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F0D" lockStructure="1"/>
  <bookViews>
    <workbookView xWindow="120" yWindow="405" windowWidth="15600" windowHeight="9165" tabRatio="767"/>
  </bookViews>
  <sheets>
    <sheet name="Cover Page" sheetId="1" r:id="rId1"/>
    <sheet name="DUT" sheetId="2" r:id="rId2"/>
    <sheet name="Pinlist" sheetId="3" r:id="rId3"/>
    <sheet name="Chart" sheetId="4" r:id="rId4"/>
    <sheet name="Orientation" sheetId="6" r:id="rId5"/>
    <sheet name="Core" sheetId="5" r:id="rId6"/>
    <sheet name="PCB Config" sheetId="7" r:id="rId7"/>
    <sheet name="PCB Custom" sheetId="8" r:id="rId8"/>
    <sheet name="Custom ISS" sheetId="16" r:id="rId9"/>
    <sheet name="Accel Fxtr" sheetId="9" r:id="rId10"/>
    <sheet name="Test Notes" sheetId="10" r:id="rId11"/>
    <sheet name="BOM" sheetId="15" state="hidden" r:id="rId12"/>
    <sheet name="Netlist" sheetId="11" state="hidden" r:id="rId13"/>
    <sheet name="Item Revision Control" sheetId="12" r:id="rId14"/>
  </sheets>
  <externalReferences>
    <externalReference r:id="rId15"/>
  </externalReferences>
  <definedNames>
    <definedName name="_xlnm._FilterDatabase" localSheetId="0" hidden="1">'Cover Page'!$BI$27:$BI$32</definedName>
    <definedName name="_xlnm._FilterDatabase" localSheetId="4" hidden="1">Orientation!$AK$14:$AN$16</definedName>
    <definedName name="_xlnm._FilterDatabase" localSheetId="2" hidden="1">Pinlist!$A$1:$T$9</definedName>
    <definedName name="board_item_no">'Cover Page'!$U$3</definedName>
    <definedName name="compQtyM">BOM!$R$2</definedName>
    <definedName name="Core_ID_Module">Core!$BK$20</definedName>
    <definedName name="core_item_no">'Cover Page'!$U$2</definedName>
    <definedName name="Core_Notes_Specs">Core!$X$39</definedName>
    <definedName name="coreSize">Core!$G$5</definedName>
    <definedName name="Cust_ISS">'Cover Page'!$T$29</definedName>
    <definedName name="DC_Vers">'Cover Page'!$BB$2</definedName>
    <definedName name="DD_List">OFFSET(Chart!$BT$4,0,0,Chart!$BO$13,1)</definedName>
    <definedName name="DD_RF">OFFSET(Chart!$BG$4,OFFSET(Chart!$CA$3,SUM(Chart!$BU$4:$BU$6)+1,0),0,SUM(Chart!$BV$7:$BV$10))</definedName>
    <definedName name="DesCap">'Cover Page'!$BB$3</definedName>
    <definedName name="dieBumpQty">BOM!$Q$2</definedName>
    <definedName name="edgeSense">BOM!$U$2</definedName>
    <definedName name="Integration">'Cover Page'!$BD$13</definedName>
    <definedName name="keepOutCore">Core!$I$24</definedName>
    <definedName name="Leak_Spec">Core!$BH$6</definedName>
    <definedName name="Load">'Custom ISS'!$BG$9:$BG$15</definedName>
    <definedName name="Mkt_Code">DUT!$BK$3</definedName>
    <definedName name="multipleGnds">BOM!$S$2</definedName>
    <definedName name="Multiplyer">DUT!$BG$14</definedName>
    <definedName name="Pad_size_Min">DUT!$BF$4</definedName>
    <definedName name="padArrange">DUT!$G$10</definedName>
    <definedName name="padMetal">BOM!$T$2</definedName>
    <definedName name="padSensitivity">BOM!$L$2</definedName>
    <definedName name="passivD">DUT!$V$14</definedName>
    <definedName name="passivL">BOM!$P$2</definedName>
    <definedName name="passivW">BOM!$O$2</definedName>
    <definedName name="PCB_Select_Range">OFFSET('PCB Custom'!$BA$8,'PCB Custom'!$BA$5,0,'PCB Custom'!$BA$6,1)</definedName>
    <definedName name="Pinlist_AC">Chart!$BN$39</definedName>
    <definedName name="Pinlist_Cmatch_10ps">Chart!$BK$47</definedName>
    <definedName name="Pinlist_Cmatch_1p5ps">Chart!$BK$44</definedName>
    <definedName name="Pinlist_Cmatch_20ps">Chart!$BK$48</definedName>
    <definedName name="Pinlist_Cmatch_2p5ps">Chart!$BK$45</definedName>
    <definedName name="Pinlist_Cmatch_5ps">Chart!$BK$46</definedName>
    <definedName name="Pinlist_DC">Chart!$BN$38</definedName>
    <definedName name="Pinlist_Err">Chart!$BO$26</definedName>
    <definedName name="Pinlist_Pmatch_100ps">Chart!$BL$50</definedName>
    <definedName name="Pinlist_Pmatch_10ps">Chart!$BL$47</definedName>
    <definedName name="Pinlist_Pmatch_200ps">Chart!$BL$51</definedName>
    <definedName name="Pinlist_Pmatch_20ps">Chart!$BL$48</definedName>
    <definedName name="Pinlist_Pmatch_2p5ps">Chart!$BL$45</definedName>
    <definedName name="Pinlist_Pmatch_50ps">Chart!$BL$49</definedName>
    <definedName name="Pinlist_Pmatch_5ps">Chart!$BL$46</definedName>
    <definedName name="Pinlist_PnG">Chart!$BN$40</definedName>
    <definedName name="Pinlist_RF_Error_flag">Chart!$BK$37</definedName>
    <definedName name="Pinlist_RF_Max">Chart!$BO$35</definedName>
    <definedName name="Pinlist_RF_total">Chart!$BN$36</definedName>
    <definedName name="Pinlist_RF01">Chart!$BN$31</definedName>
    <definedName name="Pinlist_RF03">Chart!$BN$32</definedName>
    <definedName name="Pinlist_RF20">Chart!$BN$33</definedName>
    <definedName name="Pinlist_RF40">Chart!$BN$34</definedName>
    <definedName name="Pinlist_RF80">Chart!$BN$35</definedName>
    <definedName name="Pinlist_Sense">Pinlist!$C$5</definedName>
    <definedName name="Pinlist_TFIF">Pinlist!$O$4</definedName>
    <definedName name="Pinlist_TFIP">Pinlist!$O$3</definedName>
    <definedName name="Pinlist_TFIT">Pinlist!$O$5</definedName>
    <definedName name="pitchMinX">DUT!$G$13</definedName>
    <definedName name="_xlnm.Print_Area" localSheetId="0">'Cover Page'!$A$1:$Y$51</definedName>
    <definedName name="_xlnm.Print_Area" localSheetId="4">Orientation!$A$1:$AB$46</definedName>
    <definedName name="_xlnm.Print_Area" localSheetId="6">'PCB Config'!$A$1:$Y$55</definedName>
    <definedName name="_xlnm.Print_Area" localSheetId="2">Pinlist!$D$6:$AG$50</definedName>
    <definedName name="_xlnm.Print_Titles" localSheetId="2">Pinlist!$6:$8</definedName>
    <definedName name="_xlnm.Print_Titles" localSheetId="10">'Test Notes'!$1:$4</definedName>
    <definedName name="probeDepth">Core!$H$27</definedName>
    <definedName name="PS_Details_Error">'Cover Page'!$BE$84</definedName>
    <definedName name="Site">[1]LIST!$I$3:$I$4</definedName>
    <definedName name="siteQty">BOM!$K$2</definedName>
    <definedName name="Structure">[1]LIST!$B$3:$B$7</definedName>
    <definedName name="tempMax">BOM!$N$2</definedName>
    <definedName name="tempMin">BOM!$M$2</definedName>
    <definedName name="Test_Imp_Freq">'Test Notes'!$J$20</definedName>
    <definedName name="Test_Imp_Obj">'Test Notes'!$N$20</definedName>
    <definedName name="Test_LM_Freq">'Test Notes'!$J$19</definedName>
    <definedName name="Test_LM_Obj">'Test Notes'!$N$19</definedName>
    <definedName name="Test_RTime_Freq">'Test Notes'!$J$18</definedName>
    <definedName name="Test_RTime_Obj">'Test Notes'!$N$18</definedName>
    <definedName name="Test_SParam_Freq">'Test Notes'!$J$17</definedName>
    <definedName name="Test_SParam_Obj">'Test Notes'!$N$17</definedName>
    <definedName name="Verification_Type">[1]LIST!$K$3:$K$5</definedName>
    <definedName name="window">Core!$I$18</definedName>
    <definedName name="X_01">OFFSET(Chart!$BE$4,Chart!$CA$4,0,Chart!$BZ$4,1)</definedName>
    <definedName name="X_02">OFFSET(Chart!$BE$4,Chart!$CA$5,0,Chart!$BZ$5,1)</definedName>
    <definedName name="X_03">OFFSET(Chart!$BE$4,Chart!$CA$6,0,Chart!$BZ$6,1)</definedName>
    <definedName name="X_04">OFFSET(Chart!$BE$4,Chart!$CA$7,0,Chart!$BZ$7,1)</definedName>
    <definedName name="X_05">OFFSET(Chart!$BE$4,Chart!$CA$8,0,Chart!$BZ$8,1)</definedName>
    <definedName name="X_06">OFFSET(Chart!$BE$4,Chart!$CA$9,0,Chart!$BZ$9,1)</definedName>
    <definedName name="X_07">OFFSET(Chart!$BE$4,Chart!$CA$10,0,Chart!$BZ$10,1)</definedName>
    <definedName name="X_08">OFFSET(Chart!$BE$4,Chart!$CA$11,0,Chart!$BZ$11,1)</definedName>
    <definedName name="X_09">OFFSET(Chart!$BE$4,Chart!$CA$12,0,Chart!$BZ$12,1)</definedName>
    <definedName name="X_10">OFFSET(Chart!$BE$4,Chart!$CA$13,0,Chart!$BZ$13,1)</definedName>
    <definedName name="X_11">OFFSET(Chart!$BE$4,Chart!$CA$14,0,Chart!$BZ$14,1)</definedName>
    <definedName name="X_12">OFFSET(Chart!$BE$4,Chart!$CA$15,0,Chart!$BZ$15,1)</definedName>
    <definedName name="X_13">OFFSET(Chart!$BE$4,Chart!$CA$16,0,Chart!$BZ$16,1)</definedName>
    <definedName name="X_14">OFFSET(Chart!$BE$4,Chart!$CA$17,0,Chart!$BZ$17,1)</definedName>
    <definedName name="X_15">OFFSET(Chart!$BE$4,Chart!$CA$18,0,Chart!$BZ$18,1)</definedName>
    <definedName name="X_16">OFFSET(Chart!$BE$4,Chart!$CA$19,0,Chart!$BZ$19,1)</definedName>
    <definedName name="X_17">OFFSET(Chart!$BE$4,Chart!$CA$20,0,Chart!$BZ$20,1)</definedName>
    <definedName name="X_18">OFFSET(Chart!$BE$4,Chart!$CA$21,0,Chart!$BZ$21,1)</definedName>
    <definedName name="X_19">OFFSET(Chart!$BE$4,Chart!$CA$22,0,Chart!$BZ$22,1)</definedName>
    <definedName name="X_20">OFFSET(Chart!$BE$4,Chart!$CA$23,0,Chart!$BZ$23,1)</definedName>
    <definedName name="X_21">OFFSET(Chart!$BE$4,Chart!$CA$24,0,Chart!$BZ$24,1)</definedName>
    <definedName name="X_22">OFFSET(Chart!$BE$4,Chart!$CA$25,0,Chart!$BZ$25,1)</definedName>
    <definedName name="X_23">OFFSET(Chart!$BE$4,Chart!$CA$26,0,Chart!$BZ$26,1)</definedName>
    <definedName name="X_24">OFFSET(Chart!$BE$4,Chart!$CA$27,0,Chart!$BZ$27,1)</definedName>
    <definedName name="X_25">OFFSET(Chart!$BE$4,Chart!$CA$28,0,Chart!$BZ$28,1)</definedName>
    <definedName name="X_26">OFFSET(Chart!$BE$4,Chart!$CA$29,0,Chart!$BZ$29,1)</definedName>
    <definedName name="X_27">OFFSET(Chart!$BE$4,Chart!$CA$30,0,Chart!$BZ$30,1)</definedName>
    <definedName name="X_28">OFFSET(Chart!$BE$4,Chart!$CA$31,0,Chart!$BZ$31,1)</definedName>
    <definedName name="X_29">OFFSET(Chart!$BE$4,Chart!$CA$32,0,Chart!$BZ$32,1)</definedName>
    <definedName name="X_30">OFFSET(Chart!$BE$4,Chart!$CA$33,0,Chart!$BZ$33,1)</definedName>
    <definedName name="X_31">OFFSET(Chart!$BE$4,Chart!$CA$34,0,Chart!$BZ$34,1)</definedName>
    <definedName name="X_32">OFFSET(Chart!$BE$4,Chart!$CA$35,0,Chart!$BZ$35,1)</definedName>
    <definedName name="X_33">OFFSET(Chart!$BE$4,Chart!$CA$36,0,Chart!$BZ$36,1)</definedName>
    <definedName name="X_34">OFFSET(Chart!$BE$4,Chart!$CA$37,0,Chart!$BZ$37,1)</definedName>
    <definedName name="X_35">OFFSET(Chart!$BE$4,Chart!$CA$38,0,Chart!$BZ$38,1)</definedName>
    <definedName name="X_36">OFFSET(Chart!$BE$4,Chart!$CA$39,0,Chart!$BZ$39,1)</definedName>
    <definedName name="X_37">OFFSET(Chart!$BE$4,Chart!$CA$40,0,Chart!$BZ$40,1)</definedName>
    <definedName name="X_38">OFFSET(Chart!$BE$4,Chart!$CA$41,0,Chart!$BZ$41,1)</definedName>
    <definedName name="X_39">OFFSET(Chart!$BE$4,Chart!$CA$42,0,Chart!$BZ$42,1)</definedName>
    <definedName name="X_40">OFFSET(Chart!$BE$4,Chart!$CA$43,0,Chart!$BZ$43,1)</definedName>
    <definedName name="X_41">OFFSET(Chart!$BE$4,Chart!$CA$44,0,Chart!$BZ$44,1)</definedName>
    <definedName name="X_42">OFFSET(Chart!$BE$4,Chart!$CA$45,0,Chart!$BZ$45,1)</definedName>
    <definedName name="X_43">OFFSET(Chart!$BE$4,Chart!$CA$46,0,Chart!$BZ$46,1)</definedName>
    <definedName name="X_44">OFFSET(Chart!$BE$4,Chart!$CA$47,0,Chart!$BZ$47,1)</definedName>
    <definedName name="X_45">OFFSET(Chart!$BE$4,Chart!$CA$48,0,Chart!$BZ$48,1)</definedName>
    <definedName name="X_46">OFFSET(Chart!$BE$4,Chart!$CA$49,0,Chart!$BZ$49,1)</definedName>
    <definedName name="X_47">OFFSET(Chart!$BE$4,Chart!$CA$50,0,Chart!$BZ$50,1)</definedName>
    <definedName name="X_48">OFFSET(Chart!$BE$4,Chart!$CA$51,0,Chart!$BZ$51,1)</definedName>
    <definedName name="X_49">OFFSET(Chart!$BE$4,Chart!$CA$52,0,Chart!$BZ$52,1)</definedName>
    <definedName name="X_50">OFFSET(Chart!$BE$4,Chart!$CA$53,0,Chart!$BZ$53,1)</definedName>
    <definedName name="X_51">OFFSET(Chart!$BE$4,Chart!$CA$54,0,Chart!$BZ$54,1)</definedName>
    <definedName name="X_52">OFFSET(Chart!$BE$4,Chart!$CA$55,0,Chart!$BZ$55,1)</definedName>
    <definedName name="X_53">OFFSET(Chart!$BE$4,Chart!$CA$56,0,Chart!$BZ$56,1)</definedName>
    <definedName name="X_54">OFFSET(Chart!$BE$4,Chart!$CA$57,0,Chart!$BZ$57,1)</definedName>
    <definedName name="X_55">OFFSET(Chart!$BE$4,Chart!$CA$58,0,Chart!$BZ$58,1)</definedName>
    <definedName name="X_56">OFFSET(Chart!$BE$4,Chart!$CA$59,0,Chart!$BZ$59,1)</definedName>
    <definedName name="X_57">OFFSET(Chart!$BE$4,Chart!$CA$60,0,Chart!$BZ$60,1)</definedName>
    <definedName name="Y_01">OFFSET(Chart!$BF$4,Chart!$CA$4,0,Chart!$BZ$4,1)</definedName>
    <definedName name="Y_02">OFFSET(Chart!$BF$4,Chart!$CA$5,0,Chart!$BZ$5,1)</definedName>
    <definedName name="Y_03">OFFSET(Chart!$BF$4,Chart!$CA$6,0,Chart!$BZ$6,1)</definedName>
    <definedName name="Y_04">OFFSET(Chart!$BF$4,Chart!$CA$7,0,Chart!$BZ$7,1)</definedName>
    <definedName name="Y_05">OFFSET(Chart!$BF$4,Chart!$CA$8,0,Chart!$BZ$8,1)</definedName>
    <definedName name="Y_06">OFFSET(Chart!$BF$4,Chart!$CA$9,0,Chart!$BZ$9,1)</definedName>
    <definedName name="Y_07">OFFSET(Chart!$BF$4,Chart!$CA$10,0,Chart!$BZ$10,1)</definedName>
    <definedName name="Y_08">OFFSET(Chart!$BF$4,Chart!$CA$11,0,Chart!$BZ$11,1)</definedName>
    <definedName name="Y_09">OFFSET(Chart!$BF$4,Chart!$CA$12,0,Chart!$BZ$12,1)</definedName>
    <definedName name="Y_10">OFFSET(Chart!$BF$4,Chart!$CA$13,0,Chart!$BZ$13,1)</definedName>
    <definedName name="Y_11">OFFSET(Chart!$BF$4,Chart!$CA$14,0,Chart!$BZ$14,1)</definedName>
    <definedName name="Y_12">OFFSET(Chart!$BF$4,Chart!$CA$15,0,Chart!$BZ$15,1)</definedName>
    <definedName name="Y_13">OFFSET(Chart!$BF$4,Chart!$CA$16,0,Chart!$BZ$16,1)</definedName>
    <definedName name="Y_14">OFFSET(Chart!$BF$4,Chart!$CA$17,0,Chart!$BZ$17,1)</definedName>
    <definedName name="Y_15">OFFSET(Chart!$BF$4,Chart!$CA$18,0,Chart!$BZ$18,1)</definedName>
    <definedName name="Y_16">OFFSET(Chart!$BF$4,Chart!$CA$19,0,Chart!$BZ$19,1)</definedName>
    <definedName name="Y_17">OFFSET(Chart!$BF$4,Chart!$CA$20,0,Chart!$BZ$20,1)</definedName>
    <definedName name="Y_18">OFFSET(Chart!$BF$4,Chart!$CA$21,0,Chart!$BZ$21,1)</definedName>
    <definedName name="Y_19">OFFSET(Chart!$BF$4,Chart!$CA$22,0,Chart!$BZ$22,1)</definedName>
    <definedName name="Y_20">OFFSET(Chart!$BF$4,Chart!$CA$23,0,Chart!$BZ$23,1)</definedName>
    <definedName name="Y_21">OFFSET(Chart!$BF$4,Chart!$CA$24,0,Chart!$BZ$24,1)</definedName>
    <definedName name="Y_22">OFFSET(Chart!$BF$4,Chart!$CA$25,0,Chart!$BZ$25,1)</definedName>
    <definedName name="Y_23">OFFSET(Chart!$BF$4,Chart!$CA$26,0,Chart!$BZ$26,1)</definedName>
    <definedName name="Y_24">OFFSET(Chart!$BF$4,Chart!$CA$27,0,Chart!$BZ$27,1)</definedName>
    <definedName name="Y_25">OFFSET(Chart!$BF$4,Chart!$CA$28,0,Chart!$BZ$28,1)</definedName>
    <definedName name="Y_26">OFFSET(Chart!$BF$4,Chart!$CA$29,0,Chart!$BZ$29,1)</definedName>
    <definedName name="Y_27">OFFSET(Chart!$BF$4,Chart!$CA$30,0,Chart!$BZ$30,1)</definedName>
    <definedName name="Y_28">OFFSET(Chart!$BF$4,Chart!$CA$31,0,Chart!$BZ$31,1)</definedName>
    <definedName name="Y_29">OFFSET(Chart!$BF$4,Chart!$CA$32,0,Chart!$BZ$32,1)</definedName>
    <definedName name="Y_30">OFFSET(Chart!$BF$4,Chart!$CA$33,0,Chart!$BZ$33,1)</definedName>
    <definedName name="Y_31">OFFSET(Chart!$BF$4,Chart!$CA$34,0,Chart!$BZ$34,1)</definedName>
    <definedName name="Y_32">OFFSET(Chart!$BF$4,Chart!$CA$35,0,Chart!$BZ$35,1)</definedName>
    <definedName name="Y_33">OFFSET(Chart!$BF$4,Chart!$CA$36,0,Chart!$BZ$36,1)</definedName>
    <definedName name="Y_34">OFFSET(Chart!$BF$4,Chart!$CA$37,0,Chart!$BZ$37,1)</definedName>
    <definedName name="Y_35">OFFSET(Chart!$BF$4,Chart!$CA$38,0,Chart!$BZ$38,1)</definedName>
    <definedName name="Y_36">OFFSET(Chart!$BF$4,Chart!$CA$39,0,Chart!$BZ$39,1)</definedName>
    <definedName name="Y_37">OFFSET(Chart!$BF$4,Chart!$CA$40,0,Chart!$BZ$40,1)</definedName>
    <definedName name="Y_38">OFFSET(Chart!$BF$4,Chart!$CA$41,0,Chart!$BZ$41,1)</definedName>
    <definedName name="Y_39">OFFSET(Chart!$BF$4,Chart!$CA$42,0,Chart!$BZ$42,1)</definedName>
    <definedName name="Y_40">OFFSET(Chart!$BF$4,Chart!$CA$43,0,Chart!$BZ$43,1)</definedName>
    <definedName name="Y_41">OFFSET(Chart!$BF$4,Chart!$CA$44,0,Chart!$BZ$44,1)</definedName>
    <definedName name="Y_42">OFFSET(Chart!$BF$4,Chart!$CA$45,0,Chart!$BZ$45,1)</definedName>
    <definedName name="Y_43">OFFSET(Chart!$BF$4,Chart!$CA$46,0,Chart!$BZ$46,1)</definedName>
    <definedName name="Y_44">OFFSET(Chart!$BF$4,Chart!$CA$47,0,Chart!$BZ$47,1)</definedName>
    <definedName name="Y_45">OFFSET(Chart!$BF$4,Chart!$CA$48,0,Chart!$BZ$48,1)</definedName>
    <definedName name="Y_46">OFFSET(Chart!$BF$4,Chart!$CA$49,0,Chart!$BZ$49,1)</definedName>
    <definedName name="Y_47">OFFSET(Chart!$BF$4,Chart!$CA$50,0,Chart!$BZ$50,1)</definedName>
    <definedName name="Y_48">OFFSET(Chart!$BF$4,Chart!$CA$51,0,Chart!$BZ$51,1)</definedName>
    <definedName name="Y_49">OFFSET(Chart!$BF$4,Chart!$CA$52,0,Chart!$BZ$52,1)</definedName>
    <definedName name="Y_50">OFFSET(Chart!$BF$4,Chart!$CA$53,0,Chart!$BZ$53,1)</definedName>
    <definedName name="Y_51">OFFSET(Chart!$BF$4,Chart!$CA$54,0,Chart!$BZ$54,1)</definedName>
    <definedName name="Y_52">OFFSET(Chart!$BF$4,Chart!$CA$55,0,Chart!$BZ$55,1)</definedName>
    <definedName name="Y_53">OFFSET(Chart!$BF$4,Chart!$CA$56,0,Chart!$BZ$56,1)</definedName>
    <definedName name="Y_54">OFFSET(Chart!$BF$4,Chart!$CA$57,0,Chart!$BZ$57,1)</definedName>
    <definedName name="Y_55">OFFSET(Chart!$BF$4,Chart!$CA$58,0,Chart!$BZ$58,1)</definedName>
    <definedName name="Y_56">OFFSET(Chart!$BF$4,Chart!$CA$59,0,Chart!$BZ$59,1)</definedName>
    <definedName name="Y_57">OFFSET(Chart!$BF$4,Chart!$CA$60,0,Chart!$BZ$60,1)</definedName>
    <definedName name="zSense">Chart!$CD$5</definedName>
    <definedName name="zSenseX">OFFSET(Chart!$CD$6,0,0,Chart!$CE$5,1)</definedName>
    <definedName name="zSenseY">OFFSET(Chart!$CE$6,0,0,Chart!$CE$5,1)</definedName>
  </definedNames>
  <calcPr calcId="145621"/>
</workbook>
</file>

<file path=xl/calcChain.xml><?xml version="1.0" encoding="utf-8"?>
<calcChain xmlns="http://schemas.openxmlformats.org/spreadsheetml/2006/main">
  <c r="BF3" i="16" l="1"/>
  <c r="Y75" i="2" l="1"/>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B5" i="1" l="1"/>
  <c r="BC50" i="16" l="1"/>
  <c r="BC49" i="16"/>
  <c r="BC48" i="16"/>
  <c r="BC47" i="16"/>
  <c r="BC46" i="16"/>
  <c r="BC45" i="16"/>
  <c r="BC44" i="16"/>
  <c r="BC43" i="16"/>
  <c r="BC42" i="16"/>
  <c r="BC41" i="16"/>
  <c r="BC40" i="16"/>
  <c r="BC39" i="16"/>
  <c r="BC38" i="16"/>
  <c r="BC37" i="16"/>
  <c r="BC36" i="16"/>
  <c r="BC35" i="16"/>
  <c r="BC34" i="16"/>
  <c r="BC33" i="16"/>
  <c r="BC32" i="16"/>
  <c r="BC31" i="16"/>
  <c r="BC30" i="16"/>
  <c r="BC29" i="16"/>
  <c r="BC28" i="16"/>
  <c r="BC27" i="16"/>
  <c r="BC26" i="16"/>
  <c r="BC25" i="16"/>
  <c r="BC24" i="16"/>
  <c r="BC23" i="16"/>
  <c r="BC21" i="16"/>
  <c r="BC22" i="16"/>
  <c r="C9" i="16" l="1"/>
  <c r="H4" i="16"/>
  <c r="X10" i="16" s="1"/>
  <c r="BB3" i="16"/>
  <c r="F5" i="16" s="1"/>
  <c r="BH10" i="16"/>
  <c r="H3" i="16"/>
  <c r="H2" i="16"/>
  <c r="B1" i="16"/>
  <c r="BA21" i="16"/>
  <c r="J41" i="16"/>
  <c r="J42" i="16"/>
  <c r="J43" i="16"/>
  <c r="J44" i="16"/>
  <c r="J45" i="16"/>
  <c r="J46" i="16"/>
  <c r="J47" i="16"/>
  <c r="J48" i="16"/>
  <c r="J49" i="16"/>
  <c r="J50" i="16"/>
  <c r="BA24" i="16"/>
  <c r="BA50" i="16"/>
  <c r="BA49" i="16"/>
  <c r="BA48" i="16"/>
  <c r="BA47" i="16"/>
  <c r="BA46" i="16"/>
  <c r="BA45" i="16"/>
  <c r="BA44" i="16"/>
  <c r="BA43" i="16"/>
  <c r="BA42" i="16"/>
  <c r="BA41" i="16"/>
  <c r="BA40" i="16"/>
  <c r="BA39" i="16"/>
  <c r="BA38" i="16"/>
  <c r="BA37" i="16"/>
  <c r="BA36" i="16"/>
  <c r="BA35" i="16"/>
  <c r="BA34" i="16"/>
  <c r="BA33" i="16"/>
  <c r="BA32" i="16"/>
  <c r="BA31" i="16"/>
  <c r="BA30" i="16"/>
  <c r="BA29" i="16"/>
  <c r="BA28" i="16"/>
  <c r="BA27" i="16"/>
  <c r="BA26" i="16"/>
  <c r="BA25" i="16"/>
  <c r="BA23" i="16"/>
  <c r="BA22" i="16"/>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29"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29" i="2"/>
  <c r="BV26" i="5"/>
  <c r="BU26" i="5"/>
  <c r="BT26" i="5"/>
  <c r="BS26" i="5"/>
  <c r="BR26" i="5"/>
  <c r="BQ26" i="5"/>
  <c r="B2" i="16"/>
  <c r="N63" i="4"/>
  <c r="N67" i="4"/>
  <c r="CG8" i="4"/>
  <c r="BQ4" i="4"/>
  <c r="BS4" i="4" s="1"/>
  <c r="BQ5" i="4" s="1"/>
  <c r="BR5" i="4" s="1"/>
  <c r="BK31" i="4"/>
  <c r="BL31" i="4"/>
  <c r="BM31" i="4" s="1"/>
  <c r="BK32" i="4"/>
  <c r="BK33" i="4" s="1"/>
  <c r="BL32" i="4"/>
  <c r="BM32" i="4" s="1"/>
  <c r="BL35" i="4"/>
  <c r="BK37" i="4"/>
  <c r="I3" i="3" s="1"/>
  <c r="BO11" i="4"/>
  <c r="BM11" i="4"/>
  <c r="BO12" i="4"/>
  <c r="BM12" i="4"/>
  <c r="BC20" i="5"/>
  <c r="BJ20" i="5"/>
  <c r="BA4" i="10" s="1"/>
  <c r="BZ20" i="5"/>
  <c r="BL33" i="4"/>
  <c r="BL34" i="4"/>
  <c r="BI16" i="7"/>
  <c r="BI15" i="7"/>
  <c r="BO33" i="4"/>
  <c r="BP33" i="4" s="1"/>
  <c r="BO34" i="4" s="1"/>
  <c r="BO35" i="4" s="1"/>
  <c r="BD37" i="1"/>
  <c r="BH3" i="6" s="1"/>
  <c r="BG13" i="6"/>
  <c r="BG14" i="6"/>
  <c r="BG22" i="6"/>
  <c r="BG3" i="6"/>
  <c r="BD23" i="6"/>
  <c r="BK6" i="6"/>
  <c r="BK5" i="6"/>
  <c r="BK4" i="6"/>
  <c r="BD12" i="6"/>
  <c r="BD11" i="6"/>
  <c r="BD10" i="6"/>
  <c r="BD9" i="6"/>
  <c r="BD8" i="6"/>
  <c r="BD7" i="6"/>
  <c r="BD6" i="6"/>
  <c r="BD5" i="6"/>
  <c r="BD4" i="6"/>
  <c r="BC23" i="6"/>
  <c r="BA4" i="4"/>
  <c r="BB4" i="4" s="1"/>
  <c r="BM16" i="4"/>
  <c r="B2" i="9"/>
  <c r="CQ25" i="4"/>
  <c r="CV43" i="4" s="1"/>
  <c r="CQ24" i="4"/>
  <c r="T2" i="15"/>
  <c r="BE5" i="10"/>
  <c r="BF26" i="6"/>
  <c r="BF28" i="6"/>
  <c r="BN19" i="4"/>
  <c r="CC2" i="4"/>
  <c r="BD20" i="2"/>
  <c r="BK57" i="4"/>
  <c r="BK58" i="4" s="1"/>
  <c r="BK62" i="4" s="1"/>
  <c r="BL62" i="4" s="1"/>
  <c r="CQ27" i="4"/>
  <c r="CQ19" i="4" s="1"/>
  <c r="CR27" i="4"/>
  <c r="CQ26" i="4"/>
  <c r="CQ20" i="4"/>
  <c r="CR26" i="4"/>
  <c r="BA37" i="5"/>
  <c r="V75" i="2"/>
  <c r="BE13" i="9"/>
  <c r="BI20" i="5"/>
  <c r="BJ3" i="3"/>
  <c r="BL3" i="3"/>
  <c r="BC11" i="2"/>
  <c r="BC10" i="2"/>
  <c r="BC8" i="2"/>
  <c r="BC7" i="2"/>
  <c r="BC13" i="2"/>
  <c r="BC14" i="2"/>
  <c r="M9" i="2"/>
  <c r="E52" i="1"/>
  <c r="BG41" i="1"/>
  <c r="BI42" i="1"/>
  <c r="BC65" i="1"/>
  <c r="BE64" i="1"/>
  <c r="BC81" i="1"/>
  <c r="BF27" i="6"/>
  <c r="BF29" i="6"/>
  <c r="T31" i="8"/>
  <c r="A19" i="2"/>
  <c r="BT28" i="5"/>
  <c r="BV28" i="5"/>
  <c r="BS28" i="5"/>
  <c r="BU28" i="5"/>
  <c r="BR27" i="5"/>
  <c r="BT27" i="5"/>
  <c r="BQ27" i="5"/>
  <c r="BS27" i="5"/>
  <c r="BU27" i="5"/>
  <c r="BW27" i="5"/>
  <c r="G17" i="9"/>
  <c r="N52" i="4"/>
  <c r="CR20" i="4"/>
  <c r="CR28" i="4"/>
  <c r="CQ28" i="4"/>
  <c r="BF16" i="6"/>
  <c r="BC12" i="6"/>
  <c r="BC11" i="6"/>
  <c r="BC10" i="6"/>
  <c r="BC9" i="6"/>
  <c r="BC8" i="6"/>
  <c r="BC7" i="6"/>
  <c r="BC6" i="6"/>
  <c r="BC5" i="6"/>
  <c r="BC4" i="6"/>
  <c r="L28" i="4"/>
  <c r="M33" i="4"/>
  <c r="N71" i="4"/>
  <c r="U12" i="5"/>
  <c r="BB12" i="2"/>
  <c r="BB11" i="2"/>
  <c r="BB10" i="2"/>
  <c r="BB9" i="2"/>
  <c r="BB8" i="2"/>
  <c r="BB7" i="2"/>
  <c r="BB6" i="2"/>
  <c r="BB5" i="2"/>
  <c r="L10" i="2"/>
  <c r="U8" i="5"/>
  <c r="A11" i="2"/>
  <c r="E5" i="3"/>
  <c r="BN26" i="4"/>
  <c r="N19" i="2"/>
  <c r="BK27" i="1"/>
  <c r="BJ27" i="1" s="1"/>
  <c r="BI27" i="1"/>
  <c r="BD42" i="8"/>
  <c r="BJ32" i="1"/>
  <c r="BF7" i="7"/>
  <c r="BJ31" i="1"/>
  <c r="BF9" i="7"/>
  <c r="BJ30" i="1"/>
  <c r="BF8" i="7"/>
  <c r="BJ29" i="1"/>
  <c r="Q8" i="8"/>
  <c r="S19" i="1"/>
  <c r="M2" i="15"/>
  <c r="N2" i="15"/>
  <c r="S2" i="15"/>
  <c r="BM13" i="5"/>
  <c r="BM12" i="5"/>
  <c r="AD3" i="6"/>
  <c r="AD2" i="6"/>
  <c r="L5" i="9"/>
  <c r="L4" i="8"/>
  <c r="L4" i="5"/>
  <c r="L4" i="7"/>
  <c r="BC70" i="1"/>
  <c r="BE69" i="1"/>
  <c r="BC71" i="1" s="1"/>
  <c r="BE80" i="1"/>
  <c r="BD60" i="1"/>
  <c r="BD59" i="1"/>
  <c r="BD58" i="1"/>
  <c r="BB62" i="1"/>
  <c r="BB61" i="1"/>
  <c r="BB60" i="1"/>
  <c r="BB59" i="1"/>
  <c r="BB58" i="1"/>
  <c r="BC77" i="1"/>
  <c r="BC78" i="1"/>
  <c r="E39" i="1"/>
  <c r="P21" i="1"/>
  <c r="BD27" i="1"/>
  <c r="BB4" i="8" s="1"/>
  <c r="BB3" i="5"/>
  <c r="BK21" i="5" s="1"/>
  <c r="BH6" i="5"/>
  <c r="BK3" i="2"/>
  <c r="BC28" i="1"/>
  <c r="I13" i="2"/>
  <c r="T29" i="8"/>
  <c r="B41" i="5"/>
  <c r="B42" i="5"/>
  <c r="B43" i="5"/>
  <c r="B44" i="5"/>
  <c r="B45" i="5"/>
  <c r="B46" i="5"/>
  <c r="B47" i="5"/>
  <c r="B48" i="5"/>
  <c r="B49" i="5"/>
  <c r="B50" i="5"/>
  <c r="B51" i="5"/>
  <c r="B52" i="5"/>
  <c r="B53" i="5"/>
  <c r="B54" i="5"/>
  <c r="B55" i="5"/>
  <c r="B56" i="5"/>
  <c r="B57" i="5"/>
  <c r="B58" i="5"/>
  <c r="B59" i="5"/>
  <c r="BM51" i="4"/>
  <c r="BM50" i="4"/>
  <c r="BM49" i="4"/>
  <c r="BM48" i="4"/>
  <c r="BM47" i="4"/>
  <c r="BM46" i="4"/>
  <c r="BM45" i="4"/>
  <c r="BM44" i="4"/>
  <c r="B2" i="2"/>
  <c r="BG42" i="1"/>
  <c r="BX24" i="5"/>
  <c r="BW24" i="5"/>
  <c r="BV24" i="5"/>
  <c r="BU24" i="5"/>
  <c r="BT24" i="5"/>
  <c r="BS24" i="5"/>
  <c r="BR24" i="5"/>
  <c r="BQ24" i="5"/>
  <c r="BP24" i="5"/>
  <c r="BX26" i="5"/>
  <c r="BW26" i="5"/>
  <c r="BP26" i="5"/>
  <c r="BO26" i="5"/>
  <c r="V74" i="2"/>
  <c r="V73" i="2"/>
  <c r="V72" i="2"/>
  <c r="V71" i="2"/>
  <c r="V70" i="2"/>
  <c r="V69" i="2"/>
  <c r="V68" i="2"/>
  <c r="V67" i="2"/>
  <c r="V66" i="2"/>
  <c r="V65" i="2"/>
  <c r="V64" i="2"/>
  <c r="V63" i="2"/>
  <c r="V62" i="2"/>
  <c r="V61" i="2"/>
  <c r="V60" i="2"/>
  <c r="V59" i="2"/>
  <c r="V58" i="2"/>
  <c r="V57" i="2"/>
  <c r="V56" i="2"/>
  <c r="V55" i="2"/>
  <c r="V54" i="2"/>
  <c r="V53" i="2"/>
  <c r="B1" i="10"/>
  <c r="BK41" i="1"/>
  <c r="S20" i="1"/>
  <c r="T2" i="5"/>
  <c r="B25" i="10"/>
  <c r="B26" i="10"/>
  <c r="B27" i="10"/>
  <c r="B28" i="10"/>
  <c r="B29" i="10"/>
  <c r="B30" i="10"/>
  <c r="B31" i="10"/>
  <c r="B32" i="10"/>
  <c r="B33" i="10"/>
  <c r="B34" i="10"/>
  <c r="B35" i="10"/>
  <c r="B36" i="10"/>
  <c r="B37" i="10"/>
  <c r="B38" i="10"/>
  <c r="B39" i="10"/>
  <c r="B40" i="10"/>
  <c r="B41" i="10"/>
  <c r="B42" i="10"/>
  <c r="B43" i="10"/>
  <c r="R3" i="10"/>
  <c r="R2" i="10"/>
  <c r="B34" i="9"/>
  <c r="B35" i="9"/>
  <c r="B36" i="9"/>
  <c r="B37" i="9"/>
  <c r="B38" i="9"/>
  <c r="B39" i="9"/>
  <c r="B40" i="9"/>
  <c r="B41" i="9"/>
  <c r="B42" i="9"/>
  <c r="B43" i="9"/>
  <c r="B44" i="9"/>
  <c r="B45" i="9"/>
  <c r="B46" i="9"/>
  <c r="B47" i="9"/>
  <c r="B48" i="9"/>
  <c r="B49" i="9"/>
  <c r="B50" i="9"/>
  <c r="B51" i="9"/>
  <c r="B52" i="9"/>
  <c r="BE12" i="9"/>
  <c r="BE11" i="9"/>
  <c r="BE10" i="9"/>
  <c r="BE9" i="9"/>
  <c r="BE8" i="9"/>
  <c r="T4" i="9"/>
  <c r="T3" i="9"/>
  <c r="T2" i="9"/>
  <c r="B1" i="9"/>
  <c r="B54" i="8"/>
  <c r="B55" i="8"/>
  <c r="B56" i="8"/>
  <c r="B57" i="8"/>
  <c r="B58" i="8"/>
  <c r="B59" i="8"/>
  <c r="B60" i="8"/>
  <c r="B61" i="8"/>
  <c r="B62" i="8"/>
  <c r="B63" i="8"/>
  <c r="B64" i="8"/>
  <c r="B65" i="8"/>
  <c r="B66" i="8"/>
  <c r="B67" i="8"/>
  <c r="B68" i="8"/>
  <c r="B69" i="8"/>
  <c r="B70" i="8"/>
  <c r="B71" i="8"/>
  <c r="B72" i="8"/>
  <c r="BB41" i="8"/>
  <c r="BB40" i="8"/>
  <c r="R36" i="8"/>
  <c r="P36" i="8"/>
  <c r="N36" i="8"/>
  <c r="L36" i="8"/>
  <c r="J36" i="8"/>
  <c r="H36" i="8"/>
  <c r="F36" i="8"/>
  <c r="R28" i="8"/>
  <c r="P28" i="8"/>
  <c r="N28" i="8"/>
  <c r="L28" i="8"/>
  <c r="J28" i="8"/>
  <c r="H28" i="8"/>
  <c r="F28" i="8"/>
  <c r="BM8" i="8"/>
  <c r="BA6" i="8"/>
  <c r="BA5" i="8"/>
  <c r="T3" i="8"/>
  <c r="T2" i="8"/>
  <c r="B1" i="8"/>
  <c r="B37" i="7"/>
  <c r="B38" i="7"/>
  <c r="B39" i="7"/>
  <c r="B40" i="7"/>
  <c r="B41" i="7"/>
  <c r="B42" i="7"/>
  <c r="B43" i="7"/>
  <c r="B44" i="7"/>
  <c r="B45" i="7"/>
  <c r="B46" i="7"/>
  <c r="B47" i="7"/>
  <c r="B48" i="7"/>
  <c r="B49" i="7"/>
  <c r="B50" i="7"/>
  <c r="B51" i="7"/>
  <c r="B52" i="7"/>
  <c r="B53" i="7"/>
  <c r="B54" i="7"/>
  <c r="B55" i="7"/>
  <c r="K28" i="7"/>
  <c r="I28" i="7"/>
  <c r="G28" i="7"/>
  <c r="E28" i="7"/>
  <c r="T3" i="7"/>
  <c r="T2" i="7"/>
  <c r="B1" i="7"/>
  <c r="B1" i="6"/>
  <c r="Q12" i="5"/>
  <c r="O12" i="5"/>
  <c r="M12" i="5"/>
  <c r="K12" i="5"/>
  <c r="I12" i="5"/>
  <c r="T3" i="5"/>
  <c r="B1" i="5"/>
  <c r="BM25" i="4"/>
  <c r="BO19" i="4"/>
  <c r="CA4" i="4"/>
  <c r="V52" i="2"/>
  <c r="V51" i="2"/>
  <c r="V50" i="2"/>
  <c r="V49" i="2"/>
  <c r="V48" i="2"/>
  <c r="V47" i="2"/>
  <c r="V46" i="2"/>
  <c r="V45" i="2"/>
  <c r="V44" i="2"/>
  <c r="V43" i="2"/>
  <c r="V42" i="2"/>
  <c r="V41" i="2"/>
  <c r="V40" i="2"/>
  <c r="V39" i="2"/>
  <c r="V38" i="2"/>
  <c r="V37" i="2"/>
  <c r="V36" i="2"/>
  <c r="V35" i="2"/>
  <c r="V34" i="2"/>
  <c r="V33" i="2"/>
  <c r="V32" i="2"/>
  <c r="V31" i="2"/>
  <c r="V30" i="2"/>
  <c r="V29" i="2"/>
  <c r="BB29" i="2"/>
  <c r="F17" i="8"/>
  <c r="V28" i="2"/>
  <c r="BB28" i="2"/>
  <c r="BB27" i="2"/>
  <c r="I20" i="2"/>
  <c r="B1" i="2"/>
  <c r="BC42" i="1"/>
  <c r="M24" i="8"/>
  <c r="B2" i="5"/>
  <c r="BO9" i="7"/>
  <c r="B2" i="10"/>
  <c r="B2" i="7"/>
  <c r="B2" i="6"/>
  <c r="S31" i="8"/>
  <c r="BV27" i="5"/>
  <c r="BX27" i="5"/>
  <c r="BF30" i="6"/>
  <c r="BF31" i="6"/>
  <c r="AK14" i="6"/>
  <c r="BF19" i="6"/>
  <c r="BE19" i="6"/>
  <c r="BE20" i="6"/>
  <c r="BF18" i="6"/>
  <c r="BE16" i="6"/>
  <c r="BF17" i="6"/>
  <c r="BE18" i="6"/>
  <c r="BE17" i="6"/>
  <c r="BF20" i="6"/>
  <c r="BK14" i="6"/>
  <c r="BK23" i="6"/>
  <c r="BK8" i="6"/>
  <c r="BK34" i="6"/>
  <c r="BK12" i="6"/>
  <c r="BK11" i="6"/>
  <c r="BK33" i="6"/>
  <c r="BK37" i="6"/>
  <c r="BK9" i="6"/>
  <c r="BK7" i="6"/>
  <c r="BK24" i="6"/>
  <c r="BK15" i="6"/>
  <c r="BK18" i="6"/>
  <c r="BK20" i="6"/>
  <c r="BK29" i="6"/>
  <c r="BK26" i="6"/>
  <c r="BK17" i="6"/>
  <c r="BK32" i="6"/>
  <c r="BK27" i="6"/>
  <c r="BK25" i="6"/>
  <c r="BK39" i="6"/>
  <c r="BK35" i="6"/>
  <c r="BK28" i="6"/>
  <c r="BK16" i="6"/>
  <c r="BK36" i="6"/>
  <c r="BK21" i="6"/>
  <c r="BK31" i="6"/>
  <c r="BK13" i="6"/>
  <c r="BK10" i="6"/>
  <c r="BK38" i="6"/>
  <c r="BK22" i="6"/>
  <c r="BK19" i="6"/>
  <c r="BK30" i="6"/>
  <c r="BL10" i="5"/>
  <c r="BM10" i="5"/>
  <c r="R23" i="5"/>
  <c r="B2" i="8"/>
  <c r="BL23" i="5"/>
  <c r="BL25" i="5"/>
  <c r="BM25" i="5"/>
  <c r="BC27" i="1"/>
  <c r="T2" i="1" s="1"/>
  <c r="S2" i="5" s="1"/>
  <c r="B12" i="2"/>
  <c r="I12" i="2"/>
  <c r="BF4" i="2"/>
  <c r="L2" i="15"/>
  <c r="U13" i="5"/>
  <c r="O2" i="15"/>
  <c r="P2" i="15"/>
  <c r="BF20" i="5"/>
  <c r="BF19" i="5" s="1"/>
  <c r="BY20" i="5"/>
  <c r="L5" i="5" s="1"/>
  <c r="T1" i="9"/>
  <c r="H1" i="16"/>
  <c r="BH9" i="16" s="1"/>
  <c r="BE20" i="5"/>
  <c r="BE19" i="5" s="1"/>
  <c r="BG20" i="5"/>
  <c r="BG19" i="5" s="1"/>
  <c r="BL58" i="4"/>
  <c r="BL59" i="4"/>
  <c r="H26" i="2"/>
  <c r="BL63" i="4"/>
  <c r="A18" i="2"/>
  <c r="K2" i="15"/>
  <c r="T1" i="8"/>
  <c r="T1" i="5"/>
  <c r="BN20" i="5"/>
  <c r="BC15" i="5" s="1"/>
  <c r="C19" i="5" s="1"/>
  <c r="BD20" i="5"/>
  <c r="BD19" i="5" s="1"/>
  <c r="BH20" i="5"/>
  <c r="BH19" i="5" s="1"/>
  <c r="BW19" i="5" s="1"/>
  <c r="BM23" i="5"/>
  <c r="BA20" i="5"/>
  <c r="BB29" i="1" s="1"/>
  <c r="CA20" i="5"/>
  <c r="BK20" i="5"/>
  <c r="CE20" i="5" s="1"/>
  <c r="U2" i="15" s="1"/>
  <c r="R1" i="10"/>
  <c r="T1" i="7"/>
  <c r="BD61" i="1"/>
  <c r="AD4" i="6"/>
  <c r="BM27" i="5"/>
  <c r="BL27" i="5"/>
  <c r="BL28" i="5"/>
  <c r="BL26" i="5"/>
  <c r="BL24" i="5"/>
  <c r="BM21" i="5"/>
  <c r="BM22" i="5"/>
  <c r="BM20" i="5" s="1"/>
  <c r="BL22" i="5"/>
  <c r="BL20" i="5" s="1"/>
  <c r="BM28" i="5"/>
  <c r="BM26" i="5"/>
  <c r="BM24" i="5"/>
  <c r="BL21" i="5"/>
  <c r="J22" i="16"/>
  <c r="J23" i="16"/>
  <c r="J21" i="16"/>
  <c r="J32" i="16"/>
  <c r="J33" i="16"/>
  <c r="J36" i="16"/>
  <c r="J27" i="16"/>
  <c r="J28" i="16"/>
  <c r="J31" i="16"/>
  <c r="J37" i="16"/>
  <c r="J26" i="16"/>
  <c r="J38" i="16"/>
  <c r="J30" i="16"/>
  <c r="J25" i="16"/>
  <c r="J29" i="16"/>
  <c r="J39" i="16"/>
  <c r="J35" i="16"/>
  <c r="J24" i="16"/>
  <c r="J40" i="16"/>
  <c r="J34" i="16"/>
  <c r="BC82" i="1"/>
  <c r="BB3" i="9"/>
  <c r="BG14" i="2"/>
  <c r="B12" i="16"/>
  <c r="X28" i="2"/>
  <c r="T28" i="2"/>
  <c r="X30" i="2"/>
  <c r="T30" i="2"/>
  <c r="BB4" i="9" l="1"/>
  <c r="L7" i="9" s="1"/>
  <c r="BK23" i="5"/>
  <c r="BB27" i="1"/>
  <c r="BF4" i="8" s="1"/>
  <c r="BA27" i="1"/>
  <c r="BC37" i="1"/>
  <c r="T3" i="1" s="1"/>
  <c r="G3" i="16" s="1"/>
  <c r="BB3" i="8"/>
  <c r="BB7" i="8" s="1"/>
  <c r="BU7" i="8" s="1"/>
  <c r="P26" i="8" s="1"/>
  <c r="P27" i="8" s="1"/>
  <c r="BB20" i="5"/>
  <c r="BA2" i="10" s="1"/>
  <c r="BE3" i="10"/>
  <c r="BE7" i="10" s="1"/>
  <c r="BB2" i="2"/>
  <c r="BM37" i="1"/>
  <c r="BA37" i="1"/>
  <c r="D8" i="5" s="1"/>
  <c r="BD7" i="8"/>
  <c r="BK19" i="8" s="1"/>
  <c r="BE4" i="10"/>
  <c r="BE12" i="6"/>
  <c r="BE4" i="6"/>
  <c r="BF4" i="6"/>
  <c r="BF6" i="6"/>
  <c r="BF5" i="6"/>
  <c r="BF9" i="6"/>
  <c r="BE8" i="6"/>
  <c r="BF10" i="6"/>
  <c r="BF12" i="6"/>
  <c r="BE10" i="6"/>
  <c r="BF11" i="6"/>
  <c r="BE7" i="6"/>
  <c r="BF7" i="6"/>
  <c r="BE9" i="6"/>
  <c r="BF8" i="6"/>
  <c r="BE11" i="6"/>
  <c r="BE5" i="6"/>
  <c r="BE6" i="6"/>
  <c r="BC13" i="1"/>
  <c r="BD13" i="1" s="1"/>
  <c r="BF7" i="8"/>
  <c r="M21" i="8" s="1"/>
  <c r="BQ7" i="8"/>
  <c r="H34" i="8" s="1"/>
  <c r="BB3" i="7"/>
  <c r="K9" i="8"/>
  <c r="CV46" i="4"/>
  <c r="CV44" i="4"/>
  <c r="CV47" i="4"/>
  <c r="BK48" i="4"/>
  <c r="Q13" i="5" s="1"/>
  <c r="B17" i="16"/>
  <c r="R5" i="3"/>
  <c r="BL46" i="4"/>
  <c r="H29" i="8" s="1"/>
  <c r="BS5" i="4"/>
  <c r="BQ6" i="4" s="1"/>
  <c r="BR6" i="4" s="1"/>
  <c r="BT5" i="4"/>
  <c r="BV5" i="4" s="1"/>
  <c r="BN38" i="4" s="1"/>
  <c r="BR4" i="4"/>
  <c r="BT4" i="4" s="1"/>
  <c r="BV4" i="4" s="1"/>
  <c r="BU4" i="4" s="1"/>
  <c r="M44" i="4"/>
  <c r="BL49" i="4"/>
  <c r="N29" i="8" s="1"/>
  <c r="B11" i="16"/>
  <c r="BK47" i="4"/>
  <c r="O13" i="5" s="1"/>
  <c r="AB5" i="3"/>
  <c r="C5" i="3"/>
  <c r="BK44" i="4"/>
  <c r="I13" i="5" s="1"/>
  <c r="I1" i="3"/>
  <c r="CQ40" i="4"/>
  <c r="CH3" i="4" s="1"/>
  <c r="BL47" i="4"/>
  <c r="BK45" i="4"/>
  <c r="K13" i="5" s="1"/>
  <c r="BL51" i="4"/>
  <c r="R29" i="8" s="1"/>
  <c r="M43" i="4"/>
  <c r="O3" i="3"/>
  <c r="BL48" i="4"/>
  <c r="BL45" i="4"/>
  <c r="BK46" i="4"/>
  <c r="M13" i="5" s="1"/>
  <c r="P5" i="3"/>
  <c r="BL50" i="4"/>
  <c r="P29" i="8" s="1"/>
  <c r="AD5" i="3"/>
  <c r="O5" i="3"/>
  <c r="O4" i="3"/>
  <c r="AA5" i="3"/>
  <c r="R30" i="8" s="1"/>
  <c r="Q15" i="8"/>
  <c r="S2" i="7"/>
  <c r="Q2" i="10"/>
  <c r="K14" i="7"/>
  <c r="S2" i="8"/>
  <c r="BK10" i="4"/>
  <c r="AC2" i="6"/>
  <c r="BO13" i="4"/>
  <c r="L6" i="5"/>
  <c r="S17" i="5"/>
  <c r="BB37" i="5"/>
  <c r="BC37" i="5" s="1"/>
  <c r="BB39" i="8"/>
  <c r="U14" i="8" s="1"/>
  <c r="CF20" i="5"/>
  <c r="BL14" i="5" s="1"/>
  <c r="BM14" i="5" s="1"/>
  <c r="BD21" i="7"/>
  <c r="U17" i="7" s="1"/>
  <c r="BF41" i="1"/>
  <c r="BE41" i="1"/>
  <c r="BI41" i="1" s="1"/>
  <c r="BM33" i="4"/>
  <c r="BM34" i="4" s="1"/>
  <c r="N36" i="5"/>
  <c r="BJ10" i="4"/>
  <c r="CG13" i="4"/>
  <c r="BK34" i="4"/>
  <c r="BN31" i="4"/>
  <c r="S2" i="9"/>
  <c r="G2" i="16"/>
  <c r="BN16" i="4"/>
  <c r="BO16" i="4"/>
  <c r="CE2" i="4" s="1"/>
  <c r="BN32" i="4"/>
  <c r="P34" i="8" l="1"/>
  <c r="S3" i="7"/>
  <c r="Q3" i="10"/>
  <c r="K26" i="1"/>
  <c r="BC7" i="9"/>
  <c r="BD7" i="9" s="1"/>
  <c r="BT7" i="8"/>
  <c r="BR40" i="1" s="1"/>
  <c r="BV7" i="8"/>
  <c r="R26" i="8" s="1"/>
  <c r="R27" i="8" s="1"/>
  <c r="BK7" i="8"/>
  <c r="BF40" i="1" s="1"/>
  <c r="BX7" i="8"/>
  <c r="BV40" i="1" s="1"/>
  <c r="BR7" i="8"/>
  <c r="BP40" i="1" s="1"/>
  <c r="BS40" i="1"/>
  <c r="BI7" i="8"/>
  <c r="M23" i="8" s="1"/>
  <c r="BG7" i="8"/>
  <c r="BL7" i="8"/>
  <c r="BI40" i="1" s="1"/>
  <c r="BO7" i="8"/>
  <c r="BA12" i="10" s="1"/>
  <c r="BH7" i="8"/>
  <c r="M22" i="8" s="1"/>
  <c r="L18" i="8"/>
  <c r="S3" i="8"/>
  <c r="BN7" i="8"/>
  <c r="BP7" i="8"/>
  <c r="F26" i="8" s="1"/>
  <c r="F27" i="8" s="1"/>
  <c r="BJ7" i="8"/>
  <c r="J9" i="8" s="1"/>
  <c r="BS7" i="8"/>
  <c r="L34" i="8" s="1"/>
  <c r="AC3" i="6"/>
  <c r="BY7" i="8"/>
  <c r="BW40" i="1" s="1"/>
  <c r="BM7" i="8"/>
  <c r="BK40" i="1" s="1"/>
  <c r="BC7" i="8"/>
  <c r="J8" i="8" s="1"/>
  <c r="BA7" i="8"/>
  <c r="BB40" i="1" s="1"/>
  <c r="S3" i="5"/>
  <c r="S3" i="9"/>
  <c r="BW7" i="8"/>
  <c r="T34" i="8" s="1"/>
  <c r="BE7" i="8"/>
  <c r="N12" i="10"/>
  <c r="N11" i="10"/>
  <c r="BK28" i="8"/>
  <c r="BG40" i="1"/>
  <c r="BK18" i="8"/>
  <c r="BO40" i="1"/>
  <c r="BB6" i="7"/>
  <c r="BA6" i="10"/>
  <c r="BA8" i="10" s="1"/>
  <c r="H26" i="8"/>
  <c r="H27" i="8" s="1"/>
  <c r="CH8" i="4"/>
  <c r="BU5" i="4"/>
  <c r="G29" i="7"/>
  <c r="BT6" i="4"/>
  <c r="BV6" i="4" s="1"/>
  <c r="BU6" i="4" s="1"/>
  <c r="BS6" i="4"/>
  <c r="BQ7" i="4" s="1"/>
  <c r="BS7" i="4" s="1"/>
  <c r="BQ8" i="4" s="1"/>
  <c r="BS8" i="4" s="1"/>
  <c r="BQ9" i="4" s="1"/>
  <c r="CD5" i="4"/>
  <c r="CE5" i="4" s="1"/>
  <c r="BN41" i="4"/>
  <c r="U10" i="5" s="1"/>
  <c r="CC6" i="4"/>
  <c r="CC7" i="4" s="1"/>
  <c r="CC8" i="4" s="1"/>
  <c r="H30" i="8"/>
  <c r="G30" i="7"/>
  <c r="R2" i="15"/>
  <c r="G12" i="5" s="1"/>
  <c r="G13" i="5"/>
  <c r="J29" i="8"/>
  <c r="I29" i="7"/>
  <c r="E29" i="7"/>
  <c r="F29" i="8"/>
  <c r="L29" i="8"/>
  <c r="K29" i="7"/>
  <c r="BK35" i="4"/>
  <c r="BN34" i="4"/>
  <c r="Q10" i="5"/>
  <c r="CD2" i="4"/>
  <c r="G10" i="5"/>
  <c r="CG18" i="4"/>
  <c r="CH13" i="4"/>
  <c r="BM35" i="4"/>
  <c r="BN33" i="4"/>
  <c r="I10" i="5" s="1"/>
  <c r="J26" i="8" l="1"/>
  <c r="J27" i="8" s="1"/>
  <c r="BA7" i="9"/>
  <c r="F10" i="9" s="1"/>
  <c r="N34" i="8"/>
  <c r="BB7" i="9"/>
  <c r="N26" i="8"/>
  <c r="N27" i="8" s="1"/>
  <c r="BE7" i="9"/>
  <c r="G12" i="9" s="1"/>
  <c r="R34" i="8"/>
  <c r="BQ40" i="1"/>
  <c r="BF7" i="9"/>
  <c r="F11" i="9" s="1"/>
  <c r="F34" i="8"/>
  <c r="L26" i="8"/>
  <c r="L27" i="8" s="1"/>
  <c r="BN40" i="1"/>
  <c r="J34" i="8"/>
  <c r="BT40" i="1"/>
  <c r="BE40" i="1"/>
  <c r="N10" i="8"/>
  <c r="BA14" i="10"/>
  <c r="BU40" i="1"/>
  <c r="T26" i="8"/>
  <c r="T27" i="8" s="1"/>
  <c r="BR7" i="4"/>
  <c r="BT7" i="4" s="1"/>
  <c r="BV7" i="4" s="1"/>
  <c r="BU7" i="4" s="1"/>
  <c r="K10" i="5"/>
  <c r="BT6" i="7"/>
  <c r="BD20" i="7" s="1"/>
  <c r="BP6" i="7"/>
  <c r="G11" i="7" s="1"/>
  <c r="BX6" i="7"/>
  <c r="BA6" i="7"/>
  <c r="BB39" i="1" s="1"/>
  <c r="BB37" i="1" s="1"/>
  <c r="K29" i="1" s="1"/>
  <c r="BO6" i="7"/>
  <c r="Q13" i="7" s="1"/>
  <c r="BS6" i="7"/>
  <c r="BZ6" i="7"/>
  <c r="CD6" i="7"/>
  <c r="BU39" i="1" s="1"/>
  <c r="BU37" i="1" s="1"/>
  <c r="BQ1" i="3" s="1"/>
  <c r="CH6" i="7"/>
  <c r="BD24" i="6" s="1"/>
  <c r="BQ6" i="7"/>
  <c r="G12" i="7" s="1"/>
  <c r="H12" i="7" s="1"/>
  <c r="CA6" i="7"/>
  <c r="BR39" i="1" s="1"/>
  <c r="BR37" i="1" s="1"/>
  <c r="BN1" i="3" s="1"/>
  <c r="BN6" i="7"/>
  <c r="CF6" i="7"/>
  <c r="BW39" i="1" s="1"/>
  <c r="BW37" i="1" s="1"/>
  <c r="BS1" i="3" s="1"/>
  <c r="BM6" i="7"/>
  <c r="BK39" i="1" s="1"/>
  <c r="BU6" i="7"/>
  <c r="BI6" i="7"/>
  <c r="D10" i="7" s="1"/>
  <c r="L21" i="7" s="1"/>
  <c r="BE6" i="7"/>
  <c r="BE39" i="1" s="1"/>
  <c r="BW6" i="7"/>
  <c r="BV6" i="7"/>
  <c r="BG6" i="7"/>
  <c r="CE6" i="7"/>
  <c r="BV39" i="1" s="1"/>
  <c r="BV37" i="1" s="1"/>
  <c r="BR1" i="3" s="1"/>
  <c r="BF6" i="7"/>
  <c r="BF39" i="1" s="1"/>
  <c r="BF37" i="1" s="1"/>
  <c r="BB43" i="5" s="1"/>
  <c r="BC6" i="7"/>
  <c r="BY6" i="7"/>
  <c r="CC6" i="7"/>
  <c r="BT39" i="1" s="1"/>
  <c r="BT37" i="1" s="1"/>
  <c r="BP1" i="3" s="1"/>
  <c r="BR6" i="7"/>
  <c r="G13" i="7" s="1"/>
  <c r="CB6" i="7"/>
  <c r="BS39" i="1" s="1"/>
  <c r="BS37" i="1" s="1"/>
  <c r="BO1" i="3" s="1"/>
  <c r="CG6" i="7"/>
  <c r="BX39" i="1" s="1"/>
  <c r="BX37" i="1" s="1"/>
  <c r="B28" i="1" s="1"/>
  <c r="BJ6" i="7"/>
  <c r="Q10" i="7" s="1"/>
  <c r="BK6" i="7"/>
  <c r="BR8" i="4"/>
  <c r="BT8" i="4" s="1"/>
  <c r="BV8" i="4" s="1"/>
  <c r="BU8" i="4" s="1"/>
  <c r="CD6" i="4"/>
  <c r="BN39" i="4"/>
  <c r="O10" i="5" s="1"/>
  <c r="CD7" i="4"/>
  <c r="CE7" i="4"/>
  <c r="CE6" i="4"/>
  <c r="BN35" i="4"/>
  <c r="M10" i="5" s="1"/>
  <c r="CG23" i="4"/>
  <c r="CH18" i="4"/>
  <c r="CE8" i="4"/>
  <c r="CD8" i="4"/>
  <c r="CC9" i="4"/>
  <c r="BR9" i="4"/>
  <c r="BS9" i="4"/>
  <c r="BQ10" i="4" s="1"/>
  <c r="BE37" i="1" l="1"/>
  <c r="BB40" i="5" s="1"/>
  <c r="BA11" i="10"/>
  <c r="BC66" i="1"/>
  <c r="L6" i="7"/>
  <c r="BD6" i="7"/>
  <c r="BL39" i="1" s="1"/>
  <c r="BL37" i="1" s="1"/>
  <c r="N26" i="5" s="1"/>
  <c r="BQ39" i="1"/>
  <c r="BQ37" i="1" s="1"/>
  <c r="BM1" i="3" s="1"/>
  <c r="K26" i="7"/>
  <c r="K27" i="7" s="1"/>
  <c r="BG39" i="1"/>
  <c r="BG37" i="1" s="1"/>
  <c r="BH6" i="7"/>
  <c r="Q12" i="7"/>
  <c r="P12" i="7"/>
  <c r="BO39" i="1"/>
  <c r="BO37" i="1" s="1"/>
  <c r="BK1" i="3" s="1"/>
  <c r="G26" i="7"/>
  <c r="G27" i="7" s="1"/>
  <c r="H13" i="7"/>
  <c r="BN39" i="1"/>
  <c r="BN37" i="1" s="1"/>
  <c r="BJ1" i="3" s="1"/>
  <c r="E26" i="7"/>
  <c r="I26" i="7"/>
  <c r="I27" i="7" s="1"/>
  <c r="BP39" i="1"/>
  <c r="BP37" i="1" s="1"/>
  <c r="BL1" i="3" s="1"/>
  <c r="BL6" i="7"/>
  <c r="Q11" i="7" s="1"/>
  <c r="BI39" i="1"/>
  <c r="BI37" i="1" s="1"/>
  <c r="BE24" i="6"/>
  <c r="BE23" i="6" s="1"/>
  <c r="BF24" i="6"/>
  <c r="BF23" i="6" s="1"/>
  <c r="BN36" i="4"/>
  <c r="BC52" i="1" s="1"/>
  <c r="CB20" i="5"/>
  <c r="CH23" i="4"/>
  <c r="CG28" i="4"/>
  <c r="BT9" i="4"/>
  <c r="BV9" i="4" s="1"/>
  <c r="CD9" i="4"/>
  <c r="CC10" i="4"/>
  <c r="CE9" i="4"/>
  <c r="BS10" i="4"/>
  <c r="BQ11" i="4" s="1"/>
  <c r="BR10" i="4"/>
  <c r="BT10" i="4" s="1"/>
  <c r="BV10" i="4" s="1"/>
  <c r="BU10" i="4" s="1"/>
  <c r="BK37" i="1" l="1"/>
  <c r="BF37" i="5" s="1"/>
  <c r="BC53" i="1"/>
  <c r="BC54" i="1"/>
  <c r="BC51" i="1"/>
  <c r="BE52" i="1"/>
  <c r="BA3" i="10"/>
  <c r="E6" i="10" s="1"/>
  <c r="BF52" i="1"/>
  <c r="E27" i="7"/>
  <c r="BA7" i="10" s="1"/>
  <c r="BD75" i="1"/>
  <c r="BC75" i="1" s="1"/>
  <c r="BD76" i="1"/>
  <c r="BC76" i="1" s="1"/>
  <c r="BD73" i="1"/>
  <c r="BC73" i="1" s="1"/>
  <c r="BB41" i="5"/>
  <c r="BH37" i="1"/>
  <c r="BC41" i="5" s="1"/>
  <c r="BB42" i="5"/>
  <c r="L27" i="5" s="1"/>
  <c r="BJ37" i="1"/>
  <c r="BC42" i="5" s="1"/>
  <c r="BD74" i="1"/>
  <c r="BC74" i="1" s="1"/>
  <c r="BD52" i="1"/>
  <c r="BD53" i="1"/>
  <c r="BF54" i="1"/>
  <c r="BD51" i="1"/>
  <c r="BE53" i="1"/>
  <c r="BE54" i="1"/>
  <c r="BF53" i="1"/>
  <c r="BD54" i="1"/>
  <c r="CC11" i="4"/>
  <c r="CD10" i="4"/>
  <c r="CE10" i="4"/>
  <c r="BU9" i="4"/>
  <c r="BR11" i="4"/>
  <c r="BM37" i="4" s="1"/>
  <c r="BN37" i="4" s="1"/>
  <c r="BS11" i="4"/>
  <c r="BQ12" i="4" s="1"/>
  <c r="CH28" i="4"/>
  <c r="CG33" i="4"/>
  <c r="BA15" i="10" l="1"/>
  <c r="W35" i="5"/>
  <c r="BD37" i="5"/>
  <c r="Y28" i="5"/>
  <c r="BS12" i="4"/>
  <c r="BQ13" i="4" s="1"/>
  <c r="CG38" i="4"/>
  <c r="CH33" i="4"/>
  <c r="CC12" i="4"/>
  <c r="CE11" i="4"/>
  <c r="CD11" i="4"/>
  <c r="BT11" i="4"/>
  <c r="BV11" i="4" s="1"/>
  <c r="C37" i="5" l="1"/>
  <c r="BE37" i="5"/>
  <c r="C36" i="5" s="1"/>
  <c r="BR12" i="4"/>
  <c r="BT12" i="4" s="1"/>
  <c r="BV12" i="4" s="1"/>
  <c r="BU12" i="4" s="1"/>
  <c r="BU11" i="4"/>
  <c r="BS13" i="4"/>
  <c r="BQ14" i="4" s="1"/>
  <c r="CE12" i="4"/>
  <c r="CD12" i="4"/>
  <c r="CC13" i="4"/>
  <c r="CG43" i="4"/>
  <c r="CH38" i="4"/>
  <c r="BR13" i="4" l="1"/>
  <c r="BT13" i="4" s="1"/>
  <c r="BV13" i="4" s="1"/>
  <c r="BU13" i="4" s="1"/>
  <c r="CE13" i="4"/>
  <c r="CD13" i="4"/>
  <c r="CC14" i="4"/>
  <c r="BS14" i="4"/>
  <c r="BQ15" i="4" s="1"/>
  <c r="CG48" i="4"/>
  <c r="CH43" i="4"/>
  <c r="BR14" i="4" l="1"/>
  <c r="BT14" i="4" s="1"/>
  <c r="BV14" i="4" s="1"/>
  <c r="BU14" i="4" s="1"/>
  <c r="CC15" i="4"/>
  <c r="CE14" i="4"/>
  <c r="CD14" i="4"/>
  <c r="CG53" i="4"/>
  <c r="CH48" i="4"/>
  <c r="BS15" i="4"/>
  <c r="BQ16" i="4" s="1"/>
  <c r="CG58" i="4" l="1"/>
  <c r="CH53" i="4"/>
  <c r="BR15" i="4"/>
  <c r="BT15" i="4" s="1"/>
  <c r="BV15" i="4" s="1"/>
  <c r="BU15" i="4" s="1"/>
  <c r="BS16" i="4"/>
  <c r="BQ17" i="4" s="1"/>
  <c r="CC16" i="4"/>
  <c r="CD15" i="4"/>
  <c r="CE15" i="4"/>
  <c r="BS17" i="4" l="1"/>
  <c r="BQ18" i="4" s="1"/>
  <c r="BR16" i="4"/>
  <c r="BT16" i="4" s="1"/>
  <c r="BV16" i="4" s="1"/>
  <c r="BU16" i="4" s="1"/>
  <c r="CG63" i="4"/>
  <c r="CH58" i="4"/>
  <c r="CD16" i="4"/>
  <c r="CE16" i="4"/>
  <c r="CC17" i="4"/>
  <c r="BR17" i="4" l="1"/>
  <c r="BT17" i="4" s="1"/>
  <c r="BV17" i="4" s="1"/>
  <c r="BU17" i="4" s="1"/>
  <c r="CG68" i="4"/>
  <c r="CH63" i="4"/>
  <c r="CC18" i="4"/>
  <c r="CE17" i="4"/>
  <c r="CD17" i="4"/>
  <c r="BS18" i="4"/>
  <c r="BQ19" i="4" s="1"/>
  <c r="BS19" i="4" l="1"/>
  <c r="BQ20" i="4" s="1"/>
  <c r="CH68" i="4"/>
  <c r="CG73" i="4"/>
  <c r="CD18" i="4"/>
  <c r="CE18" i="4"/>
  <c r="CC19" i="4"/>
  <c r="BR18" i="4"/>
  <c r="BT18" i="4" s="1"/>
  <c r="BV18" i="4" s="1"/>
  <c r="BU18" i="4" s="1"/>
  <c r="BR19" i="4" l="1"/>
  <c r="BT19" i="4" s="1"/>
  <c r="BV19" i="4" s="1"/>
  <c r="BU19" i="4" s="1"/>
  <c r="CG78" i="4"/>
  <c r="CH73" i="4"/>
  <c r="CD19" i="4"/>
  <c r="CC20" i="4"/>
  <c r="CE19" i="4"/>
  <c r="BS20" i="4"/>
  <c r="BQ21" i="4" s="1"/>
  <c r="BR20" i="4" l="1"/>
  <c r="BT20" i="4" s="1"/>
  <c r="BV20" i="4" s="1"/>
  <c r="BU20" i="4" s="1"/>
  <c r="CE20" i="4"/>
  <c r="CD20" i="4"/>
  <c r="CC21" i="4"/>
  <c r="BS21" i="4"/>
  <c r="BQ22" i="4" s="1"/>
  <c r="CG83" i="4"/>
  <c r="CH78" i="4"/>
  <c r="CD21" i="4" l="1"/>
  <c r="CE21" i="4"/>
  <c r="CC22" i="4"/>
  <c r="BS22" i="4"/>
  <c r="BQ23" i="4" s="1"/>
  <c r="BR21" i="4"/>
  <c r="BT21" i="4" s="1"/>
  <c r="BV21" i="4" s="1"/>
  <c r="BU21" i="4" s="1"/>
  <c r="CG88" i="4"/>
  <c r="CH83" i="4"/>
  <c r="BR22" i="4" l="1"/>
  <c r="BT22" i="4" s="1"/>
  <c r="BV22" i="4" s="1"/>
  <c r="BU22" i="4" s="1"/>
  <c r="BS23" i="4"/>
  <c r="BQ24" i="4" s="1"/>
  <c r="CC23" i="4"/>
  <c r="CE22" i="4"/>
  <c r="CD22" i="4"/>
  <c r="CG93" i="4"/>
  <c r="CH88" i="4"/>
  <c r="BR23" i="4" l="1"/>
  <c r="BT23" i="4" s="1"/>
  <c r="BV23" i="4" s="1"/>
  <c r="BU23" i="4" s="1"/>
  <c r="CE23" i="4"/>
  <c r="CC24" i="4"/>
  <c r="CD23" i="4"/>
  <c r="CG98" i="4"/>
  <c r="CH93" i="4"/>
  <c r="BS24" i="4"/>
  <c r="BQ25" i="4" s="1"/>
  <c r="BR24" i="4" l="1"/>
  <c r="BT24" i="4" s="1"/>
  <c r="BV24" i="4" s="1"/>
  <c r="BU24" i="4" s="1"/>
  <c r="CD24" i="4"/>
  <c r="CC25" i="4"/>
  <c r="CE24" i="4"/>
  <c r="CG103" i="4"/>
  <c r="CH98" i="4"/>
  <c r="BS25" i="4"/>
  <c r="BQ26" i="4" s="1"/>
  <c r="BR25" i="4" l="1"/>
  <c r="BT25" i="4" s="1"/>
  <c r="BV25" i="4" s="1"/>
  <c r="BU25" i="4" s="1"/>
  <c r="CD25" i="4"/>
  <c r="CC26" i="4"/>
  <c r="CE25" i="4"/>
  <c r="BS26" i="4"/>
  <c r="BQ27" i="4" s="1"/>
  <c r="CH103" i="4"/>
  <c r="CG108" i="4"/>
  <c r="BR26" i="4" l="1"/>
  <c r="BT26" i="4" s="1"/>
  <c r="BV26" i="4" s="1"/>
  <c r="BU26" i="4" s="1"/>
  <c r="BS27" i="4"/>
  <c r="BQ28" i="4" s="1"/>
  <c r="CC27" i="4"/>
  <c r="CD26" i="4"/>
  <c r="CE26" i="4"/>
  <c r="CG113" i="4"/>
  <c r="CH108" i="4"/>
  <c r="BR27" i="4" l="1"/>
  <c r="BT27" i="4" s="1"/>
  <c r="BV27" i="4" s="1"/>
  <c r="BU27" i="4" s="1"/>
  <c r="CH113" i="4"/>
  <c r="CG118" i="4"/>
  <c r="CC28" i="4"/>
  <c r="CD27" i="4"/>
  <c r="CE27" i="4"/>
  <c r="BS28" i="4"/>
  <c r="BQ29" i="4" s="1"/>
  <c r="BR28" i="4" l="1"/>
  <c r="BT28" i="4" s="1"/>
  <c r="BV28" i="4" s="1"/>
  <c r="BU28" i="4" s="1"/>
  <c r="CC29" i="4"/>
  <c r="CE28" i="4"/>
  <c r="CD28" i="4"/>
  <c r="BS29" i="4"/>
  <c r="BQ30" i="4" s="1"/>
  <c r="CG123" i="4"/>
  <c r="CH118" i="4"/>
  <c r="BR29" i="4" l="1"/>
  <c r="BT29" i="4" s="1"/>
  <c r="BV29" i="4" s="1"/>
  <c r="BU29" i="4" s="1"/>
  <c r="CG128" i="4"/>
  <c r="CH123" i="4"/>
  <c r="BS30" i="4"/>
  <c r="BQ31" i="4" s="1"/>
  <c r="CE29" i="4"/>
  <c r="CC30" i="4"/>
  <c r="CD29" i="4"/>
  <c r="BS31" i="4" l="1"/>
  <c r="BQ32" i="4" s="1"/>
  <c r="CG133" i="4"/>
  <c r="CH128" i="4"/>
  <c r="BR30" i="4"/>
  <c r="BT30" i="4" s="1"/>
  <c r="BV30" i="4" s="1"/>
  <c r="BU30" i="4" s="1"/>
  <c r="CC31" i="4"/>
  <c r="CE30" i="4"/>
  <c r="CD30" i="4"/>
  <c r="BR31" i="4" l="1"/>
  <c r="BT31" i="4" s="1"/>
  <c r="BV31" i="4" s="1"/>
  <c r="BU31" i="4" s="1"/>
  <c r="CH133" i="4"/>
  <c r="CG138" i="4"/>
  <c r="CC32" i="4"/>
  <c r="CE31" i="4"/>
  <c r="CD31" i="4"/>
  <c r="BS32" i="4"/>
  <c r="BQ33" i="4" s="1"/>
  <c r="BS33" i="4" l="1"/>
  <c r="BQ34" i="4" s="1"/>
  <c r="CD32" i="4"/>
  <c r="CE32" i="4"/>
  <c r="CC33" i="4"/>
  <c r="CH138" i="4"/>
  <c r="CG143" i="4"/>
  <c r="BR32" i="4"/>
  <c r="BT32" i="4" s="1"/>
  <c r="BV32" i="4" s="1"/>
  <c r="BU32" i="4" s="1"/>
  <c r="BR33" i="4" l="1"/>
  <c r="BT33" i="4" s="1"/>
  <c r="BV33" i="4" s="1"/>
  <c r="BU33" i="4" s="1"/>
  <c r="CG148" i="4"/>
  <c r="CH143" i="4"/>
  <c r="CC34" i="4"/>
  <c r="CE33" i="4"/>
  <c r="CD33" i="4"/>
  <c r="BS34" i="4"/>
  <c r="BQ35" i="4" s="1"/>
  <c r="BR34" i="4" l="1"/>
  <c r="BT34" i="4" s="1"/>
  <c r="BV34" i="4" s="1"/>
  <c r="BU34" i="4" s="1"/>
  <c r="CH148" i="4"/>
  <c r="CG153" i="4"/>
  <c r="CE34" i="4"/>
  <c r="CD34" i="4"/>
  <c r="CC35" i="4"/>
  <c r="BS35" i="4"/>
  <c r="BQ36" i="4" s="1"/>
  <c r="BR35" i="4" l="1"/>
  <c r="BT35" i="4" s="1"/>
  <c r="BV35" i="4" s="1"/>
  <c r="BU35" i="4" s="1"/>
  <c r="CE35" i="4"/>
  <c r="CD35" i="4"/>
  <c r="CC36" i="4"/>
  <c r="CG158" i="4"/>
  <c r="CH158" i="4" s="1"/>
  <c r="CH153" i="4"/>
  <c r="BS36" i="4"/>
  <c r="BQ37" i="4" s="1"/>
  <c r="BR36" i="4" l="1"/>
  <c r="BT36" i="4" s="1"/>
  <c r="BV36" i="4" s="1"/>
  <c r="BU36" i="4" s="1"/>
  <c r="CD36" i="4"/>
  <c r="CE36" i="4"/>
  <c r="CC37" i="4"/>
  <c r="BS37" i="4"/>
  <c r="BQ38" i="4" s="1"/>
  <c r="BR37" i="4" l="1"/>
  <c r="BT37" i="4" s="1"/>
  <c r="BV37" i="4" s="1"/>
  <c r="BU37" i="4" s="1"/>
  <c r="CE37" i="4"/>
  <c r="CC38" i="4"/>
  <c r="CD37" i="4"/>
  <c r="BS38" i="4"/>
  <c r="BQ39" i="4" s="1"/>
  <c r="BR38" i="4" l="1"/>
  <c r="BT38" i="4" s="1"/>
  <c r="BV38" i="4" s="1"/>
  <c r="BU38" i="4" s="1"/>
  <c r="CC39" i="4"/>
  <c r="CE38" i="4"/>
  <c r="CD38" i="4"/>
  <c r="BS39" i="4"/>
  <c r="BQ40" i="4" s="1"/>
  <c r="BS40" i="4" l="1"/>
  <c r="BQ41" i="4" s="1"/>
  <c r="BR39" i="4"/>
  <c r="BT39" i="4" s="1"/>
  <c r="BV39" i="4" s="1"/>
  <c r="BU39" i="4" s="1"/>
  <c r="CD39" i="4"/>
  <c r="CC40" i="4"/>
  <c r="CE39" i="4"/>
  <c r="CE40" i="4" l="1"/>
  <c r="CC41" i="4"/>
  <c r="CD40" i="4"/>
  <c r="BS41" i="4"/>
  <c r="BQ42" i="4" s="1"/>
  <c r="BR40" i="4"/>
  <c r="BT40" i="4" s="1"/>
  <c r="BV40" i="4" s="1"/>
  <c r="BU40" i="4" s="1"/>
  <c r="BR41" i="4" l="1"/>
  <c r="BT41" i="4" s="1"/>
  <c r="BV41" i="4" s="1"/>
  <c r="BU41" i="4" s="1"/>
  <c r="BS42" i="4"/>
  <c r="BQ43" i="4" s="1"/>
  <c r="CE41" i="4"/>
  <c r="CD41" i="4"/>
  <c r="CC42" i="4"/>
  <c r="CD42" i="4" l="1"/>
  <c r="CE42" i="4"/>
  <c r="CC43" i="4"/>
  <c r="BS43" i="4"/>
  <c r="BQ44" i="4" s="1"/>
  <c r="BR42" i="4"/>
  <c r="BT42" i="4" s="1"/>
  <c r="BV42" i="4" s="1"/>
  <c r="BU42" i="4" s="1"/>
  <c r="BR43" i="4" l="1"/>
  <c r="BT43" i="4" s="1"/>
  <c r="BV43" i="4" s="1"/>
  <c r="BU43" i="4" s="1"/>
  <c r="CD43" i="4"/>
  <c r="CE43" i="4"/>
  <c r="CC44" i="4"/>
  <c r="BS44" i="4"/>
  <c r="BQ45" i="4" s="1"/>
  <c r="BS45" i="4" l="1"/>
  <c r="BQ46" i="4" s="1"/>
  <c r="CC45" i="4"/>
  <c r="CE44" i="4"/>
  <c r="CD44" i="4"/>
  <c r="BR44" i="4"/>
  <c r="BT44" i="4" s="1"/>
  <c r="BV44" i="4" s="1"/>
  <c r="BU44" i="4" s="1"/>
  <c r="BR45" i="4" l="1"/>
  <c r="BT45" i="4" s="1"/>
  <c r="BV45" i="4" s="1"/>
  <c r="BU45" i="4" s="1"/>
  <c r="CC46" i="4"/>
  <c r="CE45" i="4"/>
  <c r="CD45" i="4"/>
  <c r="BS46" i="4"/>
  <c r="BQ47" i="4" s="1"/>
  <c r="BR46" i="4" l="1"/>
  <c r="BT46" i="4" s="1"/>
  <c r="BV46" i="4" s="1"/>
  <c r="BU46" i="4" s="1"/>
  <c r="BS47" i="4"/>
  <c r="BQ48" i="4" s="1"/>
  <c r="CD46" i="4"/>
  <c r="CC47" i="4"/>
  <c r="CE46" i="4"/>
  <c r="BR47" i="4" l="1"/>
  <c r="BT47" i="4" s="1"/>
  <c r="BV47" i="4" s="1"/>
  <c r="BU47" i="4" s="1"/>
  <c r="CE47" i="4"/>
  <c r="CD47" i="4"/>
  <c r="CC48" i="4"/>
  <c r="BS48" i="4"/>
  <c r="BQ49" i="4" s="1"/>
  <c r="BR48" i="4" l="1"/>
  <c r="BT48" i="4" s="1"/>
  <c r="BV48" i="4" s="1"/>
  <c r="BU48" i="4" s="1"/>
  <c r="BS49" i="4"/>
  <c r="BQ50" i="4" s="1"/>
  <c r="CC49" i="4"/>
  <c r="CE48" i="4"/>
  <c r="CD48" i="4"/>
  <c r="CC50" i="4" l="1"/>
  <c r="CD49" i="4"/>
  <c r="CE49" i="4"/>
  <c r="BS50" i="4"/>
  <c r="BQ51" i="4" s="1"/>
  <c r="BR49" i="4"/>
  <c r="BT49" i="4" s="1"/>
  <c r="BV49" i="4" s="1"/>
  <c r="BU49" i="4" s="1"/>
  <c r="BR50" i="4" l="1"/>
  <c r="BT50" i="4" s="1"/>
  <c r="BV50" i="4" s="1"/>
  <c r="BU50" i="4" s="1"/>
  <c r="BS51" i="4"/>
  <c r="BQ52" i="4" s="1"/>
  <c r="CD50" i="4"/>
  <c r="CC51" i="4"/>
  <c r="CE50" i="4"/>
  <c r="BR51" i="4" l="1"/>
  <c r="BT51" i="4" s="1"/>
  <c r="BV51" i="4" s="1"/>
  <c r="BU51" i="4" s="1"/>
  <c r="CD51" i="4"/>
  <c r="CE51" i="4"/>
  <c r="CC52" i="4"/>
  <c r="BS52" i="4"/>
  <c r="BQ53" i="4" s="1"/>
  <c r="BR52" i="4" l="1"/>
  <c r="BT52" i="4" s="1"/>
  <c r="BV52" i="4" s="1"/>
  <c r="BU52" i="4" s="1"/>
  <c r="CC53" i="4"/>
  <c r="CD52" i="4"/>
  <c r="CE52" i="4"/>
  <c r="BS53" i="4"/>
  <c r="BQ54" i="4" s="1"/>
  <c r="BR53" i="4" l="1"/>
  <c r="BT53" i="4" s="1"/>
  <c r="BV53" i="4" s="1"/>
  <c r="BU53" i="4" s="1"/>
  <c r="BS54" i="4"/>
  <c r="BQ55" i="4" s="1"/>
  <c r="CE53" i="4"/>
  <c r="CC54" i="4"/>
  <c r="CD53" i="4"/>
  <c r="BR54" i="4" l="1"/>
  <c r="BT54" i="4" s="1"/>
  <c r="BV54" i="4" s="1"/>
  <c r="BU54" i="4" s="1"/>
  <c r="CC55" i="4"/>
  <c r="CD54" i="4"/>
  <c r="CE54" i="4"/>
  <c r="BS55" i="4"/>
  <c r="BQ56" i="4" s="1"/>
  <c r="BR55" i="4" l="1"/>
  <c r="BT55" i="4" s="1"/>
  <c r="BV55" i="4" s="1"/>
  <c r="BU55" i="4" s="1"/>
  <c r="BS56" i="4"/>
  <c r="BQ57" i="4" s="1"/>
  <c r="CD55" i="4"/>
  <c r="CC56" i="4"/>
  <c r="CE55" i="4"/>
  <c r="CE56" i="4" l="1"/>
  <c r="CC57" i="4"/>
  <c r="CD56" i="4"/>
  <c r="BS57" i="4"/>
  <c r="BQ58" i="4" s="1"/>
  <c r="BR56" i="4"/>
  <c r="BT56" i="4" s="1"/>
  <c r="BV56" i="4" s="1"/>
  <c r="BU56" i="4" s="1"/>
  <c r="BR57" i="4" l="1"/>
  <c r="BT57" i="4" s="1"/>
  <c r="BV57" i="4" s="1"/>
  <c r="BU57" i="4" s="1"/>
  <c r="CD57" i="4"/>
  <c r="CE57" i="4"/>
  <c r="CC58" i="4"/>
  <c r="BS58" i="4"/>
  <c r="BQ59" i="4" s="1"/>
  <c r="BR58" i="4" l="1"/>
  <c r="BT58" i="4" s="1"/>
  <c r="BV58" i="4" s="1"/>
  <c r="BU58" i="4" s="1"/>
  <c r="CC59" i="4"/>
  <c r="CE58" i="4"/>
  <c r="CD58" i="4"/>
  <c r="BS59" i="4"/>
  <c r="BQ60" i="4" s="1"/>
  <c r="BR59" i="4" l="1"/>
  <c r="BT59" i="4" s="1"/>
  <c r="BV59" i="4" s="1"/>
  <c r="BU59" i="4" s="1"/>
  <c r="BT60" i="4"/>
  <c r="BV60" i="4" s="1"/>
  <c r="BU60" i="4" s="1"/>
  <c r="BS60" i="4"/>
  <c r="BQ61" i="4" s="1"/>
  <c r="BR60" i="4"/>
  <c r="CE59" i="4"/>
  <c r="CD59" i="4"/>
  <c r="CC60" i="4"/>
  <c r="CE60" i="4" l="1"/>
  <c r="CD60" i="4"/>
  <c r="CC61" i="4"/>
  <c r="BT61" i="4"/>
  <c r="BV61" i="4" s="1"/>
  <c r="BU61" i="4" s="1"/>
  <c r="BS61" i="4"/>
  <c r="BQ62" i="4" s="1"/>
  <c r="BR61" i="4"/>
  <c r="BT62" i="4" l="1"/>
  <c r="BV62" i="4" s="1"/>
  <c r="BU62" i="4" s="1"/>
  <c r="BR62" i="4"/>
  <c r="BS62" i="4"/>
  <c r="BQ63" i="4" s="1"/>
  <c r="CD61" i="4"/>
  <c r="CE61" i="4"/>
  <c r="CC62" i="4"/>
  <c r="BR63" i="4" l="1"/>
  <c r="BE84" i="1" s="1"/>
  <c r="BT63" i="4"/>
  <c r="BV63" i="4" s="1"/>
  <c r="BS63" i="4"/>
  <c r="A28" i="2"/>
  <c r="CD62" i="4"/>
  <c r="CC63" i="4"/>
  <c r="CE62" i="4"/>
  <c r="CD63" i="4" l="1"/>
  <c r="CC64" i="4"/>
  <c r="CE63" i="4"/>
  <c r="A29" i="2"/>
  <c r="B28" i="2"/>
  <c r="BU63" i="4"/>
  <c r="BM26" i="4"/>
  <c r="BM27" i="4" l="1"/>
  <c r="BO26" i="4"/>
  <c r="BJ3" i="4"/>
  <c r="BJ4" i="4"/>
  <c r="BK3" i="4"/>
  <c r="BK4" i="4"/>
  <c r="CE64" i="4"/>
  <c r="CC65" i="4"/>
  <c r="CD64" i="4"/>
  <c r="BX4" i="4"/>
  <c r="BN40" i="4"/>
  <c r="A30" i="2"/>
  <c r="B29" i="2"/>
  <c r="S10" i="5" l="1"/>
  <c r="W10" i="5" s="1"/>
  <c r="F7" i="7"/>
  <c r="CC20" i="5"/>
  <c r="CD20" i="5" s="1"/>
  <c r="CQ29" i="4"/>
  <c r="BJ5" i="4"/>
  <c r="D4" i="3"/>
  <c r="N6" i="10" s="1"/>
  <c r="L18" i="4"/>
  <c r="L19" i="4"/>
  <c r="A31" i="2"/>
  <c r="B30" i="2"/>
  <c r="CR29" i="4"/>
  <c r="BK5" i="4"/>
  <c r="CR23" i="4" s="1"/>
  <c r="CN3" i="4" s="1"/>
  <c r="BX5" i="4"/>
  <c r="BZ4" i="4"/>
  <c r="BY4" i="4"/>
  <c r="CE65" i="4"/>
  <c r="CD65" i="4"/>
  <c r="N35" i="5"/>
  <c r="Q2" i="15"/>
  <c r="N8" i="5" s="1"/>
  <c r="BK17" i="4" l="1"/>
  <c r="BK16" i="4"/>
  <c r="CQ23" i="4"/>
  <c r="CM3" i="4" s="1"/>
  <c r="CM18" i="4" s="1"/>
  <c r="BC36" i="6"/>
  <c r="CN8" i="4"/>
  <c r="CN13" i="4"/>
  <c r="CN18" i="4"/>
  <c r="CN23" i="4"/>
  <c r="CN28" i="4"/>
  <c r="CN33" i="4"/>
  <c r="CN38" i="4"/>
  <c r="CN43" i="4"/>
  <c r="CN48" i="4"/>
  <c r="CN53" i="4"/>
  <c r="CN58" i="4"/>
  <c r="CN63" i="4"/>
  <c r="CN68" i="4"/>
  <c r="CN73" i="4"/>
  <c r="CN78" i="4"/>
  <c r="CN83" i="4"/>
  <c r="CN88" i="4"/>
  <c r="CN93" i="4"/>
  <c r="CN98" i="4"/>
  <c r="CN103" i="4"/>
  <c r="CN108" i="4"/>
  <c r="CN113" i="4"/>
  <c r="CN118" i="4"/>
  <c r="CN123" i="4"/>
  <c r="CN128" i="4"/>
  <c r="CN133" i="4"/>
  <c r="CN138" i="4"/>
  <c r="CN143" i="4"/>
  <c r="CN148" i="4"/>
  <c r="CN153" i="4"/>
  <c r="CN158" i="4"/>
  <c r="CL3" i="4"/>
  <c r="BK6" i="4"/>
  <c r="CJ3" i="4"/>
  <c r="BL16" i="4"/>
  <c r="BD4" i="4"/>
  <c r="BA5" i="4"/>
  <c r="CA5" i="4"/>
  <c r="A32" i="2"/>
  <c r="B31" i="2"/>
  <c r="BZ5" i="4"/>
  <c r="BX6" i="4"/>
  <c r="BY5" i="4"/>
  <c r="P5" i="5"/>
  <c r="D3" i="3"/>
  <c r="BL17" i="4"/>
  <c r="BJ6" i="4"/>
  <c r="L20" i="2"/>
  <c r="BC37" i="6"/>
  <c r="CK3" i="4"/>
  <c r="L12" i="2"/>
  <c r="BB36" i="6"/>
  <c r="CM118" i="4" l="1"/>
  <c r="CM68" i="4"/>
  <c r="CM153" i="4"/>
  <c r="CM158" i="4"/>
  <c r="CM43" i="4"/>
  <c r="CM93" i="4"/>
  <c r="CM138" i="4"/>
  <c r="CM88" i="4"/>
  <c r="CM33" i="4"/>
  <c r="CM113" i="4"/>
  <c r="CM98" i="4"/>
  <c r="CM143" i="4"/>
  <c r="CM38" i="4"/>
  <c r="CI3" i="4"/>
  <c r="CI6" i="4" s="1"/>
  <c r="CM128" i="4"/>
  <c r="CM78" i="4"/>
  <c r="CM13" i="4"/>
  <c r="CM48" i="4"/>
  <c r="CM133" i="4"/>
  <c r="CM83" i="4"/>
  <c r="CM28" i="4"/>
  <c r="CM123" i="4"/>
  <c r="CM73" i="4"/>
  <c r="CM148" i="4"/>
  <c r="CM108" i="4"/>
  <c r="CM58" i="4"/>
  <c r="CM8" i="4"/>
  <c r="CM53" i="4"/>
  <c r="CM103" i="4"/>
  <c r="CM63" i="4"/>
  <c r="CM23" i="4"/>
  <c r="CL7" i="4"/>
  <c r="CL4" i="4"/>
  <c r="CL5" i="4" s="1"/>
  <c r="CL6" i="4" s="1"/>
  <c r="CL8" i="4"/>
  <c r="DA11" i="4" s="1"/>
  <c r="BC41" i="6"/>
  <c r="BB39" i="6"/>
  <c r="BB40" i="6" s="1"/>
  <c r="BC40" i="6"/>
  <c r="BB38" i="6"/>
  <c r="BC38" i="6"/>
  <c r="BC39" i="6" s="1"/>
  <c r="BC42" i="6" s="1"/>
  <c r="BC43" i="6"/>
  <c r="BB43" i="6"/>
  <c r="BC4" i="4"/>
  <c r="BG4" i="4"/>
  <c r="BY6" i="4"/>
  <c r="BZ6" i="4"/>
  <c r="BX7" i="4"/>
  <c r="BJ11" i="4"/>
  <c r="L15" i="4"/>
  <c r="BK11" i="4"/>
  <c r="BD5" i="4"/>
  <c r="BB5" i="4"/>
  <c r="BA6" i="4" s="1"/>
  <c r="CK6" i="4"/>
  <c r="CK7" i="4"/>
  <c r="CK4" i="4"/>
  <c r="CK5" i="4" s="1"/>
  <c r="CK8" i="4"/>
  <c r="CZ11" i="4" s="1"/>
  <c r="CJ4" i="4"/>
  <c r="CJ5" i="4" s="1"/>
  <c r="CJ6" i="4" s="1"/>
  <c r="CJ7" i="4"/>
  <c r="CJ8" i="4"/>
  <c r="A33" i="2"/>
  <c r="B32" i="2"/>
  <c r="CA6" i="4"/>
  <c r="CI8" i="4" l="1"/>
  <c r="CI12" i="4" s="1"/>
  <c r="CI7" i="4"/>
  <c r="CI4" i="4"/>
  <c r="CI5" i="4" s="1"/>
  <c r="DB11" i="4"/>
  <c r="DB8" i="4" s="1"/>
  <c r="CU17" i="4" s="1"/>
  <c r="CV17" i="4" s="1"/>
  <c r="CA7" i="4"/>
  <c r="CK12" i="4"/>
  <c r="CZ5" i="4"/>
  <c r="CK11" i="4"/>
  <c r="CK9" i="4"/>
  <c r="CK10" i="4" s="1"/>
  <c r="CK13" i="4"/>
  <c r="BC5" i="4"/>
  <c r="BG5" i="4"/>
  <c r="BF4" i="4"/>
  <c r="BE4" i="4"/>
  <c r="CJ9" i="4"/>
  <c r="CJ10" i="4" s="1"/>
  <c r="CJ11" i="4" s="1"/>
  <c r="CJ12" i="4"/>
  <c r="CJ13" i="4"/>
  <c r="BZ7" i="4"/>
  <c r="BX8" i="4"/>
  <c r="BY7" i="4"/>
  <c r="BB42" i="6"/>
  <c r="BB41" i="6"/>
  <c r="BD6" i="4"/>
  <c r="BB6" i="4"/>
  <c r="BA7" i="4" s="1"/>
  <c r="CL9" i="4"/>
  <c r="CL10" i="4" s="1"/>
  <c r="CL11" i="4" s="1"/>
  <c r="CL12" i="4"/>
  <c r="DA5" i="4"/>
  <c r="CL13" i="4"/>
  <c r="A34" i="2"/>
  <c r="B33" i="2"/>
  <c r="BL11" i="4"/>
  <c r="L16" i="4" s="1"/>
  <c r="CI9" i="4" l="1"/>
  <c r="CI10" i="4" s="1"/>
  <c r="CI11" i="4"/>
  <c r="CI13" i="4"/>
  <c r="CI14" i="4" s="1"/>
  <c r="CI15" i="4" s="1"/>
  <c r="DB5" i="4"/>
  <c r="CT30" i="4"/>
  <c r="CV38" i="4" s="1"/>
  <c r="CQ30" i="4"/>
  <c r="BL13" i="4" s="1"/>
  <c r="CA8" i="4"/>
  <c r="BB7" i="4"/>
  <c r="BA8" i="4" s="1"/>
  <c r="BD7" i="4"/>
  <c r="CK17" i="4"/>
  <c r="CZ8" i="4"/>
  <c r="CK16" i="4"/>
  <c r="CK14" i="4"/>
  <c r="CK15" i="4" s="1"/>
  <c r="CK18" i="4"/>
  <c r="CJ14" i="4"/>
  <c r="CJ15" i="4" s="1"/>
  <c r="CJ16" i="4" s="1"/>
  <c r="CJ17" i="4"/>
  <c r="CJ18" i="4"/>
  <c r="DA8" i="4"/>
  <c r="CL17" i="4"/>
  <c r="CL14" i="4"/>
  <c r="CL15" i="4" s="1"/>
  <c r="CL16" i="4" s="1"/>
  <c r="CL18" i="4"/>
  <c r="BG6" i="4"/>
  <c r="BC6" i="4"/>
  <c r="BE5" i="4"/>
  <c r="BF5" i="4"/>
  <c r="BY8" i="4"/>
  <c r="BX9" i="4"/>
  <c r="BZ8" i="4"/>
  <c r="B34" i="2"/>
  <c r="A35" i="2"/>
  <c r="CI17" i="4" l="1"/>
  <c r="CI16" i="4"/>
  <c r="CQ31" i="4"/>
  <c r="M46" i="4" s="1"/>
  <c r="CI18" i="4"/>
  <c r="CI22" i="4" s="1"/>
  <c r="CV39" i="4"/>
  <c r="CQ6" i="4" s="1"/>
  <c r="CV36" i="4"/>
  <c r="CR3" i="4" s="1"/>
  <c r="CV37" i="4"/>
  <c r="CR4" i="4" s="1"/>
  <c r="CA9" i="4"/>
  <c r="BY9" i="4"/>
  <c r="BZ9" i="4"/>
  <c r="BX10" i="4"/>
  <c r="BB8" i="4"/>
  <c r="BA9" i="4" s="1"/>
  <c r="BD8" i="4"/>
  <c r="BC7" i="4"/>
  <c r="BG7" i="4"/>
  <c r="B35" i="2"/>
  <c r="A36" i="2"/>
  <c r="CL22" i="4"/>
  <c r="CL19" i="4"/>
  <c r="CL23" i="4"/>
  <c r="CR5" i="4"/>
  <c r="CQ5" i="4"/>
  <c r="BF6" i="4"/>
  <c r="BE6" i="4"/>
  <c r="CJ22" i="4"/>
  <c r="CJ19" i="4"/>
  <c r="CJ20" i="4" s="1"/>
  <c r="CJ21" i="4" s="1"/>
  <c r="CJ23" i="4"/>
  <c r="CK21" i="4"/>
  <c r="CK22" i="4"/>
  <c r="CK19" i="4"/>
  <c r="CK23" i="4"/>
  <c r="CI19" i="4" l="1"/>
  <c r="CI20" i="4" s="1"/>
  <c r="CI21" i="4"/>
  <c r="CI23" i="4"/>
  <c r="CI26" i="4" s="1"/>
  <c r="CQ3" i="4"/>
  <c r="CT3" i="4" s="1"/>
  <c r="CQ4" i="4"/>
  <c r="CT4" i="4" s="1"/>
  <c r="CR6" i="4"/>
  <c r="CT6" i="4" s="1"/>
  <c r="CA10" i="4"/>
  <c r="CK26" i="4"/>
  <c r="CK27" i="4"/>
  <c r="CK24" i="4"/>
  <c r="CK25" i="4" s="1"/>
  <c r="CK28" i="4"/>
  <c r="BF7" i="4"/>
  <c r="BE7" i="4"/>
  <c r="CL20" i="4"/>
  <c r="CL21" i="4" s="1"/>
  <c r="BX11" i="4"/>
  <c r="BZ10" i="4"/>
  <c r="BY10" i="4"/>
  <c r="CJ24" i="4"/>
  <c r="CJ25" i="4" s="1"/>
  <c r="CJ26" i="4" s="1"/>
  <c r="CJ27" i="4"/>
  <c r="CJ28" i="4"/>
  <c r="CX16" i="4"/>
  <c r="BI5" i="16" s="1"/>
  <c r="CS3" i="4"/>
  <c r="CK20" i="4"/>
  <c r="CL24" i="4"/>
  <c r="CL25" i="4" s="1"/>
  <c r="CL26" i="4" s="1"/>
  <c r="CL27" i="4"/>
  <c r="CL28" i="4"/>
  <c r="BG8" i="4"/>
  <c r="BC8" i="4"/>
  <c r="BB9" i="4"/>
  <c r="BA10" i="4" s="1"/>
  <c r="BD9" i="4"/>
  <c r="CS5" i="4"/>
  <c r="CT5" i="4"/>
  <c r="A37" i="2"/>
  <c r="B36" i="2"/>
  <c r="CI27" i="4"/>
  <c r="CI28" i="4" l="1"/>
  <c r="CI33" i="4" s="1"/>
  <c r="CI24" i="4"/>
  <c r="CI25" i="4" s="1"/>
  <c r="CW16" i="4"/>
  <c r="BE3" i="16" s="1"/>
  <c r="BH5" i="16" s="1"/>
  <c r="J20" i="16" s="1"/>
  <c r="CS4" i="4"/>
  <c r="CS6" i="4"/>
  <c r="CV6" i="4" s="1"/>
  <c r="CA11" i="4"/>
  <c r="K20" i="16"/>
  <c r="L20" i="16"/>
  <c r="BB21" i="16"/>
  <c r="BD21" i="16" s="1"/>
  <c r="BB26" i="16"/>
  <c r="BB27" i="16"/>
  <c r="BB29" i="16"/>
  <c r="BB50" i="16"/>
  <c r="BB31" i="16"/>
  <c r="BB35" i="16"/>
  <c r="BB39" i="16"/>
  <c r="BB43" i="16"/>
  <c r="BB47" i="16"/>
  <c r="BB22" i="16"/>
  <c r="BB28" i="16"/>
  <c r="BD28" i="16" s="1"/>
  <c r="BB30" i="16"/>
  <c r="BB32" i="16"/>
  <c r="BD32" i="16" s="1"/>
  <c r="BB49" i="16"/>
  <c r="BB37" i="16"/>
  <c r="BB44" i="16"/>
  <c r="BD44" i="16" s="1"/>
  <c r="BB38" i="16"/>
  <c r="BB45" i="16"/>
  <c r="BB42" i="16"/>
  <c r="BB33" i="16"/>
  <c r="BB46" i="16"/>
  <c r="BB36" i="16"/>
  <c r="BD36" i="16" s="1"/>
  <c r="BB40" i="16"/>
  <c r="BD40" i="16" s="1"/>
  <c r="BB41" i="16"/>
  <c r="BB34" i="16"/>
  <c r="BB48" i="16"/>
  <c r="BB25" i="16"/>
  <c r="BB23" i="16"/>
  <c r="BB24" i="16"/>
  <c r="BD10" i="4"/>
  <c r="BB10" i="4"/>
  <c r="BA11" i="4" s="1"/>
  <c r="BF8" i="4"/>
  <c r="BE8" i="4"/>
  <c r="CK32" i="4"/>
  <c r="CK31" i="4"/>
  <c r="CK29" i="4"/>
  <c r="CK30" i="4" s="1"/>
  <c r="CK33" i="4"/>
  <c r="CU4" i="4"/>
  <c r="CV4" i="4"/>
  <c r="A38" i="2"/>
  <c r="B37" i="2"/>
  <c r="BX12" i="4"/>
  <c r="BZ11" i="4"/>
  <c r="BY11" i="4"/>
  <c r="CU5" i="4"/>
  <c r="CV5" i="4"/>
  <c r="CL32" i="4"/>
  <c r="CL29" i="4"/>
  <c r="CL30" i="4" s="1"/>
  <c r="CL31" i="4" s="1"/>
  <c r="CL33" i="4"/>
  <c r="CU3" i="4"/>
  <c r="CV3" i="4"/>
  <c r="BG9" i="4"/>
  <c r="BC9" i="4"/>
  <c r="CJ29" i="4"/>
  <c r="CJ30" i="4" s="1"/>
  <c r="CJ31" i="4" s="1"/>
  <c r="CJ32" i="4"/>
  <c r="CJ33" i="4"/>
  <c r="CA12" i="4" l="1"/>
  <c r="CI32" i="4"/>
  <c r="BD24" i="16"/>
  <c r="BD31" i="16"/>
  <c r="BD42" i="16"/>
  <c r="CI29" i="4"/>
  <c r="CI30" i="4" s="1"/>
  <c r="CI31" i="4"/>
  <c r="BD48" i="16"/>
  <c r="BD45" i="16"/>
  <c r="BD22" i="16"/>
  <c r="BD27" i="16"/>
  <c r="BD38" i="16"/>
  <c r="BK12" i="4"/>
  <c r="BL12" i="4" s="1"/>
  <c r="M60" i="4" s="1"/>
  <c r="M57" i="4"/>
  <c r="BJ12" i="4"/>
  <c r="CU6" i="4"/>
  <c r="BD37" i="16"/>
  <c r="BD46" i="16"/>
  <c r="BD23" i="16"/>
  <c r="BD30" i="16"/>
  <c r="BD51" i="16"/>
  <c r="BD50" i="16"/>
  <c r="BD25" i="16"/>
  <c r="BD29" i="16"/>
  <c r="BD34" i="16"/>
  <c r="BD47" i="16"/>
  <c r="BD26" i="16"/>
  <c r="BD41" i="16"/>
  <c r="BD43" i="16"/>
  <c r="BD33" i="16"/>
  <c r="BD39" i="16"/>
  <c r="N20" i="16"/>
  <c r="L48" i="16"/>
  <c r="L40" i="16"/>
  <c r="L32" i="16"/>
  <c r="L24" i="16"/>
  <c r="L45" i="16"/>
  <c r="L37" i="16"/>
  <c r="L29" i="16"/>
  <c r="L21" i="16"/>
  <c r="L50" i="16"/>
  <c r="L42" i="16"/>
  <c r="L34" i="16"/>
  <c r="L26" i="16"/>
  <c r="L46" i="16"/>
  <c r="L38" i="16"/>
  <c r="L30" i="16"/>
  <c r="L22" i="16"/>
  <c r="L49" i="16"/>
  <c r="L33" i="16"/>
  <c r="L43" i="16"/>
  <c r="L27" i="16"/>
  <c r="M20" i="16"/>
  <c r="L47" i="16"/>
  <c r="L31" i="16"/>
  <c r="L44" i="16"/>
  <c r="L28" i="16"/>
  <c r="L41" i="16"/>
  <c r="L25" i="16"/>
  <c r="L39" i="16"/>
  <c r="L23" i="16"/>
  <c r="L36" i="16"/>
  <c r="L35" i="16"/>
  <c r="BD49" i="16"/>
  <c r="BD35" i="16"/>
  <c r="BB11" i="4"/>
  <c r="BA12" i="4" s="1"/>
  <c r="BD11" i="4"/>
  <c r="BE9" i="4"/>
  <c r="BF9" i="4"/>
  <c r="CQ13" i="4"/>
  <c r="CU16" i="4"/>
  <c r="CQ11" i="4"/>
  <c r="CJ37" i="4"/>
  <c r="CJ34" i="4"/>
  <c r="CJ35" i="4" s="1"/>
  <c r="CJ36" i="4" s="1"/>
  <c r="CJ38" i="4"/>
  <c r="A39" i="2"/>
  <c r="B38" i="2"/>
  <c r="CK37" i="4"/>
  <c r="CK36" i="4"/>
  <c r="CK34" i="4"/>
  <c r="CK35" i="4" s="1"/>
  <c r="CK38" i="4"/>
  <c r="CL34" i="4"/>
  <c r="CL35" i="4" s="1"/>
  <c r="CL36" i="4" s="1"/>
  <c r="CL37" i="4"/>
  <c r="CL38" i="4"/>
  <c r="CI36" i="4"/>
  <c r="CI37" i="4"/>
  <c r="CI34" i="4"/>
  <c r="CI35" i="4" s="1"/>
  <c r="CI38" i="4"/>
  <c r="BG10" i="4"/>
  <c r="BC10" i="4"/>
  <c r="BX13" i="4"/>
  <c r="BY12" i="4"/>
  <c r="BZ12" i="4"/>
  <c r="CV16" i="4"/>
  <c r="CR12" i="4"/>
  <c r="CR13" i="4" s="1"/>
  <c r="CR11" i="4"/>
  <c r="CR14" i="4" s="1"/>
  <c r="CA13" i="4" l="1"/>
  <c r="N43" i="16"/>
  <c r="N35" i="16"/>
  <c r="N27" i="16"/>
  <c r="P20" i="16"/>
  <c r="N48" i="16"/>
  <c r="N40" i="16"/>
  <c r="N32" i="16"/>
  <c r="N24" i="16"/>
  <c r="N45" i="16"/>
  <c r="N37" i="16"/>
  <c r="N29" i="16"/>
  <c r="N21" i="16"/>
  <c r="N49" i="16"/>
  <c r="N41" i="16"/>
  <c r="N33" i="16"/>
  <c r="N25" i="16"/>
  <c r="N36" i="16"/>
  <c r="N46" i="16"/>
  <c r="N30" i="16"/>
  <c r="N50" i="16"/>
  <c r="N34" i="16"/>
  <c r="O20" i="16"/>
  <c r="N47" i="16"/>
  <c r="N31" i="16"/>
  <c r="N44" i="16"/>
  <c r="N28" i="16"/>
  <c r="N42" i="16"/>
  <c r="N26" i="16"/>
  <c r="N39" i="16"/>
  <c r="N22" i="16"/>
  <c r="N38" i="16"/>
  <c r="N23" i="16"/>
  <c r="BB12" i="4"/>
  <c r="BA13" i="4" s="1"/>
  <c r="BD12" i="4"/>
  <c r="CS11" i="4"/>
  <c r="CQ12" i="4"/>
  <c r="CT11" i="4"/>
  <c r="BK13" i="4"/>
  <c r="BJ13" i="4"/>
  <c r="M58" i="4"/>
  <c r="A40" i="2"/>
  <c r="B39" i="2"/>
  <c r="BF10" i="4"/>
  <c r="BE10" i="4"/>
  <c r="BC11" i="4"/>
  <c r="BG11" i="4"/>
  <c r="CL39" i="4"/>
  <c r="CL40" i="4" s="1"/>
  <c r="CL41" i="4" s="1"/>
  <c r="CL42" i="4"/>
  <c r="CL43" i="4"/>
  <c r="CJ42" i="4"/>
  <c r="CJ39" i="4"/>
  <c r="CJ40" i="4" s="1"/>
  <c r="CJ41" i="4" s="1"/>
  <c r="CJ43" i="4"/>
  <c r="CK41" i="4"/>
  <c r="CK42" i="4"/>
  <c r="CK39" i="4"/>
  <c r="CK40" i="4" s="1"/>
  <c r="CK43" i="4"/>
  <c r="CT13" i="4"/>
  <c r="CQ14" i="4"/>
  <c r="CS13" i="4"/>
  <c r="BZ13" i="4"/>
  <c r="BX14" i="4"/>
  <c r="BY13" i="4"/>
  <c r="CI42" i="4"/>
  <c r="CI41" i="4"/>
  <c r="CI39" i="4"/>
  <c r="CI40" i="4" s="1"/>
  <c r="CI43" i="4"/>
  <c r="CA14" i="4" l="1"/>
  <c r="P46" i="16"/>
  <c r="P38" i="16"/>
  <c r="P30" i="16"/>
  <c r="P22" i="16"/>
  <c r="P43" i="16"/>
  <c r="P35" i="16"/>
  <c r="P27" i="16"/>
  <c r="R20" i="16"/>
  <c r="P48" i="16"/>
  <c r="P40" i="16"/>
  <c r="P32" i="16"/>
  <c r="P24" i="16"/>
  <c r="P44" i="16"/>
  <c r="P36" i="16"/>
  <c r="P28" i="16"/>
  <c r="P39" i="16"/>
  <c r="P23" i="16"/>
  <c r="P49" i="16"/>
  <c r="P33" i="16"/>
  <c r="P37" i="16"/>
  <c r="P21" i="16"/>
  <c r="P50" i="16"/>
  <c r="P34" i="16"/>
  <c r="Q20" i="16"/>
  <c r="P47" i="16"/>
  <c r="P31" i="16"/>
  <c r="P45" i="16"/>
  <c r="P29" i="16"/>
  <c r="P42" i="16"/>
  <c r="P41" i="16"/>
  <c r="P25" i="16"/>
  <c r="P26" i="16"/>
  <c r="BD13" i="4"/>
  <c r="BB13" i="4"/>
  <c r="BA14" i="4" s="1"/>
  <c r="CI47" i="4"/>
  <c r="CI46" i="4"/>
  <c r="CI44" i="4"/>
  <c r="CI45" i="4" s="1"/>
  <c r="CI48" i="4"/>
  <c r="CT14" i="4"/>
  <c r="CS14" i="4"/>
  <c r="CJ44" i="4"/>
  <c r="CJ45" i="4" s="1"/>
  <c r="CJ46" i="4" s="1"/>
  <c r="CJ47" i="4"/>
  <c r="CJ48" i="4"/>
  <c r="BE11" i="4"/>
  <c r="BF11" i="4"/>
  <c r="CS12" i="4"/>
  <c r="CT12" i="4"/>
  <c r="BG12" i="4"/>
  <c r="BC12" i="4"/>
  <c r="A41" i="2"/>
  <c r="B40" i="2"/>
  <c r="BX15" i="4"/>
  <c r="BZ14" i="4"/>
  <c r="BY14" i="4"/>
  <c r="CV11" i="4"/>
  <c r="CU11" i="4"/>
  <c r="CL47" i="4"/>
  <c r="CL44" i="4"/>
  <c r="CL45" i="4" s="1"/>
  <c r="CL46" i="4" s="1"/>
  <c r="CL48" i="4"/>
  <c r="CK46" i="4"/>
  <c r="CK47" i="4"/>
  <c r="CK44" i="4"/>
  <c r="CK45" i="4" s="1"/>
  <c r="CK48" i="4"/>
  <c r="CV13" i="4"/>
  <c r="CU13" i="4"/>
  <c r="CA15" i="4" l="1"/>
  <c r="R49" i="16"/>
  <c r="R41" i="16"/>
  <c r="R33" i="16"/>
  <c r="R25" i="16"/>
  <c r="R46" i="16"/>
  <c r="R38" i="16"/>
  <c r="R30" i="16"/>
  <c r="R22" i="16"/>
  <c r="R43" i="16"/>
  <c r="R35" i="16"/>
  <c r="R27" i="16"/>
  <c r="R47" i="16"/>
  <c r="R39" i="16"/>
  <c r="R31" i="16"/>
  <c r="R23" i="16"/>
  <c r="R42" i="16"/>
  <c r="R26" i="16"/>
  <c r="R36" i="16"/>
  <c r="R40" i="16"/>
  <c r="R24" i="16"/>
  <c r="R37" i="16"/>
  <c r="R21" i="16"/>
  <c r="R34" i="16"/>
  <c r="T20" i="16"/>
  <c r="R48" i="16"/>
  <c r="R32" i="16"/>
  <c r="S20" i="16"/>
  <c r="R50" i="16"/>
  <c r="R29" i="16"/>
  <c r="R28" i="16"/>
  <c r="R45" i="16"/>
  <c r="R44" i="16"/>
  <c r="BZ15" i="4"/>
  <c r="BX16" i="4"/>
  <c r="BY15" i="4"/>
  <c r="CU12" i="4"/>
  <c r="CV12" i="4"/>
  <c r="CI51" i="4"/>
  <c r="CI52" i="4"/>
  <c r="CI49" i="4"/>
  <c r="CI50" i="4" s="1"/>
  <c r="CI53" i="4"/>
  <c r="CL49" i="4"/>
  <c r="CL50" i="4" s="1"/>
  <c r="CL51" i="4" s="1"/>
  <c r="CL52" i="4"/>
  <c r="CL53" i="4"/>
  <c r="CU15" i="4"/>
  <c r="CK51" i="4"/>
  <c r="CK52" i="4"/>
  <c r="CK49" i="4"/>
  <c r="CK50" i="4" s="1"/>
  <c r="CK53" i="4"/>
  <c r="CV15" i="4"/>
  <c r="A42" i="2"/>
  <c r="B41" i="2"/>
  <c r="CJ52" i="4"/>
  <c r="CJ49" i="4"/>
  <c r="CJ50" i="4" s="1"/>
  <c r="CJ51" i="4" s="1"/>
  <c r="CJ53" i="4"/>
  <c r="BE12" i="4"/>
  <c r="BF12" i="4"/>
  <c r="CU14" i="4"/>
  <c r="CV14" i="4"/>
  <c r="BC13" i="4"/>
  <c r="BG13" i="4"/>
  <c r="BB14" i="4"/>
  <c r="BA15" i="4" s="1"/>
  <c r="BD14" i="4"/>
  <c r="CA16" i="4" l="1"/>
  <c r="T44" i="16"/>
  <c r="T36" i="16"/>
  <c r="T28" i="16"/>
  <c r="T49" i="16"/>
  <c r="T41" i="16"/>
  <c r="T33" i="16"/>
  <c r="T25" i="16"/>
  <c r="T46" i="16"/>
  <c r="T38" i="16"/>
  <c r="T30" i="16"/>
  <c r="T22" i="16"/>
  <c r="T50" i="16"/>
  <c r="T42" i="16"/>
  <c r="T34" i="16"/>
  <c r="T26" i="16"/>
  <c r="U20" i="16"/>
  <c r="T45" i="16"/>
  <c r="T29" i="16"/>
  <c r="T39" i="16"/>
  <c r="T23" i="16"/>
  <c r="T43" i="16"/>
  <c r="T27" i="16"/>
  <c r="T40" i="16"/>
  <c r="T24" i="16"/>
  <c r="T37" i="16"/>
  <c r="T35" i="16"/>
  <c r="T48" i="16"/>
  <c r="T47" i="16"/>
  <c r="V20" i="16"/>
  <c r="T31" i="16"/>
  <c r="T21" i="16"/>
  <c r="T32" i="16"/>
  <c r="BB15" i="4"/>
  <c r="BA16" i="4" s="1"/>
  <c r="BD15" i="4"/>
  <c r="BC14" i="4"/>
  <c r="BG14" i="4"/>
  <c r="CJ57" i="4"/>
  <c r="CJ54" i="4"/>
  <c r="CJ55" i="4" s="1"/>
  <c r="CJ56" i="4" s="1"/>
  <c r="CJ58" i="4"/>
  <c r="CL57" i="4"/>
  <c r="CL54" i="4"/>
  <c r="CL55" i="4" s="1"/>
  <c r="CL56" i="4" s="1"/>
  <c r="CL58" i="4"/>
  <c r="BX17" i="4"/>
  <c r="BZ16" i="4"/>
  <c r="BY16" i="4"/>
  <c r="BE13" i="4"/>
  <c r="BF13" i="4"/>
  <c r="CK57" i="4"/>
  <c r="CK56" i="4"/>
  <c r="CK54" i="4"/>
  <c r="CK55" i="4" s="1"/>
  <c r="CK58" i="4"/>
  <c r="CI57" i="4"/>
  <c r="CI56" i="4"/>
  <c r="CI54" i="4"/>
  <c r="CI55" i="4" s="1"/>
  <c r="CI58" i="4"/>
  <c r="A43" i="2"/>
  <c r="B42" i="2"/>
  <c r="CA17" i="4" l="1"/>
  <c r="V47" i="16"/>
  <c r="V39" i="16"/>
  <c r="V31" i="16"/>
  <c r="V23" i="16"/>
  <c r="V44" i="16"/>
  <c r="V36" i="16"/>
  <c r="V28" i="16"/>
  <c r="V49" i="16"/>
  <c r="V41" i="16"/>
  <c r="V33" i="16"/>
  <c r="V25" i="16"/>
  <c r="V45" i="16"/>
  <c r="V37" i="16"/>
  <c r="V29" i="16"/>
  <c r="V21" i="16"/>
  <c r="X20" i="16"/>
  <c r="V48" i="16"/>
  <c r="V32" i="16"/>
  <c r="V42" i="16"/>
  <c r="V26" i="16"/>
  <c r="V46" i="16"/>
  <c r="V30" i="16"/>
  <c r="V43" i="16"/>
  <c r="V27" i="16"/>
  <c r="V40" i="16"/>
  <c r="V38" i="16"/>
  <c r="V22" i="16"/>
  <c r="V34" i="16"/>
  <c r="V50" i="16"/>
  <c r="V24" i="16"/>
  <c r="V35" i="16"/>
  <c r="W20" i="16"/>
  <c r="BB16" i="4"/>
  <c r="BA17" i="4" s="1"/>
  <c r="BD16" i="4"/>
  <c r="CJ62" i="4"/>
  <c r="CJ59" i="4"/>
  <c r="CJ60" i="4" s="1"/>
  <c r="CJ61" i="4" s="1"/>
  <c r="CJ63" i="4"/>
  <c r="BF14" i="4"/>
  <c r="BE14" i="4"/>
  <c r="BZ17" i="4"/>
  <c r="CA18" i="4" s="1"/>
  <c r="BY17" i="4"/>
  <c r="BX18" i="4"/>
  <c r="BC15" i="4"/>
  <c r="BG15" i="4"/>
  <c r="A44" i="2"/>
  <c r="B43" i="2"/>
  <c r="CI62" i="4"/>
  <c r="CI61" i="4"/>
  <c r="CI59" i="4"/>
  <c r="CI60" i="4" s="1"/>
  <c r="CI63" i="4"/>
  <c r="CK62" i="4"/>
  <c r="CK61" i="4"/>
  <c r="CK59" i="4"/>
  <c r="CK60" i="4" s="1"/>
  <c r="CK63" i="4"/>
  <c r="CL62" i="4"/>
  <c r="CL59" i="4"/>
  <c r="CL60" i="4" s="1"/>
  <c r="CL61" i="4" s="1"/>
  <c r="CL63" i="4"/>
  <c r="X50" i="16" l="1"/>
  <c r="X42" i="16"/>
  <c r="X34" i="16"/>
  <c r="X26" i="16"/>
  <c r="Y20" i="16"/>
  <c r="X47" i="16"/>
  <c r="X39" i="16"/>
  <c r="X31" i="16"/>
  <c r="X23" i="16"/>
  <c r="X44" i="16"/>
  <c r="X36" i="16"/>
  <c r="X28" i="16"/>
  <c r="Z20" i="16"/>
  <c r="X48" i="16"/>
  <c r="X40" i="16"/>
  <c r="X32" i="16"/>
  <c r="X24" i="16"/>
  <c r="X35" i="16"/>
  <c r="X45" i="16"/>
  <c r="X29" i="16"/>
  <c r="X49" i="16"/>
  <c r="X33" i="16"/>
  <c r="X46" i="16"/>
  <c r="X30" i="16"/>
  <c r="X43" i="16"/>
  <c r="X27" i="16"/>
  <c r="X41" i="16"/>
  <c r="X25" i="16"/>
  <c r="X21" i="16"/>
  <c r="X37" i="16"/>
  <c r="X38" i="16"/>
  <c r="X22" i="16"/>
  <c r="CL67" i="4"/>
  <c r="CL64" i="4"/>
  <c r="CL65" i="4" s="1"/>
  <c r="CL66" i="4" s="1"/>
  <c r="CL68" i="4"/>
  <c r="CI66" i="4"/>
  <c r="CI67" i="4"/>
  <c r="CI64" i="4"/>
  <c r="CI65" i="4" s="1"/>
  <c r="CI68" i="4"/>
  <c r="BF15" i="4"/>
  <c r="BE15" i="4"/>
  <c r="CK67" i="4"/>
  <c r="CK66" i="4"/>
  <c r="CK64" i="4"/>
  <c r="CK65" i="4" s="1"/>
  <c r="CK68" i="4"/>
  <c r="BX19" i="4"/>
  <c r="BZ18" i="4"/>
  <c r="CA19" i="4" s="1"/>
  <c r="BY18" i="4"/>
  <c r="BB17" i="4"/>
  <c r="BA18" i="4" s="1"/>
  <c r="BD17" i="4"/>
  <c r="BC16" i="4"/>
  <c r="BG16" i="4"/>
  <c r="B44" i="2"/>
  <c r="A45" i="2"/>
  <c r="CJ67" i="4"/>
  <c r="CJ64" i="4"/>
  <c r="CJ65" i="4" s="1"/>
  <c r="CJ66" i="4" s="1"/>
  <c r="CJ68" i="4"/>
  <c r="Z45" i="16" l="1"/>
  <c r="Z37" i="16"/>
  <c r="Z29" i="16"/>
  <c r="Z21" i="16"/>
  <c r="AA20" i="16"/>
  <c r="Z50" i="16"/>
  <c r="Z42" i="16"/>
  <c r="Z34" i="16"/>
  <c r="Z26" i="16"/>
  <c r="Z47" i="16"/>
  <c r="Z39" i="16"/>
  <c r="Z31" i="16"/>
  <c r="Z23" i="16"/>
  <c r="Z43" i="16"/>
  <c r="Z35" i="16"/>
  <c r="Z27" i="16"/>
  <c r="Z38" i="16"/>
  <c r="Z22" i="16"/>
  <c r="AB20" i="16"/>
  <c r="Z48" i="16"/>
  <c r="Z32" i="16"/>
  <c r="Z36" i="16"/>
  <c r="Z49" i="16"/>
  <c r="Z33" i="16"/>
  <c r="Z46" i="16"/>
  <c r="Z30" i="16"/>
  <c r="Z44" i="16"/>
  <c r="Z28" i="16"/>
  <c r="Z25" i="16"/>
  <c r="Z41" i="16"/>
  <c r="Z24" i="16"/>
  <c r="Z40" i="16"/>
  <c r="CK71" i="4"/>
  <c r="CK72" i="4"/>
  <c r="CK69" i="4"/>
  <c r="CK70" i="4" s="1"/>
  <c r="CK73" i="4"/>
  <c r="BB18" i="4"/>
  <c r="BA19" i="4" s="1"/>
  <c r="BD18" i="4"/>
  <c r="A46" i="2"/>
  <c r="B45" i="2"/>
  <c r="CI72" i="4"/>
  <c r="CI71" i="4"/>
  <c r="CI69" i="4"/>
  <c r="CI70" i="4" s="1"/>
  <c r="CI73" i="4"/>
  <c r="BG17" i="4"/>
  <c r="BC17" i="4"/>
  <c r="CJ72" i="4"/>
  <c r="CJ69" i="4"/>
  <c r="CJ70" i="4" s="1"/>
  <c r="CJ71" i="4" s="1"/>
  <c r="CJ73" i="4"/>
  <c r="BY19" i="4"/>
  <c r="BX20" i="4"/>
  <c r="BZ19" i="4"/>
  <c r="CA20" i="4" s="1"/>
  <c r="CL72" i="4"/>
  <c r="CL69" i="4"/>
  <c r="CL70" i="4" s="1"/>
  <c r="CL71" i="4" s="1"/>
  <c r="CL73" i="4"/>
  <c r="BE16" i="4"/>
  <c r="BF16" i="4"/>
  <c r="AD20" i="16" l="1"/>
  <c r="AB48" i="16"/>
  <c r="AB40" i="16"/>
  <c r="AB32" i="16"/>
  <c r="AB24" i="16"/>
  <c r="AB45" i="16"/>
  <c r="AB37" i="16"/>
  <c r="AB29" i="16"/>
  <c r="AB21" i="16"/>
  <c r="AB50" i="16"/>
  <c r="AB42" i="16"/>
  <c r="AB34" i="16"/>
  <c r="AB26" i="16"/>
  <c r="AB46" i="16"/>
  <c r="AB38" i="16"/>
  <c r="AB30" i="16"/>
  <c r="AB22" i="16"/>
  <c r="AB41" i="16"/>
  <c r="AB25" i="16"/>
  <c r="AB35" i="16"/>
  <c r="AB39" i="16"/>
  <c r="AB23" i="16"/>
  <c r="AB36" i="16"/>
  <c r="AB49" i="16"/>
  <c r="AB33" i="16"/>
  <c r="AB47" i="16"/>
  <c r="AB31" i="16"/>
  <c r="AB28" i="16"/>
  <c r="AB27" i="16"/>
  <c r="AC20" i="16"/>
  <c r="AB43" i="16"/>
  <c r="AB44" i="16"/>
  <c r="CI77" i="4"/>
  <c r="CI76" i="4"/>
  <c r="CI74" i="4"/>
  <c r="CI75" i="4" s="1"/>
  <c r="CI78" i="4"/>
  <c r="CK76" i="4"/>
  <c r="CK77" i="4"/>
  <c r="CK74" i="4"/>
  <c r="CK75" i="4" s="1"/>
  <c r="CK78" i="4"/>
  <c r="BX21" i="4"/>
  <c r="BZ20" i="4"/>
  <c r="CA21" i="4" s="1"/>
  <c r="BY20" i="4"/>
  <c r="CJ77" i="4"/>
  <c r="CJ74" i="4"/>
  <c r="CJ75" i="4" s="1"/>
  <c r="CJ76" i="4" s="1"/>
  <c r="CJ78" i="4"/>
  <c r="BB19" i="4"/>
  <c r="BA20" i="4" s="1"/>
  <c r="BD19" i="4"/>
  <c r="BC18" i="4"/>
  <c r="BG18" i="4"/>
  <c r="CL74" i="4"/>
  <c r="CL75" i="4" s="1"/>
  <c r="CL76" i="4" s="1"/>
  <c r="CL77" i="4"/>
  <c r="CL78" i="4"/>
  <c r="BE17" i="4"/>
  <c r="BF17" i="4"/>
  <c r="A47" i="2"/>
  <c r="B46" i="2"/>
  <c r="AD43" i="16" l="1"/>
  <c r="AD35" i="16"/>
  <c r="AD27" i="16"/>
  <c r="AF20" i="16"/>
  <c r="AD48" i="16"/>
  <c r="AD40" i="16"/>
  <c r="AD32" i="16"/>
  <c r="AD24" i="16"/>
  <c r="AD45" i="16"/>
  <c r="AD37" i="16"/>
  <c r="AD29" i="16"/>
  <c r="AD21" i="16"/>
  <c r="AD49" i="16"/>
  <c r="AD41" i="16"/>
  <c r="AD33" i="16"/>
  <c r="AD25" i="16"/>
  <c r="AD44" i="16"/>
  <c r="AD28" i="16"/>
  <c r="AD38" i="16"/>
  <c r="AD22" i="16"/>
  <c r="AD42" i="16"/>
  <c r="AD26" i="16"/>
  <c r="AD39" i="16"/>
  <c r="AD23" i="16"/>
  <c r="AD36" i="16"/>
  <c r="AD50" i="16"/>
  <c r="AD34" i="16"/>
  <c r="AD31" i="16"/>
  <c r="AE20" i="16"/>
  <c r="AD30" i="16"/>
  <c r="AD47" i="16"/>
  <c r="AD46" i="16"/>
  <c r="B47" i="2"/>
  <c r="A48" i="2"/>
  <c r="BE18" i="4"/>
  <c r="BF18" i="4"/>
  <c r="BD20" i="4"/>
  <c r="BB20" i="4"/>
  <c r="BA21" i="4" s="1"/>
  <c r="CI82" i="4"/>
  <c r="CI81" i="4"/>
  <c r="CI79" i="4"/>
  <c r="CI80" i="4" s="1"/>
  <c r="CI83" i="4"/>
  <c r="CL82" i="4"/>
  <c r="CL79" i="4"/>
  <c r="CL80" i="4" s="1"/>
  <c r="CL81" i="4" s="1"/>
  <c r="CL83" i="4"/>
  <c r="CJ79" i="4"/>
  <c r="CJ80" i="4" s="1"/>
  <c r="CJ81" i="4" s="1"/>
  <c r="CJ82" i="4"/>
  <c r="CJ83" i="4"/>
  <c r="BC19" i="4"/>
  <c r="BG19" i="4"/>
  <c r="BX22" i="4"/>
  <c r="BY21" i="4"/>
  <c r="BZ21" i="4"/>
  <c r="CA22" i="4" s="1"/>
  <c r="CK82" i="4"/>
  <c r="CK81" i="4"/>
  <c r="CK79" i="4"/>
  <c r="CK80" i="4" s="1"/>
  <c r="CK83" i="4"/>
  <c r="AF46" i="16" l="1"/>
  <c r="AF38" i="16"/>
  <c r="AF30" i="16"/>
  <c r="AF22" i="16"/>
  <c r="AF43" i="16"/>
  <c r="AF35" i="16"/>
  <c r="AF27" i="16"/>
  <c r="AF48" i="16"/>
  <c r="AF40" i="16"/>
  <c r="AF32" i="16"/>
  <c r="AF24" i="16"/>
  <c r="AF44" i="16"/>
  <c r="AF36" i="16"/>
  <c r="AF28" i="16"/>
  <c r="AF47" i="16"/>
  <c r="AF31" i="16"/>
  <c r="AF41" i="16"/>
  <c r="AF25" i="16"/>
  <c r="AF45" i="16"/>
  <c r="AF29" i="16"/>
  <c r="AF42" i="16"/>
  <c r="AF26" i="16"/>
  <c r="AF39" i="16"/>
  <c r="AF37" i="16"/>
  <c r="AF21" i="16"/>
  <c r="AF34" i="16"/>
  <c r="AF23" i="16"/>
  <c r="AF33" i="16"/>
  <c r="AG20" i="16"/>
  <c r="AF49" i="16"/>
  <c r="AF50" i="16"/>
  <c r="BD21" i="4"/>
  <c r="BB21" i="4"/>
  <c r="BA22" i="4" s="1"/>
  <c r="CK86" i="4"/>
  <c r="CK87" i="4"/>
  <c r="CK84" i="4"/>
  <c r="CK85" i="4" s="1"/>
  <c r="CK88" i="4"/>
  <c r="BF19" i="4"/>
  <c r="BE19" i="4"/>
  <c r="CI87" i="4"/>
  <c r="CI86" i="4"/>
  <c r="CI84" i="4"/>
  <c r="CI85" i="4" s="1"/>
  <c r="CI88" i="4"/>
  <c r="CJ87" i="4"/>
  <c r="CJ84" i="4"/>
  <c r="CJ85" i="4" s="1"/>
  <c r="CJ86" i="4" s="1"/>
  <c r="CJ88" i="4"/>
  <c r="A49" i="2"/>
  <c r="B48" i="2"/>
  <c r="CL84" i="4"/>
  <c r="CL85" i="4" s="1"/>
  <c r="CL86" i="4" s="1"/>
  <c r="CL87" i="4"/>
  <c r="CL88" i="4"/>
  <c r="BC20" i="4"/>
  <c r="BG20" i="4"/>
  <c r="BZ22" i="4"/>
  <c r="CA23" i="4" s="1"/>
  <c r="BY22" i="4"/>
  <c r="BX23" i="4"/>
  <c r="BB22" i="4" l="1"/>
  <c r="BA23" i="4" s="1"/>
  <c r="BD22" i="4"/>
  <c r="CL89" i="4"/>
  <c r="CL90" i="4" s="1"/>
  <c r="CL91" i="4" s="1"/>
  <c r="CL92" i="4"/>
  <c r="CL93" i="4"/>
  <c r="CI91" i="4"/>
  <c r="CI92" i="4"/>
  <c r="CI89" i="4"/>
  <c r="CI90" i="4" s="1"/>
  <c r="CI93" i="4"/>
  <c r="A50" i="2"/>
  <c r="B49" i="2"/>
  <c r="BC21" i="4"/>
  <c r="BG21" i="4"/>
  <c r="CJ92" i="4"/>
  <c r="CJ89" i="4"/>
  <c r="CJ90" i="4" s="1"/>
  <c r="CJ91" i="4" s="1"/>
  <c r="CJ93" i="4"/>
  <c r="BY23" i="4"/>
  <c r="BZ23" i="4"/>
  <c r="CA24" i="4" s="1"/>
  <c r="BX24" i="4"/>
  <c r="BE20" i="4"/>
  <c r="BF20" i="4"/>
  <c r="CK92" i="4"/>
  <c r="CK91" i="4"/>
  <c r="CK89" i="4"/>
  <c r="CK90" i="4" s="1"/>
  <c r="CK93" i="4"/>
  <c r="BX25" i="4" l="1"/>
  <c r="BY24" i="4"/>
  <c r="BZ24" i="4"/>
  <c r="CA25" i="4" s="1"/>
  <c r="CK96" i="4"/>
  <c r="CK97" i="4"/>
  <c r="CK94" i="4"/>
  <c r="CK95" i="4" s="1"/>
  <c r="CK98" i="4"/>
  <c r="B50" i="2"/>
  <c r="A51" i="2"/>
  <c r="CL97" i="4"/>
  <c r="CL94" i="4"/>
  <c r="CL95" i="4" s="1"/>
  <c r="CL96" i="4" s="1"/>
  <c r="CL98" i="4"/>
  <c r="CI97" i="4"/>
  <c r="CI96" i="4"/>
  <c r="CI94" i="4"/>
  <c r="CI95" i="4" s="1"/>
  <c r="CI98" i="4"/>
  <c r="BB23" i="4"/>
  <c r="BA24" i="4" s="1"/>
  <c r="BD23" i="4"/>
  <c r="CJ94" i="4"/>
  <c r="CJ95" i="4" s="1"/>
  <c r="CJ96" i="4" s="1"/>
  <c r="CJ97" i="4"/>
  <c r="CJ98" i="4"/>
  <c r="BG22" i="4"/>
  <c r="BC22" i="4"/>
  <c r="BE21" i="4"/>
  <c r="BF21" i="4"/>
  <c r="A52" i="2" l="1"/>
  <c r="B51" i="2"/>
  <c r="CL99" i="4"/>
  <c r="CL100" i="4" s="1"/>
  <c r="CL101" i="4" s="1"/>
  <c r="CL102" i="4"/>
  <c r="CL103" i="4"/>
  <c r="BD24" i="4"/>
  <c r="BB24" i="4"/>
  <c r="BA25" i="4" s="1"/>
  <c r="BC23" i="4"/>
  <c r="BG23" i="4"/>
  <c r="CI102" i="4"/>
  <c r="CI101" i="4"/>
  <c r="CI99" i="4"/>
  <c r="CI100" i="4" s="1"/>
  <c r="CI103" i="4"/>
  <c r="BY25" i="4"/>
  <c r="BX26" i="4"/>
  <c r="BZ25" i="4"/>
  <c r="CA26" i="4" s="1"/>
  <c r="BE22" i="4"/>
  <c r="BF22" i="4"/>
  <c r="CJ99" i="4"/>
  <c r="CJ100" i="4" s="1"/>
  <c r="CJ101" i="4" s="1"/>
  <c r="CJ102" i="4"/>
  <c r="CJ103" i="4"/>
  <c r="CK102" i="4"/>
  <c r="CK101" i="4"/>
  <c r="CK99" i="4"/>
  <c r="CK100" i="4" s="1"/>
  <c r="CK103" i="4"/>
  <c r="CK106" i="4" l="1"/>
  <c r="CK107" i="4"/>
  <c r="CK104" i="4"/>
  <c r="CK105" i="4" s="1"/>
  <c r="CK108" i="4"/>
  <c r="BE23" i="4"/>
  <c r="BF23" i="4"/>
  <c r="CI106" i="4"/>
  <c r="CI107" i="4"/>
  <c r="CI104" i="4"/>
  <c r="CI105" i="4" s="1"/>
  <c r="CI108" i="4"/>
  <c r="CL104" i="4"/>
  <c r="CL105" i="4" s="1"/>
  <c r="CL106" i="4" s="1"/>
  <c r="CL107" i="4"/>
  <c r="CL108" i="4"/>
  <c r="BZ26" i="4"/>
  <c r="CA27" i="4" s="1"/>
  <c r="BX27" i="4"/>
  <c r="BY26" i="4"/>
  <c r="A53" i="2"/>
  <c r="B52" i="2"/>
  <c r="BB25" i="4"/>
  <c r="BA26" i="4" s="1"/>
  <c r="BD25" i="4"/>
  <c r="CJ104" i="4"/>
  <c r="CJ105" i="4" s="1"/>
  <c r="CJ106" i="4" s="1"/>
  <c r="CJ107" i="4"/>
  <c r="CJ108" i="4"/>
  <c r="BC24" i="4"/>
  <c r="BG24" i="4"/>
  <c r="A54" i="2" l="1"/>
  <c r="B53" i="2"/>
  <c r="CJ109" i="4"/>
  <c r="CJ110" i="4" s="1"/>
  <c r="CJ111" i="4" s="1"/>
  <c r="CJ112" i="4"/>
  <c r="CJ113" i="4"/>
  <c r="CI112" i="4"/>
  <c r="CI111" i="4"/>
  <c r="CI109" i="4"/>
  <c r="CI110" i="4" s="1"/>
  <c r="CI113" i="4"/>
  <c r="BD26" i="4"/>
  <c r="BB26" i="4"/>
  <c r="BA27" i="4" s="1"/>
  <c r="BC25" i="4"/>
  <c r="BG25" i="4"/>
  <c r="BE24" i="4"/>
  <c r="BF24" i="4"/>
  <c r="CL112" i="4"/>
  <c r="CL109" i="4"/>
  <c r="CL110" i="4" s="1"/>
  <c r="CL111" i="4" s="1"/>
  <c r="CL113" i="4"/>
  <c r="CK111" i="4"/>
  <c r="CK112" i="4"/>
  <c r="CK109" i="4"/>
  <c r="CK110" i="4" s="1"/>
  <c r="CK113" i="4"/>
  <c r="BY27" i="4"/>
  <c r="BZ27" i="4"/>
  <c r="CA28" i="4" s="1"/>
  <c r="BX28" i="4"/>
  <c r="BB27" i="4" l="1"/>
  <c r="BA28" i="4" s="1"/>
  <c r="BD27" i="4"/>
  <c r="CL117" i="4"/>
  <c r="CL114" i="4"/>
  <c r="CL115" i="4" s="1"/>
  <c r="CL116" i="4" s="1"/>
  <c r="CL118" i="4"/>
  <c r="CJ114" i="4"/>
  <c r="CJ115" i="4" s="1"/>
  <c r="CJ116" i="4" s="1"/>
  <c r="CJ117" i="4"/>
  <c r="CJ118" i="4"/>
  <c r="CK117" i="4"/>
  <c r="CK116" i="4"/>
  <c r="CK114" i="4"/>
  <c r="CK115" i="4" s="1"/>
  <c r="CK118" i="4"/>
  <c r="CI116" i="4"/>
  <c r="CI117" i="4"/>
  <c r="CI114" i="4"/>
  <c r="CI115" i="4" s="1"/>
  <c r="CI118" i="4"/>
  <c r="A55" i="2"/>
  <c r="B54" i="2"/>
  <c r="BE25" i="4"/>
  <c r="BF25" i="4"/>
  <c r="BZ28" i="4"/>
  <c r="CA29" i="4" s="1"/>
  <c r="BX29" i="4"/>
  <c r="BY28" i="4"/>
  <c r="BC26" i="4"/>
  <c r="BG26" i="4"/>
  <c r="BG27" i="4" l="1"/>
  <c r="BC27" i="4"/>
  <c r="A56" i="2"/>
  <c r="B55" i="2"/>
  <c r="CL119" i="4"/>
  <c r="CL120" i="4" s="1"/>
  <c r="CL121" i="4" s="1"/>
  <c r="CL122" i="4"/>
  <c r="CL123" i="4"/>
  <c r="BF26" i="4"/>
  <c r="BE26" i="4"/>
  <c r="CI122" i="4"/>
  <c r="CI121" i="4"/>
  <c r="CI119" i="4"/>
  <c r="CI120" i="4" s="1"/>
  <c r="CI123" i="4"/>
  <c r="BZ29" i="4"/>
  <c r="CA30" i="4" s="1"/>
  <c r="BY29" i="4"/>
  <c r="BX30" i="4"/>
  <c r="BD28" i="4"/>
  <c r="BB28" i="4"/>
  <c r="BA29" i="4" s="1"/>
  <c r="CK121" i="4"/>
  <c r="CK122" i="4"/>
  <c r="CK119" i="4"/>
  <c r="CK120" i="4" s="1"/>
  <c r="CK123" i="4"/>
  <c r="CJ122" i="4"/>
  <c r="CJ119" i="4"/>
  <c r="CJ120" i="4" s="1"/>
  <c r="CJ121" i="4" s="1"/>
  <c r="CJ123" i="4"/>
  <c r="CK127" i="4" l="1"/>
  <c r="CK126" i="4"/>
  <c r="CK124" i="4"/>
  <c r="CK125" i="4" s="1"/>
  <c r="CK128" i="4"/>
  <c r="BX31" i="4"/>
  <c r="BY30" i="4"/>
  <c r="BZ30" i="4"/>
  <c r="CA31" i="4" s="1"/>
  <c r="BC28" i="4"/>
  <c r="BG28" i="4"/>
  <c r="BE27" i="4"/>
  <c r="BF27" i="4"/>
  <c r="CI126" i="4"/>
  <c r="CI127" i="4"/>
  <c r="CI124" i="4"/>
  <c r="CI125" i="4" s="1"/>
  <c r="CI128" i="4"/>
  <c r="A57" i="2"/>
  <c r="B56" i="2"/>
  <c r="BD29" i="4"/>
  <c r="BB29" i="4"/>
  <c r="BA30" i="4" s="1"/>
  <c r="CJ127" i="4"/>
  <c r="CJ124" i="4"/>
  <c r="CJ125" i="4" s="1"/>
  <c r="CJ126" i="4" s="1"/>
  <c r="CJ128" i="4"/>
  <c r="CL124" i="4"/>
  <c r="CL125" i="4" s="1"/>
  <c r="CL126" i="4" s="1"/>
  <c r="CL127" i="4"/>
  <c r="CL128" i="4"/>
  <c r="CK131" i="4" l="1"/>
  <c r="CK132" i="4"/>
  <c r="CK129" i="4"/>
  <c r="CK130" i="4" s="1"/>
  <c r="CK133" i="4"/>
  <c r="CL132" i="4"/>
  <c r="CL129" i="4"/>
  <c r="CL130" i="4" s="1"/>
  <c r="CL131" i="4" s="1"/>
  <c r="CL133" i="4"/>
  <c r="BD30" i="4"/>
  <c r="BB30" i="4"/>
  <c r="BA31" i="4" s="1"/>
  <c r="BY31" i="4"/>
  <c r="BX32" i="4"/>
  <c r="BZ31" i="4"/>
  <c r="CA32" i="4" s="1"/>
  <c r="BC29" i="4"/>
  <c r="BG29" i="4"/>
  <c r="CJ132" i="4"/>
  <c r="CJ129" i="4"/>
  <c r="CJ130" i="4" s="1"/>
  <c r="CJ131" i="4" s="1"/>
  <c r="CJ133" i="4"/>
  <c r="CI132" i="4"/>
  <c r="CI131" i="4"/>
  <c r="CI129" i="4"/>
  <c r="CI130" i="4" s="1"/>
  <c r="CI133" i="4"/>
  <c r="A58" i="2"/>
  <c r="B57" i="2"/>
  <c r="BF28" i="4"/>
  <c r="BE28" i="4"/>
  <c r="BD31" i="4" l="1"/>
  <c r="BB31" i="4"/>
  <c r="BA32" i="4" s="1"/>
  <c r="BE29" i="4"/>
  <c r="BF29" i="4"/>
  <c r="BX33" i="4"/>
  <c r="BY32" i="4"/>
  <c r="BZ32" i="4"/>
  <c r="CA33" i="4" s="1"/>
  <c r="A59" i="2"/>
  <c r="B58" i="2"/>
  <c r="CL134" i="4"/>
  <c r="CL135" i="4" s="1"/>
  <c r="CL136" i="4" s="1"/>
  <c r="CL137" i="4"/>
  <c r="CL138" i="4"/>
  <c r="CJ137" i="4"/>
  <c r="CJ134" i="4"/>
  <c r="CJ135" i="4" s="1"/>
  <c r="CJ136" i="4" s="1"/>
  <c r="CJ138" i="4"/>
  <c r="CK137" i="4"/>
  <c r="CK136" i="4"/>
  <c r="CK134" i="4"/>
  <c r="CK135" i="4" s="1"/>
  <c r="CK138" i="4"/>
  <c r="CI137" i="4"/>
  <c r="CI136" i="4"/>
  <c r="CI134" i="4"/>
  <c r="CI135" i="4" s="1"/>
  <c r="CI138" i="4"/>
  <c r="BG30" i="4"/>
  <c r="BC30" i="4"/>
  <c r="CI142" i="4" l="1"/>
  <c r="CI141" i="4"/>
  <c r="CI139" i="4"/>
  <c r="CI140" i="4" s="1"/>
  <c r="CI143" i="4"/>
  <c r="BB32" i="4"/>
  <c r="BA33" i="4" s="1"/>
  <c r="BD32" i="4"/>
  <c r="A60" i="2"/>
  <c r="B59" i="2"/>
  <c r="BF30" i="4"/>
  <c r="BE30" i="4"/>
  <c r="CK142" i="4"/>
  <c r="CK141" i="4"/>
  <c r="CK139" i="4"/>
  <c r="CK140" i="4" s="1"/>
  <c r="CK143" i="4"/>
  <c r="BZ33" i="4"/>
  <c r="CA34" i="4" s="1"/>
  <c r="BX34" i="4"/>
  <c r="BY33" i="4"/>
  <c r="BC31" i="4"/>
  <c r="BG31" i="4"/>
  <c r="CJ142" i="4"/>
  <c r="CJ139" i="4"/>
  <c r="CJ140" i="4" s="1"/>
  <c r="CJ141" i="4" s="1"/>
  <c r="CJ143" i="4"/>
  <c r="CL142" i="4"/>
  <c r="CL139" i="4"/>
  <c r="CL140" i="4" s="1"/>
  <c r="CL141" i="4" s="1"/>
  <c r="CL143" i="4"/>
  <c r="BB33" i="4" l="1"/>
  <c r="BA34" i="4" s="1"/>
  <c r="BD33" i="4"/>
  <c r="CK146" i="4"/>
  <c r="CK147" i="4"/>
  <c r="CK144" i="4"/>
  <c r="CK145" i="4" s="1"/>
  <c r="CK148" i="4"/>
  <c r="BG32" i="4"/>
  <c r="BC32" i="4"/>
  <c r="BF31" i="4"/>
  <c r="BE31" i="4"/>
  <c r="CL147" i="4"/>
  <c r="CL144" i="4"/>
  <c r="CL145" i="4" s="1"/>
  <c r="CL146" i="4" s="1"/>
  <c r="CL148" i="4"/>
  <c r="BY34" i="4"/>
  <c r="BZ34" i="4"/>
  <c r="CA35" i="4" s="1"/>
  <c r="BX35" i="4"/>
  <c r="CI147" i="4"/>
  <c r="CI146" i="4"/>
  <c r="CI144" i="4"/>
  <c r="CI145" i="4" s="1"/>
  <c r="CI148" i="4"/>
  <c r="CJ144" i="4"/>
  <c r="CJ145" i="4" s="1"/>
  <c r="CJ146" i="4" s="1"/>
  <c r="CJ147" i="4"/>
  <c r="CJ148" i="4"/>
  <c r="A61" i="2"/>
  <c r="B60" i="2"/>
  <c r="CK151" i="4" l="1"/>
  <c r="CK152" i="4"/>
  <c r="CK149" i="4"/>
  <c r="CK150" i="4" s="1"/>
  <c r="CK153" i="4"/>
  <c r="CJ152" i="4"/>
  <c r="CJ149" i="4"/>
  <c r="CJ150" i="4" s="1"/>
  <c r="CJ151" i="4" s="1"/>
  <c r="CJ153" i="4"/>
  <c r="BC33" i="4"/>
  <c r="BG33" i="4"/>
  <c r="BX36" i="4"/>
  <c r="BY35" i="4"/>
  <c r="BZ35" i="4"/>
  <c r="CA36" i="4" s="1"/>
  <c r="CI152" i="4"/>
  <c r="CI151" i="4"/>
  <c r="CI149" i="4"/>
  <c r="CI150" i="4" s="1"/>
  <c r="CI153" i="4"/>
  <c r="CL149" i="4"/>
  <c r="CL150" i="4" s="1"/>
  <c r="CL151" i="4" s="1"/>
  <c r="CL152" i="4"/>
  <c r="CL153" i="4"/>
  <c r="BF32" i="4"/>
  <c r="BE32" i="4"/>
  <c r="BD34" i="4"/>
  <c r="BB34" i="4"/>
  <c r="BA35" i="4" s="1"/>
  <c r="A62" i="2"/>
  <c r="B61" i="2"/>
  <c r="BD35" i="4" l="1"/>
  <c r="BB35" i="4"/>
  <c r="BA36" i="4" s="1"/>
  <c r="CL157" i="4"/>
  <c r="CL154" i="4"/>
  <c r="CL155" i="4" s="1"/>
  <c r="CL156" i="4" s="1"/>
  <c r="CL158" i="4"/>
  <c r="A63" i="2"/>
  <c r="B62" i="2"/>
  <c r="BZ36" i="4"/>
  <c r="CA37" i="4" s="1"/>
  <c r="BY36" i="4"/>
  <c r="BX37" i="4"/>
  <c r="CJ154" i="4"/>
  <c r="CJ155" i="4" s="1"/>
  <c r="CJ156" i="4" s="1"/>
  <c r="CJ157" i="4"/>
  <c r="CJ158" i="4"/>
  <c r="CK157" i="4"/>
  <c r="CK156" i="4"/>
  <c r="CK158" i="4"/>
  <c r="CK154" i="4"/>
  <c r="CK155" i="4" s="1"/>
  <c r="CI157" i="4"/>
  <c r="CI156" i="4"/>
  <c r="CI154" i="4"/>
  <c r="CI155" i="4" s="1"/>
  <c r="CI158" i="4"/>
  <c r="BF33" i="4"/>
  <c r="BE33" i="4"/>
  <c r="BG34" i="4"/>
  <c r="BC34" i="4"/>
  <c r="BD36" i="4" l="1"/>
  <c r="BB36" i="4"/>
  <c r="BA37" i="4" s="1"/>
  <c r="CL159" i="4"/>
  <c r="CL160" i="4" s="1"/>
  <c r="CL161" i="4" s="1"/>
  <c r="CL162" i="4"/>
  <c r="CK161" i="4"/>
  <c r="CK162" i="4"/>
  <c r="CK159" i="4"/>
  <c r="CK160" i="4" s="1"/>
  <c r="BC35" i="4"/>
  <c r="BG35" i="4"/>
  <c r="BE34" i="4"/>
  <c r="BF34" i="4"/>
  <c r="CJ162" i="4"/>
  <c r="CJ159" i="4"/>
  <c r="CJ160" i="4" s="1"/>
  <c r="CJ161" i="4" s="1"/>
  <c r="BZ37" i="4"/>
  <c r="CA38" i="4" s="1"/>
  <c r="BY37" i="4"/>
  <c r="BX38" i="4"/>
  <c r="CI161" i="4"/>
  <c r="CI162" i="4"/>
  <c r="CI159" i="4"/>
  <c r="CI160" i="4" s="1"/>
  <c r="A64" i="2"/>
  <c r="B63" i="2"/>
  <c r="BB37" i="4" l="1"/>
  <c r="BA38" i="4" s="1"/>
  <c r="BD37" i="4"/>
  <c r="A65" i="2"/>
  <c r="B64" i="2"/>
  <c r="BX39" i="4"/>
  <c r="BZ38" i="4"/>
  <c r="CA39" i="4" s="1"/>
  <c r="BY38" i="4"/>
  <c r="BE35" i="4"/>
  <c r="BF35" i="4"/>
  <c r="CX11" i="4"/>
  <c r="CX12" i="4"/>
  <c r="CX13" i="4" s="1"/>
  <c r="BC36" i="4"/>
  <c r="BG36" i="4"/>
  <c r="CW13" i="4"/>
  <c r="CW14" i="4" s="1"/>
  <c r="CW11" i="4"/>
  <c r="CW12" i="4" l="1"/>
  <c r="CW15" i="4" s="1"/>
  <c r="CQ36" i="4"/>
  <c r="CX14" i="4"/>
  <c r="CX15" i="4"/>
  <c r="CR36" i="4" s="1"/>
  <c r="BB38" i="4"/>
  <c r="BA39" i="4" s="1"/>
  <c r="BD38" i="4"/>
  <c r="BC37" i="4"/>
  <c r="BG37" i="4"/>
  <c r="BX40" i="4"/>
  <c r="BY39" i="4"/>
  <c r="BZ39" i="4"/>
  <c r="CA40" i="4" s="1"/>
  <c r="A66" i="2"/>
  <c r="B65" i="2"/>
  <c r="BE36" i="4"/>
  <c r="BF36" i="4"/>
  <c r="CR37" i="4" l="1"/>
  <c r="CQ37" i="4"/>
  <c r="BF37" i="4"/>
  <c r="BE37" i="4"/>
  <c r="BG38" i="4"/>
  <c r="BC38" i="4"/>
  <c r="BZ40" i="4"/>
  <c r="CA41" i="4" s="1"/>
  <c r="BX41" i="4"/>
  <c r="BY40" i="4"/>
  <c r="BD39" i="4"/>
  <c r="BB39" i="4"/>
  <c r="BA40" i="4" s="1"/>
  <c r="A67" i="2"/>
  <c r="B66" i="2"/>
  <c r="CQ38" i="4" l="1"/>
  <c r="BB40" i="4"/>
  <c r="BA41" i="4" s="1"/>
  <c r="BD40" i="4"/>
  <c r="BE38" i="4"/>
  <c r="BF38" i="4"/>
  <c r="BX42" i="4"/>
  <c r="BY41" i="4"/>
  <c r="BZ41" i="4"/>
  <c r="CA42" i="4" s="1"/>
  <c r="BC39" i="4"/>
  <c r="BG39" i="4"/>
  <c r="B67" i="2"/>
  <c r="A68" i="2"/>
  <c r="CR38" i="4" l="1"/>
  <c r="CR39" i="4" s="1"/>
  <c r="CQ39" i="4"/>
  <c r="A69" i="2"/>
  <c r="B68" i="2"/>
  <c r="BE39" i="4"/>
  <c r="BF39" i="4"/>
  <c r="BG40" i="4"/>
  <c r="BC40" i="4"/>
  <c r="BB41" i="4"/>
  <c r="BA42" i="4" s="1"/>
  <c r="BD41" i="4"/>
  <c r="BX43" i="4"/>
  <c r="BY42" i="4"/>
  <c r="BZ42" i="4"/>
  <c r="CA43" i="4" s="1"/>
  <c r="CQ34" i="4" l="1"/>
  <c r="CQ35" i="4"/>
  <c r="CR34" i="4"/>
  <c r="CR35" i="4"/>
  <c r="BB42" i="4"/>
  <c r="BA43" i="4" s="1"/>
  <c r="BD42" i="4"/>
  <c r="BX44" i="4"/>
  <c r="BY43" i="4"/>
  <c r="BZ43" i="4"/>
  <c r="CA44" i="4" s="1"/>
  <c r="BC41" i="4"/>
  <c r="BG41" i="4"/>
  <c r="A70" i="2"/>
  <c r="B69" i="2"/>
  <c r="BE40" i="4"/>
  <c r="BF40" i="4"/>
  <c r="BD43" i="4" l="1"/>
  <c r="BB43" i="4"/>
  <c r="BA44" i="4" s="1"/>
  <c r="BG42" i="4"/>
  <c r="BC42" i="4"/>
  <c r="BE41" i="4"/>
  <c r="BF41" i="4"/>
  <c r="BZ44" i="4"/>
  <c r="CA45" i="4" s="1"/>
  <c r="BX45" i="4"/>
  <c r="BY44" i="4"/>
  <c r="A71" i="2"/>
  <c r="B70" i="2"/>
  <c r="BB44" i="4" l="1"/>
  <c r="BA45" i="4" s="1"/>
  <c r="BD44" i="4"/>
  <c r="BE42" i="4"/>
  <c r="BF42" i="4"/>
  <c r="B71" i="2"/>
  <c r="A72" i="2"/>
  <c r="BX46" i="4"/>
  <c r="BY45" i="4"/>
  <c r="BZ45" i="4"/>
  <c r="CA46" i="4" s="1"/>
  <c r="BG43" i="4"/>
  <c r="BC43" i="4"/>
  <c r="BC44" i="4" l="1"/>
  <c r="BG44" i="4"/>
  <c r="BE43" i="4"/>
  <c r="BF43" i="4"/>
  <c r="BX47" i="4"/>
  <c r="BZ46" i="4"/>
  <c r="CA47" i="4" s="1"/>
  <c r="BY46" i="4"/>
  <c r="BD45" i="4"/>
  <c r="BB45" i="4"/>
  <c r="BA46" i="4" s="1"/>
  <c r="A73" i="2"/>
  <c r="B72" i="2"/>
  <c r="BD46" i="4" l="1"/>
  <c r="BB46" i="4"/>
  <c r="BA47" i="4" s="1"/>
  <c r="BX48" i="4"/>
  <c r="BZ47" i="4"/>
  <c r="CA48" i="4" s="1"/>
  <c r="BY47" i="4"/>
  <c r="BE44" i="4"/>
  <c r="BF44" i="4"/>
  <c r="A74" i="2"/>
  <c r="B73" i="2"/>
  <c r="BC45" i="4"/>
  <c r="BG45" i="4"/>
  <c r="A75" i="2" l="1"/>
  <c r="B75" i="2" s="1"/>
  <c r="B74" i="2"/>
  <c r="BY48" i="4"/>
  <c r="BZ48" i="4"/>
  <c r="CA49" i="4" s="1"/>
  <c r="BX49" i="4"/>
  <c r="BG46" i="4"/>
  <c r="BC46" i="4"/>
  <c r="BD47" i="4"/>
  <c r="BB47" i="4"/>
  <c r="BA48" i="4" s="1"/>
  <c r="BF45" i="4"/>
  <c r="BE45" i="4"/>
  <c r="BY49" i="4" l="1"/>
  <c r="BX50" i="4"/>
  <c r="BZ49" i="4"/>
  <c r="CA50" i="4" s="1"/>
  <c r="BB48" i="4"/>
  <c r="BA49" i="4" s="1"/>
  <c r="BD48" i="4"/>
  <c r="BE46" i="4"/>
  <c r="BF46" i="4"/>
  <c r="BC47" i="4"/>
  <c r="BG47" i="4"/>
  <c r="BD49" i="4" l="1"/>
  <c r="BB49" i="4"/>
  <c r="BA50" i="4" s="1"/>
  <c r="BF47" i="4"/>
  <c r="BE47" i="4"/>
  <c r="BX51" i="4"/>
  <c r="BZ50" i="4"/>
  <c r="CA51" i="4" s="1"/>
  <c r="BY50" i="4"/>
  <c r="BC48" i="4"/>
  <c r="BG48" i="4"/>
  <c r="BB50" i="4" l="1"/>
  <c r="BA51" i="4" s="1"/>
  <c r="BD50" i="4"/>
  <c r="BX52" i="4"/>
  <c r="BY51" i="4"/>
  <c r="BZ51" i="4"/>
  <c r="CA52" i="4" s="1"/>
  <c r="BC49" i="4"/>
  <c r="BG49" i="4"/>
  <c r="BE48" i="4"/>
  <c r="BF48" i="4"/>
  <c r="BY52" i="4" l="1"/>
  <c r="BZ52" i="4"/>
  <c r="CA53" i="4" s="1"/>
  <c r="BX53" i="4"/>
  <c r="BC50" i="4"/>
  <c r="BG50" i="4"/>
  <c r="BE49" i="4"/>
  <c r="BF49" i="4"/>
  <c r="BB51" i="4"/>
  <c r="BA52" i="4" s="1"/>
  <c r="BD51" i="4"/>
  <c r="BD52" i="4" l="1"/>
  <c r="BB52" i="4"/>
  <c r="BA53" i="4" s="1"/>
  <c r="BY53" i="4"/>
  <c r="BX54" i="4"/>
  <c r="BZ53" i="4"/>
  <c r="CA54" i="4" s="1"/>
  <c r="BF50" i="4"/>
  <c r="BE50" i="4"/>
  <c r="BC51" i="4"/>
  <c r="BG51" i="4"/>
  <c r="BD53" i="4" l="1"/>
  <c r="BB53" i="4"/>
  <c r="BA54" i="4" s="1"/>
  <c r="BF51" i="4"/>
  <c r="BE51" i="4"/>
  <c r="BG52" i="4"/>
  <c r="BC52" i="4"/>
  <c r="BY54" i="4"/>
  <c r="BZ54" i="4"/>
  <c r="CA55" i="4" s="1"/>
  <c r="BX55" i="4"/>
  <c r="BB54" i="4" l="1"/>
  <c r="BA55" i="4" s="1"/>
  <c r="BD54" i="4"/>
  <c r="BZ55" i="4"/>
  <c r="CA56" i="4" s="1"/>
  <c r="BY55" i="4"/>
  <c r="BX56" i="4"/>
  <c r="BF52" i="4"/>
  <c r="BE52" i="4"/>
  <c r="BC53" i="4"/>
  <c r="BG53" i="4"/>
  <c r="BY56" i="4" l="1"/>
  <c r="BX57" i="4"/>
  <c r="BZ56" i="4"/>
  <c r="CA57" i="4" s="1"/>
  <c r="BC54" i="4"/>
  <c r="BG54" i="4"/>
  <c r="BD55" i="4"/>
  <c r="BB55" i="4"/>
  <c r="BA56" i="4" s="1"/>
  <c r="BF53" i="4"/>
  <c r="BE53" i="4"/>
  <c r="BZ57" i="4" l="1"/>
  <c r="CA58" i="4" s="1"/>
  <c r="BX58" i="4"/>
  <c r="BY57" i="4"/>
  <c r="BD56" i="4"/>
  <c r="BB56" i="4"/>
  <c r="BA57" i="4" s="1"/>
  <c r="BF54" i="4"/>
  <c r="BE54" i="4"/>
  <c r="BC55" i="4"/>
  <c r="BG55" i="4"/>
  <c r="BB57" i="4" l="1"/>
  <c r="BA58" i="4" s="1"/>
  <c r="BD57" i="4"/>
  <c r="BY58" i="4"/>
  <c r="BX59" i="4"/>
  <c r="BZ58" i="4"/>
  <c r="CA59" i="4" s="1"/>
  <c r="BE55" i="4"/>
  <c r="BF55" i="4"/>
  <c r="BC56" i="4"/>
  <c r="BG56" i="4"/>
  <c r="BY59" i="4" l="1"/>
  <c r="BZ59" i="4"/>
  <c r="CA60" i="4" s="1"/>
  <c r="BX60" i="4"/>
  <c r="BF56" i="4"/>
  <c r="BE56" i="4"/>
  <c r="BG57" i="4"/>
  <c r="BC57" i="4"/>
  <c r="BD58" i="4"/>
  <c r="BB58" i="4"/>
  <c r="BA59" i="4" s="1"/>
  <c r="BD59" i="4" l="1"/>
  <c r="BB59" i="4"/>
  <c r="BA60" i="4" s="1"/>
  <c r="BC58" i="4"/>
  <c r="BG58" i="4"/>
  <c r="BX61" i="4"/>
  <c r="BY60" i="4"/>
  <c r="BZ60" i="4"/>
  <c r="CA61" i="4" s="1"/>
  <c r="BF57" i="4"/>
  <c r="BE57" i="4"/>
  <c r="BB60" i="4" l="1"/>
  <c r="BA61" i="4" s="1"/>
  <c r="BD60" i="4"/>
  <c r="BZ61" i="4"/>
  <c r="CA62" i="4" s="1"/>
  <c r="BX62" i="4"/>
  <c r="BY61" i="4"/>
  <c r="BF58" i="4"/>
  <c r="BE58" i="4"/>
  <c r="BM55" i="4" s="1"/>
  <c r="BC59" i="4"/>
  <c r="BG59" i="4"/>
  <c r="BD61" i="4" l="1"/>
  <c r="BB61" i="4"/>
  <c r="BA62" i="4" s="1"/>
  <c r="BY62" i="4"/>
  <c r="BZ62" i="4"/>
  <c r="CA63" i="4" s="1"/>
  <c r="BX63" i="4"/>
  <c r="BC60" i="4"/>
  <c r="BG60" i="4"/>
  <c r="BE59" i="4"/>
  <c r="BF59" i="4"/>
  <c r="BZ63" i="4" l="1"/>
  <c r="BY63" i="4"/>
  <c r="BF60" i="4"/>
  <c r="BE60" i="4"/>
  <c r="BG61" i="4"/>
  <c r="BC61" i="4"/>
  <c r="BB62" i="4"/>
  <c r="BA63" i="4" s="1"/>
  <c r="BD62" i="4"/>
  <c r="BB63" i="4" l="1"/>
  <c r="BA64" i="4" s="1"/>
  <c r="BD63" i="4"/>
  <c r="D30" i="2"/>
  <c r="D29" i="2"/>
  <c r="D28" i="2"/>
  <c r="D31" i="2"/>
  <c r="D33" i="2"/>
  <c r="D32" i="2"/>
  <c r="D35" i="2"/>
  <c r="D34" i="2"/>
  <c r="D37" i="2"/>
  <c r="D38" i="2"/>
  <c r="D39" i="2"/>
  <c r="D36" i="2"/>
  <c r="D40" i="2"/>
  <c r="D41" i="2"/>
  <c r="D42" i="2"/>
  <c r="D43" i="2"/>
  <c r="D44" i="2"/>
  <c r="D45" i="2"/>
  <c r="D47" i="2"/>
  <c r="D46" i="2"/>
  <c r="D48" i="2"/>
  <c r="D50" i="2"/>
  <c r="D49" i="2"/>
  <c r="D51" i="2"/>
  <c r="D54" i="2"/>
  <c r="D53" i="2"/>
  <c r="D52" i="2"/>
  <c r="D55" i="2"/>
  <c r="D58" i="2"/>
  <c r="D56" i="2"/>
  <c r="D60" i="2"/>
  <c r="D57" i="2"/>
  <c r="D59" i="2"/>
  <c r="D61" i="2"/>
  <c r="D63" i="2"/>
  <c r="D62" i="2"/>
  <c r="D64" i="2"/>
  <c r="D65" i="2"/>
  <c r="D66" i="2"/>
  <c r="D67" i="2"/>
  <c r="D68" i="2"/>
  <c r="D69" i="2"/>
  <c r="D70" i="2"/>
  <c r="D71" i="2"/>
  <c r="D72" i="2"/>
  <c r="D75" i="2"/>
  <c r="D73" i="2"/>
  <c r="D74" i="2"/>
  <c r="BF61" i="4"/>
  <c r="BE61" i="4"/>
  <c r="BG62" i="4"/>
  <c r="BC62" i="4"/>
  <c r="BD64" i="4" l="1"/>
  <c r="BB64" i="4"/>
  <c r="BA65" i="4" s="1"/>
  <c r="BG63" i="4"/>
  <c r="BC63" i="4"/>
  <c r="BE62" i="4"/>
  <c r="BF62" i="4"/>
  <c r="BD65" i="4" l="1"/>
  <c r="BB65" i="4"/>
  <c r="BA66" i="4" s="1"/>
  <c r="BE63" i="4"/>
  <c r="BF63" i="4"/>
  <c r="BG64" i="4"/>
  <c r="BC64" i="4"/>
  <c r="BD66" i="4" l="1"/>
  <c r="BB66" i="4"/>
  <c r="BA67" i="4" s="1"/>
  <c r="BF64" i="4"/>
  <c r="BE64" i="4"/>
  <c r="BC65" i="4"/>
  <c r="BG65" i="4"/>
  <c r="BB67" i="4" l="1"/>
  <c r="BA68" i="4" s="1"/>
  <c r="BD67" i="4"/>
  <c r="BG66" i="4"/>
  <c r="BC66" i="4"/>
  <c r="BE65" i="4"/>
  <c r="BF65" i="4"/>
  <c r="BF66" i="4" l="1"/>
  <c r="BE66" i="4"/>
  <c r="BC67" i="4"/>
  <c r="BG67" i="4"/>
  <c r="BB68" i="4"/>
  <c r="BA69" i="4" s="1"/>
  <c r="BD68" i="4"/>
  <c r="BD69" i="4" l="1"/>
  <c r="BB69" i="4"/>
  <c r="BA70" i="4" s="1"/>
  <c r="BC68" i="4"/>
  <c r="BG68" i="4"/>
  <c r="BE67" i="4"/>
  <c r="BF67" i="4"/>
  <c r="BD70" i="4" l="1"/>
  <c r="BB70" i="4"/>
  <c r="BA71" i="4" s="1"/>
  <c r="BF68" i="4"/>
  <c r="BE68" i="4"/>
  <c r="BG69" i="4"/>
  <c r="BC69" i="4"/>
  <c r="BB71" i="4" l="1"/>
  <c r="BA72" i="4" s="1"/>
  <c r="BD71" i="4"/>
  <c r="BF69" i="4"/>
  <c r="BE69" i="4"/>
  <c r="BC70" i="4"/>
  <c r="BG70" i="4"/>
  <c r="BC71" i="4" l="1"/>
  <c r="BG71" i="4"/>
  <c r="BB72" i="4"/>
  <c r="BA73" i="4" s="1"/>
  <c r="BD72" i="4"/>
  <c r="BF70" i="4"/>
  <c r="BE70" i="4"/>
  <c r="BD73" i="4" l="1"/>
  <c r="BB73" i="4"/>
  <c r="BA74" i="4" s="1"/>
  <c r="BG72" i="4"/>
  <c r="BC72" i="4"/>
  <c r="BF71" i="4"/>
  <c r="BE71" i="4"/>
  <c r="BD74" i="4" l="1"/>
  <c r="BB74" i="4"/>
  <c r="BA75" i="4" s="1"/>
  <c r="BE72" i="4"/>
  <c r="BF72" i="4"/>
  <c r="BC73" i="4"/>
  <c r="BG73" i="4"/>
  <c r="BE73" i="4" l="1"/>
  <c r="BF73" i="4"/>
  <c r="BD75" i="4"/>
  <c r="BB75" i="4"/>
  <c r="BA76" i="4" s="1"/>
  <c r="BC74" i="4"/>
  <c r="BG74" i="4"/>
  <c r="BB76" i="4" l="1"/>
  <c r="BA77" i="4" s="1"/>
  <c r="BD76" i="4"/>
  <c r="BC75" i="4"/>
  <c r="BG75" i="4"/>
  <c r="BE74" i="4"/>
  <c r="BF74" i="4"/>
  <c r="BC76" i="4" l="1"/>
  <c r="BG76" i="4"/>
  <c r="BD77" i="4"/>
  <c r="BB77" i="4"/>
  <c r="BA78" i="4" s="1"/>
  <c r="BF75" i="4"/>
  <c r="BE75" i="4"/>
  <c r="BD78" i="4" l="1"/>
  <c r="BB78" i="4"/>
  <c r="BA79" i="4" s="1"/>
  <c r="BG77" i="4"/>
  <c r="BC77" i="4"/>
  <c r="BE76" i="4"/>
  <c r="BF76" i="4"/>
  <c r="BF77" i="4" l="1"/>
  <c r="BE77" i="4"/>
  <c r="BB79" i="4"/>
  <c r="BA80" i="4" s="1"/>
  <c r="BD79" i="4"/>
  <c r="BC78" i="4"/>
  <c r="BG78" i="4"/>
  <c r="BB80" i="4" l="1"/>
  <c r="BA81" i="4" s="1"/>
  <c r="BD80" i="4"/>
  <c r="BF78" i="4"/>
  <c r="BE78" i="4"/>
  <c r="BG79" i="4"/>
  <c r="BC79" i="4"/>
  <c r="BB81" i="4" l="1"/>
  <c r="BA82" i="4" s="1"/>
  <c r="BD81" i="4"/>
  <c r="BC80" i="4"/>
  <c r="BG80" i="4"/>
  <c r="BF79" i="4"/>
  <c r="BE79" i="4"/>
  <c r="BB82" i="4" l="1"/>
  <c r="BA83" i="4" s="1"/>
  <c r="BD82" i="4"/>
  <c r="BC81" i="4"/>
  <c r="BG81" i="4"/>
  <c r="BE80" i="4"/>
  <c r="BF80" i="4"/>
  <c r="BC82" i="4" l="1"/>
  <c r="BG82" i="4"/>
  <c r="BF81" i="4"/>
  <c r="BE81" i="4"/>
  <c r="BD83" i="4"/>
  <c r="BB83" i="4"/>
  <c r="BA84" i="4" s="1"/>
  <c r="BD84" i="4" l="1"/>
  <c r="BB84" i="4"/>
  <c r="BA85" i="4" s="1"/>
  <c r="BC83" i="4"/>
  <c r="BG83" i="4"/>
  <c r="BF82" i="4"/>
  <c r="BE82" i="4"/>
  <c r="BB85" i="4" l="1"/>
  <c r="BA86" i="4" s="1"/>
  <c r="BD85" i="4"/>
  <c r="BE83" i="4"/>
  <c r="BF83" i="4"/>
  <c r="BG84" i="4"/>
  <c r="BC84" i="4"/>
  <c r="BD86" i="4" l="1"/>
  <c r="BB86" i="4"/>
  <c r="BA87" i="4" s="1"/>
  <c r="BG85" i="4"/>
  <c r="BC85" i="4"/>
  <c r="BE84" i="4"/>
  <c r="BF84" i="4"/>
  <c r="BF85" i="4" l="1"/>
  <c r="BE85" i="4"/>
  <c r="BD87" i="4"/>
  <c r="BB87" i="4"/>
  <c r="BA88" i="4" s="1"/>
  <c r="BC86" i="4"/>
  <c r="BG86" i="4"/>
  <c r="BB88" i="4" l="1"/>
  <c r="BA89" i="4" s="1"/>
  <c r="BD88" i="4"/>
  <c r="BG87" i="4"/>
  <c r="BC87" i="4"/>
  <c r="BF86" i="4"/>
  <c r="BE86" i="4"/>
  <c r="BD89" i="4" l="1"/>
  <c r="BB89" i="4"/>
  <c r="BA90" i="4" s="1"/>
  <c r="BG88" i="4"/>
  <c r="BC88" i="4"/>
  <c r="BF87" i="4"/>
  <c r="BE87" i="4"/>
  <c r="BD90" i="4" l="1"/>
  <c r="BB90" i="4"/>
  <c r="BA91" i="4" s="1"/>
  <c r="BF88" i="4"/>
  <c r="BE88" i="4"/>
  <c r="BC89" i="4"/>
  <c r="BG89" i="4"/>
  <c r="BB91" i="4" l="1"/>
  <c r="BA92" i="4" s="1"/>
  <c r="BD91" i="4"/>
  <c r="BF89" i="4"/>
  <c r="BE89" i="4"/>
  <c r="BG90" i="4"/>
  <c r="BC90" i="4"/>
  <c r="BE90" i="4" l="1"/>
  <c r="BF90" i="4"/>
  <c r="BC91" i="4"/>
  <c r="BG91" i="4"/>
  <c r="BB92" i="4"/>
  <c r="BA93" i="4" s="1"/>
  <c r="BD92" i="4"/>
  <c r="BB93" i="4" l="1"/>
  <c r="BA94" i="4" s="1"/>
  <c r="BD93" i="4"/>
  <c r="BF91" i="4"/>
  <c r="BE91" i="4"/>
  <c r="BC92" i="4"/>
  <c r="BG92" i="4"/>
  <c r="BG93" i="4" l="1"/>
  <c r="BC93" i="4"/>
  <c r="BF92" i="4"/>
  <c r="BE92" i="4"/>
  <c r="BD94" i="4"/>
  <c r="BB94" i="4"/>
  <c r="BA95" i="4" s="1"/>
  <c r="BG94" i="4" l="1"/>
  <c r="BC94" i="4"/>
  <c r="BE93" i="4"/>
  <c r="BF93" i="4"/>
  <c r="BD95" i="4"/>
  <c r="BB95" i="4"/>
  <c r="BA96" i="4" s="1"/>
  <c r="BD96" i="4" l="1"/>
  <c r="BB96" i="4"/>
  <c r="BA97" i="4" s="1"/>
  <c r="BC95" i="4"/>
  <c r="BG95" i="4"/>
  <c r="BF94" i="4"/>
  <c r="BE94" i="4"/>
  <c r="BD97" i="4" l="1"/>
  <c r="BB97" i="4"/>
  <c r="BA98" i="4" s="1"/>
  <c r="BG96" i="4"/>
  <c r="BC96" i="4"/>
  <c r="BF95" i="4"/>
  <c r="BE95" i="4"/>
  <c r="BB98" i="4" l="1"/>
  <c r="BA99" i="4" s="1"/>
  <c r="BD98" i="4"/>
  <c r="BF96" i="4"/>
  <c r="BE96" i="4"/>
  <c r="BG97" i="4"/>
  <c r="BC97" i="4"/>
  <c r="BF97" i="4" l="1"/>
  <c r="BE97" i="4"/>
  <c r="BC98" i="4"/>
  <c r="BG98" i="4"/>
  <c r="BD99" i="4"/>
  <c r="BB99" i="4"/>
  <c r="BA100" i="4" s="1"/>
  <c r="BB100" i="4" l="1"/>
  <c r="BA101" i="4" s="1"/>
  <c r="BD100" i="4"/>
  <c r="BC99" i="4"/>
  <c r="BG99" i="4"/>
  <c r="BE98" i="4"/>
  <c r="BF98" i="4"/>
  <c r="BG100" i="4" l="1"/>
  <c r="BC100" i="4"/>
  <c r="BF99" i="4"/>
  <c r="BE99" i="4"/>
  <c r="BD101" i="4"/>
  <c r="BB101" i="4"/>
  <c r="BA102" i="4" s="1"/>
  <c r="BD102" i="4" l="1"/>
  <c r="BB102" i="4"/>
  <c r="BA103" i="4" s="1"/>
  <c r="BF100" i="4"/>
  <c r="BE100" i="4"/>
  <c r="BG101" i="4"/>
  <c r="BC101" i="4"/>
  <c r="BB103" i="4" l="1"/>
  <c r="BA104" i="4" s="1"/>
  <c r="BD103" i="4"/>
  <c r="BE101" i="4"/>
  <c r="BF101" i="4"/>
  <c r="BG102" i="4"/>
  <c r="BC102" i="4"/>
  <c r="BD104" i="4" l="1"/>
  <c r="BB104" i="4"/>
  <c r="BA105" i="4" s="1"/>
  <c r="BF102" i="4"/>
  <c r="BE102" i="4"/>
  <c r="BG103" i="4"/>
  <c r="BC103" i="4"/>
  <c r="BF103" i="4" l="1"/>
  <c r="BE103" i="4"/>
  <c r="BD105" i="4"/>
  <c r="BB105" i="4"/>
  <c r="BA106" i="4" s="1"/>
  <c r="BC104" i="4"/>
  <c r="BG104" i="4"/>
  <c r="BD106" i="4" l="1"/>
  <c r="BB106" i="4"/>
  <c r="BA107" i="4" s="1"/>
  <c r="BC105" i="4"/>
  <c r="BG105" i="4"/>
  <c r="BF104" i="4"/>
  <c r="BE104" i="4"/>
  <c r="BE105" i="4" l="1"/>
  <c r="BF105" i="4"/>
  <c r="BB107" i="4"/>
  <c r="BA108" i="4" s="1"/>
  <c r="BD107" i="4"/>
  <c r="BG106" i="4"/>
  <c r="BC106" i="4"/>
  <c r="BD108" i="4" l="1"/>
  <c r="BB108" i="4"/>
  <c r="BA109" i="4" s="1"/>
  <c r="BE106" i="4"/>
  <c r="BF106" i="4"/>
  <c r="BG107" i="4"/>
  <c r="BC107" i="4"/>
  <c r="BB109" i="4" l="1"/>
  <c r="BA110" i="4" s="1"/>
  <c r="BD109" i="4"/>
  <c r="BE107" i="4"/>
  <c r="BF107" i="4"/>
  <c r="BC108" i="4"/>
  <c r="BG108" i="4"/>
  <c r="BB110" i="4" l="1"/>
  <c r="BA111" i="4" s="1"/>
  <c r="BD110" i="4"/>
  <c r="BE108" i="4"/>
  <c r="BF108" i="4"/>
  <c r="BC109" i="4"/>
  <c r="BG109" i="4"/>
  <c r="BE109" i="4" l="1"/>
  <c r="BF109" i="4"/>
  <c r="BC110" i="4"/>
  <c r="BG110" i="4"/>
  <c r="BB111" i="4"/>
  <c r="BA112" i="4" s="1"/>
  <c r="BD111" i="4"/>
  <c r="BD112" i="4" l="1"/>
  <c r="BB112" i="4"/>
  <c r="BA113" i="4" s="1"/>
  <c r="BE110" i="4"/>
  <c r="BF110" i="4"/>
  <c r="BC111" i="4"/>
  <c r="BG111" i="4"/>
  <c r="BB113" i="4" l="1"/>
  <c r="BA114" i="4" s="1"/>
  <c r="BD113" i="4"/>
  <c r="BC112" i="4"/>
  <c r="BG112" i="4"/>
  <c r="BE111" i="4"/>
  <c r="BF111" i="4"/>
  <c r="BB114" i="4" l="1"/>
  <c r="BA115" i="4" s="1"/>
  <c r="BD114" i="4"/>
  <c r="BC113" i="4"/>
  <c r="BG113" i="4"/>
  <c r="BE112" i="4"/>
  <c r="BF112" i="4"/>
  <c r="BG114" i="4" l="1"/>
  <c r="BC114" i="4"/>
  <c r="BB115" i="4"/>
  <c r="BA116" i="4" s="1"/>
  <c r="BD115" i="4"/>
  <c r="BF113" i="4"/>
  <c r="BE113" i="4"/>
  <c r="BB116" i="4" l="1"/>
  <c r="BA117" i="4" s="1"/>
  <c r="BD116" i="4"/>
  <c r="BE114" i="4"/>
  <c r="BF114" i="4"/>
  <c r="BG115" i="4"/>
  <c r="BC115" i="4"/>
  <c r="BD117" i="4" l="1"/>
  <c r="BB117" i="4"/>
  <c r="BA118" i="4" s="1"/>
  <c r="BG116" i="4"/>
  <c r="BC116" i="4"/>
  <c r="BE115" i="4"/>
  <c r="BF115" i="4"/>
  <c r="BD118" i="4" l="1"/>
  <c r="BB118" i="4"/>
  <c r="BA119" i="4" s="1"/>
  <c r="BE116" i="4"/>
  <c r="BF116" i="4"/>
  <c r="BC117" i="4"/>
  <c r="BG117" i="4"/>
  <c r="BE117" i="4" l="1"/>
  <c r="BF117" i="4"/>
  <c r="BB119" i="4"/>
  <c r="BA120" i="4" s="1"/>
  <c r="BD119" i="4"/>
  <c r="BC118" i="4"/>
  <c r="BG118" i="4"/>
  <c r="BD120" i="4" l="1"/>
  <c r="BB120" i="4"/>
  <c r="BA121" i="4" s="1"/>
  <c r="BF118" i="4"/>
  <c r="BE118" i="4"/>
  <c r="BC119" i="4"/>
  <c r="BG119" i="4"/>
  <c r="BB121" i="4" l="1"/>
  <c r="BA122" i="4" s="1"/>
  <c r="BD121" i="4"/>
  <c r="BG120" i="4"/>
  <c r="BC120" i="4"/>
  <c r="BF119" i="4"/>
  <c r="BE119" i="4"/>
  <c r="BF120" i="4" l="1"/>
  <c r="BE120" i="4"/>
  <c r="BB122" i="4"/>
  <c r="BA123" i="4" s="1"/>
  <c r="BD122" i="4"/>
  <c r="BC121" i="4"/>
  <c r="BG121" i="4"/>
  <c r="BF121" i="4" l="1"/>
  <c r="BE121" i="4"/>
  <c r="BC122" i="4"/>
  <c r="BG122" i="4"/>
  <c r="BB123" i="4"/>
  <c r="BA124" i="4" s="1"/>
  <c r="BD123" i="4"/>
  <c r="BD124" i="4" l="1"/>
  <c r="BB124" i="4"/>
  <c r="BA125" i="4" s="1"/>
  <c r="BG123" i="4"/>
  <c r="BC123" i="4"/>
  <c r="BE122" i="4"/>
  <c r="BF122" i="4"/>
  <c r="BD125" i="4" l="1"/>
  <c r="BB125" i="4"/>
  <c r="BA126" i="4" s="1"/>
  <c r="BF123" i="4"/>
  <c r="BE123" i="4"/>
  <c r="BG124" i="4"/>
  <c r="BC124" i="4"/>
  <c r="BE124" i="4" l="1"/>
  <c r="BF124" i="4"/>
  <c r="BD126" i="4"/>
  <c r="BB126" i="4"/>
  <c r="BA127" i="4" s="1"/>
  <c r="BC125" i="4"/>
  <c r="BG125" i="4"/>
  <c r="BD127" i="4" l="1"/>
  <c r="BB127" i="4"/>
  <c r="BA128" i="4" s="1"/>
  <c r="BF125" i="4"/>
  <c r="BE125" i="4"/>
  <c r="BC126" i="4"/>
  <c r="BG126" i="4"/>
  <c r="BE126" i="4" l="1"/>
  <c r="BF126" i="4"/>
  <c r="BB128" i="4"/>
  <c r="BA129" i="4" s="1"/>
  <c r="BD128" i="4"/>
  <c r="BC127" i="4"/>
  <c r="BG127" i="4"/>
  <c r="BD129" i="4" l="1"/>
  <c r="BB129" i="4"/>
  <c r="BA130" i="4" s="1"/>
  <c r="BE127" i="4"/>
  <c r="BF127" i="4"/>
  <c r="BG128" i="4"/>
  <c r="BC128" i="4"/>
  <c r="BB130" i="4" l="1"/>
  <c r="BA131" i="4" s="1"/>
  <c r="BD130" i="4"/>
  <c r="BF128" i="4"/>
  <c r="BE128" i="4"/>
  <c r="BC129" i="4"/>
  <c r="BG129" i="4"/>
  <c r="BE129" i="4" l="1"/>
  <c r="BF129" i="4"/>
  <c r="BC130" i="4"/>
  <c r="BG130" i="4"/>
  <c r="BB131" i="4"/>
  <c r="BA132" i="4" s="1"/>
  <c r="BD131" i="4"/>
  <c r="BE130" i="4" l="1"/>
  <c r="BF130" i="4"/>
  <c r="BG131" i="4"/>
  <c r="BC131" i="4"/>
  <c r="BD132" i="4"/>
  <c r="BB132" i="4"/>
  <c r="BA133" i="4" s="1"/>
  <c r="BD133" i="4" l="1"/>
  <c r="BB133" i="4"/>
  <c r="BA134" i="4" s="1"/>
  <c r="BG132" i="4"/>
  <c r="BC132" i="4"/>
  <c r="BF131" i="4"/>
  <c r="BE131" i="4"/>
  <c r="BB134" i="4" l="1"/>
  <c r="BA135" i="4" s="1"/>
  <c r="BD134" i="4"/>
  <c r="BF132" i="4"/>
  <c r="BE132" i="4"/>
  <c r="BG133" i="4"/>
  <c r="BC133" i="4"/>
  <c r="BD135" i="4" l="1"/>
  <c r="BB135" i="4"/>
  <c r="BA136" i="4" s="1"/>
  <c r="BC134" i="4"/>
  <c r="BG134" i="4"/>
  <c r="BF133" i="4"/>
  <c r="BE133" i="4"/>
  <c r="BE134" i="4" l="1"/>
  <c r="BF134" i="4"/>
  <c r="BB136" i="4"/>
  <c r="BA137" i="4" s="1"/>
  <c r="BD136" i="4"/>
  <c r="BC135" i="4"/>
  <c r="BG135" i="4"/>
  <c r="BE135" i="4" l="1"/>
  <c r="BF135" i="4"/>
  <c r="BG136" i="4"/>
  <c r="BC136" i="4"/>
  <c r="BD137" i="4"/>
  <c r="BB137" i="4"/>
  <c r="BA138" i="4" s="1"/>
  <c r="BB138" i="4" l="1"/>
  <c r="BA139" i="4" s="1"/>
  <c r="BD138" i="4"/>
  <c r="BF136" i="4"/>
  <c r="BE136" i="4"/>
  <c r="BG137" i="4"/>
  <c r="BC137" i="4"/>
  <c r="BF137" i="4" l="1"/>
  <c r="BE137" i="4"/>
  <c r="BC138" i="4"/>
  <c r="BG138" i="4"/>
  <c r="BB139" i="4"/>
  <c r="BA140" i="4" s="1"/>
  <c r="BD139" i="4"/>
  <c r="BC139" i="4" l="1"/>
  <c r="BG139" i="4"/>
  <c r="BD140" i="4"/>
  <c r="BB140" i="4"/>
  <c r="BA141" i="4" s="1"/>
  <c r="BF138" i="4"/>
  <c r="BE138" i="4"/>
  <c r="BD141" i="4" l="1"/>
  <c r="BB141" i="4"/>
  <c r="BA142" i="4" s="1"/>
  <c r="BG140" i="4"/>
  <c r="BC140" i="4"/>
  <c r="BF139" i="4"/>
  <c r="BE139" i="4"/>
  <c r="BD142" i="4" l="1"/>
  <c r="BB142" i="4"/>
  <c r="BA143" i="4" s="1"/>
  <c r="BF140" i="4"/>
  <c r="BE140" i="4"/>
  <c r="BG141" i="4"/>
  <c r="BC141" i="4"/>
  <c r="BF141" i="4" l="1"/>
  <c r="BE141" i="4"/>
  <c r="BD143" i="4"/>
  <c r="BB143" i="4"/>
  <c r="BA144" i="4" s="1"/>
  <c r="BC142" i="4"/>
  <c r="BG142" i="4"/>
  <c r="BD144" i="4" l="1"/>
  <c r="BB144" i="4"/>
  <c r="BA145" i="4" s="1"/>
  <c r="BC143" i="4"/>
  <c r="BG143" i="4"/>
  <c r="BE142" i="4"/>
  <c r="BF142" i="4"/>
  <c r="BD145" i="4" l="1"/>
  <c r="BB145" i="4"/>
  <c r="BA146" i="4" s="1"/>
  <c r="BE143" i="4"/>
  <c r="BF143" i="4"/>
  <c r="BG144" i="4"/>
  <c r="BC144" i="4"/>
  <c r="BF144" i="4" l="1"/>
  <c r="BE144" i="4"/>
  <c r="BD146" i="4"/>
  <c r="BB146" i="4"/>
  <c r="BA147" i="4" s="1"/>
  <c r="BG145" i="4"/>
  <c r="BC145" i="4"/>
  <c r="BD147" i="4" l="1"/>
  <c r="BB147" i="4"/>
  <c r="BA148" i="4" s="1"/>
  <c r="BE145" i="4"/>
  <c r="BF145" i="4"/>
  <c r="BC146" i="4"/>
  <c r="BG146" i="4"/>
  <c r="BB148" i="4" l="1"/>
  <c r="BA149" i="4" s="1"/>
  <c r="BD148" i="4"/>
  <c r="BC147" i="4"/>
  <c r="BG147" i="4"/>
  <c r="BF146" i="4"/>
  <c r="BE146" i="4"/>
  <c r="BB149" i="4" l="1"/>
  <c r="BA150" i="4" s="1"/>
  <c r="BD149" i="4"/>
  <c r="BG148" i="4"/>
  <c r="BC148" i="4"/>
  <c r="BE147" i="4"/>
  <c r="BF147" i="4"/>
  <c r="BG149" i="4" l="1"/>
  <c r="BC149" i="4"/>
  <c r="BB150" i="4"/>
  <c r="BA151" i="4" s="1"/>
  <c r="BD150" i="4"/>
  <c r="BF148" i="4"/>
  <c r="BE148" i="4"/>
  <c r="BD151" i="4" l="1"/>
  <c r="BB151" i="4"/>
  <c r="BA152" i="4" s="1"/>
  <c r="BE149" i="4"/>
  <c r="BF149" i="4"/>
  <c r="BC150" i="4"/>
  <c r="BG150" i="4"/>
  <c r="BE150" i="4" l="1"/>
  <c r="BF150" i="4"/>
  <c r="BD152" i="4"/>
  <c r="BB152" i="4"/>
  <c r="BA153" i="4" s="1"/>
  <c r="BC151" i="4"/>
  <c r="BG151" i="4"/>
  <c r="BC152" i="4" l="1"/>
  <c r="BG152" i="4"/>
  <c r="BE151" i="4"/>
  <c r="BF151" i="4"/>
  <c r="BD153" i="4"/>
  <c r="BB153" i="4"/>
  <c r="BA154" i="4" s="1"/>
  <c r="BB154" i="4" l="1"/>
  <c r="BA155" i="4" s="1"/>
  <c r="BD154" i="4"/>
  <c r="BG153" i="4"/>
  <c r="BC153" i="4"/>
  <c r="BE152" i="4"/>
  <c r="BF152" i="4"/>
  <c r="BB155" i="4" l="1"/>
  <c r="BA156" i="4" s="1"/>
  <c r="BD155" i="4"/>
  <c r="BG154" i="4"/>
  <c r="BC154" i="4"/>
  <c r="BF153" i="4"/>
  <c r="BE153" i="4"/>
  <c r="BD156" i="4" l="1"/>
  <c r="BB156" i="4"/>
  <c r="BA157" i="4" s="1"/>
  <c r="BE154" i="4"/>
  <c r="BF154" i="4"/>
  <c r="BC155" i="4"/>
  <c r="BG155" i="4"/>
  <c r="BD157" i="4" l="1"/>
  <c r="BB157" i="4"/>
  <c r="BA158" i="4" s="1"/>
  <c r="BE155" i="4"/>
  <c r="BF155" i="4"/>
  <c r="BG156" i="4"/>
  <c r="BC156" i="4"/>
  <c r="BD158" i="4" l="1"/>
  <c r="BB158" i="4"/>
  <c r="BA159" i="4" s="1"/>
  <c r="BF156" i="4"/>
  <c r="BE156" i="4"/>
  <c r="BC157" i="4"/>
  <c r="BG157" i="4"/>
  <c r="BD159" i="4" l="1"/>
  <c r="BB159" i="4"/>
  <c r="BA160" i="4" s="1"/>
  <c r="BF157" i="4"/>
  <c r="BE157" i="4"/>
  <c r="BG158" i="4"/>
  <c r="BC158" i="4"/>
  <c r="BF158" i="4" l="1"/>
  <c r="BE158" i="4"/>
  <c r="BB160" i="4"/>
  <c r="BA161" i="4" s="1"/>
  <c r="BD160" i="4"/>
  <c r="BC159" i="4"/>
  <c r="BG159" i="4"/>
  <c r="BD161" i="4" l="1"/>
  <c r="BB161" i="4"/>
  <c r="BA162" i="4" s="1"/>
  <c r="BC160" i="4"/>
  <c r="BG160" i="4"/>
  <c r="BE159" i="4"/>
  <c r="BF159" i="4"/>
  <c r="BD162" i="4" l="1"/>
  <c r="BB162" i="4"/>
  <c r="BA163" i="4" s="1"/>
  <c r="BF160" i="4"/>
  <c r="BE160" i="4"/>
  <c r="BC161" i="4"/>
  <c r="BG161" i="4"/>
  <c r="BB163" i="4" l="1"/>
  <c r="BA164" i="4" s="1"/>
  <c r="BD163" i="4"/>
  <c r="BE161" i="4"/>
  <c r="BF161" i="4"/>
  <c r="BG162" i="4"/>
  <c r="BC162" i="4"/>
  <c r="BE162" i="4" l="1"/>
  <c r="BF162" i="4"/>
  <c r="BG163" i="4"/>
  <c r="BC163" i="4"/>
  <c r="BD164" i="4"/>
  <c r="BB164" i="4"/>
  <c r="BA165" i="4" s="1"/>
  <c r="BD165" i="4" l="1"/>
  <c r="BB165" i="4"/>
  <c r="BA166" i="4" s="1"/>
  <c r="BG164" i="4"/>
  <c r="BC164" i="4"/>
  <c r="BE163" i="4"/>
  <c r="BF163" i="4"/>
  <c r="BD166" i="4" l="1"/>
  <c r="BB166" i="4"/>
  <c r="BA167" i="4" s="1"/>
  <c r="BG165" i="4"/>
  <c r="BC165" i="4"/>
  <c r="BF164" i="4"/>
  <c r="BE164" i="4"/>
  <c r="BD167" i="4" l="1"/>
  <c r="BB167" i="4"/>
  <c r="BA168" i="4" s="1"/>
  <c r="BF165" i="4"/>
  <c r="BE165" i="4"/>
  <c r="BG166" i="4"/>
  <c r="BC166" i="4"/>
  <c r="BD168" i="4" l="1"/>
  <c r="BB168" i="4"/>
  <c r="BA169" i="4" s="1"/>
  <c r="BF166" i="4"/>
  <c r="BE166" i="4"/>
  <c r="BC167" i="4"/>
  <c r="BG167" i="4"/>
  <c r="BD169" i="4" l="1"/>
  <c r="BB169" i="4"/>
  <c r="BA170" i="4" s="1"/>
  <c r="BC168" i="4"/>
  <c r="BG168" i="4"/>
  <c r="BE167" i="4"/>
  <c r="BF167" i="4"/>
  <c r="BB170" i="4" l="1"/>
  <c r="BA171" i="4" s="1"/>
  <c r="BD170" i="4"/>
  <c r="BF168" i="4"/>
  <c r="BE168" i="4"/>
  <c r="BC169" i="4"/>
  <c r="BG169" i="4"/>
  <c r="BE169" i="4" l="1"/>
  <c r="BF169" i="4"/>
  <c r="BB171" i="4"/>
  <c r="BA172" i="4" s="1"/>
  <c r="BD171" i="4"/>
  <c r="BC170" i="4"/>
  <c r="BG170" i="4"/>
  <c r="BE170" i="4" l="1"/>
  <c r="BF170" i="4"/>
  <c r="BC171" i="4"/>
  <c r="BG171" i="4"/>
  <c r="BB172" i="4"/>
  <c r="BA173" i="4" s="1"/>
  <c r="BD172" i="4"/>
  <c r="BG172" i="4" l="1"/>
  <c r="BC172" i="4"/>
  <c r="BE171" i="4"/>
  <c r="BF171" i="4"/>
  <c r="BD173" i="4"/>
  <c r="BB173" i="4"/>
  <c r="BA174" i="4" s="1"/>
  <c r="BD174" i="4" l="1"/>
  <c r="BB174" i="4"/>
  <c r="BA175" i="4" s="1"/>
  <c r="BG173" i="4"/>
  <c r="BC173" i="4"/>
  <c r="BF172" i="4"/>
  <c r="BE172" i="4"/>
  <c r="BE173" i="4" l="1"/>
  <c r="BF173" i="4"/>
  <c r="BB175" i="4"/>
  <c r="BA176" i="4" s="1"/>
  <c r="BD175" i="4"/>
  <c r="BG174" i="4"/>
  <c r="BC174" i="4"/>
  <c r="BD176" i="4" l="1"/>
  <c r="BB176" i="4"/>
  <c r="BA177" i="4" s="1"/>
  <c r="BE174" i="4"/>
  <c r="BF174" i="4"/>
  <c r="BC175" i="4"/>
  <c r="BG175" i="4"/>
  <c r="BD177" i="4" l="1"/>
  <c r="BB177" i="4"/>
  <c r="BA178" i="4" s="1"/>
  <c r="BF175" i="4"/>
  <c r="BE175" i="4"/>
  <c r="BC176" i="4"/>
  <c r="BG176" i="4"/>
  <c r="BD178" i="4" l="1"/>
  <c r="BB178" i="4"/>
  <c r="BA179" i="4" s="1"/>
  <c r="BE176" i="4"/>
  <c r="BF176" i="4"/>
  <c r="BC177" i="4"/>
  <c r="BG177" i="4"/>
  <c r="BF177" i="4" l="1"/>
  <c r="BE177" i="4"/>
  <c r="BB179" i="4"/>
  <c r="BA180" i="4" s="1"/>
  <c r="BD179" i="4"/>
  <c r="BC178" i="4"/>
  <c r="BG178" i="4"/>
  <c r="BF178" i="4" l="1"/>
  <c r="BE178" i="4"/>
  <c r="BC179" i="4"/>
  <c r="BG179" i="4"/>
  <c r="BD180" i="4"/>
  <c r="BB180" i="4"/>
  <c r="BA181" i="4" s="1"/>
  <c r="BB181" i="4" l="1"/>
  <c r="BA182" i="4" s="1"/>
  <c r="BD181" i="4"/>
  <c r="BG180" i="4"/>
  <c r="BC180" i="4"/>
  <c r="BF179" i="4"/>
  <c r="BE179" i="4"/>
  <c r="BE180" i="4" l="1"/>
  <c r="BF180" i="4"/>
  <c r="BD182" i="4"/>
  <c r="BB182" i="4"/>
  <c r="BA183" i="4" s="1"/>
  <c r="BG181" i="4"/>
  <c r="BC181" i="4"/>
  <c r="BB183" i="4" l="1"/>
  <c r="BA184" i="4" s="1"/>
  <c r="BD183" i="4"/>
  <c r="BG182" i="4"/>
  <c r="BC182" i="4"/>
  <c r="BF181" i="4"/>
  <c r="BE181" i="4"/>
  <c r="BB184" i="4" l="1"/>
  <c r="BA185" i="4" s="1"/>
  <c r="BD184" i="4"/>
  <c r="BE182" i="4"/>
  <c r="BF182" i="4"/>
  <c r="BC183" i="4"/>
  <c r="BG183" i="4"/>
  <c r="BD185" i="4" l="1"/>
  <c r="BB185" i="4"/>
  <c r="BA186" i="4" s="1"/>
  <c r="BC184" i="4"/>
  <c r="BG184" i="4"/>
  <c r="BF183" i="4"/>
  <c r="BE183" i="4"/>
  <c r="BB186" i="4" l="1"/>
  <c r="BA187" i="4" s="1"/>
  <c r="BD186" i="4"/>
  <c r="BF184" i="4"/>
  <c r="BE184" i="4"/>
  <c r="BC185" i="4"/>
  <c r="BG185" i="4"/>
  <c r="BC186" i="4" l="1"/>
  <c r="BG186" i="4"/>
  <c r="BB187" i="4"/>
  <c r="BA188" i="4" s="1"/>
  <c r="BD187" i="4"/>
  <c r="BF185" i="4"/>
  <c r="BE185" i="4"/>
  <c r="BC187" i="4" l="1"/>
  <c r="BG187" i="4"/>
  <c r="BB188" i="4"/>
  <c r="BA189" i="4" s="1"/>
  <c r="BD188" i="4"/>
  <c r="BF186" i="4"/>
  <c r="BE186" i="4"/>
  <c r="BC188" i="4" l="1"/>
  <c r="BG188" i="4"/>
  <c r="BD189" i="4"/>
  <c r="BB189" i="4"/>
  <c r="BA190" i="4" s="1"/>
  <c r="BF187" i="4"/>
  <c r="BE187" i="4"/>
  <c r="BD190" i="4" l="1"/>
  <c r="BB190" i="4"/>
  <c r="BA191" i="4" s="1"/>
  <c r="BC189" i="4"/>
  <c r="BG189" i="4"/>
  <c r="BE188" i="4"/>
  <c r="BF188" i="4"/>
  <c r="BB191" i="4" l="1"/>
  <c r="BA192" i="4" s="1"/>
  <c r="BD191" i="4"/>
  <c r="BF189" i="4"/>
  <c r="BE189" i="4"/>
  <c r="BG190" i="4"/>
  <c r="BC190" i="4"/>
  <c r="BF190" i="4" l="1"/>
  <c r="BE190" i="4"/>
  <c r="BB192" i="4"/>
  <c r="BA193" i="4" s="1"/>
  <c r="BD192" i="4"/>
  <c r="BC191" i="4"/>
  <c r="BG191" i="4"/>
  <c r="BF191" i="4" l="1"/>
  <c r="BE191" i="4"/>
  <c r="BG192" i="4"/>
  <c r="BC192" i="4"/>
  <c r="BB193" i="4"/>
  <c r="BA194" i="4" s="1"/>
  <c r="BD193" i="4"/>
  <c r="BD194" i="4" l="1"/>
  <c r="BB194" i="4"/>
  <c r="BA195" i="4" s="1"/>
  <c r="BG193" i="4"/>
  <c r="BC193" i="4"/>
  <c r="BE192" i="4"/>
  <c r="BF192" i="4"/>
  <c r="BF193" i="4" l="1"/>
  <c r="BE193" i="4"/>
  <c r="BD195" i="4"/>
  <c r="BB195" i="4"/>
  <c r="BA196" i="4" s="1"/>
  <c r="BG194" i="4"/>
  <c r="BC194" i="4"/>
  <c r="BD196" i="4" l="1"/>
  <c r="BB196" i="4"/>
  <c r="BA197" i="4" s="1"/>
  <c r="BF194" i="4"/>
  <c r="BE194" i="4"/>
  <c r="BC195" i="4"/>
  <c r="BG195" i="4"/>
  <c r="BB197" i="4" l="1"/>
  <c r="BA198" i="4" s="1"/>
  <c r="BD197" i="4"/>
  <c r="BF195" i="4"/>
  <c r="BE195" i="4"/>
  <c r="BG196" i="4"/>
  <c r="BC196" i="4"/>
  <c r="BG197" i="4" l="1"/>
  <c r="BC197" i="4"/>
  <c r="BF196" i="4"/>
  <c r="BE196" i="4"/>
  <c r="BD198" i="4"/>
  <c r="BB198" i="4"/>
  <c r="BA199" i="4" s="1"/>
  <c r="BB199" i="4" l="1"/>
  <c r="BA200" i="4" s="1"/>
  <c r="BD199" i="4"/>
  <c r="BC198" i="4"/>
  <c r="BG198" i="4"/>
  <c r="BE197" i="4"/>
  <c r="BF197" i="4"/>
  <c r="BD200" i="4" l="1"/>
  <c r="BB200" i="4"/>
  <c r="BA201" i="4" s="1"/>
  <c r="BF198" i="4"/>
  <c r="BE198" i="4"/>
  <c r="BC199" i="4"/>
  <c r="BG199" i="4"/>
  <c r="BB201" i="4" l="1"/>
  <c r="BA202" i="4" s="1"/>
  <c r="BD201" i="4"/>
  <c r="BF199" i="4"/>
  <c r="BE199" i="4"/>
  <c r="BG200" i="4"/>
  <c r="BC200" i="4"/>
  <c r="BD202" i="4" l="1"/>
  <c r="BB202" i="4"/>
  <c r="BA203" i="4" s="1"/>
  <c r="BE200" i="4"/>
  <c r="BF200" i="4"/>
  <c r="BG201" i="4"/>
  <c r="BC201" i="4"/>
  <c r="BD203" i="4" l="1"/>
  <c r="BB203" i="4"/>
  <c r="BA204" i="4" s="1"/>
  <c r="BC202" i="4"/>
  <c r="BG202" i="4"/>
  <c r="BF201" i="4"/>
  <c r="BE201" i="4"/>
  <c r="BD204" i="4" l="1"/>
  <c r="BB204" i="4"/>
  <c r="BA205" i="4" s="1"/>
  <c r="BF202" i="4"/>
  <c r="BE202" i="4"/>
  <c r="BC203" i="4"/>
  <c r="BG203" i="4"/>
  <c r="BD205" i="4" l="1"/>
  <c r="BB205" i="4"/>
  <c r="BA206" i="4" s="1"/>
  <c r="BF203" i="4"/>
  <c r="BE203" i="4"/>
  <c r="BC204" i="4"/>
  <c r="BG204" i="4"/>
  <c r="BB206" i="4" l="1"/>
  <c r="BA207" i="4" s="1"/>
  <c r="BD206" i="4"/>
  <c r="BF204" i="4"/>
  <c r="BE204" i="4"/>
  <c r="BC205" i="4"/>
  <c r="BG205" i="4"/>
  <c r="BE205" i="4" l="1"/>
  <c r="BF205" i="4"/>
  <c r="BB207" i="4"/>
  <c r="BA208" i="4" s="1"/>
  <c r="BD207" i="4"/>
  <c r="BC206" i="4"/>
  <c r="BG206" i="4"/>
  <c r="BG207" i="4" l="1"/>
  <c r="BC207" i="4"/>
  <c r="BD208" i="4"/>
  <c r="BB208" i="4"/>
  <c r="BA209" i="4" s="1"/>
  <c r="BF206" i="4"/>
  <c r="BE206" i="4"/>
  <c r="BG208" i="4" l="1"/>
  <c r="BC208" i="4"/>
  <c r="BF207" i="4"/>
  <c r="BE207" i="4"/>
  <c r="BB209" i="4"/>
  <c r="BA210" i="4" s="1"/>
  <c r="BD209" i="4"/>
  <c r="BG209" i="4" l="1"/>
  <c r="BC209" i="4"/>
  <c r="BE208" i="4"/>
  <c r="BF208" i="4"/>
  <c r="BB210" i="4"/>
  <c r="BA211" i="4" s="1"/>
  <c r="BD210" i="4"/>
  <c r="BG210" i="4" l="1"/>
  <c r="BC210" i="4"/>
  <c r="BB211" i="4"/>
  <c r="BA212" i="4" s="1"/>
  <c r="BD211" i="4"/>
  <c r="BF209" i="4"/>
  <c r="BE209" i="4"/>
  <c r="BD212" i="4" l="1"/>
  <c r="BB212" i="4"/>
  <c r="BA213" i="4" s="1"/>
  <c r="BC211" i="4"/>
  <c r="BG211" i="4"/>
  <c r="BE210" i="4"/>
  <c r="BF210" i="4"/>
  <c r="BB213" i="4" l="1"/>
  <c r="BA214" i="4" s="1"/>
  <c r="BD213" i="4"/>
  <c r="BC212" i="4"/>
  <c r="BG212" i="4"/>
  <c r="BE211" i="4"/>
  <c r="BF211" i="4"/>
  <c r="BG213" i="4" l="1"/>
  <c r="BC213" i="4"/>
  <c r="BD214" i="4"/>
  <c r="BB214" i="4"/>
  <c r="BA215" i="4" s="1"/>
  <c r="BF212" i="4"/>
  <c r="BE212" i="4"/>
  <c r="BD215" i="4" l="1"/>
  <c r="BB215" i="4"/>
  <c r="BA216" i="4" s="1"/>
  <c r="BG214" i="4"/>
  <c r="BC214" i="4"/>
  <c r="BF213" i="4"/>
  <c r="BE213" i="4"/>
  <c r="BB216" i="4" l="1"/>
  <c r="BA217" i="4" s="1"/>
  <c r="BD216" i="4"/>
  <c r="BF214" i="4"/>
  <c r="BE214" i="4"/>
  <c r="BG215" i="4"/>
  <c r="BC215" i="4"/>
  <c r="BE215" i="4" l="1"/>
  <c r="BF215" i="4"/>
  <c r="BD217" i="4"/>
  <c r="BB217" i="4"/>
  <c r="BA218" i="4" s="1"/>
  <c r="BC216" i="4"/>
  <c r="BG216" i="4"/>
  <c r="BE216" i="4" l="1"/>
  <c r="BF216" i="4"/>
  <c r="BD218" i="4"/>
  <c r="BB218" i="4"/>
  <c r="BA219" i="4" s="1"/>
  <c r="BG217" i="4"/>
  <c r="BC217" i="4"/>
  <c r="BD219" i="4" l="1"/>
  <c r="BB219" i="4"/>
  <c r="BA220" i="4" s="1"/>
  <c r="BC218" i="4"/>
  <c r="BG218" i="4"/>
  <c r="BF217" i="4"/>
  <c r="BE217" i="4"/>
  <c r="BD220" i="4" l="1"/>
  <c r="BB220" i="4"/>
  <c r="BA221" i="4" s="1"/>
  <c r="BE218" i="4"/>
  <c r="BF218" i="4"/>
  <c r="BG219" i="4"/>
  <c r="BC219" i="4"/>
  <c r="BD221" i="4" l="1"/>
  <c r="BB221" i="4"/>
  <c r="BA222" i="4" s="1"/>
  <c r="BE219" i="4"/>
  <c r="BF219" i="4"/>
  <c r="BC220" i="4"/>
  <c r="BG220" i="4"/>
  <c r="BB222" i="4" l="1"/>
  <c r="BA223" i="4" s="1"/>
  <c r="BD222" i="4"/>
  <c r="BE220" i="4"/>
  <c r="BF220" i="4"/>
  <c r="BG221" i="4"/>
  <c r="BC221" i="4"/>
  <c r="BF221" i="4" l="1"/>
  <c r="BE221" i="4"/>
  <c r="BC222" i="4"/>
  <c r="BG222" i="4"/>
  <c r="BD223" i="4"/>
  <c r="BB223" i="4"/>
  <c r="BA224" i="4" s="1"/>
  <c r="BB224" i="4" l="1"/>
  <c r="BA225" i="4" s="1"/>
  <c r="BD224" i="4"/>
  <c r="BF222" i="4"/>
  <c r="BE222" i="4"/>
  <c r="BG223" i="4"/>
  <c r="BC223" i="4"/>
  <c r="BD225" i="4" l="1"/>
  <c r="BB225" i="4"/>
  <c r="BA226" i="4" s="1"/>
  <c r="BE223" i="4"/>
  <c r="BF223" i="4"/>
  <c r="BC224" i="4"/>
  <c r="BG224" i="4"/>
  <c r="BF224" i="4" l="1"/>
  <c r="BE224" i="4"/>
  <c r="BB226" i="4"/>
  <c r="BA227" i="4" s="1"/>
  <c r="BD226" i="4"/>
  <c r="BG225" i="4"/>
  <c r="BC225" i="4"/>
  <c r="BB227" i="4" l="1"/>
  <c r="BA228" i="4" s="1"/>
  <c r="BD227" i="4"/>
  <c r="BE225" i="4"/>
  <c r="BF225" i="4"/>
  <c r="BC226" i="4"/>
  <c r="BG226" i="4"/>
  <c r="BC227" i="4" l="1"/>
  <c r="BG227" i="4"/>
  <c r="BE226" i="4"/>
  <c r="BF226" i="4"/>
  <c r="BD228" i="4"/>
  <c r="BB228" i="4"/>
  <c r="BA229" i="4" s="1"/>
  <c r="BB229" i="4" l="1"/>
  <c r="BA230" i="4" s="1"/>
  <c r="BD229" i="4"/>
  <c r="BC228" i="4"/>
  <c r="BG228" i="4"/>
  <c r="BF227" i="4"/>
  <c r="BE227" i="4"/>
  <c r="BE228" i="4" l="1"/>
  <c r="BF228" i="4"/>
  <c r="BB230" i="4"/>
  <c r="BA231" i="4" s="1"/>
  <c r="BD230" i="4"/>
  <c r="BG229" i="4"/>
  <c r="BC229" i="4"/>
  <c r="BB231" i="4" l="1"/>
  <c r="BA232" i="4" s="1"/>
  <c r="BD231" i="4"/>
  <c r="BE229" i="4"/>
  <c r="BF229" i="4"/>
  <c r="BG230" i="4"/>
  <c r="BC230" i="4"/>
  <c r="BE230" i="4" l="1"/>
  <c r="BF230" i="4"/>
  <c r="BG231" i="4"/>
  <c r="BC231" i="4"/>
  <c r="BD232" i="4"/>
  <c r="BB232" i="4"/>
  <c r="BA233" i="4" s="1"/>
  <c r="BD233" i="4" l="1"/>
  <c r="BB233" i="4"/>
  <c r="BA234" i="4" s="1"/>
  <c r="BC232" i="4"/>
  <c r="BG232" i="4"/>
  <c r="BF231" i="4"/>
  <c r="BE231" i="4"/>
  <c r="BB234" i="4" l="1"/>
  <c r="BA235" i="4" s="1"/>
  <c r="BD234" i="4"/>
  <c r="BF232" i="4"/>
  <c r="BE232" i="4"/>
  <c r="BC233" i="4"/>
  <c r="BG233" i="4"/>
  <c r="BB235" i="4" l="1"/>
  <c r="BA236" i="4" s="1"/>
  <c r="BD235" i="4"/>
  <c r="BE233" i="4"/>
  <c r="BF233" i="4"/>
  <c r="BC234" i="4"/>
  <c r="BG234" i="4"/>
  <c r="BG235" i="4" l="1"/>
  <c r="BC235" i="4"/>
  <c r="BE234" i="4"/>
  <c r="BF234" i="4"/>
  <c r="BB236" i="4"/>
  <c r="BA237" i="4" s="1"/>
  <c r="BD236" i="4"/>
  <c r="BB237" i="4" l="1"/>
  <c r="BA238" i="4" s="1"/>
  <c r="BD237" i="4"/>
  <c r="BC236" i="4"/>
  <c r="BG236" i="4"/>
  <c r="BF235" i="4"/>
  <c r="BE235" i="4"/>
  <c r="BE236" i="4" l="1"/>
  <c r="BF236" i="4"/>
  <c r="BB238" i="4"/>
  <c r="BA239" i="4" s="1"/>
  <c r="BD238" i="4"/>
  <c r="BG237" i="4"/>
  <c r="BC237" i="4"/>
  <c r="BD239" i="4" l="1"/>
  <c r="BB239" i="4"/>
  <c r="BA240" i="4" s="1"/>
  <c r="BF237" i="4"/>
  <c r="BE237" i="4"/>
  <c r="BC238" i="4"/>
  <c r="BG238" i="4"/>
  <c r="BF238" i="4" l="1"/>
  <c r="BE238" i="4"/>
  <c r="BB240" i="4"/>
  <c r="BA241" i="4" s="1"/>
  <c r="BD240" i="4"/>
  <c r="BG239" i="4"/>
  <c r="BC239" i="4"/>
  <c r="BD241" i="4" l="1"/>
  <c r="BB241" i="4"/>
  <c r="BA242" i="4" s="1"/>
  <c r="BF239" i="4"/>
  <c r="BE239" i="4"/>
  <c r="BC240" i="4"/>
  <c r="BG240" i="4"/>
  <c r="BD242" i="4" l="1"/>
  <c r="BB242" i="4"/>
  <c r="BA243" i="4" s="1"/>
  <c r="BF240" i="4"/>
  <c r="BE240" i="4"/>
  <c r="BG241" i="4"/>
  <c r="BC241" i="4"/>
  <c r="BD243" i="4" l="1"/>
  <c r="BB243" i="4"/>
  <c r="BA244" i="4" s="1"/>
  <c r="BE241" i="4"/>
  <c r="BF241" i="4"/>
  <c r="BC242" i="4"/>
  <c r="BG242" i="4"/>
  <c r="BE242" i="4" l="1"/>
  <c r="BF242" i="4"/>
  <c r="BD244" i="4"/>
  <c r="BB244" i="4"/>
  <c r="BA245" i="4" s="1"/>
  <c r="BG243" i="4"/>
  <c r="BC243" i="4"/>
  <c r="BB245" i="4" l="1"/>
  <c r="BA246" i="4" s="1"/>
  <c r="BD245" i="4"/>
  <c r="BF243" i="4"/>
  <c r="BE243" i="4"/>
  <c r="BC244" i="4"/>
  <c r="BG244" i="4"/>
  <c r="BB246" i="4" l="1"/>
  <c r="BA247" i="4" s="1"/>
  <c r="BD246" i="4"/>
  <c r="BF244" i="4"/>
  <c r="BE244" i="4"/>
  <c r="BG245" i="4"/>
  <c r="BC245" i="4"/>
  <c r="BD247" i="4" l="1"/>
  <c r="BB247" i="4"/>
  <c r="BA248" i="4" s="1"/>
  <c r="BF245" i="4"/>
  <c r="BE245" i="4"/>
  <c r="BG246" i="4"/>
  <c r="BC246" i="4"/>
  <c r="BB248" i="4" l="1"/>
  <c r="BA249" i="4" s="1"/>
  <c r="BD248" i="4"/>
  <c r="BE246" i="4"/>
  <c r="BF246" i="4"/>
  <c r="BG247" i="4"/>
  <c r="BC247" i="4"/>
  <c r="BD249" i="4" l="1"/>
  <c r="BB249" i="4"/>
  <c r="BA250" i="4" s="1"/>
  <c r="BF247" i="4"/>
  <c r="BE247" i="4"/>
  <c r="BC248" i="4"/>
  <c r="BG248" i="4"/>
  <c r="BB250" i="4" l="1"/>
  <c r="BA251" i="4" s="1"/>
  <c r="BD250" i="4"/>
  <c r="BF248" i="4"/>
  <c r="BE248" i="4"/>
  <c r="BG249" i="4"/>
  <c r="BC249" i="4"/>
  <c r="BF249" i="4" l="1"/>
  <c r="BE249" i="4"/>
  <c r="BC250" i="4"/>
  <c r="BG250" i="4"/>
  <c r="BB251" i="4"/>
  <c r="BA252" i="4" s="1"/>
  <c r="BD251" i="4"/>
  <c r="BF250" i="4" l="1"/>
  <c r="BE250" i="4"/>
  <c r="BB252" i="4"/>
  <c r="BA253" i="4" s="1"/>
  <c r="BD252" i="4"/>
  <c r="BC251" i="4"/>
  <c r="BG251" i="4"/>
  <c r="BF251" i="4" l="1"/>
  <c r="BE251" i="4"/>
  <c r="BC252" i="4"/>
  <c r="BG252" i="4"/>
  <c r="BB253" i="4"/>
  <c r="BA254" i="4" s="1"/>
  <c r="BD253" i="4"/>
  <c r="BB254" i="4" l="1"/>
  <c r="BA255" i="4" s="1"/>
  <c r="BD254" i="4"/>
  <c r="BG253" i="4"/>
  <c r="BC253" i="4"/>
  <c r="BF252" i="4"/>
  <c r="BE252" i="4"/>
  <c r="BD255" i="4" l="1"/>
  <c r="BB255" i="4"/>
  <c r="BA256" i="4" s="1"/>
  <c r="BE253" i="4"/>
  <c r="BF253" i="4"/>
  <c r="BG254" i="4"/>
  <c r="BC254" i="4"/>
  <c r="BE254" i="4" l="1"/>
  <c r="BF254" i="4"/>
  <c r="BB256" i="4"/>
  <c r="BA257" i="4" s="1"/>
  <c r="BD256" i="4"/>
  <c r="BG255" i="4"/>
  <c r="BC255" i="4"/>
  <c r="BE255" i="4" l="1"/>
  <c r="BF255" i="4"/>
  <c r="BD257" i="4"/>
  <c r="BB257" i="4"/>
  <c r="BA258" i="4" s="1"/>
  <c r="BC256" i="4"/>
  <c r="BG256" i="4"/>
  <c r="BD258" i="4" l="1"/>
  <c r="BB258" i="4"/>
  <c r="BA259" i="4" s="1"/>
  <c r="BG257" i="4"/>
  <c r="BC257" i="4"/>
  <c r="BE256" i="4"/>
  <c r="BF256" i="4"/>
  <c r="BB259" i="4" l="1"/>
  <c r="BA260" i="4" s="1"/>
  <c r="BD259" i="4"/>
  <c r="BF257" i="4"/>
  <c r="BE257" i="4"/>
  <c r="BC258" i="4"/>
  <c r="BG258" i="4"/>
  <c r="BF258" i="4" l="1"/>
  <c r="BE258" i="4"/>
  <c r="BC259" i="4"/>
  <c r="BG259" i="4"/>
  <c r="BB260" i="4"/>
  <c r="BA261" i="4" s="1"/>
  <c r="BD260" i="4"/>
  <c r="BB261" i="4" l="1"/>
  <c r="BA262" i="4" s="1"/>
  <c r="BD261" i="4"/>
  <c r="BC260" i="4"/>
  <c r="BG260" i="4"/>
  <c r="BF259" i="4"/>
  <c r="BE259" i="4"/>
  <c r="BB262" i="4" l="1"/>
  <c r="BA263" i="4" s="1"/>
  <c r="BD262" i="4"/>
  <c r="BG261" i="4"/>
  <c r="BC261" i="4"/>
  <c r="BE260" i="4"/>
  <c r="BF260" i="4"/>
  <c r="BE261" i="4" l="1"/>
  <c r="BF261" i="4"/>
  <c r="BB263" i="4"/>
  <c r="BA264" i="4" s="1"/>
  <c r="BD263" i="4"/>
  <c r="BG262" i="4"/>
  <c r="BC262" i="4"/>
  <c r="BD264" i="4" l="1"/>
  <c r="BB264" i="4"/>
  <c r="BA265" i="4" s="1"/>
  <c r="BG263" i="4"/>
  <c r="BC263" i="4"/>
  <c r="BE262" i="4"/>
  <c r="BF262" i="4"/>
  <c r="BB265" i="4" l="1"/>
  <c r="BA266" i="4" s="1"/>
  <c r="BD265" i="4"/>
  <c r="BE263" i="4"/>
  <c r="BF263" i="4"/>
  <c r="BC264" i="4"/>
  <c r="BG264" i="4"/>
  <c r="BD266" i="4" l="1"/>
  <c r="BB266" i="4"/>
  <c r="BA267" i="4" s="1"/>
  <c r="BE264" i="4"/>
  <c r="BF264" i="4"/>
  <c r="BC265" i="4"/>
  <c r="BG265" i="4"/>
  <c r="BD267" i="4" l="1"/>
  <c r="BB267" i="4"/>
  <c r="BA268" i="4" s="1"/>
  <c r="BF265" i="4"/>
  <c r="BE265" i="4"/>
  <c r="BC266" i="4"/>
  <c r="BG266" i="4"/>
  <c r="BB268" i="4" l="1"/>
  <c r="BA269" i="4" s="1"/>
  <c r="BD268" i="4"/>
  <c r="BE266" i="4"/>
  <c r="BF266" i="4"/>
  <c r="BG267" i="4"/>
  <c r="BC267" i="4"/>
  <c r="BD269" i="4" l="1"/>
  <c r="BB269" i="4"/>
  <c r="BA270" i="4" s="1"/>
  <c r="BF267" i="4"/>
  <c r="BE267" i="4"/>
  <c r="BG268" i="4"/>
  <c r="BC268" i="4"/>
  <c r="BB270" i="4" l="1"/>
  <c r="BA271" i="4" s="1"/>
  <c r="BD270" i="4"/>
  <c r="BE268" i="4"/>
  <c r="BF268" i="4"/>
  <c r="BG269" i="4"/>
  <c r="BC269" i="4"/>
  <c r="BD271" i="4" l="1"/>
  <c r="BB271" i="4"/>
  <c r="BA272" i="4" s="1"/>
  <c r="BG270" i="4"/>
  <c r="BC270" i="4"/>
  <c r="BE269" i="4"/>
  <c r="BF269" i="4"/>
  <c r="BE270" i="4" l="1"/>
  <c r="BF270" i="4"/>
  <c r="BD272" i="4"/>
  <c r="BB272" i="4"/>
  <c r="BA273" i="4" s="1"/>
  <c r="BC271" i="4"/>
  <c r="BG271" i="4"/>
  <c r="BD273" i="4" l="1"/>
  <c r="BB273" i="4"/>
  <c r="BA274" i="4" s="1"/>
  <c r="BE271" i="4"/>
  <c r="BF271" i="4"/>
  <c r="BC272" i="4"/>
  <c r="BG272" i="4"/>
  <c r="BB274" i="4" l="1"/>
  <c r="BA275" i="4" s="1"/>
  <c r="BD274" i="4"/>
  <c r="BF272" i="4"/>
  <c r="BE272" i="4"/>
  <c r="BG273" i="4"/>
  <c r="BC273" i="4"/>
  <c r="BC274" i="4" l="1"/>
  <c r="BG274" i="4"/>
  <c r="BB275" i="4"/>
  <c r="BA276" i="4" s="1"/>
  <c r="BD275" i="4"/>
  <c r="BE273" i="4"/>
  <c r="BF273" i="4"/>
  <c r="BD276" i="4" l="1"/>
  <c r="BB276" i="4"/>
  <c r="BA277" i="4" s="1"/>
  <c r="BC275" i="4"/>
  <c r="BG275" i="4"/>
  <c r="BE274" i="4"/>
  <c r="BF274" i="4"/>
  <c r="BD277" i="4" l="1"/>
  <c r="BB277" i="4"/>
  <c r="BA278" i="4" s="1"/>
  <c r="BE275" i="4"/>
  <c r="BF275" i="4"/>
  <c r="BC276" i="4"/>
  <c r="BG276" i="4"/>
  <c r="BB278" i="4" l="1"/>
  <c r="BA279" i="4" s="1"/>
  <c r="BD278" i="4"/>
  <c r="BE276" i="4"/>
  <c r="BF276" i="4"/>
  <c r="BG277" i="4"/>
  <c r="BC277" i="4"/>
  <c r="BD279" i="4" l="1"/>
  <c r="BB279" i="4"/>
  <c r="BA280" i="4" s="1"/>
  <c r="BG278" i="4"/>
  <c r="BC278" i="4"/>
  <c r="BE277" i="4"/>
  <c r="BF277" i="4"/>
  <c r="BB280" i="4" l="1"/>
  <c r="BA281" i="4" s="1"/>
  <c r="BD280" i="4"/>
  <c r="BG279" i="4"/>
  <c r="BC279" i="4"/>
  <c r="BF278" i="4"/>
  <c r="BE278" i="4"/>
  <c r="BD281" i="4" l="1"/>
  <c r="BB281" i="4"/>
  <c r="BA282" i="4" s="1"/>
  <c r="BC280" i="4"/>
  <c r="BG280" i="4"/>
  <c r="BE279" i="4"/>
  <c r="BF279" i="4"/>
  <c r="BD282" i="4" l="1"/>
  <c r="BB282" i="4"/>
  <c r="BA283" i="4" s="1"/>
  <c r="BG281" i="4"/>
  <c r="BC281" i="4"/>
  <c r="BE280" i="4"/>
  <c r="BF280" i="4"/>
  <c r="BB283" i="4" l="1"/>
  <c r="BA284" i="4" s="1"/>
  <c r="BD283" i="4"/>
  <c r="BE281" i="4"/>
  <c r="BF281" i="4"/>
  <c r="BC282" i="4"/>
  <c r="BG282" i="4"/>
  <c r="BD284" i="4" l="1"/>
  <c r="BB284" i="4"/>
  <c r="BA285" i="4" s="1"/>
  <c r="BF282" i="4"/>
  <c r="BE282" i="4"/>
  <c r="BC283" i="4"/>
  <c r="BG283" i="4"/>
  <c r="BB285" i="4" l="1"/>
  <c r="BA286" i="4" s="1"/>
  <c r="BD285" i="4"/>
  <c r="BF283" i="4"/>
  <c r="BE283" i="4"/>
  <c r="BC284" i="4"/>
  <c r="BG284" i="4"/>
  <c r="BD286" i="4" l="1"/>
  <c r="BB286" i="4"/>
  <c r="BA287" i="4" s="1"/>
  <c r="BE284" i="4"/>
  <c r="BF284" i="4"/>
  <c r="BG285" i="4"/>
  <c r="BC285" i="4"/>
  <c r="BD287" i="4" l="1"/>
  <c r="BB287" i="4"/>
  <c r="BA288" i="4" s="1"/>
  <c r="BF285" i="4"/>
  <c r="BE285" i="4"/>
  <c r="BC286" i="4"/>
  <c r="BG286" i="4"/>
  <c r="BB288" i="4" l="1"/>
  <c r="BA289" i="4" s="1"/>
  <c r="BD288" i="4"/>
  <c r="BG287" i="4"/>
  <c r="BC287" i="4"/>
  <c r="BF286" i="4"/>
  <c r="BE286" i="4"/>
  <c r="BF287" i="4" l="1"/>
  <c r="BE287" i="4"/>
  <c r="BD289" i="4"/>
  <c r="BB289" i="4"/>
  <c r="BA290" i="4" s="1"/>
  <c r="BC288" i="4"/>
  <c r="BG288" i="4"/>
  <c r="BD290" i="4" l="1"/>
  <c r="BB290" i="4"/>
  <c r="BA291" i="4" s="1"/>
  <c r="BG289" i="4"/>
  <c r="BC289" i="4"/>
  <c r="BF288" i="4"/>
  <c r="BE288" i="4"/>
  <c r="BB291" i="4" l="1"/>
  <c r="BA292" i="4" s="1"/>
  <c r="BD291" i="4"/>
  <c r="BF289" i="4"/>
  <c r="BE289" i="4"/>
  <c r="BC290" i="4"/>
  <c r="BG290" i="4"/>
  <c r="BB292" i="4" l="1"/>
  <c r="BA293" i="4" s="1"/>
  <c r="BD292" i="4"/>
  <c r="BC291" i="4"/>
  <c r="BG291" i="4"/>
  <c r="BE290" i="4"/>
  <c r="BF290" i="4"/>
  <c r="BB293" i="4" l="1"/>
  <c r="BA294" i="4" s="1"/>
  <c r="BD293" i="4"/>
  <c r="BE291" i="4"/>
  <c r="BF291" i="4"/>
  <c r="BC292" i="4"/>
  <c r="BG292" i="4"/>
  <c r="BF292" i="4" l="1"/>
  <c r="BE292" i="4"/>
  <c r="BC293" i="4"/>
  <c r="BG293" i="4"/>
  <c r="BD294" i="4"/>
  <c r="BB294" i="4"/>
  <c r="BA295" i="4" s="1"/>
  <c r="BD295" i="4" l="1"/>
  <c r="BB295" i="4"/>
  <c r="BA296" i="4" s="1"/>
  <c r="BG294" i="4"/>
  <c r="BC294" i="4"/>
  <c r="BE293" i="4"/>
  <c r="BF293" i="4"/>
  <c r="BD296" i="4" l="1"/>
  <c r="BB296" i="4"/>
  <c r="BA297" i="4" s="1"/>
  <c r="BG295" i="4"/>
  <c r="BC295" i="4"/>
  <c r="BF294" i="4"/>
  <c r="BE294" i="4"/>
  <c r="BD297" i="4" l="1"/>
  <c r="BB297" i="4"/>
  <c r="BA298" i="4" s="1"/>
  <c r="BE295" i="4"/>
  <c r="BF295" i="4"/>
  <c r="BC296" i="4"/>
  <c r="BG296" i="4"/>
  <c r="BB298" i="4" l="1"/>
  <c r="BA299" i="4" s="1"/>
  <c r="BD298" i="4"/>
  <c r="BE296" i="4"/>
  <c r="BF296" i="4"/>
  <c r="BG297" i="4"/>
  <c r="BC297" i="4"/>
  <c r="BE297" i="4" l="1"/>
  <c r="BF297" i="4"/>
  <c r="BC298" i="4"/>
  <c r="BG298" i="4"/>
  <c r="BB299" i="4"/>
  <c r="BA300" i="4" s="1"/>
  <c r="BD299" i="4"/>
  <c r="BG299" i="4" l="1"/>
  <c r="BC299" i="4"/>
  <c r="BE298" i="4"/>
  <c r="BF298" i="4"/>
  <c r="BB300" i="4"/>
  <c r="BA301" i="4" s="1"/>
  <c r="BD300" i="4"/>
  <c r="BB301" i="4" l="1"/>
  <c r="BA302" i="4" s="1"/>
  <c r="BD301" i="4"/>
  <c r="BC300" i="4"/>
  <c r="BG300" i="4"/>
  <c r="BF299" i="4"/>
  <c r="BE299" i="4"/>
  <c r="BC301" i="4" l="1"/>
  <c r="BG301" i="4"/>
  <c r="BD302" i="4"/>
  <c r="BB302" i="4"/>
  <c r="BA303" i="4" s="1"/>
  <c r="BF300" i="4"/>
  <c r="BE300" i="4"/>
  <c r="BG302" i="4" l="1"/>
  <c r="BC302" i="4"/>
  <c r="BB303" i="4"/>
  <c r="BA304" i="4" s="1"/>
  <c r="BD303" i="4"/>
  <c r="BF301" i="4"/>
  <c r="BE301" i="4"/>
  <c r="BG303" i="4" l="1"/>
  <c r="BC303" i="4"/>
  <c r="BB304" i="4"/>
  <c r="BA305" i="4" s="1"/>
  <c r="BD304" i="4"/>
  <c r="BE302" i="4"/>
  <c r="BF302" i="4"/>
  <c r="BC304" i="4" l="1"/>
  <c r="BG304" i="4"/>
  <c r="BB305" i="4"/>
  <c r="BA306" i="4" s="1"/>
  <c r="BD305" i="4"/>
  <c r="BE303" i="4"/>
  <c r="BF303" i="4"/>
  <c r="BG305" i="4" l="1"/>
  <c r="BC305" i="4"/>
  <c r="BD306" i="4"/>
  <c r="BB306" i="4"/>
  <c r="BA307" i="4" s="1"/>
  <c r="BF304" i="4"/>
  <c r="BE304" i="4"/>
  <c r="BD307" i="4" l="1"/>
  <c r="BB307" i="4"/>
  <c r="BA308" i="4" s="1"/>
  <c r="BG306" i="4"/>
  <c r="BC306" i="4"/>
  <c r="BF305" i="4"/>
  <c r="BE305" i="4"/>
  <c r="BF306" i="4" l="1"/>
  <c r="BE306" i="4"/>
  <c r="BB308" i="4"/>
  <c r="BA309" i="4" s="1"/>
  <c r="BD308" i="4"/>
  <c r="BG307" i="4"/>
  <c r="BC307" i="4"/>
  <c r="BC308" i="4" l="1"/>
  <c r="BG308" i="4"/>
  <c r="BD309" i="4"/>
  <c r="BB309" i="4"/>
  <c r="BA310" i="4" s="1"/>
  <c r="BF307" i="4"/>
  <c r="BE307" i="4"/>
  <c r="BC309" i="4" l="1"/>
  <c r="BG309" i="4"/>
  <c r="BD310" i="4"/>
  <c r="BB310" i="4"/>
  <c r="BA311" i="4" s="1"/>
  <c r="BE308" i="4"/>
  <c r="BF308" i="4"/>
  <c r="BG310" i="4" l="1"/>
  <c r="BC310" i="4"/>
  <c r="BD311" i="4"/>
  <c r="BB311" i="4"/>
  <c r="BA312" i="4" s="1"/>
  <c r="BE309" i="4"/>
  <c r="BF309" i="4"/>
  <c r="BB312" i="4" l="1"/>
  <c r="BA313" i="4" s="1"/>
  <c r="BD312" i="4"/>
  <c r="BG311" i="4"/>
  <c r="BC311" i="4"/>
  <c r="BE310" i="4"/>
  <c r="BF310" i="4"/>
  <c r="BD313" i="4" l="1"/>
  <c r="BB313" i="4"/>
  <c r="BA314" i="4" s="1"/>
  <c r="BF311" i="4"/>
  <c r="BE311" i="4"/>
  <c r="BG312" i="4"/>
  <c r="BC312" i="4"/>
  <c r="BD314" i="4" l="1"/>
  <c r="BB314" i="4"/>
  <c r="BA315" i="4" s="1"/>
  <c r="BF312" i="4"/>
  <c r="BE312" i="4"/>
  <c r="BG313" i="4"/>
  <c r="BC313" i="4"/>
  <c r="BB315" i="4" l="1"/>
  <c r="BA316" i="4" s="1"/>
  <c r="BD315" i="4"/>
  <c r="BC314" i="4"/>
  <c r="BG314" i="4"/>
  <c r="BF313" i="4"/>
  <c r="BE313" i="4"/>
  <c r="BB316" i="4" l="1"/>
  <c r="BA317" i="4" s="1"/>
  <c r="BD316" i="4"/>
  <c r="BE314" i="4"/>
  <c r="BF314" i="4"/>
  <c r="BC315" i="4"/>
  <c r="BG315" i="4"/>
  <c r="BC316" i="4" l="1"/>
  <c r="BG316" i="4"/>
  <c r="BB317" i="4"/>
  <c r="BA318" i="4" s="1"/>
  <c r="BD317" i="4"/>
  <c r="BE315" i="4"/>
  <c r="BF315" i="4"/>
  <c r="BC317" i="4" l="1"/>
  <c r="BG317" i="4"/>
  <c r="BD318" i="4"/>
  <c r="BB318" i="4"/>
  <c r="BA319" i="4" s="1"/>
  <c r="BE316" i="4"/>
  <c r="BF316" i="4"/>
  <c r="BD319" i="4" l="1"/>
  <c r="BB319" i="4"/>
  <c r="BA320" i="4" s="1"/>
  <c r="BC318" i="4"/>
  <c r="BG318" i="4"/>
  <c r="BE317" i="4"/>
  <c r="BF317" i="4"/>
  <c r="BD320" i="4" l="1"/>
  <c r="BB320" i="4"/>
  <c r="BA321" i="4" s="1"/>
  <c r="BF318" i="4"/>
  <c r="BE318" i="4"/>
  <c r="BG319" i="4"/>
  <c r="BC319" i="4"/>
  <c r="BF319" i="4" l="1"/>
  <c r="BE319" i="4"/>
  <c r="BB321" i="4"/>
  <c r="BA322" i="4" s="1"/>
  <c r="BD321" i="4"/>
  <c r="BG320" i="4"/>
  <c r="BC320" i="4"/>
  <c r="BD322" i="4" l="1"/>
  <c r="BB322" i="4"/>
  <c r="BA323" i="4" s="1"/>
  <c r="BE320" i="4"/>
  <c r="BF320" i="4"/>
  <c r="BG321" i="4"/>
  <c r="BC321" i="4"/>
  <c r="BF321" i="4" l="1"/>
  <c r="BE321" i="4"/>
  <c r="BB323" i="4"/>
  <c r="BA324" i="4" s="1"/>
  <c r="BD323" i="4"/>
  <c r="BC322" i="4"/>
  <c r="BG322" i="4"/>
  <c r="BD324" i="4" l="1"/>
  <c r="BB324" i="4"/>
  <c r="BA325" i="4" s="1"/>
  <c r="BF322" i="4"/>
  <c r="BE322" i="4"/>
  <c r="BG323" i="4"/>
  <c r="BC323" i="4"/>
  <c r="BE323" i="4" l="1"/>
  <c r="BF323" i="4"/>
  <c r="BD325" i="4"/>
  <c r="BB325" i="4"/>
  <c r="BA326" i="4" s="1"/>
  <c r="BC324" i="4"/>
  <c r="BG324" i="4"/>
  <c r="BB326" i="4" l="1"/>
  <c r="BA327" i="4" s="1"/>
  <c r="BD326" i="4"/>
  <c r="BE324" i="4"/>
  <c r="BF324" i="4"/>
  <c r="BC325" i="4"/>
  <c r="BG325" i="4"/>
  <c r="BB327" i="4" l="1"/>
  <c r="BA328" i="4" s="1"/>
  <c r="BD327" i="4"/>
  <c r="BE325" i="4"/>
  <c r="BF325" i="4"/>
  <c r="BC326" i="4"/>
  <c r="BG326" i="4"/>
  <c r="BB328" i="4" l="1"/>
  <c r="BA329" i="4" s="1"/>
  <c r="BD328" i="4"/>
  <c r="BC327" i="4"/>
  <c r="BG327" i="4"/>
  <c r="BE326" i="4"/>
  <c r="BF326" i="4"/>
  <c r="BF327" i="4" l="1"/>
  <c r="BE327" i="4"/>
  <c r="BG328" i="4"/>
  <c r="BC328" i="4"/>
  <c r="BB329" i="4"/>
  <c r="BA330" i="4" s="1"/>
  <c r="BD329" i="4"/>
  <c r="BD330" i="4" l="1"/>
  <c r="BB330" i="4"/>
  <c r="BA331" i="4" s="1"/>
  <c r="BG329" i="4"/>
  <c r="BC329" i="4"/>
  <c r="BE328" i="4"/>
  <c r="BF328" i="4"/>
  <c r="BD331" i="4" l="1"/>
  <c r="BB331" i="4"/>
  <c r="BA332" i="4" s="1"/>
  <c r="BF329" i="4"/>
  <c r="BE329" i="4"/>
  <c r="BC330" i="4"/>
  <c r="BG330" i="4"/>
  <c r="BD332" i="4" l="1"/>
  <c r="BB332" i="4"/>
  <c r="BA333" i="4" s="1"/>
  <c r="BE330" i="4"/>
  <c r="BF330" i="4"/>
  <c r="BC331" i="4"/>
  <c r="BG331" i="4"/>
  <c r="BB333" i="4" l="1"/>
  <c r="BA334" i="4" s="1"/>
  <c r="BD333" i="4"/>
  <c r="BF331" i="4"/>
  <c r="BE331" i="4"/>
  <c r="BC332" i="4"/>
  <c r="BG332" i="4"/>
  <c r="BG333" i="4" l="1"/>
  <c r="BC333" i="4"/>
  <c r="BD334" i="4"/>
  <c r="BB334" i="4"/>
  <c r="BA335" i="4" s="1"/>
  <c r="BF332" i="4"/>
  <c r="BE332" i="4"/>
  <c r="BD335" i="4" l="1"/>
  <c r="BB335" i="4"/>
  <c r="BA336" i="4" s="1"/>
  <c r="BF333" i="4"/>
  <c r="BE333" i="4"/>
  <c r="BG334" i="4"/>
  <c r="BC334" i="4"/>
  <c r="BD336" i="4" l="1"/>
  <c r="BB336" i="4"/>
  <c r="BA337" i="4" s="1"/>
  <c r="BE334" i="4"/>
  <c r="BF334" i="4"/>
  <c r="BG335" i="4"/>
  <c r="BC335" i="4"/>
  <c r="BD337" i="4" l="1"/>
  <c r="BB337" i="4"/>
  <c r="BA338" i="4" s="1"/>
  <c r="BF335" i="4"/>
  <c r="BE335" i="4"/>
  <c r="BC336" i="4"/>
  <c r="BG336" i="4"/>
  <c r="BD338" i="4" l="1"/>
  <c r="BB338" i="4"/>
  <c r="BA339" i="4" s="1"/>
  <c r="BF336" i="4"/>
  <c r="BE336" i="4"/>
  <c r="BC337" i="4"/>
  <c r="BG337" i="4"/>
  <c r="BB339" i="4" l="1"/>
  <c r="BA340" i="4" s="1"/>
  <c r="BD339" i="4"/>
  <c r="BE337" i="4"/>
  <c r="BF337" i="4"/>
  <c r="BC338" i="4"/>
  <c r="BG338" i="4"/>
  <c r="BE338" i="4" l="1"/>
  <c r="BF338" i="4"/>
  <c r="BC339" i="4"/>
  <c r="BG339" i="4"/>
  <c r="BD340" i="4"/>
  <c r="BB340" i="4"/>
  <c r="BA341" i="4" s="1"/>
  <c r="BD341" i="4" l="1"/>
  <c r="BB341" i="4"/>
  <c r="BA342" i="4" s="1"/>
  <c r="BE339" i="4"/>
  <c r="BF339" i="4"/>
  <c r="BC340" i="4"/>
  <c r="BG340" i="4"/>
  <c r="BF340" i="4" l="1"/>
  <c r="BE340" i="4"/>
  <c r="BD342" i="4"/>
  <c r="BB342" i="4"/>
  <c r="BA343" i="4" s="1"/>
  <c r="BG341" i="4"/>
  <c r="BC341" i="4"/>
  <c r="BD343" i="4" l="1"/>
  <c r="BB343" i="4"/>
  <c r="BA344" i="4" s="1"/>
  <c r="BF341" i="4"/>
  <c r="BE341" i="4"/>
  <c r="BG342" i="4"/>
  <c r="BC342" i="4"/>
  <c r="BD344" i="4" l="1"/>
  <c r="BB344" i="4"/>
  <c r="BA345" i="4" s="1"/>
  <c r="BF342" i="4"/>
  <c r="BE342" i="4"/>
  <c r="BC343" i="4"/>
  <c r="BG343" i="4"/>
  <c r="BD345" i="4" l="1"/>
  <c r="BB345" i="4"/>
  <c r="BA346" i="4" s="1"/>
  <c r="BF343" i="4"/>
  <c r="BE343" i="4"/>
  <c r="BC344" i="4"/>
  <c r="BG344" i="4"/>
  <c r="BD346" i="4" l="1"/>
  <c r="BB346" i="4"/>
  <c r="BA347" i="4" s="1"/>
  <c r="BE344" i="4"/>
  <c r="BF344" i="4"/>
  <c r="BC345" i="4"/>
  <c r="BG345" i="4"/>
  <c r="BD347" i="4" l="1"/>
  <c r="BB347" i="4"/>
  <c r="BA348" i="4" s="1"/>
  <c r="BE345" i="4"/>
  <c r="BF345" i="4"/>
  <c r="BC346" i="4"/>
  <c r="BG346" i="4"/>
  <c r="BB348" i="4" l="1"/>
  <c r="BA349" i="4" s="1"/>
  <c r="BD348" i="4"/>
  <c r="BF346" i="4"/>
  <c r="BE346" i="4"/>
  <c r="BC347" i="4"/>
  <c r="BG347" i="4"/>
  <c r="BG348" i="4" l="1"/>
  <c r="BC348" i="4"/>
  <c r="BE347" i="4"/>
  <c r="BF347" i="4"/>
  <c r="BD349" i="4"/>
  <c r="BB349" i="4"/>
  <c r="BA350" i="4" s="1"/>
  <c r="BB350" i="4" l="1"/>
  <c r="BA351" i="4" s="1"/>
  <c r="BD350" i="4"/>
  <c r="BE348" i="4"/>
  <c r="BF348" i="4"/>
  <c r="BG349" i="4"/>
  <c r="BC349" i="4"/>
  <c r="BE349" i="4" l="1"/>
  <c r="BF349" i="4"/>
  <c r="BG350" i="4"/>
  <c r="BC350" i="4"/>
  <c r="BD351" i="4"/>
  <c r="BB351" i="4"/>
  <c r="BA352" i="4" s="1"/>
  <c r="BD352" i="4" l="1"/>
  <c r="BB352" i="4"/>
  <c r="BA353" i="4" s="1"/>
  <c r="BC351" i="4"/>
  <c r="BG351" i="4"/>
  <c r="BE350" i="4"/>
  <c r="BF350" i="4"/>
  <c r="BD353" i="4" l="1"/>
  <c r="BB353" i="4"/>
  <c r="BA354" i="4" s="1"/>
  <c r="BF351" i="4"/>
  <c r="BE351" i="4"/>
  <c r="BC352" i="4"/>
  <c r="BG352" i="4"/>
  <c r="BD354" i="4" l="1"/>
  <c r="BB354" i="4"/>
  <c r="BA355" i="4" s="1"/>
  <c r="BF352" i="4"/>
  <c r="BE352" i="4"/>
  <c r="BC353" i="4"/>
  <c r="BG353" i="4"/>
  <c r="BD355" i="4" l="1"/>
  <c r="BB355" i="4"/>
  <c r="BA356" i="4" s="1"/>
  <c r="BC354" i="4"/>
  <c r="BG354" i="4"/>
  <c r="BE353" i="4"/>
  <c r="BF353" i="4"/>
  <c r="BB356" i="4" l="1"/>
  <c r="BA357" i="4" s="1"/>
  <c r="BD356" i="4"/>
  <c r="BF354" i="4"/>
  <c r="BE354" i="4"/>
  <c r="BG355" i="4"/>
  <c r="BC355" i="4"/>
  <c r="BC356" i="4" l="1"/>
  <c r="BG356" i="4"/>
  <c r="BD357" i="4"/>
  <c r="BB357" i="4"/>
  <c r="BA358" i="4" s="1"/>
  <c r="BE355" i="4"/>
  <c r="BF355" i="4"/>
  <c r="BG357" i="4" l="1"/>
  <c r="BC357" i="4"/>
  <c r="BD358" i="4"/>
  <c r="BB358" i="4"/>
  <c r="BA359" i="4" s="1"/>
  <c r="BE356" i="4"/>
  <c r="BF356" i="4"/>
  <c r="BD359" i="4" l="1"/>
  <c r="BB359" i="4"/>
  <c r="BA360" i="4" s="1"/>
  <c r="BG358" i="4"/>
  <c r="BC358" i="4"/>
  <c r="BE357" i="4"/>
  <c r="BF357" i="4"/>
  <c r="BD360" i="4" l="1"/>
  <c r="BB360" i="4"/>
  <c r="BA361" i="4" s="1"/>
  <c r="BE358" i="4"/>
  <c r="BF358" i="4"/>
  <c r="BG359" i="4"/>
  <c r="BC359" i="4"/>
  <c r="BD361" i="4" l="1"/>
  <c r="BB361" i="4"/>
  <c r="BA362" i="4" s="1"/>
  <c r="BE359" i="4"/>
  <c r="BF359" i="4"/>
  <c r="BC360" i="4"/>
  <c r="BG360" i="4"/>
  <c r="BB362" i="4" l="1"/>
  <c r="BA363" i="4" s="1"/>
  <c r="BD362" i="4"/>
  <c r="BC361" i="4"/>
  <c r="BG361" i="4"/>
  <c r="BE360" i="4"/>
  <c r="BF360" i="4"/>
  <c r="BB363" i="4" l="1"/>
  <c r="BA364" i="4" s="1"/>
  <c r="BD363" i="4"/>
  <c r="BF361" i="4"/>
  <c r="BE361" i="4"/>
  <c r="BC362" i="4"/>
  <c r="BG362" i="4"/>
  <c r="BD364" i="4" l="1"/>
  <c r="BB364" i="4"/>
  <c r="BA365" i="4" s="1"/>
  <c r="BF362" i="4"/>
  <c r="BE362" i="4"/>
  <c r="BG363" i="4"/>
  <c r="BC363" i="4"/>
  <c r="BB365" i="4" l="1"/>
  <c r="BA366" i="4" s="1"/>
  <c r="BD365" i="4"/>
  <c r="BE363" i="4"/>
  <c r="BF363" i="4"/>
  <c r="BC364" i="4"/>
  <c r="BG364" i="4"/>
  <c r="BD366" i="4" l="1"/>
  <c r="BB366" i="4"/>
  <c r="BA367" i="4" s="1"/>
  <c r="BE364" i="4"/>
  <c r="BF364" i="4"/>
  <c r="BG365" i="4"/>
  <c r="BC365" i="4"/>
  <c r="BD367" i="4" l="1"/>
  <c r="BB367" i="4"/>
  <c r="BA368" i="4" s="1"/>
  <c r="BE365" i="4"/>
  <c r="BF365" i="4"/>
  <c r="BG366" i="4"/>
  <c r="BC366" i="4"/>
  <c r="BB368" i="4" l="1"/>
  <c r="BA369" i="4" s="1"/>
  <c r="BD368" i="4"/>
  <c r="BF366" i="4"/>
  <c r="BE366" i="4"/>
  <c r="BC367" i="4"/>
  <c r="BG367" i="4"/>
  <c r="BC368" i="4" l="1"/>
  <c r="BG368" i="4"/>
  <c r="BD369" i="4"/>
  <c r="BB369" i="4"/>
  <c r="BA370" i="4" s="1"/>
  <c r="BE367" i="4"/>
  <c r="BF367" i="4"/>
  <c r="BD370" i="4" l="1"/>
  <c r="BB370" i="4"/>
  <c r="BA371" i="4" s="1"/>
  <c r="BC369" i="4"/>
  <c r="BG369" i="4"/>
  <c r="BF368" i="4"/>
  <c r="BE368" i="4"/>
  <c r="BD371" i="4" l="1"/>
  <c r="BB371" i="4"/>
  <c r="BA372" i="4" s="1"/>
  <c r="BE369" i="4"/>
  <c r="BF369" i="4"/>
  <c r="BC370" i="4"/>
  <c r="BG370" i="4"/>
  <c r="BE370" i="4" l="1"/>
  <c r="BF370" i="4"/>
  <c r="BD372" i="4"/>
  <c r="BB372" i="4"/>
  <c r="BA373" i="4" s="1"/>
  <c r="BG371" i="4"/>
  <c r="BC371" i="4"/>
  <c r="BB373" i="4" l="1"/>
  <c r="BA374" i="4" s="1"/>
  <c r="BD373" i="4"/>
  <c r="BC372" i="4"/>
  <c r="BG372" i="4"/>
  <c r="BE371" i="4"/>
  <c r="BF371" i="4"/>
  <c r="BG373" i="4" l="1"/>
  <c r="BC373" i="4"/>
  <c r="BE372" i="4"/>
  <c r="BF372" i="4"/>
  <c r="BD374" i="4"/>
  <c r="BB374" i="4"/>
  <c r="BA375" i="4" s="1"/>
  <c r="BB375" i="4" l="1"/>
  <c r="BA376" i="4" s="1"/>
  <c r="BD375" i="4"/>
  <c r="BE373" i="4"/>
  <c r="BF373" i="4"/>
  <c r="BG374" i="4"/>
  <c r="BC374" i="4"/>
  <c r="BE374" i="4" l="1"/>
  <c r="BF374" i="4"/>
  <c r="BG375" i="4"/>
  <c r="BC375" i="4"/>
  <c r="BD376" i="4"/>
  <c r="BB376" i="4"/>
  <c r="BA377" i="4" s="1"/>
  <c r="BB377" i="4" l="1"/>
  <c r="BA378" i="4" s="1"/>
  <c r="BD377" i="4"/>
  <c r="BC376" i="4"/>
  <c r="BG376" i="4"/>
  <c r="BF375" i="4"/>
  <c r="BE375" i="4"/>
  <c r="BC377" i="4" l="1"/>
  <c r="BG377" i="4"/>
  <c r="BB378" i="4"/>
  <c r="BA379" i="4" s="1"/>
  <c r="BD378" i="4"/>
  <c r="BF376" i="4"/>
  <c r="BE376" i="4"/>
  <c r="BC378" i="4" l="1"/>
  <c r="BG378" i="4"/>
  <c r="BD379" i="4"/>
  <c r="BB379" i="4"/>
  <c r="BA380" i="4" s="1"/>
  <c r="BE377" i="4"/>
  <c r="BF377" i="4"/>
  <c r="BB380" i="4" l="1"/>
  <c r="BA381" i="4" s="1"/>
  <c r="BD380" i="4"/>
  <c r="BC379" i="4"/>
  <c r="BG379" i="4"/>
  <c r="BF378" i="4"/>
  <c r="BE378" i="4"/>
  <c r="BF379" i="4" l="1"/>
  <c r="BE379" i="4"/>
  <c r="BB381" i="4"/>
  <c r="BA382" i="4" s="1"/>
  <c r="BD381" i="4"/>
  <c r="BG380" i="4"/>
  <c r="BC380" i="4"/>
  <c r="BB382" i="4" l="1"/>
  <c r="BA383" i="4" s="1"/>
  <c r="BD382" i="4"/>
  <c r="BE380" i="4"/>
  <c r="BF380" i="4"/>
  <c r="BC381" i="4"/>
  <c r="BG381" i="4"/>
  <c r="BF381" i="4" l="1"/>
  <c r="BE381" i="4"/>
  <c r="BG382" i="4"/>
  <c r="BC382" i="4"/>
  <c r="BB383" i="4"/>
  <c r="BA384" i="4" s="1"/>
  <c r="BD383" i="4"/>
  <c r="BD384" i="4" l="1"/>
  <c r="BB384" i="4"/>
  <c r="BA385" i="4" s="1"/>
  <c r="BE382" i="4"/>
  <c r="BF382" i="4"/>
  <c r="BG383" i="4"/>
  <c r="BC383" i="4"/>
  <c r="BB385" i="4" l="1"/>
  <c r="BA386" i="4" s="1"/>
  <c r="BD385" i="4"/>
  <c r="BF383" i="4"/>
  <c r="BE383" i="4"/>
  <c r="BG384" i="4"/>
  <c r="BC384" i="4"/>
  <c r="BD386" i="4" l="1"/>
  <c r="BB386" i="4"/>
  <c r="BA387" i="4" s="1"/>
  <c r="BF384" i="4"/>
  <c r="BE384" i="4"/>
  <c r="BC385" i="4"/>
  <c r="BG385" i="4"/>
  <c r="BE385" i="4" l="1"/>
  <c r="BF385" i="4"/>
  <c r="BD387" i="4"/>
  <c r="BB387" i="4"/>
  <c r="BA388" i="4" s="1"/>
  <c r="BC386" i="4"/>
  <c r="BG386" i="4"/>
  <c r="BB388" i="4" l="1"/>
  <c r="BA389" i="4" s="1"/>
  <c r="BD388" i="4"/>
  <c r="BF386" i="4"/>
  <c r="BE386" i="4"/>
  <c r="BC387" i="4"/>
  <c r="BG387" i="4"/>
  <c r="BD389" i="4" l="1"/>
  <c r="BB389" i="4"/>
  <c r="BA390" i="4" s="1"/>
  <c r="BC388" i="4"/>
  <c r="BG388" i="4"/>
  <c r="BE387" i="4"/>
  <c r="BF387" i="4"/>
  <c r="BF388" i="4" l="1"/>
  <c r="BE388" i="4"/>
  <c r="BB390" i="4"/>
  <c r="BA391" i="4" s="1"/>
  <c r="BD390" i="4"/>
  <c r="BC389" i="4"/>
  <c r="BG389" i="4"/>
  <c r="BG390" i="4" l="1"/>
  <c r="BC390" i="4"/>
  <c r="BB391" i="4"/>
  <c r="BA392" i="4" s="1"/>
  <c r="BD391" i="4"/>
  <c r="BF389" i="4"/>
  <c r="BE389" i="4"/>
  <c r="BG391" i="4" l="1"/>
  <c r="BC391" i="4"/>
  <c r="BD392" i="4"/>
  <c r="BB392" i="4"/>
  <c r="BA393" i="4" s="1"/>
  <c r="BE390" i="4"/>
  <c r="BF390" i="4"/>
  <c r="BB393" i="4" l="1"/>
  <c r="BA394" i="4" s="1"/>
  <c r="BD393" i="4"/>
  <c r="BG392" i="4"/>
  <c r="BC392" i="4"/>
  <c r="BF391" i="4"/>
  <c r="BE391" i="4"/>
  <c r="BD394" i="4" l="1"/>
  <c r="BB394" i="4"/>
  <c r="BA395" i="4" s="1"/>
  <c r="BF392" i="4"/>
  <c r="BE392" i="4"/>
  <c r="BC393" i="4"/>
  <c r="BG393" i="4"/>
  <c r="BD395" i="4" l="1"/>
  <c r="BB395" i="4"/>
  <c r="BA396" i="4" s="1"/>
  <c r="BE393" i="4"/>
  <c r="BF393" i="4"/>
  <c r="BC394" i="4"/>
  <c r="BG394" i="4"/>
  <c r="BD396" i="4" l="1"/>
  <c r="BB396" i="4"/>
  <c r="BA397" i="4" s="1"/>
  <c r="BC395" i="4"/>
  <c r="BG395" i="4"/>
  <c r="BF394" i="4"/>
  <c r="BE394" i="4"/>
  <c r="BE395" i="4" l="1"/>
  <c r="BF395" i="4"/>
  <c r="BD397" i="4"/>
  <c r="BB397" i="4"/>
  <c r="BA398" i="4" s="1"/>
  <c r="BG396" i="4"/>
  <c r="BC396" i="4"/>
  <c r="BC397" i="4" l="1"/>
  <c r="BG397" i="4"/>
  <c r="BB398" i="4"/>
  <c r="BA399" i="4" s="1"/>
  <c r="BD398" i="4"/>
  <c r="BE396" i="4"/>
  <c r="BF396" i="4"/>
  <c r="BG398" i="4" l="1"/>
  <c r="BC398" i="4"/>
  <c r="BD399" i="4"/>
  <c r="BB399" i="4"/>
  <c r="BA400" i="4" s="1"/>
  <c r="BE397" i="4"/>
  <c r="BF397" i="4"/>
  <c r="BD400" i="4" l="1"/>
  <c r="BB400" i="4"/>
  <c r="BA401" i="4" s="1"/>
  <c r="BG399" i="4"/>
  <c r="BC399" i="4"/>
  <c r="BF398" i="4"/>
  <c r="BE398" i="4"/>
  <c r="BF399" i="4" l="1"/>
  <c r="BE399" i="4"/>
  <c r="BD401" i="4"/>
  <c r="BB401" i="4"/>
  <c r="BA402" i="4" s="1"/>
  <c r="BG400" i="4"/>
  <c r="BC400" i="4"/>
  <c r="BD402" i="4" l="1"/>
  <c r="BB402" i="4"/>
  <c r="BA403" i="4" s="1"/>
  <c r="BC401" i="4"/>
  <c r="BG401" i="4"/>
  <c r="BF400" i="4"/>
  <c r="BE400" i="4"/>
  <c r="BB403" i="4" l="1"/>
  <c r="BA404" i="4" s="1"/>
  <c r="BD403" i="4"/>
  <c r="BF401" i="4"/>
  <c r="BE401" i="4"/>
  <c r="BC402" i="4"/>
  <c r="BG402" i="4"/>
  <c r="BF402" i="4" l="1"/>
  <c r="BE402" i="4"/>
  <c r="BB404" i="4"/>
  <c r="BA405" i="4" s="1"/>
  <c r="BD404" i="4"/>
  <c r="BC403" i="4"/>
  <c r="BG403" i="4"/>
  <c r="BF403" i="4" l="1"/>
  <c r="BE403" i="4"/>
  <c r="BB405" i="4"/>
  <c r="BA406" i="4" s="1"/>
  <c r="BD405" i="4"/>
  <c r="BC404" i="4"/>
  <c r="BG404" i="4"/>
  <c r="BB406" i="4" l="1"/>
  <c r="BA407" i="4" s="1"/>
  <c r="BD406" i="4"/>
  <c r="BF404" i="4"/>
  <c r="BE404" i="4"/>
  <c r="BC405" i="4"/>
  <c r="BG405" i="4"/>
  <c r="BF405" i="4" l="1"/>
  <c r="BE405" i="4"/>
  <c r="BG406" i="4"/>
  <c r="BC406" i="4"/>
  <c r="BD407" i="4"/>
  <c r="BB407" i="4"/>
  <c r="BA408" i="4" s="1"/>
  <c r="BD408" i="4" l="1"/>
  <c r="BB408" i="4"/>
  <c r="BA409" i="4" s="1"/>
  <c r="BG407" i="4"/>
  <c r="BC407" i="4"/>
  <c r="BF406" i="4"/>
  <c r="BE406" i="4"/>
  <c r="BB409" i="4" l="1"/>
  <c r="BA410" i="4" s="1"/>
  <c r="BD409" i="4"/>
  <c r="BF407" i="4"/>
  <c r="BE407" i="4"/>
  <c r="BG408" i="4"/>
  <c r="BC408" i="4"/>
  <c r="BB410" i="4" l="1"/>
  <c r="BA411" i="4" s="1"/>
  <c r="BD410" i="4"/>
  <c r="BC409" i="4"/>
  <c r="BG409" i="4"/>
  <c r="BE408" i="4"/>
  <c r="BF408" i="4"/>
  <c r="BD411" i="4" l="1"/>
  <c r="BB411" i="4"/>
  <c r="BA412" i="4" s="1"/>
  <c r="BC410" i="4"/>
  <c r="BG410" i="4"/>
  <c r="BE409" i="4"/>
  <c r="BF409" i="4"/>
  <c r="BD412" i="4" l="1"/>
  <c r="BB412" i="4"/>
  <c r="BA413" i="4" s="1"/>
  <c r="BE410" i="4"/>
  <c r="BF410" i="4"/>
  <c r="BC411" i="4"/>
  <c r="BG411" i="4"/>
  <c r="BE411" i="4" l="1"/>
  <c r="BF411" i="4"/>
  <c r="BD413" i="4"/>
  <c r="BB413" i="4"/>
  <c r="BA414" i="4" s="1"/>
  <c r="BG412" i="4"/>
  <c r="BC412" i="4"/>
  <c r="BB414" i="4" l="1"/>
  <c r="BA415" i="4" s="1"/>
  <c r="BD414" i="4"/>
  <c r="BC413" i="4"/>
  <c r="BG413" i="4"/>
  <c r="BE412" i="4"/>
  <c r="BF412" i="4"/>
  <c r="BG414" i="4" l="1"/>
  <c r="BC414" i="4"/>
  <c r="BF413" i="4"/>
  <c r="BE413" i="4"/>
  <c r="BB415" i="4"/>
  <c r="BA416" i="4" s="1"/>
  <c r="BD415" i="4"/>
  <c r="BB416" i="4" l="1"/>
  <c r="BA417" i="4" s="1"/>
  <c r="BD416" i="4"/>
  <c r="BE414" i="4"/>
  <c r="BF414" i="4"/>
  <c r="BG415" i="4"/>
  <c r="BC415" i="4"/>
  <c r="BG416" i="4" l="1"/>
  <c r="BC416" i="4"/>
  <c r="BB417" i="4"/>
  <c r="BA418" i="4" s="1"/>
  <c r="BD417" i="4"/>
  <c r="BF415" i="4"/>
  <c r="BE415" i="4"/>
  <c r="BC417" i="4" l="1"/>
  <c r="BG417" i="4"/>
  <c r="BF416" i="4"/>
  <c r="BE416" i="4"/>
  <c r="BD418" i="4"/>
  <c r="BB418" i="4"/>
  <c r="BA419" i="4" s="1"/>
  <c r="BB419" i="4" l="1"/>
  <c r="BA420" i="4" s="1"/>
  <c r="BD419" i="4"/>
  <c r="BG418" i="4"/>
  <c r="BC418" i="4"/>
  <c r="BF417" i="4"/>
  <c r="BE417" i="4"/>
  <c r="BD420" i="4" l="1"/>
  <c r="BB420" i="4"/>
  <c r="BA421" i="4" s="1"/>
  <c r="BE418" i="4"/>
  <c r="BF418" i="4"/>
  <c r="BC419" i="4"/>
  <c r="BG419" i="4"/>
  <c r="BB421" i="4" l="1"/>
  <c r="BA422" i="4" s="1"/>
  <c r="BD421" i="4"/>
  <c r="BE419" i="4"/>
  <c r="BF419" i="4"/>
  <c r="BG420" i="4"/>
  <c r="BC420" i="4"/>
  <c r="BF420" i="4" l="1"/>
  <c r="BE420" i="4"/>
  <c r="BB422" i="4"/>
  <c r="BA423" i="4" s="1"/>
  <c r="BD422" i="4"/>
  <c r="BC421" i="4"/>
  <c r="BG421" i="4"/>
  <c r="BF421" i="4" l="1"/>
  <c r="BE421" i="4"/>
  <c r="BB423" i="4"/>
  <c r="BA424" i="4" s="1"/>
  <c r="BD423" i="4"/>
  <c r="BC422" i="4"/>
  <c r="BG422" i="4"/>
  <c r="BD424" i="4" l="1"/>
  <c r="BB424" i="4"/>
  <c r="BA425" i="4" s="1"/>
  <c r="BC423" i="4"/>
  <c r="BG423" i="4"/>
  <c r="BF422" i="4"/>
  <c r="BE422" i="4"/>
  <c r="BB425" i="4" l="1"/>
  <c r="BA426" i="4" s="1"/>
  <c r="BD425" i="4"/>
  <c r="BF423" i="4"/>
  <c r="BE423" i="4"/>
  <c r="BG424" i="4"/>
  <c r="BC424" i="4"/>
  <c r="BF424" i="4" l="1"/>
  <c r="BE424" i="4"/>
  <c r="BD426" i="4"/>
  <c r="BB426" i="4"/>
  <c r="BA427" i="4" s="1"/>
  <c r="BC425" i="4"/>
  <c r="BG425" i="4"/>
  <c r="BD427" i="4" l="1"/>
  <c r="BB427" i="4"/>
  <c r="BA428" i="4" s="1"/>
  <c r="BG426" i="4"/>
  <c r="BC426" i="4"/>
  <c r="BE425" i="4"/>
  <c r="BF425" i="4"/>
  <c r="BF426" i="4" l="1"/>
  <c r="BE426" i="4"/>
  <c r="BD428" i="4"/>
  <c r="BB428" i="4"/>
  <c r="BA429" i="4" s="1"/>
  <c r="BC427" i="4"/>
  <c r="BG427" i="4"/>
  <c r="BB429" i="4" l="1"/>
  <c r="BA430" i="4" s="1"/>
  <c r="BD429" i="4"/>
  <c r="BE427" i="4"/>
  <c r="BF427" i="4"/>
  <c r="BC428" i="4"/>
  <c r="BG428" i="4"/>
  <c r="BB430" i="4" l="1"/>
  <c r="BA431" i="4" s="1"/>
  <c r="BD430" i="4"/>
  <c r="BF428" i="4"/>
  <c r="BE428" i="4"/>
  <c r="BC429" i="4"/>
  <c r="BG429" i="4"/>
  <c r="BB431" i="4" l="1"/>
  <c r="BA432" i="4" s="1"/>
  <c r="BD431" i="4"/>
  <c r="BG430" i="4"/>
  <c r="BC430" i="4"/>
  <c r="BE429" i="4"/>
  <c r="BF429" i="4"/>
  <c r="BF430" i="4" l="1"/>
  <c r="BE430" i="4"/>
  <c r="BD432" i="4"/>
  <c r="BB432" i="4"/>
  <c r="BA433" i="4" s="1"/>
  <c r="BG431" i="4"/>
  <c r="BC431" i="4"/>
  <c r="BB433" i="4" l="1"/>
  <c r="BA434" i="4" s="1"/>
  <c r="BD433" i="4"/>
  <c r="BE431" i="4"/>
  <c r="BF431" i="4"/>
  <c r="BG432" i="4"/>
  <c r="BC432" i="4"/>
  <c r="BD434" i="4" l="1"/>
  <c r="BB434" i="4"/>
  <c r="BA435" i="4" s="1"/>
  <c r="BE432" i="4"/>
  <c r="BF432" i="4"/>
  <c r="BC433" i="4"/>
  <c r="BG433" i="4"/>
  <c r="BD435" i="4" l="1"/>
  <c r="BB435" i="4"/>
  <c r="BA436" i="4" s="1"/>
  <c r="BE433" i="4"/>
  <c r="BF433" i="4"/>
  <c r="BG434" i="4"/>
  <c r="BC434" i="4"/>
  <c r="BB436" i="4" l="1"/>
  <c r="BA437" i="4" s="1"/>
  <c r="BD436" i="4"/>
  <c r="BE434" i="4"/>
  <c r="BF434" i="4"/>
  <c r="BC435" i="4"/>
  <c r="BG435" i="4"/>
  <c r="BG436" i="4" l="1"/>
  <c r="BC436" i="4"/>
  <c r="BF435" i="4"/>
  <c r="BE435" i="4"/>
  <c r="BB437" i="4"/>
  <c r="BA438" i="4" s="1"/>
  <c r="BD437" i="4"/>
  <c r="BC437" i="4" l="1"/>
  <c r="BG437" i="4"/>
  <c r="BE436" i="4"/>
  <c r="BF436" i="4"/>
  <c r="BD438" i="4"/>
  <c r="BB438" i="4"/>
  <c r="BA439" i="4" s="1"/>
  <c r="BD439" i="4" l="1"/>
  <c r="BB439" i="4"/>
  <c r="BA440" i="4" s="1"/>
  <c r="BG438" i="4"/>
  <c r="BC438" i="4"/>
  <c r="BF437" i="4"/>
  <c r="BE437" i="4"/>
  <c r="BD440" i="4" l="1"/>
  <c r="BB440" i="4"/>
  <c r="BA441" i="4" s="1"/>
  <c r="BF438" i="4"/>
  <c r="BE438" i="4"/>
  <c r="BC439" i="4"/>
  <c r="BG439" i="4"/>
  <c r="BB441" i="4" l="1"/>
  <c r="BA442" i="4" s="1"/>
  <c r="BD441" i="4"/>
  <c r="BE439" i="4"/>
  <c r="BF439" i="4"/>
  <c r="BG440" i="4"/>
  <c r="BC440" i="4"/>
  <c r="BD442" i="4" l="1"/>
  <c r="BB442" i="4"/>
  <c r="BA443" i="4" s="1"/>
  <c r="BE440" i="4"/>
  <c r="BF440" i="4"/>
  <c r="BC441" i="4"/>
  <c r="BG441" i="4"/>
  <c r="BD443" i="4" l="1"/>
  <c r="BB443" i="4"/>
  <c r="BA444" i="4" s="1"/>
  <c r="BE441" i="4"/>
  <c r="BF441" i="4"/>
  <c r="BG442" i="4"/>
  <c r="BC442" i="4"/>
  <c r="BB444" i="4" l="1"/>
  <c r="BA445" i="4" s="1"/>
  <c r="BD444" i="4"/>
  <c r="BF442" i="4"/>
  <c r="BE442" i="4"/>
  <c r="BC443" i="4"/>
  <c r="BG443" i="4"/>
  <c r="BF443" i="4" l="1"/>
  <c r="BE443" i="4"/>
  <c r="BC444" i="4"/>
  <c r="BG444" i="4"/>
  <c r="BB445" i="4"/>
  <c r="BA446" i="4" s="1"/>
  <c r="BD445" i="4"/>
  <c r="BD446" i="4" l="1"/>
  <c r="BB446" i="4"/>
  <c r="BA447" i="4" s="1"/>
  <c r="BG445" i="4"/>
  <c r="BC445" i="4"/>
  <c r="BE444" i="4"/>
  <c r="BF444" i="4"/>
  <c r="BB447" i="4" l="1"/>
  <c r="BA448" i="4" s="1"/>
  <c r="BD447" i="4"/>
  <c r="BF445" i="4"/>
  <c r="BE445" i="4"/>
  <c r="BG446" i="4"/>
  <c r="BC446" i="4"/>
  <c r="BF446" i="4" l="1"/>
  <c r="BE446" i="4"/>
  <c r="BC447" i="4"/>
  <c r="BG447" i="4"/>
  <c r="BD448" i="4"/>
  <c r="BB448" i="4"/>
  <c r="BA449" i="4" s="1"/>
  <c r="BD449" i="4" l="1"/>
  <c r="BB449" i="4"/>
  <c r="BA450" i="4" s="1"/>
  <c r="BF447" i="4"/>
  <c r="BE447" i="4"/>
  <c r="BG448" i="4"/>
  <c r="BC448" i="4"/>
  <c r="BF448" i="4" l="1"/>
  <c r="BE448" i="4"/>
  <c r="BD450" i="4"/>
  <c r="BB450" i="4"/>
  <c r="BA451" i="4" s="1"/>
  <c r="BC449" i="4"/>
  <c r="BG449" i="4"/>
  <c r="BB451" i="4" l="1"/>
  <c r="BA452" i="4" s="1"/>
  <c r="BD451" i="4"/>
  <c r="BC450" i="4"/>
  <c r="BG450" i="4"/>
  <c r="BF449" i="4"/>
  <c r="BE449" i="4"/>
  <c r="BE450" i="4" l="1"/>
  <c r="BF450" i="4"/>
  <c r="BC451" i="4"/>
  <c r="BG451" i="4"/>
  <c r="BD452" i="4"/>
  <c r="BB452" i="4"/>
  <c r="BA453" i="4" s="1"/>
  <c r="BB453" i="4" l="1"/>
  <c r="BA454" i="4" s="1"/>
  <c r="BD453" i="4"/>
  <c r="BC452" i="4"/>
  <c r="BG452" i="4"/>
  <c r="BF451" i="4"/>
  <c r="BE451" i="4"/>
  <c r="BD454" i="4" l="1"/>
  <c r="BB454" i="4"/>
  <c r="BA455" i="4" s="1"/>
  <c r="BE452" i="4"/>
  <c r="BF452" i="4"/>
  <c r="BG453" i="4"/>
  <c r="BC453" i="4"/>
  <c r="BD455" i="4" l="1"/>
  <c r="BB455" i="4"/>
  <c r="BA456" i="4" s="1"/>
  <c r="BF453" i="4"/>
  <c r="BE453" i="4"/>
  <c r="BG454" i="4"/>
  <c r="BC454" i="4"/>
  <c r="BD456" i="4" l="1"/>
  <c r="BB456" i="4"/>
  <c r="BA457" i="4" s="1"/>
  <c r="BF454" i="4"/>
  <c r="BE454" i="4"/>
  <c r="BC455" i="4"/>
  <c r="BG455" i="4"/>
  <c r="BB457" i="4" l="1"/>
  <c r="BA458" i="4" s="1"/>
  <c r="BD457" i="4"/>
  <c r="BF455" i="4"/>
  <c r="BE455" i="4"/>
  <c r="BC456" i="4"/>
  <c r="BG456" i="4"/>
  <c r="BE456" i="4" l="1"/>
  <c r="BF456" i="4"/>
  <c r="BC457" i="4"/>
  <c r="BG457" i="4"/>
  <c r="BB458" i="4"/>
  <c r="BA459" i="4" s="1"/>
  <c r="BD458" i="4"/>
  <c r="BD459" i="4" l="1"/>
  <c r="BB459" i="4"/>
  <c r="BA460" i="4" s="1"/>
  <c r="BE457" i="4"/>
  <c r="BF457" i="4"/>
  <c r="BG458" i="4"/>
  <c r="BC458" i="4"/>
  <c r="BE458" i="4" l="1"/>
  <c r="BF458" i="4"/>
  <c r="BB460" i="4"/>
  <c r="BA461" i="4" s="1"/>
  <c r="BD460" i="4"/>
  <c r="BC459" i="4"/>
  <c r="BG459" i="4"/>
  <c r="BB461" i="4" l="1"/>
  <c r="BA462" i="4" s="1"/>
  <c r="BD461" i="4"/>
  <c r="BE459" i="4"/>
  <c r="BF459" i="4"/>
  <c r="BC460" i="4"/>
  <c r="BG460" i="4"/>
  <c r="BD462" i="4" l="1"/>
  <c r="BB462" i="4"/>
  <c r="BA463" i="4" s="1"/>
  <c r="BF460" i="4"/>
  <c r="BE460" i="4"/>
  <c r="BC461" i="4"/>
  <c r="BG461" i="4"/>
  <c r="BF461" i="4" l="1"/>
  <c r="BE461" i="4"/>
  <c r="BB463" i="4"/>
  <c r="BA464" i="4" s="1"/>
  <c r="BD463" i="4"/>
  <c r="BG462" i="4"/>
  <c r="BC462" i="4"/>
  <c r="BD464" i="4" l="1"/>
  <c r="BB464" i="4"/>
  <c r="BA465" i="4" s="1"/>
  <c r="BF462" i="4"/>
  <c r="BE462" i="4"/>
  <c r="BG463" i="4"/>
  <c r="BC463" i="4"/>
  <c r="BB465" i="4" l="1"/>
  <c r="BA466" i="4" s="1"/>
  <c r="BD465" i="4"/>
  <c r="BE463" i="4"/>
  <c r="BF463" i="4"/>
  <c r="BC464" i="4"/>
  <c r="BG464" i="4"/>
  <c r="BC465" i="4" l="1"/>
  <c r="BG465" i="4"/>
  <c r="BB466" i="4"/>
  <c r="BA467" i="4" s="1"/>
  <c r="BD466" i="4"/>
  <c r="BF464" i="4"/>
  <c r="BE464" i="4"/>
  <c r="BC466" i="4" l="1"/>
  <c r="BG466" i="4"/>
  <c r="BB467" i="4"/>
  <c r="BA468" i="4" s="1"/>
  <c r="BD467" i="4"/>
  <c r="BE465" i="4"/>
  <c r="BF465" i="4"/>
  <c r="BG467" i="4" l="1"/>
  <c r="BC467" i="4"/>
  <c r="BB468" i="4"/>
  <c r="BA469" i="4" s="1"/>
  <c r="BD468" i="4"/>
  <c r="BF466" i="4"/>
  <c r="BE466" i="4"/>
  <c r="BB469" i="4" l="1"/>
  <c r="BA470" i="4" s="1"/>
  <c r="BD469" i="4"/>
  <c r="BF467" i="4"/>
  <c r="BE467" i="4"/>
  <c r="BC468" i="4"/>
  <c r="BG468" i="4"/>
  <c r="BC469" i="4" l="1"/>
  <c r="BG469" i="4"/>
  <c r="BB470" i="4"/>
  <c r="BA471" i="4" s="1"/>
  <c r="BD470" i="4"/>
  <c r="BE468" i="4"/>
  <c r="BF468" i="4"/>
  <c r="BG470" i="4" l="1"/>
  <c r="BC470" i="4"/>
  <c r="BD471" i="4"/>
  <c r="BB471" i="4"/>
  <c r="BA472" i="4" s="1"/>
  <c r="BE469" i="4"/>
  <c r="BF469" i="4"/>
  <c r="BG471" i="4" l="1"/>
  <c r="BC471" i="4"/>
  <c r="BF470" i="4"/>
  <c r="BE470" i="4"/>
  <c r="BD472" i="4"/>
  <c r="BB472" i="4"/>
  <c r="BA473" i="4" s="1"/>
  <c r="BB473" i="4" l="1"/>
  <c r="BA474" i="4" s="1"/>
  <c r="BD473" i="4"/>
  <c r="BC472" i="4"/>
  <c r="BG472" i="4"/>
  <c r="BF471" i="4"/>
  <c r="BE471" i="4"/>
  <c r="BB474" i="4" l="1"/>
  <c r="BA475" i="4" s="1"/>
  <c r="BD474" i="4"/>
  <c r="BC473" i="4"/>
  <c r="BG473" i="4"/>
  <c r="BE472" i="4"/>
  <c r="BF472" i="4"/>
  <c r="BC474" i="4" l="1"/>
  <c r="BG474" i="4"/>
  <c r="BD475" i="4"/>
  <c r="BB475" i="4"/>
  <c r="BA476" i="4" s="1"/>
  <c r="BF473" i="4"/>
  <c r="BE473" i="4"/>
  <c r="BG475" i="4" l="1"/>
  <c r="BC475" i="4"/>
  <c r="BB476" i="4"/>
  <c r="BA477" i="4" s="1"/>
  <c r="BD476" i="4"/>
  <c r="BF474" i="4"/>
  <c r="BE474" i="4"/>
  <c r="BG476" i="4" l="1"/>
  <c r="BC476" i="4"/>
  <c r="BB477" i="4"/>
  <c r="BA478" i="4" s="1"/>
  <c r="BD477" i="4"/>
  <c r="BF475" i="4"/>
  <c r="BE475" i="4"/>
  <c r="BD478" i="4" l="1"/>
  <c r="BB478" i="4"/>
  <c r="BA479" i="4" s="1"/>
  <c r="BE476" i="4"/>
  <c r="BF476" i="4"/>
  <c r="BC477" i="4"/>
  <c r="BG477" i="4"/>
  <c r="BD479" i="4" l="1"/>
  <c r="BB479" i="4"/>
  <c r="BA480" i="4" s="1"/>
  <c r="BE477" i="4"/>
  <c r="BF477" i="4"/>
  <c r="BG478" i="4"/>
  <c r="BC478" i="4"/>
  <c r="BB480" i="4" l="1"/>
  <c r="BA481" i="4" s="1"/>
  <c r="BD480" i="4"/>
  <c r="BF478" i="4"/>
  <c r="BE478" i="4"/>
  <c r="BG479" i="4"/>
  <c r="BC479" i="4"/>
  <c r="BE479" i="4" l="1"/>
  <c r="BF479" i="4"/>
  <c r="BG480" i="4"/>
  <c r="BC480" i="4"/>
  <c r="BB481" i="4"/>
  <c r="BA482" i="4" s="1"/>
  <c r="BD481" i="4"/>
  <c r="BC481" i="4" l="1"/>
  <c r="BG481" i="4"/>
  <c r="BF480" i="4"/>
  <c r="BE480" i="4"/>
  <c r="BD482" i="4"/>
  <c r="BB482" i="4"/>
  <c r="BA483" i="4" s="1"/>
  <c r="BB483" i="4" l="1"/>
  <c r="BA484" i="4" s="1"/>
  <c r="BD483" i="4"/>
  <c r="BC482" i="4"/>
  <c r="BG482" i="4"/>
  <c r="BE481" i="4"/>
  <c r="BF481" i="4"/>
  <c r="BE482" i="4" l="1"/>
  <c r="BF482" i="4"/>
  <c r="BG483" i="4"/>
  <c r="BC483" i="4"/>
  <c r="BB484" i="4"/>
  <c r="BA485" i="4" s="1"/>
  <c r="BD484" i="4"/>
  <c r="BG484" i="4" l="1"/>
  <c r="BC484" i="4"/>
  <c r="BB485" i="4"/>
  <c r="BA486" i="4" s="1"/>
  <c r="BD485" i="4"/>
  <c r="BE483" i="4"/>
  <c r="BF483" i="4"/>
  <c r="BD486" i="4" l="1"/>
  <c r="BB486" i="4"/>
  <c r="BA487" i="4" s="1"/>
  <c r="BC485" i="4"/>
  <c r="BG485" i="4"/>
  <c r="BF484" i="4"/>
  <c r="BE484" i="4"/>
  <c r="BB487" i="4" l="1"/>
  <c r="BA488" i="4" s="1"/>
  <c r="BD487" i="4"/>
  <c r="BE485" i="4"/>
  <c r="BF485" i="4"/>
  <c r="BG486" i="4"/>
  <c r="BC486" i="4"/>
  <c r="BC487" i="4" l="1"/>
  <c r="BG487" i="4"/>
  <c r="BF486" i="4"/>
  <c r="BE486" i="4"/>
  <c r="BD488" i="4"/>
  <c r="BB488" i="4"/>
  <c r="BA489" i="4" s="1"/>
  <c r="BD489" i="4" l="1"/>
  <c r="BB489" i="4"/>
  <c r="BA490" i="4" s="1"/>
  <c r="BG488" i="4"/>
  <c r="BC488" i="4"/>
  <c r="BF487" i="4"/>
  <c r="BE487" i="4"/>
  <c r="BB490" i="4" l="1"/>
  <c r="BA491" i="4" s="1"/>
  <c r="BD490" i="4"/>
  <c r="BC489" i="4"/>
  <c r="BG489" i="4"/>
  <c r="BE488" i="4"/>
  <c r="BF488" i="4"/>
  <c r="BD491" i="4" l="1"/>
  <c r="BB491" i="4"/>
  <c r="BA492" i="4" s="1"/>
  <c r="BF489" i="4"/>
  <c r="BE489" i="4"/>
  <c r="BC490" i="4"/>
  <c r="BG490" i="4"/>
  <c r="BB492" i="4" l="1"/>
  <c r="BA493" i="4" s="1"/>
  <c r="BD492" i="4"/>
  <c r="BF490" i="4"/>
  <c r="BE490" i="4"/>
  <c r="BG491" i="4"/>
  <c r="BC491" i="4"/>
  <c r="BG492" i="4" l="1"/>
  <c r="BC492" i="4"/>
  <c r="BF491" i="4"/>
  <c r="BE491" i="4"/>
  <c r="BB493" i="4"/>
  <c r="BA494" i="4" s="1"/>
  <c r="BD493" i="4"/>
  <c r="BC493" i="4" l="1"/>
  <c r="BG493" i="4"/>
  <c r="BD494" i="4"/>
  <c r="BB494" i="4"/>
  <c r="BA495" i="4" s="1"/>
  <c r="BF492" i="4"/>
  <c r="BE492" i="4"/>
  <c r="BD495" i="4" l="1"/>
  <c r="BB495" i="4"/>
  <c r="BA496" i="4" s="1"/>
  <c r="BG494" i="4"/>
  <c r="BC494" i="4"/>
  <c r="BF493" i="4"/>
  <c r="BE493" i="4"/>
  <c r="BB496" i="4" l="1"/>
  <c r="BA497" i="4" s="1"/>
  <c r="BD496" i="4"/>
  <c r="BF494" i="4"/>
  <c r="BE494" i="4"/>
  <c r="BC495" i="4"/>
  <c r="BG495" i="4"/>
  <c r="BG496" i="4" l="1"/>
  <c r="BC496" i="4"/>
  <c r="BE495" i="4"/>
  <c r="BF495" i="4"/>
  <c r="BB497" i="4"/>
  <c r="BA498" i="4" s="1"/>
  <c r="BD497" i="4"/>
  <c r="BB498" i="4" l="1"/>
  <c r="BA499" i="4" s="1"/>
  <c r="BD498" i="4"/>
  <c r="BE496" i="4"/>
  <c r="BF496" i="4"/>
  <c r="BC497" i="4"/>
  <c r="BG497" i="4"/>
  <c r="BB499" i="4" l="1"/>
  <c r="BA500" i="4" s="1"/>
  <c r="BD499" i="4"/>
  <c r="BC498" i="4"/>
  <c r="BG498" i="4"/>
  <c r="BE497" i="4"/>
  <c r="BF497" i="4"/>
  <c r="BC499" i="4" l="1"/>
  <c r="BG499" i="4"/>
  <c r="BE498" i="4"/>
  <c r="BF498" i="4"/>
  <c r="BD500" i="4"/>
  <c r="BB500" i="4"/>
  <c r="BA501" i="4" s="1"/>
  <c r="BB501" i="4" l="1"/>
  <c r="BA502" i="4" s="1"/>
  <c r="BD501" i="4"/>
  <c r="BC500" i="4"/>
  <c r="BG500" i="4"/>
  <c r="BE499" i="4"/>
  <c r="BF499" i="4"/>
  <c r="BG501" i="4" l="1"/>
  <c r="BC501" i="4"/>
  <c r="BB502" i="4"/>
  <c r="BA503" i="4" s="1"/>
  <c r="BD502" i="4"/>
  <c r="BE500" i="4"/>
  <c r="BF500" i="4"/>
  <c r="BG502" i="4" l="1"/>
  <c r="BC502" i="4"/>
  <c r="BB503" i="4"/>
  <c r="BA504" i="4" s="1"/>
  <c r="BD503" i="4"/>
  <c r="BE501" i="4"/>
  <c r="BF501" i="4"/>
  <c r="BG503" i="4" l="1"/>
  <c r="BC503" i="4"/>
  <c r="BD504" i="4"/>
  <c r="BB504" i="4"/>
  <c r="BA505" i="4" s="1"/>
  <c r="BE502" i="4"/>
  <c r="BF502" i="4"/>
  <c r="BD505" i="4" l="1"/>
  <c r="BB505" i="4"/>
  <c r="BA506" i="4" s="1"/>
  <c r="BG504" i="4"/>
  <c r="BC504" i="4"/>
  <c r="BF503" i="4"/>
  <c r="BE503" i="4"/>
  <c r="BD506" i="4" l="1"/>
  <c r="BB506" i="4"/>
  <c r="BA507" i="4" s="1"/>
  <c r="BE504" i="4"/>
  <c r="BF504" i="4"/>
  <c r="BC505" i="4"/>
  <c r="BG505" i="4"/>
  <c r="BF505" i="4" l="1"/>
  <c r="BE505" i="4"/>
  <c r="BD507" i="4"/>
  <c r="BB507" i="4"/>
  <c r="BA508" i="4" s="1"/>
  <c r="BC506" i="4"/>
  <c r="BG506" i="4"/>
  <c r="BD508" i="4" l="1"/>
  <c r="BB508" i="4"/>
  <c r="BA509" i="4" s="1"/>
  <c r="BG507" i="4"/>
  <c r="BC507" i="4"/>
  <c r="BE506" i="4"/>
  <c r="BF506" i="4"/>
  <c r="BE507" i="4" l="1"/>
  <c r="BF507" i="4"/>
  <c r="BD509" i="4"/>
  <c r="BB509" i="4"/>
  <c r="BA510" i="4" s="1"/>
  <c r="BG508" i="4"/>
  <c r="BC508" i="4"/>
  <c r="BD510" i="4" l="1"/>
  <c r="BB510" i="4"/>
  <c r="BA511" i="4" s="1"/>
  <c r="BE508" i="4"/>
  <c r="BF508" i="4"/>
  <c r="BC509" i="4"/>
  <c r="BG509" i="4"/>
  <c r="BF509" i="4" l="1"/>
  <c r="BE509" i="4"/>
  <c r="BD511" i="4"/>
  <c r="BB511" i="4"/>
  <c r="BA512" i="4" s="1"/>
  <c r="BG510" i="4"/>
  <c r="BC510" i="4"/>
  <c r="BD512" i="4" l="1"/>
  <c r="BB512" i="4"/>
  <c r="BA513" i="4" s="1"/>
  <c r="BG511" i="4"/>
  <c r="BC511" i="4"/>
  <c r="BE510" i="4"/>
  <c r="BF510" i="4"/>
  <c r="BB513" i="4" l="1"/>
  <c r="BA514" i="4" s="1"/>
  <c r="BD513" i="4"/>
  <c r="BF511" i="4"/>
  <c r="BE511" i="4"/>
  <c r="BG512" i="4"/>
  <c r="BC512" i="4"/>
  <c r="BB514" i="4" l="1"/>
  <c r="BA515" i="4" s="1"/>
  <c r="BD514" i="4"/>
  <c r="BC513" i="4"/>
  <c r="BG513" i="4"/>
  <c r="BE512" i="4"/>
  <c r="BF512" i="4"/>
  <c r="BD515" i="4" l="1"/>
  <c r="BB515" i="4"/>
  <c r="BA516" i="4" s="1"/>
  <c r="BC514" i="4"/>
  <c r="BG514" i="4"/>
  <c r="BE513" i="4"/>
  <c r="BF513" i="4"/>
  <c r="BB516" i="4" l="1"/>
  <c r="BA517" i="4" s="1"/>
  <c r="BD516" i="4"/>
  <c r="BE514" i="4"/>
  <c r="BF514" i="4"/>
  <c r="BC515" i="4"/>
  <c r="BG515" i="4"/>
  <c r="BC516" i="4" l="1"/>
  <c r="BG516" i="4"/>
  <c r="BB517" i="4"/>
  <c r="BA518" i="4" s="1"/>
  <c r="BD517" i="4"/>
  <c r="BF515" i="4"/>
  <c r="BE515" i="4"/>
  <c r="BG517" i="4" l="1"/>
  <c r="BC517" i="4"/>
  <c r="BD518" i="4"/>
  <c r="BB518" i="4"/>
  <c r="BA519" i="4" s="1"/>
  <c r="BF516" i="4"/>
  <c r="BE516" i="4"/>
  <c r="BG518" i="4" l="1"/>
  <c r="BC518" i="4"/>
  <c r="BD519" i="4"/>
  <c r="BB519" i="4"/>
  <c r="BA520" i="4" s="1"/>
  <c r="BE517" i="4"/>
  <c r="BF517" i="4"/>
  <c r="BD520" i="4" l="1"/>
  <c r="BB520" i="4"/>
  <c r="BA521" i="4" s="1"/>
  <c r="BG519" i="4"/>
  <c r="BC519" i="4"/>
  <c r="BE518" i="4"/>
  <c r="BF518" i="4"/>
  <c r="BB521" i="4" l="1"/>
  <c r="BA522" i="4" s="1"/>
  <c r="BD521" i="4"/>
  <c r="BG520" i="4"/>
  <c r="BC520" i="4"/>
  <c r="BF519" i="4"/>
  <c r="BE519" i="4"/>
  <c r="BD522" i="4" l="1"/>
  <c r="BB522" i="4"/>
  <c r="BA523" i="4" s="1"/>
  <c r="BC521" i="4"/>
  <c r="BG521" i="4"/>
  <c r="BE520" i="4"/>
  <c r="BF520" i="4"/>
  <c r="BD523" i="4" l="1"/>
  <c r="BB523" i="4"/>
  <c r="BA524" i="4" s="1"/>
  <c r="BF521" i="4"/>
  <c r="BE521" i="4"/>
  <c r="BC522" i="4"/>
  <c r="BG522" i="4"/>
  <c r="BF522" i="4" l="1"/>
  <c r="BE522" i="4"/>
  <c r="BD524" i="4"/>
  <c r="BB524" i="4"/>
  <c r="BA525" i="4" s="1"/>
  <c r="BC523" i="4"/>
  <c r="BG523" i="4"/>
  <c r="BC524" i="4" l="1"/>
  <c r="BG524" i="4"/>
  <c r="BE523" i="4"/>
  <c r="BF523" i="4"/>
  <c r="BD525" i="4"/>
  <c r="BB525" i="4"/>
  <c r="BA526" i="4" s="1"/>
  <c r="BB526" i="4" l="1"/>
  <c r="BA527" i="4" s="1"/>
  <c r="BD526" i="4"/>
  <c r="BC525" i="4"/>
  <c r="BG525" i="4"/>
  <c r="BE524" i="4"/>
  <c r="BF524" i="4"/>
  <c r="BE525" i="4" l="1"/>
  <c r="BF525" i="4"/>
  <c r="BG526" i="4"/>
  <c r="BC526" i="4"/>
  <c r="BB527" i="4"/>
  <c r="BA528" i="4" s="1"/>
  <c r="BD527" i="4"/>
  <c r="BG527" i="4" l="1"/>
  <c r="BC527" i="4"/>
  <c r="BD528" i="4"/>
  <c r="BB528" i="4"/>
  <c r="BA529" i="4" s="1"/>
  <c r="BE526" i="4"/>
  <c r="BF526" i="4"/>
  <c r="BC528" i="4" l="1"/>
  <c r="BG528" i="4"/>
  <c r="BE527" i="4"/>
  <c r="BF527" i="4"/>
  <c r="BD529" i="4"/>
  <c r="BB529" i="4"/>
  <c r="BA530" i="4" s="1"/>
  <c r="BB530" i="4" l="1"/>
  <c r="BA531" i="4" s="1"/>
  <c r="BD530" i="4"/>
  <c r="BC529" i="4"/>
  <c r="BG529" i="4"/>
  <c r="BE528" i="4"/>
  <c r="BF528" i="4"/>
  <c r="BB531" i="4" l="1"/>
  <c r="BA532" i="4" s="1"/>
  <c r="BD531" i="4"/>
  <c r="BE529" i="4"/>
  <c r="BF529" i="4"/>
  <c r="BC530" i="4"/>
  <c r="BG530" i="4"/>
  <c r="BC531" i="4" l="1"/>
  <c r="BG531" i="4"/>
  <c r="BF530" i="4"/>
  <c r="BE530" i="4"/>
  <c r="BD532" i="4"/>
  <c r="BB532" i="4"/>
  <c r="BA533" i="4" s="1"/>
  <c r="BB533" i="4" l="1"/>
  <c r="BA534" i="4" s="1"/>
  <c r="BD533" i="4"/>
  <c r="BC532" i="4"/>
  <c r="BG532" i="4"/>
  <c r="BF531" i="4"/>
  <c r="BE531" i="4"/>
  <c r="BC533" i="4" l="1"/>
  <c r="BG533" i="4"/>
  <c r="BD534" i="4"/>
  <c r="BB534" i="4"/>
  <c r="BA535" i="4" s="1"/>
  <c r="BF532" i="4"/>
  <c r="BE532" i="4"/>
  <c r="BC534" i="4" l="1"/>
  <c r="BG534" i="4"/>
  <c r="BB535" i="4"/>
  <c r="BA536" i="4" s="1"/>
  <c r="BD535" i="4"/>
  <c r="BE533" i="4"/>
  <c r="BF533" i="4"/>
  <c r="BG535" i="4" l="1"/>
  <c r="BC535" i="4"/>
  <c r="BD536" i="4"/>
  <c r="BB536" i="4"/>
  <c r="BA537" i="4" s="1"/>
  <c r="BE534" i="4"/>
  <c r="BF534" i="4"/>
  <c r="BD537" i="4" l="1"/>
  <c r="BB537" i="4"/>
  <c r="BA538" i="4" s="1"/>
  <c r="BE535" i="4"/>
  <c r="BF535" i="4"/>
  <c r="BG536" i="4"/>
  <c r="BC536" i="4"/>
  <c r="BD538" i="4" l="1"/>
  <c r="BB538" i="4"/>
  <c r="BA539" i="4" s="1"/>
  <c r="BE536" i="4"/>
  <c r="BF536" i="4"/>
  <c r="BC537" i="4"/>
  <c r="BG537" i="4"/>
  <c r="BD539" i="4" l="1"/>
  <c r="BB539" i="4"/>
  <c r="BA540" i="4" s="1"/>
  <c r="BE537" i="4"/>
  <c r="BF537" i="4"/>
  <c r="BC538" i="4"/>
  <c r="BG538" i="4"/>
  <c r="BD540" i="4" l="1"/>
  <c r="BB540" i="4"/>
  <c r="BA541" i="4" s="1"/>
  <c r="BE538" i="4"/>
  <c r="BF538" i="4"/>
  <c r="BC539" i="4"/>
  <c r="BG539" i="4"/>
  <c r="BD541" i="4" l="1"/>
  <c r="BB541" i="4"/>
  <c r="BA542" i="4" s="1"/>
  <c r="BE539" i="4"/>
  <c r="BF539" i="4"/>
  <c r="BC540" i="4"/>
  <c r="BG540" i="4"/>
  <c r="BD542" i="4" l="1"/>
  <c r="BB542" i="4"/>
  <c r="BA543" i="4" s="1"/>
  <c r="BE540" i="4"/>
  <c r="BF540" i="4"/>
  <c r="BC541" i="4"/>
  <c r="BG541" i="4"/>
  <c r="BE541" i="4" l="1"/>
  <c r="BF541" i="4"/>
  <c r="BB543" i="4"/>
  <c r="BA544" i="4" s="1"/>
  <c r="BD543" i="4"/>
  <c r="BG542" i="4"/>
  <c r="BC542" i="4"/>
  <c r="BD544" i="4" l="1"/>
  <c r="BB544" i="4"/>
  <c r="BA545" i="4" s="1"/>
  <c r="BF542" i="4"/>
  <c r="BE542" i="4"/>
  <c r="BG543" i="4"/>
  <c r="BC543" i="4"/>
  <c r="BF543" i="4" l="1"/>
  <c r="BE543" i="4"/>
  <c r="BD545" i="4"/>
  <c r="BB545" i="4"/>
  <c r="BA546" i="4" s="1"/>
  <c r="BC544" i="4"/>
  <c r="BG544" i="4"/>
  <c r="BD546" i="4" l="1"/>
  <c r="BB546" i="4"/>
  <c r="BA547" i="4" s="1"/>
  <c r="BE544" i="4"/>
  <c r="BF544" i="4"/>
  <c r="BC545" i="4"/>
  <c r="BG545" i="4"/>
  <c r="BD547" i="4" l="1"/>
  <c r="BB547" i="4"/>
  <c r="BA548" i="4" s="1"/>
  <c r="BE545" i="4"/>
  <c r="BF545" i="4"/>
  <c r="BC546" i="4"/>
  <c r="BG546" i="4"/>
  <c r="BD548" i="4" l="1"/>
  <c r="BB548" i="4"/>
  <c r="BA549" i="4" s="1"/>
  <c r="BF546" i="4"/>
  <c r="BE546" i="4"/>
  <c r="BC547" i="4"/>
  <c r="BG547" i="4"/>
  <c r="BE547" i="4" l="1"/>
  <c r="BF547" i="4"/>
  <c r="BB549" i="4"/>
  <c r="BA550" i="4" s="1"/>
  <c r="BD549" i="4"/>
  <c r="BG548" i="4"/>
  <c r="BC548" i="4"/>
  <c r="BC549" i="4" l="1"/>
  <c r="BG549" i="4"/>
  <c r="BF548" i="4"/>
  <c r="BE548" i="4"/>
  <c r="BB550" i="4"/>
  <c r="BA551" i="4" s="1"/>
  <c r="BD550" i="4"/>
  <c r="BB551" i="4" l="1"/>
  <c r="BA552" i="4" s="1"/>
  <c r="BD551" i="4"/>
  <c r="BC550" i="4"/>
  <c r="BG550" i="4"/>
  <c r="BF549" i="4"/>
  <c r="BE549" i="4"/>
  <c r="BE550" i="4" l="1"/>
  <c r="BF550" i="4"/>
  <c r="BG551" i="4"/>
  <c r="BC551" i="4"/>
  <c r="BD552" i="4"/>
  <c r="BB552" i="4"/>
  <c r="BA553" i="4" s="1"/>
  <c r="BB553" i="4" l="1"/>
  <c r="BA554" i="4" s="1"/>
  <c r="BD553" i="4"/>
  <c r="BG552" i="4"/>
  <c r="BC552" i="4"/>
  <c r="BF551" i="4"/>
  <c r="BE551" i="4"/>
  <c r="BD554" i="4" l="1"/>
  <c r="BB554" i="4"/>
  <c r="BA555" i="4" s="1"/>
  <c r="BC553" i="4"/>
  <c r="BG553" i="4"/>
  <c r="BE552" i="4"/>
  <c r="BF552" i="4"/>
  <c r="BD555" i="4" l="1"/>
  <c r="BB555" i="4"/>
  <c r="BA556" i="4" s="1"/>
  <c r="BE553" i="4"/>
  <c r="BF553" i="4"/>
  <c r="BC554" i="4"/>
  <c r="BG554" i="4"/>
  <c r="BD556" i="4" l="1"/>
  <c r="BB556" i="4"/>
  <c r="BA557" i="4" s="1"/>
  <c r="BC555" i="4"/>
  <c r="BG555" i="4"/>
  <c r="BF554" i="4"/>
  <c r="BE554" i="4"/>
  <c r="BB557" i="4" l="1"/>
  <c r="BA558" i="4" s="1"/>
  <c r="BD557" i="4"/>
  <c r="BE555" i="4"/>
  <c r="BF555" i="4"/>
  <c r="BG556" i="4"/>
  <c r="BC556" i="4"/>
  <c r="BE556" i="4" l="1"/>
  <c r="BF556" i="4"/>
  <c r="BC557" i="4"/>
  <c r="BG557" i="4"/>
  <c r="BB558" i="4"/>
  <c r="BA559" i="4" s="1"/>
  <c r="BD558" i="4"/>
  <c r="BB559" i="4" l="1"/>
  <c r="BA560" i="4" s="1"/>
  <c r="BD559" i="4"/>
  <c r="BF557" i="4"/>
  <c r="BE557" i="4"/>
  <c r="BG558" i="4"/>
  <c r="BC558" i="4"/>
  <c r="BG559" i="4" l="1"/>
  <c r="BC559" i="4"/>
  <c r="BF558" i="4"/>
  <c r="BE558" i="4"/>
  <c r="BD560" i="4"/>
  <c r="BB560" i="4"/>
  <c r="BA561" i="4" s="1"/>
  <c r="BB561" i="4" l="1"/>
  <c r="BA562" i="4" s="1"/>
  <c r="BD561" i="4"/>
  <c r="BG560" i="4"/>
  <c r="BC560" i="4"/>
  <c r="BF559" i="4"/>
  <c r="BE559" i="4"/>
  <c r="BF560" i="4" l="1"/>
  <c r="BE560" i="4"/>
  <c r="BC561" i="4"/>
  <c r="BG561" i="4"/>
  <c r="BD562" i="4"/>
  <c r="BB562" i="4"/>
  <c r="BA563" i="4" s="1"/>
  <c r="BD563" i="4" l="1"/>
  <c r="BB563" i="4"/>
  <c r="BA564" i="4" s="1"/>
  <c r="BE561" i="4"/>
  <c r="BF561" i="4"/>
  <c r="BC562" i="4"/>
  <c r="BG562" i="4"/>
  <c r="BD564" i="4" l="1"/>
  <c r="BB564" i="4"/>
  <c r="BA565" i="4" s="1"/>
  <c r="BE562" i="4"/>
  <c r="BF562" i="4"/>
  <c r="BC563" i="4"/>
  <c r="BG563" i="4"/>
  <c r="BB565" i="4" l="1"/>
  <c r="BA566" i="4" s="1"/>
  <c r="BD565" i="4"/>
  <c r="BF563" i="4"/>
  <c r="BE563" i="4"/>
  <c r="BC564" i="4"/>
  <c r="BG564" i="4"/>
  <c r="BC565" i="4" l="1"/>
  <c r="BG565" i="4"/>
  <c r="BF564" i="4"/>
  <c r="BE564" i="4"/>
  <c r="BD566" i="4"/>
  <c r="BB566" i="4"/>
  <c r="BA567" i="4" s="1"/>
  <c r="BD567" i="4" l="1"/>
  <c r="BB567" i="4"/>
  <c r="BA568" i="4" s="1"/>
  <c r="BG566" i="4"/>
  <c r="BC566" i="4"/>
  <c r="BE565" i="4"/>
  <c r="BF565" i="4"/>
  <c r="BD568" i="4" l="1"/>
  <c r="BB568" i="4"/>
  <c r="BA569" i="4" s="1"/>
  <c r="BE566" i="4"/>
  <c r="BF566" i="4"/>
  <c r="BG567" i="4"/>
  <c r="BC567" i="4"/>
  <c r="BB569" i="4" l="1"/>
  <c r="BA570" i="4" s="1"/>
  <c r="BD569" i="4"/>
  <c r="BF567" i="4"/>
  <c r="BE567" i="4"/>
  <c r="BG568" i="4"/>
  <c r="BC568" i="4"/>
  <c r="BD570" i="4" l="1"/>
  <c r="BB570" i="4"/>
  <c r="BA571" i="4" s="1"/>
  <c r="BE568" i="4"/>
  <c r="BF568" i="4"/>
  <c r="BC569" i="4"/>
  <c r="BG569" i="4"/>
  <c r="BD571" i="4" l="1"/>
  <c r="BB571" i="4"/>
  <c r="BA572" i="4" s="1"/>
  <c r="BC570" i="4"/>
  <c r="BG570" i="4"/>
  <c r="BE569" i="4"/>
  <c r="BF569" i="4"/>
  <c r="BB572" i="4" l="1"/>
  <c r="BA573" i="4" s="1"/>
  <c r="BD572" i="4"/>
  <c r="BF570" i="4"/>
  <c r="BE570" i="4"/>
  <c r="BC571" i="4"/>
  <c r="BG571" i="4"/>
  <c r="BC572" i="4" l="1"/>
  <c r="BG572" i="4"/>
  <c r="BF571" i="4"/>
  <c r="BE571" i="4"/>
  <c r="BD573" i="4"/>
  <c r="BB573" i="4"/>
  <c r="BA574" i="4" s="1"/>
  <c r="BD574" i="4" l="1"/>
  <c r="BB574" i="4"/>
  <c r="BA575" i="4" s="1"/>
  <c r="BC573" i="4"/>
  <c r="BG573" i="4"/>
  <c r="BF572" i="4"/>
  <c r="BE572" i="4"/>
  <c r="BE573" i="4" l="1"/>
  <c r="BF573" i="4"/>
  <c r="BB575" i="4"/>
  <c r="BA576" i="4" s="1"/>
  <c r="BD575" i="4"/>
  <c r="BG574" i="4"/>
  <c r="BC574" i="4"/>
  <c r="BD576" i="4" l="1"/>
  <c r="BB576" i="4"/>
  <c r="BA577" i="4" s="1"/>
  <c r="BE574" i="4"/>
  <c r="BF574" i="4"/>
  <c r="BG575" i="4"/>
  <c r="BC575" i="4"/>
  <c r="BF575" i="4" l="1"/>
  <c r="BE575" i="4"/>
  <c r="BD577" i="4"/>
  <c r="BB577" i="4"/>
  <c r="BA578" i="4" s="1"/>
  <c r="BC576" i="4"/>
  <c r="BG576" i="4"/>
  <c r="BB578" i="4" l="1"/>
  <c r="BA579" i="4" s="1"/>
  <c r="BD578" i="4"/>
  <c r="BC577" i="4"/>
  <c r="BG577" i="4"/>
  <c r="BF576" i="4"/>
  <c r="BE576" i="4"/>
  <c r="BD579" i="4" l="1"/>
  <c r="BB579" i="4"/>
  <c r="BA580" i="4" s="1"/>
  <c r="BC578" i="4"/>
  <c r="BG578" i="4"/>
  <c r="BE577" i="4"/>
  <c r="BF577" i="4"/>
  <c r="BF578" i="4" l="1"/>
  <c r="BE578" i="4"/>
  <c r="BD580" i="4"/>
  <c r="BB580" i="4"/>
  <c r="BA581" i="4" s="1"/>
  <c r="BC579" i="4"/>
  <c r="BG579" i="4"/>
  <c r="BC580" i="4" l="1"/>
  <c r="BG580" i="4"/>
  <c r="BF579" i="4"/>
  <c r="BE579" i="4"/>
  <c r="BD581" i="4"/>
  <c r="BB581" i="4"/>
  <c r="BA582" i="4" s="1"/>
  <c r="BD582" i="4" l="1"/>
  <c r="BB582" i="4"/>
  <c r="BA583" i="4" s="1"/>
  <c r="BC581" i="4"/>
  <c r="BG581" i="4"/>
  <c r="BF580" i="4"/>
  <c r="BE580" i="4"/>
  <c r="BB583" i="4" l="1"/>
  <c r="BA584" i="4" s="1"/>
  <c r="BD583" i="4"/>
  <c r="BE581" i="4"/>
  <c r="BF581" i="4"/>
  <c r="BC582" i="4"/>
  <c r="BG582" i="4"/>
  <c r="BE582" i="4" l="1"/>
  <c r="BF582" i="4"/>
  <c r="BG583" i="4"/>
  <c r="BC583" i="4"/>
  <c r="BB584" i="4"/>
  <c r="BA585" i="4" s="1"/>
  <c r="BD584" i="4"/>
  <c r="BG584" i="4" l="1"/>
  <c r="BC584" i="4"/>
  <c r="BB585" i="4"/>
  <c r="BA586" i="4" s="1"/>
  <c r="BD585" i="4"/>
  <c r="BE583" i="4"/>
  <c r="BF583" i="4"/>
  <c r="BB586" i="4" l="1"/>
  <c r="BA587" i="4" s="1"/>
  <c r="BD586" i="4"/>
  <c r="BC585" i="4"/>
  <c r="BG585" i="4"/>
  <c r="BE584" i="4"/>
  <c r="BF584" i="4"/>
  <c r="BD587" i="4" l="1"/>
  <c r="BB587" i="4"/>
  <c r="BA588" i="4" s="1"/>
  <c r="BC586" i="4"/>
  <c r="BG586" i="4"/>
  <c r="BF585" i="4"/>
  <c r="BE585" i="4"/>
  <c r="BB588" i="4" l="1"/>
  <c r="BA589" i="4" s="1"/>
  <c r="BD588" i="4"/>
  <c r="BC587" i="4"/>
  <c r="BG587" i="4"/>
  <c r="BF586" i="4"/>
  <c r="BE586" i="4"/>
  <c r="BG588" i="4" l="1"/>
  <c r="BC588" i="4"/>
  <c r="BF587" i="4"/>
  <c r="BE587" i="4"/>
  <c r="BD589" i="4"/>
  <c r="BB589" i="4"/>
  <c r="BA590" i="4" s="1"/>
  <c r="BD590" i="4" l="1"/>
  <c r="BB590" i="4"/>
  <c r="BA591" i="4" s="1"/>
  <c r="BE588" i="4"/>
  <c r="BF588" i="4"/>
  <c r="BC589" i="4"/>
  <c r="BG589" i="4"/>
  <c r="BD591" i="4" l="1"/>
  <c r="BB591" i="4"/>
  <c r="BA592" i="4" s="1"/>
  <c r="BE589" i="4"/>
  <c r="BF589" i="4"/>
  <c r="BC590" i="4"/>
  <c r="BG590" i="4"/>
  <c r="BD592" i="4" l="1"/>
  <c r="BB592" i="4"/>
  <c r="BA593" i="4" s="1"/>
  <c r="BF590" i="4"/>
  <c r="BE590" i="4"/>
  <c r="BG591" i="4"/>
  <c r="BC591" i="4"/>
  <c r="BD593" i="4" l="1"/>
  <c r="BB593" i="4"/>
  <c r="BA594" i="4" s="1"/>
  <c r="BF591" i="4"/>
  <c r="BE591" i="4"/>
  <c r="BG592" i="4"/>
  <c r="BC592" i="4"/>
  <c r="BB594" i="4" l="1"/>
  <c r="BA595" i="4" s="1"/>
  <c r="BD594" i="4"/>
  <c r="BC593" i="4"/>
  <c r="BG593" i="4"/>
  <c r="BF592" i="4"/>
  <c r="BE592" i="4"/>
  <c r="BD595" i="4" l="1"/>
  <c r="BB595" i="4"/>
  <c r="BA596" i="4" s="1"/>
  <c r="BC594" i="4"/>
  <c r="BG594" i="4"/>
  <c r="BE593" i="4"/>
  <c r="BF593" i="4"/>
  <c r="BD596" i="4" l="1"/>
  <c r="BB596" i="4"/>
  <c r="BA597" i="4" s="1"/>
  <c r="BE594" i="4"/>
  <c r="BF594" i="4"/>
  <c r="BC595" i="4"/>
  <c r="BG595" i="4"/>
  <c r="BF595" i="4" l="1"/>
  <c r="BE595" i="4"/>
  <c r="BB597" i="4"/>
  <c r="BA598" i="4" s="1"/>
  <c r="BD597" i="4"/>
  <c r="BC596" i="4"/>
  <c r="BG596" i="4"/>
  <c r="BB598" i="4" l="1"/>
  <c r="BA599" i="4" s="1"/>
  <c r="BD598" i="4"/>
  <c r="BF596" i="4"/>
  <c r="BE596" i="4"/>
  <c r="BC597" i="4"/>
  <c r="BG597" i="4"/>
  <c r="BF597" i="4" l="1"/>
  <c r="BE597" i="4"/>
  <c r="BC598" i="4"/>
  <c r="BG598" i="4"/>
  <c r="BD599" i="4"/>
  <c r="BB599" i="4"/>
  <c r="BA600" i="4" s="1"/>
  <c r="BD600" i="4" l="1"/>
  <c r="BB600" i="4"/>
  <c r="BA601" i="4" s="1"/>
  <c r="BF598" i="4"/>
  <c r="BE598" i="4"/>
  <c r="BG599" i="4"/>
  <c r="BC599" i="4"/>
  <c r="BB601" i="4" l="1"/>
  <c r="BA602" i="4" s="1"/>
  <c r="BD601" i="4"/>
  <c r="BF599" i="4"/>
  <c r="BE599" i="4"/>
  <c r="BG600" i="4"/>
  <c r="BC600" i="4"/>
  <c r="BC601" i="4" l="1"/>
  <c r="BG601" i="4"/>
  <c r="BF600" i="4"/>
  <c r="BE600" i="4"/>
  <c r="BB602" i="4"/>
  <c r="BA603" i="4" s="1"/>
  <c r="BD602" i="4"/>
  <c r="BC602" i="4" l="1"/>
  <c r="BG602" i="4"/>
  <c r="BD603" i="4"/>
  <c r="BB603" i="4"/>
  <c r="BA604" i="4" s="1"/>
  <c r="BE601" i="4"/>
  <c r="BF601" i="4"/>
  <c r="BD604" i="4" l="1"/>
  <c r="BB604" i="4"/>
  <c r="BA605" i="4" s="1"/>
  <c r="BC603" i="4"/>
  <c r="BG603" i="4"/>
  <c r="BF602" i="4"/>
  <c r="BE602" i="4"/>
  <c r="BE603" i="4" l="1"/>
  <c r="BF603" i="4"/>
  <c r="BD605" i="4"/>
  <c r="BB605" i="4"/>
  <c r="BA606" i="4" s="1"/>
  <c r="BC604" i="4"/>
  <c r="BG604" i="4"/>
  <c r="BC605" i="4" l="1"/>
  <c r="BG605" i="4"/>
  <c r="BF604" i="4"/>
  <c r="BE604" i="4"/>
  <c r="BB606" i="4"/>
  <c r="BA607" i="4" s="1"/>
  <c r="BD606" i="4"/>
  <c r="BG606" i="4" l="1"/>
  <c r="BC606" i="4"/>
  <c r="BB607" i="4"/>
  <c r="BA608" i="4" s="1"/>
  <c r="BD607" i="4"/>
  <c r="BF605" i="4"/>
  <c r="BE605" i="4"/>
  <c r="BG607" i="4" l="1"/>
  <c r="BC607" i="4"/>
  <c r="BF606" i="4"/>
  <c r="BE606" i="4"/>
  <c r="BD608" i="4"/>
  <c r="BB608" i="4"/>
  <c r="BA609" i="4" s="1"/>
  <c r="BB609" i="4" l="1"/>
  <c r="BA610" i="4" s="1"/>
  <c r="BD609" i="4"/>
  <c r="BG608" i="4"/>
  <c r="BC608" i="4"/>
  <c r="BE607" i="4"/>
  <c r="BF607" i="4"/>
  <c r="BF608" i="4" l="1"/>
  <c r="BE608" i="4"/>
  <c r="BB610" i="4"/>
  <c r="BA611" i="4" s="1"/>
  <c r="BD610" i="4"/>
  <c r="BC609" i="4"/>
  <c r="BG609" i="4"/>
  <c r="BD611" i="4" l="1"/>
  <c r="BB611" i="4"/>
  <c r="BA612" i="4" s="1"/>
  <c r="BE609" i="4"/>
  <c r="BF609" i="4"/>
  <c r="BC610" i="4"/>
  <c r="BG610" i="4"/>
  <c r="BD612" i="4" l="1"/>
  <c r="BB612" i="4"/>
  <c r="BA613" i="4" s="1"/>
  <c r="BF610" i="4"/>
  <c r="BE610" i="4"/>
  <c r="BC611" i="4"/>
  <c r="BG611" i="4"/>
  <c r="BD613" i="4" l="1"/>
  <c r="BB613" i="4"/>
  <c r="BA614" i="4" s="1"/>
  <c r="BC612" i="4"/>
  <c r="BG612" i="4"/>
  <c r="BE611" i="4"/>
  <c r="BF611" i="4"/>
  <c r="BB614" i="4" l="1"/>
  <c r="BA615" i="4" s="1"/>
  <c r="BD614" i="4"/>
  <c r="BF612" i="4"/>
  <c r="BE612" i="4"/>
  <c r="BG613" i="4"/>
  <c r="BC613" i="4"/>
  <c r="BB615" i="4" l="1"/>
  <c r="BA616" i="4" s="1"/>
  <c r="BD615" i="4"/>
  <c r="BG614" i="4"/>
  <c r="BC614" i="4"/>
  <c r="BF613" i="4"/>
  <c r="BE613" i="4"/>
  <c r="BG615" i="4" l="1"/>
  <c r="BC615" i="4"/>
  <c r="BD616" i="4"/>
  <c r="BB616" i="4"/>
  <c r="BA617" i="4" s="1"/>
  <c r="BF614" i="4"/>
  <c r="BE614" i="4"/>
  <c r="BD617" i="4" l="1"/>
  <c r="BB617" i="4"/>
  <c r="BA618" i="4" s="1"/>
  <c r="BG616" i="4"/>
  <c r="BC616" i="4"/>
  <c r="BE615" i="4"/>
  <c r="BF615" i="4"/>
  <c r="BD618" i="4" l="1"/>
  <c r="BB618" i="4"/>
  <c r="BA619" i="4" s="1"/>
  <c r="BE616" i="4"/>
  <c r="BF616" i="4"/>
  <c r="BC617" i="4"/>
  <c r="BG617" i="4"/>
  <c r="BB619" i="4" l="1"/>
  <c r="BA620" i="4" s="1"/>
  <c r="BD619" i="4"/>
  <c r="BC618" i="4"/>
  <c r="BG618" i="4"/>
  <c r="BF617" i="4"/>
  <c r="BE617" i="4"/>
  <c r="BB620" i="4" l="1"/>
  <c r="BA621" i="4" s="1"/>
  <c r="BD620" i="4"/>
  <c r="BF618" i="4"/>
  <c r="BE618" i="4"/>
  <c r="BC619" i="4"/>
  <c r="BG619" i="4"/>
  <c r="BC620" i="4" l="1"/>
  <c r="BG620" i="4"/>
  <c r="BB621" i="4"/>
  <c r="BA622" i="4" s="1"/>
  <c r="BD621" i="4"/>
  <c r="BE619" i="4"/>
  <c r="BF619" i="4"/>
  <c r="BG621" i="4" l="1"/>
  <c r="BC621" i="4"/>
  <c r="BB622" i="4"/>
  <c r="BA623" i="4" s="1"/>
  <c r="BD622" i="4"/>
  <c r="BF620" i="4"/>
  <c r="BE620" i="4"/>
  <c r="BD623" i="4" l="1"/>
  <c r="BB623" i="4"/>
  <c r="BA624" i="4" s="1"/>
  <c r="BE621" i="4"/>
  <c r="BF621" i="4"/>
  <c r="BG622" i="4"/>
  <c r="BC622" i="4"/>
  <c r="BD624" i="4" l="1"/>
  <c r="BB624" i="4"/>
  <c r="BA625" i="4" s="1"/>
  <c r="BG623" i="4"/>
  <c r="BC623" i="4"/>
  <c r="BF622" i="4"/>
  <c r="BE622" i="4"/>
  <c r="BD625" i="4" l="1"/>
  <c r="BB625" i="4"/>
  <c r="BA626" i="4" s="1"/>
  <c r="BC624" i="4"/>
  <c r="BG624" i="4"/>
  <c r="BF623" i="4"/>
  <c r="BE623" i="4"/>
  <c r="BB626" i="4" l="1"/>
  <c r="BA627" i="4" s="1"/>
  <c r="BD626" i="4"/>
  <c r="BE624" i="4"/>
  <c r="BF624" i="4"/>
  <c r="BC625" i="4"/>
  <c r="BG625" i="4"/>
  <c r="BB627" i="4" l="1"/>
  <c r="BA628" i="4" s="1"/>
  <c r="BD627" i="4"/>
  <c r="BC626" i="4"/>
  <c r="BG626" i="4"/>
  <c r="BE625" i="4"/>
  <c r="BF625" i="4"/>
  <c r="BC627" i="4" l="1"/>
  <c r="BG627" i="4"/>
  <c r="BD628" i="4"/>
  <c r="BB628" i="4"/>
  <c r="BA629" i="4" s="1"/>
  <c r="BF626" i="4"/>
  <c r="BE626" i="4"/>
  <c r="BD629" i="4" l="1"/>
  <c r="BB629" i="4"/>
  <c r="BA630" i="4" s="1"/>
  <c r="BG628" i="4"/>
  <c r="BC628" i="4"/>
  <c r="BE627" i="4"/>
  <c r="BF627" i="4"/>
  <c r="BD630" i="4" l="1"/>
  <c r="BB630" i="4"/>
  <c r="BA631" i="4" s="1"/>
  <c r="BE628" i="4"/>
  <c r="BF628" i="4"/>
  <c r="BC629" i="4"/>
  <c r="BG629" i="4"/>
  <c r="BF629" i="4" l="1"/>
  <c r="BE629" i="4"/>
  <c r="BD631" i="4"/>
  <c r="BB631" i="4"/>
  <c r="BA632" i="4" s="1"/>
  <c r="BG630" i="4"/>
  <c r="BC630" i="4"/>
  <c r="BB632" i="4" l="1"/>
  <c r="BA633" i="4" s="1"/>
  <c r="BD632" i="4"/>
  <c r="BF630" i="4"/>
  <c r="BE630" i="4"/>
  <c r="BG631" i="4"/>
  <c r="BC631" i="4"/>
  <c r="BG632" i="4" l="1"/>
  <c r="BC632" i="4"/>
  <c r="BB633" i="4"/>
  <c r="BA634" i="4" s="1"/>
  <c r="BD633" i="4"/>
  <c r="BE631" i="4"/>
  <c r="BF631" i="4"/>
  <c r="BB634" i="4" l="1"/>
  <c r="BA635" i="4" s="1"/>
  <c r="BD634" i="4"/>
  <c r="BC633" i="4"/>
  <c r="BG633" i="4"/>
  <c r="BE632" i="4"/>
  <c r="BF632" i="4"/>
  <c r="BC634" i="4" l="1"/>
  <c r="BG634" i="4"/>
  <c r="BE633" i="4"/>
  <c r="BF633" i="4"/>
  <c r="BD635" i="4"/>
  <c r="BB635" i="4"/>
  <c r="BA636" i="4" s="1"/>
  <c r="BD636" i="4" l="1"/>
  <c r="BB636" i="4"/>
  <c r="BA637" i="4" s="1"/>
  <c r="BC635" i="4"/>
  <c r="BG635" i="4"/>
  <c r="BE634" i="4"/>
  <c r="BF634" i="4"/>
  <c r="BB637" i="4" l="1"/>
  <c r="BA638" i="4" s="1"/>
  <c r="BD637" i="4"/>
  <c r="BE635" i="4"/>
  <c r="BF635" i="4"/>
  <c r="BG636" i="4"/>
  <c r="BC636" i="4"/>
  <c r="BC637" i="4" l="1"/>
  <c r="BG637" i="4"/>
  <c r="BE636" i="4"/>
  <c r="BF636" i="4"/>
  <c r="BB638" i="4"/>
  <c r="BA639" i="4" s="1"/>
  <c r="BD638" i="4"/>
  <c r="BG638" i="4" l="1"/>
  <c r="BC638" i="4"/>
  <c r="BD639" i="4"/>
  <c r="BB639" i="4"/>
  <c r="BA640" i="4" s="1"/>
  <c r="BE637" i="4"/>
  <c r="BF637" i="4"/>
  <c r="BG639" i="4" l="1"/>
  <c r="BC639" i="4"/>
  <c r="BE638" i="4"/>
  <c r="BF638" i="4"/>
  <c r="BD640" i="4"/>
  <c r="BB640" i="4"/>
  <c r="BA641" i="4" s="1"/>
  <c r="BB641" i="4" l="1"/>
  <c r="BA642" i="4" s="1"/>
  <c r="BD641" i="4"/>
  <c r="BG640" i="4"/>
  <c r="BC640" i="4"/>
  <c r="BE639" i="4"/>
  <c r="BF639" i="4"/>
  <c r="BB642" i="4" l="1"/>
  <c r="BA643" i="4" s="1"/>
  <c r="BD642" i="4"/>
  <c r="BE640" i="4"/>
  <c r="BF640" i="4"/>
  <c r="BC641" i="4"/>
  <c r="BG641" i="4"/>
  <c r="BD643" i="4" l="1"/>
  <c r="BB643" i="4"/>
  <c r="BA644" i="4" s="1"/>
  <c r="BE641" i="4"/>
  <c r="BF641" i="4"/>
  <c r="BC642" i="4"/>
  <c r="BG642" i="4"/>
  <c r="BB644" i="4" l="1"/>
  <c r="BA645" i="4" s="1"/>
  <c r="BD644" i="4"/>
  <c r="BF642" i="4"/>
  <c r="BE642" i="4"/>
  <c r="BC643" i="4"/>
  <c r="BG643" i="4"/>
  <c r="BE643" i="4" l="1"/>
  <c r="BF643" i="4"/>
  <c r="BG644" i="4"/>
  <c r="BC644" i="4"/>
  <c r="BB645" i="4"/>
  <c r="BA646" i="4" s="1"/>
  <c r="BD645" i="4"/>
  <c r="BD646" i="4" l="1"/>
  <c r="BB646" i="4"/>
  <c r="BA647" i="4" s="1"/>
  <c r="BC645" i="4"/>
  <c r="BG645" i="4"/>
  <c r="BF644" i="4"/>
  <c r="BE644" i="4"/>
  <c r="BB647" i="4" l="1"/>
  <c r="BA648" i="4" s="1"/>
  <c r="BD647" i="4"/>
  <c r="BE645" i="4"/>
  <c r="BF645" i="4"/>
  <c r="BC646" i="4"/>
  <c r="BG646" i="4"/>
  <c r="BG647" i="4" l="1"/>
  <c r="BC647" i="4"/>
  <c r="BE646" i="4"/>
  <c r="BF646" i="4"/>
  <c r="BD648" i="4"/>
  <c r="BB648" i="4"/>
  <c r="BA649" i="4" s="1"/>
  <c r="BB649" i="4" l="1"/>
  <c r="BA650" i="4" s="1"/>
  <c r="BD649" i="4"/>
  <c r="BG648" i="4"/>
  <c r="BC648" i="4"/>
  <c r="BE647" i="4"/>
  <c r="BF647" i="4"/>
  <c r="BD650" i="4" l="1"/>
  <c r="BB650" i="4"/>
  <c r="BA651" i="4" s="1"/>
  <c r="BC649" i="4"/>
  <c r="BG649" i="4"/>
  <c r="BE648" i="4"/>
  <c r="BF648" i="4"/>
  <c r="BD651" i="4" l="1"/>
  <c r="BB651" i="4"/>
  <c r="BA652" i="4" s="1"/>
  <c r="BC650" i="4"/>
  <c r="BG650" i="4"/>
  <c r="BE649" i="4"/>
  <c r="BF649" i="4"/>
  <c r="BB652" i="4" l="1"/>
  <c r="BA653" i="4" s="1"/>
  <c r="BD652" i="4"/>
  <c r="BE650" i="4"/>
  <c r="BF650" i="4"/>
  <c r="BC651" i="4"/>
  <c r="BG651" i="4"/>
  <c r="BC652" i="4" l="1"/>
  <c r="BG652" i="4"/>
  <c r="BF651" i="4"/>
  <c r="BE651" i="4"/>
  <c r="BB653" i="4"/>
  <c r="BA654" i="4" s="1"/>
  <c r="BD653" i="4"/>
  <c r="BG653" i="4" l="1"/>
  <c r="BC653" i="4"/>
  <c r="BB654" i="4"/>
  <c r="BA655" i="4" s="1"/>
  <c r="BD654" i="4"/>
  <c r="BE652" i="4"/>
  <c r="BF652" i="4"/>
  <c r="BB655" i="4" l="1"/>
  <c r="BA656" i="4" s="1"/>
  <c r="BD655" i="4"/>
  <c r="BF653" i="4"/>
  <c r="BE653" i="4"/>
  <c r="BG654" i="4"/>
  <c r="BC654" i="4"/>
  <c r="BE654" i="4" l="1"/>
  <c r="BF654" i="4"/>
  <c r="BB656" i="4"/>
  <c r="BA657" i="4" s="1"/>
  <c r="BD656" i="4"/>
  <c r="BG655" i="4"/>
  <c r="BC655" i="4"/>
  <c r="BF655" i="4" l="1"/>
  <c r="BE655" i="4"/>
  <c r="BD657" i="4"/>
  <c r="BB657" i="4"/>
  <c r="BA658" i="4" s="1"/>
  <c r="BC656" i="4"/>
  <c r="BG656" i="4"/>
  <c r="BC657" i="4" l="1"/>
  <c r="BG657" i="4"/>
  <c r="BF656" i="4"/>
  <c r="BE656" i="4"/>
  <c r="BD658" i="4"/>
  <c r="BB658" i="4"/>
  <c r="BA659" i="4" s="1"/>
  <c r="BD659" i="4" l="1"/>
  <c r="BB659" i="4"/>
  <c r="BA660" i="4" s="1"/>
  <c r="BC658" i="4"/>
  <c r="BG658" i="4"/>
  <c r="BE657" i="4"/>
  <c r="BF657" i="4"/>
  <c r="BD660" i="4" l="1"/>
  <c r="BB660" i="4"/>
  <c r="BA661" i="4" s="1"/>
  <c r="BC659" i="4"/>
  <c r="BG659" i="4"/>
  <c r="BE658" i="4"/>
  <c r="BF658" i="4"/>
  <c r="BD661" i="4" l="1"/>
  <c r="BB661" i="4"/>
  <c r="BA662" i="4" s="1"/>
  <c r="BF659" i="4"/>
  <c r="BE659" i="4"/>
  <c r="BC660" i="4"/>
  <c r="BG660" i="4"/>
  <c r="BB662" i="4" l="1"/>
  <c r="BA663" i="4" s="1"/>
  <c r="BD662" i="4"/>
  <c r="BF660" i="4"/>
  <c r="BE660" i="4"/>
  <c r="BC661" i="4"/>
  <c r="BG661" i="4"/>
  <c r="BG662" i="4" l="1"/>
  <c r="BC662" i="4"/>
  <c r="BF661" i="4"/>
  <c r="BE661" i="4"/>
  <c r="BD663" i="4"/>
  <c r="BB663" i="4"/>
  <c r="BA664" i="4" s="1"/>
  <c r="BD664" i="4" l="1"/>
  <c r="BB664" i="4"/>
  <c r="BA665" i="4" s="1"/>
  <c r="BG663" i="4"/>
  <c r="BC663" i="4"/>
  <c r="BF662" i="4"/>
  <c r="BE662" i="4"/>
  <c r="BB665" i="4" l="1"/>
  <c r="BA666" i="4" s="1"/>
  <c r="BD665" i="4"/>
  <c r="BF663" i="4"/>
  <c r="BE663" i="4"/>
  <c r="BG664" i="4"/>
  <c r="BC664" i="4"/>
  <c r="BD666" i="4" l="1"/>
  <c r="BB666" i="4"/>
  <c r="BA667" i="4" s="1"/>
  <c r="BE664" i="4"/>
  <c r="BF664" i="4"/>
  <c r="BC665" i="4"/>
  <c r="BG665" i="4"/>
  <c r="BD667" i="4" l="1"/>
  <c r="BB667" i="4"/>
  <c r="BA668" i="4" s="1"/>
  <c r="BE665" i="4"/>
  <c r="BF665" i="4"/>
  <c r="BC666" i="4"/>
  <c r="BG666" i="4"/>
  <c r="BB668" i="4" l="1"/>
  <c r="BA669" i="4" s="1"/>
  <c r="BD668" i="4"/>
  <c r="BE666" i="4"/>
  <c r="BF666" i="4"/>
  <c r="BC667" i="4"/>
  <c r="BG667" i="4"/>
  <c r="BE667" i="4" l="1"/>
  <c r="BF667" i="4"/>
  <c r="BC668" i="4"/>
  <c r="BG668" i="4"/>
  <c r="BB669" i="4"/>
  <c r="BA670" i="4" s="1"/>
  <c r="BD669" i="4"/>
  <c r="BC669" i="4" l="1"/>
  <c r="BG669" i="4"/>
  <c r="BF668" i="4"/>
  <c r="BE668" i="4"/>
  <c r="BB670" i="4"/>
  <c r="BA671" i="4" s="1"/>
  <c r="BD670" i="4"/>
  <c r="BG670" i="4" l="1"/>
  <c r="BC670" i="4"/>
  <c r="BB671" i="4"/>
  <c r="BA672" i="4" s="1"/>
  <c r="BD671" i="4"/>
  <c r="BE669" i="4"/>
  <c r="BF669" i="4"/>
  <c r="BG671" i="4" l="1"/>
  <c r="BC671" i="4"/>
  <c r="BF670" i="4"/>
  <c r="BE670" i="4"/>
  <c r="BD672" i="4"/>
  <c r="BB672" i="4"/>
  <c r="BA673" i="4" s="1"/>
  <c r="BB673" i="4" l="1"/>
  <c r="BA674" i="4" s="1"/>
  <c r="BD673" i="4"/>
  <c r="BE671" i="4"/>
  <c r="BF671" i="4"/>
  <c r="BG672" i="4"/>
  <c r="BC672" i="4"/>
  <c r="BB674" i="4" l="1"/>
  <c r="BA675" i="4" s="1"/>
  <c r="BD674" i="4"/>
  <c r="BC673" i="4"/>
  <c r="BG673" i="4"/>
  <c r="BF672" i="4"/>
  <c r="BE672" i="4"/>
  <c r="BB675" i="4" l="1"/>
  <c r="BA676" i="4" s="1"/>
  <c r="BD675" i="4"/>
  <c r="BE673" i="4"/>
  <c r="BF673" i="4"/>
  <c r="BC674" i="4"/>
  <c r="BG674" i="4"/>
  <c r="BD676" i="4" l="1"/>
  <c r="BB676" i="4"/>
  <c r="BA677" i="4" s="1"/>
  <c r="BE674" i="4"/>
  <c r="BF674" i="4"/>
  <c r="BC675" i="4"/>
  <c r="BG675" i="4"/>
  <c r="BD677" i="4" l="1"/>
  <c r="BB677" i="4"/>
  <c r="BA678" i="4" s="1"/>
  <c r="BE675" i="4"/>
  <c r="BF675" i="4"/>
  <c r="BG676" i="4"/>
  <c r="BC676" i="4"/>
  <c r="BF676" i="4" l="1"/>
  <c r="BE676" i="4"/>
  <c r="BD678" i="4"/>
  <c r="BB678" i="4"/>
  <c r="BA679" i="4" s="1"/>
  <c r="BC677" i="4"/>
  <c r="BG677" i="4"/>
  <c r="BG678" i="4" l="1"/>
  <c r="BC678" i="4"/>
  <c r="BF677" i="4"/>
  <c r="BE677" i="4"/>
  <c r="BB679" i="4"/>
  <c r="BA680" i="4" s="1"/>
  <c r="BD679" i="4"/>
  <c r="BG679" i="4" l="1"/>
  <c r="BC679" i="4"/>
  <c r="BE678" i="4"/>
  <c r="BF678" i="4"/>
  <c r="BD680" i="4"/>
  <c r="BB680" i="4"/>
  <c r="BA681" i="4" s="1"/>
  <c r="BB681" i="4" l="1"/>
  <c r="BA682" i="4" s="1"/>
  <c r="BD681" i="4"/>
  <c r="BG680" i="4"/>
  <c r="BC680" i="4"/>
  <c r="BF679" i="4"/>
  <c r="BE679" i="4"/>
  <c r="BD682" i="4" l="1"/>
  <c r="BB682" i="4"/>
  <c r="BA683" i="4" s="1"/>
  <c r="BC681" i="4"/>
  <c r="BG681" i="4"/>
  <c r="BF680" i="4"/>
  <c r="BE680" i="4"/>
  <c r="BE681" i="4" l="1"/>
  <c r="BF681" i="4"/>
  <c r="BD683" i="4"/>
  <c r="BB683" i="4"/>
  <c r="BA684" i="4" s="1"/>
  <c r="BC682" i="4"/>
  <c r="BG682" i="4"/>
  <c r="BC683" i="4" l="1"/>
  <c r="BG683" i="4"/>
  <c r="BD684" i="4"/>
  <c r="BB684" i="4"/>
  <c r="BA685" i="4" s="1"/>
  <c r="BE682" i="4"/>
  <c r="BF682" i="4"/>
  <c r="BD685" i="4" l="1"/>
  <c r="BB685" i="4"/>
  <c r="BA686" i="4" s="1"/>
  <c r="BC684" i="4"/>
  <c r="BG684" i="4"/>
  <c r="BE683" i="4"/>
  <c r="BF683" i="4"/>
  <c r="BE684" i="4" l="1"/>
  <c r="BF684" i="4"/>
  <c r="BD686" i="4"/>
  <c r="BB686" i="4"/>
  <c r="BA687" i="4" s="1"/>
  <c r="BG685" i="4"/>
  <c r="BC685" i="4"/>
  <c r="BG686" i="4" l="1"/>
  <c r="BC686" i="4"/>
  <c r="BF685" i="4"/>
  <c r="BE685" i="4"/>
  <c r="BD687" i="4"/>
  <c r="BB687" i="4"/>
  <c r="BA688" i="4" s="1"/>
  <c r="BD688" i="4" l="1"/>
  <c r="BB688" i="4"/>
  <c r="BA689" i="4" s="1"/>
  <c r="BG687" i="4"/>
  <c r="BC687" i="4"/>
  <c r="BE686" i="4"/>
  <c r="BF686" i="4"/>
  <c r="BD689" i="4" l="1"/>
  <c r="BB689" i="4"/>
  <c r="BA690" i="4" s="1"/>
  <c r="BF687" i="4"/>
  <c r="BE687" i="4"/>
  <c r="BC688" i="4"/>
  <c r="BG688" i="4"/>
  <c r="BB690" i="4" l="1"/>
  <c r="BA691" i="4" s="1"/>
  <c r="BD690" i="4"/>
  <c r="BE688" i="4"/>
  <c r="BF688" i="4"/>
  <c r="BC689" i="4"/>
  <c r="BG689" i="4"/>
  <c r="BB691" i="4" l="1"/>
  <c r="BA692" i="4" s="1"/>
  <c r="BD691" i="4"/>
  <c r="BC690" i="4"/>
  <c r="BG690" i="4"/>
  <c r="BE689" i="4"/>
  <c r="BF689" i="4"/>
  <c r="BC691" i="4" l="1"/>
  <c r="BG691" i="4"/>
  <c r="BD692" i="4"/>
  <c r="BB692" i="4"/>
  <c r="BA693" i="4" s="1"/>
  <c r="BF690" i="4"/>
  <c r="BE690" i="4"/>
  <c r="BD693" i="4" l="1"/>
  <c r="BB693" i="4"/>
  <c r="BA694" i="4" s="1"/>
  <c r="BC692" i="4"/>
  <c r="BG692" i="4"/>
  <c r="BE691" i="4"/>
  <c r="BF691" i="4"/>
  <c r="BF692" i="4" l="1"/>
  <c r="BE692" i="4"/>
  <c r="BB694" i="4"/>
  <c r="BA695" i="4" s="1"/>
  <c r="BD694" i="4"/>
  <c r="BC693" i="4"/>
  <c r="BG693" i="4"/>
  <c r="BD695" i="4" l="1"/>
  <c r="BB695" i="4"/>
  <c r="BA696" i="4" s="1"/>
  <c r="BE693" i="4"/>
  <c r="BF693" i="4"/>
  <c r="BC694" i="4"/>
  <c r="BG694" i="4"/>
  <c r="BF694" i="4" l="1"/>
  <c r="BE694" i="4"/>
  <c r="BD696" i="4"/>
  <c r="BB696" i="4"/>
  <c r="BA697" i="4" s="1"/>
  <c r="BG695" i="4"/>
  <c r="BC695" i="4"/>
  <c r="BD697" i="4" l="1"/>
  <c r="BB697" i="4"/>
  <c r="BA698" i="4" s="1"/>
  <c r="BG696" i="4"/>
  <c r="BC696" i="4"/>
  <c r="BF695" i="4"/>
  <c r="BE695" i="4"/>
  <c r="BB698" i="4" l="1"/>
  <c r="BA699" i="4" s="1"/>
  <c r="BD698" i="4"/>
  <c r="BC697" i="4"/>
  <c r="BG697" i="4"/>
  <c r="BF696" i="4"/>
  <c r="BE696" i="4"/>
  <c r="BC698" i="4" l="1"/>
  <c r="BG698" i="4"/>
  <c r="BB699" i="4"/>
  <c r="BA700" i="4" s="1"/>
  <c r="BD699" i="4"/>
  <c r="BE697" i="4"/>
  <c r="BF697" i="4"/>
  <c r="BB700" i="4" l="1"/>
  <c r="BA701" i="4" s="1"/>
  <c r="BD700" i="4"/>
  <c r="BC699" i="4"/>
  <c r="BG699" i="4"/>
  <c r="BE698" i="4"/>
  <c r="BF698" i="4"/>
  <c r="BC700" i="4" l="1"/>
  <c r="BG700" i="4"/>
  <c r="BB701" i="4"/>
  <c r="BA702" i="4" s="1"/>
  <c r="BD701" i="4"/>
  <c r="BF699" i="4"/>
  <c r="BE699" i="4"/>
  <c r="BB702" i="4" l="1"/>
  <c r="BA703" i="4" s="1"/>
  <c r="BD702" i="4"/>
  <c r="BG701" i="4"/>
  <c r="BC701" i="4"/>
  <c r="BE700" i="4"/>
  <c r="BF700" i="4"/>
  <c r="BE701" i="4" l="1"/>
  <c r="BF701" i="4"/>
  <c r="BG702" i="4"/>
  <c r="BC702" i="4"/>
  <c r="BB703" i="4"/>
  <c r="BA704" i="4" s="1"/>
  <c r="BD703" i="4"/>
  <c r="BG703" i="4" l="1"/>
  <c r="BC703" i="4"/>
  <c r="BB704" i="4"/>
  <c r="BA705" i="4" s="1"/>
  <c r="BD704" i="4"/>
  <c r="BF702" i="4"/>
  <c r="BE702" i="4"/>
  <c r="BC704" i="4" l="1"/>
  <c r="BG704" i="4"/>
  <c r="BF703" i="4"/>
  <c r="BE703" i="4"/>
  <c r="BD705" i="4"/>
  <c r="BB705" i="4"/>
  <c r="BA706" i="4" s="1"/>
  <c r="BD706" i="4" l="1"/>
  <c r="BB706" i="4"/>
  <c r="BA707" i="4" s="1"/>
  <c r="BC705" i="4"/>
  <c r="BG705" i="4"/>
  <c r="BF704" i="4"/>
  <c r="BE704" i="4"/>
  <c r="BD707" i="4" l="1"/>
  <c r="BB707" i="4"/>
  <c r="BA708" i="4" s="1"/>
  <c r="BF705" i="4"/>
  <c r="BE705" i="4"/>
  <c r="BC706" i="4"/>
  <c r="BG706" i="4"/>
  <c r="BD708" i="4" l="1"/>
  <c r="BB708" i="4"/>
  <c r="BA709" i="4" s="1"/>
  <c r="BE706" i="4"/>
  <c r="BF706" i="4"/>
  <c r="BC707" i="4"/>
  <c r="BG707" i="4"/>
  <c r="BB709" i="4" l="1"/>
  <c r="BA710" i="4" s="1"/>
  <c r="BD709" i="4"/>
  <c r="BE707" i="4"/>
  <c r="BF707" i="4"/>
  <c r="BC708" i="4"/>
  <c r="BG708" i="4"/>
  <c r="BC709" i="4" l="1"/>
  <c r="BG709" i="4"/>
  <c r="BB710" i="4"/>
  <c r="BA711" i="4" s="1"/>
  <c r="BD710" i="4"/>
  <c r="BE708" i="4"/>
  <c r="BF708" i="4"/>
  <c r="BG710" i="4" l="1"/>
  <c r="BC710" i="4"/>
  <c r="BB711" i="4"/>
  <c r="BA712" i="4" s="1"/>
  <c r="BD711" i="4"/>
  <c r="BF709" i="4"/>
  <c r="BE709" i="4"/>
  <c r="BD712" i="4" l="1"/>
  <c r="BB712" i="4"/>
  <c r="BA713" i="4" s="1"/>
  <c r="BF710" i="4"/>
  <c r="BE710" i="4"/>
  <c r="BG711" i="4"/>
  <c r="BC711" i="4"/>
  <c r="BB713" i="4" l="1"/>
  <c r="BA714" i="4" s="1"/>
  <c r="BD713" i="4"/>
  <c r="BG712" i="4"/>
  <c r="BC712" i="4"/>
  <c r="BE711" i="4"/>
  <c r="BF711" i="4"/>
  <c r="BG713" i="4" l="1"/>
  <c r="BC713" i="4"/>
  <c r="BF712" i="4"/>
  <c r="BE712" i="4"/>
  <c r="BB714" i="4"/>
  <c r="BA715" i="4" s="1"/>
  <c r="BD714" i="4"/>
  <c r="BB715" i="4" l="1"/>
  <c r="BA716" i="4" s="1"/>
  <c r="BD715" i="4"/>
  <c r="BE713" i="4"/>
  <c r="BF713" i="4"/>
  <c r="BC714" i="4"/>
  <c r="BG714" i="4"/>
  <c r="BB716" i="4" l="1"/>
  <c r="BA717" i="4" s="1"/>
  <c r="BD716" i="4"/>
  <c r="BF714" i="4"/>
  <c r="BE714" i="4"/>
  <c r="BC715" i="4"/>
  <c r="BG715" i="4"/>
  <c r="BG716" i="4" l="1"/>
  <c r="BC716" i="4"/>
  <c r="BF715" i="4"/>
  <c r="BE715" i="4"/>
  <c r="BD717" i="4"/>
  <c r="BB717" i="4"/>
  <c r="BA718" i="4" s="1"/>
  <c r="BB718" i="4" l="1"/>
  <c r="BA719" i="4" s="1"/>
  <c r="BD718" i="4"/>
  <c r="BC717" i="4"/>
  <c r="BG717" i="4"/>
  <c r="BF716" i="4"/>
  <c r="BE716" i="4"/>
  <c r="BC718" i="4" l="1"/>
  <c r="BG718" i="4"/>
  <c r="BD719" i="4"/>
  <c r="BB719" i="4"/>
  <c r="BA720" i="4" s="1"/>
  <c r="BE717" i="4"/>
  <c r="BF717" i="4"/>
  <c r="BG719" i="4" l="1"/>
  <c r="BC719" i="4"/>
  <c r="BD720" i="4"/>
  <c r="BB720" i="4"/>
  <c r="BA721" i="4" s="1"/>
  <c r="BE718" i="4"/>
  <c r="BF718" i="4"/>
  <c r="BB721" i="4" l="1"/>
  <c r="BA722" i="4" s="1"/>
  <c r="BD721" i="4"/>
  <c r="BG720" i="4"/>
  <c r="BC720" i="4"/>
  <c r="BF719" i="4"/>
  <c r="BE719" i="4"/>
  <c r="BB722" i="4" l="1"/>
  <c r="BA723" i="4" s="1"/>
  <c r="BD722" i="4"/>
  <c r="BF720" i="4"/>
  <c r="BE720" i="4"/>
  <c r="BC721" i="4"/>
  <c r="BG721" i="4"/>
  <c r="BB723" i="4" l="1"/>
  <c r="BA724" i="4" s="1"/>
  <c r="BD723" i="4"/>
  <c r="BF721" i="4"/>
  <c r="BE721" i="4"/>
  <c r="BG722" i="4"/>
  <c r="BC722" i="4"/>
  <c r="BE722" i="4" l="1"/>
  <c r="BF722" i="4"/>
  <c r="BG723" i="4"/>
  <c r="BC723" i="4"/>
  <c r="BD724" i="4"/>
  <c r="BB724" i="4"/>
  <c r="BA725" i="4" s="1"/>
  <c r="BB725" i="4" l="1"/>
  <c r="BA726" i="4" s="1"/>
  <c r="BD725" i="4"/>
  <c r="BG724" i="4"/>
  <c r="BC724" i="4"/>
  <c r="BF723" i="4"/>
  <c r="BE723" i="4"/>
  <c r="BE724" i="4" l="1"/>
  <c r="BF724" i="4"/>
  <c r="BD726" i="4"/>
  <c r="BB726" i="4"/>
  <c r="BA727" i="4" s="1"/>
  <c r="BC725" i="4"/>
  <c r="BG725" i="4"/>
  <c r="BC726" i="4" l="1"/>
  <c r="BG726" i="4"/>
  <c r="BF725" i="4"/>
  <c r="BE725" i="4"/>
  <c r="BB727" i="4"/>
  <c r="BA728" i="4" s="1"/>
  <c r="BD727" i="4"/>
  <c r="BB728" i="4" l="1"/>
  <c r="BA729" i="4" s="1"/>
  <c r="BD728" i="4"/>
  <c r="BG727" i="4"/>
  <c r="BC727" i="4"/>
  <c r="BF726" i="4"/>
  <c r="BE726" i="4"/>
  <c r="BG728" i="4" l="1"/>
  <c r="BC728" i="4"/>
  <c r="BB729" i="4"/>
  <c r="BA730" i="4" s="1"/>
  <c r="BD729" i="4"/>
  <c r="BE727" i="4"/>
  <c r="BF727" i="4"/>
  <c r="BE728" i="4" l="1"/>
  <c r="BF728" i="4"/>
  <c r="BD730" i="4"/>
  <c r="BB730" i="4"/>
  <c r="BA731" i="4" s="1"/>
  <c r="BC729" i="4"/>
  <c r="BG729" i="4"/>
  <c r="BB731" i="4" l="1"/>
  <c r="BA732" i="4" s="1"/>
  <c r="BD731" i="4"/>
  <c r="BF729" i="4"/>
  <c r="BE729" i="4"/>
  <c r="BG730" i="4"/>
  <c r="BC730" i="4"/>
  <c r="BF730" i="4" l="1"/>
  <c r="BE730" i="4"/>
  <c r="BG731" i="4"/>
  <c r="BC731" i="4"/>
  <c r="BB732" i="4"/>
  <c r="BA733" i="4" s="1"/>
  <c r="BD732" i="4"/>
  <c r="BG732" i="4" l="1"/>
  <c r="BC732" i="4"/>
  <c r="BE731" i="4"/>
  <c r="BF731" i="4"/>
  <c r="BD733" i="4"/>
  <c r="BB733" i="4"/>
  <c r="BA734" i="4" s="1"/>
  <c r="BD734" i="4" l="1"/>
  <c r="BB734" i="4"/>
  <c r="BA735" i="4" s="1"/>
  <c r="BC733" i="4"/>
  <c r="BG733" i="4"/>
  <c r="BE732" i="4"/>
  <c r="BF732" i="4"/>
  <c r="BF733" i="4" l="1"/>
  <c r="BE733" i="4"/>
  <c r="BD735" i="4"/>
  <c r="BB735" i="4"/>
  <c r="BA736" i="4" s="1"/>
  <c r="BC734" i="4"/>
  <c r="BG734" i="4"/>
  <c r="BB736" i="4" l="1"/>
  <c r="BA737" i="4" s="1"/>
  <c r="BD736" i="4"/>
  <c r="BG735" i="4"/>
  <c r="BC735" i="4"/>
  <c r="BF734" i="4"/>
  <c r="BE734" i="4"/>
  <c r="BG736" i="4" l="1"/>
  <c r="BC736" i="4"/>
  <c r="BF735" i="4"/>
  <c r="BE735" i="4"/>
  <c r="BB737" i="4"/>
  <c r="BA738" i="4" s="1"/>
  <c r="BD737" i="4"/>
  <c r="BG737" i="4" l="1"/>
  <c r="BC737" i="4"/>
  <c r="BB738" i="4"/>
  <c r="BA739" i="4" s="1"/>
  <c r="BD738" i="4"/>
  <c r="BF736" i="4"/>
  <c r="BE736" i="4"/>
  <c r="BD739" i="4" l="1"/>
  <c r="BB739" i="4"/>
  <c r="BA740" i="4" s="1"/>
  <c r="BG738" i="4"/>
  <c r="BC738" i="4"/>
  <c r="BF737" i="4"/>
  <c r="BE737" i="4"/>
  <c r="BB740" i="4" l="1"/>
  <c r="BA741" i="4" s="1"/>
  <c r="BD740" i="4"/>
  <c r="BE738" i="4"/>
  <c r="BF738" i="4"/>
  <c r="BG739" i="4"/>
  <c r="BC739" i="4"/>
  <c r="BB741" i="4" l="1"/>
  <c r="BA742" i="4" s="1"/>
  <c r="BD741" i="4"/>
  <c r="BF739" i="4"/>
  <c r="BE739" i="4"/>
  <c r="BG740" i="4"/>
  <c r="BC740" i="4"/>
  <c r="BB742" i="4" l="1"/>
  <c r="BA743" i="4" s="1"/>
  <c r="BD742" i="4"/>
  <c r="BF740" i="4"/>
  <c r="BE740" i="4"/>
  <c r="BC741" i="4"/>
  <c r="BG741" i="4"/>
  <c r="BD743" i="4" l="1"/>
  <c r="BB743" i="4"/>
  <c r="BA744" i="4" s="1"/>
  <c r="BC742" i="4"/>
  <c r="BG742" i="4"/>
  <c r="BE741" i="4"/>
  <c r="BF741" i="4"/>
  <c r="BB744" i="4" l="1"/>
  <c r="BA745" i="4" s="1"/>
  <c r="BD744" i="4"/>
  <c r="BF742" i="4"/>
  <c r="BE742" i="4"/>
  <c r="BC743" i="4"/>
  <c r="BG743" i="4"/>
  <c r="BG744" i="4" l="1"/>
  <c r="BC744" i="4"/>
  <c r="BB745" i="4"/>
  <c r="BA746" i="4" s="1"/>
  <c r="BD745" i="4"/>
  <c r="BF743" i="4"/>
  <c r="BE743" i="4"/>
  <c r="BD746" i="4" l="1"/>
  <c r="BB746" i="4"/>
  <c r="BA747" i="4" s="1"/>
  <c r="BF744" i="4"/>
  <c r="BE744" i="4"/>
  <c r="BG745" i="4"/>
  <c r="BC745" i="4"/>
  <c r="BD747" i="4" l="1"/>
  <c r="BB747" i="4"/>
  <c r="BA748" i="4" s="1"/>
  <c r="BF745" i="4"/>
  <c r="BE745" i="4"/>
  <c r="BC746" i="4"/>
  <c r="BG746" i="4"/>
  <c r="BD748" i="4" l="1"/>
  <c r="BB748" i="4"/>
  <c r="BA749" i="4" s="1"/>
  <c r="BF746" i="4"/>
  <c r="BE746" i="4"/>
  <c r="BC747" i="4"/>
  <c r="BG747" i="4"/>
  <c r="BD749" i="4" l="1"/>
  <c r="BB749" i="4"/>
  <c r="BA750" i="4" s="1"/>
  <c r="BE747" i="4"/>
  <c r="BF747" i="4"/>
  <c r="BC748" i="4"/>
  <c r="BG748" i="4"/>
  <c r="BE748" i="4" l="1"/>
  <c r="BF748" i="4"/>
  <c r="BB750" i="4"/>
  <c r="BA751" i="4" s="1"/>
  <c r="BD750" i="4"/>
  <c r="BG749" i="4"/>
  <c r="BC749" i="4"/>
  <c r="BB751" i="4" l="1"/>
  <c r="BA752" i="4" s="1"/>
  <c r="BD751" i="4"/>
  <c r="BF749" i="4"/>
  <c r="BE749" i="4"/>
  <c r="BC750" i="4"/>
  <c r="BG750" i="4"/>
  <c r="BG751" i="4" l="1"/>
  <c r="BC751" i="4"/>
  <c r="BE750" i="4"/>
  <c r="BF750" i="4"/>
  <c r="BB752" i="4"/>
  <c r="BA753" i="4" s="1"/>
  <c r="BD752" i="4"/>
  <c r="BG752" i="4" l="1"/>
  <c r="BC752" i="4"/>
  <c r="BD753" i="4"/>
  <c r="BB753" i="4"/>
  <c r="BA754" i="4" s="1"/>
  <c r="BF751" i="4"/>
  <c r="BE751" i="4"/>
  <c r="BB754" i="4" l="1"/>
  <c r="BA755" i="4" s="1"/>
  <c r="BD754" i="4"/>
  <c r="BG753" i="4"/>
  <c r="BC753" i="4"/>
  <c r="BF752" i="4"/>
  <c r="BE752" i="4"/>
  <c r="BD755" i="4" l="1"/>
  <c r="BB755" i="4"/>
  <c r="BA756" i="4" s="1"/>
  <c r="BF753" i="4"/>
  <c r="BE753" i="4"/>
  <c r="BC754" i="4"/>
  <c r="BG754" i="4"/>
  <c r="BB756" i="4" l="1"/>
  <c r="BA757" i="4" s="1"/>
  <c r="BD756" i="4"/>
  <c r="BE754" i="4"/>
  <c r="BF754" i="4"/>
  <c r="BC755" i="4"/>
  <c r="BG755" i="4"/>
  <c r="BC756" i="4" l="1"/>
  <c r="BG756" i="4"/>
  <c r="BD757" i="4"/>
  <c r="BB757" i="4"/>
  <c r="BA758" i="4" s="1"/>
  <c r="BF755" i="4"/>
  <c r="BE755" i="4"/>
  <c r="BG757" i="4" l="1"/>
  <c r="BC757" i="4"/>
  <c r="BD758" i="4"/>
  <c r="BB758" i="4"/>
  <c r="BA759" i="4" s="1"/>
  <c r="BE756" i="4"/>
  <c r="BF756" i="4"/>
  <c r="BD759" i="4" l="1"/>
  <c r="BB759" i="4"/>
  <c r="BA760" i="4" s="1"/>
  <c r="BC758" i="4"/>
  <c r="BG758" i="4"/>
  <c r="BF757" i="4"/>
  <c r="BE757" i="4"/>
  <c r="BB760" i="4" l="1"/>
  <c r="BA761" i="4" s="1"/>
  <c r="BD760" i="4"/>
  <c r="BE758" i="4"/>
  <c r="BF758" i="4"/>
  <c r="BC759" i="4"/>
  <c r="BG759" i="4"/>
  <c r="BE759" i="4" l="1"/>
  <c r="BF759" i="4"/>
  <c r="BG760" i="4"/>
  <c r="BC760" i="4"/>
  <c r="BD761" i="4"/>
  <c r="BB761" i="4"/>
  <c r="BA762" i="4" s="1"/>
  <c r="BB762" i="4" l="1"/>
  <c r="BA763" i="4" s="1"/>
  <c r="BD762" i="4"/>
  <c r="BG761" i="4"/>
  <c r="BC761" i="4"/>
  <c r="BE760" i="4"/>
  <c r="BF760" i="4"/>
  <c r="BD763" i="4" l="1"/>
  <c r="BB763" i="4"/>
  <c r="BA764" i="4" s="1"/>
  <c r="BC762" i="4"/>
  <c r="BG762" i="4"/>
  <c r="BF761" i="4"/>
  <c r="BE761" i="4"/>
  <c r="BD764" i="4" l="1"/>
  <c r="BB764" i="4"/>
  <c r="BA765" i="4" s="1"/>
  <c r="BC763" i="4"/>
  <c r="BG763" i="4"/>
  <c r="BF762" i="4"/>
  <c r="BE762" i="4"/>
  <c r="BB765" i="4" l="1"/>
  <c r="BA766" i="4" s="1"/>
  <c r="BD765" i="4"/>
  <c r="BF763" i="4"/>
  <c r="BE763" i="4"/>
  <c r="BC764" i="4"/>
  <c r="BG764" i="4"/>
  <c r="BG765" i="4" l="1"/>
  <c r="BC765" i="4"/>
  <c r="BE764" i="4"/>
  <c r="BF764" i="4"/>
  <c r="BB766" i="4"/>
  <c r="BA767" i="4" s="1"/>
  <c r="BD766" i="4"/>
  <c r="BC766" i="4" l="1"/>
  <c r="BG766" i="4"/>
  <c r="BF765" i="4"/>
  <c r="BE765" i="4"/>
  <c r="BB767" i="4"/>
  <c r="BA768" i="4" s="1"/>
  <c r="BD767" i="4"/>
  <c r="BG767" i="4" l="1"/>
  <c r="BC767" i="4"/>
  <c r="BB768" i="4"/>
  <c r="BA769" i="4" s="1"/>
  <c r="BD768" i="4"/>
  <c r="BE766" i="4"/>
  <c r="BF766" i="4"/>
  <c r="BG768" i="4" l="1"/>
  <c r="BC768" i="4"/>
  <c r="BF767" i="4"/>
  <c r="BE767" i="4"/>
  <c r="BD769" i="4"/>
  <c r="BB769" i="4"/>
  <c r="BA770" i="4" s="1"/>
  <c r="BB770" i="4" l="1"/>
  <c r="BA771" i="4" s="1"/>
  <c r="BD770" i="4"/>
  <c r="BG769" i="4"/>
  <c r="BC769" i="4"/>
  <c r="BF768" i="4"/>
  <c r="BE768" i="4"/>
  <c r="BB771" i="4" l="1"/>
  <c r="BA772" i="4" s="1"/>
  <c r="BD771" i="4"/>
  <c r="BF769" i="4"/>
  <c r="BE769" i="4"/>
  <c r="BC770" i="4"/>
  <c r="BG770" i="4"/>
  <c r="BB772" i="4" l="1"/>
  <c r="BA773" i="4" s="1"/>
  <c r="BD772" i="4"/>
  <c r="BC771" i="4"/>
  <c r="BG771" i="4"/>
  <c r="BE770" i="4"/>
  <c r="BF770" i="4"/>
  <c r="BC772" i="4" l="1"/>
  <c r="BG772" i="4"/>
  <c r="BF771" i="4"/>
  <c r="BE771" i="4"/>
  <c r="BB773" i="4"/>
  <c r="BA774" i="4" s="1"/>
  <c r="BD773" i="4"/>
  <c r="BD774" i="4" l="1"/>
  <c r="BB774" i="4"/>
  <c r="BA775" i="4" s="1"/>
  <c r="BG773" i="4"/>
  <c r="BC773" i="4"/>
  <c r="BE772" i="4"/>
  <c r="BF772" i="4"/>
  <c r="BE773" i="4" l="1"/>
  <c r="BF773" i="4"/>
  <c r="BB775" i="4"/>
  <c r="BA776" i="4" s="1"/>
  <c r="BD775" i="4"/>
  <c r="BC774" i="4"/>
  <c r="BG774" i="4"/>
  <c r="BF774" i="4" l="1"/>
  <c r="BE774" i="4"/>
  <c r="BG775" i="4"/>
  <c r="BC775" i="4"/>
  <c r="BD776" i="4"/>
  <c r="BB776" i="4"/>
  <c r="BA777" i="4" s="1"/>
  <c r="BD777" i="4" l="1"/>
  <c r="BB777" i="4"/>
  <c r="BA778" i="4" s="1"/>
  <c r="BE775" i="4"/>
  <c r="BF775" i="4"/>
  <c r="BG776" i="4"/>
  <c r="BC776" i="4"/>
  <c r="BB778" i="4" l="1"/>
  <c r="BA779" i="4" s="1"/>
  <c r="BD778" i="4"/>
  <c r="BE776" i="4"/>
  <c r="BF776" i="4"/>
  <c r="BG777" i="4"/>
  <c r="BC777" i="4"/>
  <c r="BB779" i="4" l="1"/>
  <c r="BA780" i="4" s="1"/>
  <c r="BD779" i="4"/>
  <c r="BF777" i="4"/>
  <c r="BE777" i="4"/>
  <c r="BC778" i="4"/>
  <c r="BG778" i="4"/>
  <c r="BC779" i="4" l="1"/>
  <c r="BG779" i="4"/>
  <c r="BE778" i="4"/>
  <c r="BF778" i="4"/>
  <c r="BD780" i="4"/>
  <c r="BB780" i="4"/>
  <c r="BA781" i="4" s="1"/>
  <c r="BD781" i="4" l="1"/>
  <c r="BB781" i="4"/>
  <c r="BA782" i="4" s="1"/>
  <c r="BC780" i="4"/>
  <c r="BG780" i="4"/>
  <c r="BF779" i="4"/>
  <c r="BE779" i="4"/>
  <c r="BD782" i="4" l="1"/>
  <c r="BB782" i="4"/>
  <c r="BA783" i="4" s="1"/>
  <c r="BE780" i="4"/>
  <c r="BF780" i="4"/>
  <c r="BG781" i="4"/>
  <c r="BC781" i="4"/>
  <c r="BE781" i="4" l="1"/>
  <c r="BF781" i="4"/>
  <c r="BB783" i="4"/>
  <c r="BA784" i="4" s="1"/>
  <c r="BD783" i="4"/>
  <c r="BC782" i="4"/>
  <c r="BG782" i="4"/>
  <c r="BG783" i="4" l="1"/>
  <c r="BC783" i="4"/>
  <c r="BD784" i="4"/>
  <c r="BB784" i="4"/>
  <c r="BA785" i="4" s="1"/>
  <c r="BF782" i="4"/>
  <c r="BE782" i="4"/>
  <c r="BD785" i="4" l="1"/>
  <c r="BB785" i="4"/>
  <c r="BA786" i="4" s="1"/>
  <c r="BG784" i="4"/>
  <c r="BC784" i="4"/>
  <c r="BF783" i="4"/>
  <c r="BE783" i="4"/>
  <c r="BB786" i="4" l="1"/>
  <c r="BA787" i="4" s="1"/>
  <c r="BD786" i="4"/>
  <c r="BG785" i="4"/>
  <c r="BC785" i="4"/>
  <c r="BF784" i="4"/>
  <c r="BE784" i="4"/>
  <c r="BB787" i="4" l="1"/>
  <c r="BA788" i="4" s="1"/>
  <c r="BD787" i="4"/>
  <c r="BE785" i="4"/>
  <c r="BF785" i="4"/>
  <c r="BC786" i="4"/>
  <c r="BG786" i="4"/>
  <c r="BB788" i="4" l="1"/>
  <c r="BA789" i="4" s="1"/>
  <c r="BD788" i="4"/>
  <c r="BE786" i="4"/>
  <c r="BF786" i="4"/>
  <c r="BC787" i="4"/>
  <c r="BG787" i="4"/>
  <c r="BC788" i="4" l="1"/>
  <c r="BG788" i="4"/>
  <c r="BB789" i="4"/>
  <c r="BA790" i="4" s="1"/>
  <c r="BD789" i="4"/>
  <c r="BF787" i="4"/>
  <c r="BE787" i="4"/>
  <c r="BG789" i="4" l="1"/>
  <c r="BC789" i="4"/>
  <c r="BD790" i="4"/>
  <c r="BB790" i="4"/>
  <c r="BA791" i="4" s="1"/>
  <c r="BF788" i="4"/>
  <c r="BE788" i="4"/>
  <c r="BD791" i="4" l="1"/>
  <c r="BB791" i="4"/>
  <c r="BA792" i="4" s="1"/>
  <c r="BC790" i="4"/>
  <c r="BG790" i="4"/>
  <c r="BF789" i="4"/>
  <c r="BE789" i="4"/>
  <c r="BF790" i="4" l="1"/>
  <c r="BE790" i="4"/>
  <c r="BD792" i="4"/>
  <c r="BB792" i="4"/>
  <c r="BA793" i="4" s="1"/>
  <c r="BG791" i="4"/>
  <c r="BC791" i="4"/>
  <c r="BD793" i="4" l="1"/>
  <c r="BB793" i="4"/>
  <c r="BA794" i="4" s="1"/>
  <c r="BG792" i="4"/>
  <c r="BC792" i="4"/>
  <c r="BF791" i="4"/>
  <c r="BE791" i="4"/>
  <c r="BE792" i="4" l="1"/>
  <c r="BF792" i="4"/>
  <c r="BB794" i="4"/>
  <c r="BA795" i="4" s="1"/>
  <c r="BD794" i="4"/>
  <c r="BG793" i="4"/>
  <c r="BC793" i="4"/>
  <c r="BB795" i="4" l="1"/>
  <c r="BA796" i="4" s="1"/>
  <c r="BD795" i="4"/>
  <c r="BF793" i="4"/>
  <c r="BE793" i="4"/>
  <c r="BC794" i="4"/>
  <c r="BG794" i="4"/>
  <c r="BB796" i="4" l="1"/>
  <c r="BA797" i="4" s="1"/>
  <c r="BD796" i="4"/>
  <c r="BE794" i="4"/>
  <c r="BF794" i="4"/>
  <c r="BC795" i="4"/>
  <c r="BG795" i="4"/>
  <c r="BD797" i="4" l="1"/>
  <c r="BB797" i="4"/>
  <c r="BA798" i="4" s="1"/>
  <c r="BE795" i="4"/>
  <c r="BF795" i="4"/>
  <c r="BC796" i="4"/>
  <c r="BG796" i="4"/>
  <c r="BB798" i="4" l="1"/>
  <c r="BA799" i="4" s="1"/>
  <c r="BD798" i="4"/>
  <c r="BE796" i="4"/>
  <c r="BF796" i="4"/>
  <c r="BC797" i="4"/>
  <c r="BG797" i="4"/>
  <c r="BE797" i="4" l="1"/>
  <c r="BF797" i="4"/>
  <c r="BG798" i="4"/>
  <c r="BC798" i="4"/>
  <c r="BD799" i="4"/>
  <c r="BB799" i="4"/>
  <c r="BA800" i="4" s="1"/>
  <c r="BB800" i="4" l="1"/>
  <c r="BA801" i="4" s="1"/>
  <c r="BD800" i="4"/>
  <c r="BG799" i="4"/>
  <c r="BC799" i="4"/>
  <c r="BF798" i="4"/>
  <c r="BE798" i="4"/>
  <c r="BG800" i="4" l="1"/>
  <c r="BC800" i="4"/>
  <c r="BE799" i="4"/>
  <c r="BF799" i="4"/>
  <c r="BD801" i="4"/>
  <c r="BB801" i="4"/>
  <c r="BA802" i="4" s="1"/>
  <c r="BB802" i="4" l="1"/>
  <c r="BA803" i="4" s="1"/>
  <c r="BD802" i="4"/>
  <c r="BG801" i="4"/>
  <c r="BC801" i="4"/>
  <c r="BE800" i="4"/>
  <c r="BF800" i="4"/>
  <c r="BB803" i="4" l="1"/>
  <c r="BA804" i="4" s="1"/>
  <c r="BD803" i="4"/>
  <c r="BC802" i="4"/>
  <c r="BG802" i="4"/>
  <c r="BF801" i="4"/>
  <c r="BE801" i="4"/>
  <c r="BD804" i="4" l="1"/>
  <c r="BB804" i="4"/>
  <c r="BA805" i="4" s="1"/>
  <c r="BC803" i="4"/>
  <c r="BG803" i="4"/>
  <c r="BE802" i="4"/>
  <c r="BF802" i="4"/>
  <c r="BD805" i="4" l="1"/>
  <c r="BB805" i="4"/>
  <c r="BA806" i="4" s="1"/>
  <c r="BF803" i="4"/>
  <c r="BE803" i="4"/>
  <c r="BC804" i="4"/>
  <c r="BG804" i="4"/>
  <c r="BB806" i="4" l="1"/>
  <c r="BA807" i="4" s="1"/>
  <c r="BD806" i="4"/>
  <c r="BG805" i="4"/>
  <c r="BC805" i="4"/>
  <c r="BF804" i="4"/>
  <c r="BE804" i="4"/>
  <c r="BE805" i="4" l="1"/>
  <c r="BF805" i="4"/>
  <c r="BC806" i="4"/>
  <c r="BG806" i="4"/>
  <c r="BB807" i="4"/>
  <c r="BA808" i="4" s="1"/>
  <c r="BD807" i="4"/>
  <c r="BG807" i="4" l="1"/>
  <c r="BC807" i="4"/>
  <c r="BB808" i="4"/>
  <c r="BA809" i="4" s="1"/>
  <c r="BD808" i="4"/>
  <c r="BE806" i="4"/>
  <c r="BF806" i="4"/>
  <c r="BG808" i="4" l="1"/>
  <c r="BC808" i="4"/>
  <c r="BB809" i="4"/>
  <c r="BA810" i="4" s="1"/>
  <c r="BD809" i="4"/>
  <c r="BE807" i="4"/>
  <c r="BF807" i="4"/>
  <c r="BG809" i="4" l="1"/>
  <c r="BC809" i="4"/>
  <c r="BB810" i="4"/>
  <c r="BA811" i="4" s="1"/>
  <c r="BD810" i="4"/>
  <c r="BF808" i="4"/>
  <c r="BE808" i="4"/>
  <c r="BB811" i="4" l="1"/>
  <c r="BA812" i="4" s="1"/>
  <c r="BD811" i="4"/>
  <c r="BC810" i="4"/>
  <c r="BG810" i="4"/>
  <c r="BE809" i="4"/>
  <c r="BF809" i="4"/>
  <c r="BE810" i="4" l="1"/>
  <c r="BF810" i="4"/>
  <c r="BC811" i="4"/>
  <c r="BG811" i="4"/>
  <c r="BD812" i="4"/>
  <c r="BB812" i="4"/>
  <c r="BA813" i="4" s="1"/>
  <c r="BD813" i="4" l="1"/>
  <c r="BB813" i="4"/>
  <c r="BA814" i="4" s="1"/>
  <c r="BF811" i="4"/>
  <c r="BE811" i="4"/>
  <c r="BC812" i="4"/>
  <c r="BG812" i="4"/>
  <c r="BD814" i="4" l="1"/>
  <c r="BB814" i="4"/>
  <c r="BA815" i="4" s="1"/>
  <c r="BF812" i="4"/>
  <c r="BE812" i="4"/>
  <c r="BG813" i="4"/>
  <c r="BC813" i="4"/>
  <c r="BD815" i="4" l="1"/>
  <c r="BB815" i="4"/>
  <c r="BA816" i="4" s="1"/>
  <c r="BF813" i="4"/>
  <c r="BE813" i="4"/>
  <c r="BC814" i="4"/>
  <c r="BG814" i="4"/>
  <c r="BF814" i="4" l="1"/>
  <c r="BE814" i="4"/>
  <c r="BD816" i="4"/>
  <c r="BB816" i="4"/>
  <c r="BA817" i="4" s="1"/>
  <c r="BC815" i="4"/>
  <c r="BG815" i="4"/>
  <c r="BF815" i="4" l="1"/>
  <c r="BE815" i="4"/>
  <c r="BG816" i="4"/>
  <c r="BC816" i="4"/>
  <c r="BD817" i="4"/>
  <c r="BB817" i="4"/>
  <c r="BA818" i="4" s="1"/>
  <c r="BB818" i="4" l="1"/>
  <c r="BA819" i="4" s="1"/>
  <c r="BD818" i="4"/>
  <c r="BG817" i="4"/>
  <c r="BC817" i="4"/>
  <c r="BF816" i="4"/>
  <c r="BE816" i="4"/>
  <c r="BB819" i="4" l="1"/>
  <c r="BA820" i="4" s="1"/>
  <c r="BD819" i="4"/>
  <c r="BF817" i="4"/>
  <c r="BE817" i="4"/>
  <c r="BC818" i="4"/>
  <c r="BG818" i="4"/>
  <c r="BD820" i="4" l="1"/>
  <c r="BB820" i="4"/>
  <c r="BA821" i="4" s="1"/>
  <c r="BC819" i="4"/>
  <c r="BG819" i="4"/>
  <c r="BF818" i="4"/>
  <c r="BE818" i="4"/>
  <c r="BD821" i="4" l="1"/>
  <c r="BB821" i="4"/>
  <c r="BA822" i="4" s="1"/>
  <c r="BE819" i="4"/>
  <c r="BF819" i="4"/>
  <c r="BC820" i="4"/>
  <c r="BG820" i="4"/>
  <c r="BB822" i="4" l="1"/>
  <c r="BA823" i="4" s="1"/>
  <c r="BD822" i="4"/>
  <c r="BE820" i="4"/>
  <c r="BF820" i="4"/>
  <c r="BG821" i="4"/>
  <c r="BC821" i="4"/>
  <c r="BE821" i="4" l="1"/>
  <c r="BF821" i="4"/>
  <c r="BC822" i="4"/>
  <c r="BG822" i="4"/>
  <c r="BD823" i="4"/>
  <c r="BB823" i="4"/>
  <c r="BA824" i="4" s="1"/>
  <c r="BG823" i="4" l="1"/>
  <c r="BC823" i="4"/>
  <c r="BE822" i="4"/>
  <c r="BF822" i="4"/>
  <c r="BD824" i="4"/>
  <c r="BB824" i="4"/>
  <c r="BA825" i="4" s="1"/>
  <c r="BD825" i="4" l="1"/>
  <c r="BB825" i="4"/>
  <c r="BA826" i="4" s="1"/>
  <c r="BG824" i="4"/>
  <c r="BC824" i="4"/>
  <c r="BF823" i="4"/>
  <c r="BE823" i="4"/>
  <c r="BB826" i="4" l="1"/>
  <c r="BA827" i="4" s="1"/>
  <c r="BD826" i="4"/>
  <c r="BE824" i="4"/>
  <c r="BF824" i="4"/>
  <c r="BG825" i="4"/>
  <c r="BC825" i="4"/>
  <c r="BD827" i="4" l="1"/>
  <c r="BB827" i="4"/>
  <c r="BA828" i="4" s="1"/>
  <c r="BE825" i="4"/>
  <c r="BF825" i="4"/>
  <c r="BC826" i="4"/>
  <c r="BG826" i="4"/>
  <c r="BD828" i="4" l="1"/>
  <c r="BB828" i="4"/>
  <c r="BA829" i="4" s="1"/>
  <c r="BE826" i="4"/>
  <c r="BF826" i="4"/>
  <c r="BC827" i="4"/>
  <c r="BG827" i="4"/>
  <c r="BB829" i="4" l="1"/>
  <c r="BA830" i="4" s="1"/>
  <c r="BD829" i="4"/>
  <c r="BF827" i="4"/>
  <c r="BE827" i="4"/>
  <c r="BC828" i="4"/>
  <c r="BG828" i="4"/>
  <c r="BF828" i="4" l="1"/>
  <c r="BE828" i="4"/>
  <c r="BC829" i="4"/>
  <c r="BG829" i="4"/>
  <c r="BD830" i="4"/>
  <c r="BB830" i="4"/>
  <c r="BA831" i="4" s="1"/>
  <c r="BD831" i="4" l="1"/>
  <c r="BB831" i="4"/>
  <c r="BA832" i="4" s="1"/>
  <c r="BG830" i="4"/>
  <c r="BC830" i="4"/>
  <c r="BF829" i="4"/>
  <c r="BE829" i="4"/>
  <c r="BD832" i="4" l="1"/>
  <c r="BB832" i="4"/>
  <c r="BA833" i="4" s="1"/>
  <c r="BE830" i="4"/>
  <c r="BF830" i="4"/>
  <c r="BG831" i="4"/>
  <c r="BC831" i="4"/>
  <c r="BD833" i="4" l="1"/>
  <c r="BB833" i="4"/>
  <c r="BA834" i="4" s="1"/>
  <c r="BG832" i="4"/>
  <c r="BC832" i="4"/>
  <c r="BE831" i="4"/>
  <c r="BF831" i="4"/>
  <c r="BB834" i="4" l="1"/>
  <c r="BA835" i="4" s="1"/>
  <c r="BD834" i="4"/>
  <c r="BG833" i="4"/>
  <c r="BC833" i="4"/>
  <c r="BF832" i="4"/>
  <c r="BE832" i="4"/>
  <c r="BB835" i="4" l="1"/>
  <c r="BA836" i="4" s="1"/>
  <c r="BD835" i="4"/>
  <c r="BC834" i="4"/>
  <c r="BG834" i="4"/>
  <c r="BE833" i="4"/>
  <c r="BF833" i="4"/>
  <c r="BD836" i="4" l="1"/>
  <c r="BB836" i="4"/>
  <c r="BA837" i="4" s="1"/>
  <c r="BC835" i="4"/>
  <c r="BG835" i="4"/>
  <c r="BE834" i="4"/>
  <c r="BF834" i="4"/>
  <c r="BE835" i="4" l="1"/>
  <c r="BF835" i="4"/>
  <c r="BB837" i="4"/>
  <c r="BA838" i="4" s="1"/>
  <c r="BD837" i="4"/>
  <c r="BC836" i="4"/>
  <c r="BG836" i="4"/>
  <c r="BB838" i="4" l="1"/>
  <c r="BA839" i="4" s="1"/>
  <c r="BD838" i="4"/>
  <c r="BG837" i="4"/>
  <c r="BC837" i="4"/>
  <c r="BF836" i="4"/>
  <c r="BE836" i="4"/>
  <c r="BC838" i="4" l="1"/>
  <c r="BG838" i="4"/>
  <c r="BF837" i="4"/>
  <c r="BE837" i="4"/>
  <c r="BD839" i="4"/>
  <c r="BB839" i="4"/>
  <c r="BA840" i="4" s="1"/>
  <c r="BD840" i="4" l="1"/>
  <c r="BB840" i="4"/>
  <c r="BA841" i="4" s="1"/>
  <c r="BG839" i="4"/>
  <c r="BC839" i="4"/>
  <c r="BF838" i="4"/>
  <c r="BE838" i="4"/>
  <c r="BD841" i="4" l="1"/>
  <c r="BB841" i="4"/>
  <c r="BA842" i="4" s="1"/>
  <c r="BG840" i="4"/>
  <c r="BC840" i="4"/>
  <c r="BE839" i="4"/>
  <c r="BF839" i="4"/>
  <c r="BB842" i="4" l="1"/>
  <c r="BA843" i="4" s="1"/>
  <c r="BD842" i="4"/>
  <c r="BE840" i="4"/>
  <c r="BF840" i="4"/>
  <c r="BG841" i="4"/>
  <c r="BC841" i="4"/>
  <c r="BD843" i="4" l="1"/>
  <c r="BB843" i="4"/>
  <c r="BA844" i="4" s="1"/>
  <c r="BF841" i="4"/>
  <c r="BE841" i="4"/>
  <c r="BC842" i="4"/>
  <c r="BG842" i="4"/>
  <c r="BE842" i="4" l="1"/>
  <c r="BF842" i="4"/>
  <c r="BB844" i="4"/>
  <c r="BA845" i="4" s="1"/>
  <c r="BD844" i="4"/>
  <c r="BC843" i="4"/>
  <c r="BG843" i="4"/>
  <c r="BD845" i="4" l="1"/>
  <c r="BB845" i="4"/>
  <c r="BA846" i="4" s="1"/>
  <c r="BF843" i="4"/>
  <c r="BE843" i="4"/>
  <c r="BC844" i="4"/>
  <c r="BG844" i="4"/>
  <c r="BD846" i="4" l="1"/>
  <c r="BB846" i="4"/>
  <c r="BA847" i="4" s="1"/>
  <c r="BE844" i="4"/>
  <c r="BF844" i="4"/>
  <c r="BG845" i="4"/>
  <c r="BC845" i="4"/>
  <c r="BB847" i="4" l="1"/>
  <c r="BA848" i="4" s="1"/>
  <c r="BD847" i="4"/>
  <c r="BF845" i="4"/>
  <c r="BE845" i="4"/>
  <c r="BC846" i="4"/>
  <c r="BG846" i="4"/>
  <c r="BF846" i="4" l="1"/>
  <c r="BE846" i="4"/>
  <c r="BG847" i="4"/>
  <c r="BC847" i="4"/>
  <c r="BB848" i="4"/>
  <c r="BA849" i="4" s="1"/>
  <c r="BD848" i="4"/>
  <c r="BG848" i="4" l="1"/>
  <c r="BC848" i="4"/>
  <c r="BD849" i="4"/>
  <c r="BB849" i="4"/>
  <c r="BA850" i="4" s="1"/>
  <c r="BF847" i="4"/>
  <c r="BE847" i="4"/>
  <c r="BB850" i="4" l="1"/>
  <c r="BA851" i="4" s="1"/>
  <c r="BD850" i="4"/>
  <c r="BE848" i="4"/>
  <c r="BF848" i="4"/>
  <c r="BG849" i="4"/>
  <c r="BC849" i="4"/>
  <c r="BB851" i="4" l="1"/>
  <c r="BA852" i="4" s="1"/>
  <c r="BD851" i="4"/>
  <c r="BE849" i="4"/>
  <c r="BF849" i="4"/>
  <c r="BC850" i="4"/>
  <c r="BG850" i="4"/>
  <c r="BD852" i="4" l="1"/>
  <c r="BB852" i="4"/>
  <c r="BA853" i="4" s="1"/>
  <c r="BE850" i="4"/>
  <c r="BF850" i="4"/>
  <c r="BC851" i="4"/>
  <c r="BG851" i="4"/>
  <c r="BB853" i="4" l="1"/>
  <c r="BA854" i="4" s="1"/>
  <c r="BD853" i="4"/>
  <c r="BE851" i="4"/>
  <c r="BF851" i="4"/>
  <c r="BC852" i="4"/>
  <c r="BG852" i="4"/>
  <c r="BE852" i="4" l="1"/>
  <c r="BF852" i="4"/>
  <c r="BG853" i="4"/>
  <c r="BC853" i="4"/>
  <c r="BD854" i="4"/>
  <c r="BB854" i="4"/>
  <c r="BA855" i="4" s="1"/>
  <c r="BB855" i="4" l="1"/>
  <c r="BA856" i="4" s="1"/>
  <c r="BD855" i="4"/>
  <c r="BC854" i="4"/>
  <c r="BG854" i="4"/>
  <c r="BF853" i="4"/>
  <c r="BE853" i="4"/>
  <c r="BD856" i="4" l="1"/>
  <c r="BB856" i="4"/>
  <c r="BA857" i="4" s="1"/>
  <c r="BG855" i="4"/>
  <c r="BC855" i="4"/>
  <c r="BE854" i="4"/>
  <c r="BF854" i="4"/>
  <c r="BB857" i="4" l="1"/>
  <c r="BA858" i="4" s="1"/>
  <c r="BD857" i="4"/>
  <c r="BG856" i="4"/>
  <c r="BC856" i="4"/>
  <c r="BE855" i="4"/>
  <c r="BF855" i="4"/>
  <c r="BF856" i="4" l="1"/>
  <c r="BE856" i="4"/>
  <c r="BG857" i="4"/>
  <c r="BC857" i="4"/>
  <c r="BB858" i="4"/>
  <c r="BA859" i="4" s="1"/>
  <c r="BD858" i="4"/>
  <c r="BB859" i="4" l="1"/>
  <c r="BA860" i="4" s="1"/>
  <c r="BD859" i="4"/>
  <c r="BF857" i="4"/>
  <c r="BE857" i="4"/>
  <c r="BC858" i="4"/>
  <c r="BG858" i="4"/>
  <c r="BF858" i="4" l="1"/>
  <c r="BE858" i="4"/>
  <c r="BD860" i="4"/>
  <c r="BB860" i="4"/>
  <c r="BA861" i="4" s="1"/>
  <c r="BC859" i="4"/>
  <c r="BG859" i="4"/>
  <c r="BD861" i="4" l="1"/>
  <c r="BB861" i="4"/>
  <c r="BA862" i="4" s="1"/>
  <c r="BC860" i="4"/>
  <c r="BG860" i="4"/>
  <c r="BE859" i="4"/>
  <c r="BF859" i="4"/>
  <c r="BF860" i="4" l="1"/>
  <c r="BE860" i="4"/>
  <c r="BD862" i="4"/>
  <c r="BB862" i="4"/>
  <c r="BA863" i="4" s="1"/>
  <c r="BC861" i="4"/>
  <c r="BG861" i="4"/>
  <c r="BC862" i="4" l="1"/>
  <c r="BG862" i="4"/>
  <c r="BD863" i="4"/>
  <c r="BB863" i="4"/>
  <c r="BA864" i="4" s="1"/>
  <c r="BF861" i="4"/>
  <c r="BE861" i="4"/>
  <c r="BG863" i="4" l="1"/>
  <c r="BC863" i="4"/>
  <c r="BB864" i="4"/>
  <c r="BA865" i="4" s="1"/>
  <c r="BD864" i="4"/>
  <c r="BF862" i="4"/>
  <c r="BE862" i="4"/>
  <c r="BG864" i="4" l="1"/>
  <c r="BC864" i="4"/>
  <c r="BD865" i="4"/>
  <c r="BB865" i="4"/>
  <c r="BA866" i="4" s="1"/>
  <c r="BE863" i="4"/>
  <c r="BF863" i="4"/>
  <c r="BG865" i="4" l="1"/>
  <c r="BC865" i="4"/>
  <c r="BF864" i="4"/>
  <c r="BE864" i="4"/>
  <c r="BB866" i="4"/>
  <c r="BA867" i="4" s="1"/>
  <c r="BD866" i="4"/>
  <c r="BC866" i="4" l="1"/>
  <c r="BG866" i="4"/>
  <c r="BE865" i="4"/>
  <c r="BF865" i="4"/>
  <c r="BB867" i="4"/>
  <c r="BA868" i="4" s="1"/>
  <c r="BD867" i="4"/>
  <c r="BB868" i="4" l="1"/>
  <c r="BA869" i="4" s="1"/>
  <c r="BD868" i="4"/>
  <c r="BC867" i="4"/>
  <c r="BG867" i="4"/>
  <c r="BF866" i="4"/>
  <c r="BE866" i="4"/>
  <c r="BF867" i="4" l="1"/>
  <c r="BE867" i="4"/>
  <c r="BC868" i="4"/>
  <c r="BG868" i="4"/>
  <c r="BD869" i="4"/>
  <c r="BB869" i="4"/>
  <c r="BA870" i="4" s="1"/>
  <c r="BD870" i="4" l="1"/>
  <c r="BB870" i="4"/>
  <c r="BA871" i="4" s="1"/>
  <c r="BE868" i="4"/>
  <c r="BF868" i="4"/>
  <c r="BG869" i="4"/>
  <c r="BC869" i="4"/>
  <c r="BF869" i="4" l="1"/>
  <c r="BE869" i="4"/>
  <c r="BB871" i="4"/>
  <c r="BA872" i="4" s="1"/>
  <c r="BD871" i="4"/>
  <c r="BC870" i="4"/>
  <c r="BG870" i="4"/>
  <c r="BF870" i="4" l="1"/>
  <c r="BE870" i="4"/>
  <c r="BC871" i="4"/>
  <c r="BG871" i="4"/>
  <c r="BD872" i="4"/>
  <c r="BB872" i="4"/>
  <c r="BA873" i="4" s="1"/>
  <c r="BD873" i="4" l="1"/>
  <c r="BB873" i="4"/>
  <c r="BA874" i="4" s="1"/>
  <c r="BE871" i="4"/>
  <c r="BF871" i="4"/>
  <c r="BG872" i="4"/>
  <c r="BC872" i="4"/>
  <c r="BD874" i="4" l="1"/>
  <c r="BB874" i="4"/>
  <c r="BA875" i="4" s="1"/>
  <c r="BF872" i="4"/>
  <c r="BE872" i="4"/>
  <c r="BG873" i="4"/>
  <c r="BC873" i="4"/>
  <c r="BD875" i="4" l="1"/>
  <c r="BB875" i="4"/>
  <c r="BA876" i="4" s="1"/>
  <c r="BC874" i="4"/>
  <c r="BG874" i="4"/>
  <c r="BF873" i="4"/>
  <c r="BE873" i="4"/>
  <c r="BD876" i="4" l="1"/>
  <c r="BB876" i="4"/>
  <c r="BA877" i="4" s="1"/>
  <c r="BF874" i="4"/>
  <c r="BE874" i="4"/>
  <c r="BC875" i="4"/>
  <c r="BG875" i="4"/>
  <c r="BE875" i="4" l="1"/>
  <c r="BF875" i="4"/>
  <c r="BB877" i="4"/>
  <c r="BA878" i="4" s="1"/>
  <c r="BD877" i="4"/>
  <c r="BC876" i="4"/>
  <c r="BG876" i="4"/>
  <c r="BB878" i="4" l="1"/>
  <c r="BA879" i="4" s="1"/>
  <c r="BD878" i="4"/>
  <c r="BG877" i="4"/>
  <c r="BC877" i="4"/>
  <c r="BF876" i="4"/>
  <c r="BE876" i="4"/>
  <c r="BE877" i="4" l="1"/>
  <c r="BF877" i="4"/>
  <c r="BD879" i="4"/>
  <c r="BB879" i="4"/>
  <c r="BA880" i="4" s="1"/>
  <c r="BC878" i="4"/>
  <c r="BG878" i="4"/>
  <c r="BG879" i="4" l="1"/>
  <c r="BC879" i="4"/>
  <c r="BF878" i="4"/>
  <c r="BE878" i="4"/>
  <c r="BD880" i="4"/>
  <c r="BB880" i="4"/>
  <c r="BA881" i="4" s="1"/>
  <c r="BD881" i="4" l="1"/>
  <c r="BB881" i="4"/>
  <c r="BA882" i="4" s="1"/>
  <c r="BF879" i="4"/>
  <c r="BE879" i="4"/>
  <c r="BG880" i="4"/>
  <c r="BC880" i="4"/>
  <c r="BB882" i="4" l="1"/>
  <c r="BA883" i="4" s="1"/>
  <c r="BD882" i="4"/>
  <c r="BF880" i="4"/>
  <c r="BE880" i="4"/>
  <c r="BG881" i="4"/>
  <c r="BC881" i="4"/>
  <c r="BD883" i="4" l="1"/>
  <c r="BB883" i="4"/>
  <c r="BA884" i="4" s="1"/>
  <c r="BC882" i="4"/>
  <c r="BG882" i="4"/>
  <c r="BF881" i="4"/>
  <c r="BE881" i="4"/>
  <c r="BD884" i="4" l="1"/>
  <c r="BB884" i="4"/>
  <c r="BA885" i="4" s="1"/>
  <c r="BF882" i="4"/>
  <c r="BE882" i="4"/>
  <c r="BC883" i="4"/>
  <c r="BG883" i="4"/>
  <c r="BB885" i="4" l="1"/>
  <c r="BA886" i="4" s="1"/>
  <c r="BD885" i="4"/>
  <c r="BE883" i="4"/>
  <c r="BF883" i="4"/>
  <c r="BC884" i="4"/>
  <c r="BG884" i="4"/>
  <c r="BG885" i="4" l="1"/>
  <c r="BC885" i="4"/>
  <c r="BE884" i="4"/>
  <c r="BF884" i="4"/>
  <c r="BB886" i="4"/>
  <c r="BA887" i="4" s="1"/>
  <c r="BD886" i="4"/>
  <c r="BE885" i="4" l="1"/>
  <c r="BF885" i="4"/>
  <c r="BG886" i="4"/>
  <c r="BC886" i="4"/>
  <c r="BB887" i="4"/>
  <c r="BA888" i="4" s="1"/>
  <c r="BD887" i="4"/>
  <c r="BG887" i="4" l="1"/>
  <c r="BC887" i="4"/>
  <c r="BE886" i="4"/>
  <c r="BF886" i="4"/>
  <c r="BD888" i="4"/>
  <c r="BB888" i="4"/>
  <c r="BA889" i="4" s="1"/>
  <c r="BB889" i="4" l="1"/>
  <c r="BA890" i="4" s="1"/>
  <c r="BD889" i="4"/>
  <c r="BG888" i="4"/>
  <c r="BC888" i="4"/>
  <c r="BF887" i="4"/>
  <c r="BE887" i="4"/>
  <c r="BG889" i="4" l="1"/>
  <c r="BC889" i="4"/>
  <c r="BE888" i="4"/>
  <c r="BF888" i="4"/>
  <c r="BB890" i="4"/>
  <c r="BA891" i="4" s="1"/>
  <c r="BD890" i="4"/>
  <c r="BD891" i="4" l="1"/>
  <c r="BB891" i="4"/>
  <c r="BA892" i="4" s="1"/>
  <c r="BC890" i="4"/>
  <c r="BG890" i="4"/>
  <c r="BF889" i="4"/>
  <c r="BE889" i="4"/>
  <c r="BB892" i="4" l="1"/>
  <c r="BA893" i="4" s="1"/>
  <c r="BD892" i="4"/>
  <c r="BF890" i="4"/>
  <c r="BE890" i="4"/>
  <c r="BC891" i="4"/>
  <c r="BG891" i="4"/>
  <c r="BD893" i="4" l="1"/>
  <c r="BB893" i="4"/>
  <c r="BA894" i="4" s="1"/>
  <c r="BC892" i="4"/>
  <c r="BG892" i="4"/>
  <c r="BF891" i="4"/>
  <c r="BE891" i="4"/>
  <c r="BB894" i="4" l="1"/>
  <c r="BA895" i="4" s="1"/>
  <c r="BD894" i="4"/>
  <c r="BF892" i="4"/>
  <c r="BE892" i="4"/>
  <c r="BC893" i="4"/>
  <c r="BG893" i="4"/>
  <c r="BB895" i="4" l="1"/>
  <c r="BA896" i="4" s="1"/>
  <c r="BD895" i="4"/>
  <c r="BF893" i="4"/>
  <c r="BE893" i="4"/>
  <c r="BG894" i="4"/>
  <c r="BC894" i="4"/>
  <c r="BE894" i="4" l="1"/>
  <c r="BF894" i="4"/>
  <c r="BG895" i="4"/>
  <c r="BC895" i="4"/>
  <c r="BD896" i="4"/>
  <c r="BB896" i="4"/>
  <c r="BA897" i="4" s="1"/>
  <c r="BD897" i="4" l="1"/>
  <c r="BB897" i="4"/>
  <c r="BA898" i="4" s="1"/>
  <c r="BF895" i="4"/>
  <c r="BE895" i="4"/>
  <c r="BG896" i="4"/>
  <c r="BC896" i="4"/>
  <c r="BB898" i="4" l="1"/>
  <c r="BA899" i="4" s="1"/>
  <c r="BD898" i="4"/>
  <c r="BF896" i="4"/>
  <c r="BE896" i="4"/>
  <c r="BG897" i="4"/>
  <c r="BC897" i="4"/>
  <c r="BE897" i="4" l="1"/>
  <c r="BF897" i="4"/>
  <c r="BB899" i="4"/>
  <c r="BA900" i="4" s="1"/>
  <c r="BD899" i="4"/>
  <c r="BC898" i="4"/>
  <c r="BG898" i="4"/>
  <c r="BB900" i="4" l="1"/>
  <c r="BA901" i="4" s="1"/>
  <c r="BD900" i="4"/>
  <c r="BF898" i="4"/>
  <c r="BE898" i="4"/>
  <c r="BC899" i="4"/>
  <c r="BG899" i="4"/>
  <c r="BE899" i="4" l="1"/>
  <c r="BF899" i="4"/>
  <c r="BB901" i="4"/>
  <c r="BA902" i="4" s="1"/>
  <c r="BD901" i="4"/>
  <c r="BC900" i="4"/>
  <c r="BG900" i="4"/>
  <c r="BE900" i="4" l="1"/>
  <c r="BF900" i="4"/>
  <c r="BD902" i="4"/>
  <c r="BB902" i="4"/>
  <c r="BA903" i="4" s="1"/>
  <c r="BG901" i="4"/>
  <c r="BC901" i="4"/>
  <c r="BB903" i="4" l="1"/>
  <c r="BA904" i="4" s="1"/>
  <c r="BD903" i="4"/>
  <c r="BE901" i="4"/>
  <c r="BF901" i="4"/>
  <c r="BG902" i="4"/>
  <c r="BC902" i="4"/>
  <c r="BF902" i="4" l="1"/>
  <c r="BE902" i="4"/>
  <c r="BG903" i="4"/>
  <c r="BC903" i="4"/>
  <c r="BD904" i="4"/>
  <c r="BB904" i="4"/>
  <c r="BA905" i="4" s="1"/>
  <c r="BD905" i="4" l="1"/>
  <c r="BB905" i="4"/>
  <c r="BA906" i="4" s="1"/>
  <c r="BG904" i="4"/>
  <c r="BC904" i="4"/>
  <c r="BF903" i="4"/>
  <c r="BE903" i="4"/>
  <c r="BD906" i="4" l="1"/>
  <c r="BB906" i="4"/>
  <c r="BA907" i="4" s="1"/>
  <c r="BF904" i="4"/>
  <c r="BE904" i="4"/>
  <c r="BG905" i="4"/>
  <c r="BC905" i="4"/>
  <c r="BD907" i="4" l="1"/>
  <c r="BB907" i="4"/>
  <c r="BA908" i="4" s="1"/>
  <c r="BE905" i="4"/>
  <c r="BF905" i="4"/>
  <c r="BC906" i="4"/>
  <c r="BG906" i="4"/>
  <c r="BD908" i="4" l="1"/>
  <c r="BB908" i="4"/>
  <c r="BA909" i="4" s="1"/>
  <c r="BC907" i="4"/>
  <c r="BG907" i="4"/>
  <c r="BF906" i="4"/>
  <c r="BE906" i="4"/>
  <c r="BB909" i="4" l="1"/>
  <c r="BA910" i="4" s="1"/>
  <c r="BD909" i="4"/>
  <c r="BF907" i="4"/>
  <c r="BE907" i="4"/>
  <c r="BC908" i="4"/>
  <c r="BG908" i="4"/>
  <c r="BG909" i="4" l="1"/>
  <c r="BC909" i="4"/>
  <c r="BD910" i="4"/>
  <c r="BB910" i="4"/>
  <c r="BA911" i="4" s="1"/>
  <c r="BE908" i="4"/>
  <c r="BF908" i="4"/>
  <c r="BD911" i="4" l="1"/>
  <c r="BB911" i="4"/>
  <c r="BA912" i="4" s="1"/>
  <c r="BC910" i="4"/>
  <c r="BG910" i="4"/>
  <c r="BF909" i="4"/>
  <c r="BE909" i="4"/>
  <c r="BB912" i="4" l="1"/>
  <c r="BA913" i="4" s="1"/>
  <c r="BD912" i="4"/>
  <c r="BF910" i="4"/>
  <c r="BE910" i="4"/>
  <c r="BG911" i="4"/>
  <c r="BC911" i="4"/>
  <c r="BG912" i="4" l="1"/>
  <c r="BC912" i="4"/>
  <c r="BE911" i="4"/>
  <c r="BF911" i="4"/>
  <c r="BD913" i="4"/>
  <c r="BB913" i="4"/>
  <c r="BA914" i="4" s="1"/>
  <c r="BB914" i="4" l="1"/>
  <c r="BA915" i="4" s="1"/>
  <c r="BD914" i="4"/>
  <c r="BE912" i="4"/>
  <c r="BF912" i="4"/>
  <c r="BG913" i="4"/>
  <c r="BC913" i="4"/>
  <c r="BE913" i="4" l="1"/>
  <c r="BF913" i="4"/>
  <c r="BC914" i="4"/>
  <c r="BG914" i="4"/>
  <c r="BD915" i="4"/>
  <c r="BB915" i="4"/>
  <c r="BA916" i="4" s="1"/>
  <c r="BB916" i="4" l="1"/>
  <c r="BA917" i="4" s="1"/>
  <c r="BD916" i="4"/>
  <c r="BE914" i="4"/>
  <c r="BF914" i="4"/>
  <c r="BC915" i="4"/>
  <c r="BG915" i="4"/>
  <c r="BC916" i="4" l="1"/>
  <c r="BG916" i="4"/>
  <c r="BD917" i="4"/>
  <c r="BB917" i="4"/>
  <c r="BA918" i="4" s="1"/>
  <c r="BE915" i="4"/>
  <c r="BF915" i="4"/>
  <c r="BG917" i="4" l="1"/>
  <c r="BC917" i="4"/>
  <c r="BD918" i="4"/>
  <c r="BB918" i="4"/>
  <c r="BA919" i="4" s="1"/>
  <c r="BF916" i="4"/>
  <c r="BE916" i="4"/>
  <c r="BB919" i="4" l="1"/>
  <c r="BA920" i="4" s="1"/>
  <c r="BD919" i="4"/>
  <c r="BC918" i="4"/>
  <c r="BG918" i="4"/>
  <c r="BF917" i="4"/>
  <c r="BE917" i="4"/>
  <c r="BG919" i="4" l="1"/>
  <c r="BC919" i="4"/>
  <c r="BD920" i="4"/>
  <c r="BB920" i="4"/>
  <c r="BA921" i="4" s="1"/>
  <c r="BE918" i="4"/>
  <c r="BF918" i="4"/>
  <c r="BD921" i="4" l="1"/>
  <c r="BB921" i="4"/>
  <c r="BA922" i="4" s="1"/>
  <c r="BF919" i="4"/>
  <c r="BE919" i="4"/>
  <c r="BG920" i="4"/>
  <c r="BC920" i="4"/>
  <c r="BB922" i="4" l="1"/>
  <c r="BA923" i="4" s="1"/>
  <c r="BD922" i="4"/>
  <c r="BE920" i="4"/>
  <c r="BF920" i="4"/>
  <c r="BG921" i="4"/>
  <c r="BC921" i="4"/>
  <c r="BB923" i="4" l="1"/>
  <c r="BA924" i="4" s="1"/>
  <c r="BD923" i="4"/>
  <c r="BF921" i="4"/>
  <c r="BE921" i="4"/>
  <c r="BC922" i="4"/>
  <c r="BG922" i="4"/>
  <c r="BD924" i="4" l="1"/>
  <c r="BB924" i="4"/>
  <c r="BA925" i="4" s="1"/>
  <c r="BC923" i="4"/>
  <c r="BG923" i="4"/>
  <c r="BF922" i="4"/>
  <c r="BE922" i="4"/>
  <c r="BB925" i="4" l="1"/>
  <c r="BA926" i="4" s="1"/>
  <c r="BD925" i="4"/>
  <c r="BF923" i="4"/>
  <c r="BE923" i="4"/>
  <c r="BC924" i="4"/>
  <c r="BG924" i="4"/>
  <c r="BG925" i="4" l="1"/>
  <c r="BC925" i="4"/>
  <c r="BB926" i="4"/>
  <c r="BA927" i="4" s="1"/>
  <c r="BD926" i="4"/>
  <c r="BF924" i="4"/>
  <c r="BE924" i="4"/>
  <c r="BD927" i="4" l="1"/>
  <c r="BB927" i="4"/>
  <c r="BA928" i="4" s="1"/>
  <c r="BF925" i="4"/>
  <c r="BE925" i="4"/>
  <c r="BC926" i="4"/>
  <c r="BG926" i="4"/>
  <c r="BB928" i="4" l="1"/>
  <c r="BA929" i="4" s="1"/>
  <c r="BD928" i="4"/>
  <c r="BE926" i="4"/>
  <c r="BF926" i="4"/>
  <c r="BG927" i="4"/>
  <c r="BC927" i="4"/>
  <c r="BG928" i="4" l="1"/>
  <c r="BC928" i="4"/>
  <c r="BD929" i="4"/>
  <c r="BB929" i="4"/>
  <c r="BA930" i="4" s="1"/>
  <c r="BE927" i="4"/>
  <c r="BF927" i="4"/>
  <c r="BB930" i="4" l="1"/>
  <c r="BA931" i="4" s="1"/>
  <c r="BD930" i="4"/>
  <c r="BE928" i="4"/>
  <c r="BF928" i="4"/>
  <c r="BG929" i="4"/>
  <c r="BC929" i="4"/>
  <c r="BF929" i="4" l="1"/>
  <c r="BE929" i="4"/>
  <c r="BG930" i="4"/>
  <c r="BC930" i="4"/>
  <c r="BD931" i="4"/>
  <c r="BB931" i="4"/>
  <c r="BA932" i="4" s="1"/>
  <c r="BD932" i="4" l="1"/>
  <c r="BB932" i="4"/>
  <c r="BA933" i="4" s="1"/>
  <c r="BC931" i="4"/>
  <c r="BG931" i="4"/>
  <c r="BF930" i="4"/>
  <c r="BE930" i="4"/>
  <c r="BD933" i="4" l="1"/>
  <c r="BB933" i="4"/>
  <c r="BA934" i="4" s="1"/>
  <c r="BF931" i="4"/>
  <c r="BE931" i="4"/>
  <c r="BC932" i="4"/>
  <c r="BG932" i="4"/>
  <c r="BD934" i="4" l="1"/>
  <c r="BB934" i="4"/>
  <c r="BA935" i="4" s="1"/>
  <c r="BE932" i="4"/>
  <c r="BF932" i="4"/>
  <c r="BC933" i="4"/>
  <c r="BG933" i="4"/>
  <c r="BF933" i="4" l="1"/>
  <c r="BE933" i="4"/>
  <c r="BD935" i="4"/>
  <c r="BB935" i="4"/>
  <c r="BA936" i="4" s="1"/>
  <c r="BC934" i="4"/>
  <c r="BG934" i="4"/>
  <c r="BB936" i="4" l="1"/>
  <c r="BA937" i="4" s="1"/>
  <c r="BD936" i="4"/>
  <c r="BF934" i="4"/>
  <c r="BE934" i="4"/>
  <c r="BG935" i="4"/>
  <c r="BC935" i="4"/>
  <c r="BB937" i="4" l="1"/>
  <c r="BA938" i="4" s="1"/>
  <c r="BD937" i="4"/>
  <c r="BF935" i="4"/>
  <c r="BE935" i="4"/>
  <c r="BC936" i="4"/>
  <c r="BG936" i="4"/>
  <c r="BF936" i="4" l="1"/>
  <c r="BE936" i="4"/>
  <c r="BG937" i="4"/>
  <c r="BC937" i="4"/>
  <c r="BB938" i="4"/>
  <c r="BA939" i="4" s="1"/>
  <c r="BD938" i="4"/>
  <c r="BG938" i="4" l="1"/>
  <c r="BC938" i="4"/>
  <c r="BD939" i="4"/>
  <c r="BB939" i="4"/>
  <c r="BA940" i="4" s="1"/>
  <c r="BE937" i="4"/>
  <c r="BF937" i="4"/>
  <c r="BB940" i="4" l="1"/>
  <c r="BA941" i="4" s="1"/>
  <c r="BD940" i="4"/>
  <c r="BG939" i="4"/>
  <c r="BC939" i="4"/>
  <c r="BE938" i="4"/>
  <c r="BF938" i="4"/>
  <c r="BD941" i="4" l="1"/>
  <c r="BB941" i="4"/>
  <c r="BA942" i="4" s="1"/>
  <c r="BF939" i="4"/>
  <c r="BE939" i="4"/>
  <c r="BC940" i="4"/>
  <c r="BG940" i="4"/>
  <c r="BE940" i="4" l="1"/>
  <c r="BF940" i="4"/>
  <c r="BB942" i="4"/>
  <c r="BA943" i="4" s="1"/>
  <c r="BD942" i="4"/>
  <c r="BG941" i="4"/>
  <c r="BC941" i="4"/>
  <c r="BC942" i="4" l="1"/>
  <c r="BG942" i="4"/>
  <c r="BB943" i="4"/>
  <c r="BA944" i="4" s="1"/>
  <c r="BD943" i="4"/>
  <c r="BE941" i="4"/>
  <c r="BF941" i="4"/>
  <c r="BG943" i="4" l="1"/>
  <c r="BC943" i="4"/>
  <c r="BB944" i="4"/>
  <c r="BA945" i="4" s="1"/>
  <c r="BD944" i="4"/>
  <c r="BF942" i="4"/>
  <c r="BE942" i="4"/>
  <c r="BD945" i="4" l="1"/>
  <c r="BB945" i="4"/>
  <c r="BA946" i="4" s="1"/>
  <c r="BF943" i="4"/>
  <c r="BE943" i="4"/>
  <c r="BC944" i="4"/>
  <c r="BG944" i="4"/>
  <c r="BF944" i="4" l="1"/>
  <c r="BE944" i="4"/>
  <c r="BB946" i="4"/>
  <c r="BA947" i="4" s="1"/>
  <c r="BD946" i="4"/>
  <c r="BC945" i="4"/>
  <c r="BG945" i="4"/>
  <c r="BF945" i="4" l="1"/>
  <c r="BE945" i="4"/>
  <c r="BG946" i="4"/>
  <c r="BC946" i="4"/>
  <c r="BD947" i="4"/>
  <c r="BB947" i="4"/>
  <c r="BA948" i="4" s="1"/>
  <c r="BD948" i="4" l="1"/>
  <c r="BB948" i="4"/>
  <c r="BA949" i="4" s="1"/>
  <c r="BG947" i="4"/>
  <c r="BC947" i="4"/>
  <c r="BF946" i="4"/>
  <c r="BE946" i="4"/>
  <c r="BB949" i="4" l="1"/>
  <c r="BA950" i="4" s="1"/>
  <c r="BD949" i="4"/>
  <c r="BF947" i="4"/>
  <c r="BE947" i="4"/>
  <c r="BC948" i="4"/>
  <c r="BG948" i="4"/>
  <c r="BF948" i="4" l="1"/>
  <c r="BE948" i="4"/>
  <c r="BC949" i="4"/>
  <c r="BG949" i="4"/>
  <c r="BD950" i="4"/>
  <c r="BB950" i="4"/>
  <c r="BA951" i="4" s="1"/>
  <c r="BC950" i="4" l="1"/>
  <c r="BG950" i="4"/>
  <c r="BE949" i="4"/>
  <c r="BF949" i="4"/>
  <c r="BB951" i="4"/>
  <c r="BA952" i="4" s="1"/>
  <c r="BD951" i="4"/>
  <c r="BG951" i="4" l="1"/>
  <c r="BC951" i="4"/>
  <c r="BB952" i="4"/>
  <c r="BA953" i="4" s="1"/>
  <c r="BD952" i="4"/>
  <c r="BF950" i="4"/>
  <c r="BE950" i="4"/>
  <c r="BC952" i="4" l="1"/>
  <c r="BG952" i="4"/>
  <c r="BE951" i="4"/>
  <c r="BF951" i="4"/>
  <c r="BB953" i="4"/>
  <c r="BA954" i="4" s="1"/>
  <c r="BD953" i="4"/>
  <c r="BB954" i="4" l="1"/>
  <c r="BA955" i="4" s="1"/>
  <c r="BD954" i="4"/>
  <c r="BC953" i="4"/>
  <c r="BG953" i="4"/>
  <c r="BE952" i="4"/>
  <c r="BF952" i="4"/>
  <c r="BD955" i="4" l="1"/>
  <c r="BB955" i="4"/>
  <c r="BA956" i="4" s="1"/>
  <c r="BF953" i="4"/>
  <c r="BE953" i="4"/>
  <c r="BG954" i="4"/>
  <c r="BC954" i="4"/>
  <c r="BD956" i="4" l="1"/>
  <c r="BB956" i="4"/>
  <c r="BA957" i="4" s="1"/>
  <c r="BE954" i="4"/>
  <c r="BF954" i="4"/>
  <c r="BC955" i="4"/>
  <c r="BG955" i="4"/>
  <c r="BF955" i="4" l="1"/>
  <c r="BE955" i="4"/>
  <c r="BB957" i="4"/>
  <c r="BA958" i="4" s="1"/>
  <c r="BD957" i="4"/>
  <c r="BG956" i="4"/>
  <c r="BC956" i="4"/>
  <c r="BD958" i="4" l="1"/>
  <c r="BB958" i="4"/>
  <c r="BA959" i="4" s="1"/>
  <c r="BE956" i="4"/>
  <c r="BF956" i="4"/>
  <c r="BC957" i="4"/>
  <c r="BG957" i="4"/>
  <c r="BE957" i="4" l="1"/>
  <c r="BF957" i="4"/>
  <c r="BB959" i="4"/>
  <c r="BA960" i="4" s="1"/>
  <c r="BD959" i="4"/>
  <c r="BC958" i="4"/>
  <c r="BG958" i="4"/>
  <c r="BF958" i="4" l="1"/>
  <c r="BE958" i="4"/>
  <c r="BC959" i="4"/>
  <c r="BG959" i="4"/>
  <c r="BD960" i="4"/>
  <c r="BB960" i="4"/>
  <c r="BA961" i="4" s="1"/>
  <c r="BB961" i="4" l="1"/>
  <c r="BA962" i="4" s="1"/>
  <c r="BD961" i="4"/>
  <c r="BG960" i="4"/>
  <c r="BC960" i="4"/>
  <c r="BE959" i="4"/>
  <c r="BF959" i="4"/>
  <c r="BF960" i="4" l="1"/>
  <c r="BE960" i="4"/>
  <c r="BD962" i="4"/>
  <c r="BB962" i="4"/>
  <c r="BA963" i="4" s="1"/>
  <c r="BG961" i="4"/>
  <c r="BC961" i="4"/>
  <c r="BD963" i="4" l="1"/>
  <c r="BB963" i="4"/>
  <c r="BA964" i="4" s="1"/>
  <c r="BF961" i="4"/>
  <c r="BE961" i="4"/>
  <c r="BC962" i="4"/>
  <c r="BG962" i="4"/>
  <c r="BE962" i="4" l="1"/>
  <c r="BF962" i="4"/>
  <c r="BB964" i="4"/>
  <c r="BA965" i="4" s="1"/>
  <c r="BD964" i="4"/>
  <c r="BC963" i="4"/>
  <c r="BG963" i="4"/>
  <c r="BD965" i="4" l="1"/>
  <c r="BB965" i="4"/>
  <c r="BA966" i="4" s="1"/>
  <c r="BE963" i="4"/>
  <c r="BF963" i="4"/>
  <c r="BC964" i="4"/>
  <c r="BG964" i="4"/>
  <c r="BD966" i="4" l="1"/>
  <c r="BB966" i="4"/>
  <c r="BA967" i="4" s="1"/>
  <c r="BF964" i="4"/>
  <c r="BE964" i="4"/>
  <c r="BC965" i="4"/>
  <c r="BG965" i="4"/>
  <c r="BE965" i="4" l="1"/>
  <c r="BF965" i="4"/>
  <c r="BB967" i="4"/>
  <c r="BA968" i="4" s="1"/>
  <c r="BD967" i="4"/>
  <c r="BG966" i="4"/>
  <c r="BC966" i="4"/>
  <c r="BC967" i="4" l="1"/>
  <c r="BG967" i="4"/>
  <c r="BD968" i="4"/>
  <c r="BB968" i="4"/>
  <c r="BA969" i="4" s="1"/>
  <c r="BE966" i="4"/>
  <c r="BF966" i="4"/>
  <c r="BB969" i="4" l="1"/>
  <c r="BA970" i="4" s="1"/>
  <c r="BD969" i="4"/>
  <c r="BG968" i="4"/>
  <c r="BC968" i="4"/>
  <c r="BF967" i="4"/>
  <c r="BE967" i="4"/>
  <c r="BG969" i="4" l="1"/>
  <c r="BC969" i="4"/>
  <c r="BD970" i="4"/>
  <c r="BB970" i="4"/>
  <c r="BA971" i="4" s="1"/>
  <c r="BE968" i="4"/>
  <c r="BF968" i="4"/>
  <c r="BB971" i="4" l="1"/>
  <c r="BA972" i="4" s="1"/>
  <c r="BD971" i="4"/>
  <c r="BF969" i="4"/>
  <c r="BE969" i="4"/>
  <c r="BG970" i="4"/>
  <c r="BC970" i="4"/>
  <c r="BF970" i="4" l="1"/>
  <c r="BE970" i="4"/>
  <c r="BD972" i="4"/>
  <c r="BB972" i="4"/>
  <c r="BA973" i="4" s="1"/>
  <c r="BC971" i="4"/>
  <c r="BG971" i="4"/>
  <c r="BD973" i="4" l="1"/>
  <c r="BB973" i="4"/>
  <c r="BA974" i="4" s="1"/>
  <c r="BC972" i="4"/>
  <c r="BG972" i="4"/>
  <c r="BE971" i="4"/>
  <c r="BF971" i="4"/>
  <c r="BD974" i="4" l="1"/>
  <c r="BB974" i="4"/>
  <c r="BA975" i="4" s="1"/>
  <c r="BC973" i="4"/>
  <c r="BG973" i="4"/>
  <c r="BF972" i="4"/>
  <c r="BE972" i="4"/>
  <c r="BB975" i="4" l="1"/>
  <c r="BA976" i="4" s="1"/>
  <c r="BD975" i="4"/>
  <c r="BE973" i="4"/>
  <c r="BF973" i="4"/>
  <c r="BC974" i="4"/>
  <c r="BG974" i="4"/>
  <c r="BE974" i="4" l="1"/>
  <c r="BF974" i="4"/>
  <c r="BD976" i="4"/>
  <c r="BB976" i="4"/>
  <c r="BA977" i="4" s="1"/>
  <c r="BC975" i="4"/>
  <c r="BG975" i="4"/>
  <c r="BB977" i="4" l="1"/>
  <c r="BA978" i="4" s="1"/>
  <c r="BD977" i="4"/>
  <c r="BF975" i="4"/>
  <c r="BE975" i="4"/>
  <c r="BG976" i="4"/>
  <c r="BC976" i="4"/>
  <c r="BG977" i="4" l="1"/>
  <c r="BC977" i="4"/>
  <c r="BD978" i="4"/>
  <c r="BB978" i="4"/>
  <c r="BA979" i="4" s="1"/>
  <c r="BE976" i="4"/>
  <c r="BF976" i="4"/>
  <c r="BG978" i="4" l="1"/>
  <c r="BC978" i="4"/>
  <c r="BE977" i="4"/>
  <c r="BF977" i="4"/>
  <c r="BB979" i="4"/>
  <c r="BA980" i="4" s="1"/>
  <c r="BD979" i="4"/>
  <c r="BD980" i="4" l="1"/>
  <c r="BB980" i="4"/>
  <c r="BA981" i="4" s="1"/>
  <c r="BE978" i="4"/>
  <c r="BF978" i="4"/>
  <c r="BC979" i="4"/>
  <c r="BG979" i="4"/>
  <c r="BB981" i="4" l="1"/>
  <c r="BA982" i="4" s="1"/>
  <c r="BD981" i="4"/>
  <c r="BF979" i="4"/>
  <c r="BE979" i="4"/>
  <c r="BC980" i="4"/>
  <c r="BG980" i="4"/>
  <c r="BF980" i="4" l="1"/>
  <c r="BE980" i="4"/>
  <c r="BC981" i="4"/>
  <c r="BG981" i="4"/>
  <c r="BB982" i="4"/>
  <c r="BA983" i="4" s="1"/>
  <c r="BD982" i="4"/>
  <c r="BD983" i="4" l="1"/>
  <c r="BB983" i="4"/>
  <c r="BA984" i="4" s="1"/>
  <c r="BG982" i="4"/>
  <c r="BC982" i="4"/>
  <c r="BF981" i="4"/>
  <c r="BE981" i="4"/>
  <c r="BB984" i="4" l="1"/>
  <c r="BA985" i="4" s="1"/>
  <c r="BD984" i="4"/>
  <c r="BE982" i="4"/>
  <c r="BF982" i="4"/>
  <c r="BG983" i="4"/>
  <c r="BC983" i="4"/>
  <c r="BE983" i="4" l="1"/>
  <c r="BF983" i="4"/>
  <c r="BG984" i="4"/>
  <c r="BC984" i="4"/>
  <c r="BB985" i="4"/>
  <c r="BA986" i="4" s="1"/>
  <c r="BD985" i="4"/>
  <c r="BB986" i="4" l="1"/>
  <c r="BA987" i="4" s="1"/>
  <c r="BD986" i="4"/>
  <c r="BG985" i="4"/>
  <c r="BC985" i="4"/>
  <c r="BF984" i="4"/>
  <c r="BE984" i="4"/>
  <c r="BG986" i="4" l="1"/>
  <c r="BC986" i="4"/>
  <c r="BB987" i="4"/>
  <c r="BA988" i="4" s="1"/>
  <c r="BD987" i="4"/>
  <c r="BE985" i="4"/>
  <c r="BF985" i="4"/>
  <c r="BD988" i="4" l="1"/>
  <c r="BB988" i="4"/>
  <c r="BA989" i="4" s="1"/>
  <c r="BC987" i="4"/>
  <c r="BG987" i="4"/>
  <c r="BF986" i="4"/>
  <c r="BE986" i="4"/>
  <c r="BF987" i="4" l="1"/>
  <c r="BE987" i="4"/>
  <c r="BD989" i="4"/>
  <c r="BB989" i="4"/>
  <c r="BA990" i="4" s="1"/>
  <c r="BC988" i="4"/>
  <c r="BG988" i="4"/>
  <c r="BD990" i="4" l="1"/>
  <c r="BB990" i="4"/>
  <c r="BA991" i="4" s="1"/>
  <c r="BF988" i="4"/>
  <c r="BE988" i="4"/>
  <c r="BC989" i="4"/>
  <c r="BG989" i="4"/>
  <c r="BE989" i="4" l="1"/>
  <c r="BF989" i="4"/>
  <c r="BD991" i="4"/>
  <c r="BB991" i="4"/>
  <c r="BA992" i="4" s="1"/>
  <c r="BG990" i="4"/>
  <c r="BC990" i="4"/>
  <c r="BC991" i="4" l="1"/>
  <c r="BG991" i="4"/>
  <c r="BF990" i="4"/>
  <c r="BE990" i="4"/>
  <c r="BB992" i="4"/>
  <c r="BA993" i="4" s="1"/>
  <c r="BD992" i="4"/>
  <c r="BG992" i="4" l="1"/>
  <c r="BC992" i="4"/>
  <c r="BB993" i="4"/>
  <c r="BA994" i="4" s="1"/>
  <c r="BD993" i="4"/>
  <c r="BE991" i="4"/>
  <c r="BF991" i="4"/>
  <c r="BG993" i="4" l="1"/>
  <c r="BC993" i="4"/>
  <c r="BD994" i="4"/>
  <c r="BB994" i="4"/>
  <c r="BA995" i="4" s="1"/>
  <c r="BE992" i="4"/>
  <c r="BF992" i="4"/>
  <c r="BG994" i="4" l="1"/>
  <c r="BC994" i="4"/>
  <c r="BF993" i="4"/>
  <c r="BE993" i="4"/>
  <c r="BB995" i="4"/>
  <c r="BA996" i="4" s="1"/>
  <c r="BD995" i="4"/>
  <c r="BD996" i="4" l="1"/>
  <c r="BB996" i="4"/>
  <c r="BA997" i="4" s="1"/>
  <c r="BC995" i="4"/>
  <c r="BG995" i="4"/>
  <c r="BE994" i="4"/>
  <c r="BF994" i="4"/>
  <c r="BD997" i="4" l="1"/>
  <c r="BB997" i="4"/>
  <c r="BA998" i="4" s="1"/>
  <c r="BE995" i="4"/>
  <c r="BF995" i="4"/>
  <c r="BC996" i="4"/>
  <c r="BG996" i="4"/>
  <c r="BF996" i="4" l="1"/>
  <c r="BE996" i="4"/>
  <c r="BB998" i="4"/>
  <c r="BA999" i="4" s="1"/>
  <c r="BD998" i="4"/>
  <c r="BC997" i="4"/>
  <c r="BG997" i="4"/>
  <c r="BE997" i="4" l="1"/>
  <c r="BF997" i="4"/>
  <c r="BG998" i="4"/>
  <c r="BC998" i="4"/>
  <c r="BB999" i="4"/>
  <c r="BA1000" i="4" s="1"/>
  <c r="BD999" i="4"/>
  <c r="BC999" i="4" l="1"/>
  <c r="BG999" i="4"/>
  <c r="BB1000" i="4"/>
  <c r="BA1001" i="4" s="1"/>
  <c r="BD1000" i="4"/>
  <c r="BF998" i="4"/>
  <c r="BE998" i="4"/>
  <c r="BC1000" i="4" l="1"/>
  <c r="BG1000" i="4"/>
  <c r="BD1001" i="4"/>
  <c r="BB1001" i="4"/>
  <c r="BA1002" i="4" s="1"/>
  <c r="BF999" i="4"/>
  <c r="BE999" i="4"/>
  <c r="BG1001" i="4" l="1"/>
  <c r="BC1001" i="4"/>
  <c r="BD1002" i="4"/>
  <c r="BB1002" i="4"/>
  <c r="BA1003" i="4" s="1"/>
  <c r="BE1000" i="4"/>
  <c r="BF1000" i="4"/>
  <c r="BB1003" i="4" l="1"/>
  <c r="BA1004" i="4" s="1"/>
  <c r="BD1003" i="4"/>
  <c r="BG1002" i="4"/>
  <c r="BC1002" i="4"/>
  <c r="BE1001" i="4"/>
  <c r="BF1001" i="4"/>
  <c r="BB1004" i="4" l="1"/>
  <c r="BA1005" i="4" s="1"/>
  <c r="BD1004" i="4"/>
  <c r="BE1002" i="4"/>
  <c r="BF1002" i="4"/>
  <c r="BC1003" i="4"/>
  <c r="BG1003" i="4"/>
  <c r="BD1005" i="4" l="1"/>
  <c r="BB1005" i="4"/>
  <c r="BA1006" i="4" s="1"/>
  <c r="BC1004" i="4"/>
  <c r="BG1004" i="4"/>
  <c r="BF1003" i="4"/>
  <c r="BE1003" i="4"/>
  <c r="BD1006" i="4" l="1"/>
  <c r="BB1006" i="4"/>
  <c r="BA1007" i="4" s="1"/>
  <c r="BF1004" i="4"/>
  <c r="BE1004" i="4"/>
  <c r="BC1005" i="4"/>
  <c r="BG1005" i="4"/>
  <c r="BF1005" i="4" l="1"/>
  <c r="BE1005" i="4"/>
  <c r="BD1007" i="4"/>
  <c r="BB1007" i="4"/>
  <c r="BA1008" i="4" s="1"/>
  <c r="BC1006" i="4"/>
  <c r="BG1006" i="4"/>
  <c r="BC1007" i="4" l="1"/>
  <c r="BG1007" i="4"/>
  <c r="BF1006" i="4"/>
  <c r="BE1006" i="4"/>
  <c r="BB1008" i="4"/>
  <c r="BA1009" i="4" s="1"/>
  <c r="BD1008" i="4"/>
  <c r="BB1009" i="4" l="1"/>
  <c r="BA1010" i="4" s="1"/>
  <c r="BD1009" i="4"/>
  <c r="BC1008" i="4"/>
  <c r="BG1008" i="4"/>
  <c r="BE1007" i="4"/>
  <c r="BF1007" i="4"/>
  <c r="BE1008" i="4" l="1"/>
  <c r="BF1008" i="4"/>
  <c r="BG1009" i="4"/>
  <c r="BC1009" i="4"/>
  <c r="BD1010" i="4"/>
  <c r="BB1010" i="4"/>
  <c r="BA1011" i="4" s="1"/>
  <c r="BD1011" i="4" l="1"/>
  <c r="BB1011" i="4"/>
  <c r="BA1012" i="4" s="1"/>
  <c r="BE1009" i="4"/>
  <c r="BF1009" i="4"/>
  <c r="BC1010" i="4"/>
  <c r="BG1010" i="4"/>
  <c r="BD1012" i="4" l="1"/>
  <c r="BB1012" i="4"/>
  <c r="BA1013" i="4" s="1"/>
  <c r="BE1010" i="4"/>
  <c r="BF1010" i="4"/>
  <c r="BC1011" i="4"/>
  <c r="BG1011" i="4"/>
  <c r="BD1013" i="4" l="1"/>
  <c r="BB1013" i="4"/>
  <c r="BA1014" i="4" s="1"/>
  <c r="BE1011" i="4"/>
  <c r="BF1011" i="4"/>
  <c r="BC1012" i="4"/>
  <c r="BG1012" i="4"/>
  <c r="BE1012" i="4" l="1"/>
  <c r="BF1012" i="4"/>
  <c r="BB1014" i="4"/>
  <c r="BA1015" i="4" s="1"/>
  <c r="BD1014" i="4"/>
  <c r="BC1013" i="4"/>
  <c r="BG1013" i="4"/>
  <c r="BE1013" i="4" l="1"/>
  <c r="BF1013" i="4"/>
  <c r="BD1015" i="4"/>
  <c r="BB1015" i="4"/>
  <c r="BA1016" i="4" s="1"/>
  <c r="BG1014" i="4"/>
  <c r="BC1014" i="4"/>
  <c r="BC1015" i="4" l="1"/>
  <c r="BG1015" i="4"/>
  <c r="BE1014" i="4"/>
  <c r="BF1014" i="4"/>
  <c r="BD1016" i="4"/>
  <c r="BB1016" i="4"/>
  <c r="BA1017" i="4" s="1"/>
  <c r="BD1017" i="4" l="1"/>
  <c r="BB1017" i="4"/>
  <c r="BA1018" i="4" s="1"/>
  <c r="BG1016" i="4"/>
  <c r="BC1016" i="4"/>
  <c r="BE1015" i="4"/>
  <c r="BF1015" i="4"/>
  <c r="BD1018" i="4" l="1"/>
  <c r="BB1018" i="4"/>
  <c r="BA1019" i="4" s="1"/>
  <c r="BG1017" i="4"/>
  <c r="BC1017" i="4"/>
  <c r="BF1016" i="4"/>
  <c r="BE1016" i="4"/>
  <c r="BE1017" i="4" l="1"/>
  <c r="BF1017" i="4"/>
  <c r="BB1019" i="4"/>
  <c r="BA1020" i="4" s="1"/>
  <c r="BD1019" i="4"/>
  <c r="BG1018" i="4"/>
  <c r="BC1018" i="4"/>
  <c r="BD1020" i="4" l="1"/>
  <c r="BB1020" i="4"/>
  <c r="BA1021" i="4" s="1"/>
  <c r="BF1018" i="4"/>
  <c r="BE1018" i="4"/>
  <c r="BC1019" i="4"/>
  <c r="BG1019" i="4"/>
  <c r="BE1019" i="4" l="1"/>
  <c r="BF1019" i="4"/>
  <c r="BD1021" i="4"/>
  <c r="BB1021" i="4"/>
  <c r="BA1022" i="4" s="1"/>
  <c r="BC1020" i="4"/>
  <c r="BG1020" i="4"/>
  <c r="BD1022" i="4" l="1"/>
  <c r="BB1022" i="4"/>
  <c r="BA1023" i="4" s="1"/>
  <c r="BC1021" i="4"/>
  <c r="BG1021" i="4"/>
  <c r="BE1020" i="4"/>
  <c r="BF1020" i="4"/>
  <c r="BE1021" i="4" l="1"/>
  <c r="BF1021" i="4"/>
  <c r="BD1023" i="4"/>
  <c r="BB1023" i="4"/>
  <c r="BA1024" i="4" s="1"/>
  <c r="BC1022" i="4"/>
  <c r="BG1022" i="4"/>
  <c r="BF1022" i="4" l="1"/>
  <c r="BE1022" i="4"/>
  <c r="BB1024" i="4"/>
  <c r="BA1025" i="4" s="1"/>
  <c r="BD1024" i="4"/>
  <c r="BC1023" i="4"/>
  <c r="BG1023" i="4"/>
  <c r="BE1023" i="4" l="1"/>
  <c r="BF1023" i="4"/>
  <c r="BC1024" i="4"/>
  <c r="BG1024" i="4"/>
  <c r="BB1025" i="4"/>
  <c r="BA1026" i="4" s="1"/>
  <c r="BD1025" i="4"/>
  <c r="BG1025" i="4" l="1"/>
  <c r="BC1025" i="4"/>
  <c r="BD1026" i="4"/>
  <c r="BB1026" i="4"/>
  <c r="BA1027" i="4" s="1"/>
  <c r="BF1024" i="4"/>
  <c r="BE1024" i="4"/>
  <c r="BD1027" i="4" l="1"/>
  <c r="BB1027" i="4"/>
  <c r="BA1028" i="4" s="1"/>
  <c r="BC1026" i="4"/>
  <c r="BG1026" i="4"/>
  <c r="BE1025" i="4"/>
  <c r="BF1025" i="4"/>
  <c r="BB1028" i="4" l="1"/>
  <c r="BA1029" i="4" s="1"/>
  <c r="BD1028" i="4"/>
  <c r="BC1027" i="4"/>
  <c r="BG1027" i="4"/>
  <c r="BF1026" i="4"/>
  <c r="BE1026" i="4"/>
  <c r="BD1029" i="4" l="1"/>
  <c r="BB1029" i="4"/>
  <c r="BA1030" i="4" s="1"/>
  <c r="BF1027" i="4"/>
  <c r="BE1027" i="4"/>
  <c r="BC1028" i="4"/>
  <c r="BG1028" i="4"/>
  <c r="BD1030" i="4" l="1"/>
  <c r="BB1030" i="4"/>
  <c r="BA1031" i="4" s="1"/>
  <c r="BC1029" i="4"/>
  <c r="BG1029" i="4"/>
  <c r="BF1028" i="4"/>
  <c r="BE1028" i="4"/>
  <c r="BD1031" i="4" l="1"/>
  <c r="BB1031" i="4"/>
  <c r="BA1032" i="4" s="1"/>
  <c r="BG1030" i="4"/>
  <c r="BC1030" i="4"/>
  <c r="BF1029" i="4"/>
  <c r="BE1029" i="4"/>
  <c r="BD1032" i="4" l="1"/>
  <c r="BB1032" i="4"/>
  <c r="BA1033" i="4" s="1"/>
  <c r="BE1030" i="4"/>
  <c r="BF1030" i="4"/>
  <c r="BC1031" i="4"/>
  <c r="BG1031" i="4"/>
  <c r="BF1031" i="4" l="1"/>
  <c r="BE1031" i="4"/>
  <c r="BB1033" i="4"/>
  <c r="BA1034" i="4" s="1"/>
  <c r="BD1033" i="4"/>
  <c r="BG1032" i="4"/>
  <c r="BC1032" i="4"/>
  <c r="BG1033" i="4" l="1"/>
  <c r="BC1033" i="4"/>
  <c r="BE1032" i="4"/>
  <c r="BF1032" i="4"/>
  <c r="BD1034" i="4"/>
  <c r="BB1034" i="4"/>
  <c r="BA1035" i="4" s="1"/>
  <c r="BB1035" i="4" l="1"/>
  <c r="BA1036" i="4" s="1"/>
  <c r="BD1035" i="4"/>
  <c r="BG1034" i="4"/>
  <c r="BC1034" i="4"/>
  <c r="BE1033" i="4"/>
  <c r="BF1033" i="4"/>
  <c r="BF1034" i="4" l="1"/>
  <c r="BE1034" i="4"/>
  <c r="BD1036" i="4"/>
  <c r="BB1036" i="4"/>
  <c r="BA1037" i="4" s="1"/>
  <c r="BC1035" i="4"/>
  <c r="BG1035" i="4"/>
  <c r="BF1035" i="4" l="1"/>
  <c r="BE1035" i="4"/>
  <c r="BC1036" i="4"/>
  <c r="BG1036" i="4"/>
  <c r="BD1037" i="4"/>
  <c r="BB1037" i="4"/>
  <c r="BA1038" i="4" s="1"/>
  <c r="BB1038" i="4" l="1"/>
  <c r="BA1039" i="4" s="1"/>
  <c r="BD1038" i="4"/>
  <c r="BC1037" i="4"/>
  <c r="BG1037" i="4"/>
  <c r="BF1036" i="4"/>
  <c r="BE1036" i="4"/>
  <c r="BE1037" i="4" l="1"/>
  <c r="BF1037" i="4"/>
  <c r="BC1038" i="4"/>
  <c r="BG1038" i="4"/>
  <c r="BD1039" i="4"/>
  <c r="BB1039" i="4"/>
  <c r="BA1040" i="4" s="1"/>
  <c r="BC1039" i="4" l="1"/>
  <c r="BG1039" i="4"/>
  <c r="BE1038" i="4"/>
  <c r="BF1038" i="4"/>
  <c r="BB1040" i="4"/>
  <c r="BA1041" i="4" s="1"/>
  <c r="BD1040" i="4"/>
  <c r="BG1040" i="4" l="1"/>
  <c r="BC1040" i="4"/>
  <c r="BD1041" i="4"/>
  <c r="BB1041" i="4"/>
  <c r="BA1042" i="4" s="1"/>
  <c r="BE1039" i="4"/>
  <c r="BF1039" i="4"/>
  <c r="BD1042" i="4" l="1"/>
  <c r="BB1042" i="4"/>
  <c r="BA1043" i="4" s="1"/>
  <c r="BE1040" i="4"/>
  <c r="BF1040" i="4"/>
  <c r="BG1041" i="4"/>
  <c r="BC1041" i="4"/>
  <c r="BB1043" i="4" l="1"/>
  <c r="BA1044" i="4" s="1"/>
  <c r="BD1043" i="4"/>
  <c r="BF1041" i="4"/>
  <c r="BE1041" i="4"/>
  <c r="BG1042" i="4"/>
  <c r="BC1042" i="4"/>
  <c r="BB1044" i="4" l="1"/>
  <c r="BA1045" i="4" s="1"/>
  <c r="BD1044" i="4"/>
  <c r="BF1042" i="4"/>
  <c r="BE1042" i="4"/>
  <c r="BC1043" i="4"/>
  <c r="BG1043" i="4"/>
  <c r="BD1045" i="4" l="1"/>
  <c r="BB1045" i="4"/>
  <c r="BA1046" i="4" s="1"/>
  <c r="BC1044" i="4"/>
  <c r="BG1044" i="4"/>
  <c r="BE1043" i="4"/>
  <c r="BF1043" i="4"/>
  <c r="BD1046" i="4" l="1"/>
  <c r="BB1046" i="4"/>
  <c r="BA1047" i="4" s="1"/>
  <c r="BC1045" i="4"/>
  <c r="BG1045" i="4"/>
  <c r="BE1044" i="4"/>
  <c r="BF1044" i="4"/>
  <c r="BD1047" i="4" l="1"/>
  <c r="BB1047" i="4"/>
  <c r="BA1048" i="4" s="1"/>
  <c r="BE1045" i="4"/>
  <c r="BF1045" i="4"/>
  <c r="BG1046" i="4"/>
  <c r="BC1046" i="4"/>
  <c r="BB1048" i="4" l="1"/>
  <c r="BA1049" i="4" s="1"/>
  <c r="BD1048" i="4"/>
  <c r="BF1046" i="4"/>
  <c r="BE1046" i="4"/>
  <c r="BC1047" i="4"/>
  <c r="BG1047" i="4"/>
  <c r="BG1048" i="4" l="1"/>
  <c r="BC1048" i="4"/>
  <c r="BE1047" i="4"/>
  <c r="BF1047" i="4"/>
  <c r="BB1049" i="4"/>
  <c r="BA1050" i="4" s="1"/>
  <c r="BD1049" i="4"/>
  <c r="BG1049" i="4" l="1"/>
  <c r="BC1049" i="4"/>
  <c r="BD1050" i="4"/>
  <c r="BB1050" i="4"/>
  <c r="BA1051" i="4" s="1"/>
  <c r="BF1048" i="4"/>
  <c r="BE1048" i="4"/>
  <c r="BD1051" i="4" l="1"/>
  <c r="BB1051" i="4"/>
  <c r="BA1052" i="4" s="1"/>
  <c r="BG1050" i="4"/>
  <c r="BC1050" i="4"/>
  <c r="BF1049" i="4"/>
  <c r="BE1049" i="4"/>
  <c r="BD1052" i="4" l="1"/>
  <c r="BB1052" i="4"/>
  <c r="BA1053" i="4" s="1"/>
  <c r="BC1051" i="4"/>
  <c r="BG1051" i="4"/>
  <c r="BF1050" i="4"/>
  <c r="BE1050" i="4"/>
  <c r="BD1053" i="4" l="1"/>
  <c r="BB1053" i="4"/>
  <c r="BA1054" i="4" s="1"/>
  <c r="BF1051" i="4"/>
  <c r="BE1051" i="4"/>
  <c r="BC1052" i="4"/>
  <c r="BG1052" i="4"/>
  <c r="BB1054" i="4" l="1"/>
  <c r="BA1055" i="4" s="1"/>
  <c r="BD1054" i="4"/>
  <c r="BE1052" i="4"/>
  <c r="BF1052" i="4"/>
  <c r="BC1053" i="4"/>
  <c r="BG1053" i="4"/>
  <c r="BC1054" i="4" l="1"/>
  <c r="BG1054" i="4"/>
  <c r="BF1053" i="4"/>
  <c r="BE1053" i="4"/>
  <c r="BB1055" i="4"/>
  <c r="BA1056" i="4" s="1"/>
  <c r="BD1055" i="4"/>
  <c r="BD1056" i="4" l="1"/>
  <c r="BB1056" i="4"/>
  <c r="BA1057" i="4" s="1"/>
  <c r="BC1055" i="4"/>
  <c r="BG1055" i="4"/>
  <c r="BF1054" i="4"/>
  <c r="BE1054" i="4"/>
  <c r="BB1057" i="4" l="1"/>
  <c r="BA1058" i="4" s="1"/>
  <c r="BD1057" i="4"/>
  <c r="BE1055" i="4"/>
  <c r="BF1055" i="4"/>
  <c r="BG1056" i="4"/>
  <c r="BC1056" i="4"/>
  <c r="BF1056" i="4" l="1"/>
  <c r="BE1056" i="4"/>
  <c r="BD1058" i="4"/>
  <c r="BB1058" i="4"/>
  <c r="BA1059" i="4" s="1"/>
  <c r="BG1057" i="4"/>
  <c r="BC1057" i="4"/>
  <c r="BB1059" i="4" l="1"/>
  <c r="BA1060" i="4" s="1"/>
  <c r="BD1059" i="4"/>
  <c r="BG1058" i="4"/>
  <c r="BC1058" i="4"/>
  <c r="BE1057" i="4"/>
  <c r="BF1057" i="4"/>
  <c r="BD1060" i="4" l="1"/>
  <c r="BB1060" i="4"/>
  <c r="BA1061" i="4" s="1"/>
  <c r="BE1058" i="4"/>
  <c r="BF1058" i="4"/>
  <c r="BC1059" i="4"/>
  <c r="BG1059" i="4"/>
  <c r="BB1061" i="4" l="1"/>
  <c r="BA1062" i="4" s="1"/>
  <c r="BD1061" i="4"/>
  <c r="BF1059" i="4"/>
  <c r="BE1059" i="4"/>
  <c r="BC1060" i="4"/>
  <c r="BG1060" i="4"/>
  <c r="BC1061" i="4" l="1"/>
  <c r="BG1061" i="4"/>
  <c r="BF1060" i="4"/>
  <c r="BE1060" i="4"/>
  <c r="BD1062" i="4"/>
  <c r="BB1062" i="4"/>
  <c r="BA1063" i="4" s="1"/>
  <c r="BB1063" i="4" l="1"/>
  <c r="BA1064" i="4" s="1"/>
  <c r="BD1063" i="4"/>
  <c r="BG1062" i="4"/>
  <c r="BC1062" i="4"/>
  <c r="BE1061" i="4"/>
  <c r="BF1061" i="4"/>
  <c r="BE1062" i="4" l="1"/>
  <c r="BF1062" i="4"/>
  <c r="BC1063" i="4"/>
  <c r="BG1063" i="4"/>
  <c r="BB1064" i="4"/>
  <c r="BA1065" i="4" s="1"/>
  <c r="BD1064" i="4"/>
  <c r="BE1063" i="4" l="1"/>
  <c r="BF1063" i="4"/>
  <c r="BB1065" i="4"/>
  <c r="BA1066" i="4" s="1"/>
  <c r="BD1065" i="4"/>
  <c r="BG1064" i="4"/>
  <c r="BC1064" i="4"/>
  <c r="BF1064" i="4" l="1"/>
  <c r="BE1064" i="4"/>
  <c r="BG1065" i="4"/>
  <c r="BC1065" i="4"/>
  <c r="BD1066" i="4"/>
  <c r="BB1066" i="4"/>
  <c r="BA1067" i="4" s="1"/>
  <c r="BB1067" i="4" l="1"/>
  <c r="BA1068" i="4" s="1"/>
  <c r="BD1067" i="4"/>
  <c r="BG1066" i="4"/>
  <c r="BC1066" i="4"/>
  <c r="BF1065" i="4"/>
  <c r="BE1065" i="4"/>
  <c r="BD1068" i="4" l="1"/>
  <c r="BB1068" i="4"/>
  <c r="BA1069" i="4" s="1"/>
  <c r="BC1067" i="4"/>
  <c r="BG1067" i="4"/>
  <c r="BE1066" i="4"/>
  <c r="BF1066" i="4"/>
  <c r="BD1069" i="4" l="1"/>
  <c r="BB1069" i="4"/>
  <c r="BA1070" i="4" s="1"/>
  <c r="BF1067" i="4"/>
  <c r="BE1067" i="4"/>
  <c r="BC1068" i="4"/>
  <c r="BG1068" i="4"/>
  <c r="BD1070" i="4" l="1"/>
  <c r="BB1070" i="4"/>
  <c r="BA1071" i="4" s="1"/>
  <c r="BC1069" i="4"/>
  <c r="BG1069" i="4"/>
  <c r="BE1068" i="4"/>
  <c r="BF1068" i="4"/>
  <c r="BF1069" i="4" l="1"/>
  <c r="BE1069" i="4"/>
  <c r="BD1071" i="4"/>
  <c r="BB1071" i="4"/>
  <c r="BA1072" i="4" s="1"/>
  <c r="BC1070" i="4"/>
  <c r="BG1070" i="4"/>
  <c r="BC1071" i="4" l="1"/>
  <c r="BG1071" i="4"/>
  <c r="BF1070" i="4"/>
  <c r="BE1070" i="4"/>
  <c r="BD1072" i="4"/>
  <c r="BB1072" i="4"/>
  <c r="BA1073" i="4" s="1"/>
  <c r="BD1073" i="4" l="1"/>
  <c r="BB1073" i="4"/>
  <c r="BA1074" i="4" s="1"/>
  <c r="BG1072" i="4"/>
  <c r="BC1072" i="4"/>
  <c r="BF1071" i="4"/>
  <c r="BE1071" i="4"/>
  <c r="BD1074" i="4" l="1"/>
  <c r="BB1074" i="4"/>
  <c r="BA1075" i="4" s="1"/>
  <c r="BF1072" i="4"/>
  <c r="BE1072" i="4"/>
  <c r="BG1073" i="4"/>
  <c r="BC1073" i="4"/>
  <c r="BB1075" i="4" l="1"/>
  <c r="BA1076" i="4" s="1"/>
  <c r="BD1075" i="4"/>
  <c r="BG1074" i="4"/>
  <c r="BC1074" i="4"/>
  <c r="BE1073" i="4"/>
  <c r="BF1073" i="4"/>
  <c r="BE1074" i="4" l="1"/>
  <c r="BF1074" i="4"/>
  <c r="BD1076" i="4"/>
  <c r="BB1076" i="4"/>
  <c r="BA1077" i="4" s="1"/>
  <c r="BC1075" i="4"/>
  <c r="BG1075" i="4"/>
  <c r="BB1077" i="4" l="1"/>
  <c r="BA1078" i="4" s="1"/>
  <c r="BD1077" i="4"/>
  <c r="BC1076" i="4"/>
  <c r="BG1076" i="4"/>
  <c r="BF1075" i="4"/>
  <c r="BE1075" i="4"/>
  <c r="BC1077" i="4" l="1"/>
  <c r="BG1077" i="4"/>
  <c r="BB1078" i="4"/>
  <c r="BA1079" i="4" s="1"/>
  <c r="BD1078" i="4"/>
  <c r="BF1076" i="4"/>
  <c r="BE1076" i="4"/>
  <c r="BB1079" i="4" l="1"/>
  <c r="BA1080" i="4" s="1"/>
  <c r="BD1079" i="4"/>
  <c r="BG1078" i="4"/>
  <c r="BC1078" i="4"/>
  <c r="BE1077" i="4"/>
  <c r="BF1077" i="4"/>
  <c r="BE1078" i="4" l="1"/>
  <c r="BF1078" i="4"/>
  <c r="BC1079" i="4"/>
  <c r="BG1079" i="4"/>
  <c r="BD1080" i="4"/>
  <c r="BB1080" i="4"/>
  <c r="BA1081" i="4" s="1"/>
  <c r="BB1081" i="4" l="1"/>
  <c r="BA1082" i="4" s="1"/>
  <c r="BD1081" i="4"/>
  <c r="BE1079" i="4"/>
  <c r="BF1079" i="4"/>
  <c r="BG1080" i="4"/>
  <c r="BC1080" i="4"/>
  <c r="BF1080" i="4" l="1"/>
  <c r="BE1080" i="4"/>
  <c r="BG1081" i="4"/>
  <c r="BC1081" i="4"/>
  <c r="BD1082" i="4"/>
  <c r="BB1082" i="4"/>
  <c r="BA1083" i="4" s="1"/>
  <c r="BB1083" i="4" l="1"/>
  <c r="BA1084" i="4" s="1"/>
  <c r="BD1083" i="4"/>
  <c r="BG1082" i="4"/>
  <c r="BC1082" i="4"/>
  <c r="BE1081" i="4"/>
  <c r="BF1081" i="4"/>
  <c r="BD1084" i="4" l="1"/>
  <c r="BB1084" i="4"/>
  <c r="BA1085" i="4" s="1"/>
  <c r="BF1082" i="4"/>
  <c r="BE1082" i="4"/>
  <c r="BC1083" i="4"/>
  <c r="BG1083" i="4"/>
  <c r="BD1085" i="4" l="1"/>
  <c r="BB1085" i="4"/>
  <c r="BA1086" i="4" s="1"/>
  <c r="BE1083" i="4"/>
  <c r="BF1083" i="4"/>
  <c r="BC1084" i="4"/>
  <c r="BG1084" i="4"/>
  <c r="BB1086" i="4" l="1"/>
  <c r="BA1087" i="4" s="1"/>
  <c r="BD1086" i="4"/>
  <c r="BE1084" i="4"/>
  <c r="BF1084" i="4"/>
  <c r="BC1085" i="4"/>
  <c r="BG1085" i="4"/>
  <c r="BF1085" i="4" l="1"/>
  <c r="BE1085" i="4"/>
  <c r="BB1087" i="4"/>
  <c r="BA1088" i="4" s="1"/>
  <c r="BD1087" i="4"/>
  <c r="BG1086" i="4"/>
  <c r="BC1086" i="4"/>
  <c r="BF1086" i="4" l="1"/>
  <c r="BE1086" i="4"/>
  <c r="BC1087" i="4"/>
  <c r="BG1087" i="4"/>
  <c r="BB1088" i="4"/>
  <c r="BA1089" i="4" s="1"/>
  <c r="BD1088" i="4"/>
  <c r="BG1088" i="4" l="1"/>
  <c r="BC1088" i="4"/>
  <c r="BB1089" i="4"/>
  <c r="BA1090" i="4" s="1"/>
  <c r="BD1089" i="4"/>
  <c r="BF1087" i="4"/>
  <c r="BE1087" i="4"/>
  <c r="BE1088" i="4" l="1"/>
  <c r="BF1088" i="4"/>
  <c r="BG1089" i="4"/>
  <c r="BC1089" i="4"/>
  <c r="BB1090" i="4"/>
  <c r="BA1091" i="4" s="1"/>
  <c r="BD1090" i="4"/>
  <c r="BG1090" i="4" l="1"/>
  <c r="BC1090" i="4"/>
  <c r="BB1091" i="4"/>
  <c r="BA1092" i="4" s="1"/>
  <c r="BD1091" i="4"/>
  <c r="BF1089" i="4"/>
  <c r="BE1089" i="4"/>
  <c r="BB1092" i="4" l="1"/>
  <c r="BA1093" i="4" s="1"/>
  <c r="BD1092" i="4"/>
  <c r="BC1091" i="4"/>
  <c r="BG1091" i="4"/>
  <c r="BF1090" i="4"/>
  <c r="BE1090" i="4"/>
  <c r="BB1093" i="4" l="1"/>
  <c r="BA1094" i="4" s="1"/>
  <c r="BD1093" i="4"/>
  <c r="BC1092" i="4"/>
  <c r="BG1092" i="4"/>
  <c r="BF1091" i="4"/>
  <c r="BE1091" i="4"/>
  <c r="BC1093" i="4" l="1"/>
  <c r="BG1093" i="4"/>
  <c r="BD1094" i="4"/>
  <c r="BB1094" i="4"/>
  <c r="BA1095" i="4" s="1"/>
  <c r="BF1092" i="4"/>
  <c r="BE1092" i="4"/>
  <c r="BG1094" i="4" l="1"/>
  <c r="BC1094" i="4"/>
  <c r="BD1095" i="4"/>
  <c r="BB1095" i="4"/>
  <c r="BA1096" i="4" s="1"/>
  <c r="BF1093" i="4"/>
  <c r="BE1093" i="4"/>
  <c r="BC1095" i="4" l="1"/>
  <c r="BG1095" i="4"/>
  <c r="BD1096" i="4"/>
  <c r="BB1096" i="4"/>
  <c r="BA1097" i="4" s="1"/>
  <c r="BF1094" i="4"/>
  <c r="BE1094" i="4"/>
  <c r="BD1097" i="4" l="1"/>
  <c r="BB1097" i="4"/>
  <c r="BA1098" i="4" s="1"/>
  <c r="BG1096" i="4"/>
  <c r="BC1096" i="4"/>
  <c r="BF1095" i="4"/>
  <c r="BE1095" i="4"/>
  <c r="BD1098" i="4" l="1"/>
  <c r="BB1098" i="4"/>
  <c r="BA1099" i="4" s="1"/>
  <c r="BE1096" i="4"/>
  <c r="BF1096" i="4"/>
  <c r="BG1097" i="4"/>
  <c r="BC1097" i="4"/>
  <c r="BE1097" i="4" l="1"/>
  <c r="BF1097" i="4"/>
  <c r="BB1099" i="4"/>
  <c r="BA1100" i="4" s="1"/>
  <c r="BD1099" i="4"/>
  <c r="BG1098" i="4"/>
  <c r="BC1098" i="4"/>
  <c r="BD1100" i="4" l="1"/>
  <c r="BB1100" i="4"/>
  <c r="BA1101" i="4" s="1"/>
  <c r="BF1098" i="4"/>
  <c r="BE1098" i="4"/>
  <c r="BC1099" i="4"/>
  <c r="BG1099" i="4"/>
  <c r="BD1101" i="4" l="1"/>
  <c r="BB1101" i="4"/>
  <c r="BA1102" i="4" s="1"/>
  <c r="BF1099" i="4"/>
  <c r="BE1099" i="4"/>
  <c r="BC1100" i="4"/>
  <c r="BG1100" i="4"/>
  <c r="BD1102" i="4" l="1"/>
  <c r="BB1102" i="4"/>
  <c r="BA1103" i="4" s="1"/>
  <c r="BC1101" i="4"/>
  <c r="BG1101" i="4"/>
  <c r="BE1100" i="4"/>
  <c r="BF1100" i="4"/>
  <c r="BD1103" i="4" l="1"/>
  <c r="BB1103" i="4"/>
  <c r="BA1104" i="4" s="1"/>
  <c r="BE1101" i="4"/>
  <c r="BF1101" i="4"/>
  <c r="BC1102" i="4"/>
  <c r="BG1102" i="4"/>
  <c r="BE1102" i="4" l="1"/>
  <c r="BF1102" i="4"/>
  <c r="BB1104" i="4"/>
  <c r="BA1105" i="4" s="1"/>
  <c r="BD1104" i="4"/>
  <c r="BC1103" i="4"/>
  <c r="BG1103" i="4"/>
  <c r="BD1105" i="4" l="1"/>
  <c r="BB1105" i="4"/>
  <c r="BA1106" i="4" s="1"/>
  <c r="BE1103" i="4"/>
  <c r="BF1103" i="4"/>
  <c r="BG1104" i="4"/>
  <c r="BC1104" i="4"/>
  <c r="BB1106" i="4" l="1"/>
  <c r="BA1107" i="4" s="1"/>
  <c r="BD1106" i="4"/>
  <c r="BE1104" i="4"/>
  <c r="BF1104" i="4"/>
  <c r="BG1105" i="4"/>
  <c r="BC1105" i="4"/>
  <c r="BG1106" i="4" l="1"/>
  <c r="BC1106" i="4"/>
  <c r="BB1107" i="4"/>
  <c r="BA1108" i="4" s="1"/>
  <c r="BD1107" i="4"/>
  <c r="BF1105" i="4"/>
  <c r="BE1105" i="4"/>
  <c r="BB1108" i="4" l="1"/>
  <c r="BA1109" i="4" s="1"/>
  <c r="BD1108" i="4"/>
  <c r="BC1107" i="4"/>
  <c r="BG1107" i="4"/>
  <c r="BF1106" i="4"/>
  <c r="BE1106" i="4"/>
  <c r="BD1109" i="4" l="1"/>
  <c r="BB1109" i="4"/>
  <c r="BA1110" i="4" s="1"/>
  <c r="BC1108" i="4"/>
  <c r="BG1108" i="4"/>
  <c r="BF1107" i="4"/>
  <c r="BE1107" i="4"/>
  <c r="BD1110" i="4" l="1"/>
  <c r="BB1110" i="4"/>
  <c r="BA1111" i="4" s="1"/>
  <c r="BC1109" i="4"/>
  <c r="BG1109" i="4"/>
  <c r="BF1108" i="4"/>
  <c r="BE1108" i="4"/>
  <c r="BD1111" i="4" l="1"/>
  <c r="BB1111" i="4"/>
  <c r="BA1112" i="4" s="1"/>
  <c r="BF1109" i="4"/>
  <c r="BE1109" i="4"/>
  <c r="BG1110" i="4"/>
  <c r="BC1110" i="4"/>
  <c r="BD1112" i="4" l="1"/>
  <c r="BB1112" i="4"/>
  <c r="BA1113" i="4" s="1"/>
  <c r="BE1110" i="4"/>
  <c r="BF1110" i="4"/>
  <c r="BC1111" i="4"/>
  <c r="BG1111" i="4"/>
  <c r="BD1113" i="4" l="1"/>
  <c r="BB1113" i="4"/>
  <c r="BA1114" i="4" s="1"/>
  <c r="BE1111" i="4"/>
  <c r="BF1111" i="4"/>
  <c r="BG1112" i="4"/>
  <c r="BC1112" i="4"/>
  <c r="BD1114" i="4" l="1"/>
  <c r="BB1114" i="4"/>
  <c r="BA1115" i="4" s="1"/>
  <c r="BE1112" i="4"/>
  <c r="BF1112" i="4"/>
  <c r="BG1113" i="4"/>
  <c r="BC1113" i="4"/>
  <c r="BB1115" i="4" l="1"/>
  <c r="BA1116" i="4" s="1"/>
  <c r="BD1115" i="4"/>
  <c r="BF1113" i="4"/>
  <c r="BE1113" i="4"/>
  <c r="BG1114" i="4"/>
  <c r="BC1114" i="4"/>
  <c r="BD1116" i="4" l="1"/>
  <c r="BB1116" i="4"/>
  <c r="BA1117" i="4" s="1"/>
  <c r="BF1114" i="4"/>
  <c r="BE1114" i="4"/>
  <c r="BC1115" i="4"/>
  <c r="BG1115" i="4"/>
  <c r="BD1117" i="4" l="1"/>
  <c r="BB1117" i="4"/>
  <c r="BA1118" i="4" s="1"/>
  <c r="BC1116" i="4"/>
  <c r="BG1116" i="4"/>
  <c r="BE1115" i="4"/>
  <c r="BF1115" i="4"/>
  <c r="BB1118" i="4" l="1"/>
  <c r="BA1119" i="4" s="1"/>
  <c r="BD1118" i="4"/>
  <c r="BC1117" i="4"/>
  <c r="BG1117" i="4"/>
  <c r="BE1116" i="4"/>
  <c r="BF1116" i="4"/>
  <c r="BE1117" i="4" l="1"/>
  <c r="BF1117" i="4"/>
  <c r="BC1118" i="4"/>
  <c r="BG1118" i="4"/>
  <c r="BB1119" i="4"/>
  <c r="BA1120" i="4" s="1"/>
  <c r="BD1119" i="4"/>
  <c r="BD1120" i="4" l="1"/>
  <c r="BB1120" i="4"/>
  <c r="BA1121" i="4" s="1"/>
  <c r="BE1118" i="4"/>
  <c r="BF1118" i="4"/>
  <c r="BC1119" i="4"/>
  <c r="BG1119" i="4"/>
  <c r="BB1121" i="4" l="1"/>
  <c r="BA1122" i="4" s="1"/>
  <c r="BD1121" i="4"/>
  <c r="BF1119" i="4"/>
  <c r="BE1119" i="4"/>
  <c r="BG1120" i="4"/>
  <c r="BC1120" i="4"/>
  <c r="BG1121" i="4" l="1"/>
  <c r="BC1121" i="4"/>
  <c r="BD1122" i="4"/>
  <c r="BB1122" i="4"/>
  <c r="BA1123" i="4" s="1"/>
  <c r="BF1120" i="4"/>
  <c r="BE1120" i="4"/>
  <c r="BD1123" i="4" l="1"/>
  <c r="BB1123" i="4"/>
  <c r="BA1124" i="4" s="1"/>
  <c r="BC1122" i="4"/>
  <c r="BG1122" i="4"/>
  <c r="BE1121" i="4"/>
  <c r="BF1121" i="4"/>
  <c r="BD1124" i="4" l="1"/>
  <c r="BB1124" i="4"/>
  <c r="BA1125" i="4" s="1"/>
  <c r="BF1122" i="4"/>
  <c r="BE1122" i="4"/>
  <c r="BC1123" i="4"/>
  <c r="BG1123" i="4"/>
  <c r="BD1125" i="4" l="1"/>
  <c r="BB1125" i="4"/>
  <c r="BA1126" i="4" s="1"/>
  <c r="BF1123" i="4"/>
  <c r="BE1123" i="4"/>
  <c r="BC1124" i="4"/>
  <c r="BG1124" i="4"/>
  <c r="BE1124" i="4" l="1"/>
  <c r="BF1124" i="4"/>
  <c r="BD1126" i="4"/>
  <c r="BB1126" i="4"/>
  <c r="BA1127" i="4" s="1"/>
  <c r="BC1125" i="4"/>
  <c r="BG1125" i="4"/>
  <c r="BC1126" i="4" l="1"/>
  <c r="BG1126" i="4"/>
  <c r="BE1125" i="4"/>
  <c r="BF1125" i="4"/>
  <c r="BD1127" i="4"/>
  <c r="BB1127" i="4"/>
  <c r="BA1128" i="4" s="1"/>
  <c r="BC1127" i="4" l="1"/>
  <c r="BG1127" i="4"/>
  <c r="BB1128" i="4"/>
  <c r="BA1129" i="4" s="1"/>
  <c r="BD1128" i="4"/>
  <c r="BE1126" i="4"/>
  <c r="BF1126" i="4"/>
  <c r="BB1129" i="4" l="1"/>
  <c r="BA1130" i="4" s="1"/>
  <c r="BD1129" i="4"/>
  <c r="BC1128" i="4"/>
  <c r="BG1128" i="4"/>
  <c r="BE1127" i="4"/>
  <c r="BF1127" i="4"/>
  <c r="BB1130" i="4" l="1"/>
  <c r="BA1131" i="4" s="1"/>
  <c r="BD1130" i="4"/>
  <c r="BF1128" i="4"/>
  <c r="BE1128" i="4"/>
  <c r="BC1129" i="4"/>
  <c r="BG1129" i="4"/>
  <c r="BF1129" i="4" l="1"/>
  <c r="BE1129" i="4"/>
  <c r="BG1130" i="4"/>
  <c r="BC1130" i="4"/>
  <c r="BB1131" i="4"/>
  <c r="BA1132" i="4" s="1"/>
  <c r="BD1131" i="4"/>
  <c r="BB1132" i="4" l="1"/>
  <c r="BA1133" i="4" s="1"/>
  <c r="BD1132" i="4"/>
  <c r="BG1131" i="4"/>
  <c r="BC1131" i="4"/>
  <c r="BF1130" i="4"/>
  <c r="BE1130" i="4"/>
  <c r="BG1132" i="4" l="1"/>
  <c r="BC1132" i="4"/>
  <c r="BD1133" i="4"/>
  <c r="BB1133" i="4"/>
  <c r="BA1134" i="4" s="1"/>
  <c r="BE1131" i="4"/>
  <c r="BF1131" i="4"/>
  <c r="BD1134" i="4" l="1"/>
  <c r="BB1134" i="4"/>
  <c r="BA1135" i="4" s="1"/>
  <c r="BC1133" i="4"/>
  <c r="BG1133" i="4"/>
  <c r="BF1132" i="4"/>
  <c r="BE1132" i="4"/>
  <c r="BD1135" i="4" l="1"/>
  <c r="BB1135" i="4"/>
  <c r="BA1136" i="4" s="1"/>
  <c r="BF1133" i="4"/>
  <c r="BE1133" i="4"/>
  <c r="BG1134" i="4"/>
  <c r="BC1134" i="4"/>
  <c r="BE1134" i="4" l="1"/>
  <c r="BF1134" i="4"/>
  <c r="BD1136" i="4"/>
  <c r="BB1136" i="4"/>
  <c r="BA1137" i="4" s="1"/>
  <c r="BC1135" i="4"/>
  <c r="BG1135" i="4"/>
  <c r="BD1137" i="4" l="1"/>
  <c r="BB1137" i="4"/>
  <c r="BA1138" i="4" s="1"/>
  <c r="BG1136" i="4"/>
  <c r="BC1136" i="4"/>
  <c r="BF1135" i="4"/>
  <c r="BE1135" i="4"/>
  <c r="BF1136" i="4" l="1"/>
  <c r="BE1136" i="4"/>
  <c r="BB1138" i="4"/>
  <c r="BA1139" i="4" s="1"/>
  <c r="BD1138" i="4"/>
  <c r="BG1137" i="4"/>
  <c r="BC1137" i="4"/>
  <c r="BF1137" i="4" l="1"/>
  <c r="BE1137" i="4"/>
  <c r="BG1138" i="4"/>
  <c r="BC1138" i="4"/>
  <c r="BB1139" i="4"/>
  <c r="BA1140" i="4" s="1"/>
  <c r="BD1139" i="4"/>
  <c r="BB1140" i="4" l="1"/>
  <c r="BA1141" i="4" s="1"/>
  <c r="BD1140" i="4"/>
  <c r="BG1139" i="4"/>
  <c r="BC1139" i="4"/>
  <c r="BF1138" i="4"/>
  <c r="BE1138" i="4"/>
  <c r="BB1141" i="4" l="1"/>
  <c r="BA1142" i="4" s="1"/>
  <c r="BD1141" i="4"/>
  <c r="BG1140" i="4"/>
  <c r="BC1140" i="4"/>
  <c r="BF1139" i="4"/>
  <c r="BE1139" i="4"/>
  <c r="BB1142" i="4" l="1"/>
  <c r="BA1143" i="4" s="1"/>
  <c r="BD1142" i="4"/>
  <c r="BE1140" i="4"/>
  <c r="BF1140" i="4"/>
  <c r="BC1141" i="4"/>
  <c r="BG1141" i="4"/>
  <c r="BD1143" i="4" l="1"/>
  <c r="BB1143" i="4"/>
  <c r="BA1144" i="4" s="1"/>
  <c r="BF1141" i="4"/>
  <c r="BE1141" i="4"/>
  <c r="BG1142" i="4"/>
  <c r="BC1142" i="4"/>
  <c r="BD1144" i="4" l="1"/>
  <c r="BB1144" i="4"/>
  <c r="BA1145" i="4" s="1"/>
  <c r="BC1143" i="4"/>
  <c r="BG1143" i="4"/>
  <c r="BE1142" i="4"/>
  <c r="BF1142" i="4"/>
  <c r="BD1145" i="4" l="1"/>
  <c r="BB1145" i="4"/>
  <c r="BA1146" i="4" s="1"/>
  <c r="BG1144" i="4"/>
  <c r="BC1144" i="4"/>
  <c r="BF1143" i="4"/>
  <c r="BE1143" i="4"/>
  <c r="BD1146" i="4" l="1"/>
  <c r="BB1146" i="4"/>
  <c r="BA1147" i="4" s="1"/>
  <c r="BE1144" i="4"/>
  <c r="BF1144" i="4"/>
  <c r="BG1145" i="4"/>
  <c r="BC1145" i="4"/>
  <c r="BB1147" i="4" l="1"/>
  <c r="BA1148" i="4" s="1"/>
  <c r="BD1147" i="4"/>
  <c r="BF1145" i="4"/>
  <c r="BE1145" i="4"/>
  <c r="BC1146" i="4"/>
  <c r="BG1146" i="4"/>
  <c r="BB1148" i="4" l="1"/>
  <c r="BA1149" i="4" s="1"/>
  <c r="BD1148" i="4"/>
  <c r="BE1146" i="4"/>
  <c r="BF1146" i="4"/>
  <c r="BG1147" i="4"/>
  <c r="BC1147" i="4"/>
  <c r="BD1149" i="4" l="1"/>
  <c r="BB1149" i="4"/>
  <c r="BA1150" i="4" s="1"/>
  <c r="BG1148" i="4"/>
  <c r="BC1148" i="4"/>
  <c r="BE1147" i="4"/>
  <c r="BF1147" i="4"/>
  <c r="BD1150" i="4" l="1"/>
  <c r="BB1150" i="4"/>
  <c r="BA1151" i="4" s="1"/>
  <c r="BE1148" i="4"/>
  <c r="BF1148" i="4"/>
  <c r="BC1149" i="4"/>
  <c r="BG1149" i="4"/>
  <c r="BD1151" i="4" l="1"/>
  <c r="BB1151" i="4"/>
  <c r="BA1152" i="4" s="1"/>
  <c r="BE1149" i="4"/>
  <c r="BF1149" i="4"/>
  <c r="BC1150" i="4"/>
  <c r="BG1150" i="4"/>
  <c r="BF1150" i="4" l="1"/>
  <c r="BE1150" i="4"/>
  <c r="BB1152" i="4"/>
  <c r="BA1153" i="4" s="1"/>
  <c r="BD1152" i="4"/>
  <c r="BC1151" i="4"/>
  <c r="BG1151" i="4"/>
  <c r="BE1151" i="4" l="1"/>
  <c r="BF1151" i="4"/>
  <c r="BG1152" i="4"/>
  <c r="BC1152" i="4"/>
  <c r="BD1153" i="4"/>
  <c r="BB1153" i="4"/>
  <c r="BA1154" i="4" s="1"/>
  <c r="BD1154" i="4" l="1"/>
  <c r="BB1154" i="4"/>
  <c r="BA1155" i="4" s="1"/>
  <c r="BC1153" i="4"/>
  <c r="BG1153" i="4"/>
  <c r="BF1152" i="4"/>
  <c r="BE1152" i="4"/>
  <c r="BB1155" i="4" l="1"/>
  <c r="BA1156" i="4" s="1"/>
  <c r="BD1155" i="4"/>
  <c r="BF1153" i="4"/>
  <c r="BE1153" i="4"/>
  <c r="BC1154" i="4"/>
  <c r="BG1154" i="4"/>
  <c r="BE1154" i="4" l="1"/>
  <c r="BF1154" i="4"/>
  <c r="BC1155" i="4"/>
  <c r="BG1155" i="4"/>
  <c r="BD1156" i="4"/>
  <c r="BB1156" i="4"/>
  <c r="BA1157" i="4" s="1"/>
  <c r="BB1157" i="4" l="1"/>
  <c r="BA1158" i="4" s="1"/>
  <c r="BD1157" i="4"/>
  <c r="BG1156" i="4"/>
  <c r="BC1156" i="4"/>
  <c r="BE1155" i="4"/>
  <c r="BF1155" i="4"/>
  <c r="BG1157" i="4" l="1"/>
  <c r="BC1157" i="4"/>
  <c r="BF1156" i="4"/>
  <c r="BE1156" i="4"/>
  <c r="BB1158" i="4"/>
  <c r="BA1159" i="4" s="1"/>
  <c r="BD1158" i="4"/>
  <c r="BC1158" i="4" l="1"/>
  <c r="BG1158" i="4"/>
  <c r="BD1159" i="4"/>
  <c r="BB1159" i="4"/>
  <c r="BA1160" i="4" s="1"/>
  <c r="BE1157" i="4"/>
  <c r="BF1157" i="4"/>
  <c r="BB1160" i="4" l="1"/>
  <c r="BA1161" i="4" s="1"/>
  <c r="BD1160" i="4"/>
  <c r="BC1159" i="4"/>
  <c r="BG1159" i="4"/>
  <c r="BF1158" i="4"/>
  <c r="BE1158" i="4"/>
  <c r="BG1160" i="4" l="1"/>
  <c r="BC1160" i="4"/>
  <c r="BB1161" i="4"/>
  <c r="BA1162" i="4" s="1"/>
  <c r="BD1161" i="4"/>
  <c r="BE1159" i="4"/>
  <c r="BF1159" i="4"/>
  <c r="BG1161" i="4" l="1"/>
  <c r="BC1161" i="4"/>
  <c r="BD1162" i="4"/>
  <c r="BB1162" i="4"/>
  <c r="BA1163" i="4" s="1"/>
  <c r="BF1160" i="4"/>
  <c r="BE1160" i="4"/>
  <c r="BC1162" i="4" l="1"/>
  <c r="BG1162" i="4"/>
  <c r="BF1161" i="4"/>
  <c r="BE1161" i="4"/>
  <c r="BB1163" i="4"/>
  <c r="BA1164" i="4" s="1"/>
  <c r="BD1163" i="4"/>
  <c r="BD1164" i="4" l="1"/>
  <c r="BB1164" i="4"/>
  <c r="BA1165" i="4" s="1"/>
  <c r="BC1163" i="4"/>
  <c r="BG1163" i="4"/>
  <c r="BE1162" i="4"/>
  <c r="BF1162" i="4"/>
  <c r="BF1163" i="4" l="1"/>
  <c r="BE1163" i="4"/>
  <c r="BD1165" i="4"/>
  <c r="BB1165" i="4"/>
  <c r="BA1166" i="4" s="1"/>
  <c r="BG1164" i="4"/>
  <c r="BC1164" i="4"/>
  <c r="BB1166" i="4" l="1"/>
  <c r="BA1167" i="4" s="1"/>
  <c r="BD1166" i="4"/>
  <c r="BC1165" i="4"/>
  <c r="BG1165" i="4"/>
  <c r="BF1164" i="4"/>
  <c r="BE1164" i="4"/>
  <c r="BE1165" i="4" l="1"/>
  <c r="BF1165" i="4"/>
  <c r="BC1166" i="4"/>
  <c r="BG1166" i="4"/>
  <c r="BB1167" i="4"/>
  <c r="BA1168" i="4" s="1"/>
  <c r="BD1167" i="4"/>
  <c r="BF1166" i="4" l="1"/>
  <c r="BE1166" i="4"/>
  <c r="BD1168" i="4"/>
  <c r="BB1168" i="4"/>
  <c r="BA1169" i="4" s="1"/>
  <c r="BG1167" i="4"/>
  <c r="BC1167" i="4"/>
  <c r="BC1168" i="4" l="1"/>
  <c r="BG1168" i="4"/>
  <c r="BD1169" i="4"/>
  <c r="BB1169" i="4"/>
  <c r="BA1170" i="4" s="1"/>
  <c r="BF1167" i="4"/>
  <c r="BE1167" i="4"/>
  <c r="BC1169" i="4" l="1"/>
  <c r="BG1169" i="4"/>
  <c r="BD1170" i="4"/>
  <c r="BB1170" i="4"/>
  <c r="BA1171" i="4" s="1"/>
  <c r="BF1168" i="4"/>
  <c r="BE1168" i="4"/>
  <c r="BC1170" i="4" l="1"/>
  <c r="BG1170" i="4"/>
  <c r="BB1171" i="4"/>
  <c r="BA1172" i="4" s="1"/>
  <c r="BD1171" i="4"/>
  <c r="BF1169" i="4"/>
  <c r="BE1169" i="4"/>
  <c r="BC1171" i="4" l="1"/>
  <c r="BG1171" i="4"/>
  <c r="BB1172" i="4"/>
  <c r="BA1173" i="4" s="1"/>
  <c r="BD1172" i="4"/>
  <c r="BE1170" i="4"/>
  <c r="BF1170" i="4"/>
  <c r="BD1173" i="4" l="1"/>
  <c r="BB1173" i="4"/>
  <c r="BA1174" i="4" s="1"/>
  <c r="BC1172" i="4"/>
  <c r="BG1172" i="4"/>
  <c r="BE1171" i="4"/>
  <c r="BF1171" i="4"/>
  <c r="BD1174" i="4" l="1"/>
  <c r="BB1174" i="4"/>
  <c r="BA1175" i="4" s="1"/>
  <c r="BF1172" i="4"/>
  <c r="BE1172" i="4"/>
  <c r="BC1173" i="4"/>
  <c r="BG1173" i="4"/>
  <c r="BE1173" i="4" l="1"/>
  <c r="BF1173" i="4"/>
  <c r="BD1175" i="4"/>
  <c r="BB1175" i="4"/>
  <c r="BA1176" i="4" s="1"/>
  <c r="BG1174" i="4"/>
  <c r="BC1174" i="4"/>
  <c r="BF1174" i="4" l="1"/>
  <c r="BE1174" i="4"/>
  <c r="BG1175" i="4"/>
  <c r="BC1175" i="4"/>
  <c r="BD1176" i="4"/>
  <c r="BB1176" i="4"/>
  <c r="BA1177" i="4" s="1"/>
  <c r="BB1177" i="4" l="1"/>
  <c r="BA1178" i="4" s="1"/>
  <c r="BD1177" i="4"/>
  <c r="BG1176" i="4"/>
  <c r="BC1176" i="4"/>
  <c r="BE1175" i="4"/>
  <c r="BF1175" i="4"/>
  <c r="BC1177" i="4" l="1"/>
  <c r="BG1177" i="4"/>
  <c r="BB1178" i="4"/>
  <c r="BA1179" i="4" s="1"/>
  <c r="BD1178" i="4"/>
  <c r="BE1176" i="4"/>
  <c r="BF1176" i="4"/>
  <c r="BB1179" i="4" l="1"/>
  <c r="BA1180" i="4" s="1"/>
  <c r="BD1179" i="4"/>
  <c r="BC1178" i="4"/>
  <c r="BG1178" i="4"/>
  <c r="BF1177" i="4"/>
  <c r="BE1177" i="4"/>
  <c r="BF1178" i="4" l="1"/>
  <c r="BE1178" i="4"/>
  <c r="BC1179" i="4"/>
  <c r="BG1179" i="4"/>
  <c r="BB1180" i="4"/>
  <c r="BA1181" i="4" s="1"/>
  <c r="BD1180" i="4"/>
  <c r="BF1179" i="4" l="1"/>
  <c r="BE1179" i="4"/>
  <c r="BG1180" i="4"/>
  <c r="BC1180" i="4"/>
  <c r="BB1181" i="4"/>
  <c r="BA1182" i="4" s="1"/>
  <c r="BD1181" i="4"/>
  <c r="BC1181" i="4" l="1"/>
  <c r="BG1181" i="4"/>
  <c r="BF1180" i="4"/>
  <c r="BE1180" i="4"/>
  <c r="BB1182" i="4"/>
  <c r="BA1183" i="4" s="1"/>
  <c r="BD1182" i="4"/>
  <c r="BB1183" i="4" l="1"/>
  <c r="BA1184" i="4" s="1"/>
  <c r="BD1183" i="4"/>
  <c r="BG1182" i="4"/>
  <c r="BC1182" i="4"/>
  <c r="BE1181" i="4"/>
  <c r="BF1181" i="4"/>
  <c r="BG1183" i="4" l="1"/>
  <c r="BC1183" i="4"/>
  <c r="BF1182" i="4"/>
  <c r="BE1182" i="4"/>
  <c r="BD1184" i="4"/>
  <c r="BB1184" i="4"/>
  <c r="BA1185" i="4" s="1"/>
  <c r="BB1185" i="4" l="1"/>
  <c r="BA1186" i="4" s="1"/>
  <c r="BD1185" i="4"/>
  <c r="BG1184" i="4"/>
  <c r="BC1184" i="4"/>
  <c r="BE1183" i="4"/>
  <c r="BF1183" i="4"/>
  <c r="BD1186" i="4" l="1"/>
  <c r="BB1186" i="4"/>
  <c r="BA1187" i="4" s="1"/>
  <c r="BE1184" i="4"/>
  <c r="BF1184" i="4"/>
  <c r="BC1185" i="4"/>
  <c r="BG1185" i="4"/>
  <c r="BD1187" i="4" l="1"/>
  <c r="BB1187" i="4"/>
  <c r="BA1188" i="4" s="1"/>
  <c r="BC1186" i="4"/>
  <c r="BG1186" i="4"/>
  <c r="BE1185" i="4"/>
  <c r="BF1185" i="4"/>
  <c r="BB1188" i="4" l="1"/>
  <c r="BA1189" i="4" s="1"/>
  <c r="BD1188" i="4"/>
  <c r="BF1186" i="4"/>
  <c r="BE1186" i="4"/>
  <c r="BC1187" i="4"/>
  <c r="BG1187" i="4"/>
  <c r="BD1189" i="4" l="1"/>
  <c r="BB1189" i="4"/>
  <c r="BA1190" i="4" s="1"/>
  <c r="BC1188" i="4"/>
  <c r="BG1188" i="4"/>
  <c r="BE1187" i="4"/>
  <c r="BF1187" i="4"/>
  <c r="BE1188" i="4" l="1"/>
  <c r="BF1188" i="4"/>
  <c r="BB1190" i="4"/>
  <c r="BA1191" i="4" s="1"/>
  <c r="BD1190" i="4"/>
  <c r="BC1189" i="4"/>
  <c r="BG1189" i="4"/>
  <c r="BG1190" i="4" l="1"/>
  <c r="BC1190" i="4"/>
  <c r="BE1189" i="4"/>
  <c r="BF1189" i="4"/>
  <c r="BB1191" i="4"/>
  <c r="BA1192" i="4" s="1"/>
  <c r="BD1191" i="4"/>
  <c r="BG1191" i="4" l="1"/>
  <c r="BC1191" i="4"/>
  <c r="BD1192" i="4"/>
  <c r="BB1192" i="4"/>
  <c r="BA1193" i="4" s="1"/>
  <c r="BE1190" i="4"/>
  <c r="BF1190" i="4"/>
  <c r="BD1193" i="4" l="1"/>
  <c r="BB1193" i="4"/>
  <c r="BA1194" i="4" s="1"/>
  <c r="BC1192" i="4"/>
  <c r="BG1192" i="4"/>
  <c r="BE1191" i="4"/>
  <c r="BF1191" i="4"/>
  <c r="BD1194" i="4" l="1"/>
  <c r="BB1194" i="4"/>
  <c r="BA1195" i="4" s="1"/>
  <c r="BF1192" i="4"/>
  <c r="BE1192" i="4"/>
  <c r="BC1193" i="4"/>
  <c r="BG1193" i="4"/>
  <c r="BD1195" i="4" l="1"/>
  <c r="BB1195" i="4"/>
  <c r="BA1196" i="4" s="1"/>
  <c r="BF1193" i="4"/>
  <c r="BE1193" i="4"/>
  <c r="BC1194" i="4"/>
  <c r="BG1194" i="4"/>
  <c r="BB1196" i="4" l="1"/>
  <c r="BA1197" i="4" s="1"/>
  <c r="BD1196" i="4"/>
  <c r="BF1194" i="4"/>
  <c r="BE1194" i="4"/>
  <c r="BC1195" i="4"/>
  <c r="BG1195" i="4"/>
  <c r="BF1195" i="4" l="1"/>
  <c r="BE1195" i="4"/>
  <c r="BG1196" i="4"/>
  <c r="BC1196" i="4"/>
  <c r="BB1197" i="4"/>
  <c r="BA1198" i="4" s="1"/>
  <c r="BD1197" i="4"/>
  <c r="BG1197" i="4" l="1"/>
  <c r="BC1197" i="4"/>
  <c r="BB1198" i="4"/>
  <c r="BA1199" i="4" s="1"/>
  <c r="BD1198" i="4"/>
  <c r="BE1196" i="4"/>
  <c r="BF1196" i="4"/>
  <c r="BC1198" i="4" l="1"/>
  <c r="BG1198" i="4"/>
  <c r="BD1199" i="4"/>
  <c r="BB1199" i="4"/>
  <c r="BA1200" i="4" s="1"/>
  <c r="BF1197" i="4"/>
  <c r="BE1197" i="4"/>
  <c r="BG1199" i="4" l="1"/>
  <c r="BC1199" i="4"/>
  <c r="BD1200" i="4"/>
  <c r="BB1200" i="4"/>
  <c r="BA1201" i="4" s="1"/>
  <c r="BE1198" i="4"/>
  <c r="BF1198" i="4"/>
  <c r="BB1201" i="4" l="1"/>
  <c r="BA1202" i="4" s="1"/>
  <c r="BD1201" i="4"/>
  <c r="BG1200" i="4"/>
  <c r="BC1200" i="4"/>
  <c r="BF1199" i="4"/>
  <c r="BE1199" i="4"/>
  <c r="BB1202" i="4" l="1"/>
  <c r="BA1203" i="4" s="1"/>
  <c r="BD1202" i="4"/>
  <c r="BE1200" i="4"/>
  <c r="BF1200" i="4"/>
  <c r="BC1201" i="4"/>
  <c r="BG1201" i="4"/>
  <c r="BB1203" i="4" l="1"/>
  <c r="BA1204" i="4" s="1"/>
  <c r="BD1203" i="4"/>
  <c r="BC1202" i="4"/>
  <c r="BG1202" i="4"/>
  <c r="BF1201" i="4"/>
  <c r="BE1201" i="4"/>
  <c r="BC1203" i="4" l="1"/>
  <c r="BG1203" i="4"/>
  <c r="BE1202" i="4"/>
  <c r="BF1202" i="4"/>
  <c r="BB1204" i="4"/>
  <c r="BA1205" i="4" s="1"/>
  <c r="BD1204" i="4"/>
  <c r="BC1204" i="4" l="1"/>
  <c r="BG1204" i="4"/>
  <c r="BD1205" i="4"/>
  <c r="BB1205" i="4"/>
  <c r="BA1206" i="4" s="1"/>
  <c r="BF1203" i="4"/>
  <c r="BE1203" i="4"/>
  <c r="BC1205" i="4" l="1"/>
  <c r="BG1205" i="4"/>
  <c r="BB1206" i="4"/>
  <c r="BA1207" i="4" s="1"/>
  <c r="BD1206" i="4"/>
  <c r="BE1204" i="4"/>
  <c r="BF1204" i="4"/>
  <c r="BB1207" i="4" l="1"/>
  <c r="BA1208" i="4" s="1"/>
  <c r="BD1207" i="4"/>
  <c r="BG1206" i="4"/>
  <c r="BC1206" i="4"/>
  <c r="BF1205" i="4"/>
  <c r="BE1205" i="4"/>
  <c r="BG1207" i="4" l="1"/>
  <c r="BC1207" i="4"/>
  <c r="BD1208" i="4"/>
  <c r="BB1208" i="4"/>
  <c r="BA1209" i="4" s="1"/>
  <c r="BF1206" i="4"/>
  <c r="BE1206" i="4"/>
  <c r="BG1208" i="4" l="1"/>
  <c r="BC1208" i="4"/>
  <c r="BE1207" i="4"/>
  <c r="BF1207" i="4"/>
  <c r="BD1209" i="4"/>
  <c r="BB1209" i="4"/>
  <c r="BA1210" i="4" s="1"/>
  <c r="BD1210" i="4" l="1"/>
  <c r="BB1210" i="4"/>
  <c r="BA1211" i="4" s="1"/>
  <c r="BC1209" i="4"/>
  <c r="BG1209" i="4"/>
  <c r="BF1208" i="4"/>
  <c r="BE1208" i="4"/>
  <c r="BD1211" i="4" l="1"/>
  <c r="BB1211" i="4"/>
  <c r="BA1212" i="4" s="1"/>
  <c r="BE1209" i="4"/>
  <c r="BF1209" i="4"/>
  <c r="BC1210" i="4"/>
  <c r="BG1210" i="4"/>
  <c r="BB1212" i="4" l="1"/>
  <c r="BA1213" i="4" s="1"/>
  <c r="BD1212" i="4"/>
  <c r="BF1210" i="4"/>
  <c r="BE1210" i="4"/>
  <c r="BC1211" i="4"/>
  <c r="BG1211" i="4"/>
  <c r="BG1212" i="4" l="1"/>
  <c r="BC1212" i="4"/>
  <c r="BB1213" i="4"/>
  <c r="BA1214" i="4" s="1"/>
  <c r="BD1213" i="4"/>
  <c r="BE1211" i="4"/>
  <c r="BF1211" i="4"/>
  <c r="BD1214" i="4" l="1"/>
  <c r="BB1214" i="4"/>
  <c r="BA1215" i="4" s="1"/>
  <c r="BG1213" i="4"/>
  <c r="BC1213" i="4"/>
  <c r="BF1212" i="4"/>
  <c r="BE1212" i="4"/>
  <c r="BD1215" i="4" l="1"/>
  <c r="BB1215" i="4"/>
  <c r="BA1216" i="4" s="1"/>
  <c r="BE1213" i="4"/>
  <c r="BF1213" i="4"/>
  <c r="BG1214" i="4"/>
  <c r="BC1214" i="4"/>
  <c r="BD1216" i="4" l="1"/>
  <c r="BB1216" i="4"/>
  <c r="BA1217" i="4" s="1"/>
  <c r="BG1215" i="4"/>
  <c r="BC1215" i="4"/>
  <c r="BF1214" i="4"/>
  <c r="BE1214" i="4"/>
  <c r="BD1217" i="4" l="1"/>
  <c r="BB1217" i="4"/>
  <c r="BA1218" i="4" s="1"/>
  <c r="BE1215" i="4"/>
  <c r="BF1215" i="4"/>
  <c r="BC1216" i="4"/>
  <c r="BG1216" i="4"/>
  <c r="BD1218" i="4" l="1"/>
  <c r="BB1218" i="4"/>
  <c r="BA1219" i="4" s="1"/>
  <c r="BC1217" i="4"/>
  <c r="BG1217" i="4"/>
  <c r="BE1216" i="4"/>
  <c r="BF1216" i="4"/>
  <c r="BE1217" i="4" l="1"/>
  <c r="BF1217" i="4"/>
  <c r="BD1219" i="4"/>
  <c r="BB1219" i="4"/>
  <c r="BA1220" i="4" s="1"/>
  <c r="BC1218" i="4"/>
  <c r="BG1218" i="4"/>
  <c r="BB1220" i="4" l="1"/>
  <c r="BA1221" i="4" s="1"/>
  <c r="BD1220" i="4"/>
  <c r="BC1219" i="4"/>
  <c r="BG1219" i="4"/>
  <c r="BE1218" i="4"/>
  <c r="BF1218" i="4"/>
  <c r="BB1221" i="4" l="1"/>
  <c r="BA1222" i="4" s="1"/>
  <c r="BD1221" i="4"/>
  <c r="BF1219" i="4"/>
  <c r="BE1219" i="4"/>
  <c r="BC1220" i="4"/>
  <c r="BG1220" i="4"/>
  <c r="BF1220" i="4" l="1"/>
  <c r="BE1220" i="4"/>
  <c r="BC1221" i="4"/>
  <c r="BG1221" i="4"/>
  <c r="BD1222" i="4"/>
  <c r="BB1222" i="4"/>
  <c r="BA1223" i="4" s="1"/>
  <c r="BB1223" i="4" l="1"/>
  <c r="BA1224" i="4" s="1"/>
  <c r="BD1223" i="4"/>
  <c r="BG1222" i="4"/>
  <c r="BC1222" i="4"/>
  <c r="BF1221" i="4"/>
  <c r="BE1221" i="4"/>
  <c r="BG1223" i="4" l="1"/>
  <c r="BC1223" i="4"/>
  <c r="BD1224" i="4"/>
  <c r="BB1224" i="4"/>
  <c r="BA1225" i="4" s="1"/>
  <c r="BE1222" i="4"/>
  <c r="BF1222" i="4"/>
  <c r="BD1225" i="4" l="1"/>
  <c r="BB1225" i="4"/>
  <c r="BA1226" i="4" s="1"/>
  <c r="BG1224" i="4"/>
  <c r="BC1224" i="4"/>
  <c r="BF1223" i="4"/>
  <c r="BE1223" i="4"/>
  <c r="BD1226" i="4" l="1"/>
  <c r="BB1226" i="4"/>
  <c r="BA1227" i="4" s="1"/>
  <c r="BE1224" i="4"/>
  <c r="BF1224" i="4"/>
  <c r="BC1225" i="4"/>
  <c r="BG1225" i="4"/>
  <c r="BB1227" i="4" l="1"/>
  <c r="BA1228" i="4" s="1"/>
  <c r="BD1227" i="4"/>
  <c r="BF1225" i="4"/>
  <c r="BE1225" i="4"/>
  <c r="BC1226" i="4"/>
  <c r="BG1226" i="4"/>
  <c r="BB1228" i="4" l="1"/>
  <c r="BA1229" i="4" s="1"/>
  <c r="BD1228" i="4"/>
  <c r="BC1227" i="4"/>
  <c r="BG1227" i="4"/>
  <c r="BE1226" i="4"/>
  <c r="BF1226" i="4"/>
  <c r="BG1228" i="4" l="1"/>
  <c r="BC1228" i="4"/>
  <c r="BF1227" i="4"/>
  <c r="BE1227" i="4"/>
  <c r="BB1229" i="4"/>
  <c r="BA1230" i="4" s="1"/>
  <c r="BD1229" i="4"/>
  <c r="BC1229" i="4" l="1"/>
  <c r="BG1229" i="4"/>
  <c r="BB1230" i="4"/>
  <c r="BA1231" i="4" s="1"/>
  <c r="BD1230" i="4"/>
  <c r="BF1228" i="4"/>
  <c r="BE1228" i="4"/>
  <c r="BG1230" i="4" l="1"/>
  <c r="BC1230" i="4"/>
  <c r="BD1231" i="4"/>
  <c r="BB1231" i="4"/>
  <c r="BA1232" i="4" s="1"/>
  <c r="BF1229" i="4"/>
  <c r="BE1229" i="4"/>
  <c r="BD1232" i="4" l="1"/>
  <c r="BB1232" i="4"/>
  <c r="BA1233" i="4" s="1"/>
  <c r="BG1231" i="4"/>
  <c r="BC1231" i="4"/>
  <c r="BF1230" i="4"/>
  <c r="BE1230" i="4"/>
  <c r="BB1233" i="4" l="1"/>
  <c r="BA1234" i="4" s="1"/>
  <c r="BD1233" i="4"/>
  <c r="BG1232" i="4"/>
  <c r="BC1232" i="4"/>
  <c r="BF1231" i="4"/>
  <c r="BE1231" i="4"/>
  <c r="BF1232" i="4" l="1"/>
  <c r="BE1232" i="4"/>
  <c r="BD1234" i="4"/>
  <c r="BB1234" i="4"/>
  <c r="BA1235" i="4" s="1"/>
  <c r="BC1233" i="4"/>
  <c r="BG1233" i="4"/>
  <c r="BC1234" i="4" l="1"/>
  <c r="BG1234" i="4"/>
  <c r="BF1233" i="4"/>
  <c r="BE1233" i="4"/>
  <c r="BB1235" i="4"/>
  <c r="BA1236" i="4" s="1"/>
  <c r="BD1235" i="4"/>
  <c r="BC1235" i="4" l="1"/>
  <c r="BG1235" i="4"/>
  <c r="BD1236" i="4"/>
  <c r="BB1236" i="4"/>
  <c r="BA1237" i="4" s="1"/>
  <c r="BE1234" i="4"/>
  <c r="BF1234" i="4"/>
  <c r="BD1237" i="4" l="1"/>
  <c r="BB1237" i="4"/>
  <c r="BA1238" i="4" s="1"/>
  <c r="BC1236" i="4"/>
  <c r="BG1236" i="4"/>
  <c r="BE1235" i="4"/>
  <c r="BF1235" i="4"/>
  <c r="BB1238" i="4" l="1"/>
  <c r="BA1239" i="4" s="1"/>
  <c r="BD1238" i="4"/>
  <c r="BF1236" i="4"/>
  <c r="BE1236" i="4"/>
  <c r="BC1237" i="4"/>
  <c r="BG1237" i="4"/>
  <c r="BG1238" i="4" l="1"/>
  <c r="BC1238" i="4"/>
  <c r="BE1237" i="4"/>
  <c r="BF1237" i="4"/>
  <c r="BD1239" i="4"/>
  <c r="BB1239" i="4"/>
  <c r="BA1240" i="4" s="1"/>
  <c r="BD1240" i="4" l="1"/>
  <c r="BB1240" i="4"/>
  <c r="BA1241" i="4" s="1"/>
  <c r="BF1238" i="4"/>
  <c r="BE1238" i="4"/>
  <c r="BG1239" i="4"/>
  <c r="BC1239" i="4"/>
  <c r="BD1241" i="4" l="1"/>
  <c r="BB1241" i="4"/>
  <c r="BA1242" i="4" s="1"/>
  <c r="BF1239" i="4"/>
  <c r="BE1239" i="4"/>
  <c r="BG1240" i="4"/>
  <c r="BC1240" i="4"/>
  <c r="BD1242" i="4" l="1"/>
  <c r="BB1242" i="4"/>
  <c r="BA1243" i="4" s="1"/>
  <c r="BE1240" i="4"/>
  <c r="BF1240" i="4"/>
  <c r="BC1241" i="4"/>
  <c r="BG1241" i="4"/>
  <c r="BB1243" i="4" l="1"/>
  <c r="BA1244" i="4" s="1"/>
  <c r="BD1243" i="4"/>
  <c r="BF1241" i="4"/>
  <c r="BE1241" i="4"/>
  <c r="BC1242" i="4"/>
  <c r="BG1242" i="4"/>
  <c r="BB1244" i="4" l="1"/>
  <c r="BA1245" i="4" s="1"/>
  <c r="BD1244" i="4"/>
  <c r="BF1242" i="4"/>
  <c r="BE1242" i="4"/>
  <c r="BC1243" i="4"/>
  <c r="BG1243" i="4"/>
  <c r="BG1244" i="4" l="1"/>
  <c r="BC1244" i="4"/>
  <c r="BD1245" i="4"/>
  <c r="BB1245" i="4"/>
  <c r="BA1246" i="4" s="1"/>
  <c r="BF1243" i="4"/>
  <c r="BE1243" i="4"/>
  <c r="BD1246" i="4" l="1"/>
  <c r="BB1246" i="4"/>
  <c r="BA1247" i="4" s="1"/>
  <c r="BC1245" i="4"/>
  <c r="BG1245" i="4"/>
  <c r="BF1244" i="4"/>
  <c r="BE1244" i="4"/>
  <c r="BF1245" i="4" l="1"/>
  <c r="BE1245" i="4"/>
  <c r="BB1247" i="4"/>
  <c r="BA1248" i="4" s="1"/>
  <c r="BD1247" i="4"/>
  <c r="BC1246" i="4"/>
  <c r="BG1246" i="4"/>
  <c r="BF1246" i="4" l="1"/>
  <c r="BE1246" i="4"/>
  <c r="BG1247" i="4"/>
  <c r="BC1247" i="4"/>
  <c r="BD1248" i="4"/>
  <c r="BB1248" i="4"/>
  <c r="BA1249" i="4" s="1"/>
  <c r="BD1249" i="4" l="1"/>
  <c r="BB1249" i="4"/>
  <c r="BA1250" i="4" s="1"/>
  <c r="BC1248" i="4"/>
  <c r="BG1248" i="4"/>
  <c r="BF1247" i="4"/>
  <c r="BE1247" i="4"/>
  <c r="BD1250" i="4" l="1"/>
  <c r="BB1250" i="4"/>
  <c r="BA1251" i="4" s="1"/>
  <c r="BC1249" i="4"/>
  <c r="BG1249" i="4"/>
  <c r="BE1248" i="4"/>
  <c r="BF1248" i="4"/>
  <c r="BD1251" i="4" l="1"/>
  <c r="BB1251" i="4"/>
  <c r="BA1252" i="4" s="1"/>
  <c r="BC1250" i="4"/>
  <c r="BG1250" i="4"/>
  <c r="BE1249" i="4"/>
  <c r="BF1249" i="4"/>
  <c r="BD1252" i="4" l="1"/>
  <c r="BB1252" i="4"/>
  <c r="BA1253" i="4" s="1"/>
  <c r="BF1250" i="4"/>
  <c r="BE1250" i="4"/>
  <c r="BC1251" i="4"/>
  <c r="BG1251" i="4"/>
  <c r="BB1253" i="4" l="1"/>
  <c r="BA1254" i="4" s="1"/>
  <c r="BD1253" i="4"/>
  <c r="BF1251" i="4"/>
  <c r="BE1251" i="4"/>
  <c r="BC1252" i="4"/>
  <c r="BG1252" i="4"/>
  <c r="BD1254" i="4" l="1"/>
  <c r="BB1254" i="4"/>
  <c r="BA1255" i="4" s="1"/>
  <c r="BF1252" i="4"/>
  <c r="BE1252" i="4"/>
  <c r="BC1253" i="4"/>
  <c r="BG1253" i="4"/>
  <c r="BD1255" i="4" l="1"/>
  <c r="BB1255" i="4"/>
  <c r="BA1256" i="4" s="1"/>
  <c r="BE1253" i="4"/>
  <c r="BF1253" i="4"/>
  <c r="BG1254" i="4"/>
  <c r="BC1254" i="4"/>
  <c r="BD1256" i="4" l="1"/>
  <c r="BB1256" i="4"/>
  <c r="BA1257" i="4" s="1"/>
  <c r="BF1254" i="4"/>
  <c r="BE1254" i="4"/>
  <c r="BG1255" i="4"/>
  <c r="BC1255" i="4"/>
  <c r="BE1255" i="4" l="1"/>
  <c r="BF1255" i="4"/>
  <c r="BD1257" i="4"/>
  <c r="BB1257" i="4"/>
  <c r="BA1258" i="4" s="1"/>
  <c r="BC1256" i="4"/>
  <c r="BG1256" i="4"/>
  <c r="BC1257" i="4" l="1"/>
  <c r="BG1257" i="4"/>
  <c r="BF1256" i="4"/>
  <c r="BE1256" i="4"/>
  <c r="BD1258" i="4"/>
  <c r="BB1258" i="4"/>
  <c r="BA1259" i="4" s="1"/>
  <c r="BD1259" i="4" l="1"/>
  <c r="BB1259" i="4"/>
  <c r="BA1260" i="4" s="1"/>
  <c r="BC1258" i="4"/>
  <c r="BG1258" i="4"/>
  <c r="BE1257" i="4"/>
  <c r="BF1257" i="4"/>
  <c r="BD1260" i="4" l="1"/>
  <c r="BB1260" i="4"/>
  <c r="BA1261" i="4" s="1"/>
  <c r="BE1258" i="4"/>
  <c r="BF1258" i="4"/>
  <c r="BC1259" i="4"/>
  <c r="BG1259" i="4"/>
  <c r="BB1261" i="4" l="1"/>
  <c r="BA1262" i="4" s="1"/>
  <c r="BD1261" i="4"/>
  <c r="BF1259" i="4"/>
  <c r="BE1259" i="4"/>
  <c r="BG1260" i="4"/>
  <c r="BC1260" i="4"/>
  <c r="BG1261" i="4" l="1"/>
  <c r="BC1261" i="4"/>
  <c r="BE1260" i="4"/>
  <c r="BF1260" i="4"/>
  <c r="BD1262" i="4"/>
  <c r="BB1262" i="4"/>
  <c r="BA1263" i="4" s="1"/>
  <c r="BB1263" i="4" l="1"/>
  <c r="BA1264" i="4" s="1"/>
  <c r="BD1263" i="4"/>
  <c r="BG1262" i="4"/>
  <c r="BC1262" i="4"/>
  <c r="BE1261" i="4"/>
  <c r="BF1261" i="4"/>
  <c r="BF1262" i="4" l="1"/>
  <c r="BE1262" i="4"/>
  <c r="BG1263" i="4"/>
  <c r="BC1263" i="4"/>
  <c r="BD1264" i="4"/>
  <c r="BB1264" i="4"/>
  <c r="BA1265" i="4" s="1"/>
  <c r="BB1265" i="4" l="1"/>
  <c r="BA1266" i="4" s="1"/>
  <c r="BD1265" i="4"/>
  <c r="BG1264" i="4"/>
  <c r="BC1264" i="4"/>
  <c r="BE1263" i="4"/>
  <c r="BF1263" i="4"/>
  <c r="BD1266" i="4" l="1"/>
  <c r="BB1266" i="4"/>
  <c r="BA1267" i="4" s="1"/>
  <c r="BF1264" i="4"/>
  <c r="BE1264" i="4"/>
  <c r="BC1265" i="4"/>
  <c r="BG1265" i="4"/>
  <c r="BB1267" i="4" l="1"/>
  <c r="BA1268" i="4" s="1"/>
  <c r="BD1267" i="4"/>
  <c r="BE1265" i="4"/>
  <c r="BF1265" i="4"/>
  <c r="BC1266" i="4"/>
  <c r="BG1266" i="4"/>
  <c r="BC1267" i="4" l="1"/>
  <c r="BG1267" i="4"/>
  <c r="BF1266" i="4"/>
  <c r="BE1266" i="4"/>
  <c r="BD1268" i="4"/>
  <c r="BB1268" i="4"/>
  <c r="BA1269" i="4" s="1"/>
  <c r="BB1269" i="4" l="1"/>
  <c r="BA1270" i="4" s="1"/>
  <c r="BD1269" i="4"/>
  <c r="BC1268" i="4"/>
  <c r="BG1268" i="4"/>
  <c r="BE1267" i="4"/>
  <c r="BF1267" i="4"/>
  <c r="BC1269" i="4" l="1"/>
  <c r="BG1269" i="4"/>
  <c r="BD1270" i="4"/>
  <c r="BB1270" i="4"/>
  <c r="BA1271" i="4" s="1"/>
  <c r="BF1268" i="4"/>
  <c r="BE1268" i="4"/>
  <c r="BG1270" i="4" l="1"/>
  <c r="BC1270" i="4"/>
  <c r="BB1271" i="4"/>
  <c r="BA1272" i="4" s="1"/>
  <c r="BD1271" i="4"/>
  <c r="BF1269" i="4"/>
  <c r="BE1269" i="4"/>
  <c r="BG1271" i="4" l="1"/>
  <c r="BC1271" i="4"/>
  <c r="BE1270" i="4"/>
  <c r="BF1270" i="4"/>
  <c r="BD1272" i="4"/>
  <c r="BB1272" i="4"/>
  <c r="BA1273" i="4" s="1"/>
  <c r="BD1273" i="4" l="1"/>
  <c r="BB1273" i="4"/>
  <c r="BA1274" i="4" s="1"/>
  <c r="BE1271" i="4"/>
  <c r="BF1271" i="4"/>
  <c r="BC1272" i="4"/>
  <c r="BG1272" i="4"/>
  <c r="BF1272" i="4" l="1"/>
  <c r="BE1272" i="4"/>
  <c r="BD1274" i="4"/>
  <c r="BB1274" i="4"/>
  <c r="BA1275" i="4" s="1"/>
  <c r="BC1273" i="4"/>
  <c r="BG1273" i="4"/>
  <c r="BD1275" i="4" l="1"/>
  <c r="BB1275" i="4"/>
  <c r="BA1276" i="4" s="1"/>
  <c r="BE1273" i="4"/>
  <c r="BF1273" i="4"/>
  <c r="BC1274" i="4"/>
  <c r="BG1274" i="4"/>
  <c r="BE1274" i="4" l="1"/>
  <c r="BF1274" i="4"/>
  <c r="BD1276" i="4"/>
  <c r="BB1276" i="4"/>
  <c r="BA1277" i="4" s="1"/>
  <c r="BC1275" i="4"/>
  <c r="BG1275" i="4"/>
  <c r="BF1275" i="4" l="1"/>
  <c r="BE1275" i="4"/>
  <c r="BG1276" i="4"/>
  <c r="BC1276" i="4"/>
  <c r="BD1277" i="4"/>
  <c r="BB1277" i="4"/>
  <c r="BA1278" i="4" s="1"/>
  <c r="BD1278" i="4" l="1"/>
  <c r="BB1278" i="4"/>
  <c r="BA1279" i="4" s="1"/>
  <c r="BC1277" i="4"/>
  <c r="BG1277" i="4"/>
  <c r="BE1276" i="4"/>
  <c r="BF1276" i="4"/>
  <c r="BD1279" i="4" l="1"/>
  <c r="BB1279" i="4"/>
  <c r="BA1280" i="4" s="1"/>
  <c r="BE1277" i="4"/>
  <c r="BF1277" i="4"/>
  <c r="BG1278" i="4"/>
  <c r="BC1278" i="4"/>
  <c r="BB1280" i="4" l="1"/>
  <c r="BA1281" i="4" s="1"/>
  <c r="BD1280" i="4"/>
  <c r="BE1278" i="4"/>
  <c r="BF1278" i="4"/>
  <c r="BG1279" i="4"/>
  <c r="BC1279" i="4"/>
  <c r="BE1279" i="4" l="1"/>
  <c r="BF1279" i="4"/>
  <c r="BB1281" i="4"/>
  <c r="BA1282" i="4" s="1"/>
  <c r="BD1281" i="4"/>
  <c r="BG1280" i="4"/>
  <c r="BC1280" i="4"/>
  <c r="BD1282" i="4" l="1"/>
  <c r="BB1282" i="4"/>
  <c r="BA1283" i="4" s="1"/>
  <c r="BC1281" i="4"/>
  <c r="BG1281" i="4"/>
  <c r="BF1280" i="4"/>
  <c r="BE1280" i="4"/>
  <c r="BF1281" i="4" l="1"/>
  <c r="BE1281" i="4"/>
  <c r="BD1283" i="4"/>
  <c r="BB1283" i="4"/>
  <c r="BA1284" i="4" s="1"/>
  <c r="BC1282" i="4"/>
  <c r="BG1282" i="4"/>
  <c r="BD1284" i="4" l="1"/>
  <c r="BB1284" i="4"/>
  <c r="BA1285" i="4" s="1"/>
  <c r="BC1283" i="4"/>
  <c r="BG1283" i="4"/>
  <c r="BE1282" i="4"/>
  <c r="BF1282" i="4"/>
  <c r="BD1285" i="4" l="1"/>
  <c r="BB1285" i="4"/>
  <c r="BA1286" i="4" s="1"/>
  <c r="BF1283" i="4"/>
  <c r="BE1283" i="4"/>
  <c r="BC1284" i="4"/>
  <c r="BG1284" i="4"/>
  <c r="BE1284" i="4" l="1"/>
  <c r="BF1284" i="4"/>
  <c r="BB1286" i="4"/>
  <c r="BA1287" i="4" s="1"/>
  <c r="BD1286" i="4"/>
  <c r="BC1285" i="4"/>
  <c r="BG1285" i="4"/>
  <c r="BD1287" i="4" l="1"/>
  <c r="BB1287" i="4"/>
  <c r="BA1288" i="4" s="1"/>
  <c r="BE1285" i="4"/>
  <c r="BF1285" i="4"/>
  <c r="BG1286" i="4"/>
  <c r="BC1286" i="4"/>
  <c r="BD1288" i="4" l="1"/>
  <c r="BB1288" i="4"/>
  <c r="BA1289" i="4" s="1"/>
  <c r="BE1286" i="4"/>
  <c r="BF1286" i="4"/>
  <c r="BG1287" i="4"/>
  <c r="BC1287" i="4"/>
  <c r="BE1287" i="4" l="1"/>
  <c r="BF1287" i="4"/>
  <c r="BD1289" i="4"/>
  <c r="BB1289" i="4"/>
  <c r="BA1290" i="4" s="1"/>
  <c r="BG1288" i="4"/>
  <c r="BC1288" i="4"/>
  <c r="BD1290" i="4" l="1"/>
  <c r="BB1290" i="4"/>
  <c r="BA1291" i="4" s="1"/>
  <c r="BE1288" i="4"/>
  <c r="BF1288" i="4"/>
  <c r="BC1289" i="4"/>
  <c r="BG1289" i="4"/>
  <c r="BE1289" i="4" l="1"/>
  <c r="BF1289" i="4"/>
  <c r="BD1291" i="4"/>
  <c r="BB1291" i="4"/>
  <c r="BA1292" i="4" s="1"/>
  <c r="BC1290" i="4"/>
  <c r="BG1290" i="4"/>
  <c r="BB1292" i="4" l="1"/>
  <c r="BA1293" i="4" s="1"/>
  <c r="BD1292" i="4"/>
  <c r="BC1291" i="4"/>
  <c r="BG1291" i="4"/>
  <c r="BE1290" i="4"/>
  <c r="BF1290" i="4"/>
  <c r="BG1292" i="4" l="1"/>
  <c r="BC1292" i="4"/>
  <c r="BE1291" i="4"/>
  <c r="BF1291" i="4"/>
  <c r="BB1293" i="4"/>
  <c r="BA1294" i="4" s="1"/>
  <c r="BD1293" i="4"/>
  <c r="BC1293" i="4" l="1"/>
  <c r="BG1293" i="4"/>
  <c r="BD1294" i="4"/>
  <c r="BB1294" i="4"/>
  <c r="BA1295" i="4" s="1"/>
  <c r="BE1292" i="4"/>
  <c r="BF1292" i="4"/>
  <c r="BG1294" i="4" l="1"/>
  <c r="BC1294" i="4"/>
  <c r="BB1295" i="4"/>
  <c r="BA1296" i="4" s="1"/>
  <c r="BD1295" i="4"/>
  <c r="BF1293" i="4"/>
  <c r="BE1293" i="4"/>
  <c r="BD1296" i="4" l="1"/>
  <c r="BB1296" i="4"/>
  <c r="BA1297" i="4" s="1"/>
  <c r="BF1294" i="4"/>
  <c r="BE1294" i="4"/>
  <c r="BG1295" i="4"/>
  <c r="BC1295" i="4"/>
  <c r="BF1295" i="4" l="1"/>
  <c r="BE1295" i="4"/>
  <c r="BB1297" i="4"/>
  <c r="BA1298" i="4" s="1"/>
  <c r="BD1297" i="4"/>
  <c r="BG1296" i="4"/>
  <c r="BC1296" i="4"/>
  <c r="BE1296" i="4" l="1"/>
  <c r="BF1296" i="4"/>
  <c r="BC1297" i="4"/>
  <c r="BG1297" i="4"/>
  <c r="BD1298" i="4"/>
  <c r="BB1298" i="4"/>
  <c r="BA1299" i="4" s="1"/>
  <c r="BD1299" i="4" l="1"/>
  <c r="BB1299" i="4"/>
  <c r="BA1300" i="4" s="1"/>
  <c r="BE1297" i="4"/>
  <c r="BF1297" i="4"/>
  <c r="BC1298" i="4"/>
  <c r="BG1298" i="4"/>
  <c r="BF1298" i="4" l="1"/>
  <c r="BE1298" i="4"/>
  <c r="BB1300" i="4"/>
  <c r="BA1301" i="4" s="1"/>
  <c r="BD1300" i="4"/>
  <c r="BC1299" i="4"/>
  <c r="BG1299" i="4"/>
  <c r="BC1300" i="4" l="1"/>
  <c r="BG1300" i="4"/>
  <c r="BE1299" i="4"/>
  <c r="BF1299" i="4"/>
  <c r="BD1301" i="4"/>
  <c r="BB1301" i="4"/>
  <c r="BA1302" i="4" s="1"/>
  <c r="BB1302" i="4" l="1"/>
  <c r="BA1303" i="4" s="1"/>
  <c r="BD1302" i="4"/>
  <c r="BC1301" i="4"/>
  <c r="BG1301" i="4"/>
  <c r="BF1300" i="4"/>
  <c r="BE1300" i="4"/>
  <c r="BG1302" i="4" l="1"/>
  <c r="BC1302" i="4"/>
  <c r="BF1301" i="4"/>
  <c r="BE1301" i="4"/>
  <c r="BB1303" i="4"/>
  <c r="BA1304" i="4" s="1"/>
  <c r="BD1303" i="4"/>
  <c r="BD1304" i="4" l="1"/>
  <c r="BB1304" i="4"/>
  <c r="BA1305" i="4" s="1"/>
  <c r="BG1303" i="4"/>
  <c r="BC1303" i="4"/>
  <c r="BE1302" i="4"/>
  <c r="BF1302" i="4"/>
  <c r="BF1303" i="4" l="1"/>
  <c r="BE1303" i="4"/>
  <c r="BD1305" i="4"/>
  <c r="BB1305" i="4"/>
  <c r="BA1306" i="4" s="1"/>
  <c r="BC1304" i="4"/>
  <c r="BG1304" i="4"/>
  <c r="BC1305" i="4" l="1"/>
  <c r="BG1305" i="4"/>
  <c r="BF1304" i="4"/>
  <c r="BE1304" i="4"/>
  <c r="BB1306" i="4"/>
  <c r="BA1307" i="4" s="1"/>
  <c r="BD1306" i="4"/>
  <c r="BB1307" i="4" l="1"/>
  <c r="BA1308" i="4" s="1"/>
  <c r="BD1307" i="4"/>
  <c r="BC1306" i="4"/>
  <c r="BG1306" i="4"/>
  <c r="BF1305" i="4"/>
  <c r="BE1305" i="4"/>
  <c r="BD1308" i="4" l="1"/>
  <c r="BB1308" i="4"/>
  <c r="BA1309" i="4" s="1"/>
  <c r="BF1306" i="4"/>
  <c r="BE1306" i="4"/>
  <c r="BC1307" i="4"/>
  <c r="BG1307" i="4"/>
  <c r="BB1309" i="4" l="1"/>
  <c r="BA1310" i="4" s="1"/>
  <c r="BD1309" i="4"/>
  <c r="BF1307" i="4"/>
  <c r="BE1307" i="4"/>
  <c r="BG1308" i="4"/>
  <c r="BC1308" i="4"/>
  <c r="BC1309" i="4" l="1"/>
  <c r="BG1309" i="4"/>
  <c r="BF1308" i="4"/>
  <c r="BE1308" i="4"/>
  <c r="BB1310" i="4"/>
  <c r="BA1311" i="4" s="1"/>
  <c r="BD1310" i="4"/>
  <c r="BC1310" i="4" l="1"/>
  <c r="BG1310" i="4"/>
  <c r="BB1311" i="4"/>
  <c r="BA1312" i="4" s="1"/>
  <c r="BD1311" i="4"/>
  <c r="BE1309" i="4"/>
  <c r="BF1309" i="4"/>
  <c r="BD1312" i="4" l="1"/>
  <c r="BB1312" i="4"/>
  <c r="BA1313" i="4" s="1"/>
  <c r="BG1311" i="4"/>
  <c r="BC1311" i="4"/>
  <c r="BE1310" i="4"/>
  <c r="BF1310" i="4"/>
  <c r="BD1313" i="4" l="1"/>
  <c r="BB1313" i="4"/>
  <c r="BA1314" i="4" s="1"/>
  <c r="BF1311" i="4"/>
  <c r="BE1311" i="4"/>
  <c r="BC1312" i="4"/>
  <c r="BG1312" i="4"/>
  <c r="BD1314" i="4" l="1"/>
  <c r="BB1314" i="4"/>
  <c r="BA1315" i="4" s="1"/>
  <c r="BF1312" i="4"/>
  <c r="BE1312" i="4"/>
  <c r="BC1313" i="4"/>
  <c r="BG1313" i="4"/>
  <c r="BF1313" i="4" l="1"/>
  <c r="BE1313" i="4"/>
  <c r="BD1315" i="4"/>
  <c r="BB1315" i="4"/>
  <c r="BA1316" i="4" s="1"/>
  <c r="BC1314" i="4"/>
  <c r="BG1314" i="4"/>
  <c r="BC1315" i="4" l="1"/>
  <c r="BG1315" i="4"/>
  <c r="BE1314" i="4"/>
  <c r="BF1314" i="4"/>
  <c r="BB1316" i="4"/>
  <c r="BA1317" i="4" s="1"/>
  <c r="BD1316" i="4"/>
  <c r="BB1317" i="4" l="1"/>
  <c r="BA1318" i="4" s="1"/>
  <c r="BD1317" i="4"/>
  <c r="BG1316" i="4"/>
  <c r="BC1316" i="4"/>
  <c r="BF1315" i="4"/>
  <c r="BE1315" i="4"/>
  <c r="BC1317" i="4" l="1"/>
  <c r="BG1317" i="4"/>
  <c r="BD1318" i="4"/>
  <c r="BB1318" i="4"/>
  <c r="BA1319" i="4" s="1"/>
  <c r="BF1316" i="4"/>
  <c r="BE1316" i="4"/>
  <c r="BG1318" i="4" l="1"/>
  <c r="BC1318" i="4"/>
  <c r="BB1319" i="4"/>
  <c r="BA1320" i="4" s="1"/>
  <c r="BD1319" i="4"/>
  <c r="BE1317" i="4"/>
  <c r="BF1317" i="4"/>
  <c r="BG1319" i="4" l="1"/>
  <c r="BC1319" i="4"/>
  <c r="BD1320" i="4"/>
  <c r="BB1320" i="4"/>
  <c r="BA1321" i="4" s="1"/>
  <c r="BF1318" i="4"/>
  <c r="BE1318" i="4"/>
  <c r="BD1321" i="4" l="1"/>
  <c r="BB1321" i="4"/>
  <c r="BA1322" i="4" s="1"/>
  <c r="BC1320" i="4"/>
  <c r="BG1320" i="4"/>
  <c r="BE1319" i="4"/>
  <c r="BF1319" i="4"/>
  <c r="BD1322" i="4" l="1"/>
  <c r="BB1322" i="4"/>
  <c r="BA1323" i="4" s="1"/>
  <c r="BF1320" i="4"/>
  <c r="BE1320" i="4"/>
  <c r="BC1321" i="4"/>
  <c r="BG1321" i="4"/>
  <c r="BB1323" i="4" l="1"/>
  <c r="BA1324" i="4" s="1"/>
  <c r="BD1323" i="4"/>
  <c r="BC1322" i="4"/>
  <c r="BG1322" i="4"/>
  <c r="BF1321" i="4"/>
  <c r="BE1321" i="4"/>
  <c r="BB1324" i="4" l="1"/>
  <c r="BA1325" i="4" s="1"/>
  <c r="BD1324" i="4"/>
  <c r="BC1323" i="4"/>
  <c r="BG1323" i="4"/>
  <c r="BE1322" i="4"/>
  <c r="BF1322" i="4"/>
  <c r="BF1323" i="4" l="1"/>
  <c r="BE1323" i="4"/>
  <c r="BG1324" i="4"/>
  <c r="BC1324" i="4"/>
  <c r="BB1325" i="4"/>
  <c r="BA1326" i="4" s="1"/>
  <c r="BD1325" i="4"/>
  <c r="BC1325" i="4" l="1"/>
  <c r="BG1325" i="4"/>
  <c r="BB1326" i="4"/>
  <c r="BA1327" i="4" s="1"/>
  <c r="BD1326" i="4"/>
  <c r="BE1324" i="4"/>
  <c r="BF1324" i="4"/>
  <c r="BC1326" i="4" l="1"/>
  <c r="BG1326" i="4"/>
  <c r="BD1327" i="4"/>
  <c r="BB1327" i="4"/>
  <c r="BA1328" i="4" s="1"/>
  <c r="BE1325" i="4"/>
  <c r="BF1325" i="4"/>
  <c r="BD1328" i="4" l="1"/>
  <c r="BB1328" i="4"/>
  <c r="BA1329" i="4" s="1"/>
  <c r="BG1327" i="4"/>
  <c r="BC1327" i="4"/>
  <c r="BF1326" i="4"/>
  <c r="BE1326" i="4"/>
  <c r="BE1327" i="4" l="1"/>
  <c r="BF1327" i="4"/>
  <c r="BB1329" i="4"/>
  <c r="BA1330" i="4" s="1"/>
  <c r="BD1329" i="4"/>
  <c r="BG1328" i="4"/>
  <c r="BC1328" i="4"/>
  <c r="BD1330" i="4" l="1"/>
  <c r="BB1330" i="4"/>
  <c r="BA1331" i="4" s="1"/>
  <c r="BE1328" i="4"/>
  <c r="BF1328" i="4"/>
  <c r="BG1329" i="4"/>
  <c r="BC1329" i="4"/>
  <c r="BD1331" i="4" l="1"/>
  <c r="BB1331" i="4"/>
  <c r="BA1332" i="4" s="1"/>
  <c r="BF1329" i="4"/>
  <c r="BE1329" i="4"/>
  <c r="BG1330" i="4"/>
  <c r="BC1330" i="4"/>
  <c r="BB1332" i="4" l="1"/>
  <c r="BA1333" i="4" s="1"/>
  <c r="BD1332" i="4"/>
  <c r="BE1330" i="4"/>
  <c r="BF1330" i="4"/>
  <c r="BC1331" i="4"/>
  <c r="BG1331" i="4"/>
  <c r="BC1332" i="4" l="1"/>
  <c r="BG1332" i="4"/>
  <c r="BD1333" i="4"/>
  <c r="BB1333" i="4"/>
  <c r="BA1334" i="4" s="1"/>
  <c r="BF1331" i="4"/>
  <c r="BE1331" i="4"/>
  <c r="BC1333" i="4" l="1"/>
  <c r="BG1333" i="4"/>
  <c r="BD1334" i="4"/>
  <c r="BB1334" i="4"/>
  <c r="BA1335" i="4" s="1"/>
  <c r="BE1332" i="4"/>
  <c r="BF1332" i="4"/>
  <c r="BB1335" i="4" l="1"/>
  <c r="BA1336" i="4" s="1"/>
  <c r="BD1335" i="4"/>
  <c r="BG1334" i="4"/>
  <c r="BC1334" i="4"/>
  <c r="BE1333" i="4"/>
  <c r="BF1333" i="4"/>
  <c r="BD1336" i="4" l="1"/>
  <c r="BB1336" i="4"/>
  <c r="BA1337" i="4" s="1"/>
  <c r="BE1334" i="4"/>
  <c r="BF1334" i="4"/>
  <c r="BC1335" i="4"/>
  <c r="BG1335" i="4"/>
  <c r="BD1337" i="4" l="1"/>
  <c r="BB1337" i="4"/>
  <c r="BA1338" i="4" s="1"/>
  <c r="BF1335" i="4"/>
  <c r="BE1335" i="4"/>
  <c r="BC1336" i="4"/>
  <c r="BG1336" i="4"/>
  <c r="BF1336" i="4" l="1"/>
  <c r="BE1336" i="4"/>
  <c r="BD1338" i="4"/>
  <c r="BB1338" i="4"/>
  <c r="BA1339" i="4" s="1"/>
  <c r="BG1337" i="4"/>
  <c r="BC1337" i="4"/>
  <c r="BF1337" i="4" l="1"/>
  <c r="BE1337" i="4"/>
  <c r="BG1338" i="4"/>
  <c r="BC1338" i="4"/>
  <c r="BB1339" i="4"/>
  <c r="BA1340" i="4" s="1"/>
  <c r="BD1339" i="4"/>
  <c r="BD1340" i="4" l="1"/>
  <c r="BB1340" i="4"/>
  <c r="BA1341" i="4" s="1"/>
  <c r="BF1338" i="4"/>
  <c r="BE1338" i="4"/>
  <c r="BC1339" i="4"/>
  <c r="BG1339" i="4"/>
  <c r="BF1339" i="4" l="1"/>
  <c r="BE1339" i="4"/>
  <c r="BD1341" i="4"/>
  <c r="BB1341" i="4"/>
  <c r="BA1342" i="4" s="1"/>
  <c r="BC1340" i="4"/>
  <c r="BG1340" i="4"/>
  <c r="BB1342" i="4" l="1"/>
  <c r="BA1343" i="4" s="1"/>
  <c r="BD1342" i="4"/>
  <c r="BF1340" i="4"/>
  <c r="BE1340" i="4"/>
  <c r="BC1341" i="4"/>
  <c r="BG1341" i="4"/>
  <c r="BG1342" i="4" l="1"/>
  <c r="BC1342" i="4"/>
  <c r="BF1341" i="4"/>
  <c r="BE1341" i="4"/>
  <c r="BD1343" i="4"/>
  <c r="BB1343" i="4"/>
  <c r="BA1344" i="4" s="1"/>
  <c r="BB1344" i="4" l="1"/>
  <c r="BA1345" i="4" s="1"/>
  <c r="BD1344" i="4"/>
  <c r="BC1343" i="4"/>
  <c r="BG1343" i="4"/>
  <c r="BE1342" i="4"/>
  <c r="BF1342" i="4"/>
  <c r="BB1345" i="4" l="1"/>
  <c r="BA1346" i="4" s="1"/>
  <c r="BD1345" i="4"/>
  <c r="BF1343" i="4"/>
  <c r="BE1343" i="4"/>
  <c r="BC1344" i="4"/>
  <c r="BG1344" i="4"/>
  <c r="BF1344" i="4" l="1"/>
  <c r="BE1344" i="4"/>
  <c r="BC1345" i="4"/>
  <c r="BG1345" i="4"/>
  <c r="BD1346" i="4"/>
  <c r="BB1346" i="4"/>
  <c r="BA1347" i="4" s="1"/>
  <c r="BD1347" i="4" l="1"/>
  <c r="BB1347" i="4"/>
  <c r="BA1348" i="4" s="1"/>
  <c r="BE1345" i="4"/>
  <c r="BF1345" i="4"/>
  <c r="BG1346" i="4"/>
  <c r="BC1346" i="4"/>
  <c r="BD1348" i="4" l="1"/>
  <c r="BB1348" i="4"/>
  <c r="BA1349" i="4" s="1"/>
  <c r="BE1346" i="4"/>
  <c r="BF1346" i="4"/>
  <c r="BC1347" i="4"/>
  <c r="BG1347" i="4"/>
  <c r="BD1349" i="4" l="1"/>
  <c r="BB1349" i="4"/>
  <c r="BA1350" i="4" s="1"/>
  <c r="BE1347" i="4"/>
  <c r="BF1347" i="4"/>
  <c r="BC1348" i="4"/>
  <c r="BG1348" i="4"/>
  <c r="BB1350" i="4" l="1"/>
  <c r="BA1351" i="4" s="1"/>
  <c r="BD1350" i="4"/>
  <c r="BF1348" i="4"/>
  <c r="BE1348" i="4"/>
  <c r="BC1349" i="4"/>
  <c r="BG1349" i="4"/>
  <c r="BG1350" i="4" l="1"/>
  <c r="BC1350" i="4"/>
  <c r="BD1351" i="4"/>
  <c r="BB1351" i="4"/>
  <c r="BA1352" i="4" s="1"/>
  <c r="BF1349" i="4"/>
  <c r="BE1349" i="4"/>
  <c r="BD1352" i="4" l="1"/>
  <c r="BB1352" i="4"/>
  <c r="BA1353" i="4" s="1"/>
  <c r="BG1351" i="4"/>
  <c r="BC1351" i="4"/>
  <c r="BF1350" i="4"/>
  <c r="BE1350" i="4"/>
  <c r="BF1351" i="4" l="1"/>
  <c r="BE1351" i="4"/>
  <c r="BB1353" i="4"/>
  <c r="BA1354" i="4" s="1"/>
  <c r="BD1353" i="4"/>
  <c r="BC1352" i="4"/>
  <c r="BG1352" i="4"/>
  <c r="BB1354" i="4" l="1"/>
  <c r="BA1355" i="4" s="1"/>
  <c r="BD1354" i="4"/>
  <c r="BF1352" i="4"/>
  <c r="BE1352" i="4"/>
  <c r="BC1353" i="4"/>
  <c r="BG1353" i="4"/>
  <c r="BB1355" i="4" l="1"/>
  <c r="BA1356" i="4" s="1"/>
  <c r="BD1355" i="4"/>
  <c r="BG1354" i="4"/>
  <c r="BC1354" i="4"/>
  <c r="BF1353" i="4"/>
  <c r="BE1353" i="4"/>
  <c r="BE1354" i="4" l="1"/>
  <c r="BF1354" i="4"/>
  <c r="BG1355" i="4"/>
  <c r="BC1355" i="4"/>
  <c r="BD1356" i="4"/>
  <c r="BB1356" i="4"/>
  <c r="BA1357" i="4" s="1"/>
  <c r="BB1357" i="4" l="1"/>
  <c r="BA1358" i="4" s="1"/>
  <c r="BD1357" i="4"/>
  <c r="BC1356" i="4"/>
  <c r="BG1356" i="4"/>
  <c r="BF1355" i="4"/>
  <c r="BE1355" i="4"/>
  <c r="BB1358" i="4" l="1"/>
  <c r="BA1359" i="4" s="1"/>
  <c r="BD1358" i="4"/>
  <c r="BE1356" i="4"/>
  <c r="BF1356" i="4"/>
  <c r="BC1357" i="4"/>
  <c r="BG1357" i="4"/>
  <c r="BF1357" i="4" l="1"/>
  <c r="BE1357" i="4"/>
  <c r="BG1358" i="4"/>
  <c r="BC1358" i="4"/>
  <c r="BB1359" i="4"/>
  <c r="BA1360" i="4" s="1"/>
  <c r="BD1359" i="4"/>
  <c r="BG1359" i="4" l="1"/>
  <c r="BC1359" i="4"/>
  <c r="BD1360" i="4"/>
  <c r="BB1360" i="4"/>
  <c r="BA1361" i="4" s="1"/>
  <c r="BE1358" i="4"/>
  <c r="BF1358" i="4"/>
  <c r="BB1361" i="4" l="1"/>
  <c r="BA1362" i="4" s="1"/>
  <c r="BD1361" i="4"/>
  <c r="BC1360" i="4"/>
  <c r="BG1360" i="4"/>
  <c r="BF1359" i="4"/>
  <c r="BE1359" i="4"/>
  <c r="BC1361" i="4" l="1"/>
  <c r="BG1361" i="4"/>
  <c r="BD1362" i="4"/>
  <c r="BB1362" i="4"/>
  <c r="BA1363" i="4" s="1"/>
  <c r="BF1360" i="4"/>
  <c r="BE1360" i="4"/>
  <c r="BD1363" i="4" l="1"/>
  <c r="BB1363" i="4"/>
  <c r="BA1364" i="4" s="1"/>
  <c r="BG1362" i="4"/>
  <c r="BC1362" i="4"/>
  <c r="BF1361" i="4"/>
  <c r="BE1361" i="4"/>
  <c r="BD1364" i="4" l="1"/>
  <c r="BB1364" i="4"/>
  <c r="BA1365" i="4" s="1"/>
  <c r="BE1362" i="4"/>
  <c r="BF1362" i="4"/>
  <c r="BG1363" i="4"/>
  <c r="BC1363" i="4"/>
  <c r="BB1365" i="4" l="1"/>
  <c r="BA1366" i="4" s="1"/>
  <c r="BD1365" i="4"/>
  <c r="BE1363" i="4"/>
  <c r="BF1363" i="4"/>
  <c r="BG1364" i="4"/>
  <c r="BC1364" i="4"/>
  <c r="BB1366" i="4" l="1"/>
  <c r="BA1367" i="4" s="1"/>
  <c r="BD1366" i="4"/>
  <c r="BF1364" i="4"/>
  <c r="BE1364" i="4"/>
  <c r="BC1365" i="4"/>
  <c r="BG1365" i="4"/>
  <c r="BF1365" i="4" l="1"/>
  <c r="BE1365" i="4"/>
  <c r="BC1366" i="4"/>
  <c r="BG1366" i="4"/>
  <c r="BD1367" i="4"/>
  <c r="BB1367" i="4"/>
  <c r="BA1368" i="4" s="1"/>
  <c r="BD1368" i="4" l="1"/>
  <c r="BB1368" i="4"/>
  <c r="BA1369" i="4" s="1"/>
  <c r="BG1367" i="4"/>
  <c r="BC1367" i="4"/>
  <c r="BF1366" i="4"/>
  <c r="BE1366" i="4"/>
  <c r="BE1367" i="4" l="1"/>
  <c r="BF1367" i="4"/>
  <c r="BB1369" i="4"/>
  <c r="BA1370" i="4" s="1"/>
  <c r="BD1369" i="4"/>
  <c r="BG1368" i="4"/>
  <c r="BC1368" i="4"/>
  <c r="BF1368" i="4" l="1"/>
  <c r="BE1368" i="4"/>
  <c r="BC1369" i="4"/>
  <c r="BG1369" i="4"/>
  <c r="BD1370" i="4"/>
  <c r="BB1370" i="4"/>
  <c r="BA1371" i="4" s="1"/>
  <c r="BD1371" i="4" l="1"/>
  <c r="BB1371" i="4"/>
  <c r="BA1372" i="4" s="1"/>
  <c r="BC1370" i="4"/>
  <c r="BG1370" i="4"/>
  <c r="BE1369" i="4"/>
  <c r="BF1369" i="4"/>
  <c r="BD1372" i="4" l="1"/>
  <c r="BB1372" i="4"/>
  <c r="BA1373" i="4" s="1"/>
  <c r="BE1370" i="4"/>
  <c r="BF1370" i="4"/>
  <c r="BC1371" i="4"/>
  <c r="BG1371" i="4"/>
  <c r="BE1371" i="4" l="1"/>
  <c r="BF1371" i="4"/>
  <c r="BD1373" i="4"/>
  <c r="BB1373" i="4"/>
  <c r="BA1374" i="4" s="1"/>
  <c r="BG1372" i="4"/>
  <c r="BC1372" i="4"/>
  <c r="BE1372" i="4" l="1"/>
  <c r="BF1372" i="4"/>
  <c r="BC1373" i="4"/>
  <c r="BG1373" i="4"/>
  <c r="BD1374" i="4"/>
  <c r="BB1374" i="4"/>
  <c r="BA1375" i="4" s="1"/>
  <c r="BB1375" i="4" l="1"/>
  <c r="BA1376" i="4" s="1"/>
  <c r="BD1375" i="4"/>
  <c r="BG1374" i="4"/>
  <c r="BC1374" i="4"/>
  <c r="BF1373" i="4"/>
  <c r="BE1373" i="4"/>
  <c r="BG1375" i="4" l="1"/>
  <c r="BC1375" i="4"/>
  <c r="BD1376" i="4"/>
  <c r="BB1376" i="4"/>
  <c r="BA1377" i="4" s="1"/>
  <c r="BE1374" i="4"/>
  <c r="BF1374" i="4"/>
  <c r="BG1376" i="4" l="1"/>
  <c r="BC1376" i="4"/>
  <c r="BF1375" i="4"/>
  <c r="BE1375" i="4"/>
  <c r="BB1377" i="4"/>
  <c r="BA1378" i="4" s="1"/>
  <c r="BD1377" i="4"/>
  <c r="BB1378" i="4" l="1"/>
  <c r="BA1379" i="4" s="1"/>
  <c r="BD1378" i="4"/>
  <c r="BF1376" i="4"/>
  <c r="BE1376" i="4"/>
  <c r="BC1377" i="4"/>
  <c r="BG1377" i="4"/>
  <c r="BD1379" i="4" l="1"/>
  <c r="BB1379" i="4"/>
  <c r="BA1380" i="4" s="1"/>
  <c r="BF1377" i="4"/>
  <c r="BE1377" i="4"/>
  <c r="BC1378" i="4"/>
  <c r="BG1378" i="4"/>
  <c r="BD1380" i="4" l="1"/>
  <c r="BB1380" i="4"/>
  <c r="BA1381" i="4" s="1"/>
  <c r="BF1378" i="4"/>
  <c r="BE1378" i="4"/>
  <c r="BC1379" i="4"/>
  <c r="BG1379" i="4"/>
  <c r="BB1381" i="4" l="1"/>
  <c r="BA1382" i="4" s="1"/>
  <c r="BD1381" i="4"/>
  <c r="BE1379" i="4"/>
  <c r="BF1379" i="4"/>
  <c r="BG1380" i="4"/>
  <c r="BC1380" i="4"/>
  <c r="BC1381" i="4" l="1"/>
  <c r="BG1381" i="4"/>
  <c r="BB1382" i="4"/>
  <c r="BA1383" i="4" s="1"/>
  <c r="BD1382" i="4"/>
  <c r="BE1380" i="4"/>
  <c r="BF1380" i="4"/>
  <c r="BC1382" i="4" l="1"/>
  <c r="BG1382" i="4"/>
  <c r="BB1383" i="4"/>
  <c r="BA1384" i="4" s="1"/>
  <c r="BD1383" i="4"/>
  <c r="BE1381" i="4"/>
  <c r="BF1381" i="4"/>
  <c r="BG1383" i="4" l="1"/>
  <c r="BC1383" i="4"/>
  <c r="BD1384" i="4"/>
  <c r="BB1384" i="4"/>
  <c r="BA1385" i="4" s="1"/>
  <c r="BF1382" i="4"/>
  <c r="BE1382" i="4"/>
  <c r="BG1384" i="4" l="1"/>
  <c r="BC1384" i="4"/>
  <c r="BF1383" i="4"/>
  <c r="BE1383" i="4"/>
  <c r="BB1385" i="4"/>
  <c r="BA1386" i="4" s="1"/>
  <c r="BD1385" i="4"/>
  <c r="BB1386" i="4" l="1"/>
  <c r="BA1387" i="4" s="1"/>
  <c r="BD1386" i="4"/>
  <c r="BE1384" i="4"/>
  <c r="BF1384" i="4"/>
  <c r="BC1385" i="4"/>
  <c r="BG1385" i="4"/>
  <c r="BB1387" i="4" l="1"/>
  <c r="BA1388" i="4" s="1"/>
  <c r="BD1387" i="4"/>
  <c r="BE1385" i="4"/>
  <c r="BF1385" i="4"/>
  <c r="BC1386" i="4"/>
  <c r="BG1386" i="4"/>
  <c r="BC1387" i="4" l="1"/>
  <c r="BG1387" i="4"/>
  <c r="BE1386" i="4"/>
  <c r="BF1386" i="4"/>
  <c r="BD1388" i="4"/>
  <c r="BB1388" i="4"/>
  <c r="BA1389" i="4" s="1"/>
  <c r="BB1389" i="4" l="1"/>
  <c r="BA1390" i="4" s="1"/>
  <c r="BD1389" i="4"/>
  <c r="BG1388" i="4"/>
  <c r="BC1388" i="4"/>
  <c r="BF1387" i="4"/>
  <c r="BE1387" i="4"/>
  <c r="BC1389" i="4" l="1"/>
  <c r="BG1389" i="4"/>
  <c r="BE1388" i="4"/>
  <c r="BF1388" i="4"/>
  <c r="BD1390" i="4"/>
  <c r="BB1390" i="4"/>
  <c r="BA1391" i="4" s="1"/>
  <c r="BB1391" i="4" l="1"/>
  <c r="BA1392" i="4" s="1"/>
  <c r="BD1391" i="4"/>
  <c r="BG1390" i="4"/>
  <c r="BC1390" i="4"/>
  <c r="BE1389" i="4"/>
  <c r="BF1389" i="4"/>
  <c r="BF1390" i="4" l="1"/>
  <c r="BE1390" i="4"/>
  <c r="BG1391" i="4"/>
  <c r="BC1391" i="4"/>
  <c r="BD1392" i="4"/>
  <c r="BB1392" i="4"/>
  <c r="BA1393" i="4" s="1"/>
  <c r="BB1393" i="4" l="1"/>
  <c r="BA1394" i="4" s="1"/>
  <c r="BD1393" i="4"/>
  <c r="BF1391" i="4"/>
  <c r="BE1391" i="4"/>
  <c r="BG1392" i="4"/>
  <c r="BC1392" i="4"/>
  <c r="BF1392" i="4" l="1"/>
  <c r="BE1392" i="4"/>
  <c r="BD1394" i="4"/>
  <c r="BB1394" i="4"/>
  <c r="BA1395" i="4" s="1"/>
  <c r="BC1393" i="4"/>
  <c r="BG1393" i="4"/>
  <c r="BD1395" i="4" l="1"/>
  <c r="BB1395" i="4"/>
  <c r="BA1396" i="4" s="1"/>
  <c r="BE1393" i="4"/>
  <c r="BF1393" i="4"/>
  <c r="BC1394" i="4"/>
  <c r="BG1394" i="4"/>
  <c r="BD1396" i="4" l="1"/>
  <c r="BB1396" i="4"/>
  <c r="BA1397" i="4" s="1"/>
  <c r="BC1395" i="4"/>
  <c r="BG1395" i="4"/>
  <c r="BE1394" i="4"/>
  <c r="BF1394" i="4"/>
  <c r="BB1397" i="4" l="1"/>
  <c r="BA1398" i="4" s="1"/>
  <c r="BD1397" i="4"/>
  <c r="BE1395" i="4"/>
  <c r="BF1395" i="4"/>
  <c r="BG1396" i="4"/>
  <c r="BC1396" i="4"/>
  <c r="BD1398" i="4" l="1"/>
  <c r="BB1398" i="4"/>
  <c r="BA1399" i="4" s="1"/>
  <c r="BE1396" i="4"/>
  <c r="BF1396" i="4"/>
  <c r="BC1397" i="4"/>
  <c r="BG1397" i="4"/>
  <c r="BB1399" i="4" l="1"/>
  <c r="BA1400" i="4" s="1"/>
  <c r="BD1399" i="4"/>
  <c r="BE1397" i="4"/>
  <c r="BF1397" i="4"/>
  <c r="BC1398" i="4"/>
  <c r="BG1398" i="4"/>
  <c r="BG1399" i="4" l="1"/>
  <c r="BC1399" i="4"/>
  <c r="BD1400" i="4"/>
  <c r="BB1400" i="4"/>
  <c r="BA1401" i="4" s="1"/>
  <c r="BE1398" i="4"/>
  <c r="BF1398" i="4"/>
  <c r="BD1401" i="4" l="1"/>
  <c r="BB1401" i="4"/>
  <c r="BA1402" i="4" s="1"/>
  <c r="BC1400" i="4"/>
  <c r="BG1400" i="4"/>
  <c r="BE1399" i="4"/>
  <c r="BF1399" i="4"/>
  <c r="BB1402" i="4" l="1"/>
  <c r="BA1403" i="4" s="1"/>
  <c r="BD1402" i="4"/>
  <c r="BE1400" i="4"/>
  <c r="BF1400" i="4"/>
  <c r="BC1401" i="4"/>
  <c r="BG1401" i="4"/>
  <c r="BD1403" i="4" l="1"/>
  <c r="BB1403" i="4"/>
  <c r="BA1404" i="4" s="1"/>
  <c r="BC1402" i="4"/>
  <c r="BG1402" i="4"/>
  <c r="BE1401" i="4"/>
  <c r="BF1401" i="4"/>
  <c r="BD1404" i="4" l="1"/>
  <c r="BB1404" i="4"/>
  <c r="BA1405" i="4" s="1"/>
  <c r="BE1402" i="4"/>
  <c r="BF1402" i="4"/>
  <c r="BC1403" i="4"/>
  <c r="BG1403" i="4"/>
  <c r="BF1403" i="4" l="1"/>
  <c r="BE1403" i="4"/>
  <c r="BD1405" i="4"/>
  <c r="BB1405" i="4"/>
  <c r="BA1406" i="4" s="1"/>
  <c r="BG1404" i="4"/>
  <c r="BC1404" i="4"/>
  <c r="BC1405" i="4" l="1"/>
  <c r="BG1405" i="4"/>
  <c r="BF1404" i="4"/>
  <c r="BE1404" i="4"/>
  <c r="BB1406" i="4"/>
  <c r="BA1407" i="4" s="1"/>
  <c r="BD1406" i="4"/>
  <c r="BB1407" i="4" l="1"/>
  <c r="BA1408" i="4" s="1"/>
  <c r="BD1407" i="4"/>
  <c r="BG1406" i="4"/>
  <c r="BC1406" i="4"/>
  <c r="BF1405" i="4"/>
  <c r="BE1405" i="4"/>
  <c r="BG1407" i="4" l="1"/>
  <c r="BC1407" i="4"/>
  <c r="BF1406" i="4"/>
  <c r="BE1406" i="4"/>
  <c r="BD1408" i="4"/>
  <c r="BB1408" i="4"/>
  <c r="BA1409" i="4" s="1"/>
  <c r="BB1409" i="4" l="1"/>
  <c r="BA1410" i="4" s="1"/>
  <c r="BD1409" i="4"/>
  <c r="BE1407" i="4"/>
  <c r="BF1407" i="4"/>
  <c r="BG1408" i="4"/>
  <c r="BC1408" i="4"/>
  <c r="BD1410" i="4" l="1"/>
  <c r="BB1410" i="4"/>
  <c r="BA1411" i="4" s="1"/>
  <c r="BE1408" i="4"/>
  <c r="BF1408" i="4"/>
  <c r="BC1409" i="4"/>
  <c r="BG1409" i="4"/>
  <c r="BD1411" i="4" l="1"/>
  <c r="BB1411" i="4"/>
  <c r="BA1412" i="4" s="1"/>
  <c r="BC1410" i="4"/>
  <c r="BG1410" i="4"/>
  <c r="BF1409" i="4"/>
  <c r="BE1409" i="4"/>
  <c r="BB1412" i="4" l="1"/>
  <c r="BA1413" i="4" s="1"/>
  <c r="BD1412" i="4"/>
  <c r="BE1410" i="4"/>
  <c r="BF1410" i="4"/>
  <c r="BC1411" i="4"/>
  <c r="BG1411" i="4"/>
  <c r="BG1412" i="4" l="1"/>
  <c r="BC1412" i="4"/>
  <c r="BB1413" i="4"/>
  <c r="BA1414" i="4" s="1"/>
  <c r="BD1413" i="4"/>
  <c r="BE1411" i="4"/>
  <c r="BF1411" i="4"/>
  <c r="BE1412" i="4" l="1"/>
  <c r="BF1412" i="4"/>
  <c r="BC1413" i="4"/>
  <c r="BG1413" i="4"/>
  <c r="BD1414" i="4"/>
  <c r="BB1414" i="4"/>
  <c r="BA1415" i="4" s="1"/>
  <c r="BD1415" i="4" l="1"/>
  <c r="BB1415" i="4"/>
  <c r="BA1416" i="4" s="1"/>
  <c r="BE1413" i="4"/>
  <c r="BF1413" i="4"/>
  <c r="BG1414" i="4"/>
  <c r="BC1414" i="4"/>
  <c r="BB1416" i="4" l="1"/>
  <c r="BA1417" i="4" s="1"/>
  <c r="BD1416" i="4"/>
  <c r="BG1415" i="4"/>
  <c r="BC1415" i="4"/>
  <c r="BF1414" i="4"/>
  <c r="BE1414" i="4"/>
  <c r="BE1415" i="4" l="1"/>
  <c r="BF1415" i="4"/>
  <c r="BG1416" i="4"/>
  <c r="BC1416" i="4"/>
  <c r="BB1417" i="4"/>
  <c r="BA1418" i="4" s="1"/>
  <c r="BD1417" i="4"/>
  <c r="BB1418" i="4" l="1"/>
  <c r="BA1419" i="4" s="1"/>
  <c r="BD1418" i="4"/>
  <c r="BC1417" i="4"/>
  <c r="BG1417" i="4"/>
  <c r="BE1416" i="4"/>
  <c r="BF1416" i="4"/>
  <c r="BB1419" i="4" l="1"/>
  <c r="BA1420" i="4" s="1"/>
  <c r="BD1419" i="4"/>
  <c r="BC1418" i="4"/>
  <c r="BG1418" i="4"/>
  <c r="BE1417" i="4"/>
  <c r="BF1417" i="4"/>
  <c r="BC1419" i="4" l="1"/>
  <c r="BG1419" i="4"/>
  <c r="BF1418" i="4"/>
  <c r="BE1418" i="4"/>
  <c r="BB1420" i="4"/>
  <c r="BA1421" i="4" s="1"/>
  <c r="BD1420" i="4"/>
  <c r="BG1420" i="4" l="1"/>
  <c r="BC1420" i="4"/>
  <c r="BD1421" i="4"/>
  <c r="BB1421" i="4"/>
  <c r="BA1422" i="4" s="1"/>
  <c r="BE1419" i="4"/>
  <c r="BF1419" i="4"/>
  <c r="BC1421" i="4" l="1"/>
  <c r="BG1421" i="4"/>
  <c r="BF1420" i="4"/>
  <c r="BE1420" i="4"/>
  <c r="BD1422" i="4"/>
  <c r="BB1422" i="4"/>
  <c r="BA1423" i="4" s="1"/>
  <c r="BD1423" i="4" l="1"/>
  <c r="BB1423" i="4"/>
  <c r="BA1424" i="4" s="1"/>
  <c r="BG1422" i="4"/>
  <c r="BC1422" i="4"/>
  <c r="BE1421" i="4"/>
  <c r="BF1421" i="4"/>
  <c r="BD1424" i="4" l="1"/>
  <c r="BB1424" i="4"/>
  <c r="BA1425" i="4" s="1"/>
  <c r="BE1422" i="4"/>
  <c r="BF1422" i="4"/>
  <c r="BG1423" i="4"/>
  <c r="BC1423" i="4"/>
  <c r="BB1425" i="4" l="1"/>
  <c r="BA1426" i="4" s="1"/>
  <c r="BD1425" i="4"/>
  <c r="BE1423" i="4"/>
  <c r="BF1423" i="4"/>
  <c r="BG1424" i="4"/>
  <c r="BC1424" i="4"/>
  <c r="BF1424" i="4" l="1"/>
  <c r="BE1424" i="4"/>
  <c r="BD1426" i="4"/>
  <c r="BB1426" i="4"/>
  <c r="BA1427" i="4" s="1"/>
  <c r="BC1425" i="4"/>
  <c r="BG1425" i="4"/>
  <c r="BC1426" i="4" l="1"/>
  <c r="BG1426" i="4"/>
  <c r="BF1425" i="4"/>
  <c r="BE1425" i="4"/>
  <c r="BB1427" i="4"/>
  <c r="BA1428" i="4" s="1"/>
  <c r="BD1427" i="4"/>
  <c r="BD1428" i="4" l="1"/>
  <c r="BB1428" i="4"/>
  <c r="BA1429" i="4" s="1"/>
  <c r="BC1427" i="4"/>
  <c r="BG1427" i="4"/>
  <c r="BF1426" i="4"/>
  <c r="BE1426" i="4"/>
  <c r="BD1429" i="4" l="1"/>
  <c r="BB1429" i="4"/>
  <c r="BA1430" i="4" s="1"/>
  <c r="BE1427" i="4"/>
  <c r="BF1427" i="4"/>
  <c r="BG1428" i="4"/>
  <c r="BC1428" i="4"/>
  <c r="BD1430" i="4" l="1"/>
  <c r="BB1430" i="4"/>
  <c r="BA1431" i="4" s="1"/>
  <c r="BE1428" i="4"/>
  <c r="BF1428" i="4"/>
  <c r="BC1429" i="4"/>
  <c r="BG1429" i="4"/>
  <c r="BE1429" i="4" l="1"/>
  <c r="BF1429" i="4"/>
  <c r="BD1431" i="4"/>
  <c r="BB1431" i="4"/>
  <c r="BA1432" i="4" s="1"/>
  <c r="BG1430" i="4"/>
  <c r="BC1430" i="4"/>
  <c r="BD1432" i="4" l="1"/>
  <c r="BB1432" i="4"/>
  <c r="BA1433" i="4" s="1"/>
  <c r="BF1430" i="4"/>
  <c r="BE1430" i="4"/>
  <c r="BG1431" i="4"/>
  <c r="BC1431" i="4"/>
  <c r="BF1431" i="4" l="1"/>
  <c r="BE1431" i="4"/>
  <c r="BB1433" i="4"/>
  <c r="BA1434" i="4" s="1"/>
  <c r="BD1433" i="4"/>
  <c r="BG1432" i="4"/>
  <c r="BC1432" i="4"/>
  <c r="BD1434" i="4" l="1"/>
  <c r="BB1434" i="4"/>
  <c r="BA1435" i="4" s="1"/>
  <c r="BC1433" i="4"/>
  <c r="BG1433" i="4"/>
  <c r="BE1432" i="4"/>
  <c r="BF1432" i="4"/>
  <c r="BD1435" i="4" l="1"/>
  <c r="BB1435" i="4"/>
  <c r="BA1436" i="4" s="1"/>
  <c r="BE1433" i="4"/>
  <c r="BF1433" i="4"/>
  <c r="BC1434" i="4"/>
  <c r="BG1434" i="4"/>
  <c r="BD1436" i="4" l="1"/>
  <c r="BB1436" i="4"/>
  <c r="BA1437" i="4" s="1"/>
  <c r="BE1434" i="4"/>
  <c r="BF1434" i="4"/>
  <c r="BC1435" i="4"/>
  <c r="BG1435" i="4"/>
  <c r="BB1437" i="4" l="1"/>
  <c r="BA1438" i="4" s="1"/>
  <c r="BD1437" i="4"/>
  <c r="BE1435" i="4"/>
  <c r="BF1435" i="4"/>
  <c r="BG1436" i="4"/>
  <c r="BC1436" i="4"/>
  <c r="BC1437" i="4" l="1"/>
  <c r="BG1437" i="4"/>
  <c r="BE1436" i="4"/>
  <c r="BF1436" i="4"/>
  <c r="BD1438" i="4"/>
  <c r="BB1438" i="4"/>
  <c r="BA1439" i="4" s="1"/>
  <c r="BB1439" i="4" l="1"/>
  <c r="BA1440" i="4" s="1"/>
  <c r="BD1439" i="4"/>
  <c r="BG1438" i="4"/>
  <c r="BC1438" i="4"/>
  <c r="BE1437" i="4"/>
  <c r="BF1437" i="4"/>
  <c r="BF1438" i="4" l="1"/>
  <c r="BE1438" i="4"/>
  <c r="BG1439" i="4"/>
  <c r="BC1439" i="4"/>
  <c r="BD1440" i="4"/>
  <c r="BB1440" i="4"/>
  <c r="BA1441" i="4" s="1"/>
  <c r="BB1441" i="4" l="1"/>
  <c r="BA1442" i="4" s="1"/>
  <c r="BD1441" i="4"/>
  <c r="BG1440" i="4"/>
  <c r="BC1440" i="4"/>
  <c r="BE1439" i="4"/>
  <c r="BF1439" i="4"/>
  <c r="BD1442" i="4" l="1"/>
  <c r="BB1442" i="4"/>
  <c r="BA1443" i="4" s="1"/>
  <c r="BF1440" i="4"/>
  <c r="BE1440" i="4"/>
  <c r="BC1441" i="4"/>
  <c r="BG1441" i="4"/>
  <c r="BB1443" i="4" l="1"/>
  <c r="BA1444" i="4" s="1"/>
  <c r="BD1443" i="4"/>
  <c r="BC1442" i="4"/>
  <c r="BG1442" i="4"/>
  <c r="BF1441" i="4"/>
  <c r="BE1441" i="4"/>
  <c r="BD1444" i="4" l="1"/>
  <c r="BB1444" i="4"/>
  <c r="BA1445" i="4" s="1"/>
  <c r="BE1442" i="4"/>
  <c r="BF1442" i="4"/>
  <c r="BC1443" i="4"/>
  <c r="BG1443" i="4"/>
  <c r="BB1445" i="4" l="1"/>
  <c r="BA1446" i="4" s="1"/>
  <c r="BD1445" i="4"/>
  <c r="BE1443" i="4"/>
  <c r="BF1443" i="4"/>
  <c r="BC1444" i="4"/>
  <c r="BG1444" i="4"/>
  <c r="BG1445" i="4" l="1"/>
  <c r="BC1445" i="4"/>
  <c r="BF1444" i="4"/>
  <c r="BE1444" i="4"/>
  <c r="BB1446" i="4"/>
  <c r="BA1447" i="4" s="1"/>
  <c r="BD1446" i="4"/>
  <c r="BG1446" i="4" l="1"/>
  <c r="BC1446" i="4"/>
  <c r="BD1447" i="4"/>
  <c r="BB1447" i="4"/>
  <c r="BA1448" i="4" s="1"/>
  <c r="BE1445" i="4"/>
  <c r="BF1445" i="4"/>
  <c r="BD1448" i="4" l="1"/>
  <c r="BB1448" i="4"/>
  <c r="BA1449" i="4" s="1"/>
  <c r="BF1446" i="4"/>
  <c r="BE1446" i="4"/>
  <c r="BG1447" i="4"/>
  <c r="BC1447" i="4"/>
  <c r="BB1449" i="4" l="1"/>
  <c r="BA1450" i="4" s="1"/>
  <c r="BD1449" i="4"/>
  <c r="BE1447" i="4"/>
  <c r="BF1447" i="4"/>
  <c r="BG1448" i="4"/>
  <c r="BC1448" i="4"/>
  <c r="BB1450" i="4" l="1"/>
  <c r="BA1451" i="4" s="1"/>
  <c r="BD1450" i="4"/>
  <c r="BC1449" i="4"/>
  <c r="BG1449" i="4"/>
  <c r="BF1448" i="4"/>
  <c r="BE1448" i="4"/>
  <c r="BB1451" i="4" l="1"/>
  <c r="BA1452" i="4" s="1"/>
  <c r="BD1451" i="4"/>
  <c r="BC1450" i="4"/>
  <c r="BG1450" i="4"/>
  <c r="BF1449" i="4"/>
  <c r="BE1449" i="4"/>
  <c r="BE1450" i="4" l="1"/>
  <c r="BF1450" i="4"/>
  <c r="BC1451" i="4"/>
  <c r="BG1451" i="4"/>
  <c r="BD1452" i="4"/>
  <c r="BB1452" i="4"/>
  <c r="BA1453" i="4" s="1"/>
  <c r="BB1453" i="4" l="1"/>
  <c r="BA1454" i="4" s="1"/>
  <c r="BD1453" i="4"/>
  <c r="BE1451" i="4"/>
  <c r="BF1451" i="4"/>
  <c r="BG1452" i="4"/>
  <c r="BC1452" i="4"/>
  <c r="BC1453" i="4" l="1"/>
  <c r="BG1453" i="4"/>
  <c r="BD1454" i="4"/>
  <c r="BB1454" i="4"/>
  <c r="BA1455" i="4" s="1"/>
  <c r="BE1452" i="4"/>
  <c r="BF1452" i="4"/>
  <c r="BD1455" i="4" l="1"/>
  <c r="BB1455" i="4"/>
  <c r="BA1456" i="4" s="1"/>
  <c r="BG1454" i="4"/>
  <c r="BC1454" i="4"/>
  <c r="BE1453" i="4"/>
  <c r="BF1453" i="4"/>
  <c r="BB1456" i="4" l="1"/>
  <c r="BA1457" i="4" s="1"/>
  <c r="BD1456" i="4"/>
  <c r="BF1454" i="4"/>
  <c r="BE1454" i="4"/>
  <c r="BG1455" i="4"/>
  <c r="BC1455" i="4"/>
  <c r="BG1456" i="4" l="1"/>
  <c r="BC1456" i="4"/>
  <c r="BB1457" i="4"/>
  <c r="BA1458" i="4" s="1"/>
  <c r="BD1457" i="4"/>
  <c r="BE1455" i="4"/>
  <c r="BF1455" i="4"/>
  <c r="BD1458" i="4" l="1"/>
  <c r="BB1458" i="4"/>
  <c r="BA1459" i="4" s="1"/>
  <c r="BC1457" i="4"/>
  <c r="BG1457" i="4"/>
  <c r="BF1456" i="4"/>
  <c r="BE1456" i="4"/>
  <c r="BB1459" i="4" l="1"/>
  <c r="BA1460" i="4" s="1"/>
  <c r="BD1459" i="4"/>
  <c r="BE1457" i="4"/>
  <c r="BF1457" i="4"/>
  <c r="BC1458" i="4"/>
  <c r="BG1458" i="4"/>
  <c r="BB1460" i="4" l="1"/>
  <c r="BA1461" i="4" s="1"/>
  <c r="BD1460" i="4"/>
  <c r="BE1458" i="4"/>
  <c r="BF1458" i="4"/>
  <c r="BC1459" i="4"/>
  <c r="BG1459" i="4"/>
  <c r="BE1459" i="4" l="1"/>
  <c r="BF1459" i="4"/>
  <c r="BG1460" i="4"/>
  <c r="BC1460" i="4"/>
  <c r="BB1461" i="4"/>
  <c r="BA1462" i="4" s="1"/>
  <c r="BD1461" i="4"/>
  <c r="BD1462" i="4" l="1"/>
  <c r="BB1462" i="4"/>
  <c r="BA1463" i="4" s="1"/>
  <c r="BC1461" i="4"/>
  <c r="BG1461" i="4"/>
  <c r="BF1460" i="4"/>
  <c r="BE1460" i="4"/>
  <c r="BB1463" i="4" l="1"/>
  <c r="BA1464" i="4" s="1"/>
  <c r="BD1463" i="4"/>
  <c r="BE1461" i="4"/>
  <c r="BF1461" i="4"/>
  <c r="BG1462" i="4"/>
  <c r="BC1462" i="4"/>
  <c r="BG1463" i="4" l="1"/>
  <c r="BC1463" i="4"/>
  <c r="BE1462" i="4"/>
  <c r="BF1462" i="4"/>
  <c r="BD1464" i="4"/>
  <c r="BB1464" i="4"/>
  <c r="BA1465" i="4" s="1"/>
  <c r="BB1465" i="4" l="1"/>
  <c r="BA1466" i="4" s="1"/>
  <c r="BD1465" i="4"/>
  <c r="BG1464" i="4"/>
  <c r="BC1464" i="4"/>
  <c r="BE1463" i="4"/>
  <c r="BF1463" i="4"/>
  <c r="BB1466" i="4" l="1"/>
  <c r="BA1467" i="4" s="1"/>
  <c r="BD1466" i="4"/>
  <c r="BC1465" i="4"/>
  <c r="BG1465" i="4"/>
  <c r="BF1464" i="4"/>
  <c r="BE1464" i="4"/>
  <c r="BB1467" i="4" l="1"/>
  <c r="BA1468" i="4" s="1"/>
  <c r="BD1467" i="4"/>
  <c r="BF1465" i="4"/>
  <c r="BE1465" i="4"/>
  <c r="BC1466" i="4"/>
  <c r="BG1466" i="4"/>
  <c r="BD1468" i="4" l="1"/>
  <c r="BB1468" i="4"/>
  <c r="BA1469" i="4" s="1"/>
  <c r="BC1467" i="4"/>
  <c r="BG1467" i="4"/>
  <c r="BE1466" i="4"/>
  <c r="BF1466" i="4"/>
  <c r="BB1469" i="4" l="1"/>
  <c r="BA1470" i="4" s="1"/>
  <c r="BD1469" i="4"/>
  <c r="BE1467" i="4"/>
  <c r="BF1467" i="4"/>
  <c r="BG1468" i="4"/>
  <c r="BC1468" i="4"/>
  <c r="BC1469" i="4" l="1"/>
  <c r="BG1469" i="4"/>
  <c r="BF1468" i="4"/>
  <c r="BE1468" i="4"/>
  <c r="BD1470" i="4"/>
  <c r="BB1470" i="4"/>
  <c r="BA1471" i="4" s="1"/>
  <c r="BD1471" i="4" l="1"/>
  <c r="BB1471" i="4"/>
  <c r="BA1472" i="4" s="1"/>
  <c r="BC1470" i="4"/>
  <c r="BG1470" i="4"/>
  <c r="BE1469" i="4"/>
  <c r="BF1469" i="4"/>
  <c r="BE1470" i="4" l="1"/>
  <c r="BF1470" i="4"/>
  <c r="BD1472" i="4"/>
  <c r="BB1472" i="4"/>
  <c r="BA1473" i="4" s="1"/>
  <c r="BG1471" i="4"/>
  <c r="BC1471" i="4"/>
  <c r="BD1473" i="4" l="1"/>
  <c r="BB1473" i="4"/>
  <c r="BA1474" i="4" s="1"/>
  <c r="BG1472" i="4"/>
  <c r="BC1472" i="4"/>
  <c r="BF1471" i="4"/>
  <c r="BE1471" i="4"/>
  <c r="BF1472" i="4" l="1"/>
  <c r="BE1472" i="4"/>
  <c r="BD1474" i="4"/>
  <c r="BB1474" i="4"/>
  <c r="BA1475" i="4" s="1"/>
  <c r="BC1473" i="4"/>
  <c r="BG1473" i="4"/>
  <c r="BD1475" i="4" l="1"/>
  <c r="BB1475" i="4"/>
  <c r="BA1476" i="4" s="1"/>
  <c r="BC1474" i="4"/>
  <c r="BG1474" i="4"/>
  <c r="BF1473" i="4"/>
  <c r="BE1473" i="4"/>
  <c r="BB1476" i="4" l="1"/>
  <c r="BA1477" i="4" s="1"/>
  <c r="BD1476" i="4"/>
  <c r="BF1474" i="4"/>
  <c r="BE1474" i="4"/>
  <c r="BC1475" i="4"/>
  <c r="BG1475" i="4"/>
  <c r="BC1476" i="4" l="1"/>
  <c r="BG1476" i="4"/>
  <c r="BD1477" i="4"/>
  <c r="BB1477" i="4"/>
  <c r="BA1478" i="4" s="1"/>
  <c r="BE1475" i="4"/>
  <c r="BF1475" i="4"/>
  <c r="BC1477" i="4" l="1"/>
  <c r="BG1477" i="4"/>
  <c r="BB1478" i="4"/>
  <c r="BA1479" i="4" s="1"/>
  <c r="BD1478" i="4"/>
  <c r="BF1476" i="4"/>
  <c r="BE1476" i="4"/>
  <c r="BC1478" i="4" l="1"/>
  <c r="BG1478" i="4"/>
  <c r="BD1479" i="4"/>
  <c r="BB1479" i="4"/>
  <c r="BA1480" i="4" s="1"/>
  <c r="BE1477" i="4"/>
  <c r="BF1477" i="4"/>
  <c r="BG1479" i="4" l="1"/>
  <c r="BC1479" i="4"/>
  <c r="BD1480" i="4"/>
  <c r="BB1480" i="4"/>
  <c r="BA1481" i="4" s="1"/>
  <c r="BF1478" i="4"/>
  <c r="BE1478" i="4"/>
  <c r="BB1481" i="4" l="1"/>
  <c r="BA1482" i="4" s="1"/>
  <c r="BD1481" i="4"/>
  <c r="BG1480" i="4"/>
  <c r="BC1480" i="4"/>
  <c r="BF1479" i="4"/>
  <c r="BE1479" i="4"/>
  <c r="BB1482" i="4" l="1"/>
  <c r="BA1483" i="4" s="1"/>
  <c r="BD1482" i="4"/>
  <c r="BF1480" i="4"/>
  <c r="BE1480" i="4"/>
  <c r="BC1481" i="4"/>
  <c r="BG1481" i="4"/>
  <c r="BD1483" i="4" l="1"/>
  <c r="BB1483" i="4"/>
  <c r="BA1484" i="4" s="1"/>
  <c r="BE1481" i="4"/>
  <c r="BF1481" i="4"/>
  <c r="BC1482" i="4"/>
  <c r="BG1482" i="4"/>
  <c r="BD1484" i="4" l="1"/>
  <c r="BB1484" i="4"/>
  <c r="BA1485" i="4" s="1"/>
  <c r="BF1482" i="4"/>
  <c r="BE1482" i="4"/>
  <c r="BC1483" i="4"/>
  <c r="BG1483" i="4"/>
  <c r="BD1485" i="4" l="1"/>
  <c r="BB1485" i="4"/>
  <c r="BA1486" i="4" s="1"/>
  <c r="BE1483" i="4"/>
  <c r="BF1483" i="4"/>
  <c r="BG1484" i="4"/>
  <c r="BC1484" i="4"/>
  <c r="BB1486" i="4" l="1"/>
  <c r="BA1487" i="4" s="1"/>
  <c r="BD1486" i="4"/>
  <c r="BF1484" i="4"/>
  <c r="BE1484" i="4"/>
  <c r="BC1485" i="4"/>
  <c r="BG1485" i="4"/>
  <c r="BC1486" i="4" l="1"/>
  <c r="BG1486" i="4"/>
  <c r="BB1487" i="4"/>
  <c r="BA1488" i="4" s="1"/>
  <c r="BD1487" i="4"/>
  <c r="BF1485" i="4"/>
  <c r="BE1485" i="4"/>
  <c r="BG1487" i="4" l="1"/>
  <c r="BC1487" i="4"/>
  <c r="BD1488" i="4"/>
  <c r="BB1488" i="4"/>
  <c r="BA1489" i="4" s="1"/>
  <c r="BF1486" i="4"/>
  <c r="BE1486" i="4"/>
  <c r="BB1489" i="4" l="1"/>
  <c r="BA1490" i="4" s="1"/>
  <c r="BD1489" i="4"/>
  <c r="BG1488" i="4"/>
  <c r="BC1488" i="4"/>
  <c r="BF1487" i="4"/>
  <c r="BE1487" i="4"/>
  <c r="BE1488" i="4" l="1"/>
  <c r="BF1488" i="4"/>
  <c r="BD1490" i="4"/>
  <c r="BB1490" i="4"/>
  <c r="BA1491" i="4" s="1"/>
  <c r="BC1489" i="4"/>
  <c r="BG1489" i="4"/>
  <c r="BD1491" i="4" l="1"/>
  <c r="BB1491" i="4"/>
  <c r="BA1492" i="4" s="1"/>
  <c r="BE1489" i="4"/>
  <c r="BF1489" i="4"/>
  <c r="BC1490" i="4"/>
  <c r="BG1490" i="4"/>
  <c r="BF1490" i="4" l="1"/>
  <c r="BE1490" i="4"/>
  <c r="BB1492" i="4"/>
  <c r="BA1493" i="4" s="1"/>
  <c r="BD1492" i="4"/>
  <c r="BC1491" i="4"/>
  <c r="BG1491" i="4"/>
  <c r="BF1491" i="4" l="1"/>
  <c r="BE1491" i="4"/>
  <c r="BC1492" i="4"/>
  <c r="BG1492" i="4"/>
  <c r="BB1493" i="4"/>
  <c r="BA1494" i="4" s="1"/>
  <c r="BD1493" i="4"/>
  <c r="BC1493" i="4" l="1"/>
  <c r="BG1493" i="4"/>
  <c r="BB1494" i="4"/>
  <c r="BA1495" i="4" s="1"/>
  <c r="BD1494" i="4"/>
  <c r="BF1492" i="4"/>
  <c r="BE1492" i="4"/>
  <c r="BC1494" i="4" l="1"/>
  <c r="BG1494" i="4"/>
  <c r="BB1495" i="4"/>
  <c r="BA1496" i="4" s="1"/>
  <c r="BD1495" i="4"/>
  <c r="BF1493" i="4"/>
  <c r="BE1493" i="4"/>
  <c r="BG1495" i="4" l="1"/>
  <c r="BC1495" i="4"/>
  <c r="BD1496" i="4"/>
  <c r="BB1496" i="4"/>
  <c r="BA1497" i="4" s="1"/>
  <c r="BE1494" i="4"/>
  <c r="BF1494" i="4"/>
  <c r="BF1495" i="4" l="1"/>
  <c r="BE1495" i="4"/>
  <c r="BB1497" i="4"/>
  <c r="BA1498" i="4" s="1"/>
  <c r="BD1497" i="4"/>
  <c r="BG1496" i="4"/>
  <c r="BC1496" i="4"/>
  <c r="BF1496" i="4" l="1"/>
  <c r="BE1496" i="4"/>
  <c r="BB1498" i="4"/>
  <c r="BA1499" i="4" s="1"/>
  <c r="BD1498" i="4"/>
  <c r="BC1497" i="4"/>
  <c r="BG1497" i="4"/>
  <c r="BD1499" i="4" l="1"/>
  <c r="BB1499" i="4"/>
  <c r="BA1500" i="4" s="1"/>
  <c r="BF1497" i="4"/>
  <c r="BE1497" i="4"/>
  <c r="BC1498" i="4"/>
  <c r="BG1498" i="4"/>
  <c r="BD1500" i="4" l="1"/>
  <c r="BB1500" i="4"/>
  <c r="BA1501" i="4" s="1"/>
  <c r="BE1498" i="4"/>
  <c r="BF1498" i="4"/>
  <c r="BC1499" i="4"/>
  <c r="BG1499" i="4"/>
  <c r="BF1499" i="4" l="1"/>
  <c r="BE1499" i="4"/>
  <c r="BB1501" i="4"/>
  <c r="BA1502" i="4" s="1"/>
  <c r="BD1501" i="4"/>
  <c r="BG1500" i="4"/>
  <c r="BC1500" i="4"/>
  <c r="BC1501" i="4" l="1"/>
  <c r="BG1501" i="4"/>
  <c r="BF1500" i="4"/>
  <c r="BE1500" i="4"/>
  <c r="BB1502" i="4"/>
  <c r="BA1503" i="4" s="1"/>
  <c r="BD1502" i="4"/>
  <c r="BG1502" i="4" l="1"/>
  <c r="BC1502" i="4"/>
  <c r="BB1503" i="4"/>
  <c r="BA1504" i="4" s="1"/>
  <c r="BD1503" i="4"/>
  <c r="BF1501" i="4"/>
  <c r="BE1501" i="4"/>
  <c r="BG1503" i="4" l="1"/>
  <c r="BC1503" i="4"/>
  <c r="BE1502" i="4"/>
  <c r="BF1502" i="4"/>
  <c r="BD1504" i="4"/>
  <c r="BB1504" i="4"/>
  <c r="BA1505" i="4" s="1"/>
  <c r="BB1505" i="4" l="1"/>
  <c r="BA1506" i="4" s="1"/>
  <c r="BD1505" i="4"/>
  <c r="BG1504" i="4"/>
  <c r="BC1504" i="4"/>
  <c r="BE1503" i="4"/>
  <c r="BF1503" i="4"/>
  <c r="BB1506" i="4" l="1"/>
  <c r="BA1507" i="4" s="1"/>
  <c r="BD1506" i="4"/>
  <c r="BF1504" i="4"/>
  <c r="BE1504" i="4"/>
  <c r="BC1505" i="4"/>
  <c r="BG1505" i="4"/>
  <c r="BD1507" i="4" l="1"/>
  <c r="BB1507" i="4"/>
  <c r="BA1508" i="4" s="1"/>
  <c r="BC1506" i="4"/>
  <c r="BG1506" i="4"/>
  <c r="BE1505" i="4"/>
  <c r="BF1505" i="4"/>
  <c r="BB1508" i="4" l="1"/>
  <c r="BA1509" i="4" s="1"/>
  <c r="BD1508" i="4"/>
  <c r="BC1507" i="4"/>
  <c r="BG1507" i="4"/>
  <c r="BF1506" i="4"/>
  <c r="BE1506" i="4"/>
  <c r="BG1508" i="4" l="1"/>
  <c r="BC1508" i="4"/>
  <c r="BB1509" i="4"/>
  <c r="BA1510" i="4" s="1"/>
  <c r="BD1509" i="4"/>
  <c r="BE1507" i="4"/>
  <c r="BF1507" i="4"/>
  <c r="BC1509" i="4" l="1"/>
  <c r="BG1509" i="4"/>
  <c r="BF1508" i="4"/>
  <c r="BE1508" i="4"/>
  <c r="BD1510" i="4"/>
  <c r="BB1510" i="4"/>
  <c r="BA1511" i="4" s="1"/>
  <c r="BC1510" i="4" l="1"/>
  <c r="BG1510" i="4"/>
  <c r="BD1511" i="4"/>
  <c r="BB1511" i="4"/>
  <c r="BA1512" i="4" s="1"/>
  <c r="BE1509" i="4"/>
  <c r="BF1509" i="4"/>
  <c r="BD1512" i="4" l="1"/>
  <c r="BB1512" i="4"/>
  <c r="BA1513" i="4" s="1"/>
  <c r="BG1511" i="4"/>
  <c r="BC1511" i="4"/>
  <c r="BF1510" i="4"/>
  <c r="BE1510" i="4"/>
  <c r="BB1513" i="4" l="1"/>
  <c r="BA1514" i="4" s="1"/>
  <c r="BD1513" i="4"/>
  <c r="BF1511" i="4"/>
  <c r="BE1511" i="4"/>
  <c r="BG1512" i="4"/>
  <c r="BC1512" i="4"/>
  <c r="BD1514" i="4" l="1"/>
  <c r="BB1514" i="4"/>
  <c r="BA1515" i="4" s="1"/>
  <c r="BE1512" i="4"/>
  <c r="BF1512" i="4"/>
  <c r="BC1513" i="4"/>
  <c r="BG1513" i="4"/>
  <c r="BB1515" i="4" l="1"/>
  <c r="BA1516" i="4" s="1"/>
  <c r="BD1515" i="4"/>
  <c r="BE1513" i="4"/>
  <c r="BF1513" i="4"/>
  <c r="BC1514" i="4"/>
  <c r="BG1514" i="4"/>
  <c r="BB1516" i="4" l="1"/>
  <c r="BA1517" i="4" s="1"/>
  <c r="BD1516" i="4"/>
  <c r="BE1514" i="4"/>
  <c r="BF1514" i="4"/>
  <c r="BC1515" i="4"/>
  <c r="BG1515" i="4"/>
  <c r="BG1516" i="4" l="1"/>
  <c r="BC1516" i="4"/>
  <c r="BF1515" i="4"/>
  <c r="BE1515" i="4"/>
  <c r="BB1517" i="4"/>
  <c r="BA1518" i="4" s="1"/>
  <c r="BD1517" i="4"/>
  <c r="BG1517" i="4" l="1"/>
  <c r="BC1517" i="4"/>
  <c r="BD1518" i="4"/>
  <c r="BB1518" i="4"/>
  <c r="BA1519" i="4" s="1"/>
  <c r="BF1516" i="4"/>
  <c r="BE1516" i="4"/>
  <c r="BG1518" i="4" l="1"/>
  <c r="BC1518" i="4"/>
  <c r="BB1519" i="4"/>
  <c r="BA1520" i="4" s="1"/>
  <c r="BD1519" i="4"/>
  <c r="BF1517" i="4"/>
  <c r="BE1517" i="4"/>
  <c r="BD1520" i="4" l="1"/>
  <c r="BB1520" i="4"/>
  <c r="BA1521" i="4" s="1"/>
  <c r="BE1518" i="4"/>
  <c r="BF1518" i="4"/>
  <c r="BG1519" i="4"/>
  <c r="BC1519" i="4"/>
  <c r="BF1519" i="4" l="1"/>
  <c r="BE1519" i="4"/>
  <c r="BD1521" i="4"/>
  <c r="BB1521" i="4"/>
  <c r="BA1522" i="4" s="1"/>
  <c r="BG1520" i="4"/>
  <c r="BC1520" i="4"/>
  <c r="BF1520" i="4" l="1"/>
  <c r="BE1520" i="4"/>
  <c r="BC1521" i="4"/>
  <c r="BG1521" i="4"/>
  <c r="BD1522" i="4"/>
  <c r="BB1522" i="4"/>
  <c r="BA1523" i="4" s="1"/>
  <c r="BD1523" i="4" l="1"/>
  <c r="BB1523" i="4"/>
  <c r="BA1524" i="4" s="1"/>
  <c r="BE1521" i="4"/>
  <c r="BF1521" i="4"/>
  <c r="BC1522" i="4"/>
  <c r="BG1522" i="4"/>
  <c r="BD1524" i="4" l="1"/>
  <c r="BB1524" i="4"/>
  <c r="BA1525" i="4" s="1"/>
  <c r="BF1522" i="4"/>
  <c r="BE1522" i="4"/>
  <c r="BC1523" i="4"/>
  <c r="BG1523" i="4"/>
  <c r="BD1525" i="4" l="1"/>
  <c r="BB1525" i="4"/>
  <c r="BA1526" i="4" s="1"/>
  <c r="BF1523" i="4"/>
  <c r="BE1523" i="4"/>
  <c r="BG1524" i="4"/>
  <c r="BC1524" i="4"/>
  <c r="BE1524" i="4" l="1"/>
  <c r="BF1524" i="4"/>
  <c r="BB1526" i="4"/>
  <c r="BA1527" i="4" s="1"/>
  <c r="BD1526" i="4"/>
  <c r="BG1525" i="4"/>
  <c r="BC1525" i="4"/>
  <c r="BF1525" i="4" l="1"/>
  <c r="BE1525" i="4"/>
  <c r="BG1526" i="4"/>
  <c r="BC1526" i="4"/>
  <c r="BD1527" i="4"/>
  <c r="BB1527" i="4"/>
  <c r="BA1528" i="4" s="1"/>
  <c r="BD1528" i="4" l="1"/>
  <c r="BB1528" i="4"/>
  <c r="BA1529" i="4" s="1"/>
  <c r="BF1526" i="4"/>
  <c r="BE1526" i="4"/>
  <c r="BG1527" i="4"/>
  <c r="BC1527" i="4"/>
  <c r="BB1529" i="4" l="1"/>
  <c r="BA1530" i="4" s="1"/>
  <c r="BD1529" i="4"/>
  <c r="BF1527" i="4"/>
  <c r="BE1527" i="4"/>
  <c r="BG1528" i="4"/>
  <c r="BC1528" i="4"/>
  <c r="BB1530" i="4" l="1"/>
  <c r="BA1531" i="4" s="1"/>
  <c r="BD1530" i="4"/>
  <c r="BE1528" i="4"/>
  <c r="BF1528" i="4"/>
  <c r="BC1529" i="4"/>
  <c r="BG1529" i="4"/>
  <c r="BD1531" i="4" l="1"/>
  <c r="BB1531" i="4"/>
  <c r="BA1532" i="4" s="1"/>
  <c r="BF1529" i="4"/>
  <c r="BE1529" i="4"/>
  <c r="BC1530" i="4"/>
  <c r="BG1530" i="4"/>
  <c r="BD1532" i="4" l="1"/>
  <c r="BB1532" i="4"/>
  <c r="BA1533" i="4" s="1"/>
  <c r="BF1530" i="4"/>
  <c r="BE1530" i="4"/>
  <c r="BC1531" i="4"/>
  <c r="BG1531" i="4"/>
  <c r="BF1531" i="4" l="1"/>
  <c r="BE1531" i="4"/>
  <c r="BB1533" i="4"/>
  <c r="BA1534" i="4" s="1"/>
  <c r="BD1533" i="4"/>
  <c r="BG1532" i="4"/>
  <c r="BC1532" i="4"/>
  <c r="BC1533" i="4" l="1"/>
  <c r="BG1533" i="4"/>
  <c r="BD1534" i="4"/>
  <c r="BB1534" i="4"/>
  <c r="BA1535" i="4" s="1"/>
  <c r="BE1532" i="4"/>
  <c r="BF1532" i="4"/>
  <c r="BG1534" i="4" l="1"/>
  <c r="BC1534" i="4"/>
  <c r="BB1535" i="4"/>
  <c r="BA1536" i="4" s="1"/>
  <c r="BD1535" i="4"/>
  <c r="BF1533" i="4"/>
  <c r="BE1533" i="4"/>
  <c r="BD1536" i="4" l="1"/>
  <c r="BB1536" i="4"/>
  <c r="BA1537" i="4" s="1"/>
  <c r="BF1534" i="4"/>
  <c r="BE1534" i="4"/>
  <c r="BG1535" i="4"/>
  <c r="BC1535" i="4"/>
  <c r="BB1537" i="4" l="1"/>
  <c r="BA1538" i="4" s="1"/>
  <c r="BD1537" i="4"/>
  <c r="BF1535" i="4"/>
  <c r="BE1535" i="4"/>
  <c r="BG1536" i="4"/>
  <c r="BC1536" i="4"/>
  <c r="BD1538" i="4" l="1"/>
  <c r="BB1538" i="4"/>
  <c r="BA1539" i="4" s="1"/>
  <c r="BF1536" i="4"/>
  <c r="BE1536" i="4"/>
  <c r="BC1537" i="4"/>
  <c r="BG1537" i="4"/>
  <c r="BD1539" i="4" l="1"/>
  <c r="BB1539" i="4"/>
  <c r="BA1540" i="4" s="1"/>
  <c r="BE1537" i="4"/>
  <c r="BF1537" i="4"/>
  <c r="BC1538" i="4"/>
  <c r="BG1538" i="4"/>
  <c r="BB1540" i="4" l="1"/>
  <c r="BA1541" i="4" s="1"/>
  <c r="BD1540" i="4"/>
  <c r="BC1539" i="4"/>
  <c r="BG1539" i="4"/>
  <c r="BF1538" i="4"/>
  <c r="BE1538" i="4"/>
  <c r="BG1540" i="4" l="1"/>
  <c r="BC1540" i="4"/>
  <c r="BD1541" i="4"/>
  <c r="BB1541" i="4"/>
  <c r="BA1542" i="4" s="1"/>
  <c r="BF1539" i="4"/>
  <c r="BE1539" i="4"/>
  <c r="BC1541" i="4" l="1"/>
  <c r="BG1541" i="4"/>
  <c r="BF1540" i="4"/>
  <c r="BE1540" i="4"/>
  <c r="BB1542" i="4"/>
  <c r="BA1543" i="4" s="1"/>
  <c r="BD1542" i="4"/>
  <c r="BB1543" i="4" l="1"/>
  <c r="BA1544" i="4" s="1"/>
  <c r="BD1543" i="4"/>
  <c r="BG1542" i="4"/>
  <c r="BC1542" i="4"/>
  <c r="BE1541" i="4"/>
  <c r="BF1541" i="4"/>
  <c r="BG1543" i="4" l="1"/>
  <c r="BC1543" i="4"/>
  <c r="BB1544" i="4"/>
  <c r="BA1545" i="4" s="1"/>
  <c r="BD1544" i="4"/>
  <c r="BF1542" i="4"/>
  <c r="BE1542" i="4"/>
  <c r="BG1544" i="4" l="1"/>
  <c r="BC1544" i="4"/>
  <c r="BB1545" i="4"/>
  <c r="BA1546" i="4" s="1"/>
  <c r="BD1545" i="4"/>
  <c r="BF1543" i="4"/>
  <c r="BE1543" i="4"/>
  <c r="BB1546" i="4" l="1"/>
  <c r="BA1547" i="4" s="1"/>
  <c r="BD1546" i="4"/>
  <c r="BF1544" i="4"/>
  <c r="BE1544" i="4"/>
  <c r="BC1545" i="4"/>
  <c r="BG1545" i="4"/>
  <c r="BD1547" i="4" l="1"/>
  <c r="BB1547" i="4"/>
  <c r="BA1548" i="4" s="1"/>
  <c r="BF1545" i="4"/>
  <c r="BE1545" i="4"/>
  <c r="BC1546" i="4"/>
  <c r="BG1546" i="4"/>
  <c r="BD1548" i="4" l="1"/>
  <c r="BB1548" i="4"/>
  <c r="BA1549" i="4" s="1"/>
  <c r="BE1546" i="4"/>
  <c r="BF1546" i="4"/>
  <c r="BC1547" i="4"/>
  <c r="BG1547" i="4"/>
  <c r="BD1549" i="4" l="1"/>
  <c r="BB1549" i="4"/>
  <c r="BA1550" i="4" s="1"/>
  <c r="BE1547" i="4"/>
  <c r="BF1547" i="4"/>
  <c r="BG1548" i="4"/>
  <c r="BC1548" i="4"/>
  <c r="BD1550" i="4" l="1"/>
  <c r="BB1550" i="4"/>
  <c r="BA1551" i="4" s="1"/>
  <c r="BF1548" i="4"/>
  <c r="BE1548" i="4"/>
  <c r="BC1549" i="4"/>
  <c r="BG1549" i="4"/>
  <c r="BF1549" i="4" l="1"/>
  <c r="BE1549" i="4"/>
  <c r="BB1551" i="4"/>
  <c r="BA1552" i="4" s="1"/>
  <c r="BD1551" i="4"/>
  <c r="BG1550" i="4"/>
  <c r="BC1550" i="4"/>
  <c r="BG1551" i="4" l="1"/>
  <c r="BC1551" i="4"/>
  <c r="BE1550" i="4"/>
  <c r="BF1550" i="4"/>
  <c r="BD1552" i="4"/>
  <c r="BB1552" i="4"/>
  <c r="BA1553" i="4" s="1"/>
  <c r="BB1553" i="4" l="1"/>
  <c r="BA1554" i="4" s="1"/>
  <c r="BD1553" i="4"/>
  <c r="BG1552" i="4"/>
  <c r="BC1552" i="4"/>
  <c r="BE1551" i="4"/>
  <c r="BF1551" i="4"/>
  <c r="BB1554" i="4" l="1"/>
  <c r="BA1555" i="4" s="1"/>
  <c r="BD1554" i="4"/>
  <c r="BE1552" i="4"/>
  <c r="BF1552" i="4"/>
  <c r="BC1553" i="4"/>
  <c r="BG1553" i="4"/>
  <c r="BD1555" i="4" l="1"/>
  <c r="BB1555" i="4"/>
  <c r="BA1556" i="4" s="1"/>
  <c r="BC1554" i="4"/>
  <c r="BG1554" i="4"/>
  <c r="BF1553" i="4"/>
  <c r="BE1553" i="4"/>
  <c r="BB1556" i="4" l="1"/>
  <c r="BA1557" i="4" s="1"/>
  <c r="BD1556" i="4"/>
  <c r="BC1555" i="4"/>
  <c r="BG1555" i="4"/>
  <c r="BE1554" i="4"/>
  <c r="BF1554" i="4"/>
  <c r="BF1555" i="4" l="1"/>
  <c r="BE1555" i="4"/>
  <c r="BG1556" i="4"/>
  <c r="BC1556" i="4"/>
  <c r="BD1557" i="4"/>
  <c r="BB1557" i="4"/>
  <c r="BA1558" i="4" s="1"/>
  <c r="BD1558" i="4" l="1"/>
  <c r="BB1558" i="4"/>
  <c r="BA1559" i="4" s="1"/>
  <c r="BE1556" i="4"/>
  <c r="BF1556" i="4"/>
  <c r="BC1557" i="4"/>
  <c r="BG1557" i="4"/>
  <c r="BB1559" i="4" l="1"/>
  <c r="BA1560" i="4" s="1"/>
  <c r="BD1559" i="4"/>
  <c r="BF1557" i="4"/>
  <c r="BE1557" i="4"/>
  <c r="BC1558" i="4"/>
  <c r="BG1558" i="4"/>
  <c r="BG1559" i="4" l="1"/>
  <c r="BC1559" i="4"/>
  <c r="BE1558" i="4"/>
  <c r="BF1558" i="4"/>
  <c r="BD1560" i="4"/>
  <c r="BB1560" i="4"/>
  <c r="BA1561" i="4" s="1"/>
  <c r="BB1561" i="4" l="1"/>
  <c r="BA1562" i="4" s="1"/>
  <c r="BD1561" i="4"/>
  <c r="BG1560" i="4"/>
  <c r="BC1560" i="4"/>
  <c r="BE1559" i="4"/>
  <c r="BF1559" i="4"/>
  <c r="BF1560" i="4" l="1"/>
  <c r="BE1560" i="4"/>
  <c r="BB1562" i="4"/>
  <c r="BA1563" i="4" s="1"/>
  <c r="BD1562" i="4"/>
  <c r="BC1561" i="4"/>
  <c r="BG1561" i="4"/>
  <c r="BE1561" i="4" l="1"/>
  <c r="BF1561" i="4"/>
  <c r="BD1563" i="4"/>
  <c r="BB1563" i="4"/>
  <c r="BA1564" i="4" s="1"/>
  <c r="BC1562" i="4"/>
  <c r="BG1562" i="4"/>
  <c r="BF1562" i="4" l="1"/>
  <c r="BE1562" i="4"/>
  <c r="BC1563" i="4"/>
  <c r="BG1563" i="4"/>
  <c r="BD1564" i="4"/>
  <c r="BB1564" i="4"/>
  <c r="BA1565" i="4" s="1"/>
  <c r="BG1564" i="4" l="1"/>
  <c r="BC1564" i="4"/>
  <c r="BF1563" i="4"/>
  <c r="BE1563" i="4"/>
  <c r="BD1565" i="4"/>
  <c r="BB1565" i="4"/>
  <c r="BA1566" i="4" s="1"/>
  <c r="BB1566" i="4" l="1"/>
  <c r="BA1567" i="4" s="1"/>
  <c r="BD1566" i="4"/>
  <c r="BC1565" i="4"/>
  <c r="BG1565" i="4"/>
  <c r="BF1564" i="4"/>
  <c r="BE1564" i="4"/>
  <c r="BC1566" i="4" l="1"/>
  <c r="BG1566" i="4"/>
  <c r="BD1567" i="4"/>
  <c r="BB1567" i="4"/>
  <c r="BA1568" i="4" s="1"/>
  <c r="BE1565" i="4"/>
  <c r="BF1565" i="4"/>
  <c r="BD1568" i="4" l="1"/>
  <c r="BB1568" i="4"/>
  <c r="BA1569" i="4" s="1"/>
  <c r="BG1567" i="4"/>
  <c r="BC1567" i="4"/>
  <c r="BE1566" i="4"/>
  <c r="BF1566" i="4"/>
  <c r="BD1569" i="4" l="1"/>
  <c r="BB1569" i="4"/>
  <c r="BA1570" i="4" s="1"/>
  <c r="BG1568" i="4"/>
  <c r="BC1568" i="4"/>
  <c r="BE1567" i="4"/>
  <c r="BF1567" i="4"/>
  <c r="BE1568" i="4" l="1"/>
  <c r="BF1568" i="4"/>
  <c r="BD1570" i="4"/>
  <c r="BB1570" i="4"/>
  <c r="BA1571" i="4" s="1"/>
  <c r="BC1569" i="4"/>
  <c r="BG1569" i="4"/>
  <c r="BC1570" i="4" l="1"/>
  <c r="BG1570" i="4"/>
  <c r="BF1569" i="4"/>
  <c r="BE1569" i="4"/>
  <c r="BD1571" i="4"/>
  <c r="BB1571" i="4"/>
  <c r="BA1572" i="4" s="1"/>
  <c r="BB1572" i="4" l="1"/>
  <c r="BA1573" i="4" s="1"/>
  <c r="BD1572" i="4"/>
  <c r="BC1571" i="4"/>
  <c r="BG1571" i="4"/>
  <c r="BE1570" i="4"/>
  <c r="BF1570" i="4"/>
  <c r="BE1571" i="4" l="1"/>
  <c r="BF1571" i="4"/>
  <c r="BG1572" i="4"/>
  <c r="BC1572" i="4"/>
  <c r="BB1573" i="4"/>
  <c r="BA1574" i="4" s="1"/>
  <c r="BD1573" i="4"/>
  <c r="BC1573" i="4" l="1"/>
  <c r="BG1573" i="4"/>
  <c r="BB1574" i="4"/>
  <c r="BA1575" i="4" s="1"/>
  <c r="BD1574" i="4"/>
  <c r="BF1572" i="4"/>
  <c r="BE1572" i="4"/>
  <c r="BD1575" i="4" l="1"/>
  <c r="BB1575" i="4"/>
  <c r="BA1576" i="4" s="1"/>
  <c r="BC1574" i="4"/>
  <c r="BG1574" i="4"/>
  <c r="BE1573" i="4"/>
  <c r="BF1573" i="4"/>
  <c r="BD1576" i="4" l="1"/>
  <c r="BB1576" i="4"/>
  <c r="BA1577" i="4" s="1"/>
  <c r="BF1574" i="4"/>
  <c r="BE1574" i="4"/>
  <c r="BG1575" i="4"/>
  <c r="BC1575" i="4"/>
  <c r="BB1577" i="4" l="1"/>
  <c r="BA1578" i="4" s="1"/>
  <c r="BD1577" i="4"/>
  <c r="BF1575" i="4"/>
  <c r="BE1575" i="4"/>
  <c r="BG1576" i="4"/>
  <c r="BC1576" i="4"/>
  <c r="BB1578" i="4" l="1"/>
  <c r="BA1579" i="4" s="1"/>
  <c r="BD1578" i="4"/>
  <c r="BF1576" i="4"/>
  <c r="BE1576" i="4"/>
  <c r="BC1577" i="4"/>
  <c r="BG1577" i="4"/>
  <c r="BB1579" i="4" l="1"/>
  <c r="BA1580" i="4" s="1"/>
  <c r="BD1579" i="4"/>
  <c r="BF1577" i="4"/>
  <c r="BE1577" i="4"/>
  <c r="BC1578" i="4"/>
  <c r="BG1578" i="4"/>
  <c r="BC1579" i="4" l="1"/>
  <c r="BG1579" i="4"/>
  <c r="BE1578" i="4"/>
  <c r="BF1578" i="4"/>
  <c r="BD1580" i="4"/>
  <c r="BB1580" i="4"/>
  <c r="BA1581" i="4" s="1"/>
  <c r="BD1581" i="4" l="1"/>
  <c r="BB1581" i="4"/>
  <c r="BA1582" i="4" s="1"/>
  <c r="BG1580" i="4"/>
  <c r="BC1580" i="4"/>
  <c r="BF1579" i="4"/>
  <c r="BE1579" i="4"/>
  <c r="BE1580" i="4" l="1"/>
  <c r="BF1580" i="4"/>
  <c r="BB1582" i="4"/>
  <c r="BA1583" i="4" s="1"/>
  <c r="BD1582" i="4"/>
  <c r="BC1581" i="4"/>
  <c r="BG1581" i="4"/>
  <c r="BD1583" i="4" l="1"/>
  <c r="BB1583" i="4"/>
  <c r="BA1584" i="4" s="1"/>
  <c r="BF1581" i="4"/>
  <c r="BE1581" i="4"/>
  <c r="BG1582" i="4"/>
  <c r="BC1582" i="4"/>
  <c r="BD1584" i="4" l="1"/>
  <c r="BB1584" i="4"/>
  <c r="BA1585" i="4" s="1"/>
  <c r="BF1582" i="4"/>
  <c r="BE1582" i="4"/>
  <c r="BG1583" i="4"/>
  <c r="BC1583" i="4"/>
  <c r="BD1585" i="4" l="1"/>
  <c r="BB1585" i="4"/>
  <c r="BA1586" i="4" s="1"/>
  <c r="BF1583" i="4"/>
  <c r="BE1583" i="4"/>
  <c r="BG1584" i="4"/>
  <c r="BC1584" i="4"/>
  <c r="BB1586" i="4" l="1"/>
  <c r="BA1587" i="4" s="1"/>
  <c r="BD1586" i="4"/>
  <c r="BF1584" i="4"/>
  <c r="BE1584" i="4"/>
  <c r="BC1585" i="4"/>
  <c r="BG1585" i="4"/>
  <c r="BD1587" i="4" l="1"/>
  <c r="BB1587" i="4"/>
  <c r="BA1588" i="4" s="1"/>
  <c r="BC1586" i="4"/>
  <c r="BG1586" i="4"/>
  <c r="BF1585" i="4"/>
  <c r="BE1585" i="4"/>
  <c r="BD1588" i="4" l="1"/>
  <c r="BB1588" i="4"/>
  <c r="BA1589" i="4" s="1"/>
  <c r="BE1586" i="4"/>
  <c r="BF1586" i="4"/>
  <c r="BC1587" i="4"/>
  <c r="BG1587" i="4"/>
  <c r="BB1589" i="4" l="1"/>
  <c r="BA1590" i="4" s="1"/>
  <c r="BD1589" i="4"/>
  <c r="BF1587" i="4"/>
  <c r="BE1587" i="4"/>
  <c r="BG1588" i="4"/>
  <c r="BC1588" i="4"/>
  <c r="BC1589" i="4" l="1"/>
  <c r="BG1589" i="4"/>
  <c r="BE1588" i="4"/>
  <c r="BF1588" i="4"/>
  <c r="BD1590" i="4"/>
  <c r="BB1590" i="4"/>
  <c r="BA1591" i="4" s="1"/>
  <c r="BB1591" i="4" l="1"/>
  <c r="BA1592" i="4" s="1"/>
  <c r="BD1591" i="4"/>
  <c r="BC1590" i="4"/>
  <c r="BG1590" i="4"/>
  <c r="BF1589" i="4"/>
  <c r="BE1589" i="4"/>
  <c r="BG1591" i="4" l="1"/>
  <c r="BC1591" i="4"/>
  <c r="BD1592" i="4"/>
  <c r="BB1592" i="4"/>
  <c r="BA1593" i="4" s="1"/>
  <c r="BF1590" i="4"/>
  <c r="BE1590" i="4"/>
  <c r="BG1592" i="4" l="1"/>
  <c r="BC1592" i="4"/>
  <c r="BE1591" i="4"/>
  <c r="BF1591" i="4"/>
  <c r="BB1593" i="4"/>
  <c r="BA1594" i="4" s="1"/>
  <c r="BD1593" i="4"/>
  <c r="BB1594" i="4" l="1"/>
  <c r="BA1595" i="4" s="1"/>
  <c r="BD1594" i="4"/>
  <c r="BF1592" i="4"/>
  <c r="BE1592" i="4"/>
  <c r="BC1593" i="4"/>
  <c r="BG1593" i="4"/>
  <c r="BF1593" i="4" l="1"/>
  <c r="BE1593" i="4"/>
  <c r="BB1595" i="4"/>
  <c r="BA1596" i="4" s="1"/>
  <c r="BD1595" i="4"/>
  <c r="BC1594" i="4"/>
  <c r="BG1594" i="4"/>
  <c r="BE1594" i="4" l="1"/>
  <c r="BF1594" i="4"/>
  <c r="BC1595" i="4"/>
  <c r="BG1595" i="4"/>
  <c r="BD1596" i="4"/>
  <c r="BB1596" i="4"/>
  <c r="BA1597" i="4" s="1"/>
  <c r="BB1597" i="4" l="1"/>
  <c r="BA1598" i="4" s="1"/>
  <c r="BD1597" i="4"/>
  <c r="BG1596" i="4"/>
  <c r="BC1596" i="4"/>
  <c r="BF1595" i="4"/>
  <c r="BE1595" i="4"/>
  <c r="BG1597" i="4" l="1"/>
  <c r="BC1597" i="4"/>
  <c r="BF1596" i="4"/>
  <c r="BE1596" i="4"/>
  <c r="BB1598" i="4"/>
  <c r="BA1599" i="4" s="1"/>
  <c r="BD1598" i="4"/>
  <c r="BE1597" i="4" l="1"/>
  <c r="BF1597" i="4"/>
  <c r="BC1598" i="4"/>
  <c r="BG1598" i="4"/>
  <c r="BB1599" i="4"/>
  <c r="BA1600" i="4" s="1"/>
  <c r="BD1599" i="4"/>
  <c r="BG1599" i="4" l="1"/>
  <c r="BC1599" i="4"/>
  <c r="BF1598" i="4"/>
  <c r="BE1598" i="4"/>
  <c r="BD1600" i="4"/>
  <c r="BB1600" i="4"/>
  <c r="BA1601" i="4" s="1"/>
  <c r="BD1601" i="4" l="1"/>
  <c r="BB1601" i="4"/>
  <c r="BA1602" i="4" s="1"/>
  <c r="BG1600" i="4"/>
  <c r="BC1600" i="4"/>
  <c r="BF1599" i="4"/>
  <c r="BE1599" i="4"/>
  <c r="BD1602" i="4" l="1"/>
  <c r="BB1602" i="4"/>
  <c r="BA1603" i="4" s="1"/>
  <c r="BF1600" i="4"/>
  <c r="BE1600" i="4"/>
  <c r="BC1601" i="4"/>
  <c r="BG1601" i="4"/>
  <c r="BD1603" i="4" l="1"/>
  <c r="BB1603" i="4"/>
  <c r="BA1604" i="4" s="1"/>
  <c r="BE1601" i="4"/>
  <c r="BF1601" i="4"/>
  <c r="BC1602" i="4"/>
  <c r="BG1602" i="4"/>
  <c r="BF1602" i="4" l="1"/>
  <c r="BE1602" i="4"/>
  <c r="BB1604" i="4"/>
  <c r="BA1605" i="4" s="1"/>
  <c r="BD1604" i="4"/>
  <c r="BC1603" i="4"/>
  <c r="BG1603" i="4"/>
  <c r="BB1605" i="4" l="1"/>
  <c r="BA1606" i="4" s="1"/>
  <c r="BD1605" i="4"/>
  <c r="BF1603" i="4"/>
  <c r="BE1603" i="4"/>
  <c r="BC1604" i="4"/>
  <c r="BG1604" i="4"/>
  <c r="BC1605" i="4" l="1"/>
  <c r="BG1605" i="4"/>
  <c r="BB1606" i="4"/>
  <c r="BA1607" i="4" s="1"/>
  <c r="BD1606" i="4"/>
  <c r="BF1604" i="4"/>
  <c r="BE1604" i="4"/>
  <c r="BC1606" i="4" l="1"/>
  <c r="BG1606" i="4"/>
  <c r="BD1607" i="4"/>
  <c r="BB1607" i="4"/>
  <c r="BA1608" i="4" s="1"/>
  <c r="BE1605" i="4"/>
  <c r="BF1605" i="4"/>
  <c r="BD1608" i="4" l="1"/>
  <c r="BB1608" i="4"/>
  <c r="BA1609" i="4" s="1"/>
  <c r="BG1607" i="4"/>
  <c r="BC1607" i="4"/>
  <c r="BF1606" i="4"/>
  <c r="BE1606" i="4"/>
  <c r="BD1609" i="4" l="1"/>
  <c r="BB1609" i="4"/>
  <c r="BA1610" i="4" s="1"/>
  <c r="BE1607" i="4"/>
  <c r="BF1607" i="4"/>
  <c r="BC1608" i="4"/>
  <c r="BG1608" i="4"/>
  <c r="BE1608" i="4" l="1"/>
  <c r="BF1608" i="4"/>
  <c r="BB1610" i="4"/>
  <c r="BA1611" i="4" s="1"/>
  <c r="BD1610" i="4"/>
  <c r="BC1609" i="4"/>
  <c r="BG1609" i="4"/>
  <c r="BD1611" i="4" l="1"/>
  <c r="BB1611" i="4"/>
  <c r="BA1612" i="4" s="1"/>
  <c r="BF1609" i="4"/>
  <c r="BE1609" i="4"/>
  <c r="BC1610" i="4"/>
  <c r="BG1610" i="4"/>
  <c r="BE1610" i="4" l="1"/>
  <c r="BF1610" i="4"/>
  <c r="BB1612" i="4"/>
  <c r="BA1613" i="4" s="1"/>
  <c r="BD1612" i="4"/>
  <c r="BC1611" i="4"/>
  <c r="BG1611" i="4"/>
  <c r="BG1612" i="4" l="1"/>
  <c r="BC1612" i="4"/>
  <c r="BF1611" i="4"/>
  <c r="BE1611" i="4"/>
  <c r="BB1613" i="4"/>
  <c r="BA1614" i="4" s="1"/>
  <c r="BD1613" i="4"/>
  <c r="BC1613" i="4" l="1"/>
  <c r="BG1613" i="4"/>
  <c r="BF1612" i="4"/>
  <c r="BE1612" i="4"/>
  <c r="BD1614" i="4"/>
  <c r="BB1614" i="4"/>
  <c r="BA1615" i="4" s="1"/>
  <c r="BD1615" i="4" l="1"/>
  <c r="BB1615" i="4"/>
  <c r="BA1616" i="4" s="1"/>
  <c r="BG1614" i="4"/>
  <c r="BC1614" i="4"/>
  <c r="BF1613" i="4"/>
  <c r="BE1613" i="4"/>
  <c r="BD1616" i="4" l="1"/>
  <c r="BB1616" i="4"/>
  <c r="BA1617" i="4" s="1"/>
  <c r="BF1614" i="4"/>
  <c r="BE1614" i="4"/>
  <c r="BG1615" i="4"/>
  <c r="BC1615" i="4"/>
  <c r="BB1617" i="4" l="1"/>
  <c r="BA1618" i="4" s="1"/>
  <c r="BD1617" i="4"/>
  <c r="BG1616" i="4"/>
  <c r="BC1616" i="4"/>
  <c r="BE1615" i="4"/>
  <c r="BF1615" i="4"/>
  <c r="BD1618" i="4" l="1"/>
  <c r="BB1618" i="4"/>
  <c r="BA1619" i="4" s="1"/>
  <c r="BE1616" i="4"/>
  <c r="BF1616" i="4"/>
  <c r="BC1617" i="4"/>
  <c r="BG1617" i="4"/>
  <c r="BF1617" i="4" l="1"/>
  <c r="BE1617" i="4"/>
  <c r="BD1619" i="4"/>
  <c r="BB1619" i="4"/>
  <c r="BA1620" i="4" s="1"/>
  <c r="BC1618" i="4"/>
  <c r="BG1618" i="4"/>
  <c r="BE1618" i="4" l="1"/>
  <c r="BF1618" i="4"/>
  <c r="BB1620" i="4"/>
  <c r="BA1621" i="4" s="1"/>
  <c r="BD1620" i="4"/>
  <c r="BC1619" i="4"/>
  <c r="BG1619" i="4"/>
  <c r="BC1620" i="4" l="1"/>
  <c r="BG1620" i="4"/>
  <c r="BF1619" i="4"/>
  <c r="BE1619" i="4"/>
  <c r="BD1621" i="4"/>
  <c r="BB1621" i="4"/>
  <c r="BA1622" i="4" s="1"/>
  <c r="BB1622" i="4" l="1"/>
  <c r="BA1623" i="4" s="1"/>
  <c r="BD1622" i="4"/>
  <c r="BC1621" i="4"/>
  <c r="BG1621" i="4"/>
  <c r="BE1620" i="4"/>
  <c r="BF1620" i="4"/>
  <c r="BE1621" i="4" l="1"/>
  <c r="BF1621" i="4"/>
  <c r="BG1622" i="4"/>
  <c r="BC1622" i="4"/>
  <c r="BD1623" i="4"/>
  <c r="BB1623" i="4"/>
  <c r="BA1624" i="4" s="1"/>
  <c r="BD1624" i="4" l="1"/>
  <c r="BB1624" i="4"/>
  <c r="BA1625" i="4" s="1"/>
  <c r="BG1623" i="4"/>
  <c r="BC1623" i="4"/>
  <c r="BE1622" i="4"/>
  <c r="BF1622" i="4"/>
  <c r="BE1623" i="4" l="1"/>
  <c r="BF1623" i="4"/>
  <c r="BB1625" i="4"/>
  <c r="BA1626" i="4" s="1"/>
  <c r="BD1625" i="4"/>
  <c r="BG1624" i="4"/>
  <c r="BC1624" i="4"/>
  <c r="BB1626" i="4" l="1"/>
  <c r="BA1627" i="4" s="1"/>
  <c r="BD1626" i="4"/>
  <c r="BF1624" i="4"/>
  <c r="BE1624" i="4"/>
  <c r="BC1625" i="4"/>
  <c r="BG1625" i="4"/>
  <c r="BB1627" i="4" l="1"/>
  <c r="BA1628" i="4" s="1"/>
  <c r="BD1627" i="4"/>
  <c r="BF1625" i="4"/>
  <c r="BE1625" i="4"/>
  <c r="BC1626" i="4"/>
  <c r="BG1626" i="4"/>
  <c r="BC1627" i="4" l="1"/>
  <c r="BG1627" i="4"/>
  <c r="BE1626" i="4"/>
  <c r="BF1626" i="4"/>
  <c r="BB1628" i="4"/>
  <c r="BA1629" i="4" s="1"/>
  <c r="BD1628" i="4"/>
  <c r="BG1628" i="4" l="1"/>
  <c r="BC1628" i="4"/>
  <c r="BD1629" i="4"/>
  <c r="BB1629" i="4"/>
  <c r="BA1630" i="4" s="1"/>
  <c r="BF1627" i="4"/>
  <c r="BE1627" i="4"/>
  <c r="BC1629" i="4" l="1"/>
  <c r="BG1629" i="4"/>
  <c r="BF1628" i="4"/>
  <c r="BE1628" i="4"/>
  <c r="BD1630" i="4"/>
  <c r="BB1630" i="4"/>
  <c r="BA1631" i="4" s="1"/>
  <c r="BD1631" i="4" l="1"/>
  <c r="BB1631" i="4"/>
  <c r="BA1632" i="4" s="1"/>
  <c r="BC1630" i="4"/>
  <c r="BG1630" i="4"/>
  <c r="BE1629" i="4"/>
  <c r="BF1629" i="4"/>
  <c r="BD1632" i="4" l="1"/>
  <c r="BB1632" i="4"/>
  <c r="BA1633" i="4" s="1"/>
  <c r="BE1630" i="4"/>
  <c r="BF1630" i="4"/>
  <c r="BG1631" i="4"/>
  <c r="BC1631" i="4"/>
  <c r="BD1633" i="4" l="1"/>
  <c r="BB1633" i="4"/>
  <c r="BA1634" i="4" s="1"/>
  <c r="BE1631" i="4"/>
  <c r="BF1631" i="4"/>
  <c r="BG1632" i="4"/>
  <c r="BC1632" i="4"/>
  <c r="BD1634" i="4" l="1"/>
  <c r="BB1634" i="4"/>
  <c r="BA1635" i="4" s="1"/>
  <c r="BF1632" i="4"/>
  <c r="BE1632" i="4"/>
  <c r="BC1633" i="4"/>
  <c r="BG1633" i="4"/>
  <c r="BE1633" i="4" l="1"/>
  <c r="BF1633" i="4"/>
  <c r="BD1635" i="4"/>
  <c r="BB1635" i="4"/>
  <c r="BA1636" i="4" s="1"/>
  <c r="BC1634" i="4"/>
  <c r="BG1634" i="4"/>
  <c r="BF1634" i="4" l="1"/>
  <c r="BE1634" i="4"/>
  <c r="BC1635" i="4"/>
  <c r="BG1635" i="4"/>
  <c r="BB1636" i="4"/>
  <c r="BA1637" i="4" s="1"/>
  <c r="BD1636" i="4"/>
  <c r="BE1635" i="4" l="1"/>
  <c r="BF1635" i="4"/>
  <c r="BB1637" i="4"/>
  <c r="BA1638" i="4" s="1"/>
  <c r="BD1637" i="4"/>
  <c r="BC1636" i="4"/>
  <c r="BG1636" i="4"/>
  <c r="BF1636" i="4" l="1"/>
  <c r="BE1636" i="4"/>
  <c r="BG1637" i="4"/>
  <c r="BC1637" i="4"/>
  <c r="BD1638" i="4"/>
  <c r="BB1638" i="4"/>
  <c r="BA1639" i="4" s="1"/>
  <c r="BB1639" i="4" l="1"/>
  <c r="BA1640" i="4" s="1"/>
  <c r="BD1639" i="4"/>
  <c r="BG1638" i="4"/>
  <c r="BC1638" i="4"/>
  <c r="BE1637" i="4"/>
  <c r="BF1637" i="4"/>
  <c r="BE1638" i="4" l="1"/>
  <c r="BF1638" i="4"/>
  <c r="BG1639" i="4"/>
  <c r="BC1639" i="4"/>
  <c r="BD1640" i="4"/>
  <c r="BB1640" i="4"/>
  <c r="BA1641" i="4" s="1"/>
  <c r="BB1641" i="4" l="1"/>
  <c r="BA1642" i="4" s="1"/>
  <c r="BD1641" i="4"/>
  <c r="BG1640" i="4"/>
  <c r="BC1640" i="4"/>
  <c r="BF1639" i="4"/>
  <c r="BE1639" i="4"/>
  <c r="BD1642" i="4" l="1"/>
  <c r="BB1642" i="4"/>
  <c r="BA1643" i="4" s="1"/>
  <c r="BE1640" i="4"/>
  <c r="BF1640" i="4"/>
  <c r="BC1641" i="4"/>
  <c r="BG1641" i="4"/>
  <c r="BD1643" i="4" l="1"/>
  <c r="BB1643" i="4"/>
  <c r="BA1644" i="4" s="1"/>
  <c r="BF1641" i="4"/>
  <c r="BE1641" i="4"/>
  <c r="BC1642" i="4"/>
  <c r="BG1642" i="4"/>
  <c r="BD1644" i="4" l="1"/>
  <c r="BB1644" i="4"/>
  <c r="BA1645" i="4" s="1"/>
  <c r="BF1642" i="4"/>
  <c r="BE1642" i="4"/>
  <c r="BC1643" i="4"/>
  <c r="BG1643" i="4"/>
  <c r="BE1643" i="4" l="1"/>
  <c r="BF1643" i="4"/>
  <c r="BB1645" i="4"/>
  <c r="BA1646" i="4" s="1"/>
  <c r="BD1645" i="4"/>
  <c r="BG1644" i="4"/>
  <c r="BC1644" i="4"/>
  <c r="BG1645" i="4" l="1"/>
  <c r="BC1645" i="4"/>
  <c r="BD1646" i="4"/>
  <c r="BB1646" i="4"/>
  <c r="BA1647" i="4" s="1"/>
  <c r="BE1644" i="4"/>
  <c r="BF1644" i="4"/>
  <c r="BD1647" i="4" l="1"/>
  <c r="BB1647" i="4"/>
  <c r="BA1648" i="4" s="1"/>
  <c r="BG1646" i="4"/>
  <c r="BC1646" i="4"/>
  <c r="BF1645" i="4"/>
  <c r="BE1645" i="4"/>
  <c r="BD1648" i="4" l="1"/>
  <c r="BB1648" i="4"/>
  <c r="BA1649" i="4" s="1"/>
  <c r="BF1646" i="4"/>
  <c r="BE1646" i="4"/>
  <c r="BG1647" i="4"/>
  <c r="BC1647" i="4"/>
  <c r="BB1649" i="4" l="1"/>
  <c r="BA1650" i="4" s="1"/>
  <c r="BD1649" i="4"/>
  <c r="BF1647" i="4"/>
  <c r="BE1647" i="4"/>
  <c r="BG1648" i="4"/>
  <c r="BC1648" i="4"/>
  <c r="BF1648" i="4" l="1"/>
  <c r="BE1648" i="4"/>
  <c r="BD1650" i="4"/>
  <c r="BB1650" i="4"/>
  <c r="BA1651" i="4" s="1"/>
  <c r="BC1649" i="4"/>
  <c r="BG1649" i="4"/>
  <c r="BC1650" i="4" l="1"/>
  <c r="BG1650" i="4"/>
  <c r="BE1649" i="4"/>
  <c r="BF1649" i="4"/>
  <c r="BD1651" i="4"/>
  <c r="BB1651" i="4"/>
  <c r="BA1652" i="4" s="1"/>
  <c r="BD1652" i="4" l="1"/>
  <c r="BB1652" i="4"/>
  <c r="BA1653" i="4" s="1"/>
  <c r="BC1651" i="4"/>
  <c r="BG1651" i="4"/>
  <c r="BF1650" i="4"/>
  <c r="BE1650" i="4"/>
  <c r="BB1653" i="4" l="1"/>
  <c r="BA1654" i="4" s="1"/>
  <c r="BD1653" i="4"/>
  <c r="BE1651" i="4"/>
  <c r="BF1651" i="4"/>
  <c r="BG1652" i="4"/>
  <c r="BC1652" i="4"/>
  <c r="BF1652" i="4" l="1"/>
  <c r="BE1652" i="4"/>
  <c r="BG1653" i="4"/>
  <c r="BC1653" i="4"/>
  <c r="BD1654" i="4"/>
  <c r="BB1654" i="4"/>
  <c r="BA1655" i="4" s="1"/>
  <c r="BD1655" i="4" l="1"/>
  <c r="BB1655" i="4"/>
  <c r="BA1656" i="4" s="1"/>
  <c r="BG1654" i="4"/>
  <c r="BC1654" i="4"/>
  <c r="BF1653" i="4"/>
  <c r="BE1653" i="4"/>
  <c r="BD1656" i="4" l="1"/>
  <c r="BB1656" i="4"/>
  <c r="BA1657" i="4" s="1"/>
  <c r="BG1655" i="4"/>
  <c r="BC1655" i="4"/>
  <c r="BE1654" i="4"/>
  <c r="BF1654" i="4"/>
  <c r="BB1657" i="4" l="1"/>
  <c r="BA1658" i="4" s="1"/>
  <c r="BD1657" i="4"/>
  <c r="BE1655" i="4"/>
  <c r="BF1655" i="4"/>
  <c r="BG1656" i="4"/>
  <c r="BC1656" i="4"/>
  <c r="BE1656" i="4" l="1"/>
  <c r="BF1656" i="4"/>
  <c r="BD1658" i="4"/>
  <c r="BB1658" i="4"/>
  <c r="BA1659" i="4" s="1"/>
  <c r="BC1657" i="4"/>
  <c r="BG1657" i="4"/>
  <c r="BD1659" i="4" l="1"/>
  <c r="BB1659" i="4"/>
  <c r="BA1660" i="4" s="1"/>
  <c r="BC1658" i="4"/>
  <c r="BG1658" i="4"/>
  <c r="BF1657" i="4"/>
  <c r="BE1657" i="4"/>
  <c r="BD1660" i="4" l="1"/>
  <c r="BB1660" i="4"/>
  <c r="BA1661" i="4" s="1"/>
  <c r="BF1658" i="4"/>
  <c r="BE1658" i="4"/>
  <c r="BC1659" i="4"/>
  <c r="BG1659" i="4"/>
  <c r="BF1659" i="4" l="1"/>
  <c r="BE1659" i="4"/>
  <c r="BD1661" i="4"/>
  <c r="BB1661" i="4"/>
  <c r="BA1662" i="4" s="1"/>
  <c r="BG1660" i="4"/>
  <c r="BC1660" i="4"/>
  <c r="BC1661" i="4" l="1"/>
  <c r="BG1661" i="4"/>
  <c r="BF1660" i="4"/>
  <c r="BE1660" i="4"/>
  <c r="BB1662" i="4"/>
  <c r="BA1663" i="4" s="1"/>
  <c r="BD1662" i="4"/>
  <c r="BG1662" i="4" l="1"/>
  <c r="BC1662" i="4"/>
  <c r="BD1663" i="4"/>
  <c r="BB1663" i="4"/>
  <c r="BA1664" i="4" s="1"/>
  <c r="BE1661" i="4"/>
  <c r="BF1661" i="4"/>
  <c r="BB1664" i="4" l="1"/>
  <c r="BA1665" i="4" s="1"/>
  <c r="BD1664" i="4"/>
  <c r="BE1662" i="4"/>
  <c r="BF1662" i="4"/>
  <c r="BG1663" i="4"/>
  <c r="BC1663" i="4"/>
  <c r="BF1663" i="4" l="1"/>
  <c r="BE1663" i="4"/>
  <c r="BG1664" i="4"/>
  <c r="BC1664" i="4"/>
  <c r="BB1665" i="4"/>
  <c r="BA1666" i="4" s="1"/>
  <c r="BD1665" i="4"/>
  <c r="BB1666" i="4" l="1"/>
  <c r="BA1667" i="4" s="1"/>
  <c r="BD1666" i="4"/>
  <c r="BC1665" i="4"/>
  <c r="BG1665" i="4"/>
  <c r="BF1664" i="4"/>
  <c r="BE1664" i="4"/>
  <c r="BD1667" i="4" l="1"/>
  <c r="BB1667" i="4"/>
  <c r="BA1668" i="4" s="1"/>
  <c r="BC1666" i="4"/>
  <c r="BG1666" i="4"/>
  <c r="BE1665" i="4"/>
  <c r="BF1665" i="4"/>
  <c r="BD1668" i="4" l="1"/>
  <c r="BB1668" i="4"/>
  <c r="BA1669" i="4" s="1"/>
  <c r="BE1666" i="4"/>
  <c r="BF1666" i="4"/>
  <c r="BC1667" i="4"/>
  <c r="BG1667" i="4"/>
  <c r="BB1669" i="4" l="1"/>
  <c r="BA1670" i="4" s="1"/>
  <c r="BD1669" i="4"/>
  <c r="BE1667" i="4"/>
  <c r="BF1667" i="4"/>
  <c r="BG1668" i="4"/>
  <c r="BC1668" i="4"/>
  <c r="BC1669" i="4" l="1"/>
  <c r="BG1669" i="4"/>
  <c r="BE1668" i="4"/>
  <c r="BF1668" i="4"/>
  <c r="BD1670" i="4"/>
  <c r="BB1670" i="4"/>
  <c r="BA1671" i="4" s="1"/>
  <c r="BB1671" i="4" l="1"/>
  <c r="BA1672" i="4" s="1"/>
  <c r="BD1671" i="4"/>
  <c r="BC1670" i="4"/>
  <c r="BG1670" i="4"/>
  <c r="BF1669" i="4"/>
  <c r="BE1669" i="4"/>
  <c r="BG1671" i="4" l="1"/>
  <c r="BC1671" i="4"/>
  <c r="BD1672" i="4"/>
  <c r="BB1672" i="4"/>
  <c r="BA1673" i="4" s="1"/>
  <c r="BF1670" i="4"/>
  <c r="BE1670" i="4"/>
  <c r="BD1673" i="4" l="1"/>
  <c r="BB1673" i="4"/>
  <c r="BA1674" i="4" s="1"/>
  <c r="BF1671" i="4"/>
  <c r="BE1671" i="4"/>
  <c r="BC1672" i="4"/>
  <c r="BG1672" i="4"/>
  <c r="BB1674" i="4" l="1"/>
  <c r="BA1675" i="4" s="1"/>
  <c r="BD1674" i="4"/>
  <c r="BE1672" i="4"/>
  <c r="BF1672" i="4"/>
  <c r="BC1673" i="4"/>
  <c r="BG1673" i="4"/>
  <c r="BD1675" i="4" l="1"/>
  <c r="BB1675" i="4"/>
  <c r="BA1676" i="4" s="1"/>
  <c r="BC1674" i="4"/>
  <c r="BG1674" i="4"/>
  <c r="BF1673" i="4"/>
  <c r="BE1673" i="4"/>
  <c r="BD1676" i="4" l="1"/>
  <c r="BB1676" i="4"/>
  <c r="BA1677" i="4" s="1"/>
  <c r="BE1674" i="4"/>
  <c r="BF1674" i="4"/>
  <c r="BC1675" i="4"/>
  <c r="BG1675" i="4"/>
  <c r="BD1677" i="4" l="1"/>
  <c r="BB1677" i="4"/>
  <c r="BA1678" i="4" s="1"/>
  <c r="BE1675" i="4"/>
  <c r="BF1675" i="4"/>
  <c r="BG1676" i="4"/>
  <c r="BC1676" i="4"/>
  <c r="BF1676" i="4" l="1"/>
  <c r="BE1676" i="4"/>
  <c r="BD1678" i="4"/>
  <c r="BB1678" i="4"/>
  <c r="BA1679" i="4" s="1"/>
  <c r="BG1677" i="4"/>
  <c r="BC1677" i="4"/>
  <c r="BD1679" i="4" l="1"/>
  <c r="BB1679" i="4"/>
  <c r="BA1680" i="4" s="1"/>
  <c r="BG1678" i="4"/>
  <c r="BC1678" i="4"/>
  <c r="BF1677" i="4"/>
  <c r="BE1677" i="4"/>
  <c r="BD1680" i="4" l="1"/>
  <c r="BB1680" i="4"/>
  <c r="BA1681" i="4" s="1"/>
  <c r="BF1678" i="4"/>
  <c r="BE1678" i="4"/>
  <c r="BG1679" i="4"/>
  <c r="BC1679" i="4"/>
  <c r="BB1681" i="4" l="1"/>
  <c r="BA1682" i="4" s="1"/>
  <c r="BD1681" i="4"/>
  <c r="BF1679" i="4"/>
  <c r="BE1679" i="4"/>
  <c r="BG1680" i="4"/>
  <c r="BC1680" i="4"/>
  <c r="BD1682" i="4" l="1"/>
  <c r="BB1682" i="4"/>
  <c r="BA1683" i="4" s="1"/>
  <c r="BC1681" i="4"/>
  <c r="BG1681" i="4"/>
  <c r="BE1680" i="4"/>
  <c r="BF1680" i="4"/>
  <c r="BD1683" i="4" l="1"/>
  <c r="BB1683" i="4"/>
  <c r="BA1684" i="4" s="1"/>
  <c r="BE1681" i="4"/>
  <c r="BF1681" i="4"/>
  <c r="BC1682" i="4"/>
  <c r="BG1682" i="4"/>
  <c r="BD1684" i="4" l="1"/>
  <c r="BB1684" i="4"/>
  <c r="BA1685" i="4" s="1"/>
  <c r="BE1682" i="4"/>
  <c r="BF1682" i="4"/>
  <c r="BC1683" i="4"/>
  <c r="BG1683" i="4"/>
  <c r="BE1683" i="4" l="1"/>
  <c r="BF1683" i="4"/>
  <c r="BD1685" i="4"/>
  <c r="BB1685" i="4"/>
  <c r="BA1686" i="4" s="1"/>
  <c r="BC1684" i="4"/>
  <c r="BG1684" i="4"/>
  <c r="BG1685" i="4" l="1"/>
  <c r="BC1685" i="4"/>
  <c r="BF1684" i="4"/>
  <c r="BE1684" i="4"/>
  <c r="BB1686" i="4"/>
  <c r="BA1687" i="4" s="1"/>
  <c r="BD1686" i="4"/>
  <c r="BG1686" i="4" l="1"/>
  <c r="BC1686" i="4"/>
  <c r="BB1687" i="4"/>
  <c r="BA1688" i="4" s="1"/>
  <c r="BD1687" i="4"/>
  <c r="BE1685" i="4"/>
  <c r="BF1685" i="4"/>
  <c r="BE1686" i="4" l="1"/>
  <c r="BF1686" i="4"/>
  <c r="BG1687" i="4"/>
  <c r="BC1687" i="4"/>
  <c r="BD1688" i="4"/>
  <c r="BB1688" i="4"/>
  <c r="BA1689" i="4" s="1"/>
  <c r="BB1689" i="4" l="1"/>
  <c r="BA1690" i="4" s="1"/>
  <c r="BD1689" i="4"/>
  <c r="BG1688" i="4"/>
  <c r="BC1688" i="4"/>
  <c r="BE1687" i="4"/>
  <c r="BF1687" i="4"/>
  <c r="BF1688" i="4" l="1"/>
  <c r="BE1688" i="4"/>
  <c r="BD1690" i="4"/>
  <c r="BB1690" i="4"/>
  <c r="BA1691" i="4" s="1"/>
  <c r="BC1689" i="4"/>
  <c r="BG1689" i="4"/>
  <c r="BD1691" i="4" l="1"/>
  <c r="BB1691" i="4"/>
  <c r="BA1692" i="4" s="1"/>
  <c r="BF1689" i="4"/>
  <c r="BE1689" i="4"/>
  <c r="BC1690" i="4"/>
  <c r="BG1690" i="4"/>
  <c r="BD1692" i="4" l="1"/>
  <c r="BB1692" i="4"/>
  <c r="BA1693" i="4" s="1"/>
  <c r="BE1690" i="4"/>
  <c r="BF1690" i="4"/>
  <c r="BC1691" i="4"/>
  <c r="BG1691" i="4"/>
  <c r="BB1693" i="4" l="1"/>
  <c r="BA1694" i="4" s="1"/>
  <c r="BD1693" i="4"/>
  <c r="BE1691" i="4"/>
  <c r="BF1691" i="4"/>
  <c r="BG1692" i="4"/>
  <c r="BC1692" i="4"/>
  <c r="BC1693" i="4" l="1"/>
  <c r="BG1693" i="4"/>
  <c r="BF1692" i="4"/>
  <c r="BE1692" i="4"/>
  <c r="BB1694" i="4"/>
  <c r="BA1695" i="4" s="1"/>
  <c r="BD1694" i="4"/>
  <c r="BG1694" i="4" l="1"/>
  <c r="BC1694" i="4"/>
  <c r="BB1695" i="4"/>
  <c r="BA1696" i="4" s="1"/>
  <c r="BD1695" i="4"/>
  <c r="BE1693" i="4"/>
  <c r="BF1693" i="4"/>
  <c r="BG1695" i="4" l="1"/>
  <c r="BC1695" i="4"/>
  <c r="BB1696" i="4"/>
  <c r="BA1697" i="4" s="1"/>
  <c r="BD1696" i="4"/>
  <c r="BF1694" i="4"/>
  <c r="BE1694" i="4"/>
  <c r="BF1695" i="4" l="1"/>
  <c r="BE1695" i="4"/>
  <c r="BG1696" i="4"/>
  <c r="BC1696" i="4"/>
  <c r="BB1697" i="4"/>
  <c r="BA1698" i="4" s="1"/>
  <c r="BD1697" i="4"/>
  <c r="BB1698" i="4" l="1"/>
  <c r="BA1699" i="4" s="1"/>
  <c r="BD1698" i="4"/>
  <c r="BC1697" i="4"/>
  <c r="BG1697" i="4"/>
  <c r="BF1696" i="4"/>
  <c r="BE1696" i="4"/>
  <c r="BD1699" i="4" l="1"/>
  <c r="BB1699" i="4"/>
  <c r="BA1700" i="4" s="1"/>
  <c r="BF1697" i="4"/>
  <c r="BE1697" i="4"/>
  <c r="BC1698" i="4"/>
  <c r="BG1698" i="4"/>
  <c r="BF1698" i="4" l="1"/>
  <c r="BE1698" i="4"/>
  <c r="BD1700" i="4"/>
  <c r="BB1700" i="4"/>
  <c r="BA1701" i="4" s="1"/>
  <c r="BC1699" i="4"/>
  <c r="BG1699" i="4"/>
  <c r="BF1699" i="4" l="1"/>
  <c r="BE1699" i="4"/>
  <c r="BB1701" i="4"/>
  <c r="BA1702" i="4" s="1"/>
  <c r="BD1701" i="4"/>
  <c r="BG1700" i="4"/>
  <c r="BC1700" i="4"/>
  <c r="BE1700" i="4" l="1"/>
  <c r="BF1700" i="4"/>
  <c r="BC1701" i="4"/>
  <c r="BG1701" i="4"/>
  <c r="BB1702" i="4"/>
  <c r="BA1703" i="4" s="1"/>
  <c r="BD1702" i="4"/>
  <c r="BG1702" i="4" l="1"/>
  <c r="BC1702" i="4"/>
  <c r="BB1703" i="4"/>
  <c r="BA1704" i="4" s="1"/>
  <c r="BD1703" i="4"/>
  <c r="BE1701" i="4"/>
  <c r="BF1701" i="4"/>
  <c r="BD1704" i="4" l="1"/>
  <c r="BB1704" i="4"/>
  <c r="BA1705" i="4" s="1"/>
  <c r="BG1703" i="4"/>
  <c r="BC1703" i="4"/>
  <c r="BF1702" i="4"/>
  <c r="BE1702" i="4"/>
  <c r="BB1705" i="4" l="1"/>
  <c r="BA1706" i="4" s="1"/>
  <c r="BD1705" i="4"/>
  <c r="BF1703" i="4"/>
  <c r="BE1703" i="4"/>
  <c r="BG1704" i="4"/>
  <c r="BC1704" i="4"/>
  <c r="BD1706" i="4" l="1"/>
  <c r="BB1706" i="4"/>
  <c r="BA1707" i="4" s="1"/>
  <c r="BC1705" i="4"/>
  <c r="BG1705" i="4"/>
  <c r="BE1704" i="4"/>
  <c r="BF1704" i="4"/>
  <c r="BB1707" i="4" l="1"/>
  <c r="BA1708" i="4" s="1"/>
  <c r="BD1707" i="4"/>
  <c r="BE1705" i="4"/>
  <c r="BF1705" i="4"/>
  <c r="BC1706" i="4"/>
  <c r="BG1706" i="4"/>
  <c r="BF1706" i="4" l="1"/>
  <c r="BE1706" i="4"/>
  <c r="BC1707" i="4"/>
  <c r="BG1707" i="4"/>
  <c r="BD1708" i="4"/>
  <c r="BB1708" i="4"/>
  <c r="BA1709" i="4" s="1"/>
  <c r="BB1709" i="4" l="1"/>
  <c r="BA1710" i="4" s="1"/>
  <c r="BD1709" i="4"/>
  <c r="BE1707" i="4"/>
  <c r="BF1707" i="4"/>
  <c r="BG1708" i="4"/>
  <c r="BC1708" i="4"/>
  <c r="BG1709" i="4" l="1"/>
  <c r="BC1709" i="4"/>
  <c r="BB1710" i="4"/>
  <c r="BA1711" i="4" s="1"/>
  <c r="BD1710" i="4"/>
  <c r="BF1708" i="4"/>
  <c r="BE1708" i="4"/>
  <c r="BG1710" i="4" l="1"/>
  <c r="BC1710" i="4"/>
  <c r="BF1709" i="4"/>
  <c r="BE1709" i="4"/>
  <c r="BD1711" i="4"/>
  <c r="BB1711" i="4"/>
  <c r="BA1712" i="4" s="1"/>
  <c r="BD1712" i="4" l="1"/>
  <c r="BB1712" i="4"/>
  <c r="BA1713" i="4" s="1"/>
  <c r="BF1710" i="4"/>
  <c r="BE1710" i="4"/>
  <c r="BG1711" i="4"/>
  <c r="BC1711" i="4"/>
  <c r="BB1713" i="4" l="1"/>
  <c r="BA1714" i="4" s="1"/>
  <c r="BD1713" i="4"/>
  <c r="BE1711" i="4"/>
  <c r="BF1711" i="4"/>
  <c r="BG1712" i="4"/>
  <c r="BC1712" i="4"/>
  <c r="BD1714" i="4" l="1"/>
  <c r="BB1714" i="4"/>
  <c r="BA1715" i="4" s="1"/>
  <c r="BC1713" i="4"/>
  <c r="BG1713" i="4"/>
  <c r="BF1712" i="4"/>
  <c r="BE1712" i="4"/>
  <c r="BB1715" i="4" l="1"/>
  <c r="BA1716" i="4" s="1"/>
  <c r="BD1715" i="4"/>
  <c r="BC1714" i="4"/>
  <c r="BG1714" i="4"/>
  <c r="BE1713" i="4"/>
  <c r="BF1713" i="4"/>
  <c r="BD1716" i="4" l="1"/>
  <c r="BB1716" i="4"/>
  <c r="BA1717" i="4" s="1"/>
  <c r="BF1714" i="4"/>
  <c r="BE1714" i="4"/>
  <c r="BC1715" i="4"/>
  <c r="BG1715" i="4"/>
  <c r="BF1715" i="4" l="1"/>
  <c r="BE1715" i="4"/>
  <c r="BB1717" i="4"/>
  <c r="BA1718" i="4" s="1"/>
  <c r="BD1717" i="4"/>
  <c r="BG1716" i="4"/>
  <c r="BC1716" i="4"/>
  <c r="BE1716" i="4" l="1"/>
  <c r="BF1716" i="4"/>
  <c r="BB1718" i="4"/>
  <c r="BA1719" i="4" s="1"/>
  <c r="BD1718" i="4"/>
  <c r="BC1717" i="4"/>
  <c r="BG1717" i="4"/>
  <c r="BF1717" i="4" l="1"/>
  <c r="BE1717" i="4"/>
  <c r="BC1718" i="4"/>
  <c r="BG1718" i="4"/>
  <c r="BD1719" i="4"/>
  <c r="BB1719" i="4"/>
  <c r="BA1720" i="4" s="1"/>
  <c r="BG1719" i="4" l="1"/>
  <c r="BC1719" i="4"/>
  <c r="BE1718" i="4"/>
  <c r="BF1718" i="4"/>
  <c r="BD1720" i="4"/>
  <c r="BB1720" i="4"/>
  <c r="BA1721" i="4" s="1"/>
  <c r="BD1721" i="4" l="1"/>
  <c r="BB1721" i="4"/>
  <c r="BA1722" i="4" s="1"/>
  <c r="BC1720" i="4"/>
  <c r="BG1720" i="4"/>
  <c r="BF1719" i="4"/>
  <c r="BE1719" i="4"/>
  <c r="BB1722" i="4" l="1"/>
  <c r="BA1723" i="4" s="1"/>
  <c r="BD1722" i="4"/>
  <c r="BF1720" i="4"/>
  <c r="BE1720" i="4"/>
  <c r="BC1721" i="4"/>
  <c r="BG1721" i="4"/>
  <c r="BD1723" i="4" l="1"/>
  <c r="BB1723" i="4"/>
  <c r="BA1724" i="4" s="1"/>
  <c r="BF1721" i="4"/>
  <c r="BE1721" i="4"/>
  <c r="BC1722" i="4"/>
  <c r="BG1722" i="4"/>
  <c r="BE1722" i="4" l="1"/>
  <c r="BF1722" i="4"/>
  <c r="BD1724" i="4"/>
  <c r="BB1724" i="4"/>
  <c r="BA1725" i="4" s="1"/>
  <c r="BC1723" i="4"/>
  <c r="BG1723" i="4"/>
  <c r="BG1724" i="4" l="1"/>
  <c r="BC1724" i="4"/>
  <c r="BF1723" i="4"/>
  <c r="BE1723" i="4"/>
  <c r="BD1725" i="4"/>
  <c r="BB1725" i="4"/>
  <c r="BA1726" i="4" s="1"/>
  <c r="BD1726" i="4" l="1"/>
  <c r="BB1726" i="4"/>
  <c r="BA1727" i="4" s="1"/>
  <c r="BG1725" i="4"/>
  <c r="BC1725" i="4"/>
  <c r="BE1724" i="4"/>
  <c r="BF1724" i="4"/>
  <c r="BB1727" i="4" l="1"/>
  <c r="BA1728" i="4" s="1"/>
  <c r="BD1727" i="4"/>
  <c r="BF1725" i="4"/>
  <c r="BE1725" i="4"/>
  <c r="BG1726" i="4"/>
  <c r="BC1726" i="4"/>
  <c r="BG1727" i="4" l="1"/>
  <c r="BC1727" i="4"/>
  <c r="BF1726" i="4"/>
  <c r="BE1726" i="4"/>
  <c r="BD1728" i="4"/>
  <c r="BB1728" i="4"/>
  <c r="BA1729" i="4" s="1"/>
  <c r="BB1729" i="4" l="1"/>
  <c r="BA1730" i="4" s="1"/>
  <c r="BD1729" i="4"/>
  <c r="BG1728" i="4"/>
  <c r="BC1728" i="4"/>
  <c r="BF1727" i="4"/>
  <c r="BE1727" i="4"/>
  <c r="BB1730" i="4" l="1"/>
  <c r="BA1731" i="4" s="1"/>
  <c r="BD1730" i="4"/>
  <c r="BC1729" i="4"/>
  <c r="BG1729" i="4"/>
  <c r="BF1728" i="4"/>
  <c r="BE1728" i="4"/>
  <c r="BD1731" i="4" l="1"/>
  <c r="BB1731" i="4"/>
  <c r="BA1732" i="4" s="1"/>
  <c r="BC1730" i="4"/>
  <c r="BG1730" i="4"/>
  <c r="BF1729" i="4"/>
  <c r="BE1729" i="4"/>
  <c r="BB1732" i="4" l="1"/>
  <c r="BA1733" i="4" s="1"/>
  <c r="BD1732" i="4"/>
  <c r="BF1730" i="4"/>
  <c r="BE1730" i="4"/>
  <c r="BC1731" i="4"/>
  <c r="BG1731" i="4"/>
  <c r="BC1732" i="4" l="1"/>
  <c r="BG1732" i="4"/>
  <c r="BD1733" i="4"/>
  <c r="BB1733" i="4"/>
  <c r="BA1734" i="4" s="1"/>
  <c r="BE1731" i="4"/>
  <c r="BF1731" i="4"/>
  <c r="BC1733" i="4" l="1"/>
  <c r="BG1733" i="4"/>
  <c r="BB1734" i="4"/>
  <c r="BA1735" i="4" s="1"/>
  <c r="BD1734" i="4"/>
  <c r="BE1732" i="4"/>
  <c r="BF1732" i="4"/>
  <c r="BC1734" i="4" l="1"/>
  <c r="BG1734" i="4"/>
  <c r="BD1735" i="4"/>
  <c r="BB1735" i="4"/>
  <c r="BA1736" i="4" s="1"/>
  <c r="BE1733" i="4"/>
  <c r="BF1733" i="4"/>
  <c r="BG1735" i="4" l="1"/>
  <c r="BC1735" i="4"/>
  <c r="BD1736" i="4"/>
  <c r="BB1736" i="4"/>
  <c r="BA1737" i="4" s="1"/>
  <c r="BE1734" i="4"/>
  <c r="BF1734" i="4"/>
  <c r="BD1737" i="4" l="1"/>
  <c r="BB1737" i="4"/>
  <c r="BA1738" i="4" s="1"/>
  <c r="BC1736" i="4"/>
  <c r="BG1736" i="4"/>
  <c r="BF1735" i="4"/>
  <c r="BE1735" i="4"/>
  <c r="BF1736" i="4" l="1"/>
  <c r="BE1736" i="4"/>
  <c r="BD1738" i="4"/>
  <c r="BB1738" i="4"/>
  <c r="BA1739" i="4" s="1"/>
  <c r="BC1737" i="4"/>
  <c r="BG1737" i="4"/>
  <c r="BD1739" i="4" l="1"/>
  <c r="BB1739" i="4"/>
  <c r="BA1740" i="4" s="1"/>
  <c r="BC1738" i="4"/>
  <c r="BG1738" i="4"/>
  <c r="BE1737" i="4"/>
  <c r="BF1737" i="4"/>
  <c r="BE1738" i="4" l="1"/>
  <c r="BF1738" i="4"/>
  <c r="BB1740" i="4"/>
  <c r="BA1741" i="4" s="1"/>
  <c r="BD1740" i="4"/>
  <c r="BC1739" i="4"/>
  <c r="BG1739" i="4"/>
  <c r="BF1739" i="4" l="1"/>
  <c r="BE1739" i="4"/>
  <c r="BG1740" i="4"/>
  <c r="BC1740" i="4"/>
  <c r="BB1741" i="4"/>
  <c r="BA1742" i="4" s="1"/>
  <c r="BD1741" i="4"/>
  <c r="BC1741" i="4" l="1"/>
  <c r="BG1741" i="4"/>
  <c r="BB1742" i="4"/>
  <c r="BA1743" i="4" s="1"/>
  <c r="BD1742" i="4"/>
  <c r="BF1740" i="4"/>
  <c r="BE1740" i="4"/>
  <c r="BC1742" i="4" l="1"/>
  <c r="BG1742" i="4"/>
  <c r="BB1743" i="4"/>
  <c r="BA1744" i="4" s="1"/>
  <c r="BD1743" i="4"/>
  <c r="BE1741" i="4"/>
  <c r="BF1741" i="4"/>
  <c r="BG1743" i="4" l="1"/>
  <c r="BC1743" i="4"/>
  <c r="BD1744" i="4"/>
  <c r="BB1744" i="4"/>
  <c r="BA1745" i="4" s="1"/>
  <c r="BF1742" i="4"/>
  <c r="BE1742" i="4"/>
  <c r="BB1745" i="4" l="1"/>
  <c r="BA1746" i="4" s="1"/>
  <c r="BD1745" i="4"/>
  <c r="BE1743" i="4"/>
  <c r="BF1743" i="4"/>
  <c r="BG1744" i="4"/>
  <c r="BC1744" i="4"/>
  <c r="BB1746" i="4" l="1"/>
  <c r="BA1747" i="4" s="1"/>
  <c r="BD1746" i="4"/>
  <c r="BF1744" i="4"/>
  <c r="BE1744" i="4"/>
  <c r="BC1745" i="4"/>
  <c r="BG1745" i="4"/>
  <c r="BF1745" i="4" l="1"/>
  <c r="BE1745" i="4"/>
  <c r="BC1746" i="4"/>
  <c r="BG1746" i="4"/>
  <c r="BD1747" i="4"/>
  <c r="BB1747" i="4"/>
  <c r="BA1748" i="4" s="1"/>
  <c r="BB1748" i="4" l="1"/>
  <c r="BA1749" i="4" s="1"/>
  <c r="BD1748" i="4"/>
  <c r="BC1747" i="4"/>
  <c r="BG1747" i="4"/>
  <c r="BF1746" i="4"/>
  <c r="BE1746" i="4"/>
  <c r="BC1748" i="4" l="1"/>
  <c r="BG1748" i="4"/>
  <c r="BE1747" i="4"/>
  <c r="BF1747" i="4"/>
  <c r="BD1749" i="4"/>
  <c r="BB1749" i="4"/>
  <c r="BA1750" i="4" s="1"/>
  <c r="BC1749" i="4" l="1"/>
  <c r="BG1749" i="4"/>
  <c r="BD1750" i="4"/>
  <c r="BB1750" i="4"/>
  <c r="BA1751" i="4" s="1"/>
  <c r="BE1748" i="4"/>
  <c r="BF1748" i="4"/>
  <c r="BD1751" i="4" l="1"/>
  <c r="BB1751" i="4"/>
  <c r="BA1752" i="4" s="1"/>
  <c r="BG1750" i="4"/>
  <c r="BC1750" i="4"/>
  <c r="BE1749" i="4"/>
  <c r="BF1749" i="4"/>
  <c r="BB1752" i="4" l="1"/>
  <c r="BA1753" i="4" s="1"/>
  <c r="BD1752" i="4"/>
  <c r="BE1750" i="4"/>
  <c r="BF1750" i="4"/>
  <c r="BG1751" i="4"/>
  <c r="BC1751" i="4"/>
  <c r="BD1753" i="4" l="1"/>
  <c r="BB1753" i="4"/>
  <c r="BA1754" i="4" s="1"/>
  <c r="BE1751" i="4"/>
  <c r="BF1751" i="4"/>
  <c r="BC1752" i="4"/>
  <c r="BG1752" i="4"/>
  <c r="BF1752" i="4" l="1"/>
  <c r="BE1752" i="4"/>
  <c r="BD1754" i="4"/>
  <c r="BB1754" i="4"/>
  <c r="BA1755" i="4" s="1"/>
  <c r="BC1753" i="4"/>
  <c r="BG1753" i="4"/>
  <c r="BB1755" i="4" l="1"/>
  <c r="BA1756" i="4" s="1"/>
  <c r="BD1755" i="4"/>
  <c r="BF1753" i="4"/>
  <c r="BE1753" i="4"/>
  <c r="BC1754" i="4"/>
  <c r="BG1754" i="4"/>
  <c r="BC1755" i="4" l="1"/>
  <c r="BG1755" i="4"/>
  <c r="BD1756" i="4"/>
  <c r="BB1756" i="4"/>
  <c r="BA1757" i="4" s="1"/>
  <c r="BF1754" i="4"/>
  <c r="BE1754" i="4"/>
  <c r="BG1756" i="4" l="1"/>
  <c r="BC1756" i="4"/>
  <c r="BB1757" i="4"/>
  <c r="BA1758" i="4" s="1"/>
  <c r="BD1757" i="4"/>
  <c r="BE1755" i="4"/>
  <c r="BF1755" i="4"/>
  <c r="BC1757" i="4" l="1"/>
  <c r="BG1757" i="4"/>
  <c r="BE1756" i="4"/>
  <c r="BF1756" i="4"/>
  <c r="BB1758" i="4"/>
  <c r="BA1759" i="4" s="1"/>
  <c r="BD1758" i="4"/>
  <c r="BC1758" i="4" l="1"/>
  <c r="BG1758" i="4"/>
  <c r="BB1759" i="4"/>
  <c r="BA1760" i="4" s="1"/>
  <c r="BD1759" i="4"/>
  <c r="BF1757" i="4"/>
  <c r="BE1757" i="4"/>
  <c r="BG1759" i="4" l="1"/>
  <c r="BC1759" i="4"/>
  <c r="BD1760" i="4"/>
  <c r="BB1760" i="4"/>
  <c r="BA1761" i="4" s="1"/>
  <c r="BE1758" i="4"/>
  <c r="BF1758" i="4"/>
  <c r="BD1761" i="4" l="1"/>
  <c r="BB1761" i="4"/>
  <c r="BA1762" i="4" s="1"/>
  <c r="BG1760" i="4"/>
  <c r="BC1760" i="4"/>
  <c r="BE1759" i="4"/>
  <c r="BF1759" i="4"/>
  <c r="BF1760" i="4" l="1"/>
  <c r="BE1760" i="4"/>
  <c r="BD1762" i="4"/>
  <c r="BB1762" i="4"/>
  <c r="BA1763" i="4" s="1"/>
  <c r="BC1761" i="4"/>
  <c r="BG1761" i="4"/>
  <c r="BC1762" i="4" l="1"/>
  <c r="BG1762" i="4"/>
  <c r="BE1761" i="4"/>
  <c r="BF1761" i="4"/>
  <c r="BD1763" i="4"/>
  <c r="BB1763" i="4"/>
  <c r="BA1764" i="4" s="1"/>
  <c r="BD1764" i="4" l="1"/>
  <c r="BB1764" i="4"/>
  <c r="BA1765" i="4" s="1"/>
  <c r="BC1763" i="4"/>
  <c r="BG1763" i="4"/>
  <c r="BE1762" i="4"/>
  <c r="BF1762" i="4"/>
  <c r="BB1765" i="4" l="1"/>
  <c r="BA1766" i="4" s="1"/>
  <c r="BD1765" i="4"/>
  <c r="BE1763" i="4"/>
  <c r="BF1763" i="4"/>
  <c r="BC1764" i="4"/>
  <c r="BG1764" i="4"/>
  <c r="BC1765" i="4" l="1"/>
  <c r="BG1765" i="4"/>
  <c r="BE1764" i="4"/>
  <c r="BF1764" i="4"/>
  <c r="BD1766" i="4"/>
  <c r="BB1766" i="4"/>
  <c r="BA1767" i="4" s="1"/>
  <c r="BD1767" i="4" l="1"/>
  <c r="BB1767" i="4"/>
  <c r="BA1768" i="4" s="1"/>
  <c r="BG1766" i="4"/>
  <c r="BC1766" i="4"/>
  <c r="BE1765" i="4"/>
  <c r="BF1765" i="4"/>
  <c r="BB1768" i="4" l="1"/>
  <c r="BA1769" i="4" s="1"/>
  <c r="BD1768" i="4"/>
  <c r="BE1766" i="4"/>
  <c r="BF1766" i="4"/>
  <c r="BG1767" i="4"/>
  <c r="BC1767" i="4"/>
  <c r="BF1767" i="4" l="1"/>
  <c r="BE1767" i="4"/>
  <c r="BB1769" i="4"/>
  <c r="BA1770" i="4" s="1"/>
  <c r="BD1769" i="4"/>
  <c r="BG1768" i="4"/>
  <c r="BC1768" i="4"/>
  <c r="BF1768" i="4" l="1"/>
  <c r="BE1768" i="4"/>
  <c r="BB1770" i="4"/>
  <c r="BA1771" i="4" s="1"/>
  <c r="BD1770" i="4"/>
  <c r="BC1769" i="4"/>
  <c r="BG1769" i="4"/>
  <c r="BB1771" i="4" l="1"/>
  <c r="BA1772" i="4" s="1"/>
  <c r="BD1771" i="4"/>
  <c r="BE1769" i="4"/>
  <c r="BF1769" i="4"/>
  <c r="BC1770" i="4"/>
  <c r="BG1770" i="4"/>
  <c r="BB1772" i="4" l="1"/>
  <c r="BA1773" i="4" s="1"/>
  <c r="BD1772" i="4"/>
  <c r="BF1770" i="4"/>
  <c r="BE1770" i="4"/>
  <c r="BC1771" i="4"/>
  <c r="BG1771" i="4"/>
  <c r="BF1771" i="4" l="1"/>
  <c r="BE1771" i="4"/>
  <c r="BG1772" i="4"/>
  <c r="BC1772" i="4"/>
  <c r="BD1773" i="4"/>
  <c r="BB1773" i="4"/>
  <c r="BA1774" i="4" s="1"/>
  <c r="BB1774" i="4" l="1"/>
  <c r="BA1775" i="4" s="1"/>
  <c r="BD1774" i="4"/>
  <c r="BC1773" i="4"/>
  <c r="BG1773" i="4"/>
  <c r="BF1772" i="4"/>
  <c r="BE1772" i="4"/>
  <c r="BG1774" i="4" l="1"/>
  <c r="BC1774" i="4"/>
  <c r="BB1775" i="4"/>
  <c r="BA1776" i="4" s="1"/>
  <c r="BD1775" i="4"/>
  <c r="BE1773" i="4"/>
  <c r="BF1773" i="4"/>
  <c r="BG1775" i="4" l="1"/>
  <c r="BC1775" i="4"/>
  <c r="BE1774" i="4"/>
  <c r="BF1774" i="4"/>
  <c r="BD1776" i="4"/>
  <c r="BB1776" i="4"/>
  <c r="BA1777" i="4" s="1"/>
  <c r="BB1777" i="4" l="1"/>
  <c r="BA1778" i="4" s="1"/>
  <c r="BD1777" i="4"/>
  <c r="BG1776" i="4"/>
  <c r="BC1776" i="4"/>
  <c r="BF1775" i="4"/>
  <c r="BE1775" i="4"/>
  <c r="BD1778" i="4" l="1"/>
  <c r="BB1778" i="4"/>
  <c r="BA1779" i="4" s="1"/>
  <c r="BC1777" i="4"/>
  <c r="BG1777" i="4"/>
  <c r="BE1776" i="4"/>
  <c r="BF1776" i="4"/>
  <c r="BF1777" i="4" l="1"/>
  <c r="BE1777" i="4"/>
  <c r="BD1779" i="4"/>
  <c r="BB1779" i="4"/>
  <c r="BA1780" i="4" s="1"/>
  <c r="BC1778" i="4"/>
  <c r="BG1778" i="4"/>
  <c r="BB1780" i="4" l="1"/>
  <c r="BA1781" i="4" s="1"/>
  <c r="BD1780" i="4"/>
  <c r="BE1778" i="4"/>
  <c r="BF1778" i="4"/>
  <c r="BC1779" i="4"/>
  <c r="BG1779" i="4"/>
  <c r="BG1780" i="4" l="1"/>
  <c r="BC1780" i="4"/>
  <c r="BD1781" i="4"/>
  <c r="BB1781" i="4"/>
  <c r="BA1782" i="4" s="1"/>
  <c r="BE1779" i="4"/>
  <c r="BF1779" i="4"/>
  <c r="BC1781" i="4" l="1"/>
  <c r="BG1781" i="4"/>
  <c r="BB1782" i="4"/>
  <c r="BA1783" i="4" s="1"/>
  <c r="BD1782" i="4"/>
  <c r="BE1780" i="4"/>
  <c r="BF1780" i="4"/>
  <c r="BG1782" i="4" l="1"/>
  <c r="BC1782" i="4"/>
  <c r="BB1783" i="4"/>
  <c r="BA1784" i="4" s="1"/>
  <c r="BD1783" i="4"/>
  <c r="BF1781" i="4"/>
  <c r="BE1781" i="4"/>
  <c r="BG1783" i="4" l="1"/>
  <c r="BC1783" i="4"/>
  <c r="BD1784" i="4"/>
  <c r="BB1784" i="4"/>
  <c r="BA1785" i="4" s="1"/>
  <c r="BF1782" i="4"/>
  <c r="BE1782" i="4"/>
  <c r="BB1785" i="4" l="1"/>
  <c r="BA1786" i="4" s="1"/>
  <c r="BD1785" i="4"/>
  <c r="BF1783" i="4"/>
  <c r="BE1783" i="4"/>
  <c r="BG1784" i="4"/>
  <c r="BC1784" i="4"/>
  <c r="BB1786" i="4" l="1"/>
  <c r="BA1787" i="4" s="1"/>
  <c r="BD1786" i="4"/>
  <c r="BF1784" i="4"/>
  <c r="BE1784" i="4"/>
  <c r="BC1785" i="4"/>
  <c r="BG1785" i="4"/>
  <c r="BD1787" i="4" l="1"/>
  <c r="BB1787" i="4"/>
  <c r="BA1788" i="4" s="1"/>
  <c r="BE1785" i="4"/>
  <c r="BF1785" i="4"/>
  <c r="BC1786" i="4"/>
  <c r="BG1786" i="4"/>
  <c r="BD1788" i="4" l="1"/>
  <c r="BB1788" i="4"/>
  <c r="BA1789" i="4" s="1"/>
  <c r="BE1786" i="4"/>
  <c r="BF1786" i="4"/>
  <c r="BC1787" i="4"/>
  <c r="BG1787" i="4"/>
  <c r="BF1787" i="4" l="1"/>
  <c r="BE1787" i="4"/>
  <c r="BD1789" i="4"/>
  <c r="BB1789" i="4"/>
  <c r="BA1790" i="4" s="1"/>
  <c r="BG1788" i="4"/>
  <c r="BC1788" i="4"/>
  <c r="BC1789" i="4" l="1"/>
  <c r="BG1789" i="4"/>
  <c r="BF1788" i="4"/>
  <c r="BE1788" i="4"/>
  <c r="BD1790" i="4"/>
  <c r="BB1790" i="4"/>
  <c r="BA1791" i="4" s="1"/>
  <c r="BB1791" i="4" l="1"/>
  <c r="BA1792" i="4" s="1"/>
  <c r="BD1791" i="4"/>
  <c r="BC1790" i="4"/>
  <c r="BG1790" i="4"/>
  <c r="BF1789" i="4"/>
  <c r="BE1789" i="4"/>
  <c r="BD1792" i="4" l="1"/>
  <c r="BB1792" i="4"/>
  <c r="BA1793" i="4" s="1"/>
  <c r="BG1791" i="4"/>
  <c r="BC1791" i="4"/>
  <c r="BE1790" i="4"/>
  <c r="BF1790" i="4"/>
  <c r="BF1791" i="4" l="1"/>
  <c r="BE1791" i="4"/>
  <c r="BB1793" i="4"/>
  <c r="BA1794" i="4" s="1"/>
  <c r="BD1793" i="4"/>
  <c r="BG1792" i="4"/>
  <c r="BC1792" i="4"/>
  <c r="BB1794" i="4" l="1"/>
  <c r="BA1795" i="4" s="1"/>
  <c r="BD1794" i="4"/>
  <c r="BE1792" i="4"/>
  <c r="BF1792" i="4"/>
  <c r="BC1793" i="4"/>
  <c r="BG1793" i="4"/>
  <c r="BD1795" i="4" l="1"/>
  <c r="BB1795" i="4"/>
  <c r="BA1796" i="4" s="1"/>
  <c r="BE1793" i="4"/>
  <c r="BF1793" i="4"/>
  <c r="BC1794" i="4"/>
  <c r="BG1794" i="4"/>
  <c r="BF1794" i="4" l="1"/>
  <c r="BE1794" i="4"/>
  <c r="BB1796" i="4"/>
  <c r="BA1797" i="4" s="1"/>
  <c r="BD1796" i="4"/>
  <c r="BC1795" i="4"/>
  <c r="BG1795" i="4"/>
  <c r="BC1796" i="4" l="1"/>
  <c r="BG1796" i="4"/>
  <c r="BD1797" i="4"/>
  <c r="BB1797" i="4"/>
  <c r="BA1798" i="4" s="1"/>
  <c r="BE1795" i="4"/>
  <c r="BF1795" i="4"/>
  <c r="BC1797" i="4" l="1"/>
  <c r="BG1797" i="4"/>
  <c r="BD1798" i="4"/>
  <c r="BB1798" i="4"/>
  <c r="BA1799" i="4" s="1"/>
  <c r="BE1796" i="4"/>
  <c r="BF1796" i="4"/>
  <c r="BD1799" i="4" l="1"/>
  <c r="BB1799" i="4"/>
  <c r="BA1800" i="4" s="1"/>
  <c r="BC1798" i="4"/>
  <c r="BG1798" i="4"/>
  <c r="BE1797" i="4"/>
  <c r="BF1797" i="4"/>
  <c r="BD1800" i="4" l="1"/>
  <c r="BB1800" i="4"/>
  <c r="BA1801" i="4" s="1"/>
  <c r="BE1798" i="4"/>
  <c r="BF1798" i="4"/>
  <c r="BG1799" i="4"/>
  <c r="BC1799" i="4"/>
  <c r="BD1801" i="4" l="1"/>
  <c r="BB1801" i="4"/>
  <c r="BA1802" i="4" s="1"/>
  <c r="BF1799" i="4"/>
  <c r="BE1799" i="4"/>
  <c r="BC1800" i="4"/>
  <c r="BG1800" i="4"/>
  <c r="BB1802" i="4" l="1"/>
  <c r="BA1803" i="4" s="1"/>
  <c r="BD1802" i="4"/>
  <c r="BC1801" i="4"/>
  <c r="BG1801" i="4"/>
  <c r="BF1800" i="4"/>
  <c r="BE1800" i="4"/>
  <c r="BB1803" i="4" l="1"/>
  <c r="BA1804" i="4" s="1"/>
  <c r="BD1803" i="4"/>
  <c r="BF1801" i="4"/>
  <c r="BE1801" i="4"/>
  <c r="BC1802" i="4"/>
  <c r="BG1802" i="4"/>
  <c r="BC1803" i="4" l="1"/>
  <c r="BG1803" i="4"/>
  <c r="BD1804" i="4"/>
  <c r="BB1804" i="4"/>
  <c r="BA1805" i="4" s="1"/>
  <c r="BE1802" i="4"/>
  <c r="BF1802" i="4"/>
  <c r="BB1805" i="4" l="1"/>
  <c r="BA1806" i="4" s="1"/>
  <c r="BD1805" i="4"/>
  <c r="BG1804" i="4"/>
  <c r="BC1804" i="4"/>
  <c r="BF1803" i="4"/>
  <c r="BE1803" i="4"/>
  <c r="BE1804" i="4" l="1"/>
  <c r="BF1804" i="4"/>
  <c r="BC1805" i="4"/>
  <c r="BG1805" i="4"/>
  <c r="BD1806" i="4"/>
  <c r="BB1806" i="4"/>
  <c r="BA1807" i="4" s="1"/>
  <c r="BB1807" i="4" l="1"/>
  <c r="BA1808" i="4" s="1"/>
  <c r="BD1807" i="4"/>
  <c r="BE1805" i="4"/>
  <c r="BF1805" i="4"/>
  <c r="BC1806" i="4"/>
  <c r="BG1806" i="4"/>
  <c r="BG1807" i="4" l="1"/>
  <c r="BC1807" i="4"/>
  <c r="BD1808" i="4"/>
  <c r="BB1808" i="4"/>
  <c r="BA1809" i="4" s="1"/>
  <c r="BE1806" i="4"/>
  <c r="BF1806" i="4"/>
  <c r="BD1809" i="4" l="1"/>
  <c r="BB1809" i="4"/>
  <c r="BA1810" i="4" s="1"/>
  <c r="BE1807" i="4"/>
  <c r="BF1807" i="4"/>
  <c r="BG1808" i="4"/>
  <c r="BC1808" i="4"/>
  <c r="BD1810" i="4" l="1"/>
  <c r="BB1810" i="4"/>
  <c r="BA1811" i="4" s="1"/>
  <c r="BE1808" i="4"/>
  <c r="BF1808" i="4"/>
  <c r="BC1809" i="4"/>
  <c r="BG1809" i="4"/>
  <c r="BE1809" i="4" l="1"/>
  <c r="BF1809" i="4"/>
  <c r="BD1811" i="4"/>
  <c r="BB1811" i="4"/>
  <c r="BA1812" i="4" s="1"/>
  <c r="BC1810" i="4"/>
  <c r="BG1810" i="4"/>
  <c r="BC1811" i="4" l="1"/>
  <c r="BG1811" i="4"/>
  <c r="BE1810" i="4"/>
  <c r="BF1810" i="4"/>
  <c r="BB1812" i="4"/>
  <c r="BA1813" i="4" s="1"/>
  <c r="BD1812" i="4"/>
  <c r="BC1812" i="4" l="1"/>
  <c r="BG1812" i="4"/>
  <c r="BB1813" i="4"/>
  <c r="BA1814" i="4" s="1"/>
  <c r="BD1813" i="4"/>
  <c r="BE1811" i="4"/>
  <c r="BF1811" i="4"/>
  <c r="BC1813" i="4" l="1"/>
  <c r="BG1813" i="4"/>
  <c r="BD1814" i="4"/>
  <c r="BB1814" i="4"/>
  <c r="BA1815" i="4" s="1"/>
  <c r="BE1812" i="4"/>
  <c r="BF1812" i="4"/>
  <c r="BC1814" i="4" l="1"/>
  <c r="BG1814" i="4"/>
  <c r="BD1815" i="4"/>
  <c r="BB1815" i="4"/>
  <c r="BA1816" i="4" s="1"/>
  <c r="BE1813" i="4"/>
  <c r="BF1813" i="4"/>
  <c r="BG1815" i="4" l="1"/>
  <c r="BC1815" i="4"/>
  <c r="BD1816" i="4"/>
  <c r="BB1816" i="4"/>
  <c r="BA1817" i="4" s="1"/>
  <c r="BE1814" i="4"/>
  <c r="BF1814" i="4"/>
  <c r="BG1816" i="4" l="1"/>
  <c r="BC1816" i="4"/>
  <c r="BF1815" i="4"/>
  <c r="BE1815" i="4"/>
  <c r="BB1817" i="4"/>
  <c r="BA1818" i="4" s="1"/>
  <c r="BD1817" i="4"/>
  <c r="BC1817" i="4" l="1"/>
  <c r="BG1817" i="4"/>
  <c r="BE1816" i="4"/>
  <c r="BF1816" i="4"/>
  <c r="BD1818" i="4"/>
  <c r="BB1818" i="4"/>
  <c r="BA1819" i="4" s="1"/>
  <c r="BD1819" i="4" l="1"/>
  <c r="BB1819" i="4"/>
  <c r="BA1820" i="4" s="1"/>
  <c r="BC1818" i="4"/>
  <c r="BG1818" i="4"/>
  <c r="BE1817" i="4"/>
  <c r="BF1817" i="4"/>
  <c r="BB1820" i="4" l="1"/>
  <c r="BA1821" i="4" s="1"/>
  <c r="BD1820" i="4"/>
  <c r="BE1818" i="4"/>
  <c r="BF1818" i="4"/>
  <c r="BC1819" i="4"/>
  <c r="BG1819" i="4"/>
  <c r="BG1820" i="4" l="1"/>
  <c r="BC1820" i="4"/>
  <c r="BD1821" i="4"/>
  <c r="BB1821" i="4"/>
  <c r="BA1822" i="4" s="1"/>
  <c r="BE1819" i="4"/>
  <c r="BF1819" i="4"/>
  <c r="BD1822" i="4" l="1"/>
  <c r="BB1822" i="4"/>
  <c r="BA1823" i="4" s="1"/>
  <c r="BC1821" i="4"/>
  <c r="BG1821" i="4"/>
  <c r="BF1820" i="4"/>
  <c r="BE1820" i="4"/>
  <c r="BD1823" i="4" l="1"/>
  <c r="BB1823" i="4"/>
  <c r="BA1824" i="4" s="1"/>
  <c r="BF1821" i="4"/>
  <c r="BE1821" i="4"/>
  <c r="BG1822" i="4"/>
  <c r="BC1822" i="4"/>
  <c r="BD1824" i="4" l="1"/>
  <c r="BB1824" i="4"/>
  <c r="BA1825" i="4" s="1"/>
  <c r="BG1823" i="4"/>
  <c r="BC1823" i="4"/>
  <c r="BE1822" i="4"/>
  <c r="BF1822" i="4"/>
  <c r="BF1823" i="4" l="1"/>
  <c r="BE1823" i="4"/>
  <c r="BB1825" i="4"/>
  <c r="BA1826" i="4" s="1"/>
  <c r="BD1825" i="4"/>
  <c r="BG1824" i="4"/>
  <c r="BC1824" i="4"/>
  <c r="BB1826" i="4" l="1"/>
  <c r="BA1827" i="4" s="1"/>
  <c r="BD1826" i="4"/>
  <c r="BF1824" i="4"/>
  <c r="BE1824" i="4"/>
  <c r="BC1825" i="4"/>
  <c r="BG1825" i="4"/>
  <c r="BD1827" i="4" l="1"/>
  <c r="BB1827" i="4"/>
  <c r="BA1828" i="4" s="1"/>
  <c r="BE1825" i="4"/>
  <c r="BF1825" i="4"/>
  <c r="BC1826" i="4"/>
  <c r="BG1826" i="4"/>
  <c r="BB1828" i="4" l="1"/>
  <c r="BA1829" i="4" s="1"/>
  <c r="BD1828" i="4"/>
  <c r="BC1827" i="4"/>
  <c r="BG1827" i="4"/>
  <c r="BF1826" i="4"/>
  <c r="BE1826" i="4"/>
  <c r="BF1827" i="4" l="1"/>
  <c r="BE1827" i="4"/>
  <c r="BC1828" i="4"/>
  <c r="BG1828" i="4"/>
  <c r="BB1829" i="4"/>
  <c r="BA1830" i="4" s="1"/>
  <c r="BD1829" i="4"/>
  <c r="BC1829" i="4" l="1"/>
  <c r="BG1829" i="4"/>
  <c r="BF1828" i="4"/>
  <c r="BE1828" i="4"/>
  <c r="BD1830" i="4"/>
  <c r="BB1830" i="4"/>
  <c r="BA1831" i="4" s="1"/>
  <c r="BB1831" i="4" l="1"/>
  <c r="BA1832" i="4" s="1"/>
  <c r="BD1831" i="4"/>
  <c r="BG1830" i="4"/>
  <c r="BC1830" i="4"/>
  <c r="BF1829" i="4"/>
  <c r="BE1829" i="4"/>
  <c r="BF1830" i="4" l="1"/>
  <c r="BE1830" i="4"/>
  <c r="BG1831" i="4"/>
  <c r="BC1831" i="4"/>
  <c r="BD1832" i="4"/>
  <c r="BB1832" i="4"/>
  <c r="BA1833" i="4" s="1"/>
  <c r="BB1833" i="4" l="1"/>
  <c r="BA1834" i="4" s="1"/>
  <c r="BD1833" i="4"/>
  <c r="BE1831" i="4"/>
  <c r="BF1831" i="4"/>
  <c r="BG1832" i="4"/>
  <c r="BC1832" i="4"/>
  <c r="BB1834" i="4" l="1"/>
  <c r="BA1835" i="4" s="1"/>
  <c r="BD1834" i="4"/>
  <c r="BF1832" i="4"/>
  <c r="BE1832" i="4"/>
  <c r="BC1833" i="4"/>
  <c r="BG1833" i="4"/>
  <c r="BE1833" i="4" l="1"/>
  <c r="BF1833" i="4"/>
  <c r="BC1834" i="4"/>
  <c r="BG1834" i="4"/>
  <c r="BB1835" i="4"/>
  <c r="BA1836" i="4" s="1"/>
  <c r="BD1835" i="4"/>
  <c r="BD1836" i="4" l="1"/>
  <c r="BB1836" i="4"/>
  <c r="BA1837" i="4" s="1"/>
  <c r="BF1834" i="4"/>
  <c r="BE1834" i="4"/>
  <c r="BC1835" i="4"/>
  <c r="BG1835" i="4"/>
  <c r="BB1837" i="4" l="1"/>
  <c r="BA1838" i="4" s="1"/>
  <c r="BD1837" i="4"/>
  <c r="BF1835" i="4"/>
  <c r="BE1835" i="4"/>
  <c r="BG1836" i="4"/>
  <c r="BC1836" i="4"/>
  <c r="BF1836" i="4" l="1"/>
  <c r="BE1836" i="4"/>
  <c r="BC1837" i="4"/>
  <c r="BG1837" i="4"/>
  <c r="BB1838" i="4"/>
  <c r="BA1839" i="4" s="1"/>
  <c r="BD1838" i="4"/>
  <c r="BC1838" i="4" l="1"/>
  <c r="BG1838" i="4"/>
  <c r="BB1839" i="4"/>
  <c r="BA1840" i="4" s="1"/>
  <c r="BD1839" i="4"/>
  <c r="BE1837" i="4"/>
  <c r="BF1837" i="4"/>
  <c r="BG1839" i="4" l="1"/>
  <c r="BC1839" i="4"/>
  <c r="BD1840" i="4"/>
  <c r="BB1840" i="4"/>
  <c r="BA1841" i="4" s="1"/>
  <c r="BE1838" i="4"/>
  <c r="BF1838" i="4"/>
  <c r="BB1841" i="4" l="1"/>
  <c r="BA1842" i="4" s="1"/>
  <c r="BD1841" i="4"/>
  <c r="BE1839" i="4"/>
  <c r="BF1839" i="4"/>
  <c r="BG1840" i="4"/>
  <c r="BC1840" i="4"/>
  <c r="BF1840" i="4" l="1"/>
  <c r="BE1840" i="4"/>
  <c r="BB1842" i="4"/>
  <c r="BA1843" i="4" s="1"/>
  <c r="BD1842" i="4"/>
  <c r="BC1841" i="4"/>
  <c r="BG1841" i="4"/>
  <c r="BD1843" i="4" l="1"/>
  <c r="BB1843" i="4"/>
  <c r="BA1844" i="4" s="1"/>
  <c r="BF1841" i="4"/>
  <c r="BE1841" i="4"/>
  <c r="BC1842" i="4"/>
  <c r="BG1842" i="4"/>
  <c r="BF1842" i="4" l="1"/>
  <c r="BE1842" i="4"/>
  <c r="BD1844" i="4"/>
  <c r="BB1844" i="4"/>
  <c r="BA1845" i="4" s="1"/>
  <c r="BC1843" i="4"/>
  <c r="BG1843" i="4"/>
  <c r="BE1843" i="4" l="1"/>
  <c r="BF1843" i="4"/>
  <c r="BB1845" i="4"/>
  <c r="BA1846" i="4" s="1"/>
  <c r="BD1845" i="4"/>
  <c r="BG1844" i="4"/>
  <c r="BC1844" i="4"/>
  <c r="BC1845" i="4" l="1"/>
  <c r="BG1845" i="4"/>
  <c r="BF1844" i="4"/>
  <c r="BE1844" i="4"/>
  <c r="BD1846" i="4"/>
  <c r="BB1846" i="4"/>
  <c r="BA1847" i="4" s="1"/>
  <c r="BD1847" i="4" l="1"/>
  <c r="BB1847" i="4"/>
  <c r="BA1848" i="4" s="1"/>
  <c r="BC1846" i="4"/>
  <c r="BG1846" i="4"/>
  <c r="BF1845" i="4"/>
  <c r="BE1845" i="4"/>
  <c r="BE1846" i="4" l="1"/>
  <c r="BF1846" i="4"/>
  <c r="BB1848" i="4"/>
  <c r="BA1849" i="4" s="1"/>
  <c r="BD1848" i="4"/>
  <c r="BG1847" i="4"/>
  <c r="BC1847" i="4"/>
  <c r="BB1849" i="4" l="1"/>
  <c r="BA1850" i="4" s="1"/>
  <c r="BD1849" i="4"/>
  <c r="BF1847" i="4"/>
  <c r="BE1847" i="4"/>
  <c r="BG1848" i="4"/>
  <c r="BC1848" i="4"/>
  <c r="BB1850" i="4" l="1"/>
  <c r="BA1851" i="4" s="1"/>
  <c r="BD1850" i="4"/>
  <c r="BE1848" i="4"/>
  <c r="BF1848" i="4"/>
  <c r="BC1849" i="4"/>
  <c r="BG1849" i="4"/>
  <c r="BD1851" i="4" l="1"/>
  <c r="BB1851" i="4"/>
  <c r="BA1852" i="4" s="1"/>
  <c r="BF1849" i="4"/>
  <c r="BE1849" i="4"/>
  <c r="BC1850" i="4"/>
  <c r="BG1850" i="4"/>
  <c r="BB1852" i="4" l="1"/>
  <c r="BA1853" i="4" s="1"/>
  <c r="BD1852" i="4"/>
  <c r="BE1850" i="4"/>
  <c r="BF1850" i="4"/>
  <c r="BC1851" i="4"/>
  <c r="BG1851" i="4"/>
  <c r="BG1852" i="4" l="1"/>
  <c r="BC1852" i="4"/>
  <c r="BE1851" i="4"/>
  <c r="BF1851" i="4"/>
  <c r="BD1853" i="4"/>
  <c r="BB1853" i="4"/>
  <c r="BA1854" i="4" s="1"/>
  <c r="BD1854" i="4" l="1"/>
  <c r="BB1854" i="4"/>
  <c r="BA1855" i="4" s="1"/>
  <c r="BC1853" i="4"/>
  <c r="BG1853" i="4"/>
  <c r="BE1852" i="4"/>
  <c r="BF1852" i="4"/>
  <c r="BB1855" i="4" l="1"/>
  <c r="BA1856" i="4" s="1"/>
  <c r="BD1855" i="4"/>
  <c r="BF1853" i="4"/>
  <c r="BE1853" i="4"/>
  <c r="BC1854" i="4"/>
  <c r="BG1854" i="4"/>
  <c r="BG1855" i="4" l="1"/>
  <c r="BC1855" i="4"/>
  <c r="BF1854" i="4"/>
  <c r="BE1854" i="4"/>
  <c r="BD1856" i="4"/>
  <c r="BB1856" i="4"/>
  <c r="BA1857" i="4" s="1"/>
  <c r="BB1857" i="4" l="1"/>
  <c r="BA1858" i="4" s="1"/>
  <c r="BD1857" i="4"/>
  <c r="BG1856" i="4"/>
  <c r="BC1856" i="4"/>
  <c r="BF1855" i="4"/>
  <c r="BE1855" i="4"/>
  <c r="BB1858" i="4" l="1"/>
  <c r="BA1859" i="4" s="1"/>
  <c r="BD1858" i="4"/>
  <c r="BC1857" i="4"/>
  <c r="BG1857" i="4"/>
  <c r="BE1856" i="4"/>
  <c r="BF1856" i="4"/>
  <c r="BD1859" i="4" l="1"/>
  <c r="BB1859" i="4"/>
  <c r="BA1860" i="4" s="1"/>
  <c r="BE1857" i="4"/>
  <c r="BF1857" i="4"/>
  <c r="BC1858" i="4"/>
  <c r="BG1858" i="4"/>
  <c r="BD1860" i="4" l="1"/>
  <c r="BB1860" i="4"/>
  <c r="BA1861" i="4" s="1"/>
  <c r="BF1858" i="4"/>
  <c r="BE1858" i="4"/>
  <c r="BC1859" i="4"/>
  <c r="BG1859" i="4"/>
  <c r="BE1859" i="4" l="1"/>
  <c r="BF1859" i="4"/>
  <c r="BD1861" i="4"/>
  <c r="BB1861" i="4"/>
  <c r="BA1862" i="4" s="1"/>
  <c r="BC1860" i="4"/>
  <c r="BG1860" i="4"/>
  <c r="BC1861" i="4" l="1"/>
  <c r="BG1861" i="4"/>
  <c r="BF1860" i="4"/>
  <c r="BE1860" i="4"/>
  <c r="BB1862" i="4"/>
  <c r="BA1863" i="4" s="1"/>
  <c r="BD1862" i="4"/>
  <c r="BC1862" i="4" l="1"/>
  <c r="BG1862" i="4"/>
  <c r="BB1863" i="4"/>
  <c r="BA1864" i="4" s="1"/>
  <c r="BD1863" i="4"/>
  <c r="BF1861" i="4"/>
  <c r="BE1861" i="4"/>
  <c r="BG1863" i="4" l="1"/>
  <c r="BC1863" i="4"/>
  <c r="BD1864" i="4"/>
  <c r="BB1864" i="4"/>
  <c r="BA1865" i="4" s="1"/>
  <c r="BE1862" i="4"/>
  <c r="BF1862" i="4"/>
  <c r="BD1865" i="4" l="1"/>
  <c r="BB1865" i="4"/>
  <c r="BA1866" i="4" s="1"/>
  <c r="BE1863" i="4"/>
  <c r="BF1863" i="4"/>
  <c r="BC1864" i="4"/>
  <c r="BG1864" i="4"/>
  <c r="BB1866" i="4" l="1"/>
  <c r="BA1867" i="4" s="1"/>
  <c r="BD1866" i="4"/>
  <c r="BC1865" i="4"/>
  <c r="BG1865" i="4"/>
  <c r="BF1864" i="4"/>
  <c r="BE1864" i="4"/>
  <c r="BD1867" i="4" l="1"/>
  <c r="BB1867" i="4"/>
  <c r="BA1868" i="4" s="1"/>
  <c r="BC1866" i="4"/>
  <c r="BG1866" i="4"/>
  <c r="BF1865" i="4"/>
  <c r="BE1865" i="4"/>
  <c r="BD1868" i="4" l="1"/>
  <c r="BB1868" i="4"/>
  <c r="BA1869" i="4" s="1"/>
  <c r="BF1866" i="4"/>
  <c r="BE1866" i="4"/>
  <c r="BC1867" i="4"/>
  <c r="BG1867" i="4"/>
  <c r="BB1869" i="4" l="1"/>
  <c r="BA1870" i="4" s="1"/>
  <c r="BD1869" i="4"/>
  <c r="BF1867" i="4"/>
  <c r="BE1867" i="4"/>
  <c r="BG1868" i="4"/>
  <c r="BC1868" i="4"/>
  <c r="BC1869" i="4" l="1"/>
  <c r="BG1869" i="4"/>
  <c r="BE1868" i="4"/>
  <c r="BF1868" i="4"/>
  <c r="BD1870" i="4"/>
  <c r="BB1870" i="4"/>
  <c r="BA1871" i="4" s="1"/>
  <c r="BD1871" i="4" l="1"/>
  <c r="BB1871" i="4"/>
  <c r="BA1872" i="4" s="1"/>
  <c r="BC1870" i="4"/>
  <c r="BG1870" i="4"/>
  <c r="BF1869" i="4"/>
  <c r="BE1869" i="4"/>
  <c r="BF1870" i="4" l="1"/>
  <c r="BE1870" i="4"/>
  <c r="BD1872" i="4"/>
  <c r="BB1872" i="4"/>
  <c r="BA1873" i="4" s="1"/>
  <c r="BG1871" i="4"/>
  <c r="BC1871" i="4"/>
  <c r="BG1872" i="4" l="1"/>
  <c r="BC1872" i="4"/>
  <c r="BF1871" i="4"/>
  <c r="BE1871" i="4"/>
  <c r="BB1873" i="4"/>
  <c r="BA1874" i="4" s="1"/>
  <c r="BD1873" i="4"/>
  <c r="BD1874" i="4" l="1"/>
  <c r="BB1874" i="4"/>
  <c r="BA1875" i="4" s="1"/>
  <c r="BC1873" i="4"/>
  <c r="BG1873" i="4"/>
  <c r="BE1872" i="4"/>
  <c r="BF1872" i="4"/>
  <c r="BE1873" i="4" l="1"/>
  <c r="BF1873" i="4"/>
  <c r="BB1875" i="4"/>
  <c r="BA1876" i="4" s="1"/>
  <c r="BD1875" i="4"/>
  <c r="BC1874" i="4"/>
  <c r="BG1874" i="4"/>
  <c r="BD1876" i="4" l="1"/>
  <c r="BB1876" i="4"/>
  <c r="BA1877" i="4" s="1"/>
  <c r="BE1874" i="4"/>
  <c r="BF1874" i="4"/>
  <c r="BC1875" i="4"/>
  <c r="BG1875" i="4"/>
  <c r="BF1875" i="4" l="1"/>
  <c r="BE1875" i="4"/>
  <c r="BD1877" i="4"/>
  <c r="BB1877" i="4"/>
  <c r="BA1878" i="4" s="1"/>
  <c r="BG1876" i="4"/>
  <c r="BC1876" i="4"/>
  <c r="BF1876" i="4" l="1"/>
  <c r="BE1876" i="4"/>
  <c r="BD1878" i="4"/>
  <c r="BB1878" i="4"/>
  <c r="BA1879" i="4" s="1"/>
  <c r="BC1877" i="4"/>
  <c r="BG1877" i="4"/>
  <c r="BF1877" i="4" l="1"/>
  <c r="BE1877" i="4"/>
  <c r="BD1879" i="4"/>
  <c r="BB1879" i="4"/>
  <c r="BA1880" i="4" s="1"/>
  <c r="BG1878" i="4"/>
  <c r="BC1878" i="4"/>
  <c r="BB1880" i="4" l="1"/>
  <c r="BA1881" i="4" s="1"/>
  <c r="BD1880" i="4"/>
  <c r="BF1878" i="4"/>
  <c r="BE1878" i="4"/>
  <c r="BG1879" i="4"/>
  <c r="BC1879" i="4"/>
  <c r="BF1879" i="4" l="1"/>
  <c r="BE1879" i="4"/>
  <c r="BD1881" i="4"/>
  <c r="BB1881" i="4"/>
  <c r="BA1882" i="4" s="1"/>
  <c r="BC1880" i="4"/>
  <c r="BG1880" i="4"/>
  <c r="BB1882" i="4" l="1"/>
  <c r="BA1883" i="4" s="1"/>
  <c r="BD1882" i="4"/>
  <c r="BC1881" i="4"/>
  <c r="BG1881" i="4"/>
  <c r="BF1880" i="4"/>
  <c r="BE1880" i="4"/>
  <c r="BB1883" i="4" l="1"/>
  <c r="BA1884" i="4" s="1"/>
  <c r="BD1883" i="4"/>
  <c r="BE1881" i="4"/>
  <c r="BF1881" i="4"/>
  <c r="BC1882" i="4"/>
  <c r="BG1882" i="4"/>
  <c r="BC1883" i="4" l="1"/>
  <c r="BG1883" i="4"/>
  <c r="BF1882" i="4"/>
  <c r="BE1882" i="4"/>
  <c r="BB1884" i="4"/>
  <c r="BA1885" i="4" s="1"/>
  <c r="BD1884" i="4"/>
  <c r="BG1884" i="4" l="1"/>
  <c r="BC1884" i="4"/>
  <c r="BD1885" i="4"/>
  <c r="BB1885" i="4"/>
  <c r="BA1886" i="4" s="1"/>
  <c r="BE1883" i="4"/>
  <c r="BF1883" i="4"/>
  <c r="BB1886" i="4" l="1"/>
  <c r="BA1887" i="4" s="1"/>
  <c r="BD1886" i="4"/>
  <c r="BC1885" i="4"/>
  <c r="BG1885" i="4"/>
  <c r="BE1884" i="4"/>
  <c r="BF1884" i="4"/>
  <c r="BG1886" i="4" l="1"/>
  <c r="BC1886" i="4"/>
  <c r="BB1887" i="4"/>
  <c r="BA1888" i="4" s="1"/>
  <c r="BD1887" i="4"/>
  <c r="BF1885" i="4"/>
  <c r="BE1885" i="4"/>
  <c r="BG1887" i="4" l="1"/>
  <c r="BC1887" i="4"/>
  <c r="BD1888" i="4"/>
  <c r="BB1888" i="4"/>
  <c r="BA1889" i="4" s="1"/>
  <c r="BF1886" i="4"/>
  <c r="BE1886" i="4"/>
  <c r="BB1889" i="4" l="1"/>
  <c r="BA1890" i="4" s="1"/>
  <c r="BD1889" i="4"/>
  <c r="BF1887" i="4"/>
  <c r="BE1887" i="4"/>
  <c r="BG1888" i="4"/>
  <c r="BC1888" i="4"/>
  <c r="BD1890" i="4" l="1"/>
  <c r="BB1890" i="4"/>
  <c r="BA1891" i="4" s="1"/>
  <c r="BC1889" i="4"/>
  <c r="BG1889" i="4"/>
  <c r="BF1888" i="4"/>
  <c r="BE1888" i="4"/>
  <c r="BD1891" i="4" l="1"/>
  <c r="BB1891" i="4"/>
  <c r="BA1892" i="4" s="1"/>
  <c r="BE1889" i="4"/>
  <c r="BF1889" i="4"/>
  <c r="BC1890" i="4"/>
  <c r="BG1890" i="4"/>
  <c r="BD1892" i="4" l="1"/>
  <c r="BB1892" i="4"/>
  <c r="BA1893" i="4" s="1"/>
  <c r="BF1890" i="4"/>
  <c r="BE1890" i="4"/>
  <c r="BC1891" i="4"/>
  <c r="BG1891" i="4"/>
  <c r="BB1893" i="4" l="1"/>
  <c r="BA1894" i="4" s="1"/>
  <c r="BD1893" i="4"/>
  <c r="BF1891" i="4"/>
  <c r="BE1891" i="4"/>
  <c r="BC1892" i="4"/>
  <c r="BG1892" i="4"/>
  <c r="BF1892" i="4" l="1"/>
  <c r="BE1892" i="4"/>
  <c r="BG1893" i="4"/>
  <c r="BC1893" i="4"/>
  <c r="BD1894" i="4"/>
  <c r="BB1894" i="4"/>
  <c r="BA1895" i="4" s="1"/>
  <c r="BB1895" i="4" l="1"/>
  <c r="BA1896" i="4" s="1"/>
  <c r="BD1895" i="4"/>
  <c r="BC1894" i="4"/>
  <c r="BG1894" i="4"/>
  <c r="BE1893" i="4"/>
  <c r="BF1893" i="4"/>
  <c r="BG1895" i="4" l="1"/>
  <c r="BC1895" i="4"/>
  <c r="BD1896" i="4"/>
  <c r="BB1896" i="4"/>
  <c r="BA1897" i="4" s="1"/>
  <c r="BF1894" i="4"/>
  <c r="BE1894" i="4"/>
  <c r="BD1897" i="4" l="1"/>
  <c r="BB1897" i="4"/>
  <c r="BA1898" i="4" s="1"/>
  <c r="BC1896" i="4"/>
  <c r="BG1896" i="4"/>
  <c r="BF1895" i="4"/>
  <c r="BE1895" i="4"/>
  <c r="BB1898" i="4" l="1"/>
  <c r="BA1899" i="4" s="1"/>
  <c r="BD1898" i="4"/>
  <c r="BC1897" i="4"/>
  <c r="BG1897" i="4"/>
  <c r="BF1896" i="4"/>
  <c r="BE1896" i="4"/>
  <c r="BB1899" i="4" l="1"/>
  <c r="BA1900" i="4" s="1"/>
  <c r="BD1899" i="4"/>
  <c r="BC1898" i="4"/>
  <c r="BG1898" i="4"/>
  <c r="BE1897" i="4"/>
  <c r="BF1897" i="4"/>
  <c r="BF1898" i="4" l="1"/>
  <c r="BE1898" i="4"/>
  <c r="BC1899" i="4"/>
  <c r="BG1899" i="4"/>
  <c r="BD1900" i="4"/>
  <c r="BB1900" i="4"/>
  <c r="BA1901" i="4" s="1"/>
  <c r="BG1900" i="4" l="1"/>
  <c r="BC1900" i="4"/>
  <c r="BF1899" i="4"/>
  <c r="BE1899" i="4"/>
  <c r="BD1901" i="4"/>
  <c r="BB1901" i="4"/>
  <c r="BA1902" i="4" s="1"/>
  <c r="BB1902" i="4" l="1"/>
  <c r="BA1903" i="4" s="1"/>
  <c r="BD1902" i="4"/>
  <c r="BG1901" i="4"/>
  <c r="BC1901" i="4"/>
  <c r="BE1900" i="4"/>
  <c r="BF1900" i="4"/>
  <c r="BG1902" i="4" l="1"/>
  <c r="BC1902" i="4"/>
  <c r="BB1903" i="4"/>
  <c r="BA1904" i="4" s="1"/>
  <c r="BD1903" i="4"/>
  <c r="BE1901" i="4"/>
  <c r="BF1901" i="4"/>
  <c r="BB1904" i="4" l="1"/>
  <c r="BA1905" i="4" s="1"/>
  <c r="BD1904" i="4"/>
  <c r="BE1902" i="4"/>
  <c r="BF1902" i="4"/>
  <c r="BG1903" i="4"/>
  <c r="BC1903" i="4"/>
  <c r="BF1903" i="4" l="1"/>
  <c r="BE1903" i="4"/>
  <c r="BG1904" i="4"/>
  <c r="BC1904" i="4"/>
  <c r="BB1905" i="4"/>
  <c r="BA1906" i="4" s="1"/>
  <c r="BD1905" i="4"/>
  <c r="BB1906" i="4" l="1"/>
  <c r="BA1907" i="4" s="1"/>
  <c r="BD1906" i="4"/>
  <c r="BC1905" i="4"/>
  <c r="BG1905" i="4"/>
  <c r="BF1904" i="4"/>
  <c r="BE1904" i="4"/>
  <c r="BD1907" i="4" l="1"/>
  <c r="BB1907" i="4"/>
  <c r="BA1908" i="4" s="1"/>
  <c r="BF1905" i="4"/>
  <c r="BE1905" i="4"/>
  <c r="BC1906" i="4"/>
  <c r="BG1906" i="4"/>
  <c r="BB1908" i="4" l="1"/>
  <c r="BA1909" i="4" s="1"/>
  <c r="BD1908" i="4"/>
  <c r="BF1906" i="4"/>
  <c r="BE1906" i="4"/>
  <c r="BC1907" i="4"/>
  <c r="BG1907" i="4"/>
  <c r="BF1907" i="4" l="1"/>
  <c r="BE1907" i="4"/>
  <c r="BG1908" i="4"/>
  <c r="BC1908" i="4"/>
  <c r="BB1909" i="4"/>
  <c r="BA1910" i="4" s="1"/>
  <c r="BD1909" i="4"/>
  <c r="BD1910" i="4" l="1"/>
  <c r="BB1910" i="4"/>
  <c r="BA1911" i="4" s="1"/>
  <c r="BF1908" i="4"/>
  <c r="BE1908" i="4"/>
  <c r="BC1909" i="4"/>
  <c r="BG1909" i="4"/>
  <c r="BE1909" i="4" l="1"/>
  <c r="BF1909" i="4"/>
  <c r="BB1911" i="4"/>
  <c r="BA1912" i="4" s="1"/>
  <c r="BD1911" i="4"/>
  <c r="BG1910" i="4"/>
  <c r="BC1910" i="4"/>
  <c r="BE1910" i="4" l="1"/>
  <c r="BF1910" i="4"/>
  <c r="BG1911" i="4"/>
  <c r="BC1911" i="4"/>
  <c r="BB1912" i="4"/>
  <c r="BA1913" i="4" s="1"/>
  <c r="BD1912" i="4"/>
  <c r="BG1912" i="4" l="1"/>
  <c r="BC1912" i="4"/>
  <c r="BB1913" i="4"/>
  <c r="BA1914" i="4" s="1"/>
  <c r="BD1913" i="4"/>
  <c r="BF1911" i="4"/>
  <c r="BE1911" i="4"/>
  <c r="BD1914" i="4" l="1"/>
  <c r="BB1914" i="4"/>
  <c r="BA1915" i="4" s="1"/>
  <c r="BC1913" i="4"/>
  <c r="BG1913" i="4"/>
  <c r="BE1912" i="4"/>
  <c r="BF1912" i="4"/>
  <c r="BD1915" i="4" l="1"/>
  <c r="BB1915" i="4"/>
  <c r="BA1916" i="4" s="1"/>
  <c r="BF1913" i="4"/>
  <c r="BE1913" i="4"/>
  <c r="BC1914" i="4"/>
  <c r="BG1914" i="4"/>
  <c r="BD1916" i="4" l="1"/>
  <c r="BB1916" i="4"/>
  <c r="BA1917" i="4" s="1"/>
  <c r="BF1914" i="4"/>
  <c r="BE1914" i="4"/>
  <c r="BC1915" i="4"/>
  <c r="BG1915" i="4"/>
  <c r="BD1917" i="4" l="1"/>
  <c r="BB1917" i="4"/>
  <c r="BA1918" i="4" s="1"/>
  <c r="BF1915" i="4"/>
  <c r="BE1915" i="4"/>
  <c r="BC1916" i="4"/>
  <c r="BG1916" i="4"/>
  <c r="BD1918" i="4" l="1"/>
  <c r="BB1918" i="4"/>
  <c r="BA1919" i="4" s="1"/>
  <c r="BC1917" i="4"/>
  <c r="BG1917" i="4"/>
  <c r="BF1916" i="4"/>
  <c r="BE1916" i="4"/>
  <c r="BD1919" i="4" l="1"/>
  <c r="BB1919" i="4"/>
  <c r="BA1920" i="4" s="1"/>
  <c r="BF1917" i="4"/>
  <c r="BE1917" i="4"/>
  <c r="BC1918" i="4"/>
  <c r="BG1918" i="4"/>
  <c r="BF1918" i="4" l="1"/>
  <c r="BE1918" i="4"/>
  <c r="BD1920" i="4"/>
  <c r="BB1920" i="4"/>
  <c r="BA1921" i="4" s="1"/>
  <c r="BG1919" i="4"/>
  <c r="BC1919" i="4"/>
  <c r="BG1920" i="4" l="1"/>
  <c r="BC1920" i="4"/>
  <c r="BB1921" i="4"/>
  <c r="BA1922" i="4" s="1"/>
  <c r="BD1921" i="4"/>
  <c r="BF1919" i="4"/>
  <c r="BE1919" i="4"/>
  <c r="BF1920" i="4" l="1"/>
  <c r="BE1920" i="4"/>
  <c r="BG1921" i="4"/>
  <c r="BC1921" i="4"/>
  <c r="BB1922" i="4"/>
  <c r="BA1923" i="4" s="1"/>
  <c r="BD1922" i="4"/>
  <c r="BG1922" i="4" l="1"/>
  <c r="BC1922" i="4"/>
  <c r="BB1923" i="4"/>
  <c r="BA1924" i="4" s="1"/>
  <c r="BD1923" i="4"/>
  <c r="BF1921" i="4"/>
  <c r="BE1921" i="4"/>
  <c r="BD1924" i="4" l="1"/>
  <c r="BB1924" i="4"/>
  <c r="BA1925" i="4" s="1"/>
  <c r="BC1923" i="4"/>
  <c r="BG1923" i="4"/>
  <c r="BF1922" i="4"/>
  <c r="BE1922" i="4"/>
  <c r="BD1925" i="4" l="1"/>
  <c r="BB1925" i="4"/>
  <c r="BA1926" i="4" s="1"/>
  <c r="BE1923" i="4"/>
  <c r="BF1923" i="4"/>
  <c r="BC1924" i="4"/>
  <c r="BG1924" i="4"/>
  <c r="BD1926" i="4" l="1"/>
  <c r="BB1926" i="4"/>
  <c r="BA1927" i="4" s="1"/>
  <c r="BF1924" i="4"/>
  <c r="BE1924" i="4"/>
  <c r="BC1925" i="4"/>
  <c r="BG1925" i="4"/>
  <c r="BD1927" i="4" l="1"/>
  <c r="BB1927" i="4"/>
  <c r="BA1928" i="4" s="1"/>
  <c r="BF1925" i="4"/>
  <c r="BE1925" i="4"/>
  <c r="BG1926" i="4"/>
  <c r="BC1926" i="4"/>
  <c r="BD1928" i="4" l="1"/>
  <c r="BB1928" i="4"/>
  <c r="BA1929" i="4" s="1"/>
  <c r="BF1926" i="4"/>
  <c r="BE1926" i="4"/>
  <c r="BG1927" i="4"/>
  <c r="BC1927" i="4"/>
  <c r="BB1929" i="4" l="1"/>
  <c r="BA1930" i="4" s="1"/>
  <c r="BD1929" i="4"/>
  <c r="BE1927" i="4"/>
  <c r="BF1927" i="4"/>
  <c r="BG1928" i="4"/>
  <c r="BC1928" i="4"/>
  <c r="BG1929" i="4" l="1"/>
  <c r="BC1929" i="4"/>
  <c r="BD1930" i="4"/>
  <c r="BB1930" i="4"/>
  <c r="BA1931" i="4" s="1"/>
  <c r="BF1928" i="4"/>
  <c r="BE1928" i="4"/>
  <c r="BD1931" i="4" l="1"/>
  <c r="BB1931" i="4"/>
  <c r="BA1932" i="4" s="1"/>
  <c r="BG1930" i="4"/>
  <c r="BC1930" i="4"/>
  <c r="BE1929" i="4"/>
  <c r="BF1929" i="4"/>
  <c r="BD1932" i="4" l="1"/>
  <c r="BB1932" i="4"/>
  <c r="BA1933" i="4" s="1"/>
  <c r="BE1930" i="4"/>
  <c r="BF1930" i="4"/>
  <c r="BC1931" i="4"/>
  <c r="BG1931" i="4"/>
  <c r="BD1933" i="4" l="1"/>
  <c r="BB1933" i="4"/>
  <c r="BA1934" i="4" s="1"/>
  <c r="BF1931" i="4"/>
  <c r="BE1931" i="4"/>
  <c r="BC1932" i="4"/>
  <c r="BG1932" i="4"/>
  <c r="BD1934" i="4" l="1"/>
  <c r="BB1934" i="4"/>
  <c r="BA1935" i="4" s="1"/>
  <c r="BF1932" i="4"/>
  <c r="BE1932" i="4"/>
  <c r="BC1933" i="4"/>
  <c r="BG1933" i="4"/>
  <c r="BB1935" i="4" l="1"/>
  <c r="BA1936" i="4" s="1"/>
  <c r="BD1935" i="4"/>
  <c r="BF1933" i="4"/>
  <c r="BE1933" i="4"/>
  <c r="BC1934" i="4"/>
  <c r="BG1934" i="4"/>
  <c r="BC1935" i="4" l="1"/>
  <c r="BG1935" i="4"/>
  <c r="BE1934" i="4"/>
  <c r="BF1934" i="4"/>
  <c r="BB1936" i="4"/>
  <c r="BA1937" i="4" s="1"/>
  <c r="BD1936" i="4"/>
  <c r="BC1936" i="4" l="1"/>
  <c r="BG1936" i="4"/>
  <c r="BD1937" i="4"/>
  <c r="BB1937" i="4"/>
  <c r="BA1938" i="4" s="1"/>
  <c r="BF1935" i="4"/>
  <c r="BE1935" i="4"/>
  <c r="BB1938" i="4" l="1"/>
  <c r="BA1939" i="4" s="1"/>
  <c r="BD1938" i="4"/>
  <c r="BG1937" i="4"/>
  <c r="BC1937" i="4"/>
  <c r="BF1936" i="4"/>
  <c r="BE1936" i="4"/>
  <c r="BG1938" i="4" l="1"/>
  <c r="BC1938" i="4"/>
  <c r="BE1937" i="4"/>
  <c r="BF1937" i="4"/>
  <c r="BB1939" i="4"/>
  <c r="BA1940" i="4" s="1"/>
  <c r="BD1939" i="4"/>
  <c r="BD1940" i="4" l="1"/>
  <c r="BB1940" i="4"/>
  <c r="BA1941" i="4" s="1"/>
  <c r="BF1938" i="4"/>
  <c r="BE1938" i="4"/>
  <c r="BC1939" i="4"/>
  <c r="BG1939" i="4"/>
  <c r="BD1941" i="4" l="1"/>
  <c r="BB1941" i="4"/>
  <c r="BA1942" i="4" s="1"/>
  <c r="BC1940" i="4"/>
  <c r="BG1940" i="4"/>
  <c r="BE1939" i="4"/>
  <c r="BF1939" i="4"/>
  <c r="BD1942" i="4" l="1"/>
  <c r="BB1942" i="4"/>
  <c r="BA1943" i="4" s="1"/>
  <c r="BE1940" i="4"/>
  <c r="BF1940" i="4"/>
  <c r="BC1941" i="4"/>
  <c r="BG1941" i="4"/>
  <c r="BD1943" i="4" l="1"/>
  <c r="BB1943" i="4"/>
  <c r="BA1944" i="4" s="1"/>
  <c r="BF1941" i="4"/>
  <c r="BE1941" i="4"/>
  <c r="BG1942" i="4"/>
  <c r="BC1942" i="4"/>
  <c r="BB1944" i="4" l="1"/>
  <c r="BA1945" i="4" s="1"/>
  <c r="BD1944" i="4"/>
  <c r="BF1942" i="4"/>
  <c r="BE1942" i="4"/>
  <c r="BG1943" i="4"/>
  <c r="BC1943" i="4"/>
  <c r="BB1945" i="4" l="1"/>
  <c r="BA1946" i="4" s="1"/>
  <c r="BD1945" i="4"/>
  <c r="BC1944" i="4"/>
  <c r="BG1944" i="4"/>
  <c r="BE1943" i="4"/>
  <c r="BF1943" i="4"/>
  <c r="BG1945" i="4" l="1"/>
  <c r="BC1945" i="4"/>
  <c r="BF1944" i="4"/>
  <c r="BE1944" i="4"/>
  <c r="BD1946" i="4"/>
  <c r="BB1946" i="4"/>
  <c r="BA1947" i="4" s="1"/>
  <c r="BD1947" i="4" l="1"/>
  <c r="BB1947" i="4"/>
  <c r="BA1948" i="4" s="1"/>
  <c r="BF1945" i="4"/>
  <c r="BE1945" i="4"/>
  <c r="BC1946" i="4"/>
  <c r="BG1946" i="4"/>
  <c r="BF1946" i="4" l="1"/>
  <c r="BE1946" i="4"/>
  <c r="BD1948" i="4"/>
  <c r="BB1948" i="4"/>
  <c r="BA1949" i="4" s="1"/>
  <c r="BC1947" i="4"/>
  <c r="BG1947" i="4"/>
  <c r="BB1949" i="4" l="1"/>
  <c r="BA1950" i="4" s="1"/>
  <c r="BD1949" i="4"/>
  <c r="BE1947" i="4"/>
  <c r="BF1947" i="4"/>
  <c r="BC1948" i="4"/>
  <c r="BG1948" i="4"/>
  <c r="BC1949" i="4" l="1"/>
  <c r="BG1949" i="4"/>
  <c r="BF1948" i="4"/>
  <c r="BE1948" i="4"/>
  <c r="BB1950" i="4"/>
  <c r="BA1951" i="4" s="1"/>
  <c r="BD1950" i="4"/>
  <c r="BB1951" i="4" l="1"/>
  <c r="BA1952" i="4" s="1"/>
  <c r="BD1951" i="4"/>
  <c r="BC1950" i="4"/>
  <c r="BG1950" i="4"/>
  <c r="BF1949" i="4"/>
  <c r="BE1949" i="4"/>
  <c r="BC1951" i="4" l="1"/>
  <c r="BG1951" i="4"/>
  <c r="BD1952" i="4"/>
  <c r="BB1952" i="4"/>
  <c r="BA1953" i="4" s="1"/>
  <c r="BF1950" i="4"/>
  <c r="BE1950" i="4"/>
  <c r="BB1953" i="4" l="1"/>
  <c r="BA1954" i="4" s="1"/>
  <c r="BD1953" i="4"/>
  <c r="BG1952" i="4"/>
  <c r="BC1952" i="4"/>
  <c r="BF1951" i="4"/>
  <c r="BE1951" i="4"/>
  <c r="BG1953" i="4" l="1"/>
  <c r="BC1953" i="4"/>
  <c r="BD1954" i="4"/>
  <c r="BB1954" i="4"/>
  <c r="BA1955" i="4" s="1"/>
  <c r="BF1952" i="4"/>
  <c r="BE1952" i="4"/>
  <c r="BG1954" i="4" l="1"/>
  <c r="BC1954" i="4"/>
  <c r="BB1955" i="4"/>
  <c r="BA1956" i="4" s="1"/>
  <c r="BD1955" i="4"/>
  <c r="BF1953" i="4"/>
  <c r="BE1953" i="4"/>
  <c r="BB1956" i="4" l="1"/>
  <c r="BA1957" i="4" s="1"/>
  <c r="BD1956" i="4"/>
  <c r="BF1954" i="4"/>
  <c r="BE1954" i="4"/>
  <c r="BC1955" i="4"/>
  <c r="BG1955" i="4"/>
  <c r="BD1957" i="4" l="1"/>
  <c r="BB1957" i="4"/>
  <c r="BA1958" i="4" s="1"/>
  <c r="BC1956" i="4"/>
  <c r="BG1956" i="4"/>
  <c r="BE1955" i="4"/>
  <c r="BF1955" i="4"/>
  <c r="BD1958" i="4" l="1"/>
  <c r="BB1958" i="4"/>
  <c r="BA1959" i="4" s="1"/>
  <c r="BE1956" i="4"/>
  <c r="BF1956" i="4"/>
  <c r="BC1957" i="4"/>
  <c r="BG1957" i="4"/>
  <c r="BD1959" i="4" l="1"/>
  <c r="BB1959" i="4"/>
  <c r="BA1960" i="4" s="1"/>
  <c r="BE1957" i="4"/>
  <c r="BF1957" i="4"/>
  <c r="BG1958" i="4"/>
  <c r="BC1958" i="4"/>
  <c r="BE1958" i="4" l="1"/>
  <c r="BF1958" i="4"/>
  <c r="BB1960" i="4"/>
  <c r="BA1961" i="4" s="1"/>
  <c r="BD1960" i="4"/>
  <c r="BC1959" i="4"/>
  <c r="BG1959" i="4"/>
  <c r="BF1959" i="4" l="1"/>
  <c r="BE1959" i="4"/>
  <c r="BC1960" i="4"/>
  <c r="BG1960" i="4"/>
  <c r="BB1961" i="4"/>
  <c r="BA1962" i="4" s="1"/>
  <c r="BD1961" i="4"/>
  <c r="BG1961" i="4" l="1"/>
  <c r="BC1961" i="4"/>
  <c r="BE1960" i="4"/>
  <c r="BF1960" i="4"/>
  <c r="BD1962" i="4"/>
  <c r="BB1962" i="4"/>
  <c r="BA1963" i="4" s="1"/>
  <c r="BD1963" i="4" l="1"/>
  <c r="BB1963" i="4"/>
  <c r="BA1964" i="4" s="1"/>
  <c r="BG1962" i="4"/>
  <c r="BC1962" i="4"/>
  <c r="BE1961" i="4"/>
  <c r="BF1961" i="4"/>
  <c r="BE1962" i="4" l="1"/>
  <c r="BF1962" i="4"/>
  <c r="BD1964" i="4"/>
  <c r="BB1964" i="4"/>
  <c r="BA1965" i="4" s="1"/>
  <c r="BC1963" i="4"/>
  <c r="BG1963" i="4"/>
  <c r="BC1964" i="4" l="1"/>
  <c r="BG1964" i="4"/>
  <c r="BE1963" i="4"/>
  <c r="BF1963" i="4"/>
  <c r="BB1965" i="4"/>
  <c r="BA1966" i="4" s="1"/>
  <c r="BD1965" i="4"/>
  <c r="BC1965" i="4" l="1"/>
  <c r="BG1965" i="4"/>
  <c r="BB1966" i="4"/>
  <c r="BA1967" i="4" s="1"/>
  <c r="BD1966" i="4"/>
  <c r="BE1964" i="4"/>
  <c r="BF1964" i="4"/>
  <c r="BC1966" i="4" l="1"/>
  <c r="BG1966" i="4"/>
  <c r="BD1967" i="4"/>
  <c r="BB1967" i="4"/>
  <c r="BA1968" i="4" s="1"/>
  <c r="BF1965" i="4"/>
  <c r="BE1965" i="4"/>
  <c r="BC1967" i="4" l="1"/>
  <c r="BG1967" i="4"/>
  <c r="BD1968" i="4"/>
  <c r="BB1968" i="4"/>
  <c r="BA1969" i="4" s="1"/>
  <c r="BE1966" i="4"/>
  <c r="BF1966" i="4"/>
  <c r="BG1968" i="4" l="1"/>
  <c r="BC1968" i="4"/>
  <c r="BB1969" i="4"/>
  <c r="BA1970" i="4" s="1"/>
  <c r="BD1969" i="4"/>
  <c r="BF1967" i="4"/>
  <c r="BE1967" i="4"/>
  <c r="BD1970" i="4" l="1"/>
  <c r="BB1970" i="4"/>
  <c r="BA1971" i="4" s="1"/>
  <c r="BE1968" i="4"/>
  <c r="BF1968" i="4"/>
  <c r="BG1969" i="4"/>
  <c r="BC1969" i="4"/>
  <c r="BB1971" i="4" l="1"/>
  <c r="BA1972" i="4" s="1"/>
  <c r="BD1971" i="4"/>
  <c r="BG1970" i="4"/>
  <c r="BC1970" i="4"/>
  <c r="BF1969" i="4"/>
  <c r="BE1969" i="4"/>
  <c r="BF1970" i="4" l="1"/>
  <c r="BE1970" i="4"/>
  <c r="BD1972" i="4"/>
  <c r="BB1972" i="4"/>
  <c r="BA1973" i="4" s="1"/>
  <c r="BC1971" i="4"/>
  <c r="BG1971" i="4"/>
  <c r="BC1972" i="4" l="1"/>
  <c r="BG1972" i="4"/>
  <c r="BE1971" i="4"/>
  <c r="BF1971" i="4"/>
  <c r="BD1973" i="4"/>
  <c r="BB1973" i="4"/>
  <c r="BA1974" i="4" s="1"/>
  <c r="BB1974" i="4" l="1"/>
  <c r="BA1975" i="4" s="1"/>
  <c r="BD1974" i="4"/>
  <c r="BC1973" i="4"/>
  <c r="BG1973" i="4"/>
  <c r="BE1972" i="4"/>
  <c r="BF1972" i="4"/>
  <c r="BG1974" i="4" l="1"/>
  <c r="BC1974" i="4"/>
  <c r="BD1975" i="4"/>
  <c r="BB1975" i="4"/>
  <c r="BA1976" i="4" s="1"/>
  <c r="BE1973" i="4"/>
  <c r="BF1973" i="4"/>
  <c r="BG1975" i="4" l="1"/>
  <c r="BC1975" i="4"/>
  <c r="BE1974" i="4"/>
  <c r="BF1974" i="4"/>
  <c r="BB1976" i="4"/>
  <c r="BA1977" i="4" s="1"/>
  <c r="BD1976" i="4"/>
  <c r="BG1976" i="4" l="1"/>
  <c r="BC1976" i="4"/>
  <c r="BE1975" i="4"/>
  <c r="BF1975" i="4"/>
  <c r="BB1977" i="4"/>
  <c r="BA1978" i="4" s="1"/>
  <c r="BD1977" i="4"/>
  <c r="BB1978" i="4" l="1"/>
  <c r="BA1979" i="4" s="1"/>
  <c r="BD1978" i="4"/>
  <c r="BF1976" i="4"/>
  <c r="BE1976" i="4"/>
  <c r="BG1977" i="4"/>
  <c r="BC1977" i="4"/>
  <c r="BE1977" i="4" l="1"/>
  <c r="BF1977" i="4"/>
  <c r="BG1978" i="4"/>
  <c r="BC1978" i="4"/>
  <c r="BB1979" i="4"/>
  <c r="BA1980" i="4" s="1"/>
  <c r="BD1979" i="4"/>
  <c r="BD1980" i="4" l="1"/>
  <c r="BB1980" i="4"/>
  <c r="BA1981" i="4" s="1"/>
  <c r="BC1979" i="4"/>
  <c r="BG1979" i="4"/>
  <c r="BF1978" i="4"/>
  <c r="BE1978" i="4"/>
  <c r="BB1981" i="4" l="1"/>
  <c r="BA1982" i="4" s="1"/>
  <c r="BD1981" i="4"/>
  <c r="BE1979" i="4"/>
  <c r="BF1979" i="4"/>
  <c r="BC1980" i="4"/>
  <c r="BG1980" i="4"/>
  <c r="BF1980" i="4" l="1"/>
  <c r="BE1980" i="4"/>
  <c r="BD1982" i="4"/>
  <c r="BB1982" i="4"/>
  <c r="BA1983" i="4" s="1"/>
  <c r="BC1981" i="4"/>
  <c r="BG1981" i="4"/>
  <c r="BC1982" i="4" l="1"/>
  <c r="BG1982" i="4"/>
  <c r="BE1981" i="4"/>
  <c r="BF1981" i="4"/>
  <c r="BD1983" i="4"/>
  <c r="BB1983" i="4"/>
  <c r="BA1984" i="4" s="1"/>
  <c r="BD1984" i="4" l="1"/>
  <c r="BB1984" i="4"/>
  <c r="BA1985" i="4" s="1"/>
  <c r="BG1983" i="4"/>
  <c r="BC1983" i="4"/>
  <c r="BE1982" i="4"/>
  <c r="BF1982" i="4"/>
  <c r="BD1985" i="4" l="1"/>
  <c r="BB1985" i="4"/>
  <c r="BA1986" i="4" s="1"/>
  <c r="BF1983" i="4"/>
  <c r="BE1983" i="4"/>
  <c r="BG1984" i="4"/>
  <c r="BC1984" i="4"/>
  <c r="BD1986" i="4" l="1"/>
  <c r="BB1986" i="4"/>
  <c r="BA1987" i="4" s="1"/>
  <c r="BF1984" i="4"/>
  <c r="BE1984" i="4"/>
  <c r="BG1985" i="4"/>
  <c r="BC1985" i="4"/>
  <c r="BF1985" i="4" l="1"/>
  <c r="BE1985" i="4"/>
  <c r="BD1987" i="4"/>
  <c r="BB1987" i="4"/>
  <c r="BA1988" i="4" s="1"/>
  <c r="BC1986" i="4"/>
  <c r="BG1986" i="4"/>
  <c r="BD1988" i="4" l="1"/>
  <c r="BB1988" i="4"/>
  <c r="BA1989" i="4" s="1"/>
  <c r="BC1987" i="4"/>
  <c r="BG1987" i="4"/>
  <c r="BF1986" i="4"/>
  <c r="BE1986" i="4"/>
  <c r="BD1989" i="4" l="1"/>
  <c r="BB1989" i="4"/>
  <c r="BA1990" i="4" s="1"/>
  <c r="BF1987" i="4"/>
  <c r="BE1987" i="4"/>
  <c r="BC1988" i="4"/>
  <c r="BG1988" i="4"/>
  <c r="BB1990" i="4" l="1"/>
  <c r="BA1991" i="4" s="1"/>
  <c r="BD1990" i="4"/>
  <c r="BC1989" i="4"/>
  <c r="BG1989" i="4"/>
  <c r="BE1988" i="4"/>
  <c r="BF1988" i="4"/>
  <c r="BD1991" i="4" l="1"/>
  <c r="BB1991" i="4"/>
  <c r="BA1992" i="4" s="1"/>
  <c r="BG1990" i="4"/>
  <c r="BC1990" i="4"/>
  <c r="BE1989" i="4"/>
  <c r="BF1989" i="4"/>
  <c r="BF1990" i="4" l="1"/>
  <c r="BE1990" i="4"/>
  <c r="BB1992" i="4"/>
  <c r="BA1993" i="4" s="1"/>
  <c r="BD1992" i="4"/>
  <c r="BC1991" i="4"/>
  <c r="BG1991" i="4"/>
  <c r="BD1993" i="4" l="1"/>
  <c r="BB1993" i="4"/>
  <c r="BA1994" i="4" s="1"/>
  <c r="BF1991" i="4"/>
  <c r="BE1991" i="4"/>
  <c r="BC1992" i="4"/>
  <c r="BG1992" i="4"/>
  <c r="BD1994" i="4" l="1"/>
  <c r="BB1994" i="4"/>
  <c r="BA1995" i="4" s="1"/>
  <c r="BF1992" i="4"/>
  <c r="BE1992" i="4"/>
  <c r="BG1993" i="4"/>
  <c r="BC1993" i="4"/>
  <c r="BB1995" i="4" l="1"/>
  <c r="BA1996" i="4" s="1"/>
  <c r="BD1995" i="4"/>
  <c r="BE1993" i="4"/>
  <c r="BF1993" i="4"/>
  <c r="BG1994" i="4"/>
  <c r="BC1994" i="4"/>
  <c r="BD1996" i="4" l="1"/>
  <c r="BB1996" i="4"/>
  <c r="BA1997" i="4" s="1"/>
  <c r="BC1995" i="4"/>
  <c r="BG1995" i="4"/>
  <c r="BE1994" i="4"/>
  <c r="BF1994" i="4"/>
  <c r="BD1997" i="4" l="1"/>
  <c r="BB1997" i="4"/>
  <c r="BA1998" i="4" s="1"/>
  <c r="BE1995" i="4"/>
  <c r="BF1995" i="4"/>
  <c r="BC1996" i="4"/>
  <c r="BG1996" i="4"/>
  <c r="BD1998" i="4" l="1"/>
  <c r="BB1998" i="4"/>
  <c r="BA1999" i="4" s="1"/>
  <c r="BC1997" i="4"/>
  <c r="BG1997" i="4"/>
  <c r="BF1996" i="4"/>
  <c r="BE1996" i="4"/>
  <c r="BF1997" i="4" l="1"/>
  <c r="BE1997" i="4"/>
  <c r="BB1999" i="4"/>
  <c r="BA2000" i="4" s="1"/>
  <c r="BD1999" i="4"/>
  <c r="BG1998" i="4"/>
  <c r="BC1998" i="4"/>
  <c r="BD2000" i="4" l="1"/>
  <c r="BB2000" i="4"/>
  <c r="BA2001" i="4" s="1"/>
  <c r="BE1998" i="4"/>
  <c r="BF1998" i="4"/>
  <c r="BC1999" i="4"/>
  <c r="BG1999" i="4"/>
  <c r="BE1999" i="4" l="1"/>
  <c r="BF1999" i="4"/>
  <c r="BD2001" i="4"/>
  <c r="BB2001" i="4"/>
  <c r="BA2002" i="4" s="1"/>
  <c r="BG2000" i="4"/>
  <c r="BC2000" i="4"/>
  <c r="BB2002" i="4" l="1"/>
  <c r="BA2003" i="4" s="1"/>
  <c r="BD2002" i="4"/>
  <c r="BF2000" i="4"/>
  <c r="BE2000" i="4"/>
  <c r="BG2001" i="4"/>
  <c r="BC2001" i="4"/>
  <c r="BG2002" i="4" l="1"/>
  <c r="BC2002" i="4"/>
  <c r="BF2001" i="4"/>
  <c r="BE2001" i="4"/>
  <c r="BB2003" i="4"/>
  <c r="BA2004" i="4" s="1"/>
  <c r="BD2003" i="4"/>
  <c r="BD2004" i="4" l="1"/>
  <c r="BB2004" i="4"/>
  <c r="BA2005" i="4" s="1"/>
  <c r="BF2002" i="4"/>
  <c r="BE2002" i="4"/>
  <c r="BC2003" i="4"/>
  <c r="BG2003" i="4"/>
  <c r="BF2003" i="4" l="1"/>
  <c r="BE2003" i="4"/>
  <c r="BD2005" i="4"/>
  <c r="BB2005" i="4"/>
  <c r="BA2006" i="4" s="1"/>
  <c r="BC2004" i="4"/>
  <c r="BG2004" i="4"/>
  <c r="BB2006" i="4" l="1"/>
  <c r="BA2007" i="4" s="1"/>
  <c r="BD2006" i="4"/>
  <c r="BC2005" i="4"/>
  <c r="BG2005" i="4"/>
  <c r="BE2004" i="4"/>
  <c r="BF2004" i="4"/>
  <c r="BG2006" i="4" l="1"/>
  <c r="BC2006" i="4"/>
  <c r="BF2005" i="4"/>
  <c r="BE2005" i="4"/>
  <c r="BB2007" i="4"/>
  <c r="BA2008" i="4" s="1"/>
  <c r="BD2007" i="4"/>
  <c r="BG2007" i="4" l="1"/>
  <c r="BC2007" i="4"/>
  <c r="BE2006" i="4"/>
  <c r="BF2006" i="4"/>
  <c r="BB2008" i="4"/>
  <c r="BA2009" i="4" s="1"/>
  <c r="BD2008" i="4"/>
  <c r="BG2008" i="4" l="1"/>
  <c r="BC2008" i="4"/>
  <c r="BB2009" i="4"/>
  <c r="BA2010" i="4" s="1"/>
  <c r="BD2009" i="4"/>
  <c r="BE2007" i="4"/>
  <c r="BF2007" i="4"/>
  <c r="BE2008" i="4" l="1"/>
  <c r="BF2008" i="4"/>
  <c r="BG2009" i="4"/>
  <c r="BC2009" i="4"/>
  <c r="BD2010" i="4"/>
  <c r="BB2010" i="4"/>
  <c r="BA2011" i="4" s="1"/>
  <c r="BB2011" i="4" l="1"/>
  <c r="BA2012" i="4" s="1"/>
  <c r="BD2011" i="4"/>
  <c r="BG2010" i="4"/>
  <c r="BC2010" i="4"/>
  <c r="BE2009" i="4"/>
  <c r="BF2009" i="4"/>
  <c r="BF2010" i="4" l="1"/>
  <c r="BE2010" i="4"/>
  <c r="BD2012" i="4"/>
  <c r="BB2012" i="4"/>
  <c r="BA2013" i="4" s="1"/>
  <c r="BC2011" i="4"/>
  <c r="BG2011" i="4"/>
  <c r="BB2013" i="4" l="1"/>
  <c r="BA2014" i="4" s="1"/>
  <c r="BD2013" i="4"/>
  <c r="BF2011" i="4"/>
  <c r="BE2011" i="4"/>
  <c r="BC2012" i="4"/>
  <c r="BG2012" i="4"/>
  <c r="BF2012" i="4" l="1"/>
  <c r="BE2012" i="4"/>
  <c r="BC2013" i="4"/>
  <c r="BG2013" i="4"/>
  <c r="BD2014" i="4"/>
  <c r="BB2014" i="4"/>
  <c r="BA2015" i="4" s="1"/>
  <c r="BD2015" i="4" l="1"/>
  <c r="BB2015" i="4"/>
  <c r="BA2016" i="4" s="1"/>
  <c r="BE2013" i="4"/>
  <c r="BF2013" i="4"/>
  <c r="BC2014" i="4"/>
  <c r="BG2014" i="4"/>
  <c r="BE2014" i="4" l="1"/>
  <c r="BF2014" i="4"/>
  <c r="BB2016" i="4"/>
  <c r="BA2017" i="4" s="1"/>
  <c r="BD2016" i="4"/>
  <c r="BG2015" i="4"/>
  <c r="BC2015" i="4"/>
  <c r="BE2015" i="4" l="1"/>
  <c r="BF2015" i="4"/>
  <c r="BD2017" i="4"/>
  <c r="BB2017" i="4"/>
  <c r="BA2018" i="4" s="1"/>
  <c r="BG2016" i="4"/>
  <c r="BC2016" i="4"/>
  <c r="BD2018" i="4" l="1"/>
  <c r="BB2018" i="4"/>
  <c r="BA2019" i="4" s="1"/>
  <c r="BF2016" i="4"/>
  <c r="BE2016" i="4"/>
  <c r="BG2017" i="4"/>
  <c r="BC2017" i="4"/>
  <c r="BD2019" i="4" l="1"/>
  <c r="BB2019" i="4"/>
  <c r="BA2020" i="4" s="1"/>
  <c r="BF2017" i="4"/>
  <c r="BE2017" i="4"/>
  <c r="BG2018" i="4"/>
  <c r="BC2018" i="4"/>
  <c r="BD2020" i="4" l="1"/>
  <c r="BB2020" i="4"/>
  <c r="BA2021" i="4" s="1"/>
  <c r="BE2018" i="4"/>
  <c r="BF2018" i="4"/>
  <c r="BC2019" i="4"/>
  <c r="BG2019" i="4"/>
  <c r="BE2019" i="4" l="1"/>
  <c r="BF2019" i="4"/>
  <c r="BD2021" i="4"/>
  <c r="BB2021" i="4"/>
  <c r="BA2022" i="4" s="1"/>
  <c r="BC2020" i="4"/>
  <c r="BG2020" i="4"/>
  <c r="BE2020" i="4" l="1"/>
  <c r="BF2020" i="4"/>
  <c r="BD2022" i="4"/>
  <c r="BB2022" i="4"/>
  <c r="BA2023" i="4" s="1"/>
  <c r="BC2021" i="4"/>
  <c r="BG2021" i="4"/>
  <c r="BE2021" i="4" l="1"/>
  <c r="BF2021" i="4"/>
  <c r="BD2023" i="4"/>
  <c r="BB2023" i="4"/>
  <c r="BA2024" i="4" s="1"/>
  <c r="BG2022" i="4"/>
  <c r="BC2022" i="4"/>
  <c r="BG2023" i="4" l="1"/>
  <c r="BC2023" i="4"/>
  <c r="BE2022" i="4"/>
  <c r="BF2022" i="4"/>
  <c r="BD2024" i="4"/>
  <c r="BB2024" i="4"/>
  <c r="BA2025" i="4" s="1"/>
  <c r="BB2025" i="4" l="1"/>
  <c r="BA2026" i="4" s="1"/>
  <c r="BD2025" i="4"/>
  <c r="BG2024" i="4"/>
  <c r="BC2024" i="4"/>
  <c r="BF2023" i="4"/>
  <c r="BE2023" i="4"/>
  <c r="BF2024" i="4" l="1"/>
  <c r="BE2024" i="4"/>
  <c r="BD2026" i="4"/>
  <c r="BB2026" i="4"/>
  <c r="BA2027" i="4" s="1"/>
  <c r="BG2025" i="4"/>
  <c r="BC2025" i="4"/>
  <c r="BD2027" i="4" l="1"/>
  <c r="BB2027" i="4"/>
  <c r="BA2028" i="4" s="1"/>
  <c r="BF2025" i="4"/>
  <c r="BE2025" i="4"/>
  <c r="BG2026" i="4"/>
  <c r="BC2026" i="4"/>
  <c r="BF2026" i="4" l="1"/>
  <c r="BE2026" i="4"/>
  <c r="BD2028" i="4"/>
  <c r="BB2028" i="4"/>
  <c r="BA2029" i="4" s="1"/>
  <c r="BC2027" i="4"/>
  <c r="BG2027" i="4"/>
  <c r="BC2028" i="4" l="1"/>
  <c r="BG2028" i="4"/>
  <c r="BE2027" i="4"/>
  <c r="BF2027" i="4"/>
  <c r="BD2029" i="4"/>
  <c r="BB2029" i="4"/>
  <c r="BA2030" i="4" s="1"/>
  <c r="BD2030" i="4" l="1"/>
  <c r="BB2030" i="4"/>
  <c r="BA2031" i="4" s="1"/>
  <c r="BC2029" i="4"/>
  <c r="BG2029" i="4"/>
  <c r="BF2028" i="4"/>
  <c r="BE2028" i="4"/>
  <c r="BB2031" i="4" l="1"/>
  <c r="BA2032" i="4" s="1"/>
  <c r="BD2031" i="4"/>
  <c r="BE2029" i="4"/>
  <c r="BF2029" i="4"/>
  <c r="BG2030" i="4"/>
  <c r="BC2030" i="4"/>
  <c r="BC2031" i="4" l="1"/>
  <c r="BG2031" i="4"/>
  <c r="BE2030" i="4"/>
  <c r="BF2030" i="4"/>
  <c r="BB2032" i="4"/>
  <c r="BA2033" i="4" s="1"/>
  <c r="BD2032" i="4"/>
  <c r="BG2032" i="4" l="1"/>
  <c r="BC2032" i="4"/>
  <c r="BB2033" i="4"/>
  <c r="BA2034" i="4" s="1"/>
  <c r="BD2033" i="4"/>
  <c r="BE2031" i="4"/>
  <c r="BF2031" i="4"/>
  <c r="BG2033" i="4" l="1"/>
  <c r="BC2033" i="4"/>
  <c r="BE2032" i="4"/>
  <c r="BF2032" i="4"/>
  <c r="BD2034" i="4"/>
  <c r="BB2034" i="4"/>
  <c r="BA2035" i="4" s="1"/>
  <c r="BD2035" i="4" l="1"/>
  <c r="BB2035" i="4"/>
  <c r="BA2036" i="4" s="1"/>
  <c r="BG2034" i="4"/>
  <c r="BC2034" i="4"/>
  <c r="BF2033" i="4"/>
  <c r="BE2033" i="4"/>
  <c r="BB2036" i="4" l="1"/>
  <c r="BA2037" i="4" s="1"/>
  <c r="BD2036" i="4"/>
  <c r="BE2034" i="4"/>
  <c r="BF2034" i="4"/>
  <c r="BC2035" i="4"/>
  <c r="BG2035" i="4"/>
  <c r="BD2037" i="4" l="1"/>
  <c r="BB2037" i="4"/>
  <c r="BA2038" i="4" s="1"/>
  <c r="BF2035" i="4"/>
  <c r="BE2035" i="4"/>
  <c r="BC2036" i="4"/>
  <c r="BG2036" i="4"/>
  <c r="BD2038" i="4" l="1"/>
  <c r="BB2038" i="4"/>
  <c r="BA2039" i="4" s="1"/>
  <c r="BE2036" i="4"/>
  <c r="BF2036" i="4"/>
  <c r="BC2037" i="4"/>
  <c r="BG2037" i="4"/>
  <c r="BD2039" i="4" l="1"/>
  <c r="BB2039" i="4"/>
  <c r="BA2040" i="4" s="1"/>
  <c r="BF2037" i="4"/>
  <c r="BE2037" i="4"/>
  <c r="BG2038" i="4"/>
  <c r="BC2038" i="4"/>
  <c r="BF2038" i="4" l="1"/>
  <c r="BE2038" i="4"/>
  <c r="BD2040" i="4"/>
  <c r="BB2040" i="4"/>
  <c r="BA2041" i="4" s="1"/>
  <c r="BC2039" i="4"/>
  <c r="BG2039" i="4"/>
  <c r="BG2040" i="4" l="1"/>
  <c r="BC2040" i="4"/>
  <c r="BE2039" i="4"/>
  <c r="BF2039" i="4"/>
  <c r="BD2041" i="4"/>
  <c r="BB2041" i="4"/>
  <c r="BA2042" i="4" s="1"/>
  <c r="BB2042" i="4" l="1"/>
  <c r="BA2043" i="4" s="1"/>
  <c r="BD2042" i="4"/>
  <c r="BG2041" i="4"/>
  <c r="BC2041" i="4"/>
  <c r="BF2040" i="4"/>
  <c r="BE2040" i="4"/>
  <c r="BG2042" i="4" l="1"/>
  <c r="BC2042" i="4"/>
  <c r="BE2041" i="4"/>
  <c r="BF2041" i="4"/>
  <c r="BB2043" i="4"/>
  <c r="BA2044" i="4" s="1"/>
  <c r="BD2043" i="4"/>
  <c r="BD2044" i="4" l="1"/>
  <c r="BB2044" i="4"/>
  <c r="BA2045" i="4" s="1"/>
  <c r="BC2043" i="4"/>
  <c r="BG2043" i="4"/>
  <c r="BF2042" i="4"/>
  <c r="BE2042" i="4"/>
  <c r="BB2045" i="4" l="1"/>
  <c r="BA2046" i="4" s="1"/>
  <c r="BD2045" i="4"/>
  <c r="BC2044" i="4"/>
  <c r="BG2044" i="4"/>
  <c r="BF2043" i="4"/>
  <c r="BE2043" i="4"/>
  <c r="BD2046" i="4" l="1"/>
  <c r="BB2046" i="4"/>
  <c r="BA2047" i="4" s="1"/>
  <c r="BC2045" i="4"/>
  <c r="BG2045" i="4"/>
  <c r="BF2044" i="4"/>
  <c r="BE2044" i="4"/>
  <c r="BD2047" i="4" l="1"/>
  <c r="BB2047" i="4"/>
  <c r="BA2048" i="4" s="1"/>
  <c r="BF2045" i="4"/>
  <c r="BE2045" i="4"/>
  <c r="BC2046" i="4"/>
  <c r="BG2046" i="4"/>
  <c r="BF2046" i="4" l="1"/>
  <c r="BE2046" i="4"/>
  <c r="BD2048" i="4"/>
  <c r="BB2048" i="4"/>
  <c r="BA2049" i="4" s="1"/>
  <c r="BC2047" i="4"/>
  <c r="BG2047" i="4"/>
  <c r="BE2047" i="4" l="1"/>
  <c r="BF2047" i="4"/>
  <c r="BG2048" i="4"/>
  <c r="BC2048" i="4"/>
  <c r="BB2049" i="4"/>
  <c r="BA2050" i="4" s="1"/>
  <c r="BD2049" i="4"/>
  <c r="BG2049" i="4" l="1"/>
  <c r="BC2049" i="4"/>
  <c r="BD2050" i="4"/>
  <c r="BB2050" i="4"/>
  <c r="BA2051" i="4" s="1"/>
  <c r="BF2048" i="4"/>
  <c r="BE2048" i="4"/>
  <c r="BD2051" i="4" l="1"/>
  <c r="BB2051" i="4"/>
  <c r="BA2052" i="4" s="1"/>
  <c r="BE2049" i="4"/>
  <c r="BF2049" i="4"/>
  <c r="BC2050" i="4"/>
  <c r="BG2050" i="4"/>
  <c r="BB2052" i="4" l="1"/>
  <c r="BA2053" i="4" s="1"/>
  <c r="BD2052" i="4"/>
  <c r="BE2050" i="4"/>
  <c r="BF2050" i="4"/>
  <c r="BC2051" i="4"/>
  <c r="BG2051" i="4"/>
  <c r="BB2053" i="4" l="1"/>
  <c r="BA2054" i="4" s="1"/>
  <c r="BD2053" i="4"/>
  <c r="BF2051" i="4"/>
  <c r="BE2051" i="4"/>
  <c r="BC2052" i="4"/>
  <c r="BG2052" i="4"/>
  <c r="BC2053" i="4" l="1"/>
  <c r="BG2053" i="4"/>
  <c r="BB2054" i="4"/>
  <c r="BA2055" i="4" s="1"/>
  <c r="BD2054" i="4"/>
  <c r="BE2052" i="4"/>
  <c r="BF2052" i="4"/>
  <c r="BC2054" i="4" l="1"/>
  <c r="BG2054" i="4"/>
  <c r="BB2055" i="4"/>
  <c r="BA2056" i="4" s="1"/>
  <c r="BD2055" i="4"/>
  <c r="BF2053" i="4"/>
  <c r="BE2053" i="4"/>
  <c r="BG2055" i="4" l="1"/>
  <c r="BC2055" i="4"/>
  <c r="BB2056" i="4"/>
  <c r="BA2057" i="4" s="1"/>
  <c r="BD2056" i="4"/>
  <c r="BF2054" i="4"/>
  <c r="BE2054" i="4"/>
  <c r="BB2057" i="4" l="1"/>
  <c r="BA2058" i="4" s="1"/>
  <c r="BD2057" i="4"/>
  <c r="BG2056" i="4"/>
  <c r="BC2056" i="4"/>
  <c r="BE2055" i="4"/>
  <c r="BF2055" i="4"/>
  <c r="BG2057" i="4" l="1"/>
  <c r="BC2057" i="4"/>
  <c r="BB2058" i="4"/>
  <c r="BA2059" i="4" s="1"/>
  <c r="BD2058" i="4"/>
  <c r="BF2056" i="4"/>
  <c r="BE2056" i="4"/>
  <c r="BG2058" i="4" l="1"/>
  <c r="BC2058" i="4"/>
  <c r="BF2057" i="4"/>
  <c r="BE2057" i="4"/>
  <c r="BB2059" i="4"/>
  <c r="BA2060" i="4" s="1"/>
  <c r="BD2059" i="4"/>
  <c r="BD2060" i="4" l="1"/>
  <c r="BB2060" i="4"/>
  <c r="BA2061" i="4" s="1"/>
  <c r="BE2058" i="4"/>
  <c r="BF2058" i="4"/>
  <c r="BC2059" i="4"/>
  <c r="BG2059" i="4"/>
  <c r="BF2059" i="4" l="1"/>
  <c r="BE2059" i="4"/>
  <c r="BD2061" i="4"/>
  <c r="BB2061" i="4"/>
  <c r="BA2062" i="4" s="1"/>
  <c r="BC2060" i="4"/>
  <c r="BG2060" i="4"/>
  <c r="BB2062" i="4" l="1"/>
  <c r="BA2063" i="4" s="1"/>
  <c r="BD2062" i="4"/>
  <c r="BC2061" i="4"/>
  <c r="BG2061" i="4"/>
  <c r="BF2060" i="4"/>
  <c r="BE2060" i="4"/>
  <c r="BF2061" i="4" l="1"/>
  <c r="BE2061" i="4"/>
  <c r="BC2062" i="4"/>
  <c r="BG2062" i="4"/>
  <c r="BD2063" i="4"/>
  <c r="BB2063" i="4"/>
  <c r="BA2064" i="4" s="1"/>
  <c r="BD2064" i="4" l="1"/>
  <c r="BB2064" i="4"/>
  <c r="BA2065" i="4" s="1"/>
  <c r="BC2063" i="4"/>
  <c r="BG2063" i="4"/>
  <c r="BE2062" i="4"/>
  <c r="BF2062" i="4"/>
  <c r="BE2063" i="4" l="1"/>
  <c r="BF2063" i="4"/>
  <c r="BD2065" i="4"/>
  <c r="BB2065" i="4"/>
  <c r="BA2066" i="4" s="1"/>
  <c r="BG2064" i="4"/>
  <c r="BC2064" i="4"/>
  <c r="BE2064" i="4" l="1"/>
  <c r="BF2064" i="4"/>
  <c r="BG2065" i="4"/>
  <c r="BC2065" i="4"/>
  <c r="BB2066" i="4"/>
  <c r="BA2067" i="4" s="1"/>
  <c r="BD2066" i="4"/>
  <c r="BG2066" i="4" l="1"/>
  <c r="BC2066" i="4"/>
  <c r="BD2067" i="4"/>
  <c r="BB2067" i="4"/>
  <c r="BA2068" i="4" s="1"/>
  <c r="BE2065" i="4"/>
  <c r="BF2065" i="4"/>
  <c r="BC2067" i="4" l="1"/>
  <c r="BG2067" i="4"/>
  <c r="BB2068" i="4"/>
  <c r="BA2069" i="4" s="1"/>
  <c r="BD2068" i="4"/>
  <c r="BF2066" i="4"/>
  <c r="BE2066" i="4"/>
  <c r="BC2068" i="4" l="1"/>
  <c r="BG2068" i="4"/>
  <c r="BD2069" i="4"/>
  <c r="BB2069" i="4"/>
  <c r="BA2070" i="4" s="1"/>
  <c r="BE2067" i="4"/>
  <c r="BF2067" i="4"/>
  <c r="BC2069" i="4" l="1"/>
  <c r="BG2069" i="4"/>
  <c r="BB2070" i="4"/>
  <c r="BA2071" i="4" s="1"/>
  <c r="BD2070" i="4"/>
  <c r="BE2068" i="4"/>
  <c r="BF2068" i="4"/>
  <c r="BG2070" i="4" l="1"/>
  <c r="BC2070" i="4"/>
  <c r="BD2071" i="4"/>
  <c r="BB2071" i="4"/>
  <c r="BA2072" i="4" s="1"/>
  <c r="BF2069" i="4"/>
  <c r="BE2069" i="4"/>
  <c r="BB2072" i="4" l="1"/>
  <c r="BA2073" i="4" s="1"/>
  <c r="BD2072" i="4"/>
  <c r="BC2071" i="4"/>
  <c r="BG2071" i="4"/>
  <c r="BE2070" i="4"/>
  <c r="BF2070" i="4"/>
  <c r="BE2071" i="4" l="1"/>
  <c r="BF2071" i="4"/>
  <c r="BG2072" i="4"/>
  <c r="BC2072" i="4"/>
  <c r="BB2073" i="4"/>
  <c r="BA2074" i="4" s="1"/>
  <c r="BD2073" i="4"/>
  <c r="BD2074" i="4" l="1"/>
  <c r="BB2074" i="4"/>
  <c r="BA2075" i="4" s="1"/>
  <c r="BG2073" i="4"/>
  <c r="BC2073" i="4"/>
  <c r="BF2072" i="4"/>
  <c r="BE2072" i="4"/>
  <c r="BB2075" i="4" l="1"/>
  <c r="BA2076" i="4" s="1"/>
  <c r="BD2075" i="4"/>
  <c r="BG2074" i="4"/>
  <c r="BC2074" i="4"/>
  <c r="BF2073" i="4"/>
  <c r="BE2073" i="4"/>
  <c r="BF2074" i="4" l="1"/>
  <c r="BE2074" i="4"/>
  <c r="BD2076" i="4"/>
  <c r="BB2076" i="4"/>
  <c r="BA2077" i="4" s="1"/>
  <c r="BC2075" i="4"/>
  <c r="BG2075" i="4"/>
  <c r="BC2076" i="4" l="1"/>
  <c r="BG2076" i="4"/>
  <c r="BE2075" i="4"/>
  <c r="BF2075" i="4"/>
  <c r="BD2077" i="4"/>
  <c r="BB2077" i="4"/>
  <c r="BA2078" i="4" s="1"/>
  <c r="BB2078" i="4" l="1"/>
  <c r="BA2079" i="4" s="1"/>
  <c r="BD2078" i="4"/>
  <c r="BC2077" i="4"/>
  <c r="BG2077" i="4"/>
  <c r="BF2076" i="4"/>
  <c r="BE2076" i="4"/>
  <c r="BE2077" i="4" l="1"/>
  <c r="BF2077" i="4"/>
  <c r="BC2078" i="4"/>
  <c r="BG2078" i="4"/>
  <c r="BB2079" i="4"/>
  <c r="BA2080" i="4" s="1"/>
  <c r="BD2079" i="4"/>
  <c r="BD2080" i="4" l="1"/>
  <c r="BB2080" i="4"/>
  <c r="BA2081" i="4" s="1"/>
  <c r="BF2078" i="4"/>
  <c r="BE2078" i="4"/>
  <c r="BG2079" i="4"/>
  <c r="BC2079" i="4"/>
  <c r="BF2079" i="4" l="1"/>
  <c r="BE2079" i="4"/>
  <c r="BB2081" i="4"/>
  <c r="BA2082" i="4" s="1"/>
  <c r="BD2081" i="4"/>
  <c r="BG2080" i="4"/>
  <c r="BC2080" i="4"/>
  <c r="BE2080" i="4" l="1"/>
  <c r="BF2080" i="4"/>
  <c r="BD2082" i="4"/>
  <c r="BB2082" i="4"/>
  <c r="BA2083" i="4" s="1"/>
  <c r="BG2081" i="4"/>
  <c r="BC2081" i="4"/>
  <c r="BD2083" i="4" l="1"/>
  <c r="BB2083" i="4"/>
  <c r="BA2084" i="4" s="1"/>
  <c r="BC2082" i="4"/>
  <c r="BG2082" i="4"/>
  <c r="BE2081" i="4"/>
  <c r="BF2081" i="4"/>
  <c r="BB2084" i="4" l="1"/>
  <c r="BA2085" i="4" s="1"/>
  <c r="BD2084" i="4"/>
  <c r="BE2082" i="4"/>
  <c r="BF2082" i="4"/>
  <c r="BC2083" i="4"/>
  <c r="BG2083" i="4"/>
  <c r="BD2085" i="4" l="1"/>
  <c r="BB2085" i="4"/>
  <c r="BA2086" i="4" s="1"/>
  <c r="BC2084" i="4"/>
  <c r="BG2084" i="4"/>
  <c r="BF2083" i="4"/>
  <c r="BE2083" i="4"/>
  <c r="BD2086" i="4" l="1"/>
  <c r="BB2086" i="4"/>
  <c r="BA2087" i="4" s="1"/>
  <c r="BE2084" i="4"/>
  <c r="BF2084" i="4"/>
  <c r="BC2085" i="4"/>
  <c r="BG2085" i="4"/>
  <c r="BB2087" i="4" l="1"/>
  <c r="BA2088" i="4" s="1"/>
  <c r="BD2087" i="4"/>
  <c r="BF2085" i="4"/>
  <c r="BE2085" i="4"/>
  <c r="BG2086" i="4"/>
  <c r="BC2086" i="4"/>
  <c r="BD2088" i="4" l="1"/>
  <c r="BB2088" i="4"/>
  <c r="BA2089" i="4" s="1"/>
  <c r="BE2086" i="4"/>
  <c r="BF2086" i="4"/>
  <c r="BC2087" i="4"/>
  <c r="BG2087" i="4"/>
  <c r="BD2089" i="4" l="1"/>
  <c r="BB2089" i="4"/>
  <c r="BA2090" i="4" s="1"/>
  <c r="BE2087" i="4"/>
  <c r="BF2087" i="4"/>
  <c r="BG2088" i="4"/>
  <c r="BC2088" i="4"/>
  <c r="BD2090" i="4" l="1"/>
  <c r="BB2090" i="4"/>
  <c r="BA2091" i="4" s="1"/>
  <c r="BE2088" i="4"/>
  <c r="BF2088" i="4"/>
  <c r="BG2089" i="4"/>
  <c r="BC2089" i="4"/>
  <c r="BB2091" i="4" l="1"/>
  <c r="BA2092" i="4" s="1"/>
  <c r="BD2091" i="4"/>
  <c r="BG2090" i="4"/>
  <c r="BC2090" i="4"/>
  <c r="BE2089" i="4"/>
  <c r="BF2089" i="4"/>
  <c r="BE2090" i="4" l="1"/>
  <c r="BF2090" i="4"/>
  <c r="BB2092" i="4"/>
  <c r="BA2093" i="4" s="1"/>
  <c r="BD2092" i="4"/>
  <c r="BC2091" i="4"/>
  <c r="BG2091" i="4"/>
  <c r="BB2093" i="4" l="1"/>
  <c r="BA2094" i="4" s="1"/>
  <c r="BD2093" i="4"/>
  <c r="BE2091" i="4"/>
  <c r="BF2091" i="4"/>
  <c r="BC2092" i="4"/>
  <c r="BG2092" i="4"/>
  <c r="BF2092" i="4" l="1"/>
  <c r="BE2092" i="4"/>
  <c r="BD2094" i="4"/>
  <c r="BB2094" i="4"/>
  <c r="BA2095" i="4" s="1"/>
  <c r="BC2093" i="4"/>
  <c r="BG2093" i="4"/>
  <c r="BC2094" i="4" l="1"/>
  <c r="BG2094" i="4"/>
  <c r="BF2093" i="4"/>
  <c r="BE2093" i="4"/>
  <c r="BB2095" i="4"/>
  <c r="BA2096" i="4" s="1"/>
  <c r="BD2095" i="4"/>
  <c r="BC2095" i="4" l="1"/>
  <c r="BG2095" i="4"/>
  <c r="BD2096" i="4"/>
  <c r="BB2096" i="4"/>
  <c r="BA2097" i="4" s="1"/>
  <c r="BF2094" i="4"/>
  <c r="BE2094" i="4"/>
  <c r="BD2097" i="4" l="1"/>
  <c r="BB2097" i="4"/>
  <c r="BA2098" i="4" s="1"/>
  <c r="BG2096" i="4"/>
  <c r="BC2096" i="4"/>
  <c r="BE2095" i="4"/>
  <c r="BF2095" i="4"/>
  <c r="BB2098" i="4" l="1"/>
  <c r="BA2099" i="4" s="1"/>
  <c r="BD2098" i="4"/>
  <c r="BG2097" i="4"/>
  <c r="BC2097" i="4"/>
  <c r="BE2096" i="4"/>
  <c r="BF2096" i="4"/>
  <c r="BG2098" i="4" l="1"/>
  <c r="BC2098" i="4"/>
  <c r="BB2099" i="4"/>
  <c r="BA2100" i="4" s="1"/>
  <c r="BD2099" i="4"/>
  <c r="BF2097" i="4"/>
  <c r="BE2097" i="4"/>
  <c r="BC2099" i="4" l="1"/>
  <c r="BG2099" i="4"/>
  <c r="BE2098" i="4"/>
  <c r="BF2098" i="4"/>
  <c r="BD2100" i="4"/>
  <c r="BB2100" i="4"/>
  <c r="BA2101" i="4" s="1"/>
  <c r="BD2101" i="4" l="1"/>
  <c r="BB2101" i="4"/>
  <c r="BA2102" i="4" s="1"/>
  <c r="BC2100" i="4"/>
  <c r="BG2100" i="4"/>
  <c r="BE2099" i="4"/>
  <c r="BF2099" i="4"/>
  <c r="BF2100" i="4" l="1"/>
  <c r="BE2100" i="4"/>
  <c r="BD2102" i="4"/>
  <c r="BB2102" i="4"/>
  <c r="BA2103" i="4" s="1"/>
  <c r="BC2101" i="4"/>
  <c r="BG2101" i="4"/>
  <c r="BD2103" i="4" l="1"/>
  <c r="BB2103" i="4"/>
  <c r="BA2104" i="4" s="1"/>
  <c r="BG2102" i="4"/>
  <c r="BC2102" i="4"/>
  <c r="BE2101" i="4"/>
  <c r="BF2101" i="4"/>
  <c r="BD2104" i="4" l="1"/>
  <c r="BB2104" i="4"/>
  <c r="BA2105" i="4" s="1"/>
  <c r="BF2102" i="4"/>
  <c r="BE2102" i="4"/>
  <c r="BC2103" i="4"/>
  <c r="BG2103" i="4"/>
  <c r="BD2105" i="4" l="1"/>
  <c r="BB2105" i="4"/>
  <c r="BA2106" i="4" s="1"/>
  <c r="BF2103" i="4"/>
  <c r="BE2103" i="4"/>
  <c r="BG2104" i="4"/>
  <c r="BC2104" i="4"/>
  <c r="BF2104" i="4" l="1"/>
  <c r="BE2104" i="4"/>
  <c r="BD2106" i="4"/>
  <c r="BB2106" i="4"/>
  <c r="BA2107" i="4" s="1"/>
  <c r="BG2105" i="4"/>
  <c r="BC2105" i="4"/>
  <c r="BB2107" i="4" l="1"/>
  <c r="BA2108" i="4" s="1"/>
  <c r="BD2107" i="4"/>
  <c r="BF2105" i="4"/>
  <c r="BE2105" i="4"/>
  <c r="BG2106" i="4"/>
  <c r="BC2106" i="4"/>
  <c r="BB2108" i="4" l="1"/>
  <c r="BA2109" i="4" s="1"/>
  <c r="BD2108" i="4"/>
  <c r="BE2106" i="4"/>
  <c r="BF2106" i="4"/>
  <c r="BC2107" i="4"/>
  <c r="BG2107" i="4"/>
  <c r="BC2108" i="4" l="1"/>
  <c r="BG2108" i="4"/>
  <c r="BD2109" i="4"/>
  <c r="BB2109" i="4"/>
  <c r="BA2110" i="4" s="1"/>
  <c r="BF2107" i="4"/>
  <c r="BE2107" i="4"/>
  <c r="BC2109" i="4" l="1"/>
  <c r="BG2109" i="4"/>
  <c r="BD2110" i="4"/>
  <c r="BB2110" i="4"/>
  <c r="BA2111" i="4" s="1"/>
  <c r="BE2108" i="4"/>
  <c r="BF2108" i="4"/>
  <c r="BB2111" i="4" l="1"/>
  <c r="BA2112" i="4" s="1"/>
  <c r="BD2111" i="4"/>
  <c r="BG2110" i="4"/>
  <c r="BC2110" i="4"/>
  <c r="BF2109" i="4"/>
  <c r="BE2109" i="4"/>
  <c r="BC2111" i="4" l="1"/>
  <c r="BG2111" i="4"/>
  <c r="BD2112" i="4"/>
  <c r="BB2112" i="4"/>
  <c r="BA2113" i="4" s="1"/>
  <c r="BF2110" i="4"/>
  <c r="BE2110" i="4"/>
  <c r="BG2112" i="4" l="1"/>
  <c r="BC2112" i="4"/>
  <c r="BB2113" i="4"/>
  <c r="BA2114" i="4" s="1"/>
  <c r="BD2113" i="4"/>
  <c r="BF2111" i="4"/>
  <c r="BE2111" i="4"/>
  <c r="BG2113" i="4" l="1"/>
  <c r="BC2113" i="4"/>
  <c r="BB2114" i="4"/>
  <c r="BA2115" i="4" s="1"/>
  <c r="BD2114" i="4"/>
  <c r="BF2112" i="4"/>
  <c r="BE2112" i="4"/>
  <c r="BG2114" i="4" l="1"/>
  <c r="BC2114" i="4"/>
  <c r="BE2113" i="4"/>
  <c r="BF2113" i="4"/>
  <c r="BB2115" i="4"/>
  <c r="BA2116" i="4" s="1"/>
  <c r="BD2115" i="4"/>
  <c r="BB2116" i="4" l="1"/>
  <c r="BA2117" i="4" s="1"/>
  <c r="BD2116" i="4"/>
  <c r="BE2114" i="4"/>
  <c r="BF2114" i="4"/>
  <c r="BC2115" i="4"/>
  <c r="BG2115" i="4"/>
  <c r="BD2117" i="4" l="1"/>
  <c r="BB2117" i="4"/>
  <c r="BA2118" i="4" s="1"/>
  <c r="BF2115" i="4"/>
  <c r="BE2115" i="4"/>
  <c r="BC2116" i="4"/>
  <c r="BG2116" i="4"/>
  <c r="BE2116" i="4" l="1"/>
  <c r="BF2116" i="4"/>
  <c r="BB2118" i="4"/>
  <c r="BA2119" i="4" s="1"/>
  <c r="BD2118" i="4"/>
  <c r="BC2117" i="4"/>
  <c r="BG2117" i="4"/>
  <c r="BB2119" i="4" l="1"/>
  <c r="BA2120" i="4" s="1"/>
  <c r="BD2119" i="4"/>
  <c r="BF2117" i="4"/>
  <c r="BE2117" i="4"/>
  <c r="BC2118" i="4"/>
  <c r="BG2118" i="4"/>
  <c r="BD2120" i="4" l="1"/>
  <c r="BB2120" i="4"/>
  <c r="BA2121" i="4" s="1"/>
  <c r="BF2118" i="4"/>
  <c r="BE2118" i="4"/>
  <c r="BG2119" i="4"/>
  <c r="BC2119" i="4"/>
  <c r="BE2119" i="4" l="1"/>
  <c r="BF2119" i="4"/>
  <c r="BD2121" i="4"/>
  <c r="BB2121" i="4"/>
  <c r="BA2122" i="4" s="1"/>
  <c r="BG2120" i="4"/>
  <c r="BC2120" i="4"/>
  <c r="BD2122" i="4" l="1"/>
  <c r="BB2122" i="4"/>
  <c r="BA2123" i="4" s="1"/>
  <c r="BG2121" i="4"/>
  <c r="BC2121" i="4"/>
  <c r="BF2120" i="4"/>
  <c r="BE2120" i="4"/>
  <c r="BE2121" i="4" l="1"/>
  <c r="BF2121" i="4"/>
  <c r="BD2123" i="4"/>
  <c r="BB2123" i="4"/>
  <c r="BA2124" i="4" s="1"/>
  <c r="BC2122" i="4"/>
  <c r="BG2122" i="4"/>
  <c r="BD2124" i="4" l="1"/>
  <c r="BB2124" i="4"/>
  <c r="BA2125" i="4" s="1"/>
  <c r="BC2123" i="4"/>
  <c r="BG2123" i="4"/>
  <c r="BE2122" i="4"/>
  <c r="BF2122" i="4"/>
  <c r="BD2125" i="4" l="1"/>
  <c r="BB2125" i="4"/>
  <c r="BA2126" i="4" s="1"/>
  <c r="BC2124" i="4"/>
  <c r="BG2124" i="4"/>
  <c r="BE2123" i="4"/>
  <c r="BF2123" i="4"/>
  <c r="BD2126" i="4" l="1"/>
  <c r="BB2126" i="4"/>
  <c r="BA2127" i="4" s="1"/>
  <c r="BF2124" i="4"/>
  <c r="BE2124" i="4"/>
  <c r="BC2125" i="4"/>
  <c r="BG2125" i="4"/>
  <c r="BE2125" i="4" l="1"/>
  <c r="BF2125" i="4"/>
  <c r="BB2127" i="4"/>
  <c r="BA2128" i="4" s="1"/>
  <c r="BD2127" i="4"/>
  <c r="BC2126" i="4"/>
  <c r="BG2126" i="4"/>
  <c r="BG2127" i="4" l="1"/>
  <c r="BC2127" i="4"/>
  <c r="BB2128" i="4"/>
  <c r="BA2129" i="4" s="1"/>
  <c r="BD2128" i="4"/>
  <c r="BE2126" i="4"/>
  <c r="BF2126" i="4"/>
  <c r="BG2128" i="4" l="1"/>
  <c r="BC2128" i="4"/>
  <c r="BF2127" i="4"/>
  <c r="BE2127" i="4"/>
  <c r="BD2129" i="4"/>
  <c r="BB2129" i="4"/>
  <c r="BA2130" i="4" s="1"/>
  <c r="BD2130" i="4" l="1"/>
  <c r="BB2130" i="4"/>
  <c r="BA2131" i="4" s="1"/>
  <c r="BG2129" i="4"/>
  <c r="BC2129" i="4"/>
  <c r="BE2128" i="4"/>
  <c r="BF2128" i="4"/>
  <c r="BD2131" i="4" l="1"/>
  <c r="BB2131" i="4"/>
  <c r="BA2132" i="4" s="1"/>
  <c r="BF2129" i="4"/>
  <c r="BE2129" i="4"/>
  <c r="BG2130" i="4"/>
  <c r="BC2130" i="4"/>
  <c r="BB2132" i="4" l="1"/>
  <c r="BA2133" i="4" s="1"/>
  <c r="BD2132" i="4"/>
  <c r="BF2130" i="4"/>
  <c r="BE2130" i="4"/>
  <c r="BC2131" i="4"/>
  <c r="BG2131" i="4"/>
  <c r="BC2132" i="4" l="1"/>
  <c r="BG2132" i="4"/>
  <c r="BE2131" i="4"/>
  <c r="BF2131" i="4"/>
  <c r="BD2133" i="4"/>
  <c r="BB2133" i="4"/>
  <c r="BA2134" i="4" s="1"/>
  <c r="BB2134" i="4" l="1"/>
  <c r="BA2135" i="4" s="1"/>
  <c r="BD2134" i="4"/>
  <c r="BC2133" i="4"/>
  <c r="BG2133" i="4"/>
  <c r="BF2132" i="4"/>
  <c r="BE2132" i="4"/>
  <c r="BF2133" i="4" l="1"/>
  <c r="BE2133" i="4"/>
  <c r="BG2134" i="4"/>
  <c r="BC2134" i="4"/>
  <c r="BB2135" i="4"/>
  <c r="BA2136" i="4" s="1"/>
  <c r="BD2135" i="4"/>
  <c r="BC2135" i="4" l="1"/>
  <c r="BG2135" i="4"/>
  <c r="BB2136" i="4"/>
  <c r="BA2137" i="4" s="1"/>
  <c r="BD2136" i="4"/>
  <c r="BF2134" i="4"/>
  <c r="BE2134" i="4"/>
  <c r="BG2136" i="4" l="1"/>
  <c r="BC2136" i="4"/>
  <c r="BD2137" i="4"/>
  <c r="BB2137" i="4"/>
  <c r="BA2138" i="4" s="1"/>
  <c r="BF2135" i="4"/>
  <c r="BE2135" i="4"/>
  <c r="BD2138" i="4" l="1"/>
  <c r="BB2138" i="4"/>
  <c r="BA2139" i="4" s="1"/>
  <c r="BF2136" i="4"/>
  <c r="BE2136" i="4"/>
  <c r="BG2137" i="4"/>
  <c r="BC2137" i="4"/>
  <c r="BD2139" i="4" l="1"/>
  <c r="BB2139" i="4"/>
  <c r="BA2140" i="4" s="1"/>
  <c r="BF2137" i="4"/>
  <c r="BE2137" i="4"/>
  <c r="BC2138" i="4"/>
  <c r="BG2138" i="4"/>
  <c r="BD2140" i="4" l="1"/>
  <c r="BB2140" i="4"/>
  <c r="BA2141" i="4" s="1"/>
  <c r="BE2138" i="4"/>
  <c r="BF2138" i="4"/>
  <c r="BC2139" i="4"/>
  <c r="BG2139" i="4"/>
  <c r="BB2141" i="4" l="1"/>
  <c r="BA2142" i="4" s="1"/>
  <c r="BD2141" i="4"/>
  <c r="BF2139" i="4"/>
  <c r="BE2139" i="4"/>
  <c r="BC2140" i="4"/>
  <c r="BG2140" i="4"/>
  <c r="BC2141" i="4" l="1"/>
  <c r="BG2141" i="4"/>
  <c r="BB2142" i="4"/>
  <c r="BA2143" i="4" s="1"/>
  <c r="BD2142" i="4"/>
  <c r="BF2140" i="4"/>
  <c r="BE2140" i="4"/>
  <c r="BD2143" i="4" l="1"/>
  <c r="BB2143" i="4"/>
  <c r="BA2144" i="4" s="1"/>
  <c r="BC2142" i="4"/>
  <c r="BG2142" i="4"/>
  <c r="BE2141" i="4"/>
  <c r="BF2141" i="4"/>
  <c r="BF2142" i="4" l="1"/>
  <c r="BE2142" i="4"/>
  <c r="BB2144" i="4"/>
  <c r="BA2145" i="4" s="1"/>
  <c r="BD2144" i="4"/>
  <c r="BG2143" i="4"/>
  <c r="BC2143" i="4"/>
  <c r="BF2143" i="4" l="1"/>
  <c r="BE2143" i="4"/>
  <c r="BG2144" i="4"/>
  <c r="BC2144" i="4"/>
  <c r="BD2145" i="4"/>
  <c r="BB2145" i="4"/>
  <c r="BA2146" i="4" s="1"/>
  <c r="BB2146" i="4" l="1"/>
  <c r="BA2147" i="4" s="1"/>
  <c r="BD2146" i="4"/>
  <c r="BG2145" i="4"/>
  <c r="BC2145" i="4"/>
  <c r="BF2144" i="4"/>
  <c r="BE2144" i="4"/>
  <c r="BG2146" i="4" l="1"/>
  <c r="BC2146" i="4"/>
  <c r="BD2147" i="4"/>
  <c r="BB2147" i="4"/>
  <c r="BA2148" i="4" s="1"/>
  <c r="BF2145" i="4"/>
  <c r="BE2145" i="4"/>
  <c r="BB2148" i="4" l="1"/>
  <c r="BA2149" i="4" s="1"/>
  <c r="BD2148" i="4"/>
  <c r="BF2146" i="4"/>
  <c r="BE2146" i="4"/>
  <c r="BC2147" i="4"/>
  <c r="BG2147" i="4"/>
  <c r="BD2149" i="4" l="1"/>
  <c r="BB2149" i="4"/>
  <c r="BA2150" i="4" s="1"/>
  <c r="BC2148" i="4"/>
  <c r="BG2148" i="4"/>
  <c r="BE2147" i="4"/>
  <c r="BF2147" i="4"/>
  <c r="BE2148" i="4" l="1"/>
  <c r="BF2148" i="4"/>
  <c r="BD2150" i="4"/>
  <c r="BB2150" i="4"/>
  <c r="BA2151" i="4" s="1"/>
  <c r="BC2149" i="4"/>
  <c r="BG2149" i="4"/>
  <c r="BB2151" i="4" l="1"/>
  <c r="BA2152" i="4" s="1"/>
  <c r="BD2151" i="4"/>
  <c r="BE2149" i="4"/>
  <c r="BF2149" i="4"/>
  <c r="BC2150" i="4"/>
  <c r="BG2150" i="4"/>
  <c r="BC2151" i="4" l="1"/>
  <c r="BG2151" i="4"/>
  <c r="BD2152" i="4"/>
  <c r="BB2152" i="4"/>
  <c r="BA2153" i="4" s="1"/>
  <c r="BF2150" i="4"/>
  <c r="BE2150" i="4"/>
  <c r="BG2152" i="4" l="1"/>
  <c r="BC2152" i="4"/>
  <c r="BB2153" i="4"/>
  <c r="BA2154" i="4" s="1"/>
  <c r="BD2153" i="4"/>
  <c r="BE2151" i="4"/>
  <c r="BF2151" i="4"/>
  <c r="BG2153" i="4" l="1"/>
  <c r="BC2153" i="4"/>
  <c r="BE2152" i="4"/>
  <c r="BF2152" i="4"/>
  <c r="BD2154" i="4"/>
  <c r="BB2154" i="4"/>
  <c r="BA2155" i="4" s="1"/>
  <c r="BB2155" i="4" l="1"/>
  <c r="BA2156" i="4" s="1"/>
  <c r="BD2155" i="4"/>
  <c r="BG2154" i="4"/>
  <c r="BC2154" i="4"/>
  <c r="BF2153" i="4"/>
  <c r="BE2153" i="4"/>
  <c r="BC2155" i="4" l="1"/>
  <c r="BG2155" i="4"/>
  <c r="BE2154" i="4"/>
  <c r="BF2154" i="4"/>
  <c r="BD2156" i="4"/>
  <c r="BB2156" i="4"/>
  <c r="BA2157" i="4" s="1"/>
  <c r="BD2157" i="4" l="1"/>
  <c r="BB2157" i="4"/>
  <c r="BA2158" i="4" s="1"/>
  <c r="BC2156" i="4"/>
  <c r="BG2156" i="4"/>
  <c r="BE2155" i="4"/>
  <c r="BF2155" i="4"/>
  <c r="BB2158" i="4" l="1"/>
  <c r="BA2159" i="4" s="1"/>
  <c r="BD2158" i="4"/>
  <c r="BE2156" i="4"/>
  <c r="BF2156" i="4"/>
  <c r="BC2157" i="4"/>
  <c r="BG2157" i="4"/>
  <c r="BC2158" i="4" l="1"/>
  <c r="BG2158" i="4"/>
  <c r="BD2159" i="4"/>
  <c r="BB2159" i="4"/>
  <c r="BA2160" i="4" s="1"/>
  <c r="BE2157" i="4"/>
  <c r="BF2157" i="4"/>
  <c r="BC2159" i="4" l="1"/>
  <c r="BG2159" i="4"/>
  <c r="BB2160" i="4"/>
  <c r="BA2161" i="4" s="1"/>
  <c r="BD2160" i="4"/>
  <c r="BF2158" i="4"/>
  <c r="BE2158" i="4"/>
  <c r="BD2161" i="4" l="1"/>
  <c r="BB2161" i="4"/>
  <c r="BA2162" i="4" s="1"/>
  <c r="BG2160" i="4"/>
  <c r="BC2160" i="4"/>
  <c r="BF2159" i="4"/>
  <c r="BE2159" i="4"/>
  <c r="BE2160" i="4" l="1"/>
  <c r="BF2160" i="4"/>
  <c r="BD2162" i="4"/>
  <c r="BB2162" i="4"/>
  <c r="BA2163" i="4" s="1"/>
  <c r="BG2161" i="4"/>
  <c r="BC2161" i="4"/>
  <c r="BD2163" i="4" l="1"/>
  <c r="BB2163" i="4"/>
  <c r="BA2164" i="4" s="1"/>
  <c r="BG2162" i="4"/>
  <c r="BC2162" i="4"/>
  <c r="BF2161" i="4"/>
  <c r="BE2161" i="4"/>
  <c r="BB2164" i="4" l="1"/>
  <c r="BA2165" i="4" s="1"/>
  <c r="BD2164" i="4"/>
  <c r="BE2162" i="4"/>
  <c r="BF2162" i="4"/>
  <c r="BC2163" i="4"/>
  <c r="BG2163" i="4"/>
  <c r="BB2165" i="4" l="1"/>
  <c r="BA2166" i="4" s="1"/>
  <c r="BD2165" i="4"/>
  <c r="BF2163" i="4"/>
  <c r="BE2163" i="4"/>
  <c r="BC2164" i="4"/>
  <c r="BG2164" i="4"/>
  <c r="BC2165" i="4" l="1"/>
  <c r="BG2165" i="4"/>
  <c r="BB2166" i="4"/>
  <c r="BA2167" i="4" s="1"/>
  <c r="BD2166" i="4"/>
  <c r="BF2164" i="4"/>
  <c r="BE2164" i="4"/>
  <c r="BG2166" i="4" l="1"/>
  <c r="BC2166" i="4"/>
  <c r="BD2167" i="4"/>
  <c r="BB2167" i="4"/>
  <c r="BA2168" i="4" s="1"/>
  <c r="BE2165" i="4"/>
  <c r="BF2165" i="4"/>
  <c r="BC2167" i="4" l="1"/>
  <c r="BG2167" i="4"/>
  <c r="BB2168" i="4"/>
  <c r="BA2169" i="4" s="1"/>
  <c r="BD2168" i="4"/>
  <c r="BF2166" i="4"/>
  <c r="BE2166" i="4"/>
  <c r="BC2168" i="4" l="1"/>
  <c r="BG2168" i="4"/>
  <c r="BB2169" i="4"/>
  <c r="BA2170" i="4" s="1"/>
  <c r="BD2169" i="4"/>
  <c r="BF2167" i="4"/>
  <c r="BE2167" i="4"/>
  <c r="BG2169" i="4" l="1"/>
  <c r="BC2169" i="4"/>
  <c r="BD2170" i="4"/>
  <c r="BB2170" i="4"/>
  <c r="BA2171" i="4" s="1"/>
  <c r="BF2168" i="4"/>
  <c r="BE2168" i="4"/>
  <c r="BB2171" i="4" l="1"/>
  <c r="BA2172" i="4" s="1"/>
  <c r="BD2171" i="4"/>
  <c r="BE2169" i="4"/>
  <c r="BF2169" i="4"/>
  <c r="BG2170" i="4"/>
  <c r="BC2170" i="4"/>
  <c r="BD2172" i="4" l="1"/>
  <c r="BB2172" i="4"/>
  <c r="BA2173" i="4" s="1"/>
  <c r="BF2170" i="4"/>
  <c r="BE2170" i="4"/>
  <c r="BC2171" i="4"/>
  <c r="BG2171" i="4"/>
  <c r="BD2173" i="4" l="1"/>
  <c r="BB2173" i="4"/>
  <c r="BA2174" i="4" s="1"/>
  <c r="BF2171" i="4"/>
  <c r="BE2171" i="4"/>
  <c r="BC2172" i="4"/>
  <c r="BG2172" i="4"/>
  <c r="BD2174" i="4" l="1"/>
  <c r="BB2174" i="4"/>
  <c r="BA2175" i="4" s="1"/>
  <c r="BE2172" i="4"/>
  <c r="BF2172" i="4"/>
  <c r="BC2173" i="4"/>
  <c r="BG2173" i="4"/>
  <c r="BD2175" i="4" l="1"/>
  <c r="BB2175" i="4"/>
  <c r="BA2176" i="4" s="1"/>
  <c r="BE2173" i="4"/>
  <c r="BF2173" i="4"/>
  <c r="BC2174" i="4"/>
  <c r="BG2174" i="4"/>
  <c r="BE2174" i="4" l="1"/>
  <c r="BF2174" i="4"/>
  <c r="BD2176" i="4"/>
  <c r="BB2176" i="4"/>
  <c r="BA2177" i="4" s="1"/>
  <c r="BG2175" i="4"/>
  <c r="BC2175" i="4"/>
  <c r="BD2177" i="4" l="1"/>
  <c r="BB2177" i="4"/>
  <c r="BA2178" i="4" s="1"/>
  <c r="BG2176" i="4"/>
  <c r="BC2176" i="4"/>
  <c r="BF2175" i="4"/>
  <c r="BE2175" i="4"/>
  <c r="BB2178" i="4" l="1"/>
  <c r="BA2179" i="4" s="1"/>
  <c r="BD2178" i="4"/>
  <c r="BE2176" i="4"/>
  <c r="BF2176" i="4"/>
  <c r="BG2177" i="4"/>
  <c r="BC2177" i="4"/>
  <c r="BG2178" i="4" l="1"/>
  <c r="BC2178" i="4"/>
  <c r="BD2179" i="4"/>
  <c r="BB2179" i="4"/>
  <c r="BA2180" i="4" s="1"/>
  <c r="BF2177" i="4"/>
  <c r="BE2177" i="4"/>
  <c r="BD2180" i="4" l="1"/>
  <c r="BB2180" i="4"/>
  <c r="BA2181" i="4" s="1"/>
  <c r="BF2178" i="4"/>
  <c r="BE2178" i="4"/>
  <c r="BC2179" i="4"/>
  <c r="BG2179" i="4"/>
  <c r="BD2181" i="4" l="1"/>
  <c r="BB2181" i="4"/>
  <c r="BA2182" i="4" s="1"/>
  <c r="BE2179" i="4"/>
  <c r="BF2179" i="4"/>
  <c r="BC2180" i="4"/>
  <c r="BG2180" i="4"/>
  <c r="BD2182" i="4" l="1"/>
  <c r="BB2182" i="4"/>
  <c r="BA2183" i="4" s="1"/>
  <c r="BE2180" i="4"/>
  <c r="BF2180" i="4"/>
  <c r="BC2181" i="4"/>
  <c r="BG2181" i="4"/>
  <c r="BF2181" i="4" l="1"/>
  <c r="BE2181" i="4"/>
  <c r="BD2183" i="4"/>
  <c r="BB2183" i="4"/>
  <c r="BA2184" i="4" s="1"/>
  <c r="BC2182" i="4"/>
  <c r="BG2182" i="4"/>
  <c r="BG2183" i="4" l="1"/>
  <c r="BC2183" i="4"/>
  <c r="BF2182" i="4"/>
  <c r="BE2182" i="4"/>
  <c r="BD2184" i="4"/>
  <c r="BB2184" i="4"/>
  <c r="BA2185" i="4" s="1"/>
  <c r="BE2183" i="4" l="1"/>
  <c r="BF2183" i="4"/>
  <c r="BD2185" i="4"/>
  <c r="BB2185" i="4"/>
  <c r="BA2186" i="4" s="1"/>
  <c r="BG2184" i="4"/>
  <c r="BC2184" i="4"/>
  <c r="BD2186" i="4" l="1"/>
  <c r="BB2186" i="4"/>
  <c r="BA2187" i="4" s="1"/>
  <c r="BG2185" i="4"/>
  <c r="BC2185" i="4"/>
  <c r="BE2184" i="4"/>
  <c r="BF2184" i="4"/>
  <c r="BB2187" i="4" l="1"/>
  <c r="BA2188" i="4" s="1"/>
  <c r="BD2187" i="4"/>
  <c r="BG2186" i="4"/>
  <c r="BC2186" i="4"/>
  <c r="BE2185" i="4"/>
  <c r="BF2185" i="4"/>
  <c r="BF2186" i="4" l="1"/>
  <c r="BE2186" i="4"/>
  <c r="BD2188" i="4"/>
  <c r="BB2188" i="4"/>
  <c r="BA2189" i="4" s="1"/>
  <c r="BC2187" i="4"/>
  <c r="BG2187" i="4"/>
  <c r="BD2189" i="4" l="1"/>
  <c r="BB2189" i="4"/>
  <c r="BA2190" i="4" s="1"/>
  <c r="BC2188" i="4"/>
  <c r="BG2188" i="4"/>
  <c r="BF2187" i="4"/>
  <c r="BE2187" i="4"/>
  <c r="BB2190" i="4" l="1"/>
  <c r="BA2191" i="4" s="1"/>
  <c r="BD2190" i="4"/>
  <c r="BE2188" i="4"/>
  <c r="BF2188" i="4"/>
  <c r="BC2189" i="4"/>
  <c r="BG2189" i="4"/>
  <c r="BE2189" i="4" l="1"/>
  <c r="BF2189" i="4"/>
  <c r="BC2190" i="4"/>
  <c r="BG2190" i="4"/>
  <c r="BD2191" i="4"/>
  <c r="BB2191" i="4"/>
  <c r="BA2192" i="4" s="1"/>
  <c r="BE2190" i="4" l="1"/>
  <c r="BF2190" i="4"/>
  <c r="BB2192" i="4"/>
  <c r="BA2193" i="4" s="1"/>
  <c r="BD2192" i="4"/>
  <c r="BC2191" i="4"/>
  <c r="BG2191" i="4"/>
  <c r="BD2193" i="4" l="1"/>
  <c r="BB2193" i="4"/>
  <c r="BA2194" i="4" s="1"/>
  <c r="BG2192" i="4"/>
  <c r="BC2192" i="4"/>
  <c r="BE2191" i="4"/>
  <c r="BF2191" i="4"/>
  <c r="BF2192" i="4" l="1"/>
  <c r="BE2192" i="4"/>
  <c r="BD2194" i="4"/>
  <c r="BB2194" i="4"/>
  <c r="BA2195" i="4" s="1"/>
  <c r="BG2193" i="4"/>
  <c r="BC2193" i="4"/>
  <c r="BG2194" i="4" l="1"/>
  <c r="BC2194" i="4"/>
  <c r="BF2193" i="4"/>
  <c r="BE2193" i="4"/>
  <c r="BD2195" i="4"/>
  <c r="BB2195" i="4"/>
  <c r="BA2196" i="4" s="1"/>
  <c r="BD2196" i="4" l="1"/>
  <c r="BB2196" i="4"/>
  <c r="BA2197" i="4" s="1"/>
  <c r="BC2195" i="4"/>
  <c r="BG2195" i="4"/>
  <c r="BE2194" i="4"/>
  <c r="BF2194" i="4"/>
  <c r="BF2195" i="4" l="1"/>
  <c r="BE2195" i="4"/>
  <c r="BD2197" i="4"/>
  <c r="BB2197" i="4"/>
  <c r="BA2198" i="4" s="1"/>
  <c r="BC2196" i="4"/>
  <c r="BG2196" i="4"/>
  <c r="BC2197" i="4" l="1"/>
  <c r="BG2197" i="4"/>
  <c r="BF2196" i="4"/>
  <c r="BE2196" i="4"/>
  <c r="BD2198" i="4"/>
  <c r="BB2198" i="4"/>
  <c r="BA2199" i="4" s="1"/>
  <c r="BB2199" i="4" l="1"/>
  <c r="BA2200" i="4" s="1"/>
  <c r="BD2199" i="4"/>
  <c r="BG2198" i="4"/>
  <c r="BC2198" i="4"/>
  <c r="BF2197" i="4"/>
  <c r="BE2197" i="4"/>
  <c r="BG2199" i="4" l="1"/>
  <c r="BC2199" i="4"/>
  <c r="BD2200" i="4"/>
  <c r="BB2200" i="4"/>
  <c r="BA2201" i="4" s="1"/>
  <c r="BF2198" i="4"/>
  <c r="BE2198" i="4"/>
  <c r="BD2201" i="4" l="1"/>
  <c r="BB2201" i="4"/>
  <c r="BA2202" i="4" s="1"/>
  <c r="BG2200" i="4"/>
  <c r="BC2200" i="4"/>
  <c r="BE2199" i="4"/>
  <c r="BF2199" i="4"/>
  <c r="BD2202" i="4" l="1"/>
  <c r="BB2202" i="4"/>
  <c r="BA2203" i="4" s="1"/>
  <c r="BG2201" i="4"/>
  <c r="BC2201" i="4"/>
  <c r="BE2200" i="4"/>
  <c r="BF2200" i="4"/>
  <c r="BB2203" i="4" l="1"/>
  <c r="BA2204" i="4" s="1"/>
  <c r="BD2203" i="4"/>
  <c r="BF2201" i="4"/>
  <c r="BE2201" i="4"/>
  <c r="BG2202" i="4"/>
  <c r="BC2202" i="4"/>
  <c r="BE2202" i="4" l="1"/>
  <c r="BF2202" i="4"/>
  <c r="BD2204" i="4"/>
  <c r="BB2204" i="4"/>
  <c r="BA2205" i="4" s="1"/>
  <c r="BC2203" i="4"/>
  <c r="BG2203" i="4"/>
  <c r="BD2205" i="4" l="1"/>
  <c r="BB2205" i="4"/>
  <c r="BA2206" i="4" s="1"/>
  <c r="BF2203" i="4"/>
  <c r="BE2203" i="4"/>
  <c r="BC2204" i="4"/>
  <c r="BG2204" i="4"/>
  <c r="BB2206" i="4" l="1"/>
  <c r="BA2207" i="4" s="1"/>
  <c r="BD2206" i="4"/>
  <c r="BE2204" i="4"/>
  <c r="BF2204" i="4"/>
  <c r="BC2205" i="4"/>
  <c r="BG2205" i="4"/>
  <c r="BG2206" i="4" l="1"/>
  <c r="BC2206" i="4"/>
  <c r="BE2205" i="4"/>
  <c r="BF2205" i="4"/>
  <c r="BB2207" i="4"/>
  <c r="BA2208" i="4" s="1"/>
  <c r="BD2207" i="4"/>
  <c r="BC2207" i="4" l="1"/>
  <c r="BG2207" i="4"/>
  <c r="BB2208" i="4"/>
  <c r="BA2209" i="4" s="1"/>
  <c r="BD2208" i="4"/>
  <c r="BF2206" i="4"/>
  <c r="BE2206" i="4"/>
  <c r="BG2208" i="4" l="1"/>
  <c r="BC2208" i="4"/>
  <c r="BB2209" i="4"/>
  <c r="BA2210" i="4" s="1"/>
  <c r="BD2209" i="4"/>
  <c r="BF2207" i="4"/>
  <c r="BE2207" i="4"/>
  <c r="BE2208" i="4" l="1"/>
  <c r="BF2208" i="4"/>
  <c r="BG2209" i="4"/>
  <c r="BC2209" i="4"/>
  <c r="BB2210" i="4"/>
  <c r="BA2211" i="4" s="1"/>
  <c r="BD2210" i="4"/>
  <c r="BG2210" i="4" l="1"/>
  <c r="BC2210" i="4"/>
  <c r="BD2211" i="4"/>
  <c r="BB2211" i="4"/>
  <c r="BA2212" i="4" s="1"/>
  <c r="BE2209" i="4"/>
  <c r="BF2209" i="4"/>
  <c r="BB2212" i="4" l="1"/>
  <c r="BA2213" i="4" s="1"/>
  <c r="BD2212" i="4"/>
  <c r="BE2210" i="4"/>
  <c r="BF2210" i="4"/>
  <c r="BC2211" i="4"/>
  <c r="BG2211" i="4"/>
  <c r="BB2213" i="4" l="1"/>
  <c r="BA2214" i="4" s="1"/>
  <c r="BD2213" i="4"/>
  <c r="BE2211" i="4"/>
  <c r="BF2211" i="4"/>
  <c r="BC2212" i="4"/>
  <c r="BG2212" i="4"/>
  <c r="BF2212" i="4" l="1"/>
  <c r="BE2212" i="4"/>
  <c r="BC2213" i="4"/>
  <c r="BG2213" i="4"/>
  <c r="BD2214" i="4"/>
  <c r="BB2214" i="4"/>
  <c r="BA2215" i="4" s="1"/>
  <c r="BD2215" i="4" l="1"/>
  <c r="BB2215" i="4"/>
  <c r="BA2216" i="4" s="1"/>
  <c r="BF2213" i="4"/>
  <c r="BE2213" i="4"/>
  <c r="BG2214" i="4"/>
  <c r="BC2214" i="4"/>
  <c r="BB2216" i="4" l="1"/>
  <c r="BA2217" i="4" s="1"/>
  <c r="BD2216" i="4"/>
  <c r="BF2214" i="4"/>
  <c r="BE2214" i="4"/>
  <c r="BC2215" i="4"/>
  <c r="BG2215" i="4"/>
  <c r="BG2216" i="4" l="1"/>
  <c r="BC2216" i="4"/>
  <c r="BD2217" i="4"/>
  <c r="BB2217" i="4"/>
  <c r="BA2218" i="4" s="1"/>
  <c r="BF2215" i="4"/>
  <c r="BE2215" i="4"/>
  <c r="BD2218" i="4" l="1"/>
  <c r="BB2218" i="4"/>
  <c r="BA2219" i="4" s="1"/>
  <c r="BE2216" i="4"/>
  <c r="BF2216" i="4"/>
  <c r="BG2217" i="4"/>
  <c r="BC2217" i="4"/>
  <c r="BB2219" i="4" l="1"/>
  <c r="BA2220" i="4" s="1"/>
  <c r="BD2219" i="4"/>
  <c r="BE2217" i="4"/>
  <c r="BF2217" i="4"/>
  <c r="BG2218" i="4"/>
  <c r="BC2218" i="4"/>
  <c r="BD2220" i="4" l="1"/>
  <c r="BB2220" i="4"/>
  <c r="BA2221" i="4" s="1"/>
  <c r="BC2219" i="4"/>
  <c r="BG2219" i="4"/>
  <c r="BE2218" i="4"/>
  <c r="BF2218" i="4"/>
  <c r="BD2221" i="4" l="1"/>
  <c r="BB2221" i="4"/>
  <c r="BA2222" i="4" s="1"/>
  <c r="BE2219" i="4"/>
  <c r="BF2219" i="4"/>
  <c r="BC2220" i="4"/>
  <c r="BG2220" i="4"/>
  <c r="BF2220" i="4" l="1"/>
  <c r="BE2220" i="4"/>
  <c r="BB2222" i="4"/>
  <c r="BA2223" i="4" s="1"/>
  <c r="BD2222" i="4"/>
  <c r="BC2221" i="4"/>
  <c r="BG2221" i="4"/>
  <c r="BD2223" i="4" l="1"/>
  <c r="BB2223" i="4"/>
  <c r="BA2224" i="4" s="1"/>
  <c r="BE2221" i="4"/>
  <c r="BF2221" i="4"/>
  <c r="BC2222" i="4"/>
  <c r="BG2222" i="4"/>
  <c r="BB2224" i="4" l="1"/>
  <c r="BA2225" i="4" s="1"/>
  <c r="BD2224" i="4"/>
  <c r="BF2222" i="4"/>
  <c r="BE2222" i="4"/>
  <c r="BG2223" i="4"/>
  <c r="BC2223" i="4"/>
  <c r="BG2224" i="4" l="1"/>
  <c r="BC2224" i="4"/>
  <c r="BD2225" i="4"/>
  <c r="BB2225" i="4"/>
  <c r="BA2226" i="4" s="1"/>
  <c r="BE2223" i="4"/>
  <c r="BF2223" i="4"/>
  <c r="BG2225" i="4" l="1"/>
  <c r="BC2225" i="4"/>
  <c r="BD2226" i="4"/>
  <c r="BB2226" i="4"/>
  <c r="BA2227" i="4" s="1"/>
  <c r="BF2224" i="4"/>
  <c r="BE2224" i="4"/>
  <c r="BD2227" i="4" l="1"/>
  <c r="BB2227" i="4"/>
  <c r="BA2228" i="4" s="1"/>
  <c r="BF2225" i="4"/>
  <c r="BE2225" i="4"/>
  <c r="BC2226" i="4"/>
  <c r="BG2226" i="4"/>
  <c r="BE2226" i="4" l="1"/>
  <c r="BF2226" i="4"/>
  <c r="BD2228" i="4"/>
  <c r="BB2228" i="4"/>
  <c r="BA2229" i="4" s="1"/>
  <c r="BC2227" i="4"/>
  <c r="BG2227" i="4"/>
  <c r="BD2229" i="4" l="1"/>
  <c r="BB2229" i="4"/>
  <c r="BA2230" i="4" s="1"/>
  <c r="BF2227" i="4"/>
  <c r="BE2227" i="4"/>
  <c r="BC2228" i="4"/>
  <c r="BG2228" i="4"/>
  <c r="BB2230" i="4" l="1"/>
  <c r="BA2231" i="4" s="1"/>
  <c r="BD2230" i="4"/>
  <c r="BF2228" i="4"/>
  <c r="BE2228" i="4"/>
  <c r="BC2229" i="4"/>
  <c r="BG2229" i="4"/>
  <c r="BD2231" i="4" l="1"/>
  <c r="BB2231" i="4"/>
  <c r="BA2232" i="4" s="1"/>
  <c r="BF2229" i="4"/>
  <c r="BE2229" i="4"/>
  <c r="BG2230" i="4"/>
  <c r="BC2230" i="4"/>
  <c r="BE2230" i="4" l="1"/>
  <c r="BF2230" i="4"/>
  <c r="BD2232" i="4"/>
  <c r="BB2232" i="4"/>
  <c r="BA2233" i="4" s="1"/>
  <c r="BG2231" i="4"/>
  <c r="BC2231" i="4"/>
  <c r="BD2233" i="4" l="1"/>
  <c r="BB2233" i="4"/>
  <c r="BA2234" i="4" s="1"/>
  <c r="BC2232" i="4"/>
  <c r="BG2232" i="4"/>
  <c r="BE2231" i="4"/>
  <c r="BF2231" i="4"/>
  <c r="BF2232" i="4" l="1"/>
  <c r="BE2232" i="4"/>
  <c r="BD2234" i="4"/>
  <c r="BB2234" i="4"/>
  <c r="BA2235" i="4" s="1"/>
  <c r="BG2233" i="4"/>
  <c r="BC2233" i="4"/>
  <c r="BD2235" i="4" l="1"/>
  <c r="BB2235" i="4"/>
  <c r="BA2236" i="4" s="1"/>
  <c r="BC2234" i="4"/>
  <c r="BG2234" i="4"/>
  <c r="BE2233" i="4"/>
  <c r="BF2233" i="4"/>
  <c r="BB2236" i="4" l="1"/>
  <c r="BA2237" i="4" s="1"/>
  <c r="BD2236" i="4"/>
  <c r="BE2234" i="4"/>
  <c r="BF2234" i="4"/>
  <c r="BC2235" i="4"/>
  <c r="BG2235" i="4"/>
  <c r="BD2237" i="4" l="1"/>
  <c r="BB2237" i="4"/>
  <c r="BA2238" i="4" s="1"/>
  <c r="BC2236" i="4"/>
  <c r="BG2236" i="4"/>
  <c r="BE2235" i="4"/>
  <c r="BF2235" i="4"/>
  <c r="BD2238" i="4" l="1"/>
  <c r="BB2238" i="4"/>
  <c r="BA2239" i="4" s="1"/>
  <c r="BE2236" i="4"/>
  <c r="BF2236" i="4"/>
  <c r="BC2237" i="4"/>
  <c r="BG2237" i="4"/>
  <c r="BB2239" i="4" l="1"/>
  <c r="BA2240" i="4" s="1"/>
  <c r="BD2239" i="4"/>
  <c r="BE2237" i="4"/>
  <c r="BF2237" i="4"/>
  <c r="BC2238" i="4"/>
  <c r="BG2238" i="4"/>
  <c r="BF2238" i="4" l="1"/>
  <c r="BE2238" i="4"/>
  <c r="BC2239" i="4"/>
  <c r="BG2239" i="4"/>
  <c r="BB2240" i="4"/>
  <c r="BA2241" i="4" s="1"/>
  <c r="BD2240" i="4"/>
  <c r="BG2240" i="4" l="1"/>
  <c r="BC2240" i="4"/>
  <c r="BE2239" i="4"/>
  <c r="BF2239" i="4"/>
  <c r="BB2241" i="4"/>
  <c r="BA2242" i="4" s="1"/>
  <c r="BD2241" i="4"/>
  <c r="BG2241" i="4" l="1"/>
  <c r="BC2241" i="4"/>
  <c r="BB2242" i="4"/>
  <c r="BA2243" i="4" s="1"/>
  <c r="BD2242" i="4"/>
  <c r="BE2240" i="4"/>
  <c r="BF2240" i="4"/>
  <c r="BB2243" i="4" l="1"/>
  <c r="BA2244" i="4" s="1"/>
  <c r="BD2243" i="4"/>
  <c r="BE2241" i="4"/>
  <c r="BF2241" i="4"/>
  <c r="BG2242" i="4"/>
  <c r="BC2242" i="4"/>
  <c r="BC2243" i="4" l="1"/>
  <c r="BG2243" i="4"/>
  <c r="BE2242" i="4"/>
  <c r="BF2242" i="4"/>
  <c r="BB2244" i="4"/>
  <c r="BA2245" i="4" s="1"/>
  <c r="BD2244" i="4"/>
  <c r="BD2245" i="4" l="1"/>
  <c r="BB2245" i="4"/>
  <c r="BA2246" i="4" s="1"/>
  <c r="BC2244" i="4"/>
  <c r="BG2244" i="4"/>
  <c r="BF2243" i="4"/>
  <c r="BE2243" i="4"/>
  <c r="BD2246" i="4" l="1"/>
  <c r="BB2246" i="4"/>
  <c r="BA2247" i="4" s="1"/>
  <c r="BE2244" i="4"/>
  <c r="BF2244" i="4"/>
  <c r="BC2245" i="4"/>
  <c r="BG2245" i="4"/>
  <c r="BE2245" i="4" l="1"/>
  <c r="BF2245" i="4"/>
  <c r="BD2247" i="4"/>
  <c r="BB2247" i="4"/>
  <c r="BA2248" i="4" s="1"/>
  <c r="BC2246" i="4"/>
  <c r="BG2246" i="4"/>
  <c r="BF2246" i="4" l="1"/>
  <c r="BE2246" i="4"/>
  <c r="BB2248" i="4"/>
  <c r="BA2249" i="4" s="1"/>
  <c r="BD2248" i="4"/>
  <c r="BC2247" i="4"/>
  <c r="BG2247" i="4"/>
  <c r="BF2247" i="4" l="1"/>
  <c r="BE2247" i="4"/>
  <c r="BG2248" i="4"/>
  <c r="BC2248" i="4"/>
  <c r="BD2249" i="4"/>
  <c r="BB2249" i="4"/>
  <c r="BA2250" i="4" s="1"/>
  <c r="BD2250" i="4" l="1"/>
  <c r="BB2250" i="4"/>
  <c r="BA2251" i="4" s="1"/>
  <c r="BG2249" i="4"/>
  <c r="BC2249" i="4"/>
  <c r="BE2248" i="4"/>
  <c r="BF2248" i="4"/>
  <c r="BF2249" i="4" l="1"/>
  <c r="BE2249" i="4"/>
  <c r="BD2251" i="4"/>
  <c r="BB2251" i="4"/>
  <c r="BA2252" i="4" s="1"/>
  <c r="BC2250" i="4"/>
  <c r="BG2250" i="4"/>
  <c r="BD2252" i="4" l="1"/>
  <c r="BB2252" i="4"/>
  <c r="BA2253" i="4" s="1"/>
  <c r="BE2250" i="4"/>
  <c r="BF2250" i="4"/>
  <c r="BC2251" i="4"/>
  <c r="BG2251" i="4"/>
  <c r="BF2251" i="4" l="1"/>
  <c r="BE2251" i="4"/>
  <c r="BD2253" i="4"/>
  <c r="BB2253" i="4"/>
  <c r="BA2254" i="4" s="1"/>
  <c r="BC2252" i="4"/>
  <c r="BG2252" i="4"/>
  <c r="BB2254" i="4" l="1"/>
  <c r="BA2255" i="4" s="1"/>
  <c r="BD2254" i="4"/>
  <c r="BC2253" i="4"/>
  <c r="BG2253" i="4"/>
  <c r="BF2252" i="4"/>
  <c r="BE2252" i="4"/>
  <c r="BF2253" i="4" l="1"/>
  <c r="BE2253" i="4"/>
  <c r="BG2254" i="4"/>
  <c r="BC2254" i="4"/>
  <c r="BB2255" i="4"/>
  <c r="BA2256" i="4" s="1"/>
  <c r="BD2255" i="4"/>
  <c r="BC2255" i="4" l="1"/>
  <c r="BG2255" i="4"/>
  <c r="BD2256" i="4"/>
  <c r="BB2256" i="4"/>
  <c r="BA2257" i="4" s="1"/>
  <c r="BE2254" i="4"/>
  <c r="BF2254" i="4"/>
  <c r="BG2256" i="4" l="1"/>
  <c r="BC2256" i="4"/>
  <c r="BD2257" i="4"/>
  <c r="BB2257" i="4"/>
  <c r="BA2258" i="4" s="1"/>
  <c r="BF2255" i="4"/>
  <c r="BE2255" i="4"/>
  <c r="BG2257" i="4" l="1"/>
  <c r="BC2257" i="4"/>
  <c r="BF2256" i="4"/>
  <c r="BE2256" i="4"/>
  <c r="BB2258" i="4"/>
  <c r="BA2259" i="4" s="1"/>
  <c r="BD2258" i="4"/>
  <c r="BG2258" i="4" l="1"/>
  <c r="BC2258" i="4"/>
  <c r="BF2257" i="4"/>
  <c r="BE2257" i="4"/>
  <c r="BB2259" i="4"/>
  <c r="BA2260" i="4" s="1"/>
  <c r="BD2259" i="4"/>
  <c r="BC2259" i="4" l="1"/>
  <c r="BG2259" i="4"/>
  <c r="BF2258" i="4"/>
  <c r="BE2258" i="4"/>
  <c r="BD2260" i="4"/>
  <c r="BB2260" i="4"/>
  <c r="BA2261" i="4" s="1"/>
  <c r="BD2261" i="4" l="1"/>
  <c r="BB2261" i="4"/>
  <c r="BA2262" i="4" s="1"/>
  <c r="BC2260" i="4"/>
  <c r="BG2260" i="4"/>
  <c r="BF2259" i="4"/>
  <c r="BE2259" i="4"/>
  <c r="BE2260" i="4" l="1"/>
  <c r="BF2260" i="4"/>
  <c r="BB2262" i="4"/>
  <c r="BA2263" i="4" s="1"/>
  <c r="BD2262" i="4"/>
  <c r="BC2261" i="4"/>
  <c r="BG2261" i="4"/>
  <c r="BG2262" i="4" l="1"/>
  <c r="BC2262" i="4"/>
  <c r="BF2261" i="4"/>
  <c r="BE2261" i="4"/>
  <c r="BD2263" i="4"/>
  <c r="BB2263" i="4"/>
  <c r="BA2264" i="4" s="1"/>
  <c r="BD2264" i="4" l="1"/>
  <c r="BB2264" i="4"/>
  <c r="BA2265" i="4" s="1"/>
  <c r="BG2263" i="4"/>
  <c r="BC2263" i="4"/>
  <c r="BE2262" i="4"/>
  <c r="BF2262" i="4"/>
  <c r="BD2265" i="4" l="1"/>
  <c r="BB2265" i="4"/>
  <c r="BA2266" i="4" s="1"/>
  <c r="BE2263" i="4"/>
  <c r="BF2263" i="4"/>
  <c r="BG2264" i="4"/>
  <c r="BC2264" i="4"/>
  <c r="BD2266" i="4" l="1"/>
  <c r="BB2266" i="4"/>
  <c r="BA2267" i="4" s="1"/>
  <c r="BF2264" i="4"/>
  <c r="BE2264" i="4"/>
  <c r="BG2265" i="4"/>
  <c r="BC2265" i="4"/>
  <c r="BE2265" i="4" l="1"/>
  <c r="BF2265" i="4"/>
  <c r="BB2267" i="4"/>
  <c r="BA2268" i="4" s="1"/>
  <c r="BD2267" i="4"/>
  <c r="BG2266" i="4"/>
  <c r="BC2266" i="4"/>
  <c r="BB2268" i="4" l="1"/>
  <c r="BA2269" i="4" s="1"/>
  <c r="BD2268" i="4"/>
  <c r="BC2267" i="4"/>
  <c r="BG2267" i="4"/>
  <c r="BF2266" i="4"/>
  <c r="BE2266" i="4"/>
  <c r="BC2268" i="4" l="1"/>
  <c r="BG2268" i="4"/>
  <c r="BB2269" i="4"/>
  <c r="BA2270" i="4" s="1"/>
  <c r="BD2269" i="4"/>
  <c r="BE2267" i="4"/>
  <c r="BF2267" i="4"/>
  <c r="BC2269" i="4" l="1"/>
  <c r="BG2269" i="4"/>
  <c r="BB2270" i="4"/>
  <c r="BA2271" i="4" s="1"/>
  <c r="BD2270" i="4"/>
  <c r="BF2268" i="4"/>
  <c r="BE2268" i="4"/>
  <c r="BD2271" i="4" l="1"/>
  <c r="BB2271" i="4"/>
  <c r="BA2272" i="4" s="1"/>
  <c r="BG2270" i="4"/>
  <c r="BC2270" i="4"/>
  <c r="BE2269" i="4"/>
  <c r="BF2269" i="4"/>
  <c r="BD2272" i="4" l="1"/>
  <c r="BB2272" i="4"/>
  <c r="BA2273" i="4" s="1"/>
  <c r="BE2270" i="4"/>
  <c r="BF2270" i="4"/>
  <c r="BC2271" i="4"/>
  <c r="BG2271" i="4"/>
  <c r="BE2271" i="4" l="1"/>
  <c r="BF2271" i="4"/>
  <c r="BD2273" i="4"/>
  <c r="BB2273" i="4"/>
  <c r="BA2274" i="4" s="1"/>
  <c r="BG2272" i="4"/>
  <c r="BC2272" i="4"/>
  <c r="BG2273" i="4" l="1"/>
  <c r="BC2273" i="4"/>
  <c r="BE2272" i="4"/>
  <c r="BF2272" i="4"/>
  <c r="BD2274" i="4"/>
  <c r="BB2274" i="4"/>
  <c r="BA2275" i="4" s="1"/>
  <c r="BD2275" i="4" l="1"/>
  <c r="BB2275" i="4"/>
  <c r="BA2276" i="4" s="1"/>
  <c r="BG2274" i="4"/>
  <c r="BC2274" i="4"/>
  <c r="BF2273" i="4"/>
  <c r="BE2273" i="4"/>
  <c r="BD2276" i="4" l="1"/>
  <c r="BB2276" i="4"/>
  <c r="BA2277" i="4" s="1"/>
  <c r="BC2275" i="4"/>
  <c r="BG2275" i="4"/>
  <c r="BE2274" i="4"/>
  <c r="BF2274" i="4"/>
  <c r="BB2277" i="4" l="1"/>
  <c r="BA2278" i="4" s="1"/>
  <c r="BD2277" i="4"/>
  <c r="BE2275" i="4"/>
  <c r="BF2275" i="4"/>
  <c r="BC2276" i="4"/>
  <c r="BG2276" i="4"/>
  <c r="BC2277" i="4" l="1"/>
  <c r="BG2277" i="4"/>
  <c r="BB2278" i="4"/>
  <c r="BA2279" i="4" s="1"/>
  <c r="BD2278" i="4"/>
  <c r="BE2276" i="4"/>
  <c r="BF2276" i="4"/>
  <c r="BB2279" i="4" l="1"/>
  <c r="BA2280" i="4" s="1"/>
  <c r="BD2279" i="4"/>
  <c r="BG2278" i="4"/>
  <c r="BC2278" i="4"/>
  <c r="BF2277" i="4"/>
  <c r="BE2277" i="4"/>
  <c r="BE2278" i="4" l="1"/>
  <c r="BF2278" i="4"/>
  <c r="BB2280" i="4"/>
  <c r="BA2281" i="4" s="1"/>
  <c r="BD2280" i="4"/>
  <c r="BC2279" i="4"/>
  <c r="BG2279" i="4"/>
  <c r="BD2281" i="4" l="1"/>
  <c r="BB2281" i="4"/>
  <c r="BA2282" i="4" s="1"/>
  <c r="BF2279" i="4"/>
  <c r="BE2279" i="4"/>
  <c r="BG2280" i="4"/>
  <c r="BC2280" i="4"/>
  <c r="BB2282" i="4" l="1"/>
  <c r="BA2283" i="4" s="1"/>
  <c r="BD2282" i="4"/>
  <c r="BE2280" i="4"/>
  <c r="BF2280" i="4"/>
  <c r="BG2281" i="4"/>
  <c r="BC2281" i="4"/>
  <c r="BE2281" i="4" l="1"/>
  <c r="BF2281" i="4"/>
  <c r="BG2282" i="4"/>
  <c r="BC2282" i="4"/>
  <c r="BB2283" i="4"/>
  <c r="BA2284" i="4" s="1"/>
  <c r="BD2283" i="4"/>
  <c r="BC2283" i="4" l="1"/>
  <c r="BG2283" i="4"/>
  <c r="BF2282" i="4"/>
  <c r="BE2282" i="4"/>
  <c r="BB2284" i="4"/>
  <c r="BA2285" i="4" s="1"/>
  <c r="BD2284" i="4"/>
  <c r="BC2284" i="4" l="1"/>
  <c r="BG2284" i="4"/>
  <c r="BB2285" i="4"/>
  <c r="BA2286" i="4" s="1"/>
  <c r="BD2285" i="4"/>
  <c r="BF2283" i="4"/>
  <c r="BE2283" i="4"/>
  <c r="BC2285" i="4" l="1"/>
  <c r="BG2285" i="4"/>
  <c r="BB2286" i="4"/>
  <c r="BA2287" i="4" s="1"/>
  <c r="BD2286" i="4"/>
  <c r="BE2284" i="4"/>
  <c r="BF2284" i="4"/>
  <c r="BC2286" i="4" l="1"/>
  <c r="BG2286" i="4"/>
  <c r="BB2287" i="4"/>
  <c r="BA2288" i="4" s="1"/>
  <c r="BD2287" i="4"/>
  <c r="BE2285" i="4"/>
  <c r="BF2285" i="4"/>
  <c r="BC2287" i="4" l="1"/>
  <c r="BG2287" i="4"/>
  <c r="BD2288" i="4"/>
  <c r="BB2288" i="4"/>
  <c r="BA2289" i="4" s="1"/>
  <c r="BF2286" i="4"/>
  <c r="BE2286" i="4"/>
  <c r="BD2289" i="4" l="1"/>
  <c r="BB2289" i="4"/>
  <c r="BA2290" i="4" s="1"/>
  <c r="BG2288" i="4"/>
  <c r="BC2288" i="4"/>
  <c r="BE2287" i="4"/>
  <c r="BF2287" i="4"/>
  <c r="BD2290" i="4" l="1"/>
  <c r="BB2290" i="4"/>
  <c r="BA2291" i="4" s="1"/>
  <c r="BG2289" i="4"/>
  <c r="BC2289" i="4"/>
  <c r="BF2288" i="4"/>
  <c r="BE2288" i="4"/>
  <c r="BD2291" i="4" l="1"/>
  <c r="BB2291" i="4"/>
  <c r="BA2292" i="4" s="1"/>
  <c r="BE2289" i="4"/>
  <c r="BF2289" i="4"/>
  <c r="BG2290" i="4"/>
  <c r="BC2290" i="4"/>
  <c r="BD2292" i="4" l="1"/>
  <c r="BB2292" i="4"/>
  <c r="BA2293" i="4" s="1"/>
  <c r="BC2291" i="4"/>
  <c r="BG2291" i="4"/>
  <c r="BF2290" i="4"/>
  <c r="BE2290" i="4"/>
  <c r="BD2293" i="4" l="1"/>
  <c r="BB2293" i="4"/>
  <c r="BA2294" i="4" s="1"/>
  <c r="BC2292" i="4"/>
  <c r="BG2292" i="4"/>
  <c r="BF2291" i="4"/>
  <c r="BE2291" i="4"/>
  <c r="BF2292" i="4" l="1"/>
  <c r="BE2292" i="4"/>
  <c r="BD2294" i="4"/>
  <c r="BB2294" i="4"/>
  <c r="BA2295" i="4" s="1"/>
  <c r="BC2293" i="4"/>
  <c r="BG2293" i="4"/>
  <c r="BE2293" i="4" l="1"/>
  <c r="BF2293" i="4"/>
  <c r="BB2295" i="4"/>
  <c r="BA2296" i="4" s="1"/>
  <c r="BD2295" i="4"/>
  <c r="BC2294" i="4"/>
  <c r="BG2294" i="4"/>
  <c r="BC2295" i="4" l="1"/>
  <c r="BG2295" i="4"/>
  <c r="BB2296" i="4"/>
  <c r="BA2297" i="4" s="1"/>
  <c r="BD2296" i="4"/>
  <c r="BE2294" i="4"/>
  <c r="BF2294" i="4"/>
  <c r="BG2296" i="4" l="1"/>
  <c r="BC2296" i="4"/>
  <c r="BB2297" i="4"/>
  <c r="BA2298" i="4" s="1"/>
  <c r="BD2297" i="4"/>
  <c r="BE2295" i="4"/>
  <c r="BF2295" i="4"/>
  <c r="BG2297" i="4" l="1"/>
  <c r="BC2297" i="4"/>
  <c r="BF2296" i="4"/>
  <c r="BE2296" i="4"/>
  <c r="BD2298" i="4"/>
  <c r="BB2298" i="4"/>
  <c r="BA2299" i="4" s="1"/>
  <c r="BB2299" i="4" l="1"/>
  <c r="BA2300" i="4" s="1"/>
  <c r="BD2299" i="4"/>
  <c r="BE2297" i="4"/>
  <c r="BF2297" i="4"/>
  <c r="BG2298" i="4"/>
  <c r="BC2298" i="4"/>
  <c r="BE2298" i="4" l="1"/>
  <c r="BF2298" i="4"/>
  <c r="BC2299" i="4"/>
  <c r="BG2299" i="4"/>
  <c r="BD2300" i="4"/>
  <c r="BB2300" i="4"/>
  <c r="BA2301" i="4" s="1"/>
  <c r="BB2301" i="4" l="1"/>
  <c r="BA2302" i="4" s="1"/>
  <c r="BD2301" i="4"/>
  <c r="BF2299" i="4"/>
  <c r="BE2299" i="4"/>
  <c r="BC2300" i="4"/>
  <c r="BG2300" i="4"/>
  <c r="BC2301" i="4" l="1"/>
  <c r="BG2301" i="4"/>
  <c r="BB2302" i="4"/>
  <c r="BA2303" i="4" s="1"/>
  <c r="BD2302" i="4"/>
  <c r="BE2300" i="4"/>
  <c r="BF2300" i="4"/>
  <c r="BC2302" i="4" l="1"/>
  <c r="BG2302" i="4"/>
  <c r="BD2303" i="4"/>
  <c r="BB2303" i="4"/>
  <c r="BA2304" i="4" s="1"/>
  <c r="BE2301" i="4"/>
  <c r="BF2301" i="4"/>
  <c r="BG2303" i="4" l="1"/>
  <c r="BC2303" i="4"/>
  <c r="BB2304" i="4"/>
  <c r="BA2305" i="4" s="1"/>
  <c r="BD2304" i="4"/>
  <c r="BE2302" i="4"/>
  <c r="BF2302" i="4"/>
  <c r="BG2304" i="4" l="1"/>
  <c r="BC2304" i="4"/>
  <c r="BB2305" i="4"/>
  <c r="BA2306" i="4" s="1"/>
  <c r="BD2305" i="4"/>
  <c r="BE2303" i="4"/>
  <c r="BF2303" i="4"/>
  <c r="BG2305" i="4" l="1"/>
  <c r="BC2305" i="4"/>
  <c r="BB2306" i="4"/>
  <c r="BA2307" i="4" s="1"/>
  <c r="BD2306" i="4"/>
  <c r="BF2304" i="4"/>
  <c r="BE2304" i="4"/>
  <c r="BF2305" i="4" l="1"/>
  <c r="BE2305" i="4"/>
  <c r="BG2306" i="4"/>
  <c r="BC2306" i="4"/>
  <c r="BB2307" i="4"/>
  <c r="BA2308" i="4" s="1"/>
  <c r="BD2307" i="4"/>
  <c r="BC2307" i="4" l="1"/>
  <c r="BG2307" i="4"/>
  <c r="BB2308" i="4"/>
  <c r="BA2309" i="4" s="1"/>
  <c r="BD2308" i="4"/>
  <c r="BF2306" i="4"/>
  <c r="BE2306" i="4"/>
  <c r="BD2309" i="4" l="1"/>
  <c r="BB2309" i="4"/>
  <c r="BA2310" i="4" s="1"/>
  <c r="BG2308" i="4"/>
  <c r="BC2308" i="4"/>
  <c r="BE2307" i="4"/>
  <c r="BF2307" i="4"/>
  <c r="BB2310" i="4" l="1"/>
  <c r="BA2311" i="4" s="1"/>
  <c r="BD2310" i="4"/>
  <c r="BE2308" i="4"/>
  <c r="BF2308" i="4"/>
  <c r="BC2309" i="4"/>
  <c r="BG2309" i="4"/>
  <c r="BF2309" i="4" l="1"/>
  <c r="BE2309" i="4"/>
  <c r="BC2310" i="4"/>
  <c r="BG2310" i="4"/>
  <c r="BD2311" i="4"/>
  <c r="BB2311" i="4"/>
  <c r="BA2312" i="4" s="1"/>
  <c r="BD2312" i="4" l="1"/>
  <c r="BB2312" i="4"/>
  <c r="BA2313" i="4" s="1"/>
  <c r="BC2311" i="4"/>
  <c r="BG2311" i="4"/>
  <c r="BE2310" i="4"/>
  <c r="BF2310" i="4"/>
  <c r="BE2311" i="4" l="1"/>
  <c r="BF2311" i="4"/>
  <c r="BB2313" i="4"/>
  <c r="BA2314" i="4" s="1"/>
  <c r="BD2313" i="4"/>
  <c r="BC2312" i="4"/>
  <c r="BG2312" i="4"/>
  <c r="BE2312" i="4" l="1"/>
  <c r="BF2312" i="4"/>
  <c r="BD2314" i="4"/>
  <c r="BB2314" i="4"/>
  <c r="BA2315" i="4" s="1"/>
  <c r="BG2313" i="4"/>
  <c r="BC2313" i="4"/>
  <c r="BB2315" i="4" l="1"/>
  <c r="BA2316" i="4" s="1"/>
  <c r="BD2315" i="4"/>
  <c r="BC2314" i="4"/>
  <c r="BG2314" i="4"/>
  <c r="BF2313" i="4"/>
  <c r="BE2313" i="4"/>
  <c r="BG2315" i="4" l="1"/>
  <c r="BC2315" i="4"/>
  <c r="BD2316" i="4"/>
  <c r="BB2316" i="4"/>
  <c r="BA2317" i="4" s="1"/>
  <c r="BE2314" i="4"/>
  <c r="BF2314" i="4"/>
  <c r="BB2317" i="4" l="1"/>
  <c r="BA2318" i="4" s="1"/>
  <c r="BD2317" i="4"/>
  <c r="BG2316" i="4"/>
  <c r="BC2316" i="4"/>
  <c r="BF2315" i="4"/>
  <c r="BE2315" i="4"/>
  <c r="BF2316" i="4" l="1"/>
  <c r="BE2316" i="4"/>
  <c r="BB2318" i="4"/>
  <c r="BA2319" i="4" s="1"/>
  <c r="BD2318" i="4"/>
  <c r="BC2317" i="4"/>
  <c r="BG2317" i="4"/>
  <c r="BF2317" i="4" l="1"/>
  <c r="BE2317" i="4"/>
  <c r="BB2319" i="4"/>
  <c r="BA2320" i="4" s="1"/>
  <c r="BD2319" i="4"/>
  <c r="BC2318" i="4"/>
  <c r="BG2318" i="4"/>
  <c r="BF2318" i="4" l="1"/>
  <c r="BE2318" i="4"/>
  <c r="BC2319" i="4"/>
  <c r="BG2319" i="4"/>
  <c r="BD2320" i="4"/>
  <c r="BB2320" i="4"/>
  <c r="BA2321" i="4" s="1"/>
  <c r="BG2320" i="4" l="1"/>
  <c r="BC2320" i="4"/>
  <c r="BB2321" i="4"/>
  <c r="BA2322" i="4" s="1"/>
  <c r="BD2321" i="4"/>
  <c r="BE2319" i="4"/>
  <c r="BF2319" i="4"/>
  <c r="BF2320" i="4" l="1"/>
  <c r="BE2320" i="4"/>
  <c r="BG2321" i="4"/>
  <c r="BC2321" i="4"/>
  <c r="BB2322" i="4"/>
  <c r="BA2323" i="4" s="1"/>
  <c r="BD2322" i="4"/>
  <c r="BG2322" i="4" l="1"/>
  <c r="BC2322" i="4"/>
  <c r="BD2323" i="4"/>
  <c r="BB2323" i="4"/>
  <c r="BA2324" i="4" s="1"/>
  <c r="BE2321" i="4"/>
  <c r="BF2321" i="4"/>
  <c r="BB2324" i="4" l="1"/>
  <c r="BA2325" i="4" s="1"/>
  <c r="BD2324" i="4"/>
  <c r="BE2322" i="4"/>
  <c r="BF2322" i="4"/>
  <c r="BC2323" i="4"/>
  <c r="BG2323" i="4"/>
  <c r="BG2324" i="4" l="1"/>
  <c r="BC2324" i="4"/>
  <c r="BF2323" i="4"/>
  <c r="BE2323" i="4"/>
  <c r="BD2325" i="4"/>
  <c r="BB2325" i="4"/>
  <c r="BA2326" i="4" s="1"/>
  <c r="BB2326" i="4" l="1"/>
  <c r="BA2327" i="4" s="1"/>
  <c r="BD2326" i="4"/>
  <c r="BC2325" i="4"/>
  <c r="BG2325" i="4"/>
  <c r="BF2324" i="4"/>
  <c r="BE2324" i="4"/>
  <c r="BC2326" i="4" l="1"/>
  <c r="BG2326" i="4"/>
  <c r="BB2327" i="4"/>
  <c r="BA2328" i="4" s="1"/>
  <c r="BD2327" i="4"/>
  <c r="BE2325" i="4"/>
  <c r="BF2325" i="4"/>
  <c r="BC2327" i="4" l="1"/>
  <c r="BG2327" i="4"/>
  <c r="BB2328" i="4"/>
  <c r="BA2329" i="4" s="1"/>
  <c r="BD2328" i="4"/>
  <c r="BE2326" i="4"/>
  <c r="BF2326" i="4"/>
  <c r="BG2328" i="4" l="1"/>
  <c r="BC2328" i="4"/>
  <c r="BB2329" i="4"/>
  <c r="BA2330" i="4" s="1"/>
  <c r="BD2329" i="4"/>
  <c r="BF2327" i="4"/>
  <c r="BE2327" i="4"/>
  <c r="BF2328" i="4" l="1"/>
  <c r="BE2328" i="4"/>
  <c r="BG2329" i="4"/>
  <c r="BC2329" i="4"/>
  <c r="BD2330" i="4"/>
  <c r="BB2330" i="4"/>
  <c r="BA2331" i="4" s="1"/>
  <c r="BC2330" i="4" l="1"/>
  <c r="BG2330" i="4"/>
  <c r="BB2331" i="4"/>
  <c r="BA2332" i="4" s="1"/>
  <c r="BD2331" i="4"/>
  <c r="BE2329" i="4"/>
  <c r="BF2329" i="4"/>
  <c r="BG2331" i="4" l="1"/>
  <c r="BC2331" i="4"/>
  <c r="BD2332" i="4"/>
  <c r="BB2332" i="4"/>
  <c r="BA2333" i="4" s="1"/>
  <c r="BF2330" i="4"/>
  <c r="BE2330" i="4"/>
  <c r="BD2333" i="4" l="1"/>
  <c r="BB2333" i="4"/>
  <c r="BA2334" i="4" s="1"/>
  <c r="BC2332" i="4"/>
  <c r="BG2332" i="4"/>
  <c r="BE2331" i="4"/>
  <c r="BF2331" i="4"/>
  <c r="BB2334" i="4" l="1"/>
  <c r="BA2335" i="4" s="1"/>
  <c r="BD2334" i="4"/>
  <c r="BE2332" i="4"/>
  <c r="BF2332" i="4"/>
  <c r="BC2333" i="4"/>
  <c r="BG2333" i="4"/>
  <c r="BC2334" i="4" l="1"/>
  <c r="BG2334" i="4"/>
  <c r="BD2335" i="4"/>
  <c r="BB2335" i="4"/>
  <c r="BA2336" i="4" s="1"/>
  <c r="BF2333" i="4"/>
  <c r="BE2333" i="4"/>
  <c r="BC2335" i="4" l="1"/>
  <c r="BG2335" i="4"/>
  <c r="BB2336" i="4"/>
  <c r="BA2337" i="4" s="1"/>
  <c r="BD2336" i="4"/>
  <c r="BE2334" i="4"/>
  <c r="BF2334" i="4"/>
  <c r="BG2336" i="4" l="1"/>
  <c r="BC2336" i="4"/>
  <c r="BD2337" i="4"/>
  <c r="BB2337" i="4"/>
  <c r="BA2338" i="4" s="1"/>
  <c r="BE2335" i="4"/>
  <c r="BF2335" i="4"/>
  <c r="BG2337" i="4" l="1"/>
  <c r="BC2337" i="4"/>
  <c r="BF2336" i="4"/>
  <c r="BE2336" i="4"/>
  <c r="BD2338" i="4"/>
  <c r="BB2338" i="4"/>
  <c r="BA2339" i="4" s="1"/>
  <c r="BB2339" i="4" l="1"/>
  <c r="BA2340" i="4" s="1"/>
  <c r="BD2339" i="4"/>
  <c r="BC2338" i="4"/>
  <c r="BG2338" i="4"/>
  <c r="BF2337" i="4"/>
  <c r="BE2337" i="4"/>
  <c r="BG2339" i="4" l="1"/>
  <c r="BC2339" i="4"/>
  <c r="BF2338" i="4"/>
  <c r="BE2338" i="4"/>
  <c r="BD2340" i="4"/>
  <c r="BB2340" i="4"/>
  <c r="BA2341" i="4" s="1"/>
  <c r="BD2341" i="4" l="1"/>
  <c r="BB2341" i="4"/>
  <c r="BA2342" i="4" s="1"/>
  <c r="BG2340" i="4"/>
  <c r="BC2340" i="4"/>
  <c r="BF2339" i="4"/>
  <c r="BE2339" i="4"/>
  <c r="BE2340" i="4" l="1"/>
  <c r="BF2340" i="4"/>
  <c r="BB2342" i="4"/>
  <c r="BA2343" i="4" s="1"/>
  <c r="BD2342" i="4"/>
  <c r="BC2341" i="4"/>
  <c r="BG2341" i="4"/>
  <c r="BE2341" i="4" l="1"/>
  <c r="BF2341" i="4"/>
  <c r="BC2342" i="4"/>
  <c r="BG2342" i="4"/>
  <c r="BD2343" i="4"/>
  <c r="BB2343" i="4"/>
  <c r="BA2344" i="4" s="1"/>
  <c r="BC2343" i="4" l="1"/>
  <c r="BG2343" i="4"/>
  <c r="BE2342" i="4"/>
  <c r="BF2342" i="4"/>
  <c r="BD2344" i="4"/>
  <c r="BB2344" i="4"/>
  <c r="BA2345" i="4" s="1"/>
  <c r="BB2345" i="4" l="1"/>
  <c r="BA2346" i="4" s="1"/>
  <c r="BD2345" i="4"/>
  <c r="BC2344" i="4"/>
  <c r="BG2344" i="4"/>
  <c r="BE2343" i="4"/>
  <c r="BF2343" i="4"/>
  <c r="BG2345" i="4" l="1"/>
  <c r="BC2345" i="4"/>
  <c r="BE2344" i="4"/>
  <c r="BF2344" i="4"/>
  <c r="BD2346" i="4"/>
  <c r="BB2346" i="4"/>
  <c r="BA2347" i="4" s="1"/>
  <c r="BD2347" i="4" l="1"/>
  <c r="BB2347" i="4"/>
  <c r="BA2348" i="4" s="1"/>
  <c r="BG2346" i="4"/>
  <c r="BC2346" i="4"/>
  <c r="BF2345" i="4"/>
  <c r="BE2345" i="4"/>
  <c r="BD2348" i="4" l="1"/>
  <c r="BB2348" i="4"/>
  <c r="BA2349" i="4" s="1"/>
  <c r="BG2347" i="4"/>
  <c r="BC2347" i="4"/>
  <c r="BE2346" i="4"/>
  <c r="BF2346" i="4"/>
  <c r="BF2347" i="4" l="1"/>
  <c r="BE2347" i="4"/>
  <c r="BD2349" i="4"/>
  <c r="BB2349" i="4"/>
  <c r="BA2350" i="4" s="1"/>
  <c r="BC2348" i="4"/>
  <c r="BG2348" i="4"/>
  <c r="BB2350" i="4" l="1"/>
  <c r="BA2351" i="4" s="1"/>
  <c r="BD2350" i="4"/>
  <c r="BC2349" i="4"/>
  <c r="BG2349" i="4"/>
  <c r="BE2348" i="4"/>
  <c r="BF2348" i="4"/>
  <c r="BF2349" i="4" l="1"/>
  <c r="BE2349" i="4"/>
  <c r="BC2350" i="4"/>
  <c r="BG2350" i="4"/>
  <c r="BD2351" i="4"/>
  <c r="BB2351" i="4"/>
  <c r="BA2352" i="4" s="1"/>
  <c r="BB2352" i="4" l="1"/>
  <c r="BA2353" i="4" s="1"/>
  <c r="BD2352" i="4"/>
  <c r="BE2350" i="4"/>
  <c r="BF2350" i="4"/>
  <c r="BC2351" i="4"/>
  <c r="BG2351" i="4"/>
  <c r="BE2351" i="4" l="1"/>
  <c r="BF2351" i="4"/>
  <c r="BG2352" i="4"/>
  <c r="BC2352" i="4"/>
  <c r="BD2353" i="4"/>
  <c r="BB2353" i="4"/>
  <c r="BA2354" i="4" s="1"/>
  <c r="BB2354" i="4" l="1"/>
  <c r="BA2355" i="4" s="1"/>
  <c r="BD2354" i="4"/>
  <c r="BG2353" i="4"/>
  <c r="BC2353" i="4"/>
  <c r="BF2352" i="4"/>
  <c r="BE2352" i="4"/>
  <c r="BG2354" i="4" l="1"/>
  <c r="BC2354" i="4"/>
  <c r="BE2353" i="4"/>
  <c r="BF2353" i="4"/>
  <c r="BB2355" i="4"/>
  <c r="BA2356" i="4" s="1"/>
  <c r="BD2355" i="4"/>
  <c r="BF2354" i="4" l="1"/>
  <c r="BE2354" i="4"/>
  <c r="BC2355" i="4"/>
  <c r="BG2355" i="4"/>
  <c r="BD2356" i="4"/>
  <c r="BB2356" i="4"/>
  <c r="BA2357" i="4" s="1"/>
  <c r="BD2357" i="4" l="1"/>
  <c r="BB2357" i="4"/>
  <c r="BA2358" i="4" s="1"/>
  <c r="BG2356" i="4"/>
  <c r="BC2356" i="4"/>
  <c r="BE2355" i="4"/>
  <c r="BF2355" i="4"/>
  <c r="BF2356" i="4" l="1"/>
  <c r="BE2356" i="4"/>
  <c r="BB2358" i="4"/>
  <c r="BA2359" i="4" s="1"/>
  <c r="BD2358" i="4"/>
  <c r="BC2357" i="4"/>
  <c r="BG2357" i="4"/>
  <c r="BE2357" i="4" l="1"/>
  <c r="BF2357" i="4"/>
  <c r="BC2358" i="4"/>
  <c r="BG2358" i="4"/>
  <c r="BD2359" i="4"/>
  <c r="BB2359" i="4"/>
  <c r="BA2360" i="4" s="1"/>
  <c r="BD2360" i="4" l="1"/>
  <c r="BB2360" i="4"/>
  <c r="BA2361" i="4" s="1"/>
  <c r="BC2359" i="4"/>
  <c r="BG2359" i="4"/>
  <c r="BF2358" i="4"/>
  <c r="BE2358" i="4"/>
  <c r="BE2359" i="4" l="1"/>
  <c r="BF2359" i="4"/>
  <c r="BB2361" i="4"/>
  <c r="BA2362" i="4" s="1"/>
  <c r="BD2361" i="4"/>
  <c r="BC2360" i="4"/>
  <c r="BG2360" i="4"/>
  <c r="BG2361" i="4" l="1"/>
  <c r="BC2361" i="4"/>
  <c r="BD2362" i="4"/>
  <c r="BB2362" i="4"/>
  <c r="BA2363" i="4" s="1"/>
  <c r="BE2360" i="4"/>
  <c r="BF2360" i="4"/>
  <c r="BB2363" i="4" l="1"/>
  <c r="BA2364" i="4" s="1"/>
  <c r="BD2363" i="4"/>
  <c r="BE2361" i="4"/>
  <c r="BF2361" i="4"/>
  <c r="BG2362" i="4"/>
  <c r="BC2362" i="4"/>
  <c r="BE2362" i="4" l="1"/>
  <c r="BF2362" i="4"/>
  <c r="BG2363" i="4"/>
  <c r="BC2363" i="4"/>
  <c r="BB2364" i="4"/>
  <c r="BA2365" i="4" s="1"/>
  <c r="BD2364" i="4"/>
  <c r="BD2365" i="4" l="1"/>
  <c r="BB2365" i="4"/>
  <c r="BA2366" i="4" s="1"/>
  <c r="BF2363" i="4"/>
  <c r="BE2363" i="4"/>
  <c r="BG2364" i="4"/>
  <c r="BC2364" i="4"/>
  <c r="BB2366" i="4" l="1"/>
  <c r="BA2367" i="4" s="1"/>
  <c r="BD2366" i="4"/>
  <c r="BF2364" i="4"/>
  <c r="BE2364" i="4"/>
  <c r="BC2365" i="4"/>
  <c r="BG2365" i="4"/>
  <c r="BE2365" i="4" l="1"/>
  <c r="BF2365" i="4"/>
  <c r="BD2367" i="4"/>
  <c r="BB2367" i="4"/>
  <c r="BA2368" i="4" s="1"/>
  <c r="BC2366" i="4"/>
  <c r="BG2366" i="4"/>
  <c r="BE2366" i="4" l="1"/>
  <c r="BF2366" i="4"/>
  <c r="BB2368" i="4"/>
  <c r="BA2369" i="4" s="1"/>
  <c r="BD2368" i="4"/>
  <c r="BC2367" i="4"/>
  <c r="BG2367" i="4"/>
  <c r="BG2368" i="4" l="1"/>
  <c r="BC2368" i="4"/>
  <c r="BF2367" i="4"/>
  <c r="BE2367" i="4"/>
  <c r="BB2369" i="4"/>
  <c r="BA2370" i="4" s="1"/>
  <c r="BD2369" i="4"/>
  <c r="BG2369" i="4" l="1"/>
  <c r="BC2369" i="4"/>
  <c r="BF2368" i="4"/>
  <c r="BE2368" i="4"/>
  <c r="BB2370" i="4"/>
  <c r="BA2371" i="4" s="1"/>
  <c r="BD2370" i="4"/>
  <c r="BG2370" i="4" l="1"/>
  <c r="BC2370" i="4"/>
  <c r="BE2369" i="4"/>
  <c r="BF2369" i="4"/>
  <c r="BB2371" i="4"/>
  <c r="BA2372" i="4" s="1"/>
  <c r="BD2371" i="4"/>
  <c r="BG2371" i="4" l="1"/>
  <c r="BC2371" i="4"/>
  <c r="BF2370" i="4"/>
  <c r="BE2370" i="4"/>
  <c r="BD2372" i="4"/>
  <c r="BB2372" i="4"/>
  <c r="BA2373" i="4" s="1"/>
  <c r="BD2373" i="4" l="1"/>
  <c r="BB2373" i="4"/>
  <c r="BA2374" i="4" s="1"/>
  <c r="BF2371" i="4"/>
  <c r="BE2371" i="4"/>
  <c r="BG2372" i="4"/>
  <c r="BC2372" i="4"/>
  <c r="BD2374" i="4" l="1"/>
  <c r="BB2374" i="4"/>
  <c r="BA2375" i="4" s="1"/>
  <c r="BF2372" i="4"/>
  <c r="BE2372" i="4"/>
  <c r="BC2373" i="4"/>
  <c r="BG2373" i="4"/>
  <c r="BE2373" i="4" l="1"/>
  <c r="BF2373" i="4"/>
  <c r="BB2375" i="4"/>
  <c r="BA2376" i="4" s="1"/>
  <c r="BD2375" i="4"/>
  <c r="BC2374" i="4"/>
  <c r="BG2374" i="4"/>
  <c r="BF2374" i="4" l="1"/>
  <c r="BE2374" i="4"/>
  <c r="BC2375" i="4"/>
  <c r="BG2375" i="4"/>
  <c r="BD2376" i="4"/>
  <c r="BB2376" i="4"/>
  <c r="BA2377" i="4" s="1"/>
  <c r="BB2377" i="4" l="1"/>
  <c r="BA2378" i="4" s="1"/>
  <c r="BD2377" i="4"/>
  <c r="BC2376" i="4"/>
  <c r="BG2376" i="4"/>
  <c r="BE2375" i="4"/>
  <c r="BF2375" i="4"/>
  <c r="BG2377" i="4" l="1"/>
  <c r="BC2377" i="4"/>
  <c r="BB2378" i="4"/>
  <c r="BA2379" i="4" s="1"/>
  <c r="BD2378" i="4"/>
  <c r="BE2376" i="4"/>
  <c r="BF2376" i="4"/>
  <c r="BB2379" i="4" l="1"/>
  <c r="BA2380" i="4" s="1"/>
  <c r="BD2379" i="4"/>
  <c r="BF2377" i="4"/>
  <c r="BE2377" i="4"/>
  <c r="BG2378" i="4"/>
  <c r="BC2378" i="4"/>
  <c r="BF2378" i="4" l="1"/>
  <c r="BE2378" i="4"/>
  <c r="BG2379" i="4"/>
  <c r="BC2379" i="4"/>
  <c r="BD2380" i="4"/>
  <c r="BB2380" i="4"/>
  <c r="BA2381" i="4" s="1"/>
  <c r="BD2381" i="4" l="1"/>
  <c r="BB2381" i="4"/>
  <c r="BA2382" i="4" s="1"/>
  <c r="BG2380" i="4"/>
  <c r="BC2380" i="4"/>
  <c r="BF2379" i="4"/>
  <c r="BE2379" i="4"/>
  <c r="BF2380" i="4" l="1"/>
  <c r="BE2380" i="4"/>
  <c r="BD2382" i="4"/>
  <c r="BB2382" i="4"/>
  <c r="BA2383" i="4" s="1"/>
  <c r="BC2381" i="4"/>
  <c r="BG2381" i="4"/>
  <c r="BD2383" i="4" l="1"/>
  <c r="BB2383" i="4"/>
  <c r="BA2384" i="4" s="1"/>
  <c r="BF2381" i="4"/>
  <c r="BE2381" i="4"/>
  <c r="BC2382" i="4"/>
  <c r="BG2382" i="4"/>
  <c r="BE2382" i="4" l="1"/>
  <c r="BF2382" i="4"/>
  <c r="BB2384" i="4"/>
  <c r="BA2385" i="4" s="1"/>
  <c r="BD2384" i="4"/>
  <c r="BC2383" i="4"/>
  <c r="BG2383" i="4"/>
  <c r="BG2384" i="4" l="1"/>
  <c r="BC2384" i="4"/>
  <c r="BB2385" i="4"/>
  <c r="BA2386" i="4" s="1"/>
  <c r="BD2385" i="4"/>
  <c r="BF2383" i="4"/>
  <c r="BE2383" i="4"/>
  <c r="BG2385" i="4" l="1"/>
  <c r="BC2385" i="4"/>
  <c r="BE2384" i="4"/>
  <c r="BF2384" i="4"/>
  <c r="BB2386" i="4"/>
  <c r="BA2387" i="4" s="1"/>
  <c r="BD2386" i="4"/>
  <c r="BG2386" i="4" l="1"/>
  <c r="BC2386" i="4"/>
  <c r="BE2385" i="4"/>
  <c r="BF2385" i="4"/>
  <c r="BB2387" i="4"/>
  <c r="BA2388" i="4" s="1"/>
  <c r="BD2387" i="4"/>
  <c r="BG2387" i="4" l="1"/>
  <c r="BC2387" i="4"/>
  <c r="BE2386" i="4"/>
  <c r="BF2386" i="4"/>
  <c r="BD2388" i="4"/>
  <c r="BB2388" i="4"/>
  <c r="BA2389" i="4" s="1"/>
  <c r="BB2389" i="4" l="1"/>
  <c r="BA2390" i="4" s="1"/>
  <c r="BD2389" i="4"/>
  <c r="BG2388" i="4"/>
  <c r="BC2388" i="4"/>
  <c r="BF2387" i="4"/>
  <c r="BE2387" i="4"/>
  <c r="BC2389" i="4" l="1"/>
  <c r="BG2389" i="4"/>
  <c r="BE2388" i="4"/>
  <c r="BF2388" i="4"/>
  <c r="BB2390" i="4"/>
  <c r="BA2391" i="4" s="1"/>
  <c r="BD2390" i="4"/>
  <c r="BD2391" i="4" l="1"/>
  <c r="BB2391" i="4"/>
  <c r="BA2392" i="4" s="1"/>
  <c r="BC2390" i="4"/>
  <c r="BG2390" i="4"/>
  <c r="BF2389" i="4"/>
  <c r="BE2389" i="4"/>
  <c r="BB2392" i="4" l="1"/>
  <c r="BA2393" i="4" s="1"/>
  <c r="BD2392" i="4"/>
  <c r="BE2390" i="4"/>
  <c r="BF2390" i="4"/>
  <c r="BC2391" i="4"/>
  <c r="BG2391" i="4"/>
  <c r="BG2392" i="4" l="1"/>
  <c r="BC2392" i="4"/>
  <c r="BD2393" i="4"/>
  <c r="BB2393" i="4"/>
  <c r="BA2394" i="4" s="1"/>
  <c r="BE2391" i="4"/>
  <c r="BF2391" i="4"/>
  <c r="BG2393" i="4" l="1"/>
  <c r="BC2393" i="4"/>
  <c r="BE2392" i="4"/>
  <c r="BF2392" i="4"/>
  <c r="BD2394" i="4"/>
  <c r="BB2394" i="4"/>
  <c r="BA2395" i="4" s="1"/>
  <c r="BB2395" i="4" l="1"/>
  <c r="BA2396" i="4" s="1"/>
  <c r="BD2395" i="4"/>
  <c r="BG2394" i="4"/>
  <c r="BC2394" i="4"/>
  <c r="BF2393" i="4"/>
  <c r="BE2393" i="4"/>
  <c r="BC2395" i="4" l="1"/>
  <c r="BG2395" i="4"/>
  <c r="BB2396" i="4"/>
  <c r="BA2397" i="4" s="1"/>
  <c r="BD2396" i="4"/>
  <c r="BE2394" i="4"/>
  <c r="BF2394" i="4"/>
  <c r="BG2396" i="4" l="1"/>
  <c r="BC2396" i="4"/>
  <c r="BB2397" i="4"/>
  <c r="BA2398" i="4" s="1"/>
  <c r="BD2397" i="4"/>
  <c r="BE2395" i="4"/>
  <c r="BF2395" i="4"/>
  <c r="BC2397" i="4" l="1"/>
  <c r="BG2397" i="4"/>
  <c r="BD2398" i="4"/>
  <c r="BB2398" i="4"/>
  <c r="BA2399" i="4" s="1"/>
  <c r="BE2396" i="4"/>
  <c r="BF2396" i="4"/>
  <c r="BB2399" i="4" l="1"/>
  <c r="BA2400" i="4" s="1"/>
  <c r="BD2399" i="4"/>
  <c r="BC2398" i="4"/>
  <c r="BG2398" i="4"/>
  <c r="BE2397" i="4"/>
  <c r="BF2397" i="4"/>
  <c r="BC2399" i="4" l="1"/>
  <c r="BG2399" i="4"/>
  <c r="BE2398" i="4"/>
  <c r="BF2398" i="4"/>
  <c r="BD2400" i="4"/>
  <c r="BB2400" i="4"/>
  <c r="BA2401" i="4" s="1"/>
  <c r="BD2401" i="4" l="1"/>
  <c r="BB2401" i="4"/>
  <c r="BA2402" i="4" s="1"/>
  <c r="BG2400" i="4"/>
  <c r="BC2400" i="4"/>
  <c r="BF2399" i="4"/>
  <c r="BE2399" i="4"/>
  <c r="BB2402" i="4" l="1"/>
  <c r="BA2403" i="4" s="1"/>
  <c r="BD2402" i="4"/>
  <c r="BE2400" i="4"/>
  <c r="BF2400" i="4"/>
  <c r="BG2401" i="4"/>
  <c r="BC2401" i="4"/>
  <c r="BE2401" i="4" l="1"/>
  <c r="BF2401" i="4"/>
  <c r="BC2402" i="4"/>
  <c r="BG2402" i="4"/>
  <c r="BB2403" i="4"/>
  <c r="BA2404" i="4" s="1"/>
  <c r="BD2403" i="4"/>
  <c r="BG2403" i="4" l="1"/>
  <c r="BC2403" i="4"/>
  <c r="BD2404" i="4"/>
  <c r="BB2404" i="4"/>
  <c r="BA2405" i="4" s="1"/>
  <c r="BE2402" i="4"/>
  <c r="BF2402" i="4"/>
  <c r="BG2404" i="4" l="1"/>
  <c r="BC2404" i="4"/>
  <c r="BD2405" i="4"/>
  <c r="BB2405" i="4"/>
  <c r="BA2406" i="4" s="1"/>
  <c r="BE2403" i="4"/>
  <c r="BF2403" i="4"/>
  <c r="BB2406" i="4" l="1"/>
  <c r="BA2407" i="4" s="1"/>
  <c r="BD2406" i="4"/>
  <c r="BE2404" i="4"/>
  <c r="BF2404" i="4"/>
  <c r="BC2405" i="4"/>
  <c r="BG2405" i="4"/>
  <c r="BC2406" i="4" l="1"/>
  <c r="BG2406" i="4"/>
  <c r="BB2407" i="4"/>
  <c r="BA2408" i="4" s="1"/>
  <c r="BD2407" i="4"/>
  <c r="BF2405" i="4"/>
  <c r="BE2405" i="4"/>
  <c r="BC2407" i="4" l="1"/>
  <c r="BG2407" i="4"/>
  <c r="BB2408" i="4"/>
  <c r="BA2409" i="4" s="1"/>
  <c r="BD2408" i="4"/>
  <c r="BF2406" i="4"/>
  <c r="BE2406" i="4"/>
  <c r="BG2408" i="4" l="1"/>
  <c r="BC2408" i="4"/>
  <c r="BB2409" i="4"/>
  <c r="BA2410" i="4" s="1"/>
  <c r="BD2409" i="4"/>
  <c r="BF2407" i="4"/>
  <c r="BE2407" i="4"/>
  <c r="BG2409" i="4" l="1"/>
  <c r="BC2409" i="4"/>
  <c r="BB2410" i="4"/>
  <c r="BA2411" i="4" s="1"/>
  <c r="BD2410" i="4"/>
  <c r="BE2408" i="4"/>
  <c r="BF2408" i="4"/>
  <c r="BC2410" i="4" l="1"/>
  <c r="BG2410" i="4"/>
  <c r="BB2411" i="4"/>
  <c r="BA2412" i="4" s="1"/>
  <c r="BD2411" i="4"/>
  <c r="BE2409" i="4"/>
  <c r="BF2409" i="4"/>
  <c r="BG2411" i="4" l="1"/>
  <c r="BC2411" i="4"/>
  <c r="BD2412" i="4"/>
  <c r="BB2412" i="4"/>
  <c r="BA2413" i="4" s="1"/>
  <c r="BF2410" i="4"/>
  <c r="BE2410" i="4"/>
  <c r="BG2412" i="4" l="1"/>
  <c r="BC2412" i="4"/>
  <c r="BB2413" i="4"/>
  <c r="BA2414" i="4" s="1"/>
  <c r="BD2413" i="4"/>
  <c r="BE2411" i="4"/>
  <c r="BF2411" i="4"/>
  <c r="BC2413" i="4" l="1"/>
  <c r="BG2413" i="4"/>
  <c r="BD2414" i="4"/>
  <c r="BB2414" i="4"/>
  <c r="BA2415" i="4" s="1"/>
  <c r="BE2412" i="4"/>
  <c r="BF2412" i="4"/>
  <c r="BD2415" i="4" l="1"/>
  <c r="BB2415" i="4"/>
  <c r="BA2416" i="4" s="1"/>
  <c r="BC2414" i="4"/>
  <c r="BG2414" i="4"/>
  <c r="BF2413" i="4"/>
  <c r="BE2413" i="4"/>
  <c r="BD2416" i="4" l="1"/>
  <c r="BB2416" i="4"/>
  <c r="BA2417" i="4" s="1"/>
  <c r="BE2414" i="4"/>
  <c r="BF2414" i="4"/>
  <c r="BC2415" i="4"/>
  <c r="BG2415" i="4"/>
  <c r="BE2415" i="4" l="1"/>
  <c r="BF2415" i="4"/>
  <c r="BD2417" i="4"/>
  <c r="BB2417" i="4"/>
  <c r="BA2418" i="4" s="1"/>
  <c r="BG2416" i="4"/>
  <c r="BC2416" i="4"/>
  <c r="BD2418" i="4" l="1"/>
  <c r="BB2418" i="4"/>
  <c r="BA2419" i="4" s="1"/>
  <c r="BG2417" i="4"/>
  <c r="BC2417" i="4"/>
  <c r="BE2416" i="4"/>
  <c r="BF2416" i="4"/>
  <c r="BF2417" i="4" l="1"/>
  <c r="BE2417" i="4"/>
  <c r="BD2419" i="4"/>
  <c r="BB2419" i="4"/>
  <c r="BA2420" i="4" s="1"/>
  <c r="BG2418" i="4"/>
  <c r="BC2418" i="4"/>
  <c r="BD2420" i="4" l="1"/>
  <c r="BB2420" i="4"/>
  <c r="BA2421" i="4" s="1"/>
  <c r="BG2419" i="4"/>
  <c r="BC2419" i="4"/>
  <c r="BF2418" i="4"/>
  <c r="BE2418" i="4"/>
  <c r="BF2419" i="4" l="1"/>
  <c r="BE2419" i="4"/>
  <c r="BD2421" i="4"/>
  <c r="BB2421" i="4"/>
  <c r="BA2422" i="4" s="1"/>
  <c r="BG2420" i="4"/>
  <c r="BC2420" i="4"/>
  <c r="BB2422" i="4" l="1"/>
  <c r="BA2423" i="4" s="1"/>
  <c r="BD2422" i="4"/>
  <c r="BC2421" i="4"/>
  <c r="BG2421" i="4"/>
  <c r="BF2420" i="4"/>
  <c r="BE2420" i="4"/>
  <c r="BC2422" i="4" l="1"/>
  <c r="BG2422" i="4"/>
  <c r="BF2421" i="4"/>
  <c r="BE2421" i="4"/>
  <c r="BB2423" i="4"/>
  <c r="BA2424" i="4" s="1"/>
  <c r="BD2423" i="4"/>
  <c r="BC2423" i="4" l="1"/>
  <c r="BG2423" i="4"/>
  <c r="BB2424" i="4"/>
  <c r="BA2425" i="4" s="1"/>
  <c r="BD2424" i="4"/>
  <c r="BE2422" i="4"/>
  <c r="BF2422" i="4"/>
  <c r="BC2424" i="4" l="1"/>
  <c r="BG2424" i="4"/>
  <c r="BD2425" i="4"/>
  <c r="BB2425" i="4"/>
  <c r="BA2426" i="4" s="1"/>
  <c r="BF2423" i="4"/>
  <c r="BE2423" i="4"/>
  <c r="BD2426" i="4" l="1"/>
  <c r="BB2426" i="4"/>
  <c r="BA2427" i="4" s="1"/>
  <c r="BG2425" i="4"/>
  <c r="BC2425" i="4"/>
  <c r="BF2424" i="4"/>
  <c r="BE2424" i="4"/>
  <c r="BB2427" i="4" l="1"/>
  <c r="BA2428" i="4" s="1"/>
  <c r="BD2427" i="4"/>
  <c r="BE2425" i="4"/>
  <c r="BF2425" i="4"/>
  <c r="BG2426" i="4"/>
  <c r="BC2426" i="4"/>
  <c r="BE2426" i="4" l="1"/>
  <c r="BF2426" i="4"/>
  <c r="BG2427" i="4"/>
  <c r="BC2427" i="4"/>
  <c r="BB2428" i="4"/>
  <c r="BA2429" i="4" s="1"/>
  <c r="BD2428" i="4"/>
  <c r="BB2429" i="4" l="1"/>
  <c r="BA2430" i="4" s="1"/>
  <c r="BD2429" i="4"/>
  <c r="BG2428" i="4"/>
  <c r="BC2428" i="4"/>
  <c r="BF2427" i="4"/>
  <c r="BE2427" i="4"/>
  <c r="BC2429" i="4" l="1"/>
  <c r="BG2429" i="4"/>
  <c r="BE2428" i="4"/>
  <c r="BF2428" i="4"/>
  <c r="BB2430" i="4"/>
  <c r="BA2431" i="4" s="1"/>
  <c r="BD2430" i="4"/>
  <c r="BC2430" i="4" l="1"/>
  <c r="BG2430" i="4"/>
  <c r="BB2431" i="4"/>
  <c r="BA2432" i="4" s="1"/>
  <c r="BD2431" i="4"/>
  <c r="BE2429" i="4"/>
  <c r="BF2429" i="4"/>
  <c r="BB2432" i="4" l="1"/>
  <c r="BA2433" i="4" s="1"/>
  <c r="BD2432" i="4"/>
  <c r="BC2431" i="4"/>
  <c r="BG2431" i="4"/>
  <c r="BF2430" i="4"/>
  <c r="BE2430" i="4"/>
  <c r="BG2432" i="4" l="1"/>
  <c r="BC2432" i="4"/>
  <c r="BF2431" i="4"/>
  <c r="BE2431" i="4"/>
  <c r="BB2433" i="4"/>
  <c r="BA2434" i="4" s="1"/>
  <c r="BD2433" i="4"/>
  <c r="BG2433" i="4" l="1"/>
  <c r="BC2433" i="4"/>
  <c r="BE2432" i="4"/>
  <c r="BF2432" i="4"/>
  <c r="BB2434" i="4"/>
  <c r="BA2435" i="4" s="1"/>
  <c r="BD2434" i="4"/>
  <c r="BG2434" i="4" l="1"/>
  <c r="BC2434" i="4"/>
  <c r="BE2433" i="4"/>
  <c r="BF2433" i="4"/>
  <c r="BD2435" i="4"/>
  <c r="BB2435" i="4"/>
  <c r="BA2436" i="4" s="1"/>
  <c r="BD2436" i="4" l="1"/>
  <c r="BB2436" i="4"/>
  <c r="BA2437" i="4" s="1"/>
  <c r="BG2435" i="4"/>
  <c r="BC2435" i="4"/>
  <c r="BF2434" i="4"/>
  <c r="BE2434" i="4"/>
  <c r="BF2435" i="4" l="1"/>
  <c r="BE2435" i="4"/>
  <c r="BD2437" i="4"/>
  <c r="BB2437" i="4"/>
  <c r="BA2438" i="4" s="1"/>
  <c r="BC2436" i="4"/>
  <c r="BG2436" i="4"/>
  <c r="BB2438" i="4" l="1"/>
  <c r="BA2439" i="4" s="1"/>
  <c r="BD2438" i="4"/>
  <c r="BC2437" i="4"/>
  <c r="BG2437" i="4"/>
  <c r="BE2436" i="4"/>
  <c r="BF2436" i="4"/>
  <c r="BC2438" i="4" l="1"/>
  <c r="BG2438" i="4"/>
  <c r="BD2439" i="4"/>
  <c r="BB2439" i="4"/>
  <c r="BA2440" i="4" s="1"/>
  <c r="BF2437" i="4"/>
  <c r="BE2437" i="4"/>
  <c r="BD2440" i="4" l="1"/>
  <c r="BB2440" i="4"/>
  <c r="BA2441" i="4" s="1"/>
  <c r="BC2439" i="4"/>
  <c r="BG2439" i="4"/>
  <c r="BE2438" i="4"/>
  <c r="BF2438" i="4"/>
  <c r="BD2441" i="4" l="1"/>
  <c r="BB2441" i="4"/>
  <c r="BA2442" i="4" s="1"/>
  <c r="BE2439" i="4"/>
  <c r="BF2439" i="4"/>
  <c r="BC2440" i="4"/>
  <c r="BG2440" i="4"/>
  <c r="BD2442" i="4" l="1"/>
  <c r="BB2442" i="4"/>
  <c r="BA2443" i="4" s="1"/>
  <c r="BE2440" i="4"/>
  <c r="BF2440" i="4"/>
  <c r="BG2441" i="4"/>
  <c r="BC2441" i="4"/>
  <c r="BF2441" i="4" l="1"/>
  <c r="BE2441" i="4"/>
  <c r="BB2443" i="4"/>
  <c r="BA2444" i="4" s="1"/>
  <c r="BD2443" i="4"/>
  <c r="BG2442" i="4"/>
  <c r="BC2442" i="4"/>
  <c r="BF2442" i="4" l="1"/>
  <c r="BE2442" i="4"/>
  <c r="BD2444" i="4"/>
  <c r="BB2444" i="4"/>
  <c r="BA2445" i="4" s="1"/>
  <c r="BC2443" i="4"/>
  <c r="BG2443" i="4"/>
  <c r="BD2445" i="4" l="1"/>
  <c r="BB2445" i="4"/>
  <c r="BA2446" i="4" s="1"/>
  <c r="BF2443" i="4"/>
  <c r="BE2443" i="4"/>
  <c r="BG2444" i="4"/>
  <c r="BC2444" i="4"/>
  <c r="BF2444" i="4" l="1"/>
  <c r="BE2444" i="4"/>
  <c r="BD2446" i="4"/>
  <c r="BB2446" i="4"/>
  <c r="BA2447" i="4" s="1"/>
  <c r="BC2445" i="4"/>
  <c r="BG2445" i="4"/>
  <c r="BD2447" i="4" l="1"/>
  <c r="BB2447" i="4"/>
  <c r="BA2448" i="4" s="1"/>
  <c r="BF2445" i="4"/>
  <c r="BE2445" i="4"/>
  <c r="BC2446" i="4"/>
  <c r="BG2446" i="4"/>
  <c r="BF2446" i="4" l="1"/>
  <c r="BE2446" i="4"/>
  <c r="BB2448" i="4"/>
  <c r="BA2449" i="4" s="1"/>
  <c r="BD2448" i="4"/>
  <c r="BC2447" i="4"/>
  <c r="BG2447" i="4"/>
  <c r="BB2449" i="4" l="1"/>
  <c r="BA2450" i="4" s="1"/>
  <c r="BD2449" i="4"/>
  <c r="BE2447" i="4"/>
  <c r="BF2447" i="4"/>
  <c r="BG2448" i="4"/>
  <c r="BC2448" i="4"/>
  <c r="BB2450" i="4" l="1"/>
  <c r="BA2451" i="4" s="1"/>
  <c r="BD2450" i="4"/>
  <c r="BG2449" i="4"/>
  <c r="BC2449" i="4"/>
  <c r="BE2448" i="4"/>
  <c r="BF2448" i="4"/>
  <c r="BG2450" i="4" l="1"/>
  <c r="BC2450" i="4"/>
  <c r="BB2451" i="4"/>
  <c r="BA2452" i="4" s="1"/>
  <c r="BD2451" i="4"/>
  <c r="BF2449" i="4"/>
  <c r="BE2449" i="4"/>
  <c r="BG2451" i="4" l="1"/>
  <c r="BC2451" i="4"/>
  <c r="BD2452" i="4"/>
  <c r="BB2452" i="4"/>
  <c r="BA2453" i="4" s="1"/>
  <c r="BE2450" i="4"/>
  <c r="BF2450" i="4"/>
  <c r="BB2453" i="4" l="1"/>
  <c r="BA2454" i="4" s="1"/>
  <c r="BD2453" i="4"/>
  <c r="BG2452" i="4"/>
  <c r="BC2452" i="4"/>
  <c r="BF2451" i="4"/>
  <c r="BE2451" i="4"/>
  <c r="BC2453" i="4" l="1"/>
  <c r="BG2453" i="4"/>
  <c r="BE2452" i="4"/>
  <c r="BF2452" i="4"/>
  <c r="BB2454" i="4"/>
  <c r="BA2455" i="4" s="1"/>
  <c r="BD2454" i="4"/>
  <c r="BD2455" i="4" l="1"/>
  <c r="BB2455" i="4"/>
  <c r="BA2456" i="4" s="1"/>
  <c r="BC2454" i="4"/>
  <c r="BG2454" i="4"/>
  <c r="BF2453" i="4"/>
  <c r="BE2453" i="4"/>
  <c r="BE2454" i="4" l="1"/>
  <c r="BF2454" i="4"/>
  <c r="BD2456" i="4"/>
  <c r="BB2456" i="4"/>
  <c r="BA2457" i="4" s="1"/>
  <c r="BC2455" i="4"/>
  <c r="BG2455" i="4"/>
  <c r="BB2457" i="4" l="1"/>
  <c r="BA2458" i="4" s="1"/>
  <c r="BD2457" i="4"/>
  <c r="BC2456" i="4"/>
  <c r="BG2456" i="4"/>
  <c r="BE2455" i="4"/>
  <c r="BF2455" i="4"/>
  <c r="BB2458" i="4" l="1"/>
  <c r="BA2459" i="4" s="1"/>
  <c r="BD2458" i="4"/>
  <c r="BF2456" i="4"/>
  <c r="BE2456" i="4"/>
  <c r="BG2457" i="4"/>
  <c r="BC2457" i="4"/>
  <c r="BG2458" i="4" l="1"/>
  <c r="BC2458" i="4"/>
  <c r="BF2457" i="4"/>
  <c r="BE2457" i="4"/>
  <c r="BB2459" i="4"/>
  <c r="BA2460" i="4" s="1"/>
  <c r="BD2459" i="4"/>
  <c r="BG2459" i="4" l="1"/>
  <c r="BC2459" i="4"/>
  <c r="BB2460" i="4"/>
  <c r="BA2461" i="4" s="1"/>
  <c r="BD2460" i="4"/>
  <c r="BF2458" i="4"/>
  <c r="BE2458" i="4"/>
  <c r="BB2461" i="4" l="1"/>
  <c r="BA2462" i="4" s="1"/>
  <c r="BD2461" i="4"/>
  <c r="BG2460" i="4"/>
  <c r="BC2460" i="4"/>
  <c r="BF2459" i="4"/>
  <c r="BE2459" i="4"/>
  <c r="BE2460" i="4" l="1"/>
  <c r="BF2460" i="4"/>
  <c r="BC2461" i="4"/>
  <c r="BG2461" i="4"/>
  <c r="BD2462" i="4"/>
  <c r="BB2462" i="4"/>
  <c r="BA2463" i="4" s="1"/>
  <c r="BB2463" i="4" l="1"/>
  <c r="BA2464" i="4" s="1"/>
  <c r="BD2463" i="4"/>
  <c r="BE2461" i="4"/>
  <c r="BF2461" i="4"/>
  <c r="BC2462" i="4"/>
  <c r="BG2462" i="4"/>
  <c r="BC2463" i="4" l="1"/>
  <c r="BG2463" i="4"/>
  <c r="BF2462" i="4"/>
  <c r="BE2462" i="4"/>
  <c r="BD2464" i="4"/>
  <c r="BB2464" i="4"/>
  <c r="BA2465" i="4" s="1"/>
  <c r="BD2465" i="4" l="1"/>
  <c r="BB2465" i="4"/>
  <c r="BA2466" i="4" s="1"/>
  <c r="BG2464" i="4"/>
  <c r="BC2464" i="4"/>
  <c r="BF2463" i="4"/>
  <c r="BE2463" i="4"/>
  <c r="BE2464" i="4" l="1"/>
  <c r="BF2464" i="4"/>
  <c r="BB2466" i="4"/>
  <c r="BA2467" i="4" s="1"/>
  <c r="BD2466" i="4"/>
  <c r="BG2465" i="4"/>
  <c r="BC2465" i="4"/>
  <c r="BF2465" i="4" l="1"/>
  <c r="BE2465" i="4"/>
  <c r="BD2467" i="4"/>
  <c r="BB2467" i="4"/>
  <c r="BA2468" i="4" s="1"/>
  <c r="BG2466" i="4"/>
  <c r="BC2466" i="4"/>
  <c r="BD2468" i="4" l="1"/>
  <c r="BB2468" i="4"/>
  <c r="BA2469" i="4" s="1"/>
  <c r="BF2466" i="4"/>
  <c r="BE2466" i="4"/>
  <c r="BG2467" i="4"/>
  <c r="BC2467" i="4"/>
  <c r="BD2469" i="4" l="1"/>
  <c r="BB2469" i="4"/>
  <c r="BA2470" i="4" s="1"/>
  <c r="BG2468" i="4"/>
  <c r="BC2468" i="4"/>
  <c r="BE2467" i="4"/>
  <c r="BF2467" i="4"/>
  <c r="BE2468" i="4" l="1"/>
  <c r="BF2468" i="4"/>
  <c r="BB2470" i="4"/>
  <c r="BA2471" i="4" s="1"/>
  <c r="BD2470" i="4"/>
  <c r="BC2469" i="4"/>
  <c r="BG2469" i="4"/>
  <c r="BB2471" i="4" l="1"/>
  <c r="BA2472" i="4" s="1"/>
  <c r="BD2471" i="4"/>
  <c r="BE2469" i="4"/>
  <c r="BF2469" i="4"/>
  <c r="BC2470" i="4"/>
  <c r="BG2470" i="4"/>
  <c r="BF2470" i="4" l="1"/>
  <c r="BE2470" i="4"/>
  <c r="BC2471" i="4"/>
  <c r="BG2471" i="4"/>
  <c r="BD2472" i="4"/>
  <c r="BB2472" i="4"/>
  <c r="BA2473" i="4" s="1"/>
  <c r="BB2473" i="4" l="1"/>
  <c r="BA2474" i="4" s="1"/>
  <c r="BD2473" i="4"/>
  <c r="BE2471" i="4"/>
  <c r="BF2471" i="4"/>
  <c r="BC2472" i="4"/>
  <c r="BG2472" i="4"/>
  <c r="BE2472" i="4" l="1"/>
  <c r="BF2472" i="4"/>
  <c r="BG2473" i="4"/>
  <c r="BC2473" i="4"/>
  <c r="BD2474" i="4"/>
  <c r="BB2474" i="4"/>
  <c r="BA2475" i="4" s="1"/>
  <c r="BB2475" i="4" l="1"/>
  <c r="BA2476" i="4" s="1"/>
  <c r="BD2475" i="4"/>
  <c r="BG2474" i="4"/>
  <c r="BC2474" i="4"/>
  <c r="BE2473" i="4"/>
  <c r="BF2473" i="4"/>
  <c r="BE2474" i="4" l="1"/>
  <c r="BF2474" i="4"/>
  <c r="BC2475" i="4"/>
  <c r="BG2475" i="4"/>
  <c r="BB2476" i="4"/>
  <c r="BA2477" i="4" s="1"/>
  <c r="BD2476" i="4"/>
  <c r="BG2476" i="4" l="1"/>
  <c r="BC2476" i="4"/>
  <c r="BE2475" i="4"/>
  <c r="BF2475" i="4"/>
  <c r="BB2477" i="4"/>
  <c r="BA2478" i="4" s="1"/>
  <c r="BD2477" i="4"/>
  <c r="BC2477" i="4" l="1"/>
  <c r="BG2477" i="4"/>
  <c r="BB2478" i="4"/>
  <c r="BA2479" i="4" s="1"/>
  <c r="BD2478" i="4"/>
  <c r="BE2476" i="4"/>
  <c r="BF2476" i="4"/>
  <c r="BD2479" i="4" l="1"/>
  <c r="BB2479" i="4"/>
  <c r="BA2480" i="4" s="1"/>
  <c r="BC2478" i="4"/>
  <c r="BG2478" i="4"/>
  <c r="BE2477" i="4"/>
  <c r="BF2477" i="4"/>
  <c r="BE2478" i="4" l="1"/>
  <c r="BF2478" i="4"/>
  <c r="BB2480" i="4"/>
  <c r="BA2481" i="4" s="1"/>
  <c r="BD2480" i="4"/>
  <c r="BC2479" i="4"/>
  <c r="BG2479" i="4"/>
  <c r="BF2479" i="4" l="1"/>
  <c r="BE2479" i="4"/>
  <c r="BG2480" i="4"/>
  <c r="BC2480" i="4"/>
  <c r="BB2481" i="4"/>
  <c r="BA2482" i="4" s="1"/>
  <c r="BD2481" i="4"/>
  <c r="BB2482" i="4" l="1"/>
  <c r="BA2483" i="4" s="1"/>
  <c r="BD2482" i="4"/>
  <c r="BF2480" i="4"/>
  <c r="BE2480" i="4"/>
  <c r="BG2481" i="4"/>
  <c r="BC2481" i="4"/>
  <c r="BF2481" i="4" l="1"/>
  <c r="BE2481" i="4"/>
  <c r="BG2482" i="4"/>
  <c r="BC2482" i="4"/>
  <c r="BD2483" i="4"/>
  <c r="BB2483" i="4"/>
  <c r="BA2484" i="4" s="1"/>
  <c r="BD2484" i="4" l="1"/>
  <c r="BB2484" i="4"/>
  <c r="BA2485" i="4" s="1"/>
  <c r="BG2483" i="4"/>
  <c r="BC2483" i="4"/>
  <c r="BF2482" i="4"/>
  <c r="BE2482" i="4"/>
  <c r="BB2485" i="4" l="1"/>
  <c r="BA2486" i="4" s="1"/>
  <c r="BD2485" i="4"/>
  <c r="BE2483" i="4"/>
  <c r="BF2483" i="4"/>
  <c r="BG2484" i="4"/>
  <c r="BC2484" i="4"/>
  <c r="BD2486" i="4" l="1"/>
  <c r="BB2486" i="4"/>
  <c r="BA2487" i="4" s="1"/>
  <c r="BF2484" i="4"/>
  <c r="BE2484" i="4"/>
  <c r="BC2485" i="4"/>
  <c r="BG2485" i="4"/>
  <c r="BE2485" i="4" l="1"/>
  <c r="BF2485" i="4"/>
  <c r="BB2487" i="4"/>
  <c r="BA2488" i="4" s="1"/>
  <c r="BD2487" i="4"/>
  <c r="BC2486" i="4"/>
  <c r="BG2486" i="4"/>
  <c r="BC2487" i="4" l="1"/>
  <c r="BG2487" i="4"/>
  <c r="BD2488" i="4"/>
  <c r="BB2488" i="4"/>
  <c r="BA2489" i="4" s="1"/>
  <c r="BE2486" i="4"/>
  <c r="BF2486" i="4"/>
  <c r="BD2489" i="4" l="1"/>
  <c r="BB2489" i="4"/>
  <c r="BA2490" i="4" s="1"/>
  <c r="BG2488" i="4"/>
  <c r="BC2488" i="4"/>
  <c r="BF2487" i="4"/>
  <c r="BE2487" i="4"/>
  <c r="BF2488" i="4" l="1"/>
  <c r="BE2488" i="4"/>
  <c r="BD2490" i="4"/>
  <c r="BB2490" i="4"/>
  <c r="BA2491" i="4" s="1"/>
  <c r="BG2489" i="4"/>
  <c r="BC2489" i="4"/>
  <c r="BF2489" i="4" l="1"/>
  <c r="BE2489" i="4"/>
  <c r="BG2490" i="4"/>
  <c r="BC2490" i="4"/>
  <c r="BB2491" i="4"/>
  <c r="BA2492" i="4" s="1"/>
  <c r="BD2491" i="4"/>
  <c r="BB2492" i="4" l="1"/>
  <c r="BA2493" i="4" s="1"/>
  <c r="BD2492" i="4"/>
  <c r="BG2491" i="4"/>
  <c r="BC2491" i="4"/>
  <c r="BE2490" i="4"/>
  <c r="BF2490" i="4"/>
  <c r="BB2493" i="4" l="1"/>
  <c r="BA2494" i="4" s="1"/>
  <c r="BD2493" i="4"/>
  <c r="BE2491" i="4"/>
  <c r="BF2491" i="4"/>
  <c r="BG2492" i="4"/>
  <c r="BC2492" i="4"/>
  <c r="BE2492" i="4" l="1"/>
  <c r="BF2492" i="4"/>
  <c r="BB2494" i="4"/>
  <c r="BA2495" i="4" s="1"/>
  <c r="BD2494" i="4"/>
  <c r="BC2493" i="4"/>
  <c r="BG2493" i="4"/>
  <c r="BD2495" i="4" l="1"/>
  <c r="BB2495" i="4"/>
  <c r="BA2496" i="4" s="1"/>
  <c r="BF2493" i="4"/>
  <c r="BE2493" i="4"/>
  <c r="BC2494" i="4"/>
  <c r="BG2494" i="4"/>
  <c r="BE2494" i="4" l="1"/>
  <c r="BF2494" i="4"/>
  <c r="BB2496" i="4"/>
  <c r="BA2497" i="4" s="1"/>
  <c r="BD2496" i="4"/>
  <c r="BC2495" i="4"/>
  <c r="BG2495" i="4"/>
  <c r="BD2497" i="4" l="1"/>
  <c r="BB2497" i="4"/>
  <c r="BA2498" i="4" s="1"/>
  <c r="BG2496" i="4"/>
  <c r="BC2496" i="4"/>
  <c r="BE2495" i="4"/>
  <c r="BF2495" i="4"/>
  <c r="BE2496" i="4" l="1"/>
  <c r="BF2496" i="4"/>
  <c r="BB2498" i="4"/>
  <c r="BA2499" i="4" s="1"/>
  <c r="BD2498" i="4"/>
  <c r="BG2497" i="4"/>
  <c r="BC2497" i="4"/>
  <c r="BG2498" i="4" l="1"/>
  <c r="BC2498" i="4"/>
  <c r="BB2499" i="4"/>
  <c r="BA2500" i="4" s="1"/>
  <c r="BD2499" i="4"/>
  <c r="BF2497" i="4"/>
  <c r="BE2497" i="4"/>
  <c r="BC2499" i="4" l="1"/>
  <c r="BG2499" i="4"/>
  <c r="BB2500" i="4"/>
  <c r="BA2501" i="4" s="1"/>
  <c r="BD2500" i="4"/>
  <c r="BF2498" i="4"/>
  <c r="BE2498" i="4"/>
  <c r="BG2500" i="4" l="1"/>
  <c r="BC2500" i="4"/>
  <c r="BD2501" i="4"/>
  <c r="BB2501" i="4"/>
  <c r="BA2502" i="4" s="1"/>
  <c r="BE2499" i="4"/>
  <c r="BF2499" i="4"/>
  <c r="BC2501" i="4" l="1"/>
  <c r="BG2501" i="4"/>
  <c r="BD2502" i="4"/>
  <c r="BB2502" i="4"/>
  <c r="BA2503" i="4" s="1"/>
  <c r="BF2500" i="4"/>
  <c r="BE2500" i="4"/>
  <c r="BC2502" i="4" l="1"/>
  <c r="BG2502" i="4"/>
  <c r="BB2503" i="4"/>
  <c r="BA2504" i="4" s="1"/>
  <c r="BD2503" i="4"/>
  <c r="BE2501" i="4"/>
  <c r="BF2501" i="4"/>
  <c r="BC2503" i="4" l="1"/>
  <c r="BG2503" i="4"/>
  <c r="BD2504" i="4"/>
  <c r="BB2504" i="4"/>
  <c r="BA2505" i="4" s="1"/>
  <c r="BF2502" i="4"/>
  <c r="BE2502" i="4"/>
  <c r="BG2504" i="4" l="1"/>
  <c r="BC2504" i="4"/>
  <c r="BB2505" i="4"/>
  <c r="BA2506" i="4" s="1"/>
  <c r="BD2505" i="4"/>
  <c r="BF2503" i="4"/>
  <c r="BE2503" i="4"/>
  <c r="BG2505" i="4" l="1"/>
  <c r="BC2505" i="4"/>
  <c r="BE2504" i="4"/>
  <c r="BF2504" i="4"/>
  <c r="BD2506" i="4"/>
  <c r="BB2506" i="4"/>
  <c r="BA2507" i="4" s="1"/>
  <c r="BB2507" i="4" l="1"/>
  <c r="BA2508" i="4" s="1"/>
  <c r="BD2507" i="4"/>
  <c r="BG2506" i="4"/>
  <c r="BC2506" i="4"/>
  <c r="BF2505" i="4"/>
  <c r="BE2505" i="4"/>
  <c r="BE2506" i="4" l="1"/>
  <c r="BF2506" i="4"/>
  <c r="BG2507" i="4"/>
  <c r="BC2507" i="4"/>
  <c r="BD2508" i="4"/>
  <c r="BB2508" i="4"/>
  <c r="BA2509" i="4" s="1"/>
  <c r="BD2509" i="4" l="1"/>
  <c r="BB2509" i="4"/>
  <c r="BA2510" i="4" s="1"/>
  <c r="BC2508" i="4"/>
  <c r="BG2508" i="4"/>
  <c r="BF2507" i="4"/>
  <c r="BE2507" i="4"/>
  <c r="BD2510" i="4" l="1"/>
  <c r="BB2510" i="4"/>
  <c r="BA2511" i="4" s="1"/>
  <c r="BC2509" i="4"/>
  <c r="BG2509" i="4"/>
  <c r="BF2508" i="4"/>
  <c r="BE2508" i="4"/>
  <c r="BB2511" i="4" l="1"/>
  <c r="BA2512" i="4" s="1"/>
  <c r="BD2511" i="4"/>
  <c r="BE2509" i="4"/>
  <c r="BF2509" i="4"/>
  <c r="BC2510" i="4"/>
  <c r="BG2510" i="4"/>
  <c r="BB2512" i="4" l="1"/>
  <c r="BA2513" i="4" s="1"/>
  <c r="BD2512" i="4"/>
  <c r="BC2511" i="4"/>
  <c r="BG2511" i="4"/>
  <c r="BE2510" i="4"/>
  <c r="BF2510" i="4"/>
  <c r="BF2511" i="4" l="1"/>
  <c r="BE2511" i="4"/>
  <c r="BG2512" i="4"/>
  <c r="BC2512" i="4"/>
  <c r="BD2513" i="4"/>
  <c r="BB2513" i="4"/>
  <c r="BA2514" i="4" s="1"/>
  <c r="BB2514" i="4" l="1"/>
  <c r="BA2515" i="4" s="1"/>
  <c r="BD2514" i="4"/>
  <c r="BG2513" i="4"/>
  <c r="BC2513" i="4"/>
  <c r="BF2512" i="4"/>
  <c r="BE2512" i="4"/>
  <c r="BF2513" i="4" l="1"/>
  <c r="BE2513" i="4"/>
  <c r="BG2514" i="4"/>
  <c r="BC2514" i="4"/>
  <c r="BB2515" i="4"/>
  <c r="BA2516" i="4" s="1"/>
  <c r="BD2515" i="4"/>
  <c r="BG2515" i="4" l="1"/>
  <c r="BC2515" i="4"/>
  <c r="BD2516" i="4"/>
  <c r="BB2516" i="4"/>
  <c r="BA2517" i="4" s="1"/>
  <c r="BF2514" i="4"/>
  <c r="BE2514" i="4"/>
  <c r="BD2517" i="4" l="1"/>
  <c r="BB2517" i="4"/>
  <c r="BA2518" i="4" s="1"/>
  <c r="BG2516" i="4"/>
  <c r="BC2516" i="4"/>
  <c r="BF2515" i="4"/>
  <c r="BE2515" i="4"/>
  <c r="BF2516" i="4" l="1"/>
  <c r="BE2516" i="4"/>
  <c r="BB2518" i="4"/>
  <c r="BA2519" i="4" s="1"/>
  <c r="BD2518" i="4"/>
  <c r="BC2517" i="4"/>
  <c r="BG2517" i="4"/>
  <c r="BE2517" i="4" l="1"/>
  <c r="BF2517" i="4"/>
  <c r="BC2518" i="4"/>
  <c r="BG2518" i="4"/>
  <c r="BD2519" i="4"/>
  <c r="BB2519" i="4"/>
  <c r="BA2520" i="4" s="1"/>
  <c r="BD2520" i="4" l="1"/>
  <c r="BB2520" i="4"/>
  <c r="BA2521" i="4" s="1"/>
  <c r="BE2518" i="4"/>
  <c r="BF2518" i="4"/>
  <c r="BC2519" i="4"/>
  <c r="BG2519" i="4"/>
  <c r="BF2519" i="4" l="1"/>
  <c r="BE2519" i="4"/>
  <c r="BB2521" i="4"/>
  <c r="BA2522" i="4" s="1"/>
  <c r="BD2521" i="4"/>
  <c r="BC2520" i="4"/>
  <c r="BG2520" i="4"/>
  <c r="BG2521" i="4" l="1"/>
  <c r="BC2521" i="4"/>
  <c r="BB2522" i="4"/>
  <c r="BA2523" i="4" s="1"/>
  <c r="BD2522" i="4"/>
  <c r="BE2520" i="4"/>
  <c r="BF2520" i="4"/>
  <c r="BE2521" i="4" l="1"/>
  <c r="BF2521" i="4"/>
  <c r="BC2522" i="4"/>
  <c r="BG2522" i="4"/>
  <c r="BD2523" i="4"/>
  <c r="BB2523" i="4"/>
  <c r="BA2524" i="4" s="1"/>
  <c r="BB2524" i="4" l="1"/>
  <c r="BA2525" i="4" s="1"/>
  <c r="BD2524" i="4"/>
  <c r="BF2522" i="4"/>
  <c r="BE2522" i="4"/>
  <c r="BG2523" i="4"/>
  <c r="BC2523" i="4"/>
  <c r="BB2525" i="4" l="1"/>
  <c r="BA2526" i="4" s="1"/>
  <c r="BD2525" i="4"/>
  <c r="BG2524" i="4"/>
  <c r="BC2524" i="4"/>
  <c r="BE2523" i="4"/>
  <c r="BF2523" i="4"/>
  <c r="BC2525" i="4" l="1"/>
  <c r="BG2525" i="4"/>
  <c r="BF2524" i="4"/>
  <c r="BE2524" i="4"/>
  <c r="BB2526" i="4"/>
  <c r="BA2527" i="4" s="1"/>
  <c r="BD2526" i="4"/>
  <c r="BB2527" i="4" l="1"/>
  <c r="BA2528" i="4" s="1"/>
  <c r="BD2527" i="4"/>
  <c r="BC2526" i="4"/>
  <c r="BG2526" i="4"/>
  <c r="BE2525" i="4"/>
  <c r="BF2525" i="4"/>
  <c r="BC2527" i="4" l="1"/>
  <c r="BG2527" i="4"/>
  <c r="BD2528" i="4"/>
  <c r="BB2528" i="4"/>
  <c r="BA2529" i="4" s="1"/>
  <c r="BE2526" i="4"/>
  <c r="BF2526" i="4"/>
  <c r="BG2528" i="4" l="1"/>
  <c r="BC2528" i="4"/>
  <c r="BD2529" i="4"/>
  <c r="BB2529" i="4"/>
  <c r="BA2530" i="4" s="1"/>
  <c r="BE2527" i="4"/>
  <c r="BF2527" i="4"/>
  <c r="BG2529" i="4" l="1"/>
  <c r="BC2529" i="4"/>
  <c r="BD2530" i="4"/>
  <c r="BB2530" i="4"/>
  <c r="BA2531" i="4" s="1"/>
  <c r="BF2528" i="4"/>
  <c r="BE2528" i="4"/>
  <c r="BD2531" i="4" l="1"/>
  <c r="BB2531" i="4"/>
  <c r="BA2532" i="4" s="1"/>
  <c r="BG2530" i="4"/>
  <c r="BC2530" i="4"/>
  <c r="BE2529" i="4"/>
  <c r="BF2529" i="4"/>
  <c r="BD2532" i="4" l="1"/>
  <c r="BB2532" i="4"/>
  <c r="BA2533" i="4" s="1"/>
  <c r="BG2531" i="4"/>
  <c r="BC2531" i="4"/>
  <c r="BE2530" i="4"/>
  <c r="BF2530" i="4"/>
  <c r="BD2533" i="4" l="1"/>
  <c r="BB2533" i="4"/>
  <c r="BA2534" i="4" s="1"/>
  <c r="BF2531" i="4"/>
  <c r="BE2531" i="4"/>
  <c r="BG2532" i="4"/>
  <c r="BC2532" i="4"/>
  <c r="BF2532" i="4" l="1"/>
  <c r="BE2532" i="4"/>
  <c r="BB2534" i="4"/>
  <c r="BA2535" i="4" s="1"/>
  <c r="BD2534" i="4"/>
  <c r="BC2533" i="4"/>
  <c r="BG2533" i="4"/>
  <c r="BE2533" i="4" l="1"/>
  <c r="BF2533" i="4"/>
  <c r="BB2535" i="4"/>
  <c r="BA2536" i="4" s="1"/>
  <c r="BD2535" i="4"/>
  <c r="BC2534" i="4"/>
  <c r="BG2534" i="4"/>
  <c r="BF2534" i="4" l="1"/>
  <c r="BE2534" i="4"/>
  <c r="BB2536" i="4"/>
  <c r="BA2537" i="4" s="1"/>
  <c r="BD2536" i="4"/>
  <c r="BC2535" i="4"/>
  <c r="BG2535" i="4"/>
  <c r="BE2535" i="4" l="1"/>
  <c r="BF2535" i="4"/>
  <c r="BD2537" i="4"/>
  <c r="BB2537" i="4"/>
  <c r="BA2538" i="4" s="1"/>
  <c r="BC2536" i="4"/>
  <c r="BG2536" i="4"/>
  <c r="BG2537" i="4" l="1"/>
  <c r="BC2537" i="4"/>
  <c r="BF2536" i="4"/>
  <c r="BE2536" i="4"/>
  <c r="BD2538" i="4"/>
  <c r="BB2538" i="4"/>
  <c r="BA2539" i="4" s="1"/>
  <c r="BF2537" i="4" l="1"/>
  <c r="BE2537" i="4"/>
  <c r="BB2539" i="4"/>
  <c r="BA2540" i="4" s="1"/>
  <c r="BD2539" i="4"/>
  <c r="BG2538" i="4"/>
  <c r="BC2538" i="4"/>
  <c r="BF2538" i="4" l="1"/>
  <c r="BE2538" i="4"/>
  <c r="BG2539" i="4"/>
  <c r="BC2539" i="4"/>
  <c r="BD2540" i="4"/>
  <c r="BB2540" i="4"/>
  <c r="BA2541" i="4" s="1"/>
  <c r="BB2541" i="4" l="1"/>
  <c r="BA2542" i="4" s="1"/>
  <c r="BD2541" i="4"/>
  <c r="BE2539" i="4"/>
  <c r="BF2539" i="4"/>
  <c r="BG2540" i="4"/>
  <c r="BC2540" i="4"/>
  <c r="BC2541" i="4" l="1"/>
  <c r="BG2541" i="4"/>
  <c r="BB2542" i="4"/>
  <c r="BA2543" i="4" s="1"/>
  <c r="BD2542" i="4"/>
  <c r="BF2540" i="4"/>
  <c r="BE2540" i="4"/>
  <c r="BC2542" i="4" l="1"/>
  <c r="BG2542" i="4"/>
  <c r="BB2543" i="4"/>
  <c r="BA2544" i="4" s="1"/>
  <c r="BD2543" i="4"/>
  <c r="BE2541" i="4"/>
  <c r="BF2541" i="4"/>
  <c r="BC2543" i="4" l="1"/>
  <c r="BG2543" i="4"/>
  <c r="BD2544" i="4"/>
  <c r="BB2544" i="4"/>
  <c r="BA2545" i="4" s="1"/>
  <c r="BE2542" i="4"/>
  <c r="BF2542" i="4"/>
  <c r="BD2545" i="4" l="1"/>
  <c r="BB2545" i="4"/>
  <c r="BA2546" i="4" s="1"/>
  <c r="BG2544" i="4"/>
  <c r="BC2544" i="4"/>
  <c r="BE2543" i="4"/>
  <c r="BF2543" i="4"/>
  <c r="BE2544" i="4" l="1"/>
  <c r="BF2544" i="4"/>
  <c r="BB2546" i="4"/>
  <c r="BA2547" i="4" s="1"/>
  <c r="BD2546" i="4"/>
  <c r="BG2545" i="4"/>
  <c r="BC2545" i="4"/>
  <c r="BG2546" i="4" l="1"/>
  <c r="BC2546" i="4"/>
  <c r="BD2547" i="4"/>
  <c r="BB2547" i="4"/>
  <c r="BA2548" i="4" s="1"/>
  <c r="BF2545" i="4"/>
  <c r="BE2545" i="4"/>
  <c r="BD2548" i="4" l="1"/>
  <c r="BB2548" i="4"/>
  <c r="BA2549" i="4" s="1"/>
  <c r="BC2547" i="4"/>
  <c r="BG2547" i="4"/>
  <c r="BF2546" i="4"/>
  <c r="BE2546" i="4"/>
  <c r="BD2549" i="4" l="1"/>
  <c r="BB2549" i="4"/>
  <c r="BA2550" i="4" s="1"/>
  <c r="BG2548" i="4"/>
  <c r="BC2548" i="4"/>
  <c r="BE2547" i="4"/>
  <c r="BF2547" i="4"/>
  <c r="BB2550" i="4" l="1"/>
  <c r="BA2551" i="4" s="1"/>
  <c r="BD2550" i="4"/>
  <c r="BE2548" i="4"/>
  <c r="BF2548" i="4"/>
  <c r="BC2549" i="4"/>
  <c r="BG2549" i="4"/>
  <c r="BE2549" i="4" l="1"/>
  <c r="BF2549" i="4"/>
  <c r="BB2551" i="4"/>
  <c r="BA2552" i="4" s="1"/>
  <c r="BD2551" i="4"/>
  <c r="BC2550" i="4"/>
  <c r="BG2550" i="4"/>
  <c r="BF2550" i="4" l="1"/>
  <c r="BE2550" i="4"/>
  <c r="BD2552" i="4"/>
  <c r="BB2552" i="4"/>
  <c r="BA2553" i="4" s="1"/>
  <c r="BC2551" i="4"/>
  <c r="BG2551" i="4"/>
  <c r="BF2551" i="4" l="1"/>
  <c r="BE2551" i="4"/>
  <c r="BB2553" i="4"/>
  <c r="BA2554" i="4" s="1"/>
  <c r="BD2553" i="4"/>
  <c r="BC2552" i="4"/>
  <c r="BG2552" i="4"/>
  <c r="BE2552" i="4" l="1"/>
  <c r="BF2552" i="4"/>
  <c r="BG2553" i="4"/>
  <c r="BC2553" i="4"/>
  <c r="BD2554" i="4"/>
  <c r="BB2554" i="4"/>
  <c r="BA2555" i="4" s="1"/>
  <c r="BD2555" i="4" l="1"/>
  <c r="BB2555" i="4"/>
  <c r="BA2556" i="4" s="1"/>
  <c r="BG2554" i="4"/>
  <c r="BC2554" i="4"/>
  <c r="BF2553" i="4"/>
  <c r="BE2553" i="4"/>
  <c r="BB2556" i="4" l="1"/>
  <c r="BA2557" i="4" s="1"/>
  <c r="BD2556" i="4"/>
  <c r="BF2554" i="4"/>
  <c r="BE2554" i="4"/>
  <c r="BC2555" i="4"/>
  <c r="BG2555" i="4"/>
  <c r="BG2556" i="4" l="1"/>
  <c r="BC2556" i="4"/>
  <c r="BD2557" i="4"/>
  <c r="BB2557" i="4"/>
  <c r="BA2558" i="4" s="1"/>
  <c r="BF2555" i="4"/>
  <c r="BE2555" i="4"/>
  <c r="BD2558" i="4" l="1"/>
  <c r="BB2558" i="4"/>
  <c r="BA2559" i="4" s="1"/>
  <c r="BF2556" i="4"/>
  <c r="BE2556" i="4"/>
  <c r="BC2557" i="4"/>
  <c r="BG2557" i="4"/>
  <c r="BB2559" i="4" l="1"/>
  <c r="BA2560" i="4" s="1"/>
  <c r="BD2559" i="4"/>
  <c r="BE2557" i="4"/>
  <c r="BF2557" i="4"/>
  <c r="BC2558" i="4"/>
  <c r="BG2558" i="4"/>
  <c r="BC2559" i="4" l="1"/>
  <c r="BG2559" i="4"/>
  <c r="BF2558" i="4"/>
  <c r="BE2558" i="4"/>
  <c r="BD2560" i="4"/>
  <c r="BB2560" i="4"/>
  <c r="BA2561" i="4" s="1"/>
  <c r="BD2561" i="4" l="1"/>
  <c r="BB2561" i="4"/>
  <c r="BA2562" i="4" s="1"/>
  <c r="BG2560" i="4"/>
  <c r="BC2560" i="4"/>
  <c r="BE2559" i="4"/>
  <c r="BF2559" i="4"/>
  <c r="BF2560" i="4" l="1"/>
  <c r="BE2560" i="4"/>
  <c r="BD2562" i="4"/>
  <c r="BB2562" i="4"/>
  <c r="BA2563" i="4" s="1"/>
  <c r="BG2561" i="4"/>
  <c r="BC2561" i="4"/>
  <c r="BD2563" i="4" l="1"/>
  <c r="BB2563" i="4"/>
  <c r="BA2564" i="4" s="1"/>
  <c r="BG2562" i="4"/>
  <c r="BC2562" i="4"/>
  <c r="BE2561" i="4"/>
  <c r="BF2561" i="4"/>
  <c r="BD2564" i="4" l="1"/>
  <c r="BB2564" i="4"/>
  <c r="BA2565" i="4" s="1"/>
  <c r="BF2562" i="4"/>
  <c r="BE2562" i="4"/>
  <c r="BG2563" i="4"/>
  <c r="BC2563" i="4"/>
  <c r="BF2563" i="4" l="1"/>
  <c r="BE2563" i="4"/>
  <c r="BD2565" i="4"/>
  <c r="BB2565" i="4"/>
  <c r="BA2566" i="4" s="1"/>
  <c r="BG2564" i="4"/>
  <c r="BC2564" i="4"/>
  <c r="BD2566" i="4" l="1"/>
  <c r="BB2566" i="4"/>
  <c r="BA2567" i="4" s="1"/>
  <c r="BC2565" i="4"/>
  <c r="BG2565" i="4"/>
  <c r="BE2564" i="4"/>
  <c r="BF2564" i="4"/>
  <c r="BD2567" i="4" l="1"/>
  <c r="BB2567" i="4"/>
  <c r="BA2568" i="4" s="1"/>
  <c r="BF2565" i="4"/>
  <c r="BE2565" i="4"/>
  <c r="BC2566" i="4"/>
  <c r="BG2566" i="4"/>
  <c r="BE2566" i="4" l="1"/>
  <c r="BF2566" i="4"/>
  <c r="BB2568" i="4"/>
  <c r="BA2569" i="4" s="1"/>
  <c r="BD2568" i="4"/>
  <c r="BC2567" i="4"/>
  <c r="BG2567" i="4"/>
  <c r="BE2567" i="4" l="1"/>
  <c r="BF2567" i="4"/>
  <c r="BC2568" i="4"/>
  <c r="BG2568" i="4"/>
  <c r="BD2569" i="4"/>
  <c r="BB2569" i="4"/>
  <c r="BA2570" i="4" s="1"/>
  <c r="BD2570" i="4" l="1"/>
  <c r="BB2570" i="4"/>
  <c r="BA2571" i="4" s="1"/>
  <c r="BG2569" i="4"/>
  <c r="BC2569" i="4"/>
  <c r="BF2568" i="4"/>
  <c r="BE2568" i="4"/>
  <c r="BF2569" i="4" l="1"/>
  <c r="BE2569" i="4"/>
  <c r="BB2571" i="4"/>
  <c r="BA2572" i="4" s="1"/>
  <c r="BD2571" i="4"/>
  <c r="BG2570" i="4"/>
  <c r="BC2570" i="4"/>
  <c r="BF2570" i="4" l="1"/>
  <c r="BE2570" i="4"/>
  <c r="BD2572" i="4"/>
  <c r="BB2572" i="4"/>
  <c r="BA2573" i="4" s="1"/>
  <c r="BG2571" i="4"/>
  <c r="BC2571" i="4"/>
  <c r="BB2573" i="4" l="1"/>
  <c r="BA2574" i="4" s="1"/>
  <c r="BD2573" i="4"/>
  <c r="BG2572" i="4"/>
  <c r="BC2572" i="4"/>
  <c r="BF2571" i="4"/>
  <c r="BE2571" i="4"/>
  <c r="BC2573" i="4" l="1"/>
  <c r="BG2573" i="4"/>
  <c r="BB2574" i="4"/>
  <c r="BA2575" i="4" s="1"/>
  <c r="BD2574" i="4"/>
  <c r="BF2572" i="4"/>
  <c r="BE2572" i="4"/>
  <c r="BC2574" i="4" l="1"/>
  <c r="BG2574" i="4"/>
  <c r="BB2575" i="4"/>
  <c r="BA2576" i="4" s="1"/>
  <c r="BD2575" i="4"/>
  <c r="BE2573" i="4"/>
  <c r="BF2573" i="4"/>
  <c r="BD2576" i="4" l="1"/>
  <c r="BB2576" i="4"/>
  <c r="BA2577" i="4" s="1"/>
  <c r="BC2575" i="4"/>
  <c r="BG2575" i="4"/>
  <c r="BF2574" i="4"/>
  <c r="BE2574" i="4"/>
  <c r="BB2577" i="4" l="1"/>
  <c r="BA2578" i="4" s="1"/>
  <c r="BD2577" i="4"/>
  <c r="BF2575" i="4"/>
  <c r="BE2575" i="4"/>
  <c r="BG2576" i="4"/>
  <c r="BC2576" i="4"/>
  <c r="BE2576" i="4" l="1"/>
  <c r="BF2576" i="4"/>
  <c r="BG2577" i="4"/>
  <c r="BC2577" i="4"/>
  <c r="BD2578" i="4"/>
  <c r="BB2578" i="4"/>
  <c r="BA2579" i="4" s="1"/>
  <c r="BD2579" i="4" l="1"/>
  <c r="BB2579" i="4"/>
  <c r="BA2580" i="4" s="1"/>
  <c r="BC2578" i="4"/>
  <c r="BG2578" i="4"/>
  <c r="BE2577" i="4"/>
  <c r="BF2577" i="4"/>
  <c r="BD2580" i="4" l="1"/>
  <c r="BB2580" i="4"/>
  <c r="BA2581" i="4" s="1"/>
  <c r="BF2578" i="4"/>
  <c r="BE2578" i="4"/>
  <c r="BG2579" i="4"/>
  <c r="BC2579" i="4"/>
  <c r="BD2581" i="4" l="1"/>
  <c r="BB2581" i="4"/>
  <c r="BA2582" i="4" s="1"/>
  <c r="BC2580" i="4"/>
  <c r="BG2580" i="4"/>
  <c r="BE2579" i="4"/>
  <c r="BF2579" i="4"/>
  <c r="BD2582" i="4" l="1"/>
  <c r="BB2582" i="4"/>
  <c r="BA2583" i="4" s="1"/>
  <c r="BF2580" i="4"/>
  <c r="BE2580" i="4"/>
  <c r="BC2581" i="4"/>
  <c r="BG2581" i="4"/>
  <c r="BB2583" i="4" l="1"/>
  <c r="BA2584" i="4" s="1"/>
  <c r="BD2583" i="4"/>
  <c r="BE2581" i="4"/>
  <c r="BF2581" i="4"/>
  <c r="BC2582" i="4"/>
  <c r="BG2582" i="4"/>
  <c r="BE2582" i="4" l="1"/>
  <c r="BF2582" i="4"/>
  <c r="BC2583" i="4"/>
  <c r="BG2583" i="4"/>
  <c r="BD2584" i="4"/>
  <c r="BB2584" i="4"/>
  <c r="BA2585" i="4" s="1"/>
  <c r="BC2584" i="4" l="1"/>
  <c r="BG2584" i="4"/>
  <c r="BF2583" i="4"/>
  <c r="BE2583" i="4"/>
  <c r="BB2585" i="4"/>
  <c r="BA2586" i="4" s="1"/>
  <c r="BD2585" i="4"/>
  <c r="BG2585" i="4" l="1"/>
  <c r="BC2585" i="4"/>
  <c r="BB2586" i="4"/>
  <c r="BA2587" i="4" s="1"/>
  <c r="BD2586" i="4"/>
  <c r="BE2584" i="4"/>
  <c r="BF2584" i="4"/>
  <c r="BD2587" i="4" l="1"/>
  <c r="BB2587" i="4"/>
  <c r="BA2588" i="4" s="1"/>
  <c r="BE2585" i="4"/>
  <c r="BF2585" i="4"/>
  <c r="BG2586" i="4"/>
  <c r="BC2586" i="4"/>
  <c r="BD2588" i="4" l="1"/>
  <c r="BB2588" i="4"/>
  <c r="BA2589" i="4" s="1"/>
  <c r="BF2586" i="4"/>
  <c r="BE2586" i="4"/>
  <c r="BG2587" i="4"/>
  <c r="BC2587" i="4"/>
  <c r="BB2589" i="4" l="1"/>
  <c r="BA2590" i="4" s="1"/>
  <c r="BD2589" i="4"/>
  <c r="BF2587" i="4"/>
  <c r="BE2587" i="4"/>
  <c r="BG2588" i="4"/>
  <c r="BC2588" i="4"/>
  <c r="BF2588" i="4" l="1"/>
  <c r="BE2588" i="4"/>
  <c r="BC2589" i="4"/>
  <c r="BG2589" i="4"/>
  <c r="BD2590" i="4"/>
  <c r="BB2590" i="4"/>
  <c r="BA2591" i="4" s="1"/>
  <c r="BB2591" i="4" l="1"/>
  <c r="BA2592" i="4" s="1"/>
  <c r="BD2591" i="4"/>
  <c r="BC2590" i="4"/>
  <c r="BG2590" i="4"/>
  <c r="BE2589" i="4"/>
  <c r="BF2589" i="4"/>
  <c r="BC2591" i="4" l="1"/>
  <c r="BG2591" i="4"/>
  <c r="BB2592" i="4"/>
  <c r="BA2593" i="4" s="1"/>
  <c r="BD2592" i="4"/>
  <c r="BF2590" i="4"/>
  <c r="BE2590" i="4"/>
  <c r="BG2592" i="4" l="1"/>
  <c r="BC2592" i="4"/>
  <c r="BD2593" i="4"/>
  <c r="BB2593" i="4"/>
  <c r="BA2594" i="4" s="1"/>
  <c r="BE2591" i="4"/>
  <c r="BF2591" i="4"/>
  <c r="BB2594" i="4" l="1"/>
  <c r="BA2595" i="4" s="1"/>
  <c r="BD2594" i="4"/>
  <c r="BG2593" i="4"/>
  <c r="BC2593" i="4"/>
  <c r="BF2592" i="4"/>
  <c r="BE2592" i="4"/>
  <c r="BG2594" i="4" l="1"/>
  <c r="BC2594" i="4"/>
  <c r="BF2593" i="4"/>
  <c r="BE2593" i="4"/>
  <c r="BD2595" i="4"/>
  <c r="BB2595" i="4"/>
  <c r="BA2596" i="4" s="1"/>
  <c r="BD2596" i="4" l="1"/>
  <c r="BB2596" i="4"/>
  <c r="BA2597" i="4" s="1"/>
  <c r="BG2595" i="4"/>
  <c r="BC2595" i="4"/>
  <c r="BE2594" i="4"/>
  <c r="BF2594" i="4"/>
  <c r="BF2595" i="4" l="1"/>
  <c r="BE2595" i="4"/>
  <c r="BB2597" i="4"/>
  <c r="BA2598" i="4" s="1"/>
  <c r="BD2597" i="4"/>
  <c r="BG2596" i="4"/>
  <c r="BC2596" i="4"/>
  <c r="BE2596" i="4" l="1"/>
  <c r="BF2596" i="4"/>
  <c r="BD2598" i="4"/>
  <c r="BB2598" i="4"/>
  <c r="BA2599" i="4" s="1"/>
  <c r="BC2597" i="4"/>
  <c r="BG2597" i="4"/>
  <c r="BB2599" i="4" l="1"/>
  <c r="BA2600" i="4" s="1"/>
  <c r="BD2599" i="4"/>
  <c r="BE2597" i="4"/>
  <c r="BF2597" i="4"/>
  <c r="BC2598" i="4"/>
  <c r="BG2598" i="4"/>
  <c r="BC2599" i="4" l="1"/>
  <c r="BG2599" i="4"/>
  <c r="BB2600" i="4"/>
  <c r="BA2601" i="4" s="1"/>
  <c r="BD2600" i="4"/>
  <c r="BF2598" i="4"/>
  <c r="BE2598" i="4"/>
  <c r="BC2600" i="4" l="1"/>
  <c r="BG2600" i="4"/>
  <c r="BB2601" i="4"/>
  <c r="BA2602" i="4" s="1"/>
  <c r="BD2601" i="4"/>
  <c r="BE2599" i="4"/>
  <c r="BF2599" i="4"/>
  <c r="BG2601" i="4" l="1"/>
  <c r="BC2601" i="4"/>
  <c r="BD2602" i="4"/>
  <c r="BB2602" i="4"/>
  <c r="BA2603" i="4" s="1"/>
  <c r="BE2600" i="4"/>
  <c r="BF2600" i="4"/>
  <c r="BG2602" i="4" l="1"/>
  <c r="BC2602" i="4"/>
  <c r="BF2601" i="4"/>
  <c r="BE2601" i="4"/>
  <c r="BB2603" i="4"/>
  <c r="BA2604" i="4" s="1"/>
  <c r="BD2603" i="4"/>
  <c r="BC2603" i="4" l="1"/>
  <c r="BG2603" i="4"/>
  <c r="BF2602" i="4"/>
  <c r="BE2602" i="4"/>
  <c r="BD2604" i="4"/>
  <c r="BB2604" i="4"/>
  <c r="BA2605" i="4" s="1"/>
  <c r="BB2605" i="4" l="1"/>
  <c r="BA2606" i="4" s="1"/>
  <c r="BD2605" i="4"/>
  <c r="BG2604" i="4"/>
  <c r="BC2604" i="4"/>
  <c r="BE2603" i="4"/>
  <c r="BF2603" i="4"/>
  <c r="BF2604" i="4" l="1"/>
  <c r="BE2604" i="4"/>
  <c r="BC2605" i="4"/>
  <c r="BG2605" i="4"/>
  <c r="BD2606" i="4"/>
  <c r="BB2606" i="4"/>
  <c r="BA2607" i="4" s="1"/>
  <c r="BD2607" i="4" l="1"/>
  <c r="BB2607" i="4"/>
  <c r="BA2608" i="4" s="1"/>
  <c r="BF2605" i="4"/>
  <c r="BE2605" i="4"/>
  <c r="BC2606" i="4"/>
  <c r="BG2606" i="4"/>
  <c r="BD2608" i="4" l="1"/>
  <c r="BB2608" i="4"/>
  <c r="BA2609" i="4" s="1"/>
  <c r="BE2606" i="4"/>
  <c r="BF2606" i="4"/>
  <c r="BC2607" i="4"/>
  <c r="BG2607" i="4"/>
  <c r="BF2607" i="4" l="1"/>
  <c r="BE2607" i="4"/>
  <c r="BB2609" i="4"/>
  <c r="BA2610" i="4" s="1"/>
  <c r="BD2609" i="4"/>
  <c r="BG2608" i="4"/>
  <c r="BC2608" i="4"/>
  <c r="BG2609" i="4" l="1"/>
  <c r="BC2609" i="4"/>
  <c r="BD2610" i="4"/>
  <c r="BB2610" i="4"/>
  <c r="BA2611" i="4" s="1"/>
  <c r="BE2608" i="4"/>
  <c r="BF2608" i="4"/>
  <c r="BG2610" i="4" l="1"/>
  <c r="BC2610" i="4"/>
  <c r="BE2609" i="4"/>
  <c r="BF2609" i="4"/>
  <c r="BB2611" i="4"/>
  <c r="BA2612" i="4" s="1"/>
  <c r="BD2611" i="4"/>
  <c r="BG2611" i="4" l="1"/>
  <c r="BC2611" i="4"/>
  <c r="BD2612" i="4"/>
  <c r="BB2612" i="4"/>
  <c r="BA2613" i="4" s="1"/>
  <c r="BF2610" i="4"/>
  <c r="BE2610" i="4"/>
  <c r="BD2613" i="4" l="1"/>
  <c r="BB2613" i="4"/>
  <c r="BA2614" i="4" s="1"/>
  <c r="BC2612" i="4"/>
  <c r="BG2612" i="4"/>
  <c r="BF2611" i="4"/>
  <c r="BE2611" i="4"/>
  <c r="BD2614" i="4" l="1"/>
  <c r="BB2614" i="4"/>
  <c r="BA2615" i="4" s="1"/>
  <c r="BE2612" i="4"/>
  <c r="BF2612" i="4"/>
  <c r="BC2613" i="4"/>
  <c r="BG2613" i="4"/>
  <c r="BB2615" i="4" l="1"/>
  <c r="BA2616" i="4" s="1"/>
  <c r="BD2615" i="4"/>
  <c r="BF2613" i="4"/>
  <c r="BE2613" i="4"/>
  <c r="BC2614" i="4"/>
  <c r="BG2614" i="4"/>
  <c r="BF2614" i="4" l="1"/>
  <c r="BE2614" i="4"/>
  <c r="BC2615" i="4"/>
  <c r="BG2615" i="4"/>
  <c r="BB2616" i="4"/>
  <c r="BA2617" i="4" s="1"/>
  <c r="BD2616" i="4"/>
  <c r="BC2616" i="4" l="1"/>
  <c r="BG2616" i="4"/>
  <c r="BD2617" i="4"/>
  <c r="BB2617" i="4"/>
  <c r="BA2618" i="4" s="1"/>
  <c r="BF2615" i="4"/>
  <c r="BE2615" i="4"/>
  <c r="BB2618" i="4" l="1"/>
  <c r="BA2619" i="4" s="1"/>
  <c r="BD2618" i="4"/>
  <c r="BG2617" i="4"/>
  <c r="BC2617" i="4"/>
  <c r="BF2616" i="4"/>
  <c r="BE2616" i="4"/>
  <c r="BE2617" i="4" l="1"/>
  <c r="BF2617" i="4"/>
  <c r="BG2618" i="4"/>
  <c r="BC2618" i="4"/>
  <c r="BB2619" i="4"/>
  <c r="BA2620" i="4" s="1"/>
  <c r="BD2619" i="4"/>
  <c r="BG2619" i="4" l="1"/>
  <c r="BC2619" i="4"/>
  <c r="BB2620" i="4"/>
  <c r="BA2621" i="4" s="1"/>
  <c r="BD2620" i="4"/>
  <c r="BE2618" i="4"/>
  <c r="BF2618" i="4"/>
  <c r="BD2621" i="4" l="1"/>
  <c r="BB2621" i="4"/>
  <c r="BA2622" i="4" s="1"/>
  <c r="BG2620" i="4"/>
  <c r="BC2620" i="4"/>
  <c r="BF2619" i="4"/>
  <c r="BE2619" i="4"/>
  <c r="BD2622" i="4" l="1"/>
  <c r="BB2622" i="4"/>
  <c r="BA2623" i="4" s="1"/>
  <c r="BC2621" i="4"/>
  <c r="BG2621" i="4"/>
  <c r="BE2620" i="4"/>
  <c r="BF2620" i="4"/>
  <c r="BD2623" i="4" l="1"/>
  <c r="BB2623" i="4"/>
  <c r="BA2624" i="4" s="1"/>
  <c r="BF2621" i="4"/>
  <c r="BE2621" i="4"/>
  <c r="BC2622" i="4"/>
  <c r="BG2622" i="4"/>
  <c r="BD2624" i="4" l="1"/>
  <c r="BB2624" i="4"/>
  <c r="BA2625" i="4" s="1"/>
  <c r="BF2622" i="4"/>
  <c r="BE2622" i="4"/>
  <c r="BC2623" i="4"/>
  <c r="BG2623" i="4"/>
  <c r="BF2623" i="4" l="1"/>
  <c r="BE2623" i="4"/>
  <c r="BD2625" i="4"/>
  <c r="BB2625" i="4"/>
  <c r="BA2626" i="4" s="1"/>
  <c r="BG2624" i="4"/>
  <c r="BC2624" i="4"/>
  <c r="BD2626" i="4" l="1"/>
  <c r="BB2626" i="4"/>
  <c r="BA2627" i="4" s="1"/>
  <c r="BG2625" i="4"/>
  <c r="BC2625" i="4"/>
  <c r="BF2624" i="4"/>
  <c r="BE2624" i="4"/>
  <c r="BE2625" i="4" l="1"/>
  <c r="BF2625" i="4"/>
  <c r="BD2627" i="4"/>
  <c r="BB2627" i="4"/>
  <c r="BA2628" i="4" s="1"/>
  <c r="BG2626" i="4"/>
  <c r="BC2626" i="4"/>
  <c r="BD2628" i="4" l="1"/>
  <c r="BB2628" i="4"/>
  <c r="BA2629" i="4" s="1"/>
  <c r="BE2626" i="4"/>
  <c r="BF2626" i="4"/>
  <c r="BC2627" i="4"/>
  <c r="BG2627" i="4"/>
  <c r="BB2629" i="4" l="1"/>
  <c r="BA2630" i="4" s="1"/>
  <c r="BD2629" i="4"/>
  <c r="BF2627" i="4"/>
  <c r="BE2627" i="4"/>
  <c r="BG2628" i="4"/>
  <c r="BC2628" i="4"/>
  <c r="BC2629" i="4" l="1"/>
  <c r="BG2629" i="4"/>
  <c r="BB2630" i="4"/>
  <c r="BA2631" i="4" s="1"/>
  <c r="BD2630" i="4"/>
  <c r="BE2628" i="4"/>
  <c r="BF2628" i="4"/>
  <c r="BD2631" i="4" l="1"/>
  <c r="BB2631" i="4"/>
  <c r="BA2632" i="4" s="1"/>
  <c r="BC2630" i="4"/>
  <c r="BG2630" i="4"/>
  <c r="BE2629" i="4"/>
  <c r="BF2629" i="4"/>
  <c r="BE2630" i="4" l="1"/>
  <c r="BF2630" i="4"/>
  <c r="BB2632" i="4"/>
  <c r="BA2633" i="4" s="1"/>
  <c r="BD2632" i="4"/>
  <c r="BC2631" i="4"/>
  <c r="BG2631" i="4"/>
  <c r="BB2633" i="4" l="1"/>
  <c r="BA2634" i="4" s="1"/>
  <c r="BD2633" i="4"/>
  <c r="BE2631" i="4"/>
  <c r="BF2631" i="4"/>
  <c r="BC2632" i="4"/>
  <c r="BG2632" i="4"/>
  <c r="BG2633" i="4" l="1"/>
  <c r="BC2633" i="4"/>
  <c r="BB2634" i="4"/>
  <c r="BA2635" i="4" s="1"/>
  <c r="BD2634" i="4"/>
  <c r="BE2632" i="4"/>
  <c r="BF2632" i="4"/>
  <c r="BG2634" i="4" l="1"/>
  <c r="BC2634" i="4"/>
  <c r="BF2633" i="4"/>
  <c r="BE2633" i="4"/>
  <c r="BB2635" i="4"/>
  <c r="BA2636" i="4" s="1"/>
  <c r="BD2635" i="4"/>
  <c r="BD2636" i="4" l="1"/>
  <c r="BB2636" i="4"/>
  <c r="BA2637" i="4" s="1"/>
  <c r="BF2634" i="4"/>
  <c r="BE2634" i="4"/>
  <c r="BG2635" i="4"/>
  <c r="BC2635" i="4"/>
  <c r="BF2635" i="4" l="1"/>
  <c r="BE2635" i="4"/>
  <c r="BD2637" i="4"/>
  <c r="BB2637" i="4"/>
  <c r="BA2638" i="4" s="1"/>
  <c r="BC2636" i="4"/>
  <c r="BG2636" i="4"/>
  <c r="BC2637" i="4" l="1"/>
  <c r="BG2637" i="4"/>
  <c r="BE2636" i="4"/>
  <c r="BF2636" i="4"/>
  <c r="BB2638" i="4"/>
  <c r="BA2639" i="4" s="1"/>
  <c r="BD2638" i="4"/>
  <c r="BC2638" i="4" l="1"/>
  <c r="BG2638" i="4"/>
  <c r="BB2639" i="4"/>
  <c r="BA2640" i="4" s="1"/>
  <c r="BD2639" i="4"/>
  <c r="BE2637" i="4"/>
  <c r="BF2637" i="4"/>
  <c r="BD2640" i="4" l="1"/>
  <c r="BB2640" i="4"/>
  <c r="BA2641" i="4" s="1"/>
  <c r="BC2639" i="4"/>
  <c r="BG2639" i="4"/>
  <c r="BE2638" i="4"/>
  <c r="BF2638" i="4"/>
  <c r="BE2639" i="4" l="1"/>
  <c r="BF2639" i="4"/>
  <c r="BD2641" i="4"/>
  <c r="BB2641" i="4"/>
  <c r="BA2642" i="4" s="1"/>
  <c r="BG2640" i="4"/>
  <c r="BC2640" i="4"/>
  <c r="BG2641" i="4" l="1"/>
  <c r="BC2641" i="4"/>
  <c r="BD2642" i="4"/>
  <c r="BB2642" i="4"/>
  <c r="BA2643" i="4" s="1"/>
  <c r="BF2640" i="4"/>
  <c r="BE2640" i="4"/>
  <c r="BB2643" i="4" l="1"/>
  <c r="BA2644" i="4" s="1"/>
  <c r="BD2643" i="4"/>
  <c r="BG2642" i="4"/>
  <c r="BC2642" i="4"/>
  <c r="BF2641" i="4"/>
  <c r="BE2641" i="4"/>
  <c r="BE2642" i="4" l="1"/>
  <c r="BF2642" i="4"/>
  <c r="BC2643" i="4"/>
  <c r="BG2643" i="4"/>
  <c r="BB2644" i="4"/>
  <c r="BA2645" i="4" s="1"/>
  <c r="BD2644" i="4"/>
  <c r="BG2644" i="4" l="1"/>
  <c r="BC2644" i="4"/>
  <c r="BD2645" i="4"/>
  <c r="BB2645" i="4"/>
  <c r="BA2646" i="4" s="1"/>
  <c r="BE2643" i="4"/>
  <c r="BF2643" i="4"/>
  <c r="BC2645" i="4" l="1"/>
  <c r="BG2645" i="4"/>
  <c r="BE2644" i="4"/>
  <c r="BF2644" i="4"/>
  <c r="BD2646" i="4"/>
  <c r="BB2646" i="4"/>
  <c r="BA2647" i="4" s="1"/>
  <c r="BB2647" i="4" l="1"/>
  <c r="BA2648" i="4" s="1"/>
  <c r="BD2647" i="4"/>
  <c r="BC2646" i="4"/>
  <c r="BG2646" i="4"/>
  <c r="BF2645" i="4"/>
  <c r="BE2645" i="4"/>
  <c r="BC2647" i="4" l="1"/>
  <c r="BG2647" i="4"/>
  <c r="BD2648" i="4"/>
  <c r="BB2648" i="4"/>
  <c r="BA2649" i="4" s="1"/>
  <c r="BF2646" i="4"/>
  <c r="BE2646" i="4"/>
  <c r="BC2648" i="4" l="1"/>
  <c r="BG2648" i="4"/>
  <c r="BB2649" i="4"/>
  <c r="BA2650" i="4" s="1"/>
  <c r="BD2649" i="4"/>
  <c r="BE2647" i="4"/>
  <c r="BF2647" i="4"/>
  <c r="BG2649" i="4" l="1"/>
  <c r="BC2649" i="4"/>
  <c r="BD2650" i="4"/>
  <c r="BB2650" i="4"/>
  <c r="BA2651" i="4" s="1"/>
  <c r="BE2648" i="4"/>
  <c r="BF2648" i="4"/>
  <c r="BB2651" i="4" l="1"/>
  <c r="BA2652" i="4" s="1"/>
  <c r="BD2651" i="4"/>
  <c r="BG2650" i="4"/>
  <c r="BC2650" i="4"/>
  <c r="BF2649" i="4"/>
  <c r="BE2649" i="4"/>
  <c r="BD2652" i="4" l="1"/>
  <c r="BB2652" i="4"/>
  <c r="BA2653" i="4" s="1"/>
  <c r="BF2650" i="4"/>
  <c r="BE2650" i="4"/>
  <c r="BG2651" i="4"/>
  <c r="BC2651" i="4"/>
  <c r="BB2653" i="4" l="1"/>
  <c r="BA2654" i="4" s="1"/>
  <c r="BD2653" i="4"/>
  <c r="BE2651" i="4"/>
  <c r="BF2651" i="4"/>
  <c r="BG2652" i="4"/>
  <c r="BC2652" i="4"/>
  <c r="BB2654" i="4" l="1"/>
  <c r="BA2655" i="4" s="1"/>
  <c r="BD2654" i="4"/>
  <c r="BC2653" i="4"/>
  <c r="BG2653" i="4"/>
  <c r="BF2652" i="4"/>
  <c r="BE2652" i="4"/>
  <c r="BC2654" i="4" l="1"/>
  <c r="BG2654" i="4"/>
  <c r="BB2655" i="4"/>
  <c r="BA2656" i="4" s="1"/>
  <c r="BD2655" i="4"/>
  <c r="BF2653" i="4"/>
  <c r="BE2653" i="4"/>
  <c r="BD2656" i="4" l="1"/>
  <c r="BB2656" i="4"/>
  <c r="BA2657" i="4" s="1"/>
  <c r="BC2655" i="4"/>
  <c r="BG2655" i="4"/>
  <c r="BF2654" i="4"/>
  <c r="BE2654" i="4"/>
  <c r="BD2657" i="4" l="1"/>
  <c r="BB2657" i="4"/>
  <c r="BA2658" i="4" s="1"/>
  <c r="BE2655" i="4"/>
  <c r="BF2655" i="4"/>
  <c r="BG2656" i="4"/>
  <c r="BC2656" i="4"/>
  <c r="BB2658" i="4" l="1"/>
  <c r="BA2659" i="4" s="1"/>
  <c r="BD2658" i="4"/>
  <c r="BE2656" i="4"/>
  <c r="BF2656" i="4"/>
  <c r="BG2657" i="4"/>
  <c r="BC2657" i="4"/>
  <c r="BE2657" i="4" l="1"/>
  <c r="BF2657" i="4"/>
  <c r="BB2659" i="4"/>
  <c r="BA2660" i="4" s="1"/>
  <c r="BD2659" i="4"/>
  <c r="BG2658" i="4"/>
  <c r="BC2658" i="4"/>
  <c r="BE2658" i="4" l="1"/>
  <c r="BF2658" i="4"/>
  <c r="BG2659" i="4"/>
  <c r="BC2659" i="4"/>
  <c r="BD2660" i="4"/>
  <c r="BB2660" i="4"/>
  <c r="BA2661" i="4" s="1"/>
  <c r="BD2661" i="4" l="1"/>
  <c r="BB2661" i="4"/>
  <c r="BA2662" i="4" s="1"/>
  <c r="BC2660" i="4"/>
  <c r="BG2660" i="4"/>
  <c r="BF2659" i="4"/>
  <c r="BE2659" i="4"/>
  <c r="BD2662" i="4" l="1"/>
  <c r="BB2662" i="4"/>
  <c r="BA2663" i="4" s="1"/>
  <c r="BE2660" i="4"/>
  <c r="BF2660" i="4"/>
  <c r="BC2661" i="4"/>
  <c r="BG2661" i="4"/>
  <c r="BB2663" i="4" l="1"/>
  <c r="BA2664" i="4" s="1"/>
  <c r="BD2663" i="4"/>
  <c r="BF2661" i="4"/>
  <c r="BE2661" i="4"/>
  <c r="BC2662" i="4"/>
  <c r="BG2662" i="4"/>
  <c r="BD2664" i="4" l="1"/>
  <c r="BB2664" i="4"/>
  <c r="BA2665" i="4" s="1"/>
  <c r="BC2663" i="4"/>
  <c r="BG2663" i="4"/>
  <c r="BE2662" i="4"/>
  <c r="BF2662" i="4"/>
  <c r="BF2663" i="4" l="1"/>
  <c r="BE2663" i="4"/>
  <c r="BB2665" i="4"/>
  <c r="BA2666" i="4" s="1"/>
  <c r="BD2665" i="4"/>
  <c r="BC2664" i="4"/>
  <c r="BG2664" i="4"/>
  <c r="BF2664" i="4" l="1"/>
  <c r="BE2664" i="4"/>
  <c r="BG2665" i="4"/>
  <c r="BC2665" i="4"/>
  <c r="BB2666" i="4"/>
  <c r="BA2667" i="4" s="1"/>
  <c r="BD2666" i="4"/>
  <c r="BG2666" i="4" l="1"/>
  <c r="BC2666" i="4"/>
  <c r="BB2667" i="4"/>
  <c r="BA2668" i="4" s="1"/>
  <c r="BD2667" i="4"/>
  <c r="BE2665" i="4"/>
  <c r="BF2665" i="4"/>
  <c r="BG2667" i="4" l="1"/>
  <c r="BC2667" i="4"/>
  <c r="BF2666" i="4"/>
  <c r="BE2666" i="4"/>
  <c r="BD2668" i="4"/>
  <c r="BB2668" i="4"/>
  <c r="BA2669" i="4" s="1"/>
  <c r="BF2667" i="4" l="1"/>
  <c r="BE2667" i="4"/>
  <c r="BD2669" i="4"/>
  <c r="BB2669" i="4"/>
  <c r="BA2670" i="4" s="1"/>
  <c r="BC2668" i="4"/>
  <c r="BG2668" i="4"/>
  <c r="BB2670" i="4" l="1"/>
  <c r="BA2671" i="4" s="1"/>
  <c r="BD2670" i="4"/>
  <c r="BC2669" i="4"/>
  <c r="BG2669" i="4"/>
  <c r="BE2668" i="4"/>
  <c r="BF2668" i="4"/>
  <c r="BB2671" i="4" l="1"/>
  <c r="BA2672" i="4" s="1"/>
  <c r="BD2671" i="4"/>
  <c r="BF2669" i="4"/>
  <c r="BE2669" i="4"/>
  <c r="BC2670" i="4"/>
  <c r="BG2670" i="4"/>
  <c r="BF2670" i="4" l="1"/>
  <c r="BE2670" i="4"/>
  <c r="BC2671" i="4"/>
  <c r="BG2671" i="4"/>
  <c r="BB2672" i="4"/>
  <c r="BA2673" i="4" s="1"/>
  <c r="BD2672" i="4"/>
  <c r="BG2672" i="4" l="1"/>
  <c r="BC2672" i="4"/>
  <c r="BB2673" i="4"/>
  <c r="BA2674" i="4" s="1"/>
  <c r="BD2673" i="4"/>
  <c r="BF2671" i="4"/>
  <c r="BE2671" i="4"/>
  <c r="BG2673" i="4" l="1"/>
  <c r="BC2673" i="4"/>
  <c r="BF2672" i="4"/>
  <c r="BE2672" i="4"/>
  <c r="BB2674" i="4"/>
  <c r="BA2675" i="4" s="1"/>
  <c r="BD2674" i="4"/>
  <c r="BB2675" i="4" l="1"/>
  <c r="BA2676" i="4" s="1"/>
  <c r="BD2675" i="4"/>
  <c r="BE2673" i="4"/>
  <c r="BF2673" i="4"/>
  <c r="BG2674" i="4"/>
  <c r="BC2674" i="4"/>
  <c r="BF2674" i="4" l="1"/>
  <c r="BE2674" i="4"/>
  <c r="BG2675" i="4"/>
  <c r="BC2675" i="4"/>
  <c r="BD2676" i="4"/>
  <c r="BB2676" i="4"/>
  <c r="BA2677" i="4" s="1"/>
  <c r="BD2677" i="4" l="1"/>
  <c r="BB2677" i="4"/>
  <c r="BA2678" i="4" s="1"/>
  <c r="BF2675" i="4"/>
  <c r="BE2675" i="4"/>
  <c r="BC2676" i="4"/>
  <c r="BG2676" i="4"/>
  <c r="BB2678" i="4" l="1"/>
  <c r="BA2679" i="4" s="1"/>
  <c r="BD2678" i="4"/>
  <c r="BF2676" i="4"/>
  <c r="BE2676" i="4"/>
  <c r="BC2677" i="4"/>
  <c r="BG2677" i="4"/>
  <c r="BE2677" i="4" l="1"/>
  <c r="BF2677" i="4"/>
  <c r="BC2678" i="4"/>
  <c r="BG2678" i="4"/>
  <c r="BB2679" i="4"/>
  <c r="BA2680" i="4" s="1"/>
  <c r="BD2679" i="4"/>
  <c r="BC2679" i="4" l="1"/>
  <c r="BG2679" i="4"/>
  <c r="BF2678" i="4"/>
  <c r="BE2678" i="4"/>
  <c r="BB2680" i="4"/>
  <c r="BA2681" i="4" s="1"/>
  <c r="BD2680" i="4"/>
  <c r="BC2680" i="4" l="1"/>
  <c r="BG2680" i="4"/>
  <c r="BD2681" i="4"/>
  <c r="BB2681" i="4"/>
  <c r="BA2682" i="4" s="1"/>
  <c r="BE2679" i="4"/>
  <c r="BF2679" i="4"/>
  <c r="BG2681" i="4" l="1"/>
  <c r="BC2681" i="4"/>
  <c r="BD2682" i="4"/>
  <c r="BB2682" i="4"/>
  <c r="BA2683" i="4" s="1"/>
  <c r="BF2680" i="4"/>
  <c r="BE2680" i="4"/>
  <c r="BG2682" i="4" l="1"/>
  <c r="BC2682" i="4"/>
  <c r="BF2681" i="4"/>
  <c r="BE2681" i="4"/>
  <c r="BD2683" i="4"/>
  <c r="BB2683" i="4"/>
  <c r="BA2684" i="4" s="1"/>
  <c r="BD2684" i="4" l="1"/>
  <c r="BB2684" i="4"/>
  <c r="BA2685" i="4" s="1"/>
  <c r="BG2683" i="4"/>
  <c r="BC2683" i="4"/>
  <c r="BE2682" i="4"/>
  <c r="BF2682" i="4"/>
  <c r="BD2685" i="4" l="1"/>
  <c r="BB2685" i="4"/>
  <c r="BA2686" i="4" s="1"/>
  <c r="BG2684" i="4"/>
  <c r="BC2684" i="4"/>
  <c r="BF2683" i="4"/>
  <c r="BE2683" i="4"/>
  <c r="BD2686" i="4" l="1"/>
  <c r="BB2686" i="4"/>
  <c r="BA2687" i="4" s="1"/>
  <c r="BF2684" i="4"/>
  <c r="BE2684" i="4"/>
  <c r="BC2685" i="4"/>
  <c r="BG2685" i="4"/>
  <c r="BD2687" i="4" l="1"/>
  <c r="BB2687" i="4"/>
  <c r="BA2688" i="4" s="1"/>
  <c r="BC2686" i="4"/>
  <c r="BG2686" i="4"/>
  <c r="BE2685" i="4"/>
  <c r="BF2685" i="4"/>
  <c r="BB2688" i="4" l="1"/>
  <c r="BA2689" i="4" s="1"/>
  <c r="BD2688" i="4"/>
  <c r="BE2686" i="4"/>
  <c r="BF2686" i="4"/>
  <c r="BC2687" i="4"/>
  <c r="BG2687" i="4"/>
  <c r="BG2688" i="4" l="1"/>
  <c r="BC2688" i="4"/>
  <c r="BB2689" i="4"/>
  <c r="BA2690" i="4" s="1"/>
  <c r="BD2689" i="4"/>
  <c r="BE2687" i="4"/>
  <c r="BF2687" i="4"/>
  <c r="BF2688" i="4" l="1"/>
  <c r="BE2688" i="4"/>
  <c r="BG2689" i="4"/>
  <c r="BC2689" i="4"/>
  <c r="BD2690" i="4"/>
  <c r="BB2690" i="4"/>
  <c r="BA2691" i="4" s="1"/>
  <c r="BD2691" i="4" l="1"/>
  <c r="BB2691" i="4"/>
  <c r="BA2692" i="4" s="1"/>
  <c r="BG2690" i="4"/>
  <c r="BC2690" i="4"/>
  <c r="BE2689" i="4"/>
  <c r="BF2689" i="4"/>
  <c r="BD2692" i="4" l="1"/>
  <c r="BB2692" i="4"/>
  <c r="BA2693" i="4" s="1"/>
  <c r="BF2690" i="4"/>
  <c r="BE2690" i="4"/>
  <c r="BG2691" i="4"/>
  <c r="BC2691" i="4"/>
  <c r="BD2693" i="4" l="1"/>
  <c r="BB2693" i="4"/>
  <c r="BA2694" i="4" s="1"/>
  <c r="BG2692" i="4"/>
  <c r="BC2692" i="4"/>
  <c r="BE2691" i="4"/>
  <c r="BF2691" i="4"/>
  <c r="BE2692" i="4" l="1"/>
  <c r="BF2692" i="4"/>
  <c r="BD2694" i="4"/>
  <c r="BB2694" i="4"/>
  <c r="BA2695" i="4" s="1"/>
  <c r="BC2693" i="4"/>
  <c r="BG2693" i="4"/>
  <c r="BB2695" i="4" l="1"/>
  <c r="BA2696" i="4" s="1"/>
  <c r="BD2695" i="4"/>
  <c r="BE2693" i="4"/>
  <c r="BF2693" i="4"/>
  <c r="BC2694" i="4"/>
  <c r="BG2694" i="4"/>
  <c r="BC2695" i="4" l="1"/>
  <c r="BG2695" i="4"/>
  <c r="BD2696" i="4"/>
  <c r="BB2696" i="4"/>
  <c r="BA2697" i="4" s="1"/>
  <c r="BE2694" i="4"/>
  <c r="BF2694" i="4"/>
  <c r="BC2696" i="4" l="1"/>
  <c r="BG2696" i="4"/>
  <c r="BB2697" i="4"/>
  <c r="BA2698" i="4" s="1"/>
  <c r="BD2697" i="4"/>
  <c r="BF2695" i="4"/>
  <c r="BE2695" i="4"/>
  <c r="BG2697" i="4" l="1"/>
  <c r="BC2697" i="4"/>
  <c r="BB2698" i="4"/>
  <c r="BA2699" i="4" s="1"/>
  <c r="BD2698" i="4"/>
  <c r="BE2696" i="4"/>
  <c r="BF2696" i="4"/>
  <c r="BG2698" i="4" l="1"/>
  <c r="BC2698" i="4"/>
  <c r="BE2697" i="4"/>
  <c r="BF2697" i="4"/>
  <c r="BB2699" i="4"/>
  <c r="BA2700" i="4" s="1"/>
  <c r="BD2699" i="4"/>
  <c r="BG2699" i="4" l="1"/>
  <c r="BC2699" i="4"/>
  <c r="BE2698" i="4"/>
  <c r="BF2698" i="4"/>
  <c r="BD2700" i="4"/>
  <c r="BB2700" i="4"/>
  <c r="BA2701" i="4" s="1"/>
  <c r="BD2701" i="4" l="1"/>
  <c r="BB2701" i="4"/>
  <c r="BA2702" i="4" s="1"/>
  <c r="BE2699" i="4"/>
  <c r="BF2699" i="4"/>
  <c r="BG2700" i="4"/>
  <c r="BC2700" i="4"/>
  <c r="BD2702" i="4" l="1"/>
  <c r="BB2702" i="4"/>
  <c r="BA2703" i="4" s="1"/>
  <c r="BF2700" i="4"/>
  <c r="BE2700" i="4"/>
  <c r="BC2701" i="4"/>
  <c r="BG2701" i="4"/>
  <c r="BF2701" i="4" l="1"/>
  <c r="BE2701" i="4"/>
  <c r="BB2703" i="4"/>
  <c r="BA2704" i="4" s="1"/>
  <c r="BD2703" i="4"/>
  <c r="BC2702" i="4"/>
  <c r="BG2702" i="4"/>
  <c r="BB2704" i="4" l="1"/>
  <c r="BA2705" i="4" s="1"/>
  <c r="BD2704" i="4"/>
  <c r="BF2702" i="4"/>
  <c r="BE2702" i="4"/>
  <c r="BC2703" i="4"/>
  <c r="BG2703" i="4"/>
  <c r="BG2704" i="4" l="1"/>
  <c r="BC2704" i="4"/>
  <c r="BD2705" i="4"/>
  <c r="BB2705" i="4"/>
  <c r="BA2706" i="4" s="1"/>
  <c r="BE2703" i="4"/>
  <c r="BF2703" i="4"/>
  <c r="BG2705" i="4" l="1"/>
  <c r="BC2705" i="4"/>
  <c r="BF2704" i="4"/>
  <c r="BE2704" i="4"/>
  <c r="BB2706" i="4"/>
  <c r="BA2707" i="4" s="1"/>
  <c r="BD2706" i="4"/>
  <c r="BB2707" i="4" l="1"/>
  <c r="BA2708" i="4" s="1"/>
  <c r="BD2707" i="4"/>
  <c r="BF2705" i="4"/>
  <c r="BE2705" i="4"/>
  <c r="BG2706" i="4"/>
  <c r="BC2706" i="4"/>
  <c r="BF2706" i="4" l="1"/>
  <c r="BE2706" i="4"/>
  <c r="BG2707" i="4"/>
  <c r="BC2707" i="4"/>
  <c r="BD2708" i="4"/>
  <c r="BB2708" i="4"/>
  <c r="BA2709" i="4" s="1"/>
  <c r="BB2709" i="4" l="1"/>
  <c r="BA2710" i="4" s="1"/>
  <c r="BD2709" i="4"/>
  <c r="BG2708" i="4"/>
  <c r="BC2708" i="4"/>
  <c r="BE2707" i="4"/>
  <c r="BF2707" i="4"/>
  <c r="BE2708" i="4" l="1"/>
  <c r="BF2708" i="4"/>
  <c r="BC2709" i="4"/>
  <c r="BG2709" i="4"/>
  <c r="BB2710" i="4"/>
  <c r="BA2711" i="4" s="1"/>
  <c r="BD2710" i="4"/>
  <c r="BB2711" i="4" l="1"/>
  <c r="BA2712" i="4" s="1"/>
  <c r="BD2711" i="4"/>
  <c r="BF2709" i="4"/>
  <c r="BE2709" i="4"/>
  <c r="BC2710" i="4"/>
  <c r="BG2710" i="4"/>
  <c r="BD2712" i="4" l="1"/>
  <c r="BB2712" i="4"/>
  <c r="BA2713" i="4" s="1"/>
  <c r="BF2710" i="4"/>
  <c r="BE2710" i="4"/>
  <c r="BC2711" i="4"/>
  <c r="BG2711" i="4"/>
  <c r="BF2711" i="4" l="1"/>
  <c r="BE2711" i="4"/>
  <c r="BB2713" i="4"/>
  <c r="BA2714" i="4" s="1"/>
  <c r="BD2713" i="4"/>
  <c r="BC2712" i="4"/>
  <c r="BG2712" i="4"/>
  <c r="BE2712" i="4" l="1"/>
  <c r="BF2712" i="4"/>
  <c r="BG2713" i="4"/>
  <c r="BC2713" i="4"/>
  <c r="BD2714" i="4"/>
  <c r="BB2714" i="4"/>
  <c r="BA2715" i="4" s="1"/>
  <c r="BB2715" i="4" l="1"/>
  <c r="BA2716" i="4" s="1"/>
  <c r="BD2715" i="4"/>
  <c r="BE2713" i="4"/>
  <c r="BF2713" i="4"/>
  <c r="BG2714" i="4"/>
  <c r="BC2714" i="4"/>
  <c r="BF2714" i="4" l="1"/>
  <c r="BE2714" i="4"/>
  <c r="BG2715" i="4"/>
  <c r="BC2715" i="4"/>
  <c r="BD2716" i="4"/>
  <c r="BB2716" i="4"/>
  <c r="BA2717" i="4" s="1"/>
  <c r="BB2717" i="4" l="1"/>
  <c r="BA2718" i="4" s="1"/>
  <c r="BD2717" i="4"/>
  <c r="BG2716" i="4"/>
  <c r="BC2716" i="4"/>
  <c r="BF2715" i="4"/>
  <c r="BE2715" i="4"/>
  <c r="BF2716" i="4" l="1"/>
  <c r="BE2716" i="4"/>
  <c r="BC2717" i="4"/>
  <c r="BG2717" i="4"/>
  <c r="BB2718" i="4"/>
  <c r="BA2719" i="4" s="1"/>
  <c r="BD2718" i="4"/>
  <c r="BC2718" i="4" l="1"/>
  <c r="BG2718" i="4"/>
  <c r="BB2719" i="4"/>
  <c r="BA2720" i="4" s="1"/>
  <c r="BD2719" i="4"/>
  <c r="BF2717" i="4"/>
  <c r="BE2717" i="4"/>
  <c r="BC2719" i="4" l="1"/>
  <c r="BG2719" i="4"/>
  <c r="BD2720" i="4"/>
  <c r="BB2720" i="4"/>
  <c r="BA2721" i="4" s="1"/>
  <c r="BF2718" i="4"/>
  <c r="BE2718" i="4"/>
  <c r="BG2720" i="4" l="1"/>
  <c r="BC2720" i="4"/>
  <c r="BD2721" i="4"/>
  <c r="BB2721" i="4"/>
  <c r="BA2722" i="4" s="1"/>
  <c r="BF2719" i="4"/>
  <c r="BE2719" i="4"/>
  <c r="BG2721" i="4" l="1"/>
  <c r="BC2721" i="4"/>
  <c r="BF2720" i="4"/>
  <c r="BE2720" i="4"/>
  <c r="BD2722" i="4"/>
  <c r="BB2722" i="4"/>
  <c r="BA2723" i="4" s="1"/>
  <c r="BG2722" i="4" l="1"/>
  <c r="BC2722" i="4"/>
  <c r="BF2721" i="4"/>
  <c r="BE2721" i="4"/>
  <c r="BD2723" i="4"/>
  <c r="BB2723" i="4"/>
  <c r="BA2724" i="4" s="1"/>
  <c r="BD2724" i="4" l="1"/>
  <c r="BB2724" i="4"/>
  <c r="BA2725" i="4" s="1"/>
  <c r="BG2723" i="4"/>
  <c r="BC2723" i="4"/>
  <c r="BF2722" i="4"/>
  <c r="BE2722" i="4"/>
  <c r="BD2725" i="4" l="1"/>
  <c r="BB2725" i="4"/>
  <c r="BA2726" i="4" s="1"/>
  <c r="BF2723" i="4"/>
  <c r="BE2723" i="4"/>
  <c r="BG2724" i="4"/>
  <c r="BC2724" i="4"/>
  <c r="BE2724" i="4" l="1"/>
  <c r="BF2724" i="4"/>
  <c r="BD2726" i="4"/>
  <c r="BB2726" i="4"/>
  <c r="BA2727" i="4" s="1"/>
  <c r="BC2725" i="4"/>
  <c r="BG2725" i="4"/>
  <c r="BB2727" i="4" l="1"/>
  <c r="BA2728" i="4" s="1"/>
  <c r="BD2727" i="4"/>
  <c r="BF2725" i="4"/>
  <c r="BE2725" i="4"/>
  <c r="BC2726" i="4"/>
  <c r="BG2726" i="4"/>
  <c r="BC2727" i="4" l="1"/>
  <c r="BG2727" i="4"/>
  <c r="BB2728" i="4"/>
  <c r="BA2729" i="4" s="1"/>
  <c r="BD2728" i="4"/>
  <c r="BF2726" i="4"/>
  <c r="BE2726" i="4"/>
  <c r="BB2729" i="4" l="1"/>
  <c r="BA2730" i="4" s="1"/>
  <c r="BD2729" i="4"/>
  <c r="BC2728" i="4"/>
  <c r="BG2728" i="4"/>
  <c r="BE2727" i="4"/>
  <c r="BF2727" i="4"/>
  <c r="BG2729" i="4" l="1"/>
  <c r="BC2729" i="4"/>
  <c r="BB2730" i="4"/>
  <c r="BA2731" i="4" s="1"/>
  <c r="BD2730" i="4"/>
  <c r="BF2728" i="4"/>
  <c r="BE2728" i="4"/>
  <c r="BF2729" i="4" l="1"/>
  <c r="BE2729" i="4"/>
  <c r="BG2730" i="4"/>
  <c r="BC2730" i="4"/>
  <c r="BB2731" i="4"/>
  <c r="BA2732" i="4" s="1"/>
  <c r="BD2731" i="4"/>
  <c r="BG2731" i="4" l="1"/>
  <c r="BC2731" i="4"/>
  <c r="BD2732" i="4"/>
  <c r="BB2732" i="4"/>
  <c r="BA2733" i="4" s="1"/>
  <c r="BE2730" i="4"/>
  <c r="BF2730" i="4"/>
  <c r="BC2732" i="4" l="1"/>
  <c r="BG2732" i="4"/>
  <c r="BD2733" i="4"/>
  <c r="BB2733" i="4"/>
  <c r="BA2734" i="4" s="1"/>
  <c r="BE2731" i="4"/>
  <c r="BF2731" i="4"/>
  <c r="BD2734" i="4" l="1"/>
  <c r="BB2734" i="4"/>
  <c r="BA2735" i="4" s="1"/>
  <c r="BC2733" i="4"/>
  <c r="BG2733" i="4"/>
  <c r="BF2732" i="4"/>
  <c r="BE2732" i="4"/>
  <c r="BB2735" i="4" l="1"/>
  <c r="BA2736" i="4" s="1"/>
  <c r="BD2735" i="4"/>
  <c r="BC2734" i="4"/>
  <c r="BG2734" i="4"/>
  <c r="BE2733" i="4"/>
  <c r="BF2733" i="4"/>
  <c r="BE2734" i="4" l="1"/>
  <c r="BF2734" i="4"/>
  <c r="BD2736" i="4"/>
  <c r="BB2736" i="4"/>
  <c r="BA2737" i="4" s="1"/>
  <c r="BC2735" i="4"/>
  <c r="BG2735" i="4"/>
  <c r="BE2735" i="4" l="1"/>
  <c r="BF2735" i="4"/>
  <c r="BG2736" i="4"/>
  <c r="BC2736" i="4"/>
  <c r="BD2737" i="4"/>
  <c r="BB2737" i="4"/>
  <c r="BA2738" i="4" s="1"/>
  <c r="BD2738" i="4" l="1"/>
  <c r="BB2738" i="4"/>
  <c r="BA2739" i="4" s="1"/>
  <c r="BG2737" i="4"/>
  <c r="BC2737" i="4"/>
  <c r="BF2736" i="4"/>
  <c r="BE2736" i="4"/>
  <c r="BF2737" i="4" l="1"/>
  <c r="BE2737" i="4"/>
  <c r="BB2739" i="4"/>
  <c r="BA2740" i="4" s="1"/>
  <c r="BD2739" i="4"/>
  <c r="BG2738" i="4"/>
  <c r="BC2738" i="4"/>
  <c r="BF2738" i="4" l="1"/>
  <c r="BE2738" i="4"/>
  <c r="BG2739" i="4"/>
  <c r="BC2739" i="4"/>
  <c r="BD2740" i="4"/>
  <c r="BB2740" i="4"/>
  <c r="BA2741" i="4" s="1"/>
  <c r="BD2741" i="4" l="1"/>
  <c r="BB2741" i="4"/>
  <c r="BA2742" i="4" s="1"/>
  <c r="BG2740" i="4"/>
  <c r="BC2740" i="4"/>
  <c r="BE2739" i="4"/>
  <c r="BF2739" i="4"/>
  <c r="BB2742" i="4" l="1"/>
  <c r="BA2743" i="4" s="1"/>
  <c r="BD2742" i="4"/>
  <c r="BF2740" i="4"/>
  <c r="BE2740" i="4"/>
  <c r="BC2741" i="4"/>
  <c r="BG2741" i="4"/>
  <c r="BE2741" i="4" l="1"/>
  <c r="BF2741" i="4"/>
  <c r="BC2742" i="4"/>
  <c r="BG2742" i="4"/>
  <c r="BB2743" i="4"/>
  <c r="BA2744" i="4" s="1"/>
  <c r="BD2743" i="4"/>
  <c r="BB2744" i="4" l="1"/>
  <c r="BA2745" i="4" s="1"/>
  <c r="BD2744" i="4"/>
  <c r="BC2743" i="4"/>
  <c r="BG2743" i="4"/>
  <c r="BF2742" i="4"/>
  <c r="BE2742" i="4"/>
  <c r="BF2743" i="4" l="1"/>
  <c r="BE2743" i="4"/>
  <c r="BG2744" i="4"/>
  <c r="BC2744" i="4"/>
  <c r="BB2745" i="4"/>
  <c r="BA2746" i="4" s="1"/>
  <c r="BD2745" i="4"/>
  <c r="BG2745" i="4" l="1"/>
  <c r="BC2745" i="4"/>
  <c r="BB2746" i="4"/>
  <c r="BA2747" i="4" s="1"/>
  <c r="BD2746" i="4"/>
  <c r="BF2744" i="4"/>
  <c r="BE2744" i="4"/>
  <c r="BE2745" i="4" l="1"/>
  <c r="BF2745" i="4"/>
  <c r="BG2746" i="4"/>
  <c r="BC2746" i="4"/>
  <c r="BB2747" i="4"/>
  <c r="BA2748" i="4" s="1"/>
  <c r="BD2747" i="4"/>
  <c r="BB2748" i="4" l="1"/>
  <c r="BA2749" i="4" s="1"/>
  <c r="BD2748" i="4"/>
  <c r="BF2746" i="4"/>
  <c r="BE2746" i="4"/>
  <c r="BG2747" i="4"/>
  <c r="BC2747" i="4"/>
  <c r="BD2749" i="4" l="1"/>
  <c r="BB2749" i="4"/>
  <c r="BA2750" i="4" s="1"/>
  <c r="BG2748" i="4"/>
  <c r="BC2748" i="4"/>
  <c r="BF2747" i="4"/>
  <c r="BE2747" i="4"/>
  <c r="BD2750" i="4" l="1"/>
  <c r="BB2750" i="4"/>
  <c r="BA2751" i="4" s="1"/>
  <c r="BC2749" i="4"/>
  <c r="BG2749" i="4"/>
  <c r="BF2748" i="4"/>
  <c r="BE2748" i="4"/>
  <c r="BF2749" i="4" l="1"/>
  <c r="BE2749" i="4"/>
  <c r="BD2751" i="4"/>
  <c r="BB2751" i="4"/>
  <c r="BA2752" i="4" s="1"/>
  <c r="BC2750" i="4"/>
  <c r="BG2750" i="4"/>
  <c r="BF2750" i="4" l="1"/>
  <c r="BE2750" i="4"/>
  <c r="BD2752" i="4"/>
  <c r="BB2752" i="4"/>
  <c r="BA2753" i="4" s="1"/>
  <c r="BC2751" i="4"/>
  <c r="BG2751" i="4"/>
  <c r="BG2752" i="4" l="1"/>
  <c r="BC2752" i="4"/>
  <c r="BD2753" i="4"/>
  <c r="BB2753" i="4"/>
  <c r="BA2754" i="4" s="1"/>
  <c r="BF2751" i="4"/>
  <c r="BE2751" i="4"/>
  <c r="BG2753" i="4" l="1"/>
  <c r="BC2753" i="4"/>
  <c r="BB2754" i="4"/>
  <c r="BA2755" i="4" s="1"/>
  <c r="BD2754" i="4"/>
  <c r="BF2752" i="4"/>
  <c r="BE2752" i="4"/>
  <c r="BF2753" i="4" l="1"/>
  <c r="BE2753" i="4"/>
  <c r="BG2754" i="4"/>
  <c r="BC2754" i="4"/>
  <c r="BD2755" i="4"/>
  <c r="BB2755" i="4"/>
  <c r="BA2756" i="4" s="1"/>
  <c r="BD2756" i="4" l="1"/>
  <c r="BB2756" i="4"/>
  <c r="BA2757" i="4" s="1"/>
  <c r="BG2755" i="4"/>
  <c r="BC2755" i="4"/>
  <c r="BE2754" i="4"/>
  <c r="BF2754" i="4"/>
  <c r="BE2755" i="4" l="1"/>
  <c r="BF2755" i="4"/>
  <c r="BD2757" i="4"/>
  <c r="BB2757" i="4"/>
  <c r="BA2758" i="4" s="1"/>
  <c r="BC2756" i="4"/>
  <c r="BG2756" i="4"/>
  <c r="BD2758" i="4" l="1"/>
  <c r="BB2758" i="4"/>
  <c r="BA2759" i="4" s="1"/>
  <c r="BF2756" i="4"/>
  <c r="BE2756" i="4"/>
  <c r="BC2757" i="4"/>
  <c r="BG2757" i="4"/>
  <c r="BD2759" i="4" l="1"/>
  <c r="BB2759" i="4"/>
  <c r="BA2760" i="4" s="1"/>
  <c r="BF2757" i="4"/>
  <c r="BE2757" i="4"/>
  <c r="BC2758" i="4"/>
  <c r="BG2758" i="4"/>
  <c r="BF2758" i="4" l="1"/>
  <c r="BE2758" i="4"/>
  <c r="BB2760" i="4"/>
  <c r="BA2761" i="4" s="1"/>
  <c r="BD2760" i="4"/>
  <c r="BC2759" i="4"/>
  <c r="BG2759" i="4"/>
  <c r="BD2761" i="4" l="1"/>
  <c r="BB2761" i="4"/>
  <c r="BA2762" i="4" s="1"/>
  <c r="BF2759" i="4"/>
  <c r="BE2759" i="4"/>
  <c r="BC2760" i="4"/>
  <c r="BG2760" i="4"/>
  <c r="BB2762" i="4" l="1"/>
  <c r="BA2763" i="4" s="1"/>
  <c r="BD2762" i="4"/>
  <c r="BE2760" i="4"/>
  <c r="BF2760" i="4"/>
  <c r="BG2761" i="4"/>
  <c r="BC2761" i="4"/>
  <c r="BF2761" i="4" l="1"/>
  <c r="BE2761" i="4"/>
  <c r="BG2762" i="4"/>
  <c r="BC2762" i="4"/>
  <c r="BD2763" i="4"/>
  <c r="BB2763" i="4"/>
  <c r="BA2764" i="4" s="1"/>
  <c r="BD2764" i="4" l="1"/>
  <c r="BB2764" i="4"/>
  <c r="BA2765" i="4" s="1"/>
  <c r="BG2763" i="4"/>
  <c r="BC2763" i="4"/>
  <c r="BF2762" i="4"/>
  <c r="BE2762" i="4"/>
  <c r="BE2763" i="4" l="1"/>
  <c r="BF2763" i="4"/>
  <c r="BD2765" i="4"/>
  <c r="BB2765" i="4"/>
  <c r="BA2766" i="4" s="1"/>
  <c r="BC2764" i="4"/>
  <c r="BG2764" i="4"/>
  <c r="BC2765" i="4" l="1"/>
  <c r="BG2765" i="4"/>
  <c r="BF2764" i="4"/>
  <c r="BE2764" i="4"/>
  <c r="BB2766" i="4"/>
  <c r="BA2767" i="4" s="1"/>
  <c r="BD2766" i="4"/>
  <c r="BD2767" i="4" l="1"/>
  <c r="BB2767" i="4"/>
  <c r="BA2768" i="4" s="1"/>
  <c r="BC2766" i="4"/>
  <c r="BG2766" i="4"/>
  <c r="BE2765" i="4"/>
  <c r="BF2765" i="4"/>
  <c r="BD2768" i="4" l="1"/>
  <c r="BB2768" i="4"/>
  <c r="BA2769" i="4" s="1"/>
  <c r="BF2766" i="4"/>
  <c r="BE2766" i="4"/>
  <c r="BC2767" i="4"/>
  <c r="BG2767" i="4"/>
  <c r="BD2769" i="4" l="1"/>
  <c r="BB2769" i="4"/>
  <c r="BA2770" i="4" s="1"/>
  <c r="BF2767" i="4"/>
  <c r="BE2767" i="4"/>
  <c r="BG2768" i="4"/>
  <c r="BC2768" i="4"/>
  <c r="BD2770" i="4" l="1"/>
  <c r="BB2770" i="4"/>
  <c r="BA2771" i="4" s="1"/>
  <c r="BF2768" i="4"/>
  <c r="BE2768" i="4"/>
  <c r="BG2769" i="4"/>
  <c r="BC2769" i="4"/>
  <c r="BD2771" i="4" l="1"/>
  <c r="BB2771" i="4"/>
  <c r="BA2772" i="4" s="1"/>
  <c r="BF2769" i="4"/>
  <c r="BE2769" i="4"/>
  <c r="BG2770" i="4"/>
  <c r="BC2770" i="4"/>
  <c r="BD2772" i="4" l="1"/>
  <c r="BB2772" i="4"/>
  <c r="BA2773" i="4" s="1"/>
  <c r="BE2770" i="4"/>
  <c r="BF2770" i="4"/>
  <c r="BC2771" i="4"/>
  <c r="BG2771" i="4"/>
  <c r="BF2771" i="4" l="1"/>
  <c r="BE2771" i="4"/>
  <c r="BD2773" i="4"/>
  <c r="BB2773" i="4"/>
  <c r="BA2774" i="4" s="1"/>
  <c r="BG2772" i="4"/>
  <c r="BC2772" i="4"/>
  <c r="BD2774" i="4" l="1"/>
  <c r="BB2774" i="4"/>
  <c r="BA2775" i="4" s="1"/>
  <c r="BE2772" i="4"/>
  <c r="BF2772" i="4"/>
  <c r="BC2773" i="4"/>
  <c r="BG2773" i="4"/>
  <c r="BE2773" i="4" l="1"/>
  <c r="BF2773" i="4"/>
  <c r="BB2775" i="4"/>
  <c r="BA2776" i="4" s="1"/>
  <c r="BD2775" i="4"/>
  <c r="BC2774" i="4"/>
  <c r="BG2774" i="4"/>
  <c r="BB2776" i="4" l="1"/>
  <c r="BA2777" i="4" s="1"/>
  <c r="BD2776" i="4"/>
  <c r="BC2775" i="4"/>
  <c r="BG2775" i="4"/>
  <c r="BE2774" i="4"/>
  <c r="BF2774" i="4"/>
  <c r="BE2775" i="4" l="1"/>
  <c r="BF2775" i="4"/>
  <c r="BC2776" i="4"/>
  <c r="BG2776" i="4"/>
  <c r="BD2777" i="4"/>
  <c r="BB2777" i="4"/>
  <c r="BA2778" i="4" s="1"/>
  <c r="BD2778" i="4" l="1"/>
  <c r="BB2778" i="4"/>
  <c r="BA2779" i="4" s="1"/>
  <c r="BF2776" i="4"/>
  <c r="BE2776" i="4"/>
  <c r="BG2777" i="4"/>
  <c r="BC2777" i="4"/>
  <c r="BB2779" i="4" l="1"/>
  <c r="BA2780" i="4" s="1"/>
  <c r="BD2779" i="4"/>
  <c r="BF2777" i="4"/>
  <c r="BE2777" i="4"/>
  <c r="BG2778" i="4"/>
  <c r="BC2778" i="4"/>
  <c r="BC2779" i="4" l="1"/>
  <c r="BG2779" i="4"/>
  <c r="BD2780" i="4"/>
  <c r="BB2780" i="4"/>
  <c r="BA2781" i="4" s="1"/>
  <c r="BF2778" i="4"/>
  <c r="BE2778" i="4"/>
  <c r="BB2781" i="4" l="1"/>
  <c r="BA2782" i="4" s="1"/>
  <c r="BD2781" i="4"/>
  <c r="BG2780" i="4"/>
  <c r="BC2780" i="4"/>
  <c r="BF2779" i="4"/>
  <c r="BE2779" i="4"/>
  <c r="BF2780" i="4" l="1"/>
  <c r="BE2780" i="4"/>
  <c r="BC2781" i="4"/>
  <c r="BG2781" i="4"/>
  <c r="BD2782" i="4"/>
  <c r="BB2782" i="4"/>
  <c r="BA2783" i="4" s="1"/>
  <c r="BB2783" i="4" l="1"/>
  <c r="BA2784" i="4" s="1"/>
  <c r="BD2783" i="4"/>
  <c r="BF2781" i="4"/>
  <c r="BE2781" i="4"/>
  <c r="BC2782" i="4"/>
  <c r="BG2782" i="4"/>
  <c r="BG2783" i="4" l="1"/>
  <c r="BC2783" i="4"/>
  <c r="BD2784" i="4"/>
  <c r="BB2784" i="4"/>
  <c r="BA2785" i="4" s="1"/>
  <c r="BF2782" i="4"/>
  <c r="BE2782" i="4"/>
  <c r="BD2785" i="4" l="1"/>
  <c r="BB2785" i="4"/>
  <c r="BA2786" i="4" s="1"/>
  <c r="BC2784" i="4"/>
  <c r="BG2784" i="4"/>
  <c r="BF2783" i="4"/>
  <c r="BE2783" i="4"/>
  <c r="BD2786" i="4" l="1"/>
  <c r="BB2786" i="4"/>
  <c r="BA2787" i="4" s="1"/>
  <c r="BE2784" i="4"/>
  <c r="BF2784" i="4"/>
  <c r="BG2785" i="4"/>
  <c r="BC2785" i="4"/>
  <c r="BD2787" i="4" l="1"/>
  <c r="BB2787" i="4"/>
  <c r="BA2788" i="4" s="1"/>
  <c r="BF2785" i="4"/>
  <c r="BE2785" i="4"/>
  <c r="BG2786" i="4"/>
  <c r="BC2786" i="4"/>
  <c r="BD2788" i="4" l="1"/>
  <c r="BB2788" i="4"/>
  <c r="BA2789" i="4" s="1"/>
  <c r="BG2787" i="4"/>
  <c r="BC2787" i="4"/>
  <c r="BE2786" i="4"/>
  <c r="BF2786" i="4"/>
  <c r="BE2787" i="4" l="1"/>
  <c r="BF2787" i="4"/>
  <c r="BD2789" i="4"/>
  <c r="BB2789" i="4"/>
  <c r="BA2790" i="4" s="1"/>
  <c r="BC2788" i="4"/>
  <c r="BG2788" i="4"/>
  <c r="BD2790" i="4" l="1"/>
  <c r="BB2790" i="4"/>
  <c r="BA2791" i="4" s="1"/>
  <c r="BC2789" i="4"/>
  <c r="BG2789" i="4"/>
  <c r="BF2788" i="4"/>
  <c r="BE2788" i="4"/>
  <c r="BB2791" i="4" l="1"/>
  <c r="BA2792" i="4" s="1"/>
  <c r="BD2791" i="4"/>
  <c r="BG2790" i="4"/>
  <c r="BC2790" i="4"/>
  <c r="BF2789" i="4"/>
  <c r="BE2789" i="4"/>
  <c r="BC2791" i="4" l="1"/>
  <c r="BG2791" i="4"/>
  <c r="BE2790" i="4"/>
  <c r="BF2790" i="4"/>
  <c r="BB2792" i="4"/>
  <c r="BA2793" i="4" s="1"/>
  <c r="BD2792" i="4"/>
  <c r="BB2793" i="4" l="1"/>
  <c r="BA2794" i="4" s="1"/>
  <c r="BD2793" i="4"/>
  <c r="BC2792" i="4"/>
  <c r="BG2792" i="4"/>
  <c r="BE2791" i="4"/>
  <c r="BF2791" i="4"/>
  <c r="BB2794" i="4" l="1"/>
  <c r="BA2795" i="4" s="1"/>
  <c r="BD2794" i="4"/>
  <c r="BF2792" i="4"/>
  <c r="BE2792" i="4"/>
  <c r="BG2793" i="4"/>
  <c r="BC2793" i="4"/>
  <c r="BB2795" i="4" l="1"/>
  <c r="BA2796" i="4" s="1"/>
  <c r="BD2795" i="4"/>
  <c r="BE2793" i="4"/>
  <c r="BF2793" i="4"/>
  <c r="BG2794" i="4"/>
  <c r="BC2794" i="4"/>
  <c r="BD2796" i="4" l="1"/>
  <c r="BB2796" i="4"/>
  <c r="BA2797" i="4" s="1"/>
  <c r="BE2794" i="4"/>
  <c r="BF2794" i="4"/>
  <c r="BG2795" i="4"/>
  <c r="BC2795" i="4"/>
  <c r="BD2797" i="4" l="1"/>
  <c r="BB2797" i="4"/>
  <c r="BA2798" i="4" s="1"/>
  <c r="BF2795" i="4"/>
  <c r="BE2795" i="4"/>
  <c r="BC2796" i="4"/>
  <c r="BG2796" i="4"/>
  <c r="BB2798" i="4" l="1"/>
  <c r="BA2799" i="4" s="1"/>
  <c r="BD2798" i="4"/>
  <c r="BG2797" i="4"/>
  <c r="BC2797" i="4"/>
  <c r="BE2796" i="4"/>
  <c r="BF2796" i="4"/>
  <c r="BG2798" i="4" l="1"/>
  <c r="BC2798" i="4"/>
  <c r="BD2799" i="4"/>
  <c r="BB2799" i="4"/>
  <c r="BA2800" i="4" s="1"/>
  <c r="BE2797" i="4"/>
  <c r="BF2797" i="4"/>
  <c r="BD2800" i="4" l="1"/>
  <c r="BB2800" i="4"/>
  <c r="BA2801" i="4" s="1"/>
  <c r="BG2799" i="4"/>
  <c r="BC2799" i="4"/>
  <c r="BF2798" i="4"/>
  <c r="BE2798" i="4"/>
  <c r="BB2801" i="4" l="1"/>
  <c r="BA2802" i="4" s="1"/>
  <c r="BD2801" i="4"/>
  <c r="BC2800" i="4"/>
  <c r="BG2800" i="4"/>
  <c r="BF2799" i="4"/>
  <c r="BE2799" i="4"/>
  <c r="BF2800" i="4" l="1"/>
  <c r="BE2800" i="4"/>
  <c r="BG2801" i="4"/>
  <c r="BC2801" i="4"/>
  <c r="BB2802" i="4"/>
  <c r="BA2803" i="4" s="1"/>
  <c r="BD2802" i="4"/>
  <c r="BG2802" i="4" l="1"/>
  <c r="BC2802" i="4"/>
  <c r="BE2801" i="4"/>
  <c r="BF2801" i="4"/>
  <c r="BB2803" i="4"/>
  <c r="BA2804" i="4" s="1"/>
  <c r="BD2803" i="4"/>
  <c r="BG2803" i="4" l="1"/>
  <c r="BC2803" i="4"/>
  <c r="BF2802" i="4"/>
  <c r="BE2802" i="4"/>
  <c r="BD2804" i="4"/>
  <c r="BB2804" i="4"/>
  <c r="BA2805" i="4" s="1"/>
  <c r="BB2805" i="4" l="1"/>
  <c r="BA2806" i="4" s="1"/>
  <c r="BD2805" i="4"/>
  <c r="BE2803" i="4"/>
  <c r="BF2803" i="4"/>
  <c r="BC2804" i="4"/>
  <c r="BG2804" i="4"/>
  <c r="BC2805" i="4" l="1"/>
  <c r="BG2805" i="4"/>
  <c r="BF2804" i="4"/>
  <c r="BE2804" i="4"/>
  <c r="BB2806" i="4"/>
  <c r="BA2807" i="4" s="1"/>
  <c r="BD2806" i="4"/>
  <c r="BC2806" i="4" l="1"/>
  <c r="BG2806" i="4"/>
  <c r="BD2807" i="4"/>
  <c r="BB2807" i="4"/>
  <c r="BA2808" i="4" s="1"/>
  <c r="BF2805" i="4"/>
  <c r="BE2805" i="4"/>
  <c r="BG2807" i="4" l="1"/>
  <c r="BC2807" i="4"/>
  <c r="BB2808" i="4"/>
  <c r="BA2809" i="4" s="1"/>
  <c r="BD2808" i="4"/>
  <c r="BE2806" i="4"/>
  <c r="BF2806" i="4"/>
  <c r="BD2809" i="4" l="1"/>
  <c r="BB2809" i="4"/>
  <c r="BA2810" i="4" s="1"/>
  <c r="BG2808" i="4"/>
  <c r="BC2808" i="4"/>
  <c r="BF2807" i="4"/>
  <c r="BE2807" i="4"/>
  <c r="BD2810" i="4" l="1"/>
  <c r="BB2810" i="4"/>
  <c r="BA2811" i="4" s="1"/>
  <c r="BE2808" i="4"/>
  <c r="BF2808" i="4"/>
  <c r="BG2809" i="4"/>
  <c r="BC2809" i="4"/>
  <c r="BE2809" i="4" l="1"/>
  <c r="BF2809" i="4"/>
  <c r="BB2811" i="4"/>
  <c r="BA2812" i="4" s="1"/>
  <c r="BD2811" i="4"/>
  <c r="BC2810" i="4"/>
  <c r="BG2810" i="4"/>
  <c r="BF2810" i="4" l="1"/>
  <c r="BE2810" i="4"/>
  <c r="BG2811" i="4"/>
  <c r="BC2811" i="4"/>
  <c r="BD2812" i="4"/>
  <c r="BB2812" i="4"/>
  <c r="BA2813" i="4" s="1"/>
  <c r="BD2813" i="4" l="1"/>
  <c r="BB2813" i="4"/>
  <c r="BA2814" i="4" s="1"/>
  <c r="BC2812" i="4"/>
  <c r="BG2812" i="4"/>
  <c r="BE2811" i="4"/>
  <c r="BF2811" i="4"/>
  <c r="BB2814" i="4" l="1"/>
  <c r="BA2815" i="4" s="1"/>
  <c r="BD2814" i="4"/>
  <c r="BC2813" i="4"/>
  <c r="BG2813" i="4"/>
  <c r="BF2812" i="4"/>
  <c r="BE2812" i="4"/>
  <c r="BC2814" i="4" l="1"/>
  <c r="BG2814" i="4"/>
  <c r="BB2815" i="4"/>
  <c r="BA2816" i="4" s="1"/>
  <c r="BD2815" i="4"/>
  <c r="BF2813" i="4"/>
  <c r="BE2813" i="4"/>
  <c r="BC2815" i="4" l="1"/>
  <c r="BG2815" i="4"/>
  <c r="BB2816" i="4"/>
  <c r="BA2817" i="4" s="1"/>
  <c r="BD2816" i="4"/>
  <c r="BE2814" i="4"/>
  <c r="BF2814" i="4"/>
  <c r="BC2816" i="4" l="1"/>
  <c r="BG2816" i="4"/>
  <c r="BD2817" i="4"/>
  <c r="BB2817" i="4"/>
  <c r="BA2818" i="4" s="1"/>
  <c r="BF2815" i="4"/>
  <c r="BE2815" i="4"/>
  <c r="BD2818" i="4" l="1"/>
  <c r="BB2818" i="4"/>
  <c r="BA2819" i="4" s="1"/>
  <c r="BG2817" i="4"/>
  <c r="BC2817" i="4"/>
  <c r="BE2816" i="4"/>
  <c r="BF2816" i="4"/>
  <c r="BF2817" i="4" l="1"/>
  <c r="BE2817" i="4"/>
  <c r="BB2819" i="4"/>
  <c r="BA2820" i="4" s="1"/>
  <c r="BD2819" i="4"/>
  <c r="BC2818" i="4"/>
  <c r="BG2818" i="4"/>
  <c r="BF2818" i="4" l="1"/>
  <c r="BE2818" i="4"/>
  <c r="BC2819" i="4"/>
  <c r="BG2819" i="4"/>
  <c r="BD2820" i="4"/>
  <c r="BB2820" i="4"/>
  <c r="BA2821" i="4" s="1"/>
  <c r="BB2821" i="4" l="1"/>
  <c r="BA2822" i="4" s="1"/>
  <c r="BD2821" i="4"/>
  <c r="BC2820" i="4"/>
  <c r="BG2820" i="4"/>
  <c r="BF2819" i="4"/>
  <c r="BE2819" i="4"/>
  <c r="BB2822" i="4" l="1"/>
  <c r="BA2823" i="4" s="1"/>
  <c r="BD2822" i="4"/>
  <c r="BG2821" i="4"/>
  <c r="BC2821" i="4"/>
  <c r="BE2820" i="4"/>
  <c r="BF2820" i="4"/>
  <c r="BG2822" i="4" l="1"/>
  <c r="BC2822" i="4"/>
  <c r="BF2821" i="4"/>
  <c r="BE2821" i="4"/>
  <c r="BB2823" i="4"/>
  <c r="BA2824" i="4" s="1"/>
  <c r="BD2823" i="4"/>
  <c r="BB2824" i="4" l="1"/>
  <c r="BA2825" i="4" s="1"/>
  <c r="BD2824" i="4"/>
  <c r="BF2822" i="4"/>
  <c r="BE2822" i="4"/>
  <c r="BC2823" i="4"/>
  <c r="BG2823" i="4"/>
  <c r="BG2824" i="4" l="1"/>
  <c r="BC2824" i="4"/>
  <c r="BF2823" i="4"/>
  <c r="BE2823" i="4"/>
  <c r="BD2825" i="4"/>
  <c r="BB2825" i="4"/>
  <c r="BA2826" i="4" s="1"/>
  <c r="BD2826" i="4" l="1"/>
  <c r="BB2826" i="4"/>
  <c r="BA2827" i="4" s="1"/>
  <c r="BC2825" i="4"/>
  <c r="BG2825" i="4"/>
  <c r="BF2824" i="4"/>
  <c r="BE2824" i="4"/>
  <c r="BD2827" i="4" l="1"/>
  <c r="BB2827" i="4"/>
  <c r="BA2828" i="4" s="1"/>
  <c r="BE2825" i="4"/>
  <c r="BF2825" i="4"/>
  <c r="BC2826" i="4"/>
  <c r="BG2826" i="4"/>
  <c r="BD2828" i="4" l="1"/>
  <c r="BB2828" i="4"/>
  <c r="BA2829" i="4" s="1"/>
  <c r="BF2826" i="4"/>
  <c r="BE2826" i="4"/>
  <c r="BC2827" i="4"/>
  <c r="BG2827" i="4"/>
  <c r="BD2829" i="4" l="1"/>
  <c r="BB2829" i="4"/>
  <c r="BA2830" i="4" s="1"/>
  <c r="BF2827" i="4"/>
  <c r="BE2827" i="4"/>
  <c r="BC2828" i="4"/>
  <c r="BG2828" i="4"/>
  <c r="BD2830" i="4" l="1"/>
  <c r="BB2830" i="4"/>
  <c r="BA2831" i="4" s="1"/>
  <c r="BF2828" i="4"/>
  <c r="BE2828" i="4"/>
  <c r="BG2829" i="4"/>
  <c r="BC2829" i="4"/>
  <c r="BD2831" i="4" l="1"/>
  <c r="BB2831" i="4"/>
  <c r="BA2832" i="4" s="1"/>
  <c r="BC2830" i="4"/>
  <c r="BG2830" i="4"/>
  <c r="BF2829" i="4"/>
  <c r="BE2829" i="4"/>
  <c r="BB2832" i="4" l="1"/>
  <c r="BA2833" i="4" s="1"/>
  <c r="BD2832" i="4"/>
  <c r="BE2830" i="4"/>
  <c r="BF2830" i="4"/>
  <c r="BC2831" i="4"/>
  <c r="BG2831" i="4"/>
  <c r="BD2833" i="4" l="1"/>
  <c r="BB2833" i="4"/>
  <c r="BA2834" i="4" s="1"/>
  <c r="BG2832" i="4"/>
  <c r="BC2832" i="4"/>
  <c r="BE2831" i="4"/>
  <c r="BF2831" i="4"/>
  <c r="BB2834" i="4" l="1"/>
  <c r="BA2835" i="4" s="1"/>
  <c r="BD2834" i="4"/>
  <c r="BF2832" i="4"/>
  <c r="BE2832" i="4"/>
  <c r="BG2833" i="4"/>
  <c r="BC2833" i="4"/>
  <c r="BD2835" i="4" l="1"/>
  <c r="BB2835" i="4"/>
  <c r="BA2836" i="4" s="1"/>
  <c r="BF2833" i="4"/>
  <c r="BE2833" i="4"/>
  <c r="BG2834" i="4"/>
  <c r="BC2834" i="4"/>
  <c r="BF2834" i="4" l="1"/>
  <c r="BE2834" i="4"/>
  <c r="BB2836" i="4"/>
  <c r="BA2837" i="4" s="1"/>
  <c r="BD2836" i="4"/>
  <c r="BG2835" i="4"/>
  <c r="BC2835" i="4"/>
  <c r="BE2835" i="4" l="1"/>
  <c r="BF2835" i="4"/>
  <c r="BD2837" i="4"/>
  <c r="BB2837" i="4"/>
  <c r="BA2838" i="4" s="1"/>
  <c r="BC2836" i="4"/>
  <c r="BG2836" i="4"/>
  <c r="BB2838" i="4" l="1"/>
  <c r="BA2839" i="4" s="1"/>
  <c r="BD2838" i="4"/>
  <c r="BG2837" i="4"/>
  <c r="BC2837" i="4"/>
  <c r="BF2836" i="4"/>
  <c r="BE2836" i="4"/>
  <c r="BD2839" i="4" l="1"/>
  <c r="BB2839" i="4"/>
  <c r="BA2840" i="4" s="1"/>
  <c r="BF2837" i="4"/>
  <c r="BE2837" i="4"/>
  <c r="BG2838" i="4"/>
  <c r="BC2838" i="4"/>
  <c r="BD2840" i="4" l="1"/>
  <c r="BB2840" i="4"/>
  <c r="BA2841" i="4" s="1"/>
  <c r="BF2838" i="4"/>
  <c r="BE2838" i="4"/>
  <c r="BG2839" i="4"/>
  <c r="BC2839" i="4"/>
  <c r="BE2839" i="4" l="1"/>
  <c r="BF2839" i="4"/>
  <c r="BB2841" i="4"/>
  <c r="BA2842" i="4" s="1"/>
  <c r="BD2841" i="4"/>
  <c r="BC2840" i="4"/>
  <c r="BG2840" i="4"/>
  <c r="BB2842" i="4" l="1"/>
  <c r="BA2843" i="4" s="1"/>
  <c r="BD2842" i="4"/>
  <c r="BE2840" i="4"/>
  <c r="BF2840" i="4"/>
  <c r="BC2841" i="4"/>
  <c r="BG2841" i="4"/>
  <c r="BG2842" i="4" l="1"/>
  <c r="BC2842" i="4"/>
  <c r="BE2841" i="4"/>
  <c r="BF2841" i="4"/>
  <c r="BD2843" i="4"/>
  <c r="BB2843" i="4"/>
  <c r="BA2844" i="4" s="1"/>
  <c r="BD2844" i="4" l="1"/>
  <c r="BB2844" i="4"/>
  <c r="BA2845" i="4" s="1"/>
  <c r="BG2843" i="4"/>
  <c r="BC2843" i="4"/>
  <c r="BE2842" i="4"/>
  <c r="BF2842" i="4"/>
  <c r="BB2845" i="4" l="1"/>
  <c r="BA2846" i="4" s="1"/>
  <c r="BD2845" i="4"/>
  <c r="BE2843" i="4"/>
  <c r="BF2843" i="4"/>
  <c r="BG2844" i="4"/>
  <c r="BC2844" i="4"/>
  <c r="BF2844" i="4" l="1"/>
  <c r="BE2844" i="4"/>
  <c r="BB2846" i="4"/>
  <c r="BA2847" i="4" s="1"/>
  <c r="BD2846" i="4"/>
  <c r="BC2845" i="4"/>
  <c r="BG2845" i="4"/>
  <c r="BB2847" i="4" l="1"/>
  <c r="BA2848" i="4" s="1"/>
  <c r="BD2847" i="4"/>
  <c r="BE2845" i="4"/>
  <c r="BF2845" i="4"/>
  <c r="BG2846" i="4"/>
  <c r="BC2846" i="4"/>
  <c r="BD2848" i="4" l="1"/>
  <c r="BB2848" i="4"/>
  <c r="BA2849" i="4" s="1"/>
  <c r="BF2846" i="4"/>
  <c r="BE2846" i="4"/>
  <c r="BC2847" i="4"/>
  <c r="BG2847" i="4"/>
  <c r="BB2849" i="4" l="1"/>
  <c r="BA2850" i="4" s="1"/>
  <c r="BD2849" i="4"/>
  <c r="BC2848" i="4"/>
  <c r="BG2848" i="4"/>
  <c r="BF2847" i="4"/>
  <c r="BE2847" i="4"/>
  <c r="BB2850" i="4" l="1"/>
  <c r="BA2851" i="4" s="1"/>
  <c r="BD2850" i="4"/>
  <c r="BC2849" i="4"/>
  <c r="BG2849" i="4"/>
  <c r="BE2848" i="4"/>
  <c r="BF2848" i="4"/>
  <c r="BC2850" i="4" l="1"/>
  <c r="BG2850" i="4"/>
  <c r="BB2851" i="4"/>
  <c r="BA2852" i="4" s="1"/>
  <c r="BD2851" i="4"/>
  <c r="BF2849" i="4"/>
  <c r="BE2849" i="4"/>
  <c r="BG2851" i="4" l="1"/>
  <c r="BC2851" i="4"/>
  <c r="BD2852" i="4"/>
  <c r="BB2852" i="4"/>
  <c r="BA2853" i="4" s="1"/>
  <c r="BE2850" i="4"/>
  <c r="BF2850" i="4"/>
  <c r="BB2853" i="4" l="1"/>
  <c r="BA2854" i="4" s="1"/>
  <c r="BD2853" i="4"/>
  <c r="BG2852" i="4"/>
  <c r="BC2852" i="4"/>
  <c r="BF2851" i="4"/>
  <c r="BE2851" i="4"/>
  <c r="BB2854" i="4" l="1"/>
  <c r="BA2855" i="4" s="1"/>
  <c r="BD2854" i="4"/>
  <c r="BG2853" i="4"/>
  <c r="BC2853" i="4"/>
  <c r="BE2852" i="4"/>
  <c r="BF2852" i="4"/>
  <c r="BD2855" i="4" l="1"/>
  <c r="BB2855" i="4"/>
  <c r="BA2856" i="4" s="1"/>
  <c r="BE2853" i="4"/>
  <c r="BF2853" i="4"/>
  <c r="BG2854" i="4"/>
  <c r="BC2854" i="4"/>
  <c r="BF2854" i="4" l="1"/>
  <c r="BE2854" i="4"/>
  <c r="BD2856" i="4"/>
  <c r="BB2856" i="4"/>
  <c r="BA2857" i="4" s="1"/>
  <c r="BC2855" i="4"/>
  <c r="BG2855" i="4"/>
  <c r="BD2857" i="4" l="1"/>
  <c r="BB2857" i="4"/>
  <c r="BA2858" i="4" s="1"/>
  <c r="BE2855" i="4"/>
  <c r="BF2855" i="4"/>
  <c r="BG2856" i="4"/>
  <c r="BC2856" i="4"/>
  <c r="BD2858" i="4" l="1"/>
  <c r="BB2858" i="4"/>
  <c r="BA2859" i="4" s="1"/>
  <c r="BF2856" i="4"/>
  <c r="BE2856" i="4"/>
  <c r="BC2857" i="4"/>
  <c r="BG2857" i="4"/>
  <c r="BB2859" i="4" l="1"/>
  <c r="BA2860" i="4" s="1"/>
  <c r="BD2859" i="4"/>
  <c r="BE2857" i="4"/>
  <c r="BF2857" i="4"/>
  <c r="BC2858" i="4"/>
  <c r="BG2858" i="4"/>
  <c r="BG2859" i="4" l="1"/>
  <c r="BC2859" i="4"/>
  <c r="BF2858" i="4"/>
  <c r="BE2858" i="4"/>
  <c r="BD2860" i="4"/>
  <c r="BB2860" i="4"/>
  <c r="BA2861" i="4" s="1"/>
  <c r="BD2861" i="4" l="1"/>
  <c r="BB2861" i="4"/>
  <c r="BA2862" i="4" s="1"/>
  <c r="BE2859" i="4"/>
  <c r="BF2859" i="4"/>
  <c r="BG2860" i="4"/>
  <c r="BC2860" i="4"/>
  <c r="BB2862" i="4" l="1"/>
  <c r="BA2863" i="4" s="1"/>
  <c r="BD2862" i="4"/>
  <c r="BF2860" i="4"/>
  <c r="BE2860" i="4"/>
  <c r="BG2861" i="4"/>
  <c r="BC2861" i="4"/>
  <c r="BF2861" i="4" l="1"/>
  <c r="BE2861" i="4"/>
  <c r="BG2862" i="4"/>
  <c r="BC2862" i="4"/>
  <c r="BB2863" i="4"/>
  <c r="BA2864" i="4" s="1"/>
  <c r="BD2863" i="4"/>
  <c r="BC2863" i="4" l="1"/>
  <c r="BG2863" i="4"/>
  <c r="BE2862" i="4"/>
  <c r="BF2862" i="4"/>
  <c r="BD2864" i="4"/>
  <c r="BB2864" i="4"/>
  <c r="BA2865" i="4" s="1"/>
  <c r="BD2865" i="4" l="1"/>
  <c r="BB2865" i="4"/>
  <c r="BA2866" i="4" s="1"/>
  <c r="BC2864" i="4"/>
  <c r="BG2864" i="4"/>
  <c r="BE2863" i="4"/>
  <c r="BF2863" i="4"/>
  <c r="BB2866" i="4" l="1"/>
  <c r="BA2867" i="4" s="1"/>
  <c r="BD2866" i="4"/>
  <c r="BF2864" i="4"/>
  <c r="BE2864" i="4"/>
  <c r="BG2865" i="4"/>
  <c r="BC2865" i="4"/>
  <c r="BC2866" i="4" l="1"/>
  <c r="BG2866" i="4"/>
  <c r="BE2865" i="4"/>
  <c r="BF2865" i="4"/>
  <c r="BB2867" i="4"/>
  <c r="BA2868" i="4" s="1"/>
  <c r="BD2867" i="4"/>
  <c r="BC2867" i="4" l="1"/>
  <c r="BG2867" i="4"/>
  <c r="BB2868" i="4"/>
  <c r="BA2869" i="4" s="1"/>
  <c r="BD2868" i="4"/>
  <c r="BE2866" i="4"/>
  <c r="BF2866" i="4"/>
  <c r="BB2869" i="4" l="1"/>
  <c r="BA2870" i="4" s="1"/>
  <c r="BD2869" i="4"/>
  <c r="BG2868" i="4"/>
  <c r="BC2868" i="4"/>
  <c r="BE2867" i="4"/>
  <c r="BF2867" i="4"/>
  <c r="BB2870" i="4" l="1"/>
  <c r="BA2871" i="4" s="1"/>
  <c r="BD2870" i="4"/>
  <c r="BF2868" i="4"/>
  <c r="BE2868" i="4"/>
  <c r="BG2869" i="4"/>
  <c r="BC2869" i="4"/>
  <c r="BB2871" i="4" l="1"/>
  <c r="BA2872" i="4" s="1"/>
  <c r="BD2871" i="4"/>
  <c r="BG2870" i="4"/>
  <c r="BC2870" i="4"/>
  <c r="BF2869" i="4"/>
  <c r="BE2869" i="4"/>
  <c r="BE2870" i="4" l="1"/>
  <c r="BF2870" i="4"/>
  <c r="BD2872" i="4"/>
  <c r="BB2872" i="4"/>
  <c r="BA2873" i="4" s="1"/>
  <c r="BG2871" i="4"/>
  <c r="BC2871" i="4"/>
  <c r="BB2873" i="4" l="1"/>
  <c r="BA2874" i="4" s="1"/>
  <c r="BD2873" i="4"/>
  <c r="BG2872" i="4"/>
  <c r="BC2872" i="4"/>
  <c r="BF2871" i="4"/>
  <c r="BE2871" i="4"/>
  <c r="BC2873" i="4" l="1"/>
  <c r="BG2873" i="4"/>
  <c r="BF2872" i="4"/>
  <c r="BE2872" i="4"/>
  <c r="BB2874" i="4"/>
  <c r="BA2875" i="4" s="1"/>
  <c r="BD2874" i="4"/>
  <c r="BC2874" i="4" l="1"/>
  <c r="BG2874" i="4"/>
  <c r="BB2875" i="4"/>
  <c r="BA2876" i="4" s="1"/>
  <c r="BD2875" i="4"/>
  <c r="BE2873" i="4"/>
  <c r="BF2873" i="4"/>
  <c r="BC2875" i="4" l="1"/>
  <c r="BG2875" i="4"/>
  <c r="BB2876" i="4"/>
  <c r="BA2877" i="4" s="1"/>
  <c r="BD2876" i="4"/>
  <c r="BF2874" i="4"/>
  <c r="BE2874" i="4"/>
  <c r="BB2877" i="4" l="1"/>
  <c r="BA2878" i="4" s="1"/>
  <c r="BD2877" i="4"/>
  <c r="BG2876" i="4"/>
  <c r="BC2876" i="4"/>
  <c r="BE2875" i="4"/>
  <c r="BF2875" i="4"/>
  <c r="BF2876" i="4" l="1"/>
  <c r="BE2876" i="4"/>
  <c r="BB2878" i="4"/>
  <c r="BA2879" i="4" s="1"/>
  <c r="BD2878" i="4"/>
  <c r="BC2877" i="4"/>
  <c r="BG2877" i="4"/>
  <c r="BD2879" i="4" l="1"/>
  <c r="BB2879" i="4"/>
  <c r="BA2880" i="4" s="1"/>
  <c r="BE2877" i="4"/>
  <c r="BF2877" i="4"/>
  <c r="BC2878" i="4"/>
  <c r="BG2878" i="4"/>
  <c r="BF2878" i="4" l="1"/>
  <c r="BE2878" i="4"/>
  <c r="BB2880" i="4"/>
  <c r="BA2881" i="4" s="1"/>
  <c r="BD2880" i="4"/>
  <c r="BC2879" i="4"/>
  <c r="BG2879" i="4"/>
  <c r="BD2881" i="4" l="1"/>
  <c r="BB2881" i="4"/>
  <c r="BA2882" i="4" s="1"/>
  <c r="BF2879" i="4"/>
  <c r="BE2879" i="4"/>
  <c r="BG2880" i="4"/>
  <c r="BC2880" i="4"/>
  <c r="BB2882" i="4" l="1"/>
  <c r="BA2883" i="4" s="1"/>
  <c r="BD2882" i="4"/>
  <c r="BF2880" i="4"/>
  <c r="BE2880" i="4"/>
  <c r="BC2881" i="4"/>
  <c r="BG2881" i="4"/>
  <c r="BD2883" i="4" l="1"/>
  <c r="BB2883" i="4"/>
  <c r="BA2884" i="4" s="1"/>
  <c r="BF2881" i="4"/>
  <c r="BE2881" i="4"/>
  <c r="BC2882" i="4"/>
  <c r="BG2882" i="4"/>
  <c r="BF2882" i="4" l="1"/>
  <c r="BE2882" i="4"/>
  <c r="BD2884" i="4"/>
  <c r="BB2884" i="4"/>
  <c r="BA2885" i="4" s="1"/>
  <c r="BC2883" i="4"/>
  <c r="BG2883" i="4"/>
  <c r="BD2885" i="4" l="1"/>
  <c r="BB2885" i="4"/>
  <c r="BA2886" i="4" s="1"/>
  <c r="BC2884" i="4"/>
  <c r="BG2884" i="4"/>
  <c r="BF2883" i="4"/>
  <c r="BE2883" i="4"/>
  <c r="BD2886" i="4" l="1"/>
  <c r="BB2886" i="4"/>
  <c r="BA2887" i="4" s="1"/>
  <c r="BE2884" i="4"/>
  <c r="BF2884" i="4"/>
  <c r="BC2885" i="4"/>
  <c r="BG2885" i="4"/>
  <c r="BF2885" i="4" l="1"/>
  <c r="BE2885" i="4"/>
  <c r="BD2887" i="4"/>
  <c r="BB2887" i="4"/>
  <c r="BA2888" i="4" s="1"/>
  <c r="BC2886" i="4"/>
  <c r="BG2886" i="4"/>
  <c r="BG2887" i="4" l="1"/>
  <c r="BC2887" i="4"/>
  <c r="BD2888" i="4"/>
  <c r="BB2888" i="4"/>
  <c r="BA2889" i="4" s="1"/>
  <c r="BF2886" i="4"/>
  <c r="BE2886" i="4"/>
  <c r="BD2889" i="4" l="1"/>
  <c r="BB2889" i="4"/>
  <c r="BA2890" i="4" s="1"/>
  <c r="BE2887" i="4"/>
  <c r="BF2887" i="4"/>
  <c r="BG2888" i="4"/>
  <c r="BC2888" i="4"/>
  <c r="BD2890" i="4" l="1"/>
  <c r="BB2890" i="4"/>
  <c r="BA2891" i="4" s="1"/>
  <c r="BE2888" i="4"/>
  <c r="BF2888" i="4"/>
  <c r="BC2889" i="4"/>
  <c r="BG2889" i="4"/>
  <c r="BD2891" i="4" l="1"/>
  <c r="BB2891" i="4"/>
  <c r="BA2892" i="4" s="1"/>
  <c r="BF2889" i="4"/>
  <c r="BE2889" i="4"/>
  <c r="BC2890" i="4"/>
  <c r="BG2890" i="4"/>
  <c r="BE2890" i="4" l="1"/>
  <c r="BF2890" i="4"/>
  <c r="BB2892" i="4"/>
  <c r="BA2893" i="4" s="1"/>
  <c r="BD2892" i="4"/>
  <c r="BC2891" i="4"/>
  <c r="BG2891" i="4"/>
  <c r="BF2891" i="4" l="1"/>
  <c r="BE2891" i="4"/>
  <c r="BC2892" i="4"/>
  <c r="BG2892" i="4"/>
  <c r="BD2893" i="4"/>
  <c r="BB2893" i="4"/>
  <c r="BA2894" i="4" s="1"/>
  <c r="BB2894" i="4" l="1"/>
  <c r="BA2895" i="4" s="1"/>
  <c r="BD2894" i="4"/>
  <c r="BC2893" i="4"/>
  <c r="BG2893" i="4"/>
  <c r="BF2892" i="4"/>
  <c r="BE2892" i="4"/>
  <c r="BD2895" i="4" l="1"/>
  <c r="BB2895" i="4"/>
  <c r="BA2896" i="4" s="1"/>
  <c r="BC2894" i="4"/>
  <c r="BG2894" i="4"/>
  <c r="BF2893" i="4"/>
  <c r="BE2893" i="4"/>
  <c r="BD2896" i="4" l="1"/>
  <c r="BB2896" i="4"/>
  <c r="BA2897" i="4" s="1"/>
  <c r="BF2894" i="4"/>
  <c r="BE2894" i="4"/>
  <c r="BG2895" i="4"/>
  <c r="BC2895" i="4"/>
  <c r="BB2897" i="4" l="1"/>
  <c r="BA2898" i="4" s="1"/>
  <c r="BD2897" i="4"/>
  <c r="BF2895" i="4"/>
  <c r="BE2895" i="4"/>
  <c r="BC2896" i="4"/>
  <c r="BG2896" i="4"/>
  <c r="BE2896" i="4" l="1"/>
  <c r="BF2896" i="4"/>
  <c r="BD2898" i="4"/>
  <c r="BB2898" i="4"/>
  <c r="BA2899" i="4" s="1"/>
  <c r="BC2897" i="4"/>
  <c r="BG2897" i="4"/>
  <c r="BC2898" i="4" l="1"/>
  <c r="BG2898" i="4"/>
  <c r="BE2897" i="4"/>
  <c r="BF2897" i="4"/>
  <c r="BB2899" i="4"/>
  <c r="BA2900" i="4" s="1"/>
  <c r="BD2899" i="4"/>
  <c r="BD2900" i="4" l="1"/>
  <c r="BB2900" i="4"/>
  <c r="BA2901" i="4" s="1"/>
  <c r="BC2899" i="4"/>
  <c r="BG2899" i="4"/>
  <c r="BE2898" i="4"/>
  <c r="BF2898" i="4"/>
  <c r="BG2900" i="4" l="1"/>
  <c r="BC2900" i="4"/>
  <c r="BE2899" i="4"/>
  <c r="BF2899" i="4"/>
  <c r="BB2901" i="4"/>
  <c r="BA2902" i="4" s="1"/>
  <c r="BD2901" i="4"/>
  <c r="BG2901" i="4" l="1"/>
  <c r="BC2901" i="4"/>
  <c r="BF2900" i="4"/>
  <c r="BE2900" i="4"/>
  <c r="BD2902" i="4"/>
  <c r="BB2902" i="4"/>
  <c r="BA2903" i="4" s="1"/>
  <c r="BB2903" i="4" l="1"/>
  <c r="BA2904" i="4" s="1"/>
  <c r="BD2903" i="4"/>
  <c r="BC2902" i="4"/>
  <c r="BG2902" i="4"/>
  <c r="BF2901" i="4"/>
  <c r="BE2901" i="4"/>
  <c r="BD2904" i="4" l="1"/>
  <c r="BB2904" i="4"/>
  <c r="BA2905" i="4" s="1"/>
  <c r="BF2902" i="4"/>
  <c r="BE2902" i="4"/>
  <c r="BC2903" i="4"/>
  <c r="BG2903" i="4"/>
  <c r="BB2905" i="4" l="1"/>
  <c r="BA2906" i="4" s="1"/>
  <c r="BD2905" i="4"/>
  <c r="BF2903" i="4"/>
  <c r="BE2903" i="4"/>
  <c r="BC2904" i="4"/>
  <c r="BG2904" i="4"/>
  <c r="BG2905" i="4" l="1"/>
  <c r="BC2905" i="4"/>
  <c r="BD2906" i="4"/>
  <c r="BB2906" i="4"/>
  <c r="BA2907" i="4" s="1"/>
  <c r="BF2904" i="4"/>
  <c r="BE2904" i="4"/>
  <c r="BC2906" i="4" l="1"/>
  <c r="BG2906" i="4"/>
  <c r="BE2905" i="4"/>
  <c r="BF2905" i="4"/>
  <c r="BD2907" i="4"/>
  <c r="BB2907" i="4"/>
  <c r="BA2908" i="4" s="1"/>
  <c r="BB2908" i="4" l="1"/>
  <c r="BA2909" i="4" s="1"/>
  <c r="BD2908" i="4"/>
  <c r="BC2907" i="4"/>
  <c r="BG2907" i="4"/>
  <c r="BF2906" i="4"/>
  <c r="BE2906" i="4"/>
  <c r="BG2908" i="4" l="1"/>
  <c r="BC2908" i="4"/>
  <c r="BD2909" i="4"/>
  <c r="BB2909" i="4"/>
  <c r="BA2910" i="4" s="1"/>
  <c r="BF2907" i="4"/>
  <c r="BE2907" i="4"/>
  <c r="BD2910" i="4" l="1"/>
  <c r="BB2910" i="4"/>
  <c r="BA2911" i="4" s="1"/>
  <c r="BC2909" i="4"/>
  <c r="BG2909" i="4"/>
  <c r="BF2908" i="4"/>
  <c r="BE2908" i="4"/>
  <c r="BB2911" i="4" l="1"/>
  <c r="BA2912" i="4" s="1"/>
  <c r="BD2911" i="4"/>
  <c r="BF2909" i="4"/>
  <c r="BE2909" i="4"/>
  <c r="BC2910" i="4"/>
  <c r="BG2910" i="4"/>
  <c r="BD2912" i="4" l="1"/>
  <c r="BB2912" i="4"/>
  <c r="BA2913" i="4" s="1"/>
  <c r="BC2911" i="4"/>
  <c r="BG2911" i="4"/>
  <c r="BE2910" i="4"/>
  <c r="BF2910" i="4"/>
  <c r="BD2913" i="4" l="1"/>
  <c r="BB2913" i="4"/>
  <c r="BA2914" i="4" s="1"/>
  <c r="BE2911" i="4"/>
  <c r="BF2911" i="4"/>
  <c r="BC2912" i="4"/>
  <c r="BG2912" i="4"/>
  <c r="BB2914" i="4" l="1"/>
  <c r="BA2915" i="4" s="1"/>
  <c r="BD2914" i="4"/>
  <c r="BE2912" i="4"/>
  <c r="BF2912" i="4"/>
  <c r="BG2913" i="4"/>
  <c r="BC2913" i="4"/>
  <c r="BD2915" i="4" l="1"/>
  <c r="BB2915" i="4"/>
  <c r="BA2916" i="4" s="1"/>
  <c r="BF2913" i="4"/>
  <c r="BE2913" i="4"/>
  <c r="BC2914" i="4"/>
  <c r="BG2914" i="4"/>
  <c r="BF2914" i="4" l="1"/>
  <c r="BE2914" i="4"/>
  <c r="BB2916" i="4"/>
  <c r="BA2917" i="4" s="1"/>
  <c r="BD2916" i="4"/>
  <c r="BC2915" i="4"/>
  <c r="BG2915" i="4"/>
  <c r="BD2917" i="4" l="1"/>
  <c r="BB2917" i="4"/>
  <c r="BA2918" i="4" s="1"/>
  <c r="BF2915" i="4"/>
  <c r="BE2915" i="4"/>
  <c r="BC2916" i="4"/>
  <c r="BG2916" i="4"/>
  <c r="BB2918" i="4" l="1"/>
  <c r="BA2919" i="4" s="1"/>
  <c r="BD2918" i="4"/>
  <c r="BE2916" i="4"/>
  <c r="BF2916" i="4"/>
  <c r="BG2917" i="4"/>
  <c r="BC2917" i="4"/>
  <c r="BF2917" i="4" l="1"/>
  <c r="BE2917" i="4"/>
  <c r="BC2918" i="4"/>
  <c r="BG2918" i="4"/>
  <c r="BB2919" i="4"/>
  <c r="BA2920" i="4" s="1"/>
  <c r="BD2919" i="4"/>
  <c r="BB2920" i="4" l="1"/>
  <c r="BA2921" i="4" s="1"/>
  <c r="BD2920" i="4"/>
  <c r="BF2918" i="4"/>
  <c r="BE2918" i="4"/>
  <c r="BC2919" i="4"/>
  <c r="BG2919" i="4"/>
  <c r="BD2921" i="4" l="1"/>
  <c r="BB2921" i="4"/>
  <c r="BA2922" i="4" s="1"/>
  <c r="BC2920" i="4"/>
  <c r="BG2920" i="4"/>
  <c r="BE2919" i="4"/>
  <c r="BF2919" i="4"/>
  <c r="BB2922" i="4" l="1"/>
  <c r="BA2923" i="4" s="1"/>
  <c r="BD2922" i="4"/>
  <c r="BE2920" i="4"/>
  <c r="BF2920" i="4"/>
  <c r="BC2921" i="4"/>
  <c r="BG2921" i="4"/>
  <c r="BG2922" i="4" l="1"/>
  <c r="BC2922" i="4"/>
  <c r="BE2921" i="4"/>
  <c r="BF2921" i="4"/>
  <c r="BB2923" i="4"/>
  <c r="BA2924" i="4" s="1"/>
  <c r="BD2923" i="4"/>
  <c r="BC2923" i="4" l="1"/>
  <c r="BG2923" i="4"/>
  <c r="BE2922" i="4"/>
  <c r="BF2922" i="4"/>
  <c r="BD2924" i="4"/>
  <c r="BB2924" i="4"/>
  <c r="BA2925" i="4" s="1"/>
  <c r="BB2925" i="4" l="1"/>
  <c r="BA2926" i="4" s="1"/>
  <c r="BD2925" i="4"/>
  <c r="BC2924" i="4"/>
  <c r="BG2924" i="4"/>
  <c r="BE2923" i="4"/>
  <c r="BF2923" i="4"/>
  <c r="BF2924" i="4" l="1"/>
  <c r="BE2924" i="4"/>
  <c r="BG2925" i="4"/>
  <c r="BC2925" i="4"/>
  <c r="BD2926" i="4"/>
  <c r="BB2926" i="4"/>
  <c r="BA2927" i="4" s="1"/>
  <c r="BD2927" i="4" l="1"/>
  <c r="BB2927" i="4"/>
  <c r="BA2928" i="4" s="1"/>
  <c r="BC2926" i="4"/>
  <c r="BG2926" i="4"/>
  <c r="BF2925" i="4"/>
  <c r="BE2925" i="4"/>
  <c r="BB2928" i="4" l="1"/>
  <c r="BA2929" i="4" s="1"/>
  <c r="BD2928" i="4"/>
  <c r="BF2926" i="4"/>
  <c r="BE2926" i="4"/>
  <c r="BC2927" i="4"/>
  <c r="BG2927" i="4"/>
  <c r="BB2929" i="4" l="1"/>
  <c r="BA2930" i="4" s="1"/>
  <c r="BD2929" i="4"/>
  <c r="BC2928" i="4"/>
  <c r="BG2928" i="4"/>
  <c r="BF2927" i="4"/>
  <c r="BE2927" i="4"/>
  <c r="BB2930" i="4" l="1"/>
  <c r="BA2931" i="4" s="1"/>
  <c r="BD2930" i="4"/>
  <c r="BE2928" i="4"/>
  <c r="BF2928" i="4"/>
  <c r="BC2929" i="4"/>
  <c r="BG2929" i="4"/>
  <c r="BG2930" i="4" l="1"/>
  <c r="BC2930" i="4"/>
  <c r="BD2931" i="4"/>
  <c r="BB2931" i="4"/>
  <c r="BA2932" i="4" s="1"/>
  <c r="BF2929" i="4"/>
  <c r="BE2929" i="4"/>
  <c r="BD2932" i="4" l="1"/>
  <c r="BB2932" i="4"/>
  <c r="BA2933" i="4" s="1"/>
  <c r="BC2931" i="4"/>
  <c r="BG2931" i="4"/>
  <c r="BF2930" i="4"/>
  <c r="BE2930" i="4"/>
  <c r="BD2933" i="4" l="1"/>
  <c r="BB2933" i="4"/>
  <c r="BA2934" i="4" s="1"/>
  <c r="BE2931" i="4"/>
  <c r="BF2931" i="4"/>
  <c r="BG2932" i="4"/>
  <c r="BC2932" i="4"/>
  <c r="BB2934" i="4" l="1"/>
  <c r="BA2935" i="4" s="1"/>
  <c r="BD2934" i="4"/>
  <c r="BE2932" i="4"/>
  <c r="BF2932" i="4"/>
  <c r="BG2933" i="4"/>
  <c r="BC2933" i="4"/>
  <c r="BE2933" i="4" l="1"/>
  <c r="BF2933" i="4"/>
  <c r="BG2934" i="4"/>
  <c r="BC2934" i="4"/>
  <c r="BB2935" i="4"/>
  <c r="BA2936" i="4" s="1"/>
  <c r="BD2935" i="4"/>
  <c r="BB2936" i="4" l="1"/>
  <c r="BA2937" i="4" s="1"/>
  <c r="BD2936" i="4"/>
  <c r="BC2935" i="4"/>
  <c r="BG2935" i="4"/>
  <c r="BE2934" i="4"/>
  <c r="BF2934" i="4"/>
  <c r="BD2937" i="4" l="1"/>
  <c r="BB2937" i="4"/>
  <c r="BA2938" i="4" s="1"/>
  <c r="BC2936" i="4"/>
  <c r="BG2936" i="4"/>
  <c r="BF2935" i="4"/>
  <c r="BE2935" i="4"/>
  <c r="BD2938" i="4" l="1"/>
  <c r="BB2938" i="4"/>
  <c r="BA2939" i="4" s="1"/>
  <c r="BF2936" i="4"/>
  <c r="BE2936" i="4"/>
  <c r="BC2937" i="4"/>
  <c r="BG2937" i="4"/>
  <c r="BB2939" i="4" l="1"/>
  <c r="BA2940" i="4" s="1"/>
  <c r="BD2939" i="4"/>
  <c r="BE2937" i="4"/>
  <c r="BF2937" i="4"/>
  <c r="BG2938" i="4"/>
  <c r="BC2938" i="4"/>
  <c r="BF2938" i="4" l="1"/>
  <c r="BE2938" i="4"/>
  <c r="BC2939" i="4"/>
  <c r="BG2939" i="4"/>
  <c r="BB2940" i="4"/>
  <c r="BA2941" i="4" s="1"/>
  <c r="BD2940" i="4"/>
  <c r="BB2941" i="4" l="1"/>
  <c r="BA2942" i="4" s="1"/>
  <c r="BD2941" i="4"/>
  <c r="BE2939" i="4"/>
  <c r="BF2939" i="4"/>
  <c r="BC2940" i="4"/>
  <c r="BG2940" i="4"/>
  <c r="BG2941" i="4" l="1"/>
  <c r="BC2941" i="4"/>
  <c r="BB2942" i="4"/>
  <c r="BA2943" i="4" s="1"/>
  <c r="BD2942" i="4"/>
  <c r="BE2940" i="4"/>
  <c r="BF2940" i="4"/>
  <c r="BC2942" i="4" l="1"/>
  <c r="BG2942" i="4"/>
  <c r="BF2941" i="4"/>
  <c r="BE2941" i="4"/>
  <c r="BD2943" i="4"/>
  <c r="BB2943" i="4"/>
  <c r="BA2944" i="4" s="1"/>
  <c r="BB2944" i="4" l="1"/>
  <c r="BA2945" i="4" s="1"/>
  <c r="BD2944" i="4"/>
  <c r="BG2943" i="4"/>
  <c r="BC2943" i="4"/>
  <c r="BE2942" i="4"/>
  <c r="BF2942" i="4"/>
  <c r="BD2945" i="4" l="1"/>
  <c r="BB2945" i="4"/>
  <c r="BA2946" i="4" s="1"/>
  <c r="BC2944" i="4"/>
  <c r="BG2944" i="4"/>
  <c r="BE2943" i="4"/>
  <c r="BF2943" i="4"/>
  <c r="BB2946" i="4" l="1"/>
  <c r="BA2947" i="4" s="1"/>
  <c r="BD2946" i="4"/>
  <c r="BE2944" i="4"/>
  <c r="BF2944" i="4"/>
  <c r="BC2945" i="4"/>
  <c r="BG2945" i="4"/>
  <c r="BE2945" i="4" l="1"/>
  <c r="BF2945" i="4"/>
  <c r="BG2946" i="4"/>
  <c r="BC2946" i="4"/>
  <c r="BB2947" i="4"/>
  <c r="BA2948" i="4" s="1"/>
  <c r="BD2947" i="4"/>
  <c r="BB2948" i="4" l="1"/>
  <c r="BA2949" i="4" s="1"/>
  <c r="BD2948" i="4"/>
  <c r="BC2947" i="4"/>
  <c r="BG2947" i="4"/>
  <c r="BE2946" i="4"/>
  <c r="BF2946" i="4"/>
  <c r="BC2948" i="4" l="1"/>
  <c r="BG2948" i="4"/>
  <c r="BB2949" i="4"/>
  <c r="BA2950" i="4" s="1"/>
  <c r="BD2949" i="4"/>
  <c r="BF2947" i="4"/>
  <c r="BE2947" i="4"/>
  <c r="BG2949" i="4" l="1"/>
  <c r="BC2949" i="4"/>
  <c r="BD2950" i="4"/>
  <c r="BB2950" i="4"/>
  <c r="BA2951" i="4" s="1"/>
  <c r="BF2948" i="4"/>
  <c r="BE2948" i="4"/>
  <c r="BB2951" i="4" l="1"/>
  <c r="BA2952" i="4" s="1"/>
  <c r="BD2951" i="4"/>
  <c r="BC2950" i="4"/>
  <c r="BG2950" i="4"/>
  <c r="BF2949" i="4"/>
  <c r="BE2949" i="4"/>
  <c r="BE2950" i="4" l="1"/>
  <c r="BF2950" i="4"/>
  <c r="BD2952" i="4"/>
  <c r="BB2952" i="4"/>
  <c r="BA2953" i="4" s="1"/>
  <c r="BC2951" i="4"/>
  <c r="BG2951" i="4"/>
  <c r="BD2953" i="4" l="1"/>
  <c r="BB2953" i="4"/>
  <c r="BA2954" i="4" s="1"/>
  <c r="BC2952" i="4"/>
  <c r="BG2952" i="4"/>
  <c r="BE2951" i="4"/>
  <c r="BF2951" i="4"/>
  <c r="BD2954" i="4" l="1"/>
  <c r="BB2954" i="4"/>
  <c r="BA2955" i="4" s="1"/>
  <c r="BC2953" i="4"/>
  <c r="BG2953" i="4"/>
  <c r="BE2952" i="4"/>
  <c r="BF2952" i="4"/>
  <c r="BD2955" i="4" l="1"/>
  <c r="BB2955" i="4"/>
  <c r="BA2956" i="4" s="1"/>
  <c r="BE2953" i="4"/>
  <c r="BF2953" i="4"/>
  <c r="BG2954" i="4"/>
  <c r="BC2954" i="4"/>
  <c r="BD2956" i="4" l="1"/>
  <c r="BB2956" i="4"/>
  <c r="BA2957" i="4" s="1"/>
  <c r="BE2954" i="4"/>
  <c r="BF2954" i="4"/>
  <c r="BC2955" i="4"/>
  <c r="BG2955" i="4"/>
  <c r="BD2957" i="4" l="1"/>
  <c r="BB2957" i="4"/>
  <c r="BA2958" i="4" s="1"/>
  <c r="BE2955" i="4"/>
  <c r="BF2955" i="4"/>
  <c r="BC2956" i="4"/>
  <c r="BG2956" i="4"/>
  <c r="BE2956" i="4" l="1"/>
  <c r="BF2956" i="4"/>
  <c r="BB2958" i="4"/>
  <c r="BA2959" i="4" s="1"/>
  <c r="BD2958" i="4"/>
  <c r="BG2957" i="4"/>
  <c r="BC2957" i="4"/>
  <c r="BD2959" i="4" l="1"/>
  <c r="BB2959" i="4"/>
  <c r="BA2960" i="4" s="1"/>
  <c r="BC2958" i="4"/>
  <c r="BG2958" i="4"/>
  <c r="BE2957" i="4"/>
  <c r="BF2957" i="4"/>
  <c r="BB2960" i="4" l="1"/>
  <c r="BA2961" i="4" s="1"/>
  <c r="BD2960" i="4"/>
  <c r="BE2958" i="4"/>
  <c r="BF2958" i="4"/>
  <c r="BC2959" i="4"/>
  <c r="BG2959" i="4"/>
  <c r="BF2959" i="4" l="1"/>
  <c r="BE2959" i="4"/>
  <c r="BC2960" i="4"/>
  <c r="BG2960" i="4"/>
  <c r="BB2961" i="4"/>
  <c r="BA2962" i="4" s="1"/>
  <c r="BD2961" i="4"/>
  <c r="BD2962" i="4" l="1"/>
  <c r="BB2962" i="4"/>
  <c r="BA2963" i="4" s="1"/>
  <c r="BF2960" i="4"/>
  <c r="BE2960" i="4"/>
  <c r="BC2961" i="4"/>
  <c r="BG2961" i="4"/>
  <c r="BD2963" i="4" l="1"/>
  <c r="BB2963" i="4"/>
  <c r="BA2964" i="4" s="1"/>
  <c r="BF2961" i="4"/>
  <c r="BE2961" i="4"/>
  <c r="BG2962" i="4"/>
  <c r="BC2962" i="4"/>
  <c r="BD2964" i="4" l="1"/>
  <c r="BB2964" i="4"/>
  <c r="BA2965" i="4" s="1"/>
  <c r="BE2962" i="4"/>
  <c r="BF2962" i="4"/>
  <c r="BC2963" i="4"/>
  <c r="BG2963" i="4"/>
  <c r="BF2963" i="4" l="1"/>
  <c r="BE2963" i="4"/>
  <c r="BD2965" i="4"/>
  <c r="BB2965" i="4"/>
  <c r="BA2966" i="4" s="1"/>
  <c r="BG2964" i="4"/>
  <c r="BC2964" i="4"/>
  <c r="BD2966" i="4" l="1"/>
  <c r="BB2966" i="4"/>
  <c r="BA2967" i="4" s="1"/>
  <c r="BG2965" i="4"/>
  <c r="BC2965" i="4"/>
  <c r="BF2964" i="4"/>
  <c r="BE2964" i="4"/>
  <c r="BB2967" i="4" l="1"/>
  <c r="BA2968" i="4" s="1"/>
  <c r="BD2967" i="4"/>
  <c r="BF2965" i="4"/>
  <c r="BE2965" i="4"/>
  <c r="BC2966" i="4"/>
  <c r="BG2966" i="4"/>
  <c r="BF2966" i="4" l="1"/>
  <c r="BE2966" i="4"/>
  <c r="BB2968" i="4"/>
  <c r="BA2969" i="4" s="1"/>
  <c r="BD2968" i="4"/>
  <c r="BG2967" i="4"/>
  <c r="BC2967" i="4"/>
  <c r="BD2969" i="4" l="1"/>
  <c r="BB2969" i="4"/>
  <c r="BA2970" i="4" s="1"/>
  <c r="BF2967" i="4"/>
  <c r="BE2967" i="4"/>
  <c r="BC2968" i="4"/>
  <c r="BG2968" i="4"/>
  <c r="BB2970" i="4" l="1"/>
  <c r="BA2971" i="4" s="1"/>
  <c r="BD2970" i="4"/>
  <c r="BF2968" i="4"/>
  <c r="BE2968" i="4"/>
  <c r="BC2969" i="4"/>
  <c r="BG2969" i="4"/>
  <c r="BG2970" i="4" l="1"/>
  <c r="BC2970" i="4"/>
  <c r="BE2969" i="4"/>
  <c r="BF2969" i="4"/>
  <c r="BD2971" i="4"/>
  <c r="BB2971" i="4"/>
  <c r="BA2972" i="4" s="1"/>
  <c r="BD2972" i="4" l="1"/>
  <c r="BB2972" i="4"/>
  <c r="BA2973" i="4" s="1"/>
  <c r="BC2971" i="4"/>
  <c r="BG2971" i="4"/>
  <c r="BE2970" i="4"/>
  <c r="BF2970" i="4"/>
  <c r="BD2973" i="4" l="1"/>
  <c r="BB2973" i="4"/>
  <c r="BA2974" i="4" s="1"/>
  <c r="BF2971" i="4"/>
  <c r="BE2971" i="4"/>
  <c r="BC2972" i="4"/>
  <c r="BG2972" i="4"/>
  <c r="BD2974" i="4" l="1"/>
  <c r="BB2974" i="4"/>
  <c r="BA2975" i="4" s="1"/>
  <c r="BF2972" i="4"/>
  <c r="BE2972" i="4"/>
  <c r="BG2973" i="4"/>
  <c r="BC2973" i="4"/>
  <c r="BB2975" i="4" l="1"/>
  <c r="BA2976" i="4" s="1"/>
  <c r="BD2975" i="4"/>
  <c r="BE2973" i="4"/>
  <c r="BF2973" i="4"/>
  <c r="BG2974" i="4"/>
  <c r="BC2974" i="4"/>
  <c r="BF2974" i="4" l="1"/>
  <c r="BE2974" i="4"/>
  <c r="BB2976" i="4"/>
  <c r="BA2977" i="4" s="1"/>
  <c r="BD2976" i="4"/>
  <c r="BG2975" i="4"/>
  <c r="BC2975" i="4"/>
  <c r="BF2975" i="4" l="1"/>
  <c r="BE2975" i="4"/>
  <c r="BD2977" i="4"/>
  <c r="BB2977" i="4"/>
  <c r="BA2978" i="4" s="1"/>
  <c r="BC2976" i="4"/>
  <c r="BG2976" i="4"/>
  <c r="BD2978" i="4" l="1"/>
  <c r="BB2978" i="4"/>
  <c r="BA2979" i="4" s="1"/>
  <c r="BE2976" i="4"/>
  <c r="BF2976" i="4"/>
  <c r="BC2977" i="4"/>
  <c r="BG2977" i="4"/>
  <c r="BD2979" i="4" l="1"/>
  <c r="BB2979" i="4"/>
  <c r="BA2980" i="4" s="1"/>
  <c r="BF2977" i="4"/>
  <c r="BE2977" i="4"/>
  <c r="BG2978" i="4"/>
  <c r="BC2978" i="4"/>
  <c r="BF2978" i="4" l="1"/>
  <c r="BE2978" i="4"/>
  <c r="BD2980" i="4"/>
  <c r="BB2980" i="4"/>
  <c r="BA2981" i="4" s="1"/>
  <c r="BC2979" i="4"/>
  <c r="BG2979" i="4"/>
  <c r="BD2981" i="4" l="1"/>
  <c r="BB2981" i="4"/>
  <c r="BA2982" i="4" s="1"/>
  <c r="BC2980" i="4"/>
  <c r="BG2980" i="4"/>
  <c r="BF2979" i="4"/>
  <c r="BE2979" i="4"/>
  <c r="BD2982" i="4" l="1"/>
  <c r="BB2982" i="4"/>
  <c r="BA2983" i="4" s="1"/>
  <c r="BE2980" i="4"/>
  <c r="BF2980" i="4"/>
  <c r="BG2981" i="4"/>
  <c r="BC2981" i="4"/>
  <c r="BD2983" i="4" l="1"/>
  <c r="BB2983" i="4"/>
  <c r="BA2984" i="4" s="1"/>
  <c r="BF2981" i="4"/>
  <c r="BE2981" i="4"/>
  <c r="BC2982" i="4"/>
  <c r="BG2982" i="4"/>
  <c r="BB2984" i="4" l="1"/>
  <c r="BA2985" i="4" s="1"/>
  <c r="BD2984" i="4"/>
  <c r="BE2982" i="4"/>
  <c r="BF2982" i="4"/>
  <c r="BC2983" i="4"/>
  <c r="BG2983" i="4"/>
  <c r="BE2983" i="4" l="1"/>
  <c r="BF2983" i="4"/>
  <c r="BC2984" i="4"/>
  <c r="BG2984" i="4"/>
  <c r="BD2985" i="4"/>
  <c r="BB2985" i="4"/>
  <c r="BA2986" i="4" s="1"/>
  <c r="BB2986" i="4" l="1"/>
  <c r="BA2987" i="4" s="1"/>
  <c r="BD2986" i="4"/>
  <c r="BF2984" i="4"/>
  <c r="BE2984" i="4"/>
  <c r="BC2985" i="4"/>
  <c r="BG2985" i="4"/>
  <c r="BG2986" i="4" l="1"/>
  <c r="BC2986" i="4"/>
  <c r="BB2987" i="4"/>
  <c r="BA2988" i="4" s="1"/>
  <c r="BD2987" i="4"/>
  <c r="BF2985" i="4"/>
  <c r="BE2985" i="4"/>
  <c r="BC2987" i="4" l="1"/>
  <c r="BG2987" i="4"/>
  <c r="BD2988" i="4"/>
  <c r="BB2988" i="4"/>
  <c r="BA2989" i="4" s="1"/>
  <c r="BF2986" i="4"/>
  <c r="BE2986" i="4"/>
  <c r="BD2989" i="4" l="1"/>
  <c r="BB2989" i="4"/>
  <c r="BA2990" i="4" s="1"/>
  <c r="BC2988" i="4"/>
  <c r="BG2988" i="4"/>
  <c r="BF2987" i="4"/>
  <c r="BE2987" i="4"/>
  <c r="BF2988" i="4" l="1"/>
  <c r="BE2988" i="4"/>
  <c r="BB2990" i="4"/>
  <c r="BA2991" i="4" s="1"/>
  <c r="BD2990" i="4"/>
  <c r="BG2989" i="4"/>
  <c r="BC2989" i="4"/>
  <c r="BD2991" i="4" l="1"/>
  <c r="BB2991" i="4"/>
  <c r="BA2992" i="4" s="1"/>
  <c r="BE2989" i="4"/>
  <c r="BF2989" i="4"/>
  <c r="BC2990" i="4"/>
  <c r="BG2990" i="4"/>
  <c r="BD2992" i="4" l="1"/>
  <c r="BB2992" i="4"/>
  <c r="BA2993" i="4" s="1"/>
  <c r="BE2990" i="4"/>
  <c r="BF2990" i="4"/>
  <c r="BC2991" i="4"/>
  <c r="BG2991" i="4"/>
  <c r="BD2993" i="4" l="1"/>
  <c r="BB2993" i="4"/>
  <c r="BA2994" i="4" s="1"/>
  <c r="BE2991" i="4"/>
  <c r="BF2991" i="4"/>
  <c r="BC2992" i="4"/>
  <c r="BG2992" i="4"/>
  <c r="BB2994" i="4" l="1"/>
  <c r="BA2995" i="4" s="1"/>
  <c r="BD2994" i="4"/>
  <c r="BE2992" i="4"/>
  <c r="BF2992" i="4"/>
  <c r="BC2993" i="4"/>
  <c r="BG2993" i="4"/>
  <c r="BG2994" i="4" l="1"/>
  <c r="BC2994" i="4"/>
  <c r="BD2995" i="4"/>
  <c r="BB2995" i="4"/>
  <c r="BA2996" i="4" s="1"/>
  <c r="BF2993" i="4"/>
  <c r="BE2993" i="4"/>
  <c r="BB2996" i="4" l="1"/>
  <c r="BA2997" i="4" s="1"/>
  <c r="BD2996" i="4"/>
  <c r="BC2995" i="4"/>
  <c r="BG2995" i="4"/>
  <c r="BE2994" i="4"/>
  <c r="BF2994" i="4"/>
  <c r="BG2996" i="4" l="1"/>
  <c r="BC2996" i="4"/>
  <c r="BD2997" i="4"/>
  <c r="BB2997" i="4"/>
  <c r="BA2998" i="4" s="1"/>
  <c r="BE2995" i="4"/>
  <c r="BF2995" i="4"/>
  <c r="BB2998" i="4" l="1"/>
  <c r="BA2999" i="4" s="1"/>
  <c r="BD2998" i="4"/>
  <c r="BE2996" i="4"/>
  <c r="BF2996" i="4"/>
  <c r="BG2997" i="4"/>
  <c r="BC2997" i="4"/>
  <c r="BE2997" i="4" l="1"/>
  <c r="BF2997" i="4"/>
  <c r="BG2998" i="4"/>
  <c r="BC2998" i="4"/>
  <c r="BB2999" i="4"/>
  <c r="BA3000" i="4" s="1"/>
  <c r="BD2999" i="4"/>
  <c r="BB3000" i="4" l="1"/>
  <c r="BA3001" i="4" s="1"/>
  <c r="BD3000" i="4"/>
  <c r="BG2999" i="4"/>
  <c r="BC2999" i="4"/>
  <c r="BF2998" i="4"/>
  <c r="BE2998" i="4"/>
  <c r="BF2999" i="4" l="1"/>
  <c r="BE2999" i="4"/>
  <c r="BC3000" i="4"/>
  <c r="BG3000" i="4"/>
  <c r="BD3001" i="4"/>
  <c r="BB3001" i="4"/>
  <c r="BA3002" i="4" s="1"/>
  <c r="BD3002" i="4" l="1"/>
  <c r="BB3002" i="4"/>
  <c r="BA3003" i="4" s="1"/>
  <c r="BC3001" i="4"/>
  <c r="BG3001" i="4"/>
  <c r="BF3000" i="4"/>
  <c r="BE3000" i="4"/>
  <c r="BD3003" i="4" l="1"/>
  <c r="BB3003" i="4"/>
  <c r="BE3001" i="4"/>
  <c r="BF3001" i="4"/>
  <c r="BG3002" i="4"/>
  <c r="BC3002" i="4"/>
  <c r="BF3002" i="4" l="1"/>
  <c r="BE3002" i="4"/>
  <c r="BC3003" i="4"/>
  <c r="BG3003" i="4"/>
  <c r="BF3003" i="4" l="1"/>
  <c r="BE3003" i="4"/>
</calcChain>
</file>

<file path=xl/comments1.xml><?xml version="1.0" encoding="utf-8"?>
<comments xmlns="http://schemas.openxmlformats.org/spreadsheetml/2006/main">
  <authors>
    <author>Phillips</author>
    <author>rphilli</author>
  </authors>
  <commentList>
    <comment ref="BB1" authorId="0">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P25" authorId="0">
      <text>
        <r>
          <rPr>
            <b/>
            <sz val="8"/>
            <color indexed="81"/>
            <rFont val="Tahoma"/>
            <family val="2"/>
          </rPr>
          <t xml:space="preserve">Core &amp; PCB Integration:
</t>
        </r>
        <r>
          <rPr>
            <sz val="8"/>
            <color indexed="81"/>
            <rFont val="Tahoma"/>
            <family val="2"/>
          </rPr>
          <t>(Additional cost option) 
Planerize PCB, marry core &amp; PCB set.</t>
        </r>
      </text>
    </comment>
    <comment ref="BJ26" authorId="0">
      <text>
        <r>
          <rPr>
            <sz val="8"/>
            <color indexed="81"/>
            <rFont val="Tahoma"/>
            <family val="2"/>
          </rPr>
          <t>Upper/Lower PCB Spacing.
The amount of additional depth due to U/L board combination</t>
        </r>
      </text>
    </comment>
    <comment ref="P27" authorId="0">
      <text>
        <r>
          <rPr>
            <b/>
            <sz val="8"/>
            <color indexed="81"/>
            <rFont val="Tahoma"/>
            <family val="2"/>
          </rPr>
          <t>Accel Fixture:</t>
        </r>
        <r>
          <rPr>
            <sz val="8"/>
            <color indexed="81"/>
            <rFont val="Tahoma"/>
            <family val="2"/>
          </rPr>
          <t xml:space="preserve">
Accelerates test program development using a packaged device mounted on a PCB.</t>
        </r>
      </text>
    </comment>
    <comment ref="P29" authorId="0">
      <text>
        <r>
          <rPr>
            <b/>
            <sz val="8"/>
            <color indexed="81"/>
            <rFont val="Tahoma"/>
            <family val="2"/>
          </rPr>
          <t>Accel Fixture:</t>
        </r>
        <r>
          <rPr>
            <sz val="8"/>
            <color indexed="81"/>
            <rFont val="Tahoma"/>
            <family val="2"/>
          </rPr>
          <t xml:space="preserve">
Accelerates test program development using a packaged device mounted on a PCB.</t>
        </r>
      </text>
    </comment>
    <comment ref="BJ29" authorId="1">
      <text>
        <r>
          <rPr>
            <sz val="9"/>
            <color indexed="81"/>
            <rFont val="Tahoma"/>
            <family val="2"/>
          </rPr>
          <t xml:space="preserve">Must adjust for upper board thickness (both here and on the custom board table
</t>
        </r>
      </text>
    </comment>
    <comment ref="BJ30" authorId="1">
      <text>
        <r>
          <rPr>
            <sz val="9"/>
            <color indexed="81"/>
            <rFont val="Tahoma"/>
            <family val="2"/>
          </rPr>
          <t>Must adjust for upper board thickness (both here and on the custom board table</t>
        </r>
      </text>
    </comment>
    <comment ref="BJ32" authorId="1">
      <text>
        <r>
          <rPr>
            <sz val="9"/>
            <color indexed="81"/>
            <rFont val="Tahoma"/>
            <family val="2"/>
          </rPr>
          <t xml:space="preserve">J750 mechanicals only allow .187 &amp; .250 thick boards. This check also performed on the custom PCB table
</t>
        </r>
      </text>
    </comment>
    <comment ref="P33" authorId="0">
      <text>
        <r>
          <rPr>
            <b/>
            <sz val="8"/>
            <color indexed="12"/>
            <rFont val="Tahoma"/>
            <family val="2"/>
          </rPr>
          <t>No Approval Required</t>
        </r>
        <r>
          <rPr>
            <b/>
            <sz val="8"/>
            <color indexed="81"/>
            <rFont val="Tahoma"/>
            <family val="2"/>
          </rPr>
          <t xml:space="preserve">
</t>
        </r>
        <r>
          <rPr>
            <sz val="8"/>
            <color indexed="81"/>
            <rFont val="Tahoma"/>
            <family val="2"/>
          </rPr>
          <t>Design is automatically released to Manufacturing when completed.</t>
        </r>
        <r>
          <rPr>
            <sz val="8"/>
            <color indexed="81"/>
            <rFont val="Tahoma"/>
            <family val="2"/>
          </rPr>
          <t xml:space="preserve">
</t>
        </r>
        <r>
          <rPr>
            <b/>
            <sz val="8"/>
            <color indexed="12"/>
            <rFont val="Tahoma"/>
            <family val="2"/>
          </rPr>
          <t>Approval Required, standard file package</t>
        </r>
        <r>
          <rPr>
            <b/>
            <sz val="8"/>
            <color indexed="81"/>
            <rFont val="Tahoma"/>
            <family val="2"/>
          </rPr>
          <t xml:space="preserve">
*</t>
        </r>
        <r>
          <rPr>
            <sz val="8"/>
            <color indexed="81"/>
            <rFont val="Tahoma"/>
            <family val="2"/>
          </rPr>
          <t xml:space="preserve"> Product is not released to Mfg without explicit customer approval in writing (email acceptable)
</t>
        </r>
        <r>
          <rPr>
            <b/>
            <sz val="8"/>
            <color indexed="81"/>
            <rFont val="Tahoma"/>
            <family val="2"/>
          </rPr>
          <t>*</t>
        </r>
        <r>
          <rPr>
            <sz val="8"/>
            <color indexed="81"/>
            <rFont val="Tahoma"/>
            <family val="2"/>
          </rPr>
          <t xml:space="preserve"> Quoted lead times do not apply until customer approval is received</t>
        </r>
        <r>
          <rPr>
            <b/>
            <sz val="8"/>
            <color indexed="81"/>
            <rFont val="Tahoma"/>
            <family val="2"/>
          </rPr>
          <t xml:space="preserve">
File Pkg (emailed):</t>
        </r>
        <r>
          <rPr>
            <sz val="8"/>
            <color indexed="81"/>
            <rFont val="Tahoma"/>
            <family val="2"/>
          </rPr>
          <t xml:space="preserve"> PDF plots of layout (&amp; schematic if applicable),
 netlist file, Assembly drawing, BOM. Membrane GDS or DXF layout files available on request. </t>
        </r>
        <r>
          <rPr>
            <u/>
            <sz val="8"/>
            <color indexed="81"/>
            <rFont val="Tahoma"/>
            <family val="2"/>
          </rPr>
          <t>Native CAD &amp; production files are not supplied.</t>
        </r>
        <r>
          <rPr>
            <sz val="8"/>
            <color indexed="81"/>
            <rFont val="Tahoma"/>
            <family val="2"/>
          </rPr>
          <t xml:space="preserve">
</t>
        </r>
        <r>
          <rPr>
            <b/>
            <sz val="8"/>
            <color indexed="12"/>
            <rFont val="Tahoma"/>
            <family val="2"/>
          </rPr>
          <t>Approval Required, alternate file format</t>
        </r>
        <r>
          <rPr>
            <sz val="8"/>
            <color indexed="81"/>
            <rFont val="Tahoma"/>
            <family val="2"/>
          </rPr>
          <t xml:space="preserve">
</t>
        </r>
        <r>
          <rPr>
            <b/>
            <sz val="8"/>
            <color indexed="81"/>
            <rFont val="Tahoma"/>
            <family val="2"/>
          </rPr>
          <t>*</t>
        </r>
        <r>
          <rPr>
            <sz val="8"/>
            <color indexed="81"/>
            <rFont val="Tahoma"/>
            <family val="2"/>
          </rPr>
          <t xml:space="preserve"> Product is not released to Mfg without explicit customer approval in writing (email acceptable)
</t>
        </r>
        <r>
          <rPr>
            <b/>
            <sz val="8"/>
            <color indexed="81"/>
            <rFont val="Tahoma"/>
            <family val="2"/>
          </rPr>
          <t>*</t>
        </r>
        <r>
          <rPr>
            <sz val="8"/>
            <color indexed="81"/>
            <rFont val="Tahoma"/>
            <family val="2"/>
          </rPr>
          <t xml:space="preserve"> Quoted lead times do not apply until customer approval is received
</t>
        </r>
        <r>
          <rPr>
            <b/>
            <sz val="8"/>
            <color indexed="81"/>
            <rFont val="Tahoma"/>
            <family val="2"/>
          </rPr>
          <t>File Pkg:</t>
        </r>
        <r>
          <rPr>
            <sz val="8"/>
            <color indexed="81"/>
            <rFont val="Tahoma"/>
            <family val="2"/>
          </rPr>
          <t xml:space="preserve"> Specify
Additional charge option subject to Cascade Microtech, Inc. approval</t>
        </r>
      </text>
    </comment>
    <comment ref="BE36" authorId="0">
      <text>
        <r>
          <rPr>
            <sz val="8"/>
            <color indexed="81"/>
            <rFont val="Tahoma"/>
            <family val="2"/>
          </rPr>
          <t xml:space="preserve">Upper / Lower PCB Flag,
1=True
</t>
        </r>
      </text>
    </comment>
    <comment ref="BF36" authorId="0">
      <text>
        <r>
          <rPr>
            <sz val="8"/>
            <color indexed="81"/>
            <rFont val="Tahoma"/>
            <family val="2"/>
          </rPr>
          <t>Upper/Lower PCB Spacing.
The amount of additional depth due to U/L board combination</t>
        </r>
      </text>
    </comment>
    <comment ref="BG36" authorId="0">
      <text>
        <r>
          <rPr>
            <sz val="8"/>
            <color indexed="81"/>
            <rFont val="Tahoma"/>
            <family val="2"/>
          </rPr>
          <t>Upper PCB Thickness (In)</t>
        </r>
      </text>
    </comment>
    <comment ref="BH36" authorId="0">
      <text>
        <r>
          <rPr>
            <sz val="8"/>
            <color indexed="81"/>
            <rFont val="Tahoma"/>
            <family val="2"/>
          </rPr>
          <t>Upper PCB Thickness (mm)</t>
        </r>
      </text>
    </comment>
    <comment ref="BI36" authorId="0">
      <text>
        <r>
          <rPr>
            <sz val="8"/>
            <color indexed="81"/>
            <rFont val="Tahoma"/>
            <family val="2"/>
          </rPr>
          <t>Lower PCB Thickness (In)</t>
        </r>
      </text>
    </comment>
    <comment ref="BJ36" authorId="0">
      <text>
        <r>
          <rPr>
            <sz val="8"/>
            <color indexed="81"/>
            <rFont val="Tahoma"/>
            <family val="2"/>
          </rPr>
          <t>Lower PCB Thickness (mm)</t>
        </r>
      </text>
    </comment>
    <comment ref="BK36" authorId="0">
      <text>
        <r>
          <rPr>
            <sz val="8"/>
            <color indexed="81"/>
            <rFont val="Tahoma"/>
            <family val="2"/>
          </rPr>
          <t>PCB Edge mill Flag
Non zero value =true and is also the amount of additional probe depth</t>
        </r>
      </text>
    </comment>
    <comment ref="BL36" authorId="0">
      <text>
        <r>
          <rPr>
            <sz val="8"/>
            <color indexed="81"/>
            <rFont val="Tahoma"/>
            <family val="2"/>
          </rPr>
          <t xml:space="preserve">Error Flag
1=PCB and core are not compatible
</t>
        </r>
      </text>
    </comment>
    <comment ref="BM36" authorId="0">
      <text>
        <r>
          <rPr>
            <sz val="8"/>
            <color indexed="81"/>
            <rFont val="Tahoma"/>
            <family val="2"/>
          </rPr>
          <t xml:space="preserve">Error Flag
1=PCB and core are not compatible
</t>
        </r>
      </text>
    </comment>
    <comment ref="BX36" authorId="0">
      <text>
        <r>
          <rPr>
            <sz val="8"/>
            <color indexed="81"/>
            <rFont val="Tahoma"/>
            <family val="2"/>
          </rPr>
          <t xml:space="preserve">Flag when pinlist speeds exceed config card capabilities.
</t>
        </r>
      </text>
    </comment>
    <comment ref="BA42" authorId="1">
      <text>
        <r>
          <rPr>
            <b/>
            <sz val="9"/>
            <color indexed="81"/>
            <rFont val="Tahoma"/>
            <family val="2"/>
          </rPr>
          <t>rphilli:</t>
        </r>
        <r>
          <rPr>
            <sz val="9"/>
            <color indexed="81"/>
            <rFont val="Tahoma"/>
            <family val="2"/>
          </rPr>
          <t xml:space="preserve">
Upper/lower and edge milling options not allowed for customer designed PCB</t>
        </r>
      </text>
    </comment>
  </commentList>
</comments>
</file>

<file path=xl/comments10.xml><?xml version="1.0" encoding="utf-8"?>
<comments xmlns="http://schemas.openxmlformats.org/spreadsheetml/2006/main">
  <authors>
    <author>Phillips</author>
  </authors>
  <commentList>
    <comment ref="BA2" authorId="0">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BD6" authorId="0">
      <text>
        <r>
          <rPr>
            <sz val="8"/>
            <color indexed="81"/>
            <rFont val="Tahoma"/>
            <family val="2"/>
          </rPr>
          <t>PCB Thickness (In)</t>
        </r>
      </text>
    </comment>
    <comment ref="BB7" authorId="0">
      <text>
        <r>
          <rPr>
            <sz val="8"/>
            <color indexed="81"/>
            <rFont val="Tahoma"/>
            <family val="2"/>
          </rPr>
          <t xml:space="preserve">If core, then Accel frame size = core, otherwise user must select frame size.
</t>
        </r>
      </text>
    </comment>
    <comment ref="BC7" authorId="0">
      <text>
        <r>
          <rPr>
            <sz val="8"/>
            <color indexed="81"/>
            <rFont val="Tahoma"/>
            <family val="2"/>
          </rPr>
          <t xml:space="preserve">If core, then Accel frame size = core, otherwise user must select frame size.
</t>
        </r>
      </text>
    </comment>
  </commentList>
</comments>
</file>

<file path=xl/comments11.xml><?xml version="1.0" encoding="utf-8"?>
<comments xmlns="http://schemas.openxmlformats.org/spreadsheetml/2006/main">
  <authors>
    <author>rphilli</author>
  </authors>
  <commentList>
    <comment ref="BE7" authorId="0">
      <text>
        <r>
          <rPr>
            <sz val="9"/>
            <color indexed="81"/>
            <rFont val="Tahoma"/>
            <family val="2"/>
          </rPr>
          <t xml:space="preserve">Populates S-Parameters 
</t>
        </r>
        <r>
          <rPr>
            <b/>
            <sz val="9"/>
            <color indexed="81"/>
            <rFont val="Tahoma"/>
            <family val="2"/>
          </rPr>
          <t>Applies To:</t>
        </r>
        <r>
          <rPr>
            <sz val="9"/>
            <color indexed="81"/>
            <rFont val="Tahoma"/>
            <family val="2"/>
          </rPr>
          <t xml:space="preserve"> field
</t>
        </r>
      </text>
    </comment>
    <comment ref="D10" authorId="0">
      <text>
        <r>
          <rPr>
            <b/>
            <sz val="9"/>
            <color indexed="81"/>
            <rFont val="Tahoma"/>
            <family val="2"/>
          </rPr>
          <t>Includes:</t>
        </r>
        <r>
          <rPr>
            <sz val="9"/>
            <color indexed="81"/>
            <rFont val="Tahoma"/>
            <family val="2"/>
          </rPr>
          <t xml:space="preserve">
Alignment, Planarity, C-Res, Leakage &amp; Component values</t>
        </r>
      </text>
    </comment>
  </commentList>
</comments>
</file>

<file path=xl/comments12.xml><?xml version="1.0" encoding="utf-8"?>
<comments xmlns="http://schemas.openxmlformats.org/spreadsheetml/2006/main">
  <authors>
    <author>rphilli</author>
  </authors>
  <commentList>
    <comment ref="O5" authorId="0">
      <text>
        <r>
          <rPr>
            <b/>
            <sz val="9"/>
            <color indexed="81"/>
            <rFont val="Tahoma"/>
            <family val="2"/>
          </rPr>
          <t>dNet:</t>
        </r>
        <r>
          <rPr>
            <sz val="9"/>
            <color indexed="81"/>
            <rFont val="Tahoma"/>
            <family val="2"/>
          </rPr>
          <t xml:space="preserve">
The net of the Die pin connection</t>
        </r>
      </text>
    </comment>
    <comment ref="T5" authorId="0">
      <text>
        <r>
          <rPr>
            <b/>
            <sz val="9"/>
            <color indexed="81"/>
            <rFont val="Tahoma"/>
            <family val="2"/>
          </rPr>
          <t>mNet:</t>
        </r>
        <r>
          <rPr>
            <sz val="9"/>
            <color indexed="81"/>
            <rFont val="Tahoma"/>
            <family val="2"/>
          </rPr>
          <t xml:space="preserve">
The net connected to the first pin of a component (typically the die side). 
* Same as dNet if connected to the die.
* Same as Inet if connected to the Interface (CBI)
* Unique name if connected to another component</t>
        </r>
      </text>
    </comment>
    <comment ref="U5" authorId="0">
      <text>
        <r>
          <rPr>
            <b/>
            <sz val="9"/>
            <color indexed="81"/>
            <rFont val="Tahoma"/>
            <family val="2"/>
          </rPr>
          <t>mNet2:</t>
        </r>
        <r>
          <rPr>
            <sz val="9"/>
            <color indexed="81"/>
            <rFont val="Tahoma"/>
            <family val="2"/>
          </rPr>
          <t xml:space="preserve">
The net connected to the second pin of a component (typically the interface side). 
* Same as Inet if connected to the Interface (CBI)
* Unique name if connected to another component
* Same as dNet if connected to a die net</t>
        </r>
      </text>
    </comment>
    <comment ref="V5" authorId="0">
      <text>
        <r>
          <rPr>
            <b/>
            <sz val="9"/>
            <color indexed="81"/>
            <rFont val="Tahoma"/>
            <family val="2"/>
          </rPr>
          <t>iNet:</t>
        </r>
        <r>
          <rPr>
            <sz val="9"/>
            <color indexed="81"/>
            <rFont val="Tahoma"/>
            <family val="2"/>
          </rPr>
          <t xml:space="preserve">
The net of the Interface (CBI) connection</t>
        </r>
      </text>
    </comment>
  </commentList>
</comments>
</file>

<file path=xl/comments13.xml><?xml version="1.0" encoding="utf-8"?>
<comments xmlns="http://schemas.openxmlformats.org/spreadsheetml/2006/main">
  <authors>
    <author>Phillips</author>
  </authors>
  <commentList>
    <comment ref="A3" authorId="0">
      <text>
        <r>
          <rPr>
            <b/>
            <sz val="8"/>
            <color indexed="81"/>
            <rFont val="Tahoma"/>
            <family val="2"/>
          </rPr>
          <t>Product Rev:</t>
        </r>
        <r>
          <rPr>
            <sz val="8"/>
            <color indexed="81"/>
            <rFont val="Tahoma"/>
            <family val="2"/>
          </rPr>
          <t xml:space="preserve">
</t>
        </r>
      </text>
    </comment>
  </commentList>
</comments>
</file>

<file path=xl/comments2.xml><?xml version="1.0" encoding="utf-8"?>
<comments xmlns="http://schemas.openxmlformats.org/spreadsheetml/2006/main">
  <authors>
    <author>Jeff Arasmith</author>
    <author>Phillips</author>
    <author>rphilli</author>
    <author>Ronald Phillips</author>
    <author>Ron Phillips</author>
  </authors>
  <commentList>
    <comment ref="T1" authorId="0">
      <text>
        <r>
          <rPr>
            <b/>
            <sz val="8"/>
            <color indexed="81"/>
            <rFont val="Tahoma"/>
            <family val="2"/>
          </rPr>
          <t xml:space="preserve">Device Name: </t>
        </r>
        <r>
          <rPr>
            <sz val="8"/>
            <color indexed="81"/>
            <rFont val="Tahoma"/>
            <family val="2"/>
          </rPr>
          <t>This should be a clear name that can be used in all e-mail and the quote to distinguish this from other projects.</t>
        </r>
      </text>
    </comment>
    <comment ref="BA1" authorId="1">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T2" authorId="0">
      <text>
        <r>
          <rPr>
            <b/>
            <sz val="8"/>
            <color indexed="81"/>
            <rFont val="Tahoma"/>
            <family val="2"/>
          </rPr>
          <t>Device Type:</t>
        </r>
        <r>
          <rPr>
            <sz val="8"/>
            <color indexed="81"/>
            <rFont val="Tahoma"/>
            <family val="2"/>
          </rPr>
          <t xml:space="preserve"> The device type allows Pyramid Probe engineers and designers to consider similar designs when working on this project.
Examples:  amplifier, DAC, filter, MUX, RF switch, SerDes, TIA, transceiver, etc.</t>
        </r>
      </text>
    </comment>
    <comment ref="BF4" authorId="2">
      <text>
        <r>
          <rPr>
            <b/>
            <sz val="9"/>
            <color indexed="81"/>
            <rFont val="Tahoma"/>
            <family val="2"/>
          </rPr>
          <t>rphilli:</t>
        </r>
        <r>
          <rPr>
            <sz val="9"/>
            <color indexed="81"/>
            <rFont val="Tahoma"/>
            <family val="2"/>
          </rPr>
          <t xml:space="preserve">
Used in RFL pricing only</t>
        </r>
      </text>
    </comment>
    <comment ref="BC13" authorId="2">
      <text>
        <r>
          <rPr>
            <sz val="9"/>
            <color indexed="81"/>
            <rFont val="Tahoma"/>
            <family val="2"/>
          </rPr>
          <t xml:space="preserve">If &gt;0, change probe pad size question to bump diameter and height, and force Pad Sensitivity to No
</t>
        </r>
      </text>
    </comment>
    <comment ref="BF14" authorId="2">
      <text>
        <r>
          <rPr>
            <b/>
            <sz val="9"/>
            <color indexed="81"/>
            <rFont val="Tahoma"/>
            <family val="2"/>
          </rPr>
          <t>Dut Multiplyer</t>
        </r>
        <r>
          <rPr>
            <sz val="9"/>
            <color indexed="81"/>
            <rFont val="Tahoma"/>
            <family val="2"/>
          </rPr>
          <t xml:space="preserve">
=to Siteqty unless
Multi-dut=yes AND Pinlist contains all devices.</t>
        </r>
      </text>
    </comment>
    <comment ref="BD20" authorId="2">
      <text>
        <r>
          <rPr>
            <sz val="9"/>
            <color indexed="81"/>
            <rFont val="Tahoma"/>
            <family val="2"/>
          </rPr>
          <t xml:space="preserve">1 = Scribeline
0 = Not Scribeline
</t>
        </r>
      </text>
    </comment>
    <comment ref="B27" authorId="1">
      <text>
        <r>
          <rPr>
            <sz val="8"/>
            <color indexed="81"/>
            <rFont val="Tahoma"/>
            <family val="2"/>
          </rPr>
          <t>Power numbers controlled by "Pwr/Gnd Groups" on Pinlist page</t>
        </r>
      </text>
    </comment>
    <comment ref="D27" authorId="3">
      <text>
        <r>
          <rPr>
            <sz val="9"/>
            <color indexed="81"/>
            <rFont val="Tahoma"/>
            <family val="2"/>
          </rPr>
          <t xml:space="preserve">Net name associated with Pwr# on Pinlist page.
</t>
        </r>
        <r>
          <rPr>
            <b/>
            <sz val="9"/>
            <color indexed="81"/>
            <rFont val="Tahoma"/>
            <family val="2"/>
          </rPr>
          <t>Note:</t>
        </r>
        <r>
          <rPr>
            <sz val="9"/>
            <color indexed="81"/>
            <rFont val="Tahoma"/>
            <family val="2"/>
          </rPr>
          <t xml:space="preserve"> "0" = Indicates a power supply that has no net name on the Pinlist</t>
        </r>
      </text>
    </comment>
    <comment ref="T27" authorId="4">
      <text>
        <r>
          <rPr>
            <sz val="9"/>
            <color indexed="81"/>
            <rFont val="Tahoma"/>
            <family val="2"/>
          </rPr>
          <t>=mA/supply divided by the number of contacts on pinlist page. 
#DIV/0! Indicates no contacts found for this supply.</t>
        </r>
      </text>
    </comment>
  </commentList>
</comments>
</file>

<file path=xl/comments3.xml><?xml version="1.0" encoding="utf-8"?>
<comments xmlns="http://schemas.openxmlformats.org/spreadsheetml/2006/main">
  <authors>
    <author>Phillips</author>
    <author>rphilli</author>
  </authors>
  <commentList>
    <comment ref="A2" authorId="0">
      <text>
        <r>
          <rPr>
            <b/>
            <sz val="8"/>
            <color indexed="81"/>
            <rFont val="Tahoma"/>
            <family val="2"/>
          </rPr>
          <t xml:space="preserve">Pin Groups </t>
        </r>
        <r>
          <rPr>
            <sz val="8"/>
            <color indexed="81"/>
            <rFont val="Tahoma"/>
            <family val="2"/>
          </rPr>
          <t>facilitate grouping pins with common requirements or net connectivity.
They are also displayed as separate groups on the chart page
Note: N/C, DC and AC Linetypes may not be grouped.</t>
        </r>
      </text>
    </comment>
    <comment ref="B2" authorId="1">
      <text>
        <r>
          <rPr>
            <b/>
            <sz val="9"/>
            <color indexed="81"/>
            <rFont val="Tahoma"/>
            <family val="2"/>
          </rPr>
          <t>Line type drop-down control for Pwr</t>
        </r>
        <r>
          <rPr>
            <sz val="9"/>
            <color indexed="81"/>
            <rFont val="Tahoma"/>
            <family val="2"/>
          </rPr>
          <t xml:space="preserve">
1 allows P only
9 allows P1 to P9
10 or more allows P01 to Pmax
(useful when sorting the pinlist)</t>
        </r>
      </text>
    </comment>
    <comment ref="C2" authorId="1">
      <text>
        <r>
          <rPr>
            <b/>
            <sz val="9"/>
            <color indexed="81"/>
            <rFont val="Tahoma"/>
            <family val="2"/>
          </rPr>
          <t xml:space="preserve">Line type drop-down control for Gnd
</t>
        </r>
        <r>
          <rPr>
            <sz val="9"/>
            <color indexed="81"/>
            <rFont val="Tahoma"/>
            <family val="2"/>
          </rPr>
          <t xml:space="preserve">1 allows GND only
9 allows GND1 to GND9
10 or more allows GND01 to GNDmax
(useful when sorting the pinlist)
</t>
        </r>
      </text>
    </comment>
    <comment ref="A6" authorId="0">
      <text>
        <r>
          <rPr>
            <b/>
            <sz val="8"/>
            <color indexed="81"/>
            <rFont val="Tahoma"/>
            <family val="2"/>
          </rPr>
          <t>AC</t>
        </r>
        <r>
          <rPr>
            <sz val="8"/>
            <color indexed="81"/>
            <rFont val="Tahoma"/>
            <family val="2"/>
          </rPr>
          <t xml:space="preserve"> - Typical impedance 50-80 ohms (not tightly controlled)
</t>
        </r>
        <r>
          <rPr>
            <b/>
            <sz val="8"/>
            <color indexed="81"/>
            <rFont val="Tahoma"/>
            <family val="2"/>
          </rPr>
          <t>DC</t>
        </r>
        <r>
          <rPr>
            <sz val="8"/>
            <color indexed="81"/>
            <rFont val="Tahoma"/>
            <family val="2"/>
          </rPr>
          <t xml:space="preserve"> - Non-Impedance controlled lines
</t>
        </r>
        <r>
          <rPr>
            <b/>
            <sz val="8"/>
            <color indexed="81"/>
            <rFont val="Tahoma"/>
            <family val="2"/>
          </rPr>
          <t>RF</t>
        </r>
        <r>
          <rPr>
            <sz val="8"/>
            <color indexed="81"/>
            <rFont val="Tahoma"/>
            <family val="2"/>
          </rPr>
          <t xml:space="preserve"> - High speed or specifically controlled impedence lines
</t>
        </r>
        <r>
          <rPr>
            <b/>
            <sz val="8"/>
            <color indexed="81"/>
            <rFont val="Tahoma"/>
            <family val="2"/>
          </rPr>
          <t>GND</t>
        </r>
        <r>
          <rPr>
            <sz val="8"/>
            <color indexed="81"/>
            <rFont val="Tahoma"/>
            <family val="2"/>
          </rPr>
          <t xml:space="preserve"> or </t>
        </r>
        <r>
          <rPr>
            <b/>
            <sz val="8"/>
            <color indexed="81"/>
            <rFont val="Tahoma"/>
            <family val="2"/>
          </rPr>
          <t>P1</t>
        </r>
        <r>
          <rPr>
            <sz val="8"/>
            <color indexed="81"/>
            <rFont val="Tahoma"/>
            <family val="2"/>
          </rPr>
          <t xml:space="preserve">, </t>
        </r>
        <r>
          <rPr>
            <b/>
            <sz val="8"/>
            <color indexed="81"/>
            <rFont val="Tahoma"/>
            <family val="2"/>
          </rPr>
          <t>P2</t>
        </r>
        <r>
          <rPr>
            <sz val="8"/>
            <color indexed="81"/>
            <rFont val="Tahoma"/>
            <family val="2"/>
          </rPr>
          <t xml:space="preserve">, </t>
        </r>
        <r>
          <rPr>
            <b/>
            <sz val="8"/>
            <color indexed="81"/>
            <rFont val="Tahoma"/>
            <family val="2"/>
          </rPr>
          <t>P3</t>
        </r>
        <r>
          <rPr>
            <sz val="8"/>
            <color indexed="81"/>
            <rFont val="Tahoma"/>
            <family val="2"/>
          </rPr>
          <t xml:space="preserve">, etc - Powers &amp; ground
</t>
        </r>
        <r>
          <rPr>
            <b/>
            <sz val="8"/>
            <color indexed="81"/>
            <rFont val="Tahoma"/>
            <family val="2"/>
          </rPr>
          <t>Note:</t>
        </r>
        <r>
          <rPr>
            <sz val="8"/>
            <color indexed="81"/>
            <rFont val="Tahoma"/>
            <family val="2"/>
          </rPr>
          <t xml:space="preserve"> </t>
        </r>
        <r>
          <rPr>
            <b/>
            <sz val="8"/>
            <color indexed="81"/>
            <rFont val="Tahoma"/>
            <family val="2"/>
          </rPr>
          <t>AC</t>
        </r>
        <r>
          <rPr>
            <sz val="8"/>
            <color indexed="81"/>
            <rFont val="Tahoma"/>
            <family val="2"/>
          </rPr>
          <t xml:space="preserve">, </t>
        </r>
        <r>
          <rPr>
            <b/>
            <sz val="8"/>
            <color indexed="81"/>
            <rFont val="Tahoma"/>
            <family val="2"/>
          </rPr>
          <t>DC</t>
        </r>
        <r>
          <rPr>
            <sz val="8"/>
            <color indexed="81"/>
            <rFont val="Tahoma"/>
            <family val="2"/>
          </rPr>
          <t xml:space="preserve"> and </t>
        </r>
        <r>
          <rPr>
            <b/>
            <sz val="8"/>
            <color indexed="81"/>
            <rFont val="Tahoma"/>
            <family val="2"/>
          </rPr>
          <t>RF</t>
        </r>
        <r>
          <rPr>
            <sz val="8"/>
            <color indexed="81"/>
            <rFont val="Tahoma"/>
            <family val="2"/>
          </rPr>
          <t xml:space="preserve"> line types will be routed as independent nets unless specified otherwise. </t>
        </r>
        <r>
          <rPr>
            <b/>
            <sz val="8"/>
            <color indexed="81"/>
            <rFont val="Tahoma"/>
            <family val="2"/>
          </rPr>
          <t>Gnd</t>
        </r>
        <r>
          <rPr>
            <sz val="8"/>
            <color indexed="81"/>
            <rFont val="Tahoma"/>
            <family val="2"/>
          </rPr>
          <t xml:space="preserve"> and </t>
        </r>
        <r>
          <rPr>
            <b/>
            <sz val="8"/>
            <color indexed="81"/>
            <rFont val="Tahoma"/>
            <family val="2"/>
          </rPr>
          <t>Pwr</t>
        </r>
        <r>
          <rPr>
            <sz val="8"/>
            <color indexed="81"/>
            <rFont val="Tahoma"/>
            <family val="2"/>
          </rPr>
          <t xml:space="preserve"> line types will be routed as a single net (i.e. all P1 line types are one net, P2 is a second net, etc)</t>
        </r>
      </text>
    </comment>
    <comment ref="B6" authorId="0">
      <text>
        <r>
          <rPr>
            <b/>
            <sz val="8"/>
            <color indexed="81"/>
            <rFont val="Tahoma"/>
            <family val="2"/>
          </rPr>
          <t>Enter O</t>
        </r>
        <r>
          <rPr>
            <sz val="8"/>
            <color indexed="81"/>
            <rFont val="Tahoma"/>
            <family val="2"/>
          </rPr>
          <t xml:space="preserve"> for Orientation pin (Pin 1, A1, etc)</t>
        </r>
        <r>
          <rPr>
            <b/>
            <sz val="8"/>
            <color indexed="81"/>
            <rFont val="Tahoma"/>
            <family val="2"/>
          </rPr>
          <t xml:space="preserve"> </t>
        </r>
      </text>
    </comment>
    <comment ref="C6" authorId="0">
      <text>
        <r>
          <rPr>
            <b/>
            <sz val="8"/>
            <color indexed="81"/>
            <rFont val="Tahoma"/>
            <family val="2"/>
          </rPr>
          <t xml:space="preserve">Enter S </t>
        </r>
        <r>
          <rPr>
            <sz val="8"/>
            <color indexed="81"/>
            <rFont val="Tahoma"/>
            <family val="2"/>
          </rPr>
          <t xml:space="preserve">for Sense Points
</t>
        </r>
      </text>
    </comment>
    <comment ref="D6" authorId="0">
      <text>
        <r>
          <rPr>
            <b/>
            <sz val="8"/>
            <color indexed="81"/>
            <rFont val="Tahoma"/>
            <family val="2"/>
          </rPr>
          <t xml:space="preserve">Pad ID:  </t>
        </r>
        <r>
          <rPr>
            <sz val="8"/>
            <color indexed="81"/>
            <rFont val="Tahoma"/>
            <family val="2"/>
          </rPr>
          <t xml:space="preserve">Enter a unique Pad identifyer:
Pad Number, Alpha-Numeric, Etc
</t>
        </r>
      </text>
    </comment>
    <comment ref="E6" authorId="1">
      <text>
        <r>
          <rPr>
            <b/>
            <sz val="9"/>
            <color indexed="81"/>
            <rFont val="Tahoma"/>
            <family val="2"/>
          </rPr>
          <t xml:space="preserve">Pad Center: </t>
        </r>
        <r>
          <rPr>
            <sz val="9"/>
            <color indexed="81"/>
            <rFont val="Tahoma"/>
            <family val="2"/>
          </rPr>
          <t>Enter pad center X,Y coordinates in Microns. Use numeric data only (no formula) as the pinlist is often sorted by various columns.</t>
        </r>
      </text>
    </comment>
    <comment ref="H6" authorId="0">
      <text>
        <r>
          <rPr>
            <b/>
            <sz val="8"/>
            <color indexed="81"/>
            <rFont val="Tahoma"/>
            <family val="2"/>
          </rPr>
          <t>Net Name:</t>
        </r>
        <r>
          <rPr>
            <sz val="8"/>
            <color indexed="81"/>
            <rFont val="Tahoma"/>
            <family val="2"/>
          </rPr>
          <t xml:space="preserve">
A net name common to multiple pads will join them electrically</t>
        </r>
      </text>
    </comment>
    <comment ref="I6" authorId="0">
      <text>
        <r>
          <rPr>
            <b/>
            <sz val="8"/>
            <color indexed="81"/>
            <rFont val="Tahoma"/>
            <family val="2"/>
          </rPr>
          <t>RF line data:</t>
        </r>
        <r>
          <rPr>
            <sz val="8"/>
            <color indexed="81"/>
            <rFont val="Tahoma"/>
            <family val="2"/>
          </rPr>
          <t xml:space="preserve">
Valid only for RF line types</t>
        </r>
      </text>
    </comment>
    <comment ref="N6" authorId="0">
      <text>
        <r>
          <rPr>
            <b/>
            <sz val="8"/>
            <color indexed="81"/>
            <rFont val="Tahoma"/>
            <family val="2"/>
          </rPr>
          <t>Core line match precision:</t>
        </r>
        <r>
          <rPr>
            <sz val="8"/>
            <color indexed="81"/>
            <rFont val="Tahoma"/>
            <family val="2"/>
          </rPr>
          <t xml:space="preserve">
Specify groups (if needed) using core notes at right.</t>
        </r>
      </text>
    </comment>
    <comment ref="T6" authorId="0">
      <text>
        <r>
          <rPr>
            <sz val="8"/>
            <color indexed="81"/>
            <rFont val="Tahoma"/>
            <family val="2"/>
          </rPr>
          <t>Enter a relevant note number from the core tab (Core Note 1, Core Note 2, etc) or enter a brief instruction.</t>
        </r>
      </text>
    </comment>
    <comment ref="V6" authorId="0">
      <text>
        <r>
          <rPr>
            <b/>
            <sz val="8"/>
            <color indexed="81"/>
            <rFont val="Tahoma"/>
            <family val="2"/>
          </rPr>
          <t xml:space="preserve">CBI: </t>
        </r>
        <r>
          <rPr>
            <sz val="8"/>
            <color indexed="81"/>
            <rFont val="Tahoma"/>
            <family val="2"/>
          </rPr>
          <t>Core to Board Interface Pad ID
Leave blank unless a specific CBI connection is required.</t>
        </r>
      </text>
    </comment>
    <comment ref="W6" authorId="0">
      <text>
        <r>
          <rPr>
            <b/>
            <sz val="8"/>
            <color indexed="81"/>
            <rFont val="Tahoma"/>
            <family val="2"/>
          </rPr>
          <t>Tester Channel</t>
        </r>
        <r>
          <rPr>
            <sz val="8"/>
            <color indexed="81"/>
            <rFont val="Tahoma"/>
            <family val="2"/>
          </rPr>
          <t xml:space="preserve"> (Optional): Enter a value if a specific channel is required, or </t>
        </r>
        <r>
          <rPr>
            <b/>
            <sz val="8"/>
            <color indexed="81"/>
            <rFont val="Tahoma"/>
            <family val="2"/>
          </rPr>
          <t>BF</t>
        </r>
        <r>
          <rPr>
            <sz val="8"/>
            <color indexed="81"/>
            <rFont val="Tahoma"/>
            <family val="2"/>
          </rPr>
          <t xml:space="preserve"> for Best Fit. </t>
        </r>
      </text>
    </comment>
    <comment ref="X6" authorId="0">
      <text>
        <r>
          <rPr>
            <b/>
            <sz val="8"/>
            <color indexed="81"/>
            <rFont val="Tahoma"/>
            <family val="2"/>
          </rPr>
          <t>RF Conn Type:</t>
        </r>
        <r>
          <rPr>
            <sz val="8"/>
            <color indexed="81"/>
            <rFont val="Tahoma"/>
            <family val="2"/>
          </rPr>
          <t xml:space="preserve">
Select from list (controlled by PCB selection)</t>
        </r>
      </text>
    </comment>
    <comment ref="Y6" authorId="0">
      <text>
        <r>
          <rPr>
            <b/>
            <sz val="8"/>
            <color indexed="81"/>
            <rFont val="Tahoma"/>
            <family val="2"/>
          </rPr>
          <t>PCB Line match precision:</t>
        </r>
        <r>
          <rPr>
            <sz val="8"/>
            <color indexed="81"/>
            <rFont val="Tahoma"/>
            <family val="2"/>
          </rPr>
          <t xml:space="preserve">
Specify groups (if needed) using notes.
</t>
        </r>
        <r>
          <rPr>
            <b/>
            <sz val="8"/>
            <color indexed="81"/>
            <rFont val="Tahoma"/>
            <family val="2"/>
          </rPr>
          <t>On configured PCBs</t>
        </r>
        <r>
          <rPr>
            <sz val="8"/>
            <color indexed="81"/>
            <rFont val="Tahoma"/>
            <family val="2"/>
          </rPr>
          <t>, line match only applies to RF Conn lines.</t>
        </r>
      </text>
    </comment>
    <comment ref="AB6" authorId="0">
      <text>
        <r>
          <rPr>
            <b/>
            <sz val="8"/>
            <color indexed="81"/>
            <rFont val="Tahoma"/>
            <family val="2"/>
          </rPr>
          <t>PCB components:</t>
        </r>
        <r>
          <rPr>
            <sz val="8"/>
            <color indexed="81"/>
            <rFont val="Tahoma"/>
            <family val="2"/>
          </rPr>
          <t xml:space="preserve">
Enter basic discrete component connections.
For more complex connections, please provide a schematic.
</t>
        </r>
      </text>
    </comment>
    <comment ref="AF6" authorId="0">
      <text>
        <r>
          <rPr>
            <b/>
            <sz val="8"/>
            <color indexed="81"/>
            <rFont val="Tahoma"/>
            <family val="2"/>
          </rPr>
          <t xml:space="preserve">Fuse Value: </t>
        </r>
        <r>
          <rPr>
            <sz val="8"/>
            <color indexed="81"/>
            <rFont val="Tahoma"/>
            <family val="2"/>
          </rPr>
          <t>Valid only for power nets</t>
        </r>
      </text>
    </comment>
    <comment ref="AG6" authorId="0">
      <text>
        <r>
          <rPr>
            <sz val="8"/>
            <color indexed="81"/>
            <rFont val="Tahoma"/>
            <family val="2"/>
          </rPr>
          <t>Enter a relevant note number from the PCB tab (PCB Note 1, PCB Note 2, etc) or enter a brief instruction.</t>
        </r>
      </text>
    </comment>
    <comment ref="I7" authorId="0">
      <text>
        <r>
          <rPr>
            <sz val="9"/>
            <color indexed="81"/>
            <rFont val="Tahoma"/>
            <family val="2"/>
          </rPr>
          <t>Enter Bandwidth (Ghz)
or Risetime (PS)</t>
        </r>
        <r>
          <rPr>
            <sz val="8"/>
            <color indexed="81"/>
            <rFont val="Tahoma"/>
            <family val="2"/>
          </rPr>
          <t xml:space="preserve">
</t>
        </r>
      </text>
    </comment>
    <comment ref="K7" authorId="1">
      <text>
        <r>
          <rPr>
            <b/>
            <sz val="9"/>
            <color indexed="81"/>
            <rFont val="Tahoma"/>
            <family val="2"/>
          </rPr>
          <t>Optional:</t>
        </r>
        <r>
          <rPr>
            <sz val="9"/>
            <color indexed="81"/>
            <rFont val="Tahoma"/>
            <family val="2"/>
          </rPr>
          <t xml:space="preserve"> The default impedance of an RF line is 50 ohms single ended. Enter a value here </t>
        </r>
        <r>
          <rPr>
            <u/>
            <sz val="9"/>
            <color indexed="81"/>
            <rFont val="Tahoma"/>
            <family val="2"/>
          </rPr>
          <t>only if an alternate value is required.</t>
        </r>
        <r>
          <rPr>
            <sz val="9"/>
            <color indexed="81"/>
            <rFont val="Tahoma"/>
            <family val="2"/>
          </rPr>
          <t xml:space="preserve"> If a value is entered, specify the mode in the next column.</t>
        </r>
      </text>
    </comment>
    <comment ref="L7" authorId="0">
      <text>
        <r>
          <rPr>
            <b/>
            <sz val="8"/>
            <color indexed="81"/>
            <rFont val="Tahoma"/>
            <family val="2"/>
          </rPr>
          <t>Iimpedance mode:</t>
        </r>
        <r>
          <rPr>
            <sz val="8"/>
            <color indexed="81"/>
            <rFont val="Tahoma"/>
            <family val="2"/>
          </rPr>
          <t xml:space="preserve"> (use only if the impedance &lt;&gt;50 ohms. Enter </t>
        </r>
        <r>
          <rPr>
            <b/>
            <sz val="8"/>
            <color indexed="81"/>
            <rFont val="Tahoma"/>
            <family val="2"/>
          </rPr>
          <t>SE</t>
        </r>
        <r>
          <rPr>
            <sz val="8"/>
            <color indexed="81"/>
            <rFont val="Tahoma"/>
            <family val="2"/>
          </rPr>
          <t xml:space="preserve"> for </t>
        </r>
        <r>
          <rPr>
            <b/>
            <sz val="8"/>
            <color indexed="81"/>
            <rFont val="Tahoma"/>
            <family val="2"/>
          </rPr>
          <t>S</t>
        </r>
        <r>
          <rPr>
            <sz val="8"/>
            <color indexed="81"/>
            <rFont val="Tahoma"/>
            <family val="2"/>
          </rPr>
          <t xml:space="preserve">ingle </t>
        </r>
        <r>
          <rPr>
            <b/>
            <sz val="8"/>
            <color indexed="81"/>
            <rFont val="Tahoma"/>
            <family val="2"/>
          </rPr>
          <t>E</t>
        </r>
        <r>
          <rPr>
            <sz val="8"/>
            <color indexed="81"/>
            <rFont val="Tahoma"/>
            <family val="2"/>
          </rPr>
          <t xml:space="preserve">nded or </t>
        </r>
        <r>
          <rPr>
            <b/>
            <sz val="8"/>
            <color indexed="81"/>
            <rFont val="Tahoma"/>
            <family val="2"/>
          </rPr>
          <t>Diff</t>
        </r>
        <r>
          <rPr>
            <sz val="8"/>
            <color indexed="81"/>
            <rFont val="Tahoma"/>
            <family val="2"/>
          </rPr>
          <t xml:space="preserve"> for differential</t>
        </r>
      </text>
    </comment>
    <comment ref="M7" authorId="0">
      <text>
        <r>
          <rPr>
            <b/>
            <sz val="8"/>
            <color indexed="81"/>
            <rFont val="Tahoma"/>
            <family val="2"/>
          </rPr>
          <t>Optional:</t>
        </r>
        <r>
          <rPr>
            <sz val="8"/>
            <color indexed="81"/>
            <rFont val="Tahoma"/>
            <family val="2"/>
          </rPr>
          <t xml:space="preserve"> Enter value only if the RF line power requirement exceeds 36dbm
</t>
        </r>
      </text>
    </comment>
    <comment ref="O7" authorId="1">
      <text>
        <r>
          <rPr>
            <b/>
            <sz val="9"/>
            <color indexed="81"/>
            <rFont val="Tahoma"/>
            <family val="2"/>
          </rPr>
          <t>Thin Film Inductors:</t>
        </r>
        <r>
          <rPr>
            <sz val="9"/>
            <color indexed="81"/>
            <rFont val="Tahoma"/>
            <family val="2"/>
          </rPr>
          <t xml:space="preserve">
Enter </t>
        </r>
        <r>
          <rPr>
            <b/>
            <u/>
            <sz val="9"/>
            <color indexed="81"/>
            <rFont val="Tahoma"/>
            <family val="2"/>
          </rPr>
          <t>F</t>
        </r>
        <r>
          <rPr>
            <sz val="9"/>
            <color indexed="81"/>
            <rFont val="Tahoma"/>
            <family val="2"/>
          </rPr>
          <t xml:space="preserve">ixed, </t>
        </r>
        <r>
          <rPr>
            <b/>
            <u/>
            <sz val="9"/>
            <color indexed="81"/>
            <rFont val="Tahoma"/>
            <family val="2"/>
          </rPr>
          <t>T</t>
        </r>
        <r>
          <rPr>
            <sz val="9"/>
            <color indexed="81"/>
            <rFont val="Tahoma"/>
            <family val="2"/>
          </rPr>
          <t xml:space="preserve">rimable (+/-100pH) or </t>
        </r>
        <r>
          <rPr>
            <b/>
            <u/>
            <sz val="9"/>
            <color indexed="81"/>
            <rFont val="Tahoma"/>
            <family val="2"/>
          </rPr>
          <t>P</t>
        </r>
        <r>
          <rPr>
            <sz val="9"/>
            <color indexed="81"/>
            <rFont val="Tahoma"/>
            <family val="2"/>
          </rPr>
          <t xml:space="preserve">recision Trimable (+/-50pH)
Enter the inductor value in the </t>
        </r>
        <r>
          <rPr>
            <b/>
            <sz val="9"/>
            <color indexed="81"/>
            <rFont val="Tahoma"/>
            <family val="2"/>
          </rPr>
          <t>Value</t>
        </r>
        <r>
          <rPr>
            <sz val="9"/>
            <color indexed="81"/>
            <rFont val="Tahoma"/>
            <family val="2"/>
          </rPr>
          <t xml:space="preserve"> column, and operating frequency in the </t>
        </r>
        <r>
          <rPr>
            <b/>
            <sz val="9"/>
            <color indexed="81"/>
            <rFont val="Tahoma"/>
            <family val="2"/>
          </rPr>
          <t>Core Notes</t>
        </r>
        <r>
          <rPr>
            <sz val="9"/>
            <color indexed="81"/>
            <rFont val="Tahoma"/>
            <family val="2"/>
          </rPr>
          <t xml:space="preserve"> column.</t>
        </r>
      </text>
    </comment>
    <comment ref="P7" authorId="1">
      <text>
        <r>
          <rPr>
            <b/>
            <sz val="9"/>
            <color indexed="81"/>
            <rFont val="Tahoma"/>
            <family val="2"/>
          </rPr>
          <t xml:space="preserve">Value: </t>
        </r>
        <r>
          <rPr>
            <sz val="9"/>
            <color indexed="81"/>
            <rFont val="Tahoma"/>
            <family val="2"/>
          </rPr>
          <t>Enter component value. Component type is implied.</t>
        </r>
      </text>
    </comment>
    <comment ref="Q7" authorId="0">
      <text>
        <r>
          <rPr>
            <b/>
            <sz val="8"/>
            <color indexed="81"/>
            <rFont val="Tahoma"/>
            <family val="2"/>
          </rPr>
          <t>Connects to...</t>
        </r>
        <r>
          <rPr>
            <sz val="8"/>
            <color indexed="81"/>
            <rFont val="Tahoma"/>
            <family val="2"/>
          </rPr>
          <t xml:space="preserve">
Enter a </t>
        </r>
        <r>
          <rPr>
            <b/>
            <sz val="8"/>
            <color indexed="81"/>
            <rFont val="Tahoma"/>
            <family val="2"/>
          </rPr>
          <t>Net Name</t>
        </r>
        <r>
          <rPr>
            <sz val="8"/>
            <color indexed="81"/>
            <rFont val="Tahoma"/>
            <family val="2"/>
          </rPr>
          <t xml:space="preserve"> (VCC, Gnd, etc), </t>
        </r>
        <r>
          <rPr>
            <b/>
            <sz val="8"/>
            <color indexed="81"/>
            <rFont val="Tahoma"/>
            <family val="2"/>
          </rPr>
          <t>Pad Name</t>
        </r>
        <r>
          <rPr>
            <sz val="8"/>
            <color indexed="81"/>
            <rFont val="Tahoma"/>
            <family val="2"/>
          </rPr>
          <t>, '</t>
        </r>
        <r>
          <rPr>
            <b/>
            <sz val="8"/>
            <color indexed="81"/>
            <rFont val="Tahoma"/>
            <family val="2"/>
          </rPr>
          <t>Series'</t>
        </r>
        <r>
          <rPr>
            <sz val="8"/>
            <color indexed="81"/>
            <rFont val="Tahoma"/>
            <family val="2"/>
          </rPr>
          <t>, or alternate connection point</t>
        </r>
      </text>
    </comment>
    <comment ref="R7" authorId="1">
      <text>
        <r>
          <rPr>
            <b/>
            <sz val="9"/>
            <color indexed="81"/>
            <rFont val="Tahoma"/>
            <family val="2"/>
          </rPr>
          <t xml:space="preserve">Value: </t>
        </r>
        <r>
          <rPr>
            <sz val="9"/>
            <color indexed="81"/>
            <rFont val="Tahoma"/>
            <family val="2"/>
          </rPr>
          <t>Enter component value. Component type is implied.</t>
        </r>
      </text>
    </comment>
    <comment ref="S7" authorId="0">
      <text>
        <r>
          <rPr>
            <b/>
            <sz val="8"/>
            <color indexed="81"/>
            <rFont val="Tahoma"/>
            <family val="2"/>
          </rPr>
          <t>Connects to...</t>
        </r>
        <r>
          <rPr>
            <sz val="8"/>
            <color indexed="81"/>
            <rFont val="Tahoma"/>
            <family val="2"/>
          </rPr>
          <t xml:space="preserve">
Enter a </t>
        </r>
        <r>
          <rPr>
            <b/>
            <sz val="8"/>
            <color indexed="81"/>
            <rFont val="Tahoma"/>
            <family val="2"/>
          </rPr>
          <t>Net Name</t>
        </r>
        <r>
          <rPr>
            <sz val="8"/>
            <color indexed="81"/>
            <rFont val="Tahoma"/>
            <family val="2"/>
          </rPr>
          <t xml:space="preserve"> (VCC, Gnd, etc), </t>
        </r>
        <r>
          <rPr>
            <b/>
            <sz val="8"/>
            <color indexed="81"/>
            <rFont val="Tahoma"/>
            <family val="2"/>
          </rPr>
          <t>Pad Name</t>
        </r>
        <r>
          <rPr>
            <sz val="8"/>
            <color indexed="81"/>
            <rFont val="Tahoma"/>
            <family val="2"/>
          </rPr>
          <t>, '</t>
        </r>
        <r>
          <rPr>
            <b/>
            <sz val="8"/>
            <color indexed="81"/>
            <rFont val="Tahoma"/>
            <family val="2"/>
          </rPr>
          <t>Series'</t>
        </r>
        <r>
          <rPr>
            <sz val="8"/>
            <color indexed="81"/>
            <rFont val="Tahoma"/>
            <family val="2"/>
          </rPr>
          <t>, or alternate connection point</t>
        </r>
      </text>
    </comment>
    <comment ref="Z7" authorId="0">
      <text>
        <r>
          <rPr>
            <b/>
            <sz val="8"/>
            <color indexed="81"/>
            <rFont val="Tahoma"/>
            <family val="2"/>
          </rPr>
          <t>Non-RF Conn Type:</t>
        </r>
        <r>
          <rPr>
            <sz val="8"/>
            <color indexed="81"/>
            <rFont val="Tahoma"/>
            <family val="2"/>
          </rPr>
          <t xml:space="preserve">
Header, D-sub, etc.</t>
        </r>
      </text>
    </comment>
    <comment ref="AA7" authorId="0">
      <text>
        <r>
          <rPr>
            <b/>
            <sz val="8"/>
            <color indexed="81"/>
            <rFont val="Tahoma"/>
            <family val="2"/>
          </rPr>
          <t xml:space="preserve">RefDes &amp; Pin#: </t>
        </r>
        <r>
          <rPr>
            <sz val="8"/>
            <color indexed="81"/>
            <rFont val="Tahoma"/>
            <family val="2"/>
          </rPr>
          <t xml:space="preserve">Enter connector reference designator and pin (J2.25 for example) or </t>
        </r>
        <r>
          <rPr>
            <b/>
            <sz val="8"/>
            <color indexed="81"/>
            <rFont val="Tahoma"/>
            <family val="2"/>
          </rPr>
          <t>BF</t>
        </r>
        <r>
          <rPr>
            <sz val="8"/>
            <color indexed="81"/>
            <rFont val="Tahoma"/>
            <family val="2"/>
          </rPr>
          <t xml:space="preserve"> for Best Fit.</t>
        </r>
      </text>
    </comment>
    <comment ref="AB7" authorId="1">
      <text>
        <r>
          <rPr>
            <b/>
            <sz val="9"/>
            <color indexed="81"/>
            <rFont val="Tahoma"/>
            <family val="2"/>
          </rPr>
          <t xml:space="preserve">Value: </t>
        </r>
        <r>
          <rPr>
            <sz val="9"/>
            <color indexed="81"/>
            <rFont val="Tahoma"/>
            <family val="2"/>
          </rPr>
          <t>Enter component value. Component type is implied.</t>
        </r>
      </text>
    </comment>
    <comment ref="AC7" authorId="0">
      <text>
        <r>
          <rPr>
            <b/>
            <sz val="8"/>
            <color indexed="81"/>
            <rFont val="Tahoma"/>
            <family val="2"/>
          </rPr>
          <t>Connects to...</t>
        </r>
        <r>
          <rPr>
            <sz val="8"/>
            <color indexed="81"/>
            <rFont val="Tahoma"/>
            <family val="2"/>
          </rPr>
          <t xml:space="preserve">
Enter a </t>
        </r>
        <r>
          <rPr>
            <b/>
            <sz val="8"/>
            <color indexed="81"/>
            <rFont val="Tahoma"/>
            <family val="2"/>
          </rPr>
          <t>Net Name</t>
        </r>
        <r>
          <rPr>
            <sz val="8"/>
            <color indexed="81"/>
            <rFont val="Tahoma"/>
            <family val="2"/>
          </rPr>
          <t xml:space="preserve"> (VCC, Gnd, etc), </t>
        </r>
        <r>
          <rPr>
            <b/>
            <sz val="8"/>
            <color indexed="81"/>
            <rFont val="Tahoma"/>
            <family val="2"/>
          </rPr>
          <t>Pad Name</t>
        </r>
        <r>
          <rPr>
            <sz val="8"/>
            <color indexed="81"/>
            <rFont val="Tahoma"/>
            <family val="2"/>
          </rPr>
          <t>, '</t>
        </r>
        <r>
          <rPr>
            <b/>
            <sz val="8"/>
            <color indexed="81"/>
            <rFont val="Tahoma"/>
            <family val="2"/>
          </rPr>
          <t>Series'</t>
        </r>
        <r>
          <rPr>
            <sz val="8"/>
            <color indexed="81"/>
            <rFont val="Tahoma"/>
            <family val="2"/>
          </rPr>
          <t>, or alternate connection point</t>
        </r>
      </text>
    </comment>
    <comment ref="AD7" authorId="1">
      <text>
        <r>
          <rPr>
            <b/>
            <sz val="9"/>
            <color indexed="81"/>
            <rFont val="Tahoma"/>
            <family val="2"/>
          </rPr>
          <t xml:space="preserve">Value: </t>
        </r>
        <r>
          <rPr>
            <sz val="9"/>
            <color indexed="81"/>
            <rFont val="Tahoma"/>
            <family val="2"/>
          </rPr>
          <t>Enter component value. Component type is implied.</t>
        </r>
      </text>
    </comment>
    <comment ref="AE7" authorId="0">
      <text>
        <r>
          <rPr>
            <b/>
            <sz val="8"/>
            <color indexed="81"/>
            <rFont val="Tahoma"/>
            <family val="2"/>
          </rPr>
          <t>Connects to...</t>
        </r>
        <r>
          <rPr>
            <sz val="8"/>
            <color indexed="81"/>
            <rFont val="Tahoma"/>
            <family val="2"/>
          </rPr>
          <t xml:space="preserve">
Enter a </t>
        </r>
        <r>
          <rPr>
            <b/>
            <sz val="8"/>
            <color indexed="81"/>
            <rFont val="Tahoma"/>
            <family val="2"/>
          </rPr>
          <t>Net Name</t>
        </r>
        <r>
          <rPr>
            <sz val="8"/>
            <color indexed="81"/>
            <rFont val="Tahoma"/>
            <family val="2"/>
          </rPr>
          <t xml:space="preserve"> (VCC, Gnd, etc), </t>
        </r>
        <r>
          <rPr>
            <b/>
            <sz val="8"/>
            <color indexed="81"/>
            <rFont val="Tahoma"/>
            <family val="2"/>
          </rPr>
          <t>Pad Name</t>
        </r>
        <r>
          <rPr>
            <sz val="8"/>
            <color indexed="81"/>
            <rFont val="Tahoma"/>
            <family val="2"/>
          </rPr>
          <t>, '</t>
        </r>
        <r>
          <rPr>
            <b/>
            <sz val="8"/>
            <color indexed="81"/>
            <rFont val="Tahoma"/>
            <family val="2"/>
          </rPr>
          <t>Series'</t>
        </r>
        <r>
          <rPr>
            <sz val="8"/>
            <color indexed="81"/>
            <rFont val="Tahoma"/>
            <family val="2"/>
          </rPr>
          <t>, or alternate connection point</t>
        </r>
      </text>
    </comment>
  </commentList>
</comments>
</file>

<file path=xl/comments4.xml><?xml version="1.0" encoding="utf-8"?>
<comments xmlns="http://schemas.openxmlformats.org/spreadsheetml/2006/main">
  <authors>
    <author>rphilli</author>
    <author>Ron Phillips</author>
    <author>Ronald Phillips</author>
    <author>Phillips</author>
  </authors>
  <commentList>
    <comment ref="CT2" authorId="0">
      <text>
        <r>
          <rPr>
            <sz val="9"/>
            <color indexed="81"/>
            <rFont val="Tahoma"/>
            <family val="2"/>
          </rPr>
          <t>in radians</t>
        </r>
      </text>
    </comment>
    <comment ref="CU2" authorId="0">
      <text>
        <r>
          <rPr>
            <sz val="9"/>
            <color indexed="81"/>
            <rFont val="Tahoma"/>
            <family val="2"/>
          </rPr>
          <t>Resulting X if rotation CT31 is removed</t>
        </r>
      </text>
    </comment>
    <comment ref="CV2" authorId="0">
      <text>
        <r>
          <rPr>
            <sz val="9"/>
            <color indexed="81"/>
            <rFont val="Tahoma"/>
            <family val="2"/>
          </rPr>
          <t>Resulting Y if rotation  CT31 is removed</t>
        </r>
      </text>
    </comment>
    <comment ref="CK3" authorId="0">
      <text>
        <r>
          <rPr>
            <sz val="9"/>
            <color indexed="81"/>
            <rFont val="Tahoma"/>
            <family val="2"/>
          </rPr>
          <t xml:space="preserve">Top Right:
1/2 die pattern size
</t>
        </r>
      </text>
    </comment>
    <comment ref="CL3" authorId="0">
      <text>
        <r>
          <rPr>
            <sz val="9"/>
            <color indexed="81"/>
            <rFont val="Tahoma"/>
            <family val="2"/>
          </rPr>
          <t xml:space="preserve">Top Right:
1/2 die pattern size
</t>
        </r>
      </text>
    </comment>
    <comment ref="DB3" authorId="0">
      <text>
        <r>
          <rPr>
            <sz val="9"/>
            <color indexed="81"/>
            <rFont val="Tahoma"/>
            <family val="2"/>
          </rPr>
          <t>Some stagger settings require dut 1 info to calculate the pattern extents.</t>
        </r>
      </text>
    </comment>
    <comment ref="BI6" authorId="0">
      <text>
        <r>
          <rPr>
            <b/>
            <sz val="9"/>
            <color indexed="81"/>
            <rFont val="Tahoma"/>
            <family val="2"/>
          </rPr>
          <t>Die Probe Area dims:</t>
        </r>
        <r>
          <rPr>
            <sz val="9"/>
            <color indexed="81"/>
            <rFont val="Tahoma"/>
            <family val="2"/>
          </rPr>
          <t xml:space="preserve">
Checked against core max probe area</t>
        </r>
      </text>
    </comment>
    <comment ref="DB6" authorId="0">
      <text>
        <r>
          <rPr>
            <sz val="9"/>
            <color indexed="81"/>
            <rFont val="Tahoma"/>
            <family val="2"/>
          </rPr>
          <t>Some stagger settings require dut 2 info to calculate the pattern extents.</t>
        </r>
      </text>
    </comment>
    <comment ref="BL9" authorId="0">
      <text>
        <r>
          <rPr>
            <sz val="9"/>
            <color indexed="81"/>
            <rFont val="Tahoma"/>
            <family val="2"/>
          </rPr>
          <t>Non zero value =
Die pattern exceeds selected core's probe area.
Used as warning on chart</t>
        </r>
      </text>
    </comment>
    <comment ref="DB9" authorId="0">
      <text>
        <r>
          <rPr>
            <sz val="9"/>
            <color indexed="81"/>
            <rFont val="Tahoma"/>
            <family val="2"/>
          </rPr>
          <t xml:space="preserve">Used to calculate the pattern angle 99% of the time.
</t>
        </r>
      </text>
    </comment>
    <comment ref="CU10" authorId="0">
      <text>
        <r>
          <rPr>
            <sz val="9"/>
            <color indexed="81"/>
            <rFont val="Tahoma"/>
            <family val="2"/>
          </rPr>
          <t>New XY boundary box  rotated back to original angle</t>
        </r>
      </text>
    </comment>
    <comment ref="O13" authorId="1">
      <text>
        <r>
          <rPr>
            <sz val="9"/>
            <color indexed="81"/>
            <rFont val="Tahoma"/>
            <family val="2"/>
          </rPr>
          <t>Balance pattern = Yes places 0,0 at the position that equalizes the pressure on all tips. This location will become the center of the core face.</t>
        </r>
        <r>
          <rPr>
            <sz val="9"/>
            <color indexed="81"/>
            <rFont val="Tahoma"/>
            <family val="2"/>
          </rPr>
          <t xml:space="preserve">
</t>
        </r>
      </text>
    </comment>
    <comment ref="CT16" authorId="0">
      <text>
        <r>
          <rPr>
            <sz val="9"/>
            <color indexed="81"/>
            <rFont val="Tahoma"/>
            <family val="2"/>
          </rPr>
          <t xml:space="preserve">For display on chart page
</t>
        </r>
      </text>
    </comment>
    <comment ref="CT17" authorId="0">
      <text>
        <r>
          <rPr>
            <sz val="9"/>
            <color indexed="81"/>
            <rFont val="Tahoma"/>
            <family val="2"/>
          </rPr>
          <t xml:space="preserve">For display on chart page
</t>
        </r>
      </text>
    </comment>
    <comment ref="CU17" authorId="0">
      <text>
        <r>
          <rPr>
            <sz val="9"/>
            <color indexed="81"/>
            <rFont val="Tahoma"/>
            <family val="2"/>
          </rPr>
          <t xml:space="preserve">Radians
</t>
        </r>
      </text>
    </comment>
    <comment ref="CV17" authorId="0">
      <text>
        <r>
          <rPr>
            <sz val="9"/>
            <color indexed="81"/>
            <rFont val="Tahoma"/>
            <family val="2"/>
          </rPr>
          <t xml:space="preserve">Degrees
</t>
        </r>
      </text>
    </comment>
    <comment ref="CP19" authorId="0">
      <text>
        <r>
          <rPr>
            <sz val="9"/>
            <color indexed="81"/>
            <rFont val="Tahoma"/>
            <family val="2"/>
          </rPr>
          <t>When true, Step Control applies to dies 2, 4, 6, etc instead of 1, 3, 5, etc</t>
        </r>
      </text>
    </comment>
    <comment ref="BM26" authorId="0">
      <text>
        <r>
          <rPr>
            <sz val="9"/>
            <color indexed="81"/>
            <rFont val="Tahoma"/>
            <family val="2"/>
          </rPr>
          <t>Total entries with valid linetypes</t>
        </r>
        <r>
          <rPr>
            <b/>
            <sz val="9"/>
            <color indexed="81"/>
            <rFont val="Tahoma"/>
            <family val="2"/>
          </rPr>
          <t xml:space="preserve">
</t>
        </r>
        <r>
          <rPr>
            <sz val="9"/>
            <color indexed="81"/>
            <rFont val="Tahoma"/>
            <family val="2"/>
          </rPr>
          <t xml:space="preserve">
</t>
        </r>
      </text>
    </comment>
    <comment ref="BN26" authorId="0">
      <text>
        <r>
          <rPr>
            <b/>
            <sz val="9"/>
            <color indexed="81"/>
            <rFont val="Tahoma"/>
            <family val="2"/>
          </rPr>
          <t>Error check:</t>
        </r>
        <r>
          <rPr>
            <sz val="9"/>
            <color indexed="81"/>
            <rFont val="Tahoma"/>
            <family val="2"/>
          </rPr>
          <t xml:space="preserve">
Compare count of X coordinates on Pinlist page. Notify user if not the same as total entries. 
</t>
        </r>
      </text>
    </comment>
    <comment ref="BM27" authorId="0">
      <text>
        <r>
          <rPr>
            <b/>
            <sz val="9"/>
            <color indexed="81"/>
            <rFont val="Tahoma"/>
            <family val="2"/>
          </rPr>
          <t xml:space="preserve">DieBumpQty:
</t>
        </r>
        <r>
          <rPr>
            <sz val="9"/>
            <color indexed="81"/>
            <rFont val="Tahoma"/>
            <family val="2"/>
          </rPr>
          <t xml:space="preserve">This value is copied to the core page and defined there. ADAT won't read hidden named values.
</t>
        </r>
      </text>
    </comment>
    <comment ref="CS30" authorId="0">
      <text>
        <r>
          <rPr>
            <sz val="9"/>
            <color indexed="81"/>
            <rFont val="Tahoma"/>
            <family val="2"/>
          </rPr>
          <t>Used to change the XY coordinate used for point 1, 2, 3 &amp; 4 (see pic above)</t>
        </r>
      </text>
    </comment>
    <comment ref="BJ31" authorId="1">
      <text>
        <r>
          <rPr>
            <sz val="9"/>
            <color indexed="81"/>
            <rFont val="Tahoma"/>
            <family val="2"/>
          </rPr>
          <t>Used only to determine CBI usage (only subtracts one CBI point for each RF under 1Ghz)</t>
        </r>
        <r>
          <rPr>
            <sz val="9"/>
            <color indexed="81"/>
            <rFont val="Tahoma"/>
            <family val="2"/>
          </rPr>
          <t xml:space="preserve">
</t>
        </r>
      </text>
    </comment>
    <comment ref="BO32" authorId="1">
      <text>
        <r>
          <rPr>
            <sz val="9"/>
            <color indexed="81"/>
            <rFont val="Tahoma"/>
            <family val="2"/>
          </rPr>
          <t xml:space="preserve">Maximum speed on Pinlist. Used to determine if config card is compatible
</t>
        </r>
      </text>
    </comment>
    <comment ref="CP34" authorId="0">
      <text>
        <r>
          <rPr>
            <sz val="9"/>
            <color indexed="81"/>
            <rFont val="Tahoma"/>
            <family val="2"/>
          </rPr>
          <t xml:space="preserve">White dots plotted on multi-dut chart to ensure the X and Y axis have the same scale.
Dots are offset to center the pattern.
</t>
        </r>
      </text>
    </comment>
    <comment ref="CU35" authorId="2">
      <text>
        <r>
          <rPr>
            <sz val="9"/>
            <color indexed="81"/>
            <rFont val="Tahoma"/>
            <family val="2"/>
          </rPr>
          <t xml:space="preserve">The correct coordinate for a given point (#'s 1 thru 4 in the picture above) depend on the pattern orientation. This section calculates the correct offset.
</t>
        </r>
      </text>
    </comment>
    <comment ref="BK37" authorId="0">
      <text>
        <r>
          <rPr>
            <b/>
            <sz val="9"/>
            <color indexed="81"/>
            <rFont val="Tahoma"/>
            <family val="2"/>
          </rPr>
          <t>rphilli:</t>
        </r>
        <r>
          <rPr>
            <sz val="9"/>
            <color indexed="81"/>
            <rFont val="Tahoma"/>
            <family val="2"/>
          </rPr>
          <t xml:space="preserve">
Any speed above BH34</t>
        </r>
      </text>
    </comment>
    <comment ref="CU37" authorId="2">
      <text>
        <r>
          <rPr>
            <sz val="9"/>
            <color indexed="81"/>
            <rFont val="Tahoma"/>
            <family val="2"/>
          </rPr>
          <t xml:space="preserve">If die 1 does not lie on the line between 1s and last dies, one of the coordinates (either 2 or 4) must be taken from die 1  (i.e. die 1 has changed the  size of the boundry box)
</t>
        </r>
      </text>
    </comment>
    <comment ref="CV42" authorId="0">
      <text>
        <r>
          <rPr>
            <sz val="9"/>
            <color indexed="81"/>
            <rFont val="Tahoma"/>
            <family val="2"/>
          </rPr>
          <t>Disable if die count is 2 or less</t>
        </r>
        <r>
          <rPr>
            <sz val="9"/>
            <color indexed="81"/>
            <rFont val="Tahoma"/>
            <family val="2"/>
          </rPr>
          <t xml:space="preserve">
</t>
        </r>
      </text>
    </comment>
    <comment ref="N52" authorId="3">
      <text>
        <r>
          <rPr>
            <sz val="8"/>
            <color indexed="81"/>
            <rFont val="Tahoma"/>
            <family val="2"/>
          </rPr>
          <t>Alters the position every other die</t>
        </r>
      </text>
    </comment>
  </commentList>
</comments>
</file>

<file path=xl/comments5.xml><?xml version="1.0" encoding="utf-8"?>
<comments xmlns="http://schemas.openxmlformats.org/spreadsheetml/2006/main">
  <authors>
    <author>Ron Phillips</author>
    <author>rphilli</author>
  </authors>
  <commentList>
    <comment ref="BH2" authorId="0">
      <text>
        <r>
          <rPr>
            <b/>
            <sz val="9"/>
            <color indexed="81"/>
            <rFont val="Tahoma"/>
            <family val="2"/>
          </rPr>
          <t>Rect Config:</t>
        </r>
        <r>
          <rPr>
            <sz val="9"/>
            <color indexed="81"/>
            <rFont val="Tahoma"/>
            <family val="2"/>
          </rPr>
          <t xml:space="preserve">
Change drop down</t>
        </r>
      </text>
    </comment>
    <comment ref="BC24" authorId="0">
      <text>
        <r>
          <rPr>
            <b/>
            <sz val="9"/>
            <color indexed="81"/>
            <rFont val="Tahoma"/>
            <family val="2"/>
          </rPr>
          <t>Config:</t>
        </r>
        <r>
          <rPr>
            <sz val="9"/>
            <color indexed="81"/>
            <rFont val="Tahoma"/>
            <family val="2"/>
          </rPr>
          <t xml:space="preserve">
Pin 1 is preset based on which config card is selected.</t>
        </r>
      </text>
    </comment>
    <comment ref="BC35" authorId="1">
      <text>
        <r>
          <rPr>
            <sz val="9"/>
            <color indexed="81"/>
            <rFont val="Tahoma"/>
            <family val="2"/>
          </rPr>
          <t xml:space="preserve">Chart axis is locked at min=-.5, max=.5
Die coords are rescaled to fit within this range.
</t>
        </r>
      </text>
    </comment>
  </commentList>
</comments>
</file>

<file path=xl/comments6.xml><?xml version="1.0" encoding="utf-8"?>
<comments xmlns="http://schemas.openxmlformats.org/spreadsheetml/2006/main">
  <authors>
    <author>Phillips</author>
    <author>rphilli</author>
    <author>Ron Phillips</author>
    <author>Jeff Arasmith</author>
  </authors>
  <commentList>
    <comment ref="BA1" authorId="0">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BH6" authorId="1">
      <text>
        <r>
          <rPr>
            <b/>
            <sz val="9"/>
            <color indexed="81"/>
            <rFont val="Tahoma"/>
            <family val="2"/>
          </rPr>
          <t>rphilli:</t>
        </r>
        <r>
          <rPr>
            <sz val="9"/>
            <color indexed="81"/>
            <rFont val="Tahoma"/>
            <family val="2"/>
          </rPr>
          <t xml:space="preserve">
Used for RFL pricing only</t>
        </r>
      </text>
    </comment>
    <comment ref="S9" authorId="2">
      <text>
        <r>
          <rPr>
            <sz val="9"/>
            <color indexed="81"/>
            <rFont val="Tahoma"/>
            <family val="2"/>
          </rPr>
          <t>Total power nets + Gnd nets that are not part of the ground ring</t>
        </r>
      </text>
    </comment>
    <comment ref="BB15" authorId="1">
      <text>
        <r>
          <rPr>
            <sz val="9"/>
            <color indexed="81"/>
            <rFont val="Tahoma"/>
            <family val="2"/>
          </rPr>
          <t xml:space="preserve">Used by the "core frame window or shim kit required" message
</t>
        </r>
      </text>
    </comment>
    <comment ref="I16" authorId="3">
      <text>
        <r>
          <rPr>
            <b/>
            <sz val="8"/>
            <color indexed="81"/>
            <rFont val="Tahoma"/>
            <family val="2"/>
          </rPr>
          <t>Edge sense:</t>
        </r>
        <r>
          <rPr>
            <sz val="8"/>
            <color indexed="81"/>
            <rFont val="Tahoma"/>
            <family val="2"/>
          </rPr>
          <t xml:space="preserve"> This is only necessary for manual probe stations.</t>
        </r>
      </text>
    </comment>
    <comment ref="I18" authorId="3">
      <text>
        <r>
          <rPr>
            <b/>
            <sz val="8"/>
            <color indexed="81"/>
            <rFont val="Tahoma"/>
            <family val="2"/>
          </rPr>
          <t xml:space="preserve">Core Frame Window: </t>
        </r>
        <r>
          <rPr>
            <sz val="8"/>
            <color indexed="81"/>
            <rFont val="Tahoma"/>
            <family val="2"/>
          </rPr>
          <t>This is only necessary when probing below freezing.  It forms a vapor barrier over the plunger.</t>
        </r>
      </text>
    </comment>
    <comment ref="CD18" authorId="1">
      <text>
        <r>
          <rPr>
            <b/>
            <sz val="9"/>
            <color indexed="81"/>
            <rFont val="Tahoma"/>
            <family val="2"/>
          </rPr>
          <t>Core I/O evaluation:</t>
        </r>
        <r>
          <rPr>
            <sz val="9"/>
            <color indexed="81"/>
            <rFont val="Tahoma"/>
            <family val="2"/>
          </rPr>
          <t xml:space="preserve">
Warning if I/O limits exceeded.</t>
        </r>
      </text>
    </comment>
    <comment ref="CE18" authorId="2">
      <text>
        <r>
          <rPr>
            <sz val="9"/>
            <color indexed="81"/>
            <rFont val="Tahoma"/>
            <family val="2"/>
          </rPr>
          <t>1=Edge sense available
Force to 0 if ID pigtail required.</t>
        </r>
      </text>
    </comment>
    <comment ref="CF18" authorId="2">
      <text>
        <r>
          <rPr>
            <sz val="9"/>
            <color indexed="81"/>
            <rFont val="Tahoma"/>
            <family val="2"/>
          </rPr>
          <t># of available bar code characters (if any)</t>
        </r>
      </text>
    </comment>
    <comment ref="BI19" authorId="1">
      <text>
        <r>
          <rPr>
            <sz val="9"/>
            <color indexed="81"/>
            <rFont val="Tahoma"/>
            <family val="2"/>
          </rPr>
          <t xml:space="preserve">Based on PPDdb spring rate tables (data acquired by Dan G.)
</t>
        </r>
      </text>
    </comment>
    <comment ref="BJ19" authorId="1">
      <text>
        <r>
          <rPr>
            <b/>
            <sz val="9"/>
            <color indexed="81"/>
            <rFont val="Tahoma"/>
            <family val="2"/>
          </rPr>
          <t>Core Type:</t>
        </r>
        <r>
          <rPr>
            <sz val="9"/>
            <color indexed="81"/>
            <rFont val="Tahoma"/>
            <family val="2"/>
          </rPr>
          <t xml:space="preserve">
P=Parametric</t>
        </r>
        <r>
          <rPr>
            <sz val="9"/>
            <color indexed="81"/>
            <rFont val="Tahoma"/>
            <family val="2"/>
          </rPr>
          <t xml:space="preserve">
</t>
        </r>
      </text>
    </comment>
    <comment ref="I24" authorId="3">
      <text>
        <r>
          <rPr>
            <b/>
            <sz val="8"/>
            <color indexed="81"/>
            <rFont val="Tahoma"/>
            <family val="2"/>
          </rPr>
          <t xml:space="preserve">Routing Keep-outs:
</t>
        </r>
        <r>
          <rPr>
            <sz val="8"/>
            <color indexed="81"/>
            <rFont val="Tahoma"/>
            <family val="2"/>
          </rPr>
          <t>Any die area features that should be clear of routed traces?</t>
        </r>
      </text>
    </comment>
  </commentList>
</comments>
</file>

<file path=xl/comments7.xml><?xml version="1.0" encoding="utf-8"?>
<comments xmlns="http://schemas.openxmlformats.org/spreadsheetml/2006/main">
  <authors>
    <author>Phillips</author>
    <author>rphilli</author>
    <author>Ron Phillips</author>
  </authors>
  <commentList>
    <comment ref="BA2" authorId="0">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BC5" authorId="0">
      <text>
        <r>
          <rPr>
            <sz val="8"/>
            <color indexed="81"/>
            <rFont val="Tahoma"/>
            <family val="2"/>
          </rPr>
          <t xml:space="preserve">Valid core code for this board type
</t>
        </r>
      </text>
    </comment>
    <comment ref="BD5" authorId="0">
      <text>
        <r>
          <rPr>
            <sz val="8"/>
            <color indexed="81"/>
            <rFont val="Tahoma"/>
            <family val="2"/>
          </rPr>
          <t xml:space="preserve">Error Flag
1=PCB and core are not compatible
</t>
        </r>
      </text>
    </comment>
    <comment ref="BE5" authorId="0">
      <text>
        <r>
          <rPr>
            <sz val="8"/>
            <color indexed="81"/>
            <rFont val="Tahoma"/>
            <family val="2"/>
          </rPr>
          <t xml:space="preserve">Upper / Lower PCB Flag,
1=True
</t>
        </r>
      </text>
    </comment>
    <comment ref="BF5" authorId="0">
      <text>
        <r>
          <rPr>
            <sz val="8"/>
            <color indexed="81"/>
            <rFont val="Tahoma"/>
            <family val="2"/>
          </rPr>
          <t>Upper/Lower PCB Spacing.
The amount of additional depth due to U/L board combination</t>
        </r>
      </text>
    </comment>
    <comment ref="BG5" authorId="0">
      <text>
        <r>
          <rPr>
            <sz val="8"/>
            <color indexed="81"/>
            <rFont val="Tahoma"/>
            <family val="2"/>
          </rPr>
          <t>Upper PCB Thickness (In)</t>
        </r>
      </text>
    </comment>
    <comment ref="BK5" authorId="0">
      <text>
        <r>
          <rPr>
            <sz val="8"/>
            <color indexed="81"/>
            <rFont val="Tahoma"/>
            <family val="2"/>
          </rPr>
          <t>Lower PCB Thickness (In)</t>
        </r>
      </text>
    </comment>
    <comment ref="BM5" authorId="0">
      <text>
        <r>
          <rPr>
            <sz val="8"/>
            <color indexed="81"/>
            <rFont val="Tahoma"/>
            <family val="2"/>
          </rPr>
          <t>PCB Edge mill Flag
Non zero value =true and is also the amount of additional probe depth</t>
        </r>
      </text>
    </comment>
    <comment ref="BN5" authorId="0">
      <text>
        <r>
          <rPr>
            <sz val="8"/>
            <color indexed="81"/>
            <rFont val="Tahoma"/>
            <family val="2"/>
          </rPr>
          <t xml:space="preserve">General comment
</t>
        </r>
      </text>
    </comment>
    <comment ref="BO5" authorId="0">
      <text>
        <r>
          <rPr>
            <sz val="8"/>
            <color indexed="81"/>
            <rFont val="Tahoma"/>
            <family val="2"/>
          </rPr>
          <t xml:space="preserve">General comment
</t>
        </r>
      </text>
    </comment>
    <comment ref="BP5" authorId="0">
      <text>
        <r>
          <rPr>
            <sz val="8"/>
            <color indexed="81"/>
            <rFont val="Tahoma"/>
            <family val="2"/>
          </rPr>
          <t>Maximum DC channels</t>
        </r>
      </text>
    </comment>
    <comment ref="BQ5" authorId="0">
      <text>
        <r>
          <rPr>
            <sz val="8"/>
            <color indexed="81"/>
            <rFont val="Tahoma"/>
            <family val="2"/>
          </rPr>
          <t xml:space="preserve"># of UHD lines
</t>
        </r>
      </text>
    </comment>
    <comment ref="BR5" authorId="0">
      <text>
        <r>
          <rPr>
            <sz val="8"/>
            <color indexed="81"/>
            <rFont val="Tahoma"/>
            <family val="2"/>
          </rPr>
          <t># K-connector positions</t>
        </r>
      </text>
    </comment>
    <comment ref="BS5" authorId="0">
      <text>
        <r>
          <rPr>
            <sz val="8"/>
            <color indexed="81"/>
            <rFont val="Tahoma"/>
            <family val="2"/>
          </rPr>
          <t># of DC channels lost for each K-launch used</t>
        </r>
      </text>
    </comment>
    <comment ref="BT5" authorId="0">
      <text>
        <r>
          <rPr>
            <sz val="8"/>
            <color indexed="81"/>
            <rFont val="Tahoma"/>
            <family val="2"/>
          </rPr>
          <t xml:space="preserve">Edge Card capable?
</t>
        </r>
      </text>
    </comment>
    <comment ref="BU5" authorId="0">
      <text>
        <r>
          <rPr>
            <sz val="8"/>
            <color indexed="81"/>
            <rFont val="Tahoma"/>
            <family val="2"/>
          </rPr>
          <t xml:space="preserve">Stiffener available?
</t>
        </r>
      </text>
    </comment>
    <comment ref="BV5" authorId="0">
      <text>
        <r>
          <rPr>
            <sz val="8"/>
            <color indexed="81"/>
            <rFont val="Tahoma"/>
            <family val="2"/>
          </rPr>
          <t xml:space="preserve">RF brackets abailable to utilize K or V nuts?
</t>
        </r>
      </text>
    </comment>
    <comment ref="BF8" authorId="1">
      <text>
        <r>
          <rPr>
            <sz val="9"/>
            <color indexed="81"/>
            <rFont val="Tahoma"/>
            <family val="2"/>
          </rPr>
          <t>Changes to upper PCB thickness affect upper/lower board spacing. Std stiffener adds .068".
At present, upper PCB thickness of config cards can only be hard coded @BG8</t>
        </r>
      </text>
    </comment>
    <comment ref="BF9" authorId="1">
      <text>
        <r>
          <rPr>
            <sz val="9"/>
            <color indexed="81"/>
            <rFont val="Tahoma"/>
            <family val="2"/>
          </rPr>
          <t>Changes to upper PCB thickness affect upper/lower board spacing. Std stiffener adds .068".
At present, upper PCB thickness of config cards can only be hard coded @BG8</t>
        </r>
      </text>
    </comment>
    <comment ref="BF10" authorId="1">
      <text>
        <r>
          <rPr>
            <sz val="9"/>
            <color indexed="81"/>
            <rFont val="Tahoma"/>
            <family val="2"/>
          </rPr>
          <t>Changes to upper PCB thickness affect upper/lower board spacing. Std stiffener adds .068".
At present, upper PCB thickness of config cards can only be hard coded @BG8</t>
        </r>
      </text>
    </comment>
    <comment ref="CG13" authorId="2">
      <text>
        <r>
          <rPr>
            <sz val="9"/>
            <color indexed="81"/>
            <rFont val="Tahoma"/>
            <family val="2"/>
          </rPr>
          <t xml:space="preserve">Per Jeff A.
</t>
        </r>
      </text>
    </comment>
  </commentList>
</comments>
</file>

<file path=xl/comments8.xml><?xml version="1.0" encoding="utf-8"?>
<comments xmlns="http://schemas.openxmlformats.org/spreadsheetml/2006/main">
  <authors>
    <author>Phillips</author>
    <author>Ron Phillips</author>
    <author>rphilli</author>
  </authors>
  <commentList>
    <comment ref="BA2" authorId="0">
      <text>
        <r>
          <rPr>
            <b/>
            <sz val="8"/>
            <color indexed="81"/>
            <rFont val="Tahoma"/>
            <family val="2"/>
          </rPr>
          <t>Legend:</t>
        </r>
        <r>
          <rPr>
            <sz val="8"/>
            <color indexed="81"/>
            <rFont val="Tahoma"/>
            <family val="2"/>
          </rPr>
          <t xml:space="preserve">
</t>
        </r>
        <r>
          <rPr>
            <b/>
            <sz val="8"/>
            <color indexed="12"/>
            <rFont val="Tahoma"/>
            <family val="2"/>
          </rPr>
          <t>Blue text</t>
        </r>
        <r>
          <rPr>
            <sz val="8"/>
            <color indexed="81"/>
            <rFont val="Tahoma"/>
            <family val="2"/>
          </rPr>
          <t xml:space="preserve"> = formula controlled.
</t>
        </r>
        <r>
          <rPr>
            <b/>
            <sz val="8"/>
            <color indexed="14"/>
            <rFont val="Tahoma"/>
            <family val="2"/>
          </rPr>
          <t>Magenta Text</t>
        </r>
        <r>
          <rPr>
            <sz val="8"/>
            <color indexed="81"/>
            <rFont val="Tahoma"/>
            <family val="2"/>
          </rPr>
          <t xml:space="preserve"> = Value coppied from another page
</t>
        </r>
        <r>
          <rPr>
            <b/>
            <sz val="8"/>
            <color indexed="81"/>
            <rFont val="Tahoma"/>
            <family val="2"/>
          </rPr>
          <t>Grey highlight</t>
        </r>
        <r>
          <rPr>
            <sz val="8"/>
            <color indexed="81"/>
            <rFont val="Tahoma"/>
            <family val="2"/>
          </rPr>
          <t xml:space="preserve"> = This page contains conditional formating based on this value</t>
        </r>
      </text>
    </comment>
    <comment ref="BA5" authorId="0">
      <text>
        <r>
          <rPr>
            <sz val="8"/>
            <color indexed="81"/>
            <rFont val="Tahoma"/>
            <family val="2"/>
          </rPr>
          <t xml:space="preserve">Selection range limits:
Top number is beginning offset, bottom number is number of entries
</t>
        </r>
      </text>
    </comment>
    <comment ref="BD6" authorId="0">
      <text>
        <r>
          <rPr>
            <sz val="8"/>
            <color indexed="81"/>
            <rFont val="Tahoma"/>
            <family val="2"/>
          </rPr>
          <t>Upper PCB Thickness (In)</t>
        </r>
      </text>
    </comment>
    <comment ref="BE6" authorId="0">
      <text>
        <r>
          <rPr>
            <sz val="8"/>
            <color indexed="81"/>
            <rFont val="Tahoma"/>
            <family val="2"/>
          </rPr>
          <t xml:space="preserve">Stiffener available?
</t>
        </r>
      </text>
    </comment>
    <comment ref="BF6" authorId="0">
      <text>
        <r>
          <rPr>
            <sz val="8"/>
            <color indexed="81"/>
            <rFont val="Tahoma"/>
            <family val="2"/>
          </rPr>
          <t xml:space="preserve">Stiffener P/N
</t>
        </r>
      </text>
    </comment>
    <comment ref="BG6" authorId="0">
      <text>
        <r>
          <rPr>
            <sz val="8"/>
            <color indexed="81"/>
            <rFont val="Tahoma"/>
            <family val="2"/>
          </rPr>
          <t xml:space="preserve">General comment
</t>
        </r>
      </text>
    </comment>
    <comment ref="BH6" authorId="1">
      <text>
        <r>
          <rPr>
            <b/>
            <sz val="9"/>
            <color indexed="81"/>
            <rFont val="Tahoma"/>
            <family val="2"/>
          </rPr>
          <t>RF Bracket P/N</t>
        </r>
        <r>
          <rPr>
            <sz val="9"/>
            <color indexed="81"/>
            <rFont val="Tahoma"/>
            <family val="2"/>
          </rPr>
          <t xml:space="preserve">
</t>
        </r>
      </text>
    </comment>
    <comment ref="BI6" authorId="1">
      <text>
        <r>
          <rPr>
            <b/>
            <sz val="9"/>
            <color indexed="81"/>
            <rFont val="Tahoma"/>
            <family val="2"/>
          </rPr>
          <t>RF Cable P/N</t>
        </r>
        <r>
          <rPr>
            <sz val="9"/>
            <color indexed="81"/>
            <rFont val="Tahoma"/>
            <family val="2"/>
          </rPr>
          <t xml:space="preserve">
</t>
        </r>
      </text>
    </comment>
    <comment ref="BJ6" authorId="0">
      <text>
        <r>
          <rPr>
            <sz val="8"/>
            <color indexed="81"/>
            <rFont val="Tahoma"/>
            <family val="2"/>
          </rPr>
          <t xml:space="preserve">Upper / Lower PCB Flag,
1=True
</t>
        </r>
      </text>
    </comment>
    <comment ref="BK6" authorId="0">
      <text>
        <r>
          <rPr>
            <sz val="8"/>
            <color indexed="81"/>
            <rFont val="Tahoma"/>
            <family val="2"/>
          </rPr>
          <t>Upper/Lower PCB Spacing.
The amount of additional depth due to U/L board combination</t>
        </r>
      </text>
    </comment>
    <comment ref="BL6" authorId="0">
      <text>
        <r>
          <rPr>
            <sz val="8"/>
            <color indexed="81"/>
            <rFont val="Tahoma"/>
            <family val="2"/>
          </rPr>
          <t>Lower PCB Thickness (In)</t>
        </r>
      </text>
    </comment>
    <comment ref="BM6" authorId="0">
      <text>
        <r>
          <rPr>
            <sz val="8"/>
            <color indexed="81"/>
            <rFont val="Tahoma"/>
            <family val="2"/>
          </rPr>
          <t>PCB Edge mill Flag
Non zero value =true and is also the amount of additional probe depth</t>
        </r>
      </text>
    </comment>
    <comment ref="BN6" authorId="0">
      <text>
        <r>
          <rPr>
            <sz val="8"/>
            <color indexed="81"/>
            <rFont val="Tahoma"/>
            <family val="2"/>
          </rPr>
          <t xml:space="preserve">Edge Card capable?
</t>
        </r>
      </text>
    </comment>
    <comment ref="BO6" authorId="2">
      <text>
        <r>
          <rPr>
            <sz val="9"/>
            <color indexed="81"/>
            <rFont val="Tahoma"/>
            <family val="2"/>
          </rPr>
          <t>Used on Test Notes page</t>
        </r>
      </text>
    </comment>
    <comment ref="BK18" authorId="2">
      <text>
        <r>
          <rPr>
            <sz val="9"/>
            <color indexed="81"/>
            <rFont val="Tahoma"/>
            <family val="2"/>
          </rPr>
          <t xml:space="preserve">Must adjust for upper board thickness (both here and on the cover page table
</t>
        </r>
      </text>
    </comment>
    <comment ref="BK19" authorId="2">
      <text>
        <r>
          <rPr>
            <sz val="9"/>
            <color indexed="81"/>
            <rFont val="Tahoma"/>
            <family val="2"/>
          </rPr>
          <t xml:space="preserve">Must adjust for upper board thickness (both here and on the cover page table
</t>
        </r>
      </text>
    </comment>
    <comment ref="BF28" authorId="0">
      <text>
        <r>
          <rPr>
            <b/>
            <sz val="8"/>
            <color indexed="81"/>
            <rFont val="Tahoma"/>
            <family val="2"/>
          </rPr>
          <t>Phillips:</t>
        </r>
        <r>
          <rPr>
            <sz val="8"/>
            <color indexed="81"/>
            <rFont val="Tahoma"/>
            <family val="2"/>
          </rPr>
          <t xml:space="preserve">
0.187" thick upper board only</t>
        </r>
      </text>
    </comment>
    <comment ref="BK28" authorId="2">
      <text>
        <r>
          <rPr>
            <sz val="9"/>
            <color indexed="81"/>
            <rFont val="Tahoma"/>
            <family val="2"/>
          </rPr>
          <t xml:space="preserve">The J750 mechanical interface does not change probe depth between the .187 and .250 thick boards
</t>
        </r>
      </text>
    </comment>
    <comment ref="BD42" authorId="2">
      <text>
        <r>
          <rPr>
            <sz val="9"/>
            <color indexed="81"/>
            <rFont val="Tahoma"/>
            <family val="2"/>
          </rPr>
          <t xml:space="preserve">Core selection number when core is 'existing'
</t>
        </r>
      </text>
    </comment>
  </commentList>
</comments>
</file>

<file path=xl/comments9.xml><?xml version="1.0" encoding="utf-8"?>
<comments xmlns="http://schemas.openxmlformats.org/spreadsheetml/2006/main">
  <authors>
    <author>Ron Phillips</author>
  </authors>
  <commentList>
    <comment ref="C19" authorId="0">
      <text>
        <r>
          <rPr>
            <b/>
            <sz val="9"/>
            <color indexed="81"/>
            <rFont val="Tahoma"/>
            <family val="2"/>
          </rPr>
          <t>Site:</t>
        </r>
        <r>
          <rPr>
            <sz val="9"/>
            <color indexed="81"/>
            <rFont val="Tahoma"/>
            <family val="2"/>
          </rPr>
          <t xml:space="preserve"> (Multi-site only)
When entered, only this site number receives the specified structure, all other sites will receive a short structure.
If blank, </t>
        </r>
        <r>
          <rPr>
            <u/>
            <sz val="9"/>
            <color indexed="81"/>
            <rFont val="Tahoma"/>
            <family val="2"/>
          </rPr>
          <t>all sites</t>
        </r>
        <r>
          <rPr>
            <sz val="9"/>
            <color indexed="81"/>
            <rFont val="Tahoma"/>
            <family val="2"/>
          </rPr>
          <t xml:space="preserve"> will receive the specified structure.</t>
        </r>
      </text>
    </comment>
    <comment ref="D19" authorId="0">
      <text>
        <r>
          <rPr>
            <b/>
            <sz val="9"/>
            <color indexed="81"/>
            <rFont val="Tahoma"/>
            <family val="2"/>
          </rPr>
          <t>Load Resistance:</t>
        </r>
        <r>
          <rPr>
            <sz val="9"/>
            <color indexed="81"/>
            <rFont val="Tahoma"/>
            <family val="2"/>
          </rPr>
          <t xml:space="preserve">
Field is active only if structure type is set to Load</t>
        </r>
      </text>
    </comment>
    <comment ref="E19" authorId="0">
      <text>
        <r>
          <rPr>
            <b/>
            <sz val="9"/>
            <color indexed="81"/>
            <rFont val="Tahoma"/>
            <family val="2"/>
          </rPr>
          <t>Verificaton Standard:</t>
        </r>
        <r>
          <rPr>
            <sz val="9"/>
            <color indexed="81"/>
            <rFont val="Tahoma"/>
            <family val="2"/>
          </rPr>
          <t xml:space="preserve">
An entry here places a Verification Standard in the Last column.</t>
        </r>
      </text>
    </comment>
    <comment ref="G19" authorId="0">
      <text>
        <r>
          <rPr>
            <b/>
            <sz val="9"/>
            <color indexed="81"/>
            <rFont val="Tahoma"/>
            <family val="2"/>
          </rPr>
          <t>DUT_PIN_Name</t>
        </r>
        <r>
          <rPr>
            <sz val="9"/>
            <color indexed="81"/>
            <rFont val="Tahoma"/>
            <family val="2"/>
          </rPr>
          <t xml:space="preserve">
Active only if Structure type is Thru, or a Verification Standard is selected</t>
        </r>
      </text>
    </comment>
    <comment ref="BA21" authorId="0">
      <text>
        <r>
          <rPr>
            <b/>
            <sz val="9"/>
            <color indexed="81"/>
            <rFont val="Tahoma"/>
            <family val="2"/>
          </rPr>
          <t xml:space="preserve">Pad Locations Flag:
</t>
        </r>
        <r>
          <rPr>
            <sz val="9"/>
            <color indexed="81"/>
            <rFont val="Tahoma"/>
            <family val="2"/>
          </rPr>
          <t xml:space="preserve">Turns on the Pad location drop down if Thru or Offset Short/Thru are selected
</t>
        </r>
      </text>
    </comment>
    <comment ref="BB21" authorId="0">
      <text>
        <r>
          <rPr>
            <b/>
            <sz val="9"/>
            <color indexed="81"/>
            <rFont val="Tahoma"/>
            <family val="2"/>
          </rPr>
          <t>Grid format control:</t>
        </r>
        <r>
          <rPr>
            <sz val="9"/>
            <color indexed="81"/>
            <rFont val="Tahoma"/>
            <family val="2"/>
          </rPr>
          <t xml:space="preserve">
Enables customer grid for each row that is valid</t>
        </r>
      </text>
    </comment>
    <comment ref="BD21" authorId="0">
      <text>
        <r>
          <rPr>
            <b/>
            <sz val="9"/>
            <color indexed="81"/>
            <rFont val="Tahoma"/>
            <family val="2"/>
          </rPr>
          <t>ISS lower border:</t>
        </r>
        <r>
          <rPr>
            <sz val="9"/>
            <color indexed="81"/>
            <rFont val="Tahoma"/>
            <family val="2"/>
          </rPr>
          <t xml:space="preserve">
Enables the bottom boarder outline</t>
        </r>
      </text>
    </comment>
  </commentList>
</comments>
</file>

<file path=xl/sharedStrings.xml><?xml version="1.0" encoding="utf-8"?>
<sst xmlns="http://schemas.openxmlformats.org/spreadsheetml/2006/main" count="1622" uniqueCount="996">
  <si>
    <t>Cascade Microtech Internal Use Only:</t>
  </si>
  <si>
    <t>Legend:</t>
  </si>
  <si>
    <t>SALES MGR:</t>
  </si>
  <si>
    <t>Field Apps:</t>
  </si>
  <si>
    <t>Cascade Design Capture by:</t>
  </si>
  <si>
    <t>Andreas Berdzentis</t>
  </si>
  <si>
    <t>Cascade Sales Manager:</t>
  </si>
  <si>
    <t>Jerry Liu</t>
  </si>
  <si>
    <t>Nigel Chong</t>
  </si>
  <si>
    <t>Eri Han</t>
  </si>
  <si>
    <t xml:space="preserve">Customer Contact Information </t>
  </si>
  <si>
    <t>Jerry Peng</t>
  </si>
  <si>
    <t>Name:</t>
  </si>
  <si>
    <t>Alternate Contact:</t>
  </si>
  <si>
    <t>Title:</t>
  </si>
  <si>
    <t>Phone:</t>
  </si>
  <si>
    <t>Torsten Kern</t>
  </si>
  <si>
    <t>Email:</t>
  </si>
  <si>
    <t>Toru Sugawara</t>
  </si>
  <si>
    <t>Company:</t>
  </si>
  <si>
    <t xml:space="preserve">Address:  </t>
  </si>
  <si>
    <t>Design Approval:</t>
  </si>
  <si>
    <r>
      <t>Device data</t>
    </r>
    <r>
      <rPr>
        <sz val="10"/>
        <rFont val="Arial"/>
        <family val="2"/>
      </rPr>
      <t xml:space="preserve"> - (read only from DUT page)</t>
    </r>
  </si>
  <si>
    <t>No Approval Required (shortest leadtime)</t>
  </si>
  <si>
    <t>Name / ID:</t>
  </si>
  <si>
    <t>Approval Required (standard file package)</t>
  </si>
  <si>
    <t>Approval Required (alternate file package)</t>
  </si>
  <si>
    <t>This DesCap applies to:</t>
  </si>
  <si>
    <t>Options:</t>
  </si>
  <si>
    <t>Probe card P/N:</t>
  </si>
  <si>
    <t xml:space="preserve">♦ Integration:    </t>
  </si>
  <si>
    <t>No</t>
  </si>
  <si>
    <t>(RMA Required)</t>
  </si>
  <si>
    <t>Accel Fixture P/N:</t>
  </si>
  <si>
    <t>®</t>
  </si>
  <si>
    <t>♦ Accel Fixture:</t>
  </si>
  <si>
    <t>N/A</t>
  </si>
  <si>
    <t xml:space="preserve">♦ Design Approval Preference: </t>
  </si>
  <si>
    <t>Core P/N:</t>
  </si>
  <si>
    <t>Specify:</t>
  </si>
  <si>
    <t>Type:</t>
  </si>
  <si>
    <t>PCB</t>
  </si>
  <si>
    <t>P/N Heading</t>
  </si>
  <si>
    <t>Code</t>
  </si>
  <si>
    <t>U/L-F</t>
  </si>
  <si>
    <t>U/L-S</t>
  </si>
  <si>
    <t>U-Thk"</t>
  </si>
  <si>
    <t>mm</t>
  </si>
  <si>
    <t>L-Thk"</t>
  </si>
  <si>
    <t>E-mill</t>
  </si>
  <si>
    <t>Error</t>
  </si>
  <si>
    <t>Connectors</t>
  </si>
  <si>
    <t>No PCB</t>
  </si>
  <si>
    <t>Config. PCB P/N:</t>
  </si>
  <si>
    <t>Custom</t>
  </si>
  <si>
    <t>Custom PCB P/N:</t>
  </si>
  <si>
    <t>Existing P/N:</t>
  </si>
  <si>
    <t>Cascade Microtech Inc., Pyramid Probe Group</t>
  </si>
  <si>
    <t>9100 SW Gemini Drive,  Beaverton, Oregon   97008   USA</t>
  </si>
  <si>
    <t xml:space="preserve">Tel: (503) 601-1000  Fax: (503) 601-1901   </t>
  </si>
  <si>
    <t>Copyright ©</t>
  </si>
  <si>
    <t>Cascade Microtech, Inc.</t>
  </si>
  <si>
    <t>Device Type:</t>
  </si>
  <si>
    <t>Dut Interface</t>
  </si>
  <si>
    <t>Device Application/Technology:</t>
  </si>
  <si>
    <t>PAD METAL:</t>
  </si>
  <si>
    <t>Aluminum</t>
  </si>
  <si>
    <t>** Please enter all units in microns unless otherwise indicated **</t>
  </si>
  <si>
    <t>Copper</t>
  </si>
  <si>
    <t>Device Construction</t>
  </si>
  <si>
    <t>♦ Type of Substrate:</t>
  </si>
  <si>
    <t>Wafer, Si</t>
  </si>
  <si>
    <t>Specify =&gt;</t>
  </si>
  <si>
    <t>Gold</t>
  </si>
  <si>
    <t>♦ Probed Pad Material:</t>
  </si>
  <si>
    <t>Gold Bumps</t>
  </si>
  <si>
    <t>DC Parametric</t>
  </si>
  <si>
    <t>♦ Pad Arrangement:</t>
  </si>
  <si>
    <t>Array</t>
  </si>
  <si>
    <t>Solder Bumps</t>
  </si>
  <si>
    <t>x</t>
  </si>
  <si>
    <t>Other</t>
  </si>
  <si>
    <t>♦ Minimum Pad Pitch:</t>
  </si>
  <si>
    <t>Width</t>
  </si>
  <si>
    <t>Length</t>
  </si>
  <si>
    <t xml:space="preserve">♦ Is the Die Passivated?   </t>
  </si>
  <si>
    <t>Yes</t>
  </si>
  <si>
    <t>Opening Size (um):</t>
  </si>
  <si>
    <t>Thickness:</t>
  </si>
  <si>
    <t>SUBSTRATE TYPE:</t>
  </si>
  <si>
    <t>DUT Multiplyer:</t>
  </si>
  <si>
    <t xml:space="preserve">♦ Pad damage sensitivity (low K/pad over active)? </t>
  </si>
  <si>
    <t>Wafer, SiGe</t>
  </si>
  <si>
    <t>PAD ARRANGEMENT:</t>
  </si>
  <si>
    <t>Generic Yes/No</t>
  </si>
  <si>
    <t>Probing Details</t>
  </si>
  <si>
    <t>Wafer, GaAs</t>
  </si>
  <si>
    <t>♦ Multi-DUT probing?</t>
  </si>
  <si>
    <t># of Die?</t>
  </si>
  <si>
    <t>Die Step Distance:</t>
  </si>
  <si>
    <t>X=</t>
  </si>
  <si>
    <t>Y=</t>
  </si>
  <si>
    <t>Package</t>
  </si>
  <si>
    <t>Peripheral</t>
  </si>
  <si>
    <t>Pinlist Contains:</t>
  </si>
  <si>
    <t>One</t>
  </si>
  <si>
    <t>Singulated die</t>
  </si>
  <si>
    <t>Staggered Periphery</t>
  </si>
  <si>
    <t>♦ Application Environment:</t>
  </si>
  <si>
    <t>Production</t>
  </si>
  <si>
    <t>2 x N</t>
  </si>
  <si>
    <t>♦ Probing Temperature:</t>
  </si>
  <si>
    <t>Room Temp</t>
  </si>
  <si>
    <t>Min:</t>
  </si>
  <si>
    <t>Max:</t>
  </si>
  <si>
    <t>Probe Temp</t>
  </si>
  <si>
    <t>Range (°C)</t>
  </si>
  <si>
    <t>APPLICATION</t>
  </si>
  <si>
    <t>Engineering</t>
  </si>
  <si>
    <t>Cold warning:</t>
  </si>
  <si>
    <t>Pwr #</t>
  </si>
  <si>
    <t>Net Name</t>
  </si>
  <si>
    <t>Volts</t>
  </si>
  <si>
    <t>Polarity</t>
  </si>
  <si>
    <t>mA/
supply</t>
  </si>
  <si>
    <t>mA/
contact</t>
  </si>
  <si>
    <t>Watts</t>
  </si>
  <si>
    <t>Wide range:</t>
  </si>
  <si>
    <t>Eng to Production</t>
  </si>
  <si>
    <t>PCB warp warning:</t>
  </si>
  <si>
    <t>Eye Chart data</t>
  </si>
  <si>
    <t>Connector selection:</t>
  </si>
  <si>
    <t>Pwr/Gnd
Groups</t>
  </si>
  <si>
    <t>P</t>
  </si>
  <si>
    <t>Gnd</t>
  </si>
  <si>
    <t>Line match:</t>
  </si>
  <si>
    <t>+/-1.5ps</t>
  </si>
  <si>
    <t>+/-2.5ps</t>
  </si>
  <si>
    <t>+/-5ps</t>
  </si>
  <si>
    <t>+/-10ps</t>
  </si>
  <si>
    <t>+/-20ps</t>
  </si>
  <si>
    <t>+/-50ps</t>
  </si>
  <si>
    <t>+/-100ps</t>
  </si>
  <si>
    <t>+/-200ps</t>
  </si>
  <si>
    <t>Line type:
 RF, AC,
DC,P,GND</t>
  </si>
  <si>
    <t>Pad
ID</t>
  </si>
  <si>
    <t>Pad Center</t>
  </si>
  <si>
    <t>Pad Name</t>
  </si>
  <si>
    <t>Line
Match</t>
  </si>
  <si>
    <t>CBI</t>
  </si>
  <si>
    <t>Tester
Ch</t>
  </si>
  <si>
    <t>RF
Conn</t>
  </si>
  <si>
    <t>Non-RF Connector</t>
  </si>
  <si>
    <t>Components to be mounted on the PCB</t>
  </si>
  <si>
    <t>Fuse
Value</t>
  </si>
  <si>
    <t>PCB Notes</t>
  </si>
  <si>
    <t>RF Pwr
(dBm)</t>
  </si>
  <si>
    <t>TFI</t>
  </si>
  <si>
    <t>Value</t>
  </si>
  <si>
    <t>Connects
to…</t>
  </si>
  <si>
    <t>Type</t>
  </si>
  <si>
    <t>RefDes
&amp; Pin#</t>
  </si>
  <si>
    <t>X</t>
  </si>
  <si>
    <t>Y</t>
  </si>
  <si>
    <t>AC</t>
  </si>
  <si>
    <t>N/C</t>
  </si>
  <si>
    <t>RF</t>
  </si>
  <si>
    <t>RF2</t>
  </si>
  <si>
    <t>RF3</t>
  </si>
  <si>
    <t>Auto-Sorted Pinlist</t>
  </si>
  <si>
    <t>Pin group table</t>
  </si>
  <si>
    <t>Selectable Linetypes Table (defines DD_List)</t>
  </si>
  <si>
    <t>Used Linetypes Table (actually used in Pinlist)</t>
  </si>
  <si>
    <t>Origin Pin</t>
  </si>
  <si>
    <t>Multi-Dut chart coordinates</t>
  </si>
  <si>
    <t>Linetype
Index</t>
  </si>
  <si>
    <t>Count of
Linetype</t>
  </si>
  <si>
    <t>Pinlist offset
(Loc Found)</t>
  </si>
  <si>
    <t>FYI</t>
  </si>
  <si>
    <t>X-Coord</t>
  </si>
  <si>
    <t>Y-Coord</t>
  </si>
  <si>
    <t>Used
Flag</t>
  </si>
  <si>
    <t>Qty of
Type</t>
  </si>
  <si>
    <t>Pin Group
Tbl Index</t>
  </si>
  <si>
    <t>#</t>
  </si>
  <si>
    <t>Type +
Number</t>
  </si>
  <si>
    <t>Found in
Pinlist flag</t>
  </si>
  <si>
    <t>Qty
Found</t>
  </si>
  <si>
    <t>Linetype</t>
  </si>
  <si>
    <t>QTY</t>
  </si>
  <si>
    <t>Offset
Start Point</t>
  </si>
  <si>
    <t>DutX</t>
  </si>
  <si>
    <t>DutY</t>
  </si>
  <si>
    <t>DieX</t>
  </si>
  <si>
    <t>DieY</t>
  </si>
  <si>
    <t>Pin1_X</t>
  </si>
  <si>
    <t>Pin1_Y</t>
  </si>
  <si>
    <t>Point#</t>
  </si>
  <si>
    <t>R</t>
  </si>
  <si>
    <t>Ang</t>
  </si>
  <si>
    <t>New_X</t>
  </si>
  <si>
    <t>New_Y</t>
  </si>
  <si>
    <t>Min</t>
  </si>
  <si>
    <t>Sense Lines</t>
  </si>
  <si>
    <t>Last-1</t>
  </si>
  <si>
    <t>Max</t>
  </si>
  <si>
    <t>Pinlist offset</t>
  </si>
  <si>
    <t>Size</t>
  </si>
  <si>
    <t>DC</t>
  </si>
  <si>
    <t>Pattern Control</t>
  </si>
  <si>
    <t>Total:</t>
  </si>
  <si>
    <t>Balance Pattern @ 0,0?</t>
  </si>
  <si>
    <t>Pattern Offset</t>
  </si>
  <si>
    <t>Flag</t>
  </si>
  <si>
    <t>Mirror/Rotate</t>
  </si>
  <si>
    <t>Mirror X?</t>
  </si>
  <si>
    <t>n</t>
  </si>
  <si>
    <t>Mirror Y?</t>
  </si>
  <si>
    <t>Max Entries:</t>
  </si>
  <si>
    <t>Radians to Deg</t>
  </si>
  <si>
    <t>If mirrored, would be:</t>
  </si>
  <si>
    <t># Duts</t>
  </si>
  <si>
    <t>Total Entries:</t>
  </si>
  <si>
    <t>Outline offset</t>
  </si>
  <si>
    <t>Step X:</t>
  </si>
  <si>
    <t>Step Y:</t>
  </si>
  <si>
    <t>None</t>
  </si>
  <si>
    <t>Pin 1</t>
  </si>
  <si>
    <t xml:space="preserve"> </t>
  </si>
  <si>
    <t>Device Name:</t>
  </si>
  <si>
    <t>Probe Head:</t>
  </si>
  <si>
    <t>Note:2=core</t>
  </si>
  <si>
    <t>Leakage Options</t>
  </si>
  <si>
    <t>Core Selection:</t>
  </si>
  <si>
    <t>RFC (P100)</t>
  </si>
  <si>
    <t>Routing Keepouts</t>
  </si>
  <si>
    <t>5 fA/V after 5 seconds</t>
  </si>
  <si>
    <t>1 fA/V after 10 seconds</t>
  </si>
  <si>
    <t>Summary data (read only)</t>
  </si>
  <si>
    <t>Specific area(s) - See Notes below</t>
  </si>
  <si>
    <t>PCB:</t>
  </si>
  <si>
    <t># of Contacted Pads:</t>
  </si>
  <si>
    <t>Specific area(s) - Separate file provided</t>
  </si>
  <si>
    <t>Core ID options</t>
  </si>
  <si>
    <t>Components on core</t>
  </si>
  <si>
    <t>Line Match Data</t>
  </si>
  <si>
    <t>ALIGNMENT</t>
  </si>
  <si>
    <t>SMT Components:</t>
  </si>
  <si>
    <t>N/A. Not needed with auto-probers</t>
  </si>
  <si>
    <t>Thin Film Comps:</t>
  </si>
  <si>
    <t>POAA:</t>
  </si>
  <si>
    <t>Manual prober - use unprobed pads</t>
  </si>
  <si>
    <t>Custom - See core notes below</t>
  </si>
  <si>
    <t>ID Resistor on core frame</t>
  </si>
  <si>
    <t>Core Options</t>
  </si>
  <si>
    <t>ID Resistor on membrane</t>
  </si>
  <si>
    <t xml:space="preserve">♦  Install Edge Sense:    </t>
  </si>
  <si>
    <t xml:space="preserve">♦ Leakage Spec:  </t>
  </si>
  <si>
    <t xml:space="preserve">♦ Core Frame Window: </t>
  </si>
  <si>
    <t>♦ Core ID Option:</t>
  </si>
  <si>
    <t>Product</t>
  </si>
  <si>
    <t>Regular</t>
  </si>
  <si>
    <t>Extra</t>
  </si>
  <si>
    <t>Deep</t>
  </si>
  <si>
    <t>Max I/O</t>
  </si>
  <si>
    <t>Max RF</t>
  </si>
  <si>
    <t xml:space="preserve">♦ Alignment Features:  </t>
  </si>
  <si>
    <t>RFL (PDC50)</t>
  </si>
  <si>
    <t xml:space="preserve">♦ Custom Core Label:   </t>
  </si>
  <si>
    <t xml:space="preserve">♦ Routing Keep-outs:    </t>
  </si>
  <si>
    <t>Location:</t>
  </si>
  <si>
    <t>MSI (P400)</t>
  </si>
  <si>
    <t>LSI (P500)</t>
  </si>
  <si>
    <t>Probe Depth</t>
  </si>
  <si>
    <t>VLSR (P800)</t>
  </si>
  <si>
    <t>Core Draft selection:</t>
  </si>
  <si>
    <t>P800-S</t>
  </si>
  <si>
    <t>¯</t>
  </si>
  <si>
    <t>­</t>
  </si>
  <si>
    <t>Core Draft Selection</t>
  </si>
  <si>
    <t>Selected:</t>
  </si>
  <si>
    <t>Inches</t>
  </si>
  <si>
    <t>MM</t>
  </si>
  <si>
    <t>Inches-PCB</t>
  </si>
  <si>
    <t>MM-PCB</t>
  </si>
  <si>
    <t>Edge mill</t>
  </si>
  <si>
    <t>Core Notes</t>
  </si>
  <si>
    <t>PCB Size</t>
  </si>
  <si>
    <t>Upper/lower Flag:</t>
  </si>
  <si>
    <t>Upper PCB thk:</t>
  </si>
  <si>
    <t>Lower PCB thk:</t>
  </si>
  <si>
    <t>Spacing:</t>
  </si>
  <si>
    <t>Cascade Internal Use Only:</t>
  </si>
  <si>
    <t>Project Name:</t>
  </si>
  <si>
    <t>OPERATOR IS HERE</t>
  </si>
  <si>
    <t>PCB code:</t>
  </si>
  <si>
    <t>Note: 2=Config card</t>
  </si>
  <si>
    <t>Product:</t>
  </si>
  <si>
    <t>Core?</t>
  </si>
  <si>
    <t>Cmt-1</t>
  </si>
  <si>
    <t>Cmt-2</t>
  </si>
  <si>
    <t>Max Ch</t>
  </si>
  <si>
    <t>HS</t>
  </si>
  <si>
    <t>DC loss</t>
  </si>
  <si>
    <t>EC?</t>
  </si>
  <si>
    <t>Stiff?</t>
  </si>
  <si>
    <t>RF-brac?</t>
  </si>
  <si>
    <t>PCB Selection:</t>
  </si>
  <si>
    <t>RFB-47-CSK</t>
  </si>
  <si>
    <t>Keithley S600</t>
  </si>
  <si>
    <t>5.4" [137.2mm] Diameter</t>
  </si>
  <si>
    <t>Upper + Lower PCB set adds</t>
  </si>
  <si>
    <t>0.942" [23.9mm] to probe depth</t>
  </si>
  <si>
    <t>Product Information</t>
  </si>
  <si>
    <t>Agilent 407x</t>
  </si>
  <si>
    <t>9" [228.6mm] Diameter</t>
  </si>
  <si>
    <t>RFB-46-LL</t>
  </si>
  <si>
    <t>6 x 4.15" [152.4 x 105.4mm]</t>
  </si>
  <si>
    <t>Dimensions:</t>
  </si>
  <si>
    <t>DC/RF</t>
  </si>
  <si>
    <t>5.62" [142.7mm] Diameter</t>
  </si>
  <si>
    <t>(Each consumes 3 DC channels)</t>
  </si>
  <si>
    <t>Max DC Channels:</t>
  </si>
  <si>
    <t>7.25 x 4.5" [184.2 x 114.3mm]</t>
  </si>
  <si>
    <t>to probe depth</t>
  </si>
  <si>
    <t>Max HS Channels:</t>
  </si>
  <si>
    <t>RFB-47-UHD</t>
  </si>
  <si>
    <t>8.225 x 4.5" [208.9 x 114.3mm]</t>
  </si>
  <si>
    <t>(Each consumes 3 DC/HS channels)</t>
  </si>
  <si>
    <t>UHD</t>
  </si>
  <si>
    <t>Max RF Channels:</t>
  </si>
  <si>
    <t>MSB-47-UHD</t>
  </si>
  <si>
    <t>(Each consumes 6 DC/HS channels)</t>
  </si>
  <si>
    <t>PCB Options</t>
  </si>
  <si>
    <t>6.8 x 4.5" [172.7 x 114.3mm]</t>
  </si>
  <si>
    <t>♦ Electrical Connections:</t>
  </si>
  <si>
    <t>Best Fit - Designer selects routing</t>
  </si>
  <si>
    <t>Document Filename:</t>
  </si>
  <si>
    <t>Date or Rev:</t>
  </si>
  <si>
    <t xml:space="preserve">♦ Edge Connector:    </t>
  </si>
  <si>
    <t>Connector Type:</t>
  </si>
  <si>
    <t>48 Fingers, 0.156" pitch (adds 3.75" to length)</t>
  </si>
  <si>
    <t>Cut PCB to specific length:</t>
  </si>
  <si>
    <t>Length (in):</t>
  </si>
  <si>
    <t>Edge Conn:</t>
  </si>
  <si>
    <t>♦ Fuses on power nets &gt;100mA:</t>
  </si>
  <si>
    <t>Edge Sense:</t>
  </si>
  <si>
    <t>Electrical Connections</t>
  </si>
  <si>
    <t>RF connectors &amp; line match</t>
  </si>
  <si>
    <t xml:space="preserve">     *** Pinlist Page Data ***</t>
  </si>
  <si>
    <t>Dedicated - Defined on pinlist page</t>
  </si>
  <si>
    <t>Connectors:</t>
  </si>
  <si>
    <t>Dedicated - See separate document</t>
  </si>
  <si>
    <t>Count:</t>
  </si>
  <si>
    <t>Edge Connector</t>
  </si>
  <si>
    <t>Discrete Components:</t>
  </si>
  <si>
    <t>70 Fingers, 0.100" pitch (adds 3.75" to length)</t>
  </si>
  <si>
    <t>Note: 3=Custom</t>
  </si>
  <si>
    <t>Probe Technology:</t>
  </si>
  <si>
    <t>Note: 2=Core</t>
  </si>
  <si>
    <t>Core Size:</t>
  </si>
  <si>
    <t>PCB Interface:</t>
  </si>
  <si>
    <t>Soft Dock (Cable Interface)</t>
  </si>
  <si>
    <t>Tester Config File required</t>
  </si>
  <si>
    <t>St-PN1</t>
  </si>
  <si>
    <t>RF-PN</t>
  </si>
  <si>
    <t>Cab-PN</t>
  </si>
  <si>
    <t>U/L-S1</t>
  </si>
  <si>
    <t>4.5" Rectangular</t>
  </si>
  <si>
    <t>Description:</t>
  </si>
  <si>
    <t xml:space="preserve">  (optional)</t>
  </si>
  <si>
    <t xml:space="preserve">Dimensions:  </t>
  </si>
  <si>
    <t>Y:</t>
  </si>
  <si>
    <t>(Inch)</t>
  </si>
  <si>
    <t>4.5 x 7</t>
  </si>
  <si>
    <t>SMA</t>
  </si>
  <si>
    <t>MXP</t>
  </si>
  <si>
    <t>1.85mm</t>
  </si>
  <si>
    <t>1mm</t>
  </si>
  <si>
    <t>Edge Mill:</t>
  </si>
  <si>
    <t>Advantest 6577</t>
  </si>
  <si>
    <t>7.874" Dia.</t>
  </si>
  <si>
    <t>Advantest T2000</t>
  </si>
  <si>
    <t>17.32" Dia.</t>
  </si>
  <si>
    <t>Cerprobe MOE</t>
  </si>
  <si>
    <t>5.375" Dia</t>
  </si>
  <si>
    <t xml:space="preserve">♦ Edge Connector:     </t>
  </si>
  <si>
    <t>48 Fingers, 0.156" pitch, cut to length (above)</t>
  </si>
  <si>
    <t>Credence ASL3000</t>
  </si>
  <si>
    <t>11" Dia.</t>
  </si>
  <si>
    <t>140-452</t>
  </si>
  <si>
    <t>OSP</t>
  </si>
  <si>
    <t xml:space="preserve">♦ Electrical Connections: </t>
  </si>
  <si>
    <t>LTX Fusion CX</t>
  </si>
  <si>
    <t>12" Dia.</t>
  </si>
  <si>
    <t>136-618*</t>
  </si>
  <si>
    <t>* 136-617 if recessed RF is needed</t>
  </si>
  <si>
    <t>Enter Document in File Reference section</t>
  </si>
  <si>
    <t>LTX Fusion HF/RF</t>
  </si>
  <si>
    <t>♦ PCB Material:</t>
  </si>
  <si>
    <t>Polyimide</t>
  </si>
  <si>
    <t>LTX Fusion MX DD</t>
  </si>
  <si>
    <t>14x14</t>
  </si>
  <si>
    <t>Teradyne Catalyst</t>
  </si>
  <si>
    <t>9" Dia.</t>
  </si>
  <si>
    <t>121-326</t>
  </si>
  <si>
    <t>121-713</t>
  </si>
  <si>
    <t>121-714</t>
  </si>
  <si>
    <t>♦ Fuses on Pwr nets &gt; 100mA:</t>
  </si>
  <si>
    <t>Teradyne Flex</t>
  </si>
  <si>
    <t>440-0023-00</t>
  </si>
  <si>
    <t>Teradyne J750</t>
  </si>
  <si>
    <t>350-0013-00*</t>
  </si>
  <si>
    <t>* 350-0014-00 for 0.25" thick upper PCB</t>
  </si>
  <si>
    <t>Probe Card Hardware</t>
  </si>
  <si>
    <t>Source / Installed</t>
  </si>
  <si>
    <t>CMI P/N</t>
  </si>
  <si>
    <t>Comments</t>
  </si>
  <si>
    <t>Teradyne J921/J971</t>
  </si>
  <si>
    <t>7.95" Odd</t>
  </si>
  <si>
    <t>121-424</t>
  </si>
  <si>
    <t>Stiffener</t>
  </si>
  <si>
    <t>CMI / CMI</t>
  </si>
  <si>
    <t>4" Dia.</t>
  </si>
  <si>
    <t>136-880</t>
  </si>
  <si>
    <t>RF Bracket</t>
  </si>
  <si>
    <t>121-731</t>
  </si>
  <si>
    <t>Cables (PCB to bracket)</t>
  </si>
  <si>
    <t>8" Dia.</t>
  </si>
  <si>
    <t>Verigy 93K</t>
  </si>
  <si>
    <t>121-550</t>
  </si>
  <si>
    <t>136-931</t>
  </si>
  <si>
    <t>RF Connector:</t>
  </si>
  <si>
    <t>QTY:</t>
  </si>
  <si>
    <t>Other non-RF connections:</t>
  </si>
  <si>
    <t>70 Fingers, 0.100" pitch, cut to length (above)</t>
  </si>
  <si>
    <t>PCB Interface</t>
  </si>
  <si>
    <t>Hard Dock (ATE Interface)</t>
  </si>
  <si>
    <t>Actives (+ non-RF Cons + Relays):</t>
  </si>
  <si>
    <t>Tester Config:</t>
  </si>
  <si>
    <t>File References (no hyper links please)</t>
  </si>
  <si>
    <t>Dedicated wiring:</t>
  </si>
  <si>
    <t>Dedicated - See separate Document</t>
  </si>
  <si>
    <t>File Type</t>
  </si>
  <si>
    <r>
      <t xml:space="preserve">Filename </t>
    </r>
    <r>
      <rPr>
        <sz val="10"/>
        <rFont val="Times New Roman"/>
        <family val="1"/>
      </rPr>
      <t>(please embed date in filename)</t>
    </r>
  </si>
  <si>
    <t>Source</t>
  </si>
  <si>
    <t>File Types</t>
  </si>
  <si>
    <t>Cores</t>
  </si>
  <si>
    <t>Schematic</t>
  </si>
  <si>
    <t>PCB Material</t>
  </si>
  <si>
    <t>Wiring Instructions</t>
  </si>
  <si>
    <t>FR-4</t>
  </si>
  <si>
    <t>Netlist</t>
  </si>
  <si>
    <t>Tester Config</t>
  </si>
  <si>
    <t>BOM</t>
  </si>
  <si>
    <t>Rogers 4350 External (FR-4 core)</t>
  </si>
  <si>
    <t>Spec / Datasheet</t>
  </si>
  <si>
    <t>Rogers 4003 External (FR-4 core)</t>
  </si>
  <si>
    <t>N/A - No Core</t>
  </si>
  <si>
    <t>Hardware selection</t>
  </si>
  <si>
    <t>Customer / CMI</t>
  </si>
  <si>
    <t>N/A or Cust Installed</t>
  </si>
  <si>
    <t>Accel Fixture:</t>
  </si>
  <si>
    <t>Note: 2= Yes</t>
  </si>
  <si>
    <t>Core Frame Size:</t>
  </si>
  <si>
    <t>RFC</t>
  </si>
  <si>
    <t>Frame size</t>
  </si>
  <si>
    <t>Thk"</t>
  </si>
  <si>
    <t>1.24 x 1.24" [31.5 x 31.5mm]</t>
  </si>
  <si>
    <t xml:space="preserve">   Model/Size:</t>
  </si>
  <si>
    <t>Accel Kit Includes:</t>
  </si>
  <si>
    <t xml:space="preserve">   PCB Size:  </t>
  </si>
  <si>
    <t>4 PCBs</t>
  </si>
  <si>
    <t>MSI</t>
  </si>
  <si>
    <t>1.54 x 1.54" [39.1 x 39.1mm]</t>
  </si>
  <si>
    <t xml:space="preserve">   PCB thickness:</t>
  </si>
  <si>
    <t>1 Interposer</t>
  </si>
  <si>
    <t>LSI</t>
  </si>
  <si>
    <t>2.06 x 2.06" [52.3 x 52.3mm]</t>
  </si>
  <si>
    <t xml:space="preserve">   * Imposes a component height restriction in</t>
  </si>
  <si>
    <t>1 Pogo Pin Spares kit (pkg of 20)</t>
  </si>
  <si>
    <t>VLSR</t>
  </si>
  <si>
    <t>2.94 x 1.564 [74.7 x 39.7mm]</t>
  </si>
  <si>
    <t xml:space="preserve">      this region of the probe card of .045" [1.1mm]</t>
  </si>
  <si>
    <t>Note: Interposer is .051" thick.</t>
  </si>
  <si>
    <t>Accel Options</t>
  </si>
  <si>
    <t>♦ DUT is Packaged:</t>
  </si>
  <si>
    <t>Package Footprint Filename:</t>
  </si>
  <si>
    <t>♦ PCB Assembly by:</t>
  </si>
  <si>
    <t>*** RMA needed to receive customer devices***</t>
  </si>
  <si>
    <t>Accel Notes</t>
  </si>
  <si>
    <t>Core Selection</t>
  </si>
  <si>
    <t>Core RF lines</t>
  </si>
  <si>
    <t>Core Parametric?</t>
  </si>
  <si>
    <t>Config Card</t>
  </si>
  <si>
    <t>Config RF lines</t>
  </si>
  <si>
    <t>Standard Test Reports included with this order:</t>
  </si>
  <si>
    <t>Config Parametric?</t>
  </si>
  <si>
    <t>Test Report</t>
  </si>
  <si>
    <t>Frequency</t>
  </si>
  <si>
    <t>Applies To:</t>
  </si>
  <si>
    <t>PB3500 Raw Data</t>
  </si>
  <si>
    <t>Every Article</t>
  </si>
  <si>
    <t>Core Only</t>
  </si>
  <si>
    <t>S-Parameters</t>
  </si>
  <si>
    <t>First Article Only</t>
  </si>
  <si>
    <t>Custom PCB RF lines</t>
  </si>
  <si>
    <t>Low Leakage Report</t>
  </si>
  <si>
    <t>Custom Parametric?</t>
  </si>
  <si>
    <t>Parametric</t>
  </si>
  <si>
    <t>Additional cost options (Applies to RF lines only):</t>
  </si>
  <si>
    <t>Test report</t>
  </si>
  <si>
    <t>Rise Time report*</t>
  </si>
  <si>
    <t>Length Match report*</t>
  </si>
  <si>
    <t>Impedance report*</t>
  </si>
  <si>
    <t>* Not applicable to RF lines with components</t>
  </si>
  <si>
    <t>DUT</t>
  </si>
  <si>
    <t>Pad</t>
  </si>
  <si>
    <t>Line type:</t>
  </si>
  <si>
    <t>Bandwidth</t>
  </si>
  <si>
    <t xml:space="preserve">Maximum </t>
  </si>
  <si>
    <t xml:space="preserve">Components to be </t>
  </si>
  <si>
    <t>PCB /</t>
  </si>
  <si>
    <t>Fuse</t>
  </si>
  <si>
    <t>Conn</t>
  </si>
  <si>
    <t xml:space="preserve">Other requirements (impedance match, </t>
  </si>
  <si>
    <t>( 0,0 =</t>
  </si>
  <si>
    <t>)</t>
  </si>
  <si>
    <t>Name</t>
  </si>
  <si>
    <t xml:space="preserve"> RF, AC,</t>
  </si>
  <si>
    <t>current if</t>
  </si>
  <si>
    <t>mounted on the membrane</t>
  </si>
  <si>
    <t>Core</t>
  </si>
  <si>
    <t>um</t>
  </si>
  <si>
    <t>mounted on the PCB</t>
  </si>
  <si>
    <t>(Value)</t>
  </si>
  <si>
    <t>Designator</t>
  </si>
  <si>
    <t>delay match, - line(s) / tolerance, etc.</t>
  </si>
  <si>
    <t>No.</t>
  </si>
  <si>
    <t>DC,P,GND</t>
  </si>
  <si>
    <t>&gt; 0.1 Amp</t>
  </si>
  <si>
    <t>Connect to</t>
  </si>
  <si>
    <t>Interface</t>
  </si>
  <si>
    <t>Explain on separate sheet, if necessary)</t>
  </si>
  <si>
    <t>DesCap Change Record</t>
  </si>
  <si>
    <t>Please use this page to record all entries or changes made to document.  Include name of person making the change, &amp; date change was made.</t>
  </si>
  <si>
    <t>Rev</t>
  </si>
  <si>
    <t>Date</t>
  </si>
  <si>
    <t>Comments or Changes</t>
  </si>
  <si>
    <t>A</t>
  </si>
  <si>
    <t>Scribe line</t>
  </si>
  <si>
    <t>.Origin</t>
  </si>
  <si>
    <t>.Sense</t>
  </si>
  <si>
    <t>Pigtail?</t>
  </si>
  <si>
    <t>ID Pigtail:</t>
  </si>
  <si>
    <t>Pigtail</t>
  </si>
  <si>
    <t>Components to be mounted on the core:</t>
  </si>
  <si>
    <t>MaxDieX</t>
  </si>
  <si>
    <t>MaxDieY</t>
  </si>
  <si>
    <t>Shallow</t>
  </si>
  <si>
    <t>Minimum die sizes vs draft</t>
  </si>
  <si>
    <t>0.062" Edge milled:</t>
  </si>
  <si>
    <t>Size (mm)</t>
  </si>
  <si>
    <t>Size (um)</t>
  </si>
  <si>
    <t>.SE or
DIFF</t>
  </si>
  <si>
    <t>Qty:</t>
  </si>
  <si>
    <t>Summary data (read only from pinlist)</t>
  </si>
  <si>
    <t>*** RF Line type details ***
Bandwidth (Ghz)
or Risetime (pS)</t>
  </si>
  <si>
    <t>PCB Section ==&gt;</t>
  </si>
  <si>
    <t>Quantities:</t>
  </si>
  <si>
    <r>
      <t>Other special tests or reports</t>
    </r>
    <r>
      <rPr>
        <sz val="12"/>
        <rFont val="Times New Roman"/>
        <family val="1"/>
      </rPr>
      <t xml:space="preserve"> (subject to factory approval, may incure additional cost):</t>
    </r>
  </si>
  <si>
    <t>RF total</t>
  </si>
  <si>
    <t>Pinlist Net count variables</t>
  </si>
  <si>
    <t>Total contacted pads:</t>
  </si>
  <si>
    <t>Pinlist line match variables</t>
  </si>
  <si>
    <t>Tolerance</t>
  </si>
  <si>
    <t>♦ Make/Model of Prober:</t>
  </si>
  <si>
    <t>Cascade Field Apps Engr:</t>
  </si>
  <si>
    <t>Version:</t>
  </si>
  <si>
    <t>Sense</t>
  </si>
  <si>
    <t>&lt;&gt; 50
Ohms</t>
  </si>
  <si>
    <t>Indicates RF performance may be</t>
  </si>
  <si>
    <t>impacted by inline components</t>
  </si>
  <si>
    <t>Integration</t>
  </si>
  <si>
    <t>Available?</t>
  </si>
  <si>
    <t>Mismatch?</t>
  </si>
  <si>
    <t>Count</t>
  </si>
  <si>
    <t>Total</t>
  </si>
  <si>
    <t>&lt;=Ghz</t>
  </si>
  <si>
    <t>&gt;=PS</t>
  </si>
  <si>
    <t>Eng-3D IC Process Development</t>
  </si>
  <si>
    <t>Eng-Advanced Research</t>
  </si>
  <si>
    <t>Eng-Failure Analysis</t>
  </si>
  <si>
    <t>Eng-High Power</t>
  </si>
  <si>
    <t>Eng-IC Engineering/Design Debug</t>
  </si>
  <si>
    <t>Eng-Other</t>
  </si>
  <si>
    <t>Prod-Application, Baseband Processor</t>
  </si>
  <si>
    <t>Prod-Logic ASIC/ASSP</t>
  </si>
  <si>
    <t>Prod-Other</t>
  </si>
  <si>
    <t>Prod-Parametric</t>
  </si>
  <si>
    <t>Each RF</t>
  </si>
  <si>
    <t>consumes</t>
  </si>
  <si>
    <t>Non-pad flag</t>
  </si>
  <si>
    <t>Pad size Min:</t>
  </si>
  <si>
    <t>1fA/V flag</t>
  </si>
  <si>
    <t>♦ PCB Handles:</t>
  </si>
  <si>
    <t>RFC36RF</t>
  </si>
  <si>
    <t>LSB-47-CSK</t>
  </si>
  <si>
    <t>This page is for Cascade internal use only</t>
  </si>
  <si>
    <t>GND</t>
  </si>
  <si>
    <t>Customer Designed</t>
  </si>
  <si>
    <t>Configured</t>
  </si>
  <si>
    <t>Existing CMI</t>
  </si>
  <si>
    <t>Pyramid Core</t>
  </si>
  <si>
    <t>Setting</t>
  </si>
  <si>
    <t>PCB Type:</t>
  </si>
  <si>
    <t>Tester side</t>
  </si>
  <si>
    <t>Wafer side</t>
  </si>
  <si>
    <t>(affects probe depth)</t>
  </si>
  <si>
    <t>Prod-MPU, GPU, DSP, Network Processor</t>
  </si>
  <si>
    <t>Eng- Device Character/Process Develop</t>
  </si>
  <si>
    <t>Eng-Wafer Level Reliability</t>
  </si>
  <si>
    <t>Prod-High Power Production, PA</t>
  </si>
  <si>
    <t>Prod-RF Front End Device, filter, switch, duplexer</t>
  </si>
  <si>
    <t>Prod-RF SOC Device, e.g. transceiver</t>
  </si>
  <si>
    <t>Prod-MCU (microcontroller)</t>
  </si>
  <si>
    <t>Eng-Optoelectronics, e.g. TIA</t>
  </si>
  <si>
    <t>Application Tech:</t>
  </si>
  <si>
    <t>K-Std</t>
  </si>
  <si>
    <t>K-HS</t>
  </si>
  <si>
    <t>V-HS</t>
  </si>
  <si>
    <t>Rise Time report</t>
  </si>
  <si>
    <t>Length Match report</t>
  </si>
  <si>
    <t>Impedance report</t>
  </si>
  <si>
    <t>Test</t>
  </si>
  <si>
    <t>1st Article</t>
  </si>
  <si>
    <t>QAD Description:</t>
  </si>
  <si>
    <t>RF Test data</t>
  </si>
  <si>
    <t>Core type:</t>
  </si>
  <si>
    <t>General</t>
  </si>
  <si>
    <t>Core Data</t>
  </si>
  <si>
    <t>PCB type:</t>
  </si>
  <si>
    <t>Options</t>
  </si>
  <si>
    <t>Qty</t>
  </si>
  <si>
    <t>Accel Data</t>
  </si>
  <si>
    <t>Accel type:</t>
  </si>
  <si>
    <t>Flush mount handles</t>
  </si>
  <si>
    <t>Edge connector</t>
  </si>
  <si>
    <t>RFB-6R-CSK</t>
  </si>
  <si>
    <t>0.062"</t>
  </si>
  <si>
    <t>Standard</t>
  </si>
  <si>
    <t>Freq. Error:</t>
  </si>
  <si>
    <t>Data Error:</t>
  </si>
  <si>
    <t/>
  </si>
  <si>
    <t>Customer</t>
  </si>
  <si>
    <t>Contact:</t>
  </si>
  <si>
    <t>Device :</t>
  </si>
  <si>
    <t>This data is only used by the pricer</t>
  </si>
  <si>
    <t>Cust &amp; device:</t>
  </si>
  <si>
    <t>Cfig card data</t>
  </si>
  <si>
    <t>Probe Selection</t>
  </si>
  <si>
    <t>PCB Selection</t>
  </si>
  <si>
    <t>Existing Selection</t>
  </si>
  <si>
    <t>Pinlist</t>
  </si>
  <si>
    <t>Agilent 4062</t>
  </si>
  <si>
    <r>
      <t xml:space="preserve">Pad Center
</t>
    </r>
    <r>
      <rPr>
        <sz val="9"/>
        <color indexed="8"/>
        <rFont val="Times New Roman"/>
        <family val="1"/>
      </rPr>
      <t>(No Formula please)</t>
    </r>
  </si>
  <si>
    <t>Existing Core</t>
  </si>
  <si>
    <t>Core Label Options</t>
  </si>
  <si>
    <t>Laser Engraved</t>
  </si>
  <si>
    <t># Chars</t>
  </si>
  <si>
    <t>Limit to:</t>
  </si>
  <si>
    <t>Note: minimum acceptable pitch is .4mm</t>
  </si>
  <si>
    <t>Paper Label</t>
  </si>
  <si>
    <t>Bar Code (Code 128)</t>
  </si>
  <si>
    <t>Text:</t>
  </si>
  <si>
    <t>Agilent 4080 RF</t>
  </si>
  <si>
    <t>(Each consumes 1 DC channel)</t>
  </si>
  <si>
    <t>Probe Area checks</t>
  </si>
  <si>
    <t>Core PA</t>
  </si>
  <si>
    <t>Die PA</t>
  </si>
  <si>
    <t>Multi1 PA</t>
  </si>
  <si>
    <t>Multi2 PA</t>
  </si>
  <si>
    <t>(Degrees)</t>
  </si>
  <si>
    <t>Wafer</t>
  </si>
  <si>
    <t>Pin1</t>
  </si>
  <si>
    <t>Item</t>
  </si>
  <si>
    <t>Comments:</t>
  </si>
  <si>
    <t>Die area - Do not route across die face</t>
  </si>
  <si>
    <t>Die Center</t>
  </si>
  <si>
    <t>Probe area2 coords</t>
  </si>
  <si>
    <t>Probe area1 coords</t>
  </si>
  <si>
    <t>{START OF NETLIST}</t>
  </si>
  <si>
    <t>sort</t>
  </si>
  <si>
    <t>pad</t>
  </si>
  <si>
    <t>y</t>
  </si>
  <si>
    <t>name</t>
  </si>
  <si>
    <t>dNet</t>
  </si>
  <si>
    <t>type</t>
  </si>
  <si>
    <t>mName</t>
  </si>
  <si>
    <t>mRef</t>
  </si>
  <si>
    <t>mDesc</t>
  </si>
  <si>
    <t>mConTo</t>
  </si>
  <si>
    <t>mNet</t>
  </si>
  <si>
    <t>mNet2</t>
  </si>
  <si>
    <t>iNetM</t>
  </si>
  <si>
    <t>iIF</t>
  </si>
  <si>
    <t>siteqty</t>
  </si>
  <si>
    <t>PadSensitivity</t>
  </si>
  <si>
    <t>Tempmin</t>
  </si>
  <si>
    <t>tempmax</t>
  </si>
  <si>
    <t>passivW</t>
  </si>
  <si>
    <t>passivL</t>
  </si>
  <si>
    <t>dieBumpQty</t>
  </si>
  <si>
    <t>compQtyM</t>
  </si>
  <si>
    <t>multipleGnds</t>
  </si>
  <si>
    <t>PPD PN</t>
  </si>
  <si>
    <t>Rating</t>
  </si>
  <si>
    <t>PPD Description</t>
  </si>
  <si>
    <t>Installed</t>
  </si>
  <si>
    <t>Comment</t>
  </si>
  <si>
    <t>{START OF MATERIAL LIST}</t>
  </si>
  <si>
    <t>{END OF MATERIAL LIST}</t>
  </si>
  <si>
    <t>Pwr limit:</t>
  </si>
  <si>
    <t>Gnd Limit:</t>
  </si>
  <si>
    <t>Victor Tiaw</t>
  </si>
  <si>
    <t>0.193" [4.9mm] to probe depth</t>
  </si>
  <si>
    <t>Die</t>
  </si>
  <si>
    <t>TST_GHz</t>
  </si>
  <si>
    <t>TST_ps</t>
  </si>
  <si>
    <t>TST_Ohms</t>
  </si>
  <si>
    <t>Net</t>
  </si>
  <si>
    <t>ADAT</t>
  </si>
  <si>
    <t>Comp.</t>
  </si>
  <si>
    <t>TST_LMg</t>
  </si>
  <si>
    <t>TST_LMc</t>
  </si>
  <si>
    <t>TST_LMb</t>
  </si>
  <si>
    <t>TST_Lum</t>
  </si>
  <si>
    <t>Rise Time</t>
  </si>
  <si>
    <t>Single Ended</t>
  </si>
  <si>
    <t>comp</t>
  </si>
  <si>
    <t>Reference</t>
  </si>
  <si>
    <t>of Comp</t>
  </si>
  <si>
    <t>of CBI</t>
  </si>
  <si>
    <t>Len Match</t>
  </si>
  <si>
    <t>Memb spec</t>
  </si>
  <si>
    <t>Brd spec</t>
  </si>
  <si>
    <t>[Ghz]</t>
  </si>
  <si>
    <t>[PS]</t>
  </si>
  <si>
    <t>Imp. [Ohms]</t>
  </si>
  <si>
    <t>Pin 2</t>
  </si>
  <si>
    <t>Group</t>
  </si>
  <si>
    <t>(+/-ps)</t>
  </si>
  <si>
    <t>dut</t>
  </si>
  <si>
    <t>{END OF NETLIST}</t>
  </si>
  <si>
    <t>Bandwidth (GHz)
or Risetime (ps)</t>
  </si>
  <si>
    <t>=IF(E29&lt;&gt;"Existing CMI",0,MATCH(F31,BI28:BI32,"X"))</t>
  </si>
  <si>
    <t>Max Tips</t>
  </si>
  <si>
    <t>Product data table</t>
  </si>
  <si>
    <t>*** Budgetary RFQ Data ***</t>
  </si>
  <si>
    <t>Probe Array
Area 1</t>
  </si>
  <si>
    <t>Probe Array
Area 2</t>
  </si>
  <si>
    <t>Richard Carlsen</t>
  </si>
  <si>
    <t>(do not include streets)</t>
  </si>
  <si>
    <t>♦ Tester Details:</t>
  </si>
  <si>
    <t>Mike Bishop</t>
  </si>
  <si>
    <t>Larry Johnson</t>
  </si>
  <si>
    <t>PC Board:</t>
  </si>
  <si>
    <t>PCB size:</t>
  </si>
  <si>
    <t>Pattern viewed from:</t>
  </si>
  <si>
    <t>Sandra Wittmann</t>
  </si>
  <si>
    <t>Probe Temp (C°):</t>
  </si>
  <si>
    <t>9.5" Dia.</t>
  </si>
  <si>
    <t>Cu Pillar (bare)</t>
  </si>
  <si>
    <t>Cu Pillar (Sn cap)</t>
  </si>
  <si>
    <t>Material</t>
  </si>
  <si>
    <t>1st Device Site #:</t>
  </si>
  <si>
    <t>MSL</t>
  </si>
  <si>
    <t>V93K Pico-Amp</t>
  </si>
  <si>
    <t>9.448" [240mm] Diameter</t>
  </si>
  <si>
    <t>256 bit 2-pin EEPROM on core frame</t>
  </si>
  <si>
    <t>1K 2-pin EEPROM on core frame</t>
  </si>
  <si>
    <t>4K 8-pin EEPROM on core frame</t>
  </si>
  <si>
    <t>CBI usage</t>
  </si>
  <si>
    <t>Message</t>
  </si>
  <si>
    <t>RF CBI</t>
  </si>
  <si>
    <t>Usage</t>
  </si>
  <si>
    <t>***XY coordinates must be from probed side of die***</t>
  </si>
  <si>
    <t>Pad Size &amp; Orientation</t>
  </si>
  <si>
    <t>NX</t>
  </si>
  <si>
    <t>NY</t>
  </si>
  <si>
    <t>PCB &amp; Wafer Orientation</t>
  </si>
  <si>
    <t xml:space="preserve">  PCB &amp; Wafer Orientation</t>
  </si>
  <si>
    <t>Notch</t>
  </si>
  <si>
    <t>Die Viewpoint</t>
  </si>
  <si>
    <t>Die Origin Pin</t>
  </si>
  <si>
    <t>PCB Shape:</t>
  </si>
  <si>
    <t>Round</t>
  </si>
  <si>
    <t>Enable</t>
  </si>
  <si>
    <t>Rectangular</t>
  </si>
  <si>
    <t>Square</t>
  </si>
  <si>
    <t>Display Settings</t>
  </si>
  <si>
    <t>PCB Tester Channel 1</t>
  </si>
  <si>
    <t>Single die chart scale adjust</t>
  </si>
  <si>
    <t>Lower Left</t>
  </si>
  <si>
    <t>Upper Right</t>
  </si>
  <si>
    <t>RFB-47-CSK (no EM)</t>
  </si>
  <si>
    <t>Boundary</t>
  </si>
  <si>
    <t>box for</t>
  </si>
  <si>
    <t>new XY</t>
  </si>
  <si>
    <t>Coords</t>
  </si>
  <si>
    <t>pattern</t>
  </si>
  <si>
    <t>horizontally</t>
  </si>
  <si>
    <t>Pattern Quadrant:</t>
  </si>
  <si>
    <t>Center of last Dut</t>
  </si>
  <si>
    <t>Center of Dut 2</t>
  </si>
  <si>
    <t>Diagonal Indicator:</t>
  </si>
  <si>
    <t>Size:</t>
  </si>
  <si>
    <t>Angle:</t>
  </si>
  <si>
    <t>* Affected by stagger controls</t>
  </si>
  <si>
    <t>New XY</t>
  </si>
  <si>
    <t>Rotates the</t>
  </si>
  <si>
    <t>RF4</t>
  </si>
  <si>
    <t>John Hill</t>
  </si>
  <si>
    <t>Dut #</t>
  </si>
  <si>
    <t>Enabled</t>
  </si>
  <si>
    <t>Die Stepping Control</t>
  </si>
  <si>
    <t>Step Control DD</t>
  </si>
  <si>
    <t>Odd Die DD</t>
  </si>
  <si>
    <t>Step Modifier</t>
  </si>
  <si>
    <t>Pad
Pattern</t>
  </si>
  <si>
    <t>Overide enabled:</t>
  </si>
  <si>
    <t>Overide Values:</t>
  </si>
  <si>
    <t>Odd die DD</t>
  </si>
  <si>
    <t>Center of Dut 1</t>
  </si>
  <si>
    <t>1st-2*</t>
  </si>
  <si>
    <t>1st-3</t>
  </si>
  <si>
    <t>1st-4*</t>
  </si>
  <si>
    <t>Offset</t>
  </si>
  <si>
    <t>min</t>
  </si>
  <si>
    <t>max</t>
  </si>
  <si>
    <t>Chart_Adjust_min</t>
  </si>
  <si>
    <t>Chart_Adjust_max</t>
  </si>
  <si>
    <t>Coord Offset</t>
  </si>
  <si>
    <t>Chart scaling</t>
  </si>
  <si>
    <r>
      <t>Single Die Chart</t>
    </r>
    <r>
      <rPr>
        <b/>
        <sz val="10"/>
        <rFont val="Arial"/>
        <family val="2"/>
      </rPr>
      <t xml:space="preserve"> (units in microns)</t>
    </r>
  </si>
  <si>
    <t>Pattern overlap:</t>
  </si>
  <si>
    <t>P2000</t>
  </si>
  <si>
    <t>Shim kit Opt</t>
  </si>
  <si>
    <t>VLSR / P800S</t>
  </si>
  <si>
    <t>Wafer Flat / Notch:</t>
  </si>
  <si>
    <t>Operator Position:</t>
  </si>
  <si>
    <t>Orientation Approval:</t>
  </si>
  <si>
    <t>160-453</t>
  </si>
  <si>
    <t>Die image</t>
  </si>
  <si>
    <t>Pad chart data</t>
  </si>
  <si>
    <t>Core selected:</t>
  </si>
  <si>
    <t>Website:</t>
  </si>
  <si>
    <t>www.cmicro.com</t>
  </si>
  <si>
    <t>Shim kit selected:</t>
  </si>
  <si>
    <t>Initial DesCap preparation.</t>
  </si>
  <si>
    <r>
      <t>Multi-Die Chart</t>
    </r>
    <r>
      <rPr>
        <b/>
        <sz val="10"/>
        <rFont val="Arial"/>
        <family val="2"/>
      </rPr>
      <t xml:space="preserve"> (units in microns)</t>
    </r>
  </si>
  <si>
    <t>Pwr</t>
  </si>
  <si>
    <t>==►</t>
  </si>
  <si>
    <t>(Used on direct dock PCBs only)</t>
  </si>
  <si>
    <t>Edge Sen</t>
  </si>
  <si>
    <t>BC Label</t>
  </si>
  <si>
    <t>Chars?</t>
  </si>
  <si>
    <t>Index</t>
  </si>
  <si>
    <t>Prod. code</t>
  </si>
  <si>
    <t>3.12 x 1.12 [79.2 x 28.4mm]</t>
  </si>
  <si>
    <t>22.9" x 16.9"</t>
  </si>
  <si>
    <t>Advantest 93K Direct Dock</t>
  </si>
  <si>
    <t>Advantest 93K Pico-Amp</t>
  </si>
  <si>
    <t>Advantest 93K-12"</t>
  </si>
  <si>
    <t>Advantest 93K</t>
  </si>
  <si>
    <t>Advantest 83K</t>
  </si>
  <si>
    <t>Gavin Jien</t>
  </si>
  <si>
    <t>Bong Cho</t>
  </si>
  <si>
    <t>Jeff Damm</t>
  </si>
  <si>
    <t>Chart Enable:</t>
  </si>
  <si>
    <t>Net Name (from Pinlist page)</t>
  </si>
  <si>
    <t>Flush Mount</t>
  </si>
  <si>
    <t>Scale:</t>
  </si>
  <si>
    <t>Offset:</t>
  </si>
  <si>
    <t>Tester Side</t>
  </si>
  <si>
    <t xml:space="preserve">♦  Planerization Kit:      </t>
  </si>
  <si>
    <t>PadMetal</t>
  </si>
  <si>
    <t>EdgeSense</t>
  </si>
  <si>
    <t>1.0mm</t>
  </si>
  <si>
    <t>RFB-16-mW</t>
  </si>
  <si>
    <t>Max Speed</t>
  </si>
  <si>
    <t>the pinlist coordinates and cannot be changed here.</t>
  </si>
  <si>
    <r>
      <rPr>
        <b/>
        <sz val="10"/>
        <rFont val="Times New Roman"/>
        <family val="1"/>
      </rPr>
      <t>Instructions:</t>
    </r>
    <r>
      <rPr>
        <sz val="10"/>
        <rFont val="Times New Roman"/>
        <family val="1"/>
      </rPr>
      <t xml:space="preserve"> The DUT orientation is determined by</t>
    </r>
  </si>
  <si>
    <t>(Designated on Pinlist page, column B)</t>
  </si>
  <si>
    <t>Set orientation of the PCB, Wafer &amp; Operator above,</t>
  </si>
  <si>
    <t>then set Orientation Approval to Approved, or set</t>
  </si>
  <si>
    <t>to Designer's choice if orientation is not relevant.</t>
  </si>
  <si>
    <t>Config</t>
  </si>
  <si>
    <t>Pin 1 angle</t>
  </si>
  <si>
    <t>Config:</t>
  </si>
  <si>
    <r>
      <rPr>
        <b/>
        <sz val="10"/>
        <rFont val="Times New Roman"/>
        <family val="1"/>
      </rPr>
      <t>Note:</t>
    </r>
    <r>
      <rPr>
        <sz val="10"/>
        <rFont val="Times New Roman"/>
        <family val="1"/>
      </rPr>
      <t xml:space="preserve"> Configured card orientation cannot be changed.</t>
    </r>
  </si>
  <si>
    <t>Is any item below a request for non-standard product in terms of fit, form or function?</t>
  </si>
  <si>
    <t>Error checks</t>
  </si>
  <si>
    <t>Missing power supply details:</t>
  </si>
  <si>
    <t>0 - 3</t>
  </si>
  <si>
    <t>&gt;3 - 20</t>
  </si>
  <si>
    <t>&gt;20 - 40</t>
  </si>
  <si>
    <t>&gt;40 - 88</t>
  </si>
  <si>
    <t>Dane Granicher</t>
  </si>
  <si>
    <t>RF Lines (Ghz):</t>
  </si>
  <si>
    <t>P &amp; G</t>
  </si>
  <si>
    <t xml:space="preserve">Edge milling adds 0.062" [1.6mm] </t>
  </si>
  <si>
    <t>Power</t>
  </si>
  <si>
    <t>Larry Anderson</t>
  </si>
  <si>
    <t>Hdr Ref.Pin</t>
  </si>
  <si>
    <t>Or Tester</t>
  </si>
  <si>
    <t>Channel</t>
  </si>
  <si>
    <t>Chris Seguin</t>
  </si>
  <si>
    <t>Steps</t>
  </si>
  <si>
    <t>O</t>
  </si>
  <si>
    <t>Structure</t>
  </si>
  <si>
    <t>Load</t>
  </si>
  <si>
    <t>Short</t>
  </si>
  <si>
    <t>Alignment Mark</t>
  </si>
  <si>
    <t>Site</t>
  </si>
  <si>
    <t>Resistance</t>
  </si>
  <si>
    <t>Verification</t>
  </si>
  <si>
    <t>From</t>
  </si>
  <si>
    <t>To</t>
  </si>
  <si>
    <t>Structure Type</t>
  </si>
  <si>
    <t>Pad Locations</t>
  </si>
  <si>
    <t>Open</t>
  </si>
  <si>
    <t>Thru</t>
  </si>
  <si>
    <t>Verification_Type</t>
  </si>
  <si>
    <t>Offset Open</t>
  </si>
  <si>
    <t>Offset Short</t>
  </si>
  <si>
    <t>AM</t>
  </si>
  <si>
    <t>S</t>
  </si>
  <si>
    <t>L</t>
  </si>
  <si>
    <t>T</t>
  </si>
  <si>
    <t>OO</t>
  </si>
  <si>
    <t>OS</t>
  </si>
  <si>
    <t>150Ω</t>
  </si>
  <si>
    <t>100Ω</t>
  </si>
  <si>
    <t>75Ω</t>
  </si>
  <si>
    <t>50Ω</t>
  </si>
  <si>
    <t>35Ω</t>
  </si>
  <si>
    <t>25Ω</t>
  </si>
  <si>
    <t>10Ω</t>
  </si>
  <si>
    <t>ISS Columns =&gt;</t>
  </si>
  <si>
    <t>ISS P/N:</t>
  </si>
  <si>
    <t>ISS Options</t>
  </si>
  <si>
    <t xml:space="preserve">♦ ISS Label:   </t>
  </si>
  <si>
    <t>Label options</t>
  </si>
  <si>
    <t>ISS Configuration Table</t>
  </si>
  <si>
    <t>ISS Active area</t>
  </si>
  <si>
    <t>uM</t>
  </si>
  <si>
    <t>Deactivate?</t>
  </si>
  <si>
    <t>THIS PAGE IS NOT IN USE BASED ON COVER PAGE SELECTIONS</t>
  </si>
  <si>
    <t>Available Structure Types</t>
  </si>
  <si>
    <t>Instructions:</t>
  </si>
  <si>
    <t xml:space="preserve">♦ Custom ISS:  </t>
  </si>
  <si>
    <t>Example ISS</t>
  </si>
  <si>
    <t>Non-pad flag:</t>
  </si>
  <si>
    <t>Product Error flag:</t>
  </si>
  <si>
    <t>Die_Pad</t>
  </si>
  <si>
    <t>Joined</t>
  </si>
  <si>
    <t>This page to be edited by Cascade internal personnel only</t>
  </si>
  <si>
    <t>These fields to be used for PCB design</t>
  </si>
  <si>
    <t>Core Net Name</t>
  </si>
  <si>
    <t>(Labeled on</t>
  </si>
  <si>
    <t>Membrane PDF)</t>
  </si>
  <si>
    <t>inTEST MX</t>
  </si>
  <si>
    <t>440-0315-00</t>
  </si>
  <si>
    <t>WR12</t>
  </si>
  <si>
    <t>SMP</t>
  </si>
  <si>
    <t>AFX 2.92</t>
  </si>
  <si>
    <t xml:space="preserve">♦ Die Size:                      </t>
  </si>
  <si>
    <t>Nick Chen</t>
  </si>
  <si>
    <t>Patrick Rhodes</t>
  </si>
  <si>
    <t>Panasonic Megtron 6</t>
  </si>
  <si>
    <t>Panasonic Megtron 4</t>
  </si>
  <si>
    <r>
      <t xml:space="preserve">Selection: </t>
    </r>
    <r>
      <rPr>
        <sz val="10"/>
        <color rgb="FFFF0000"/>
        <rFont val="Times New Roman"/>
        <family val="1"/>
      </rPr>
      <t>(Passed to pricer from cover page BC51:BF54)</t>
    </r>
  </si>
  <si>
    <t xml:space="preserve"> Cover Page</t>
  </si>
  <si>
    <t xml:space="preserve"> Production Probes Design Capture Order Form</t>
  </si>
  <si>
    <t xml:space="preserve"> Core Worksheet</t>
  </si>
  <si>
    <t xml:space="preserve"> DUT Worksheet</t>
  </si>
  <si>
    <t xml:space="preserve"> Configured PCB Worksheet</t>
  </si>
  <si>
    <t xml:space="preserve"> Custom PCB Worksheet</t>
  </si>
  <si>
    <t xml:space="preserve"> Accel Fixture Worksheet</t>
  </si>
  <si>
    <t xml:space="preserve"> Test Notes Worksheet</t>
  </si>
  <si>
    <t>Complete the configuration table below. The resulting patterns will display</t>
  </si>
  <si>
    <t>in the right hand panel as they will appear on the completed ISS.</t>
  </si>
  <si>
    <t>Pattern Step</t>
  </si>
  <si>
    <t>Willy Tang</t>
  </si>
  <si>
    <t>Nelco 4000-13 SI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</si>
</sst>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yyyy"/>
    <numFmt numFmtId="166" formatCode="0.0"/>
    <numFmt numFmtId="167" formatCode="0.0000"/>
    <numFmt numFmtId="168" formatCode="&quot;$&quot;#,##0.00"/>
    <numFmt numFmtId="169" formatCode="mm/dd/yy"/>
    <numFmt numFmtId="170" formatCode="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i/>
      <sz val="9"/>
      <name val="Times New Roman"/>
      <family val="1"/>
    </font>
    <font>
      <b/>
      <sz val="10"/>
      <color indexed="12"/>
      <name val="Times New Roman"/>
      <family val="1"/>
    </font>
    <font>
      <sz val="10"/>
      <name val="Arial"/>
      <family val="2"/>
    </font>
    <font>
      <sz val="11"/>
      <name val="Times New Roman"/>
      <family val="1"/>
    </font>
    <font>
      <sz val="12"/>
      <name val="Times New Roman"/>
      <family val="1"/>
    </font>
    <font>
      <b/>
      <sz val="12"/>
      <name val="Times New Roman"/>
      <family val="1"/>
    </font>
    <font>
      <b/>
      <sz val="10"/>
      <name val="Arial"/>
      <family val="2"/>
    </font>
    <font>
      <sz val="10"/>
      <color indexed="12"/>
      <name val="Arial"/>
      <family val="2"/>
    </font>
    <font>
      <sz val="10"/>
      <color indexed="12"/>
      <name val="Times New Roman"/>
      <family val="1"/>
    </font>
    <font>
      <b/>
      <sz val="12"/>
      <color indexed="9"/>
      <name val="Times New Roman"/>
      <family val="1"/>
    </font>
    <font>
      <sz val="9"/>
      <name val="Times New Roman"/>
      <family val="1"/>
    </font>
    <font>
      <b/>
      <sz val="10"/>
      <name val="Times New Roman"/>
      <family val="1"/>
    </font>
    <font>
      <b/>
      <sz val="10"/>
      <name val="Arial"/>
      <family val="2"/>
    </font>
    <font>
      <sz val="12"/>
      <color indexed="9"/>
      <name val="Times New Roman"/>
      <family val="1"/>
    </font>
    <font>
      <b/>
      <sz val="11"/>
      <name val="Times New Roman"/>
      <family val="1"/>
    </font>
    <font>
      <b/>
      <sz val="11"/>
      <color indexed="12"/>
      <name val="Times New Roman"/>
      <family val="1"/>
    </font>
    <font>
      <sz val="11"/>
      <color indexed="12"/>
      <name val="Times New Roman"/>
      <family val="1"/>
    </font>
    <font>
      <sz val="11"/>
      <color indexed="12"/>
      <name val="Arial"/>
      <family val="2"/>
    </font>
    <font>
      <b/>
      <sz val="14"/>
      <name val="Times New Roman"/>
      <family val="1"/>
    </font>
    <font>
      <b/>
      <sz val="8"/>
      <name val="Arial"/>
      <family val="2"/>
    </font>
    <font>
      <sz val="12"/>
      <name val="Arial"/>
      <family val="2"/>
    </font>
    <font>
      <i/>
      <sz val="12"/>
      <name val="Times New Roman"/>
      <family val="1"/>
    </font>
    <font>
      <sz val="10"/>
      <color indexed="9"/>
      <name val="Arial"/>
      <family val="2"/>
    </font>
    <font>
      <sz val="10"/>
      <color indexed="9"/>
      <name val="Times New Roman"/>
      <family val="1"/>
    </font>
    <font>
      <b/>
      <sz val="10"/>
      <color indexed="9"/>
      <name val="Times New Roman"/>
      <family val="1"/>
    </font>
    <font>
      <b/>
      <sz val="10"/>
      <color indexed="8"/>
      <name val="Arial"/>
      <family val="2"/>
    </font>
    <font>
      <b/>
      <sz val="10"/>
      <color indexed="12"/>
      <name val="Arial"/>
      <family val="2"/>
    </font>
    <font>
      <sz val="12"/>
      <color indexed="9"/>
      <name val="Arial"/>
      <family val="2"/>
    </font>
    <font>
      <b/>
      <sz val="8"/>
      <name val="Times New Roman"/>
      <family val="1"/>
    </font>
    <font>
      <b/>
      <sz val="8"/>
      <color indexed="12"/>
      <name val="Times New Roman"/>
      <family val="1"/>
    </font>
    <font>
      <sz val="8"/>
      <color indexed="12"/>
      <name val="Times New Roman"/>
      <family val="1"/>
    </font>
    <font>
      <sz val="8"/>
      <name val="Times New Roman"/>
      <family val="1"/>
    </font>
    <font>
      <sz val="8"/>
      <name val="Arial"/>
      <family val="2"/>
    </font>
    <font>
      <u/>
      <sz val="8.5"/>
      <color indexed="12"/>
      <name val="Arial"/>
      <family val="2"/>
    </font>
    <font>
      <b/>
      <sz val="8"/>
      <color indexed="81"/>
      <name val="Tahoma"/>
      <family val="2"/>
    </font>
    <font>
      <sz val="8"/>
      <color indexed="81"/>
      <name val="Tahoma"/>
      <family val="2"/>
    </font>
    <font>
      <b/>
      <sz val="8"/>
      <color indexed="12"/>
      <name val="Tahoma"/>
      <family val="2"/>
    </font>
    <font>
      <b/>
      <sz val="8"/>
      <color indexed="14"/>
      <name val="Tahoma"/>
      <family val="2"/>
    </font>
    <font>
      <u/>
      <sz val="8"/>
      <color indexed="81"/>
      <name val="Tahoma"/>
      <family val="2"/>
    </font>
    <font>
      <sz val="12"/>
      <color indexed="12"/>
      <name val="Times New Roman"/>
      <family val="1"/>
    </font>
    <font>
      <b/>
      <sz val="10"/>
      <color indexed="14"/>
      <name val="Times New Roman"/>
      <family val="1"/>
    </font>
    <font>
      <b/>
      <i/>
      <sz val="12"/>
      <name val="Times New Roman"/>
      <family val="1"/>
    </font>
    <font>
      <i/>
      <sz val="8"/>
      <name val="Times New Roman"/>
      <family val="1"/>
    </font>
    <font>
      <b/>
      <sz val="10"/>
      <color indexed="10"/>
      <name val="Times New Roman"/>
      <family val="1"/>
    </font>
    <font>
      <sz val="10"/>
      <color indexed="9"/>
      <name val="Times New Roman"/>
      <family val="1"/>
    </font>
    <font>
      <b/>
      <sz val="9"/>
      <name val="Times New Roman"/>
      <family val="1"/>
    </font>
    <font>
      <sz val="9"/>
      <color indexed="81"/>
      <name val="Tahoma"/>
      <family val="2"/>
    </font>
    <font>
      <b/>
      <sz val="9"/>
      <color indexed="81"/>
      <name val="Tahoma"/>
      <family val="2"/>
    </font>
    <font>
      <b/>
      <vertAlign val="subscript"/>
      <sz val="10"/>
      <name val="Times New Roman"/>
      <family val="1"/>
    </font>
    <font>
      <sz val="9"/>
      <name val="Arial"/>
      <family val="2"/>
    </font>
    <font>
      <sz val="11"/>
      <color indexed="8"/>
      <name val="Calibri"/>
      <family val="2"/>
    </font>
    <font>
      <sz val="10"/>
      <color indexed="8"/>
      <name val="Times New Roman"/>
      <family val="1"/>
    </font>
    <font>
      <b/>
      <sz val="10"/>
      <color indexed="49"/>
      <name val="Arial"/>
      <family val="2"/>
    </font>
    <font>
      <sz val="10"/>
      <color indexed="17"/>
      <name val="Arial"/>
      <family val="2"/>
    </font>
    <font>
      <b/>
      <sz val="10"/>
      <color indexed="48"/>
      <name val="Arial"/>
      <family val="2"/>
    </font>
    <font>
      <b/>
      <sz val="12"/>
      <name val="Arial"/>
      <family val="2"/>
    </font>
    <font>
      <sz val="10"/>
      <color indexed="10"/>
      <name val="Arial"/>
      <family val="2"/>
    </font>
    <font>
      <sz val="11"/>
      <name val="Cambria"/>
      <family val="1"/>
    </font>
    <font>
      <b/>
      <sz val="12"/>
      <color indexed="12"/>
      <name val="Times New Roman"/>
      <family val="1"/>
    </font>
    <font>
      <b/>
      <u/>
      <sz val="10"/>
      <name val="Times New Roman"/>
      <family val="1"/>
    </font>
    <font>
      <b/>
      <i/>
      <sz val="10"/>
      <name val="Times New Roman"/>
      <family val="1"/>
    </font>
    <font>
      <sz val="10"/>
      <name val="Calibri"/>
      <family val="2"/>
    </font>
    <font>
      <b/>
      <sz val="10"/>
      <color indexed="9"/>
      <name val="Symbol"/>
      <family val="1"/>
      <charset val="2"/>
    </font>
    <font>
      <b/>
      <sz val="10"/>
      <name val="Symbol"/>
      <family val="1"/>
      <charset val="2"/>
    </font>
    <font>
      <sz val="10"/>
      <color indexed="10"/>
      <name val="Times New Roman"/>
      <family val="1"/>
    </font>
    <font>
      <b/>
      <sz val="11"/>
      <name val="Cambria"/>
      <family val="1"/>
    </font>
    <font>
      <b/>
      <sz val="10"/>
      <color indexed="14"/>
      <name val="Arial"/>
      <family val="2"/>
    </font>
    <font>
      <sz val="11"/>
      <color indexed="9"/>
      <name val="Times New Roman"/>
      <family val="1"/>
    </font>
    <font>
      <sz val="11"/>
      <name val="Symbol"/>
      <family val="1"/>
      <charset val="2"/>
    </font>
    <font>
      <b/>
      <i/>
      <sz val="11"/>
      <name val="Times New Roman"/>
      <family val="1"/>
    </font>
    <font>
      <i/>
      <sz val="10"/>
      <name val="Times New Roman"/>
      <family val="1"/>
    </font>
    <font>
      <b/>
      <sz val="12"/>
      <color indexed="10"/>
      <name val="Times New Roman"/>
      <family val="1"/>
    </font>
    <font>
      <sz val="8"/>
      <color indexed="12"/>
      <name val="Arial"/>
      <family val="2"/>
    </font>
    <font>
      <b/>
      <sz val="8"/>
      <color indexed="12"/>
      <name val="Arial"/>
      <family val="2"/>
    </font>
    <font>
      <b/>
      <sz val="10"/>
      <color indexed="8"/>
      <name val="Times New Roman"/>
      <family val="1"/>
    </font>
    <font>
      <b/>
      <sz val="9"/>
      <name val="Arial"/>
      <family val="2"/>
    </font>
    <font>
      <sz val="10"/>
      <name val="Symbol"/>
      <family val="1"/>
      <charset val="2"/>
    </font>
    <font>
      <b/>
      <sz val="10"/>
      <color indexed="8"/>
      <name val="Arial"/>
      <family val="2"/>
    </font>
    <font>
      <b/>
      <sz val="10"/>
      <color indexed="8"/>
      <name val="Times New Roman"/>
      <family val="1"/>
    </font>
    <font>
      <b/>
      <sz val="10"/>
      <color indexed="12"/>
      <name val="Times New Roman"/>
      <family val="1"/>
    </font>
    <font>
      <sz val="10"/>
      <color indexed="12"/>
      <name val="Arial"/>
      <family val="2"/>
    </font>
    <font>
      <b/>
      <sz val="8"/>
      <color indexed="12"/>
      <name val="Times New Roman"/>
      <family val="1"/>
    </font>
    <font>
      <b/>
      <sz val="8"/>
      <color indexed="30"/>
      <name val="Times New Roman"/>
      <family val="1"/>
    </font>
    <font>
      <sz val="10"/>
      <color indexed="12"/>
      <name val="Times New Roman"/>
      <family val="1"/>
    </font>
    <font>
      <b/>
      <sz val="12"/>
      <color indexed="8"/>
      <name val="Times New Roman"/>
      <family val="1"/>
    </font>
    <font>
      <b/>
      <sz val="10"/>
      <color indexed="10"/>
      <name val="Arial"/>
      <family val="2"/>
    </font>
    <font>
      <b/>
      <sz val="10"/>
      <color indexed="12"/>
      <name val="Arial"/>
      <family val="2"/>
    </font>
    <font>
      <b/>
      <sz val="10"/>
      <color indexed="10"/>
      <name val="Times New Roman"/>
      <family val="1"/>
    </font>
    <font>
      <b/>
      <sz val="12"/>
      <color indexed="10"/>
      <name val="Symbol"/>
      <family val="1"/>
      <charset val="2"/>
    </font>
    <font>
      <sz val="10"/>
      <color indexed="10"/>
      <name val="Times New Roman"/>
      <family val="1"/>
    </font>
    <font>
      <sz val="10"/>
      <color indexed="10"/>
      <name val="Arial"/>
      <family val="2"/>
    </font>
    <font>
      <b/>
      <sz val="11"/>
      <color indexed="10"/>
      <name val="Times New Roman"/>
      <family val="1"/>
    </font>
    <font>
      <sz val="9"/>
      <color indexed="10"/>
      <name val="Arial"/>
      <family val="2"/>
    </font>
    <font>
      <b/>
      <sz val="10"/>
      <color indexed="10"/>
      <name val="Arial"/>
      <family val="2"/>
    </font>
    <font>
      <sz val="10"/>
      <color indexed="55"/>
      <name val="Arial"/>
      <family val="2"/>
    </font>
    <font>
      <b/>
      <sz val="10"/>
      <color indexed="17"/>
      <name val="Arial"/>
      <family val="2"/>
    </font>
    <font>
      <b/>
      <sz val="11"/>
      <color indexed="10"/>
      <name val="Times New Roman"/>
      <family val="1"/>
    </font>
    <font>
      <b/>
      <sz val="10"/>
      <color indexed="57"/>
      <name val="Times New Roman"/>
      <family val="1"/>
    </font>
    <font>
      <sz val="10"/>
      <color indexed="57"/>
      <name val="Times New Roman"/>
      <family val="1"/>
    </font>
    <font>
      <b/>
      <sz val="12"/>
      <color indexed="10"/>
      <name val="Times New Roman"/>
      <family val="1"/>
    </font>
    <font>
      <b/>
      <sz val="12"/>
      <color indexed="8"/>
      <name val="Symbol"/>
      <family val="1"/>
      <charset val="2"/>
    </font>
    <font>
      <b/>
      <sz val="11"/>
      <color indexed="12"/>
      <name val="Arial"/>
      <family val="2"/>
    </font>
    <font>
      <b/>
      <sz val="8"/>
      <name val="Symbol"/>
      <family val="1"/>
      <charset val="2"/>
    </font>
    <font>
      <b/>
      <sz val="8"/>
      <color indexed="12"/>
      <name val="Arial"/>
      <family val="2"/>
    </font>
    <font>
      <sz val="8"/>
      <color indexed="12"/>
      <name val="Times New Roman"/>
      <family val="1"/>
    </font>
    <font>
      <sz val="9"/>
      <color indexed="8"/>
      <name val="Times New Roman"/>
      <family val="1"/>
    </font>
    <font>
      <u/>
      <sz val="9"/>
      <color indexed="81"/>
      <name val="Tahoma"/>
      <family val="2"/>
    </font>
    <font>
      <b/>
      <sz val="10"/>
      <color indexed="53"/>
      <name val="Times New Roman"/>
      <family val="1"/>
    </font>
    <font>
      <b/>
      <u/>
      <sz val="11"/>
      <name val="Times New Roman"/>
      <family val="1"/>
    </font>
    <font>
      <b/>
      <sz val="10"/>
      <color indexed="9"/>
      <name val="Arial"/>
      <family val="2"/>
    </font>
    <font>
      <sz val="8"/>
      <name val="Arial"/>
      <family val="2"/>
    </font>
    <font>
      <sz val="11"/>
      <color theme="1"/>
      <name val="Calibri"/>
      <family val="2"/>
      <scheme val="minor"/>
    </font>
    <font>
      <b/>
      <sz val="10"/>
      <color rgb="FFFF0000"/>
      <name val="Arial"/>
      <family val="2"/>
    </font>
    <font>
      <sz val="10"/>
      <color theme="0"/>
      <name val="Times New Roman"/>
      <family val="1"/>
    </font>
    <font>
      <b/>
      <sz val="10"/>
      <color rgb="FFFF0000"/>
      <name val="Times New Roman"/>
      <family val="1"/>
    </font>
    <font>
      <sz val="10"/>
      <color rgb="FF0000FF"/>
      <name val="Arial"/>
      <family val="2"/>
    </font>
    <font>
      <b/>
      <sz val="10"/>
      <color theme="1"/>
      <name val="Times New Roman"/>
      <family val="1"/>
    </font>
    <font>
      <b/>
      <u/>
      <sz val="9"/>
      <color indexed="81"/>
      <name val="Tahoma"/>
      <family val="2"/>
    </font>
    <font>
      <b/>
      <sz val="10"/>
      <color rgb="FF0000FF"/>
      <name val="Times New Roman"/>
      <family val="1"/>
    </font>
    <font>
      <b/>
      <sz val="10"/>
      <color theme="0"/>
      <name val="Times New Roman"/>
      <family val="1"/>
    </font>
    <font>
      <b/>
      <sz val="10"/>
      <color rgb="FF0000FF"/>
      <name val="Arial"/>
      <family val="2"/>
    </font>
    <font>
      <b/>
      <sz val="10"/>
      <color theme="3" tint="0.39994506668294322"/>
      <name val="Arial"/>
      <family val="2"/>
    </font>
    <font>
      <sz val="6"/>
      <name val="Times New Roman"/>
      <family val="1"/>
    </font>
    <font>
      <sz val="10"/>
      <color rgb="FFFF0000"/>
      <name val="Times New Roman"/>
      <family val="1"/>
    </font>
    <font>
      <sz val="10"/>
      <color rgb="FF00B050"/>
      <name val="Times New Roman"/>
      <family val="1"/>
    </font>
    <font>
      <b/>
      <sz val="10"/>
      <color rgb="FF00B050"/>
      <name val="Times New Roman"/>
      <family val="1"/>
    </font>
    <font>
      <b/>
      <sz val="10"/>
      <color theme="0"/>
      <name val="Arial"/>
      <family val="2"/>
    </font>
    <font>
      <sz val="10"/>
      <color theme="0"/>
      <name val="Arial"/>
      <family val="2"/>
    </font>
    <font>
      <b/>
      <sz val="8"/>
      <color theme="0"/>
      <name val="Times New Roman"/>
      <family val="1"/>
    </font>
    <font>
      <b/>
      <sz val="8"/>
      <color theme="0"/>
      <name val="Arial"/>
      <family val="2"/>
    </font>
    <font>
      <b/>
      <sz val="10"/>
      <color theme="3" tint="0.39997558519241921"/>
      <name val="Times New Roman"/>
      <family val="1"/>
    </font>
    <font>
      <b/>
      <sz val="10"/>
      <color theme="3" tint="0.39997558519241921"/>
      <name val="Arial"/>
      <family val="2"/>
    </font>
    <font>
      <i/>
      <sz val="8"/>
      <color theme="0"/>
      <name val="Times New Roman"/>
      <family val="1"/>
    </font>
    <font>
      <b/>
      <u/>
      <sz val="11"/>
      <color theme="0"/>
      <name val="Times New Roman"/>
      <family val="1"/>
    </font>
    <font>
      <b/>
      <sz val="8"/>
      <color rgb="FFC00000"/>
      <name val="Arial"/>
      <family val="2"/>
    </font>
    <font>
      <b/>
      <sz val="10"/>
      <color rgb="FFC00000"/>
      <name val="Arial"/>
      <family val="2"/>
    </font>
    <font>
      <b/>
      <sz val="10"/>
      <color rgb="FF00B050"/>
      <name val="Arial"/>
      <family val="2"/>
    </font>
    <font>
      <sz val="10"/>
      <color rgb="FFC00000"/>
      <name val="Arial"/>
      <family val="2"/>
    </font>
    <font>
      <b/>
      <sz val="12"/>
      <color rgb="FFFF0000"/>
      <name val="Times New Roman"/>
      <family val="1"/>
    </font>
    <font>
      <b/>
      <sz val="11"/>
      <color theme="1"/>
      <name val="Calibri"/>
      <family val="2"/>
      <scheme val="minor"/>
    </font>
    <font>
      <b/>
      <sz val="8"/>
      <color rgb="FF0000FF"/>
      <name val="Arial"/>
      <family val="2"/>
    </font>
  </fonts>
  <fills count="30">
    <fill>
      <patternFill patternType="none"/>
    </fill>
    <fill>
      <patternFill patternType="gray125"/>
    </fill>
    <fill>
      <patternFill patternType="solid">
        <fgColor indexed="18"/>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indexed="22"/>
        <bgColor indexed="41"/>
      </patternFill>
    </fill>
    <fill>
      <patternFill patternType="solid">
        <fgColor indexed="9"/>
        <bgColor indexed="64"/>
      </patternFill>
    </fill>
    <fill>
      <patternFill patternType="solid">
        <fgColor indexed="17"/>
        <bgColor indexed="64"/>
      </patternFill>
    </fill>
    <fill>
      <patternFill patternType="lightVertical">
        <fgColor indexed="51"/>
      </patternFill>
    </fill>
    <fill>
      <patternFill patternType="solid">
        <fgColor indexed="55"/>
        <bgColor indexed="64"/>
      </patternFill>
    </fill>
    <fill>
      <patternFill patternType="solid">
        <fgColor indexed="42"/>
        <bgColor indexed="41"/>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14999847407452621"/>
        <bgColor indexed="41"/>
      </patternFill>
    </fill>
    <fill>
      <patternFill patternType="solid">
        <fgColor rgb="FFFFFF00"/>
        <bgColor indexed="64"/>
      </patternFill>
    </fill>
    <fill>
      <patternFill patternType="solid">
        <fgColor rgb="FF004B00"/>
        <bgColor indexed="64"/>
      </patternFill>
    </fill>
    <fill>
      <patternFill patternType="solid">
        <fgColor rgb="FF007800"/>
        <bgColor indexed="64"/>
      </patternFill>
    </fill>
    <fill>
      <patternFill patternType="solid">
        <fgColor rgb="FFCCFFCC"/>
        <bgColor indexed="64"/>
      </patternFill>
    </fill>
    <fill>
      <patternFill patternType="solid">
        <fgColor theme="0"/>
        <bgColor indexed="64"/>
      </patternFill>
    </fill>
    <fill>
      <patternFill patternType="solid">
        <fgColor rgb="FF0000FF"/>
        <bgColor indexed="64"/>
      </patternFill>
    </fill>
    <fill>
      <patternFill patternType="solid">
        <fgColor rgb="FFFF000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92D050"/>
        <bgColor indexed="64"/>
      </patternFill>
    </fill>
  </fills>
  <borders count="128">
    <border>
      <left/>
      <right/>
      <top/>
      <bottom/>
      <diagonal/>
    </border>
    <border>
      <left style="mediumDashed">
        <color indexed="64"/>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style="dotted">
        <color indexed="64"/>
      </left>
      <right/>
      <top style="dotted">
        <color indexed="64"/>
      </top>
      <bottom/>
      <diagonal/>
    </border>
    <border>
      <left/>
      <right/>
      <top style="dotted">
        <color indexed="64"/>
      </top>
      <bottom/>
      <diagonal/>
    </border>
    <border>
      <left/>
      <right/>
      <top/>
      <bottom style="dotted">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dotted">
        <color indexed="64"/>
      </left>
      <right/>
      <top/>
      <bottom/>
      <diagonal/>
    </border>
    <border>
      <left/>
      <right style="dotted">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top style="dotted">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bottom style="hair">
        <color indexed="64"/>
      </bottom>
      <diagonal/>
    </border>
    <border>
      <left style="hair">
        <color indexed="64"/>
      </left>
      <right style="hair">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hair">
        <color indexed="64"/>
      </right>
      <top/>
      <bottom style="thin">
        <color indexed="64"/>
      </bottom>
      <diagonal/>
    </border>
    <border>
      <left style="medium">
        <color indexed="64"/>
      </left>
      <right style="medium">
        <color indexed="64"/>
      </right>
      <top/>
      <bottom style="hair">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11"/>
      </left>
      <right style="medium">
        <color indexed="11"/>
      </right>
      <top style="medium">
        <color indexed="11"/>
      </top>
      <bottom/>
      <diagonal/>
    </border>
    <border>
      <left style="medium">
        <color indexed="11"/>
      </left>
      <right style="medium">
        <color indexed="11"/>
      </right>
      <top/>
      <bottom/>
      <diagonal/>
    </border>
    <border>
      <left style="medium">
        <color indexed="11"/>
      </left>
      <right style="medium">
        <color indexed="11"/>
      </right>
      <top/>
      <bottom style="medium">
        <color indexed="11"/>
      </bottom>
      <diagonal/>
    </border>
    <border>
      <left/>
      <right/>
      <top/>
      <bottom style="dashed">
        <color indexed="64"/>
      </bottom>
      <diagonal/>
    </border>
    <border>
      <left style="dashed">
        <color indexed="64"/>
      </left>
      <right/>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style="hair">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dashed">
        <color indexed="64"/>
      </bottom>
      <diagonal/>
    </border>
    <border>
      <left/>
      <right/>
      <top style="medium">
        <color theme="1" tint="0.24994659260841701"/>
      </top>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right/>
      <top style="thick">
        <color theme="1" tint="0.24994659260841701"/>
      </top>
      <bottom/>
      <diagonal/>
    </border>
    <border>
      <left/>
      <right/>
      <top/>
      <bottom style="thick">
        <color theme="1" tint="0.24994659260841701"/>
      </bottom>
      <diagonal/>
    </border>
    <border>
      <left style="dashDotDot">
        <color auto="1"/>
      </left>
      <right style="dashDotDot">
        <color auto="1"/>
      </right>
      <top style="dashDotDot">
        <color auto="1"/>
      </top>
      <bottom/>
      <diagonal/>
    </border>
    <border>
      <left style="dashDotDot">
        <color auto="1"/>
      </left>
      <right style="dashDotDot">
        <color auto="1"/>
      </right>
      <top/>
      <bottom/>
      <diagonal/>
    </border>
    <border>
      <left style="dashDotDot">
        <color auto="1"/>
      </left>
      <right style="dashDotDot">
        <color auto="1"/>
      </right>
      <top/>
      <bottom style="dashDotDot">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indexed="64"/>
      </left>
      <right/>
      <top style="medium">
        <color indexed="64"/>
      </top>
      <bottom/>
      <diagonal/>
    </border>
    <border>
      <left/>
      <right style="hair">
        <color indexed="64"/>
      </right>
      <top style="medium">
        <color indexed="64"/>
      </top>
      <bottom/>
      <diagonal/>
    </border>
    <border>
      <left style="medium">
        <color theme="9" tint="-0.499984740745262"/>
      </left>
      <right style="medium">
        <color theme="9" tint="-0.499984740745262"/>
      </right>
      <top style="medium">
        <color theme="9" tint="-0.499984740745262"/>
      </top>
      <bottom/>
      <diagonal/>
    </border>
    <border>
      <left style="medium">
        <color theme="9" tint="-0.499984740745262"/>
      </left>
      <right style="medium">
        <color theme="9" tint="-0.499984740745262"/>
      </right>
      <top/>
      <bottom/>
      <diagonal/>
    </border>
    <border>
      <left style="medium">
        <color theme="9" tint="-0.499984740745262"/>
      </left>
      <right style="medium">
        <color theme="9" tint="-0.499984740745262"/>
      </right>
      <top/>
      <bottom style="medium">
        <color theme="9" tint="-0.499984740745262"/>
      </bottom>
      <diagonal/>
    </border>
    <border>
      <left style="dashDotDot">
        <color theme="3" tint="0.39994506668294322"/>
      </left>
      <right style="dashDotDot">
        <color theme="3" tint="0.39994506668294322"/>
      </right>
      <top style="dashDotDot">
        <color theme="3" tint="0.39994506668294322"/>
      </top>
      <bottom/>
      <diagonal/>
    </border>
    <border>
      <left style="dashDotDot">
        <color theme="3" tint="0.39994506668294322"/>
      </left>
      <right style="dashDotDot">
        <color theme="3" tint="0.39994506668294322"/>
      </right>
      <top/>
      <bottom/>
      <diagonal/>
    </border>
    <border>
      <left style="dashDotDot">
        <color theme="3" tint="0.39994506668294322"/>
      </left>
      <right style="dashDotDot">
        <color theme="3" tint="0.39994506668294322"/>
      </right>
      <top/>
      <bottom style="dashDotDot">
        <color theme="3" tint="0.39994506668294322"/>
      </bottom>
      <diagonal/>
    </border>
    <border>
      <left style="hair">
        <color indexed="64"/>
      </left>
      <right style="medium">
        <color indexed="64"/>
      </right>
      <top/>
      <bottom style="thin">
        <color indexed="64"/>
      </bottom>
      <diagonal/>
    </border>
    <border>
      <left/>
      <right style="medium">
        <color indexed="64"/>
      </right>
      <top style="dashed">
        <color indexed="64"/>
      </top>
      <bottom/>
      <diagonal/>
    </border>
    <border>
      <left/>
      <right style="medium">
        <color indexed="64"/>
      </right>
      <top/>
      <bottom style="dashed">
        <color indexed="64"/>
      </bottom>
      <diagonal/>
    </border>
    <border>
      <left style="medium">
        <color auto="1"/>
      </left>
      <right/>
      <top/>
      <bottom/>
      <diagonal/>
    </border>
  </borders>
  <cellStyleXfs count="119">
    <xf numFmtId="0" fontId="0" fillId="0" borderId="0"/>
    <xf numFmtId="0" fontId="41"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19" fillId="0" borderId="0"/>
    <xf numFmtId="0" fontId="119" fillId="0" borderId="0"/>
    <xf numFmtId="0" fontId="58"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54">
    <xf numFmtId="0" fontId="0" fillId="0" borderId="0" xfId="0"/>
    <xf numFmtId="0" fontId="7" fillId="0" borderId="0" xfId="0" applyNumberFormat="1" applyFont="1" applyAlignment="1" applyProtection="1"/>
    <xf numFmtId="0" fontId="9" fillId="0" borderId="1" xfId="0" applyFont="1" applyFill="1" applyBorder="1" applyAlignment="1" applyProtection="1">
      <alignment horizontal="center"/>
    </xf>
    <xf numFmtId="0" fontId="10" fillId="0" borderId="0" xfId="0" applyFont="1" applyProtection="1">
      <protection locked="0"/>
    </xf>
    <xf numFmtId="0" fontId="10" fillId="0" borderId="0" xfId="0" applyFont="1" applyAlignment="1">
      <alignment horizontal="center"/>
    </xf>
    <xf numFmtId="0" fontId="10" fillId="0" borderId="0" xfId="0" applyFont="1"/>
    <xf numFmtId="0" fontId="7" fillId="0" borderId="0" xfId="0" applyFont="1" applyFill="1" applyProtection="1"/>
    <xf numFmtId="0" fontId="14" fillId="0" borderId="0" xfId="0" applyFont="1" applyFill="1" applyProtection="1"/>
    <xf numFmtId="0" fontId="10" fillId="0" borderId="0" xfId="0" applyFont="1" applyFill="1" applyProtection="1"/>
    <xf numFmtId="0" fontId="15" fillId="0" borderId="0" xfId="0" applyFont="1" applyFill="1" applyProtection="1"/>
    <xf numFmtId="0" fontId="15" fillId="0" borderId="0" xfId="0" applyFont="1" applyFill="1" applyAlignment="1" applyProtection="1">
      <alignment horizontal="center"/>
    </xf>
    <xf numFmtId="0" fontId="16" fillId="0" borderId="0" xfId="0" applyFont="1" applyFill="1" applyProtection="1"/>
    <xf numFmtId="0" fontId="17" fillId="2" borderId="0" xfId="0" applyNumberFormat="1" applyFont="1" applyFill="1" applyAlignment="1" applyProtection="1"/>
    <xf numFmtId="0" fontId="7" fillId="2" borderId="0" xfId="0" applyNumberFormat="1" applyFont="1" applyFill="1" applyAlignment="1" applyProtection="1"/>
    <xf numFmtId="0" fontId="10" fillId="0" borderId="2" xfId="0" applyFont="1" applyFill="1" applyBorder="1" applyAlignment="1" applyProtection="1">
      <alignment horizontal="center"/>
    </xf>
    <xf numFmtId="0" fontId="10" fillId="0" borderId="3" xfId="0" applyFont="1" applyFill="1" applyBorder="1" applyAlignment="1" applyProtection="1">
      <alignment horizontal="center"/>
    </xf>
    <xf numFmtId="0" fontId="13" fillId="0" borderId="0" xfId="0" applyNumberFormat="1" applyFont="1" applyAlignment="1" applyProtection="1">
      <alignment vertical="top"/>
    </xf>
    <xf numFmtId="0" fontId="7" fillId="0" borderId="0" xfId="0" applyNumberFormat="1" applyFont="1" applyProtection="1"/>
    <xf numFmtId="0" fontId="11" fillId="0" borderId="0" xfId="0" applyNumberFormat="1" applyFont="1" applyAlignment="1" applyProtection="1"/>
    <xf numFmtId="0" fontId="11" fillId="0" borderId="0" xfId="0" applyNumberFormat="1" applyFont="1" applyAlignment="1" applyProtection="1">
      <alignment horizontal="left"/>
    </xf>
    <xf numFmtId="0" fontId="7" fillId="0" borderId="0" xfId="0" applyNumberFormat="1" applyFont="1" applyBorder="1" applyAlignment="1" applyProtection="1"/>
    <xf numFmtId="0" fontId="7" fillId="0" borderId="0" xfId="0" applyNumberFormat="1" applyFont="1" applyAlignment="1" applyProtection="1">
      <alignment horizontal="left"/>
    </xf>
    <xf numFmtId="0" fontId="10" fillId="0" borderId="4" xfId="0" applyFont="1" applyFill="1" applyBorder="1" applyAlignment="1" applyProtection="1">
      <alignment horizontal="center"/>
    </xf>
    <xf numFmtId="0" fontId="11" fillId="0" borderId="0" xfId="0" applyNumberFormat="1" applyFont="1" applyBorder="1" applyAlignment="1" applyProtection="1"/>
    <xf numFmtId="0" fontId="0" fillId="0" borderId="0" xfId="0" applyAlignment="1">
      <alignment horizontal="left"/>
    </xf>
    <xf numFmtId="0" fontId="10" fillId="0" borderId="0" xfId="0" applyFont="1" applyFill="1"/>
    <xf numFmtId="0" fontId="11" fillId="0" borderId="0" xfId="0" applyNumberFormat="1" applyFont="1" applyAlignment="1" applyProtection="1">
      <alignment horizontal="right"/>
    </xf>
    <xf numFmtId="0" fontId="0" fillId="0" borderId="0" xfId="0" applyAlignment="1">
      <alignment horizontal="right"/>
    </xf>
    <xf numFmtId="0" fontId="14" fillId="0" borderId="0" xfId="0" applyFont="1"/>
    <xf numFmtId="0" fontId="8" fillId="0" borderId="0" xfId="0" applyNumberFormat="1" applyFont="1" applyAlignment="1" applyProtection="1"/>
    <xf numFmtId="0" fontId="26" fillId="0" borderId="0" xfId="0" applyFont="1" applyAlignment="1" applyProtection="1">
      <alignment horizontal="left"/>
    </xf>
    <xf numFmtId="0" fontId="27" fillId="0" borderId="0" xfId="0" applyFont="1"/>
    <xf numFmtId="0" fontId="28" fillId="0" borderId="0" xfId="0" applyFont="1"/>
    <xf numFmtId="0" fontId="12" fillId="0" borderId="0" xfId="0" applyNumberFormat="1" applyFont="1" applyAlignment="1" applyProtection="1"/>
    <xf numFmtId="0" fontId="7" fillId="0" borderId="0" xfId="0" applyFont="1"/>
    <xf numFmtId="0" fontId="14" fillId="0" borderId="0" xfId="0" applyFont="1" applyAlignment="1">
      <alignment horizontal="right"/>
    </xf>
    <xf numFmtId="0" fontId="29" fillId="0" borderId="0" xfId="0" applyNumberFormat="1" applyFont="1" applyAlignment="1" applyProtection="1"/>
    <xf numFmtId="0" fontId="30" fillId="0" borderId="0" xfId="0" applyFont="1"/>
    <xf numFmtId="0" fontId="32" fillId="0" borderId="0" xfId="0" applyFont="1" applyAlignment="1">
      <alignment horizontal="right"/>
    </xf>
    <xf numFmtId="0" fontId="32" fillId="0" borderId="0" xfId="0" applyNumberFormat="1" applyFont="1" applyAlignment="1" applyProtection="1">
      <alignment horizontal="left"/>
    </xf>
    <xf numFmtId="0" fontId="10" fillId="0" borderId="0" xfId="0" applyFont="1" applyFill="1" applyAlignment="1" applyProtection="1">
      <alignment horizontal="center"/>
    </xf>
    <xf numFmtId="0" fontId="7" fillId="0" borderId="0" xfId="0" applyNumberFormat="1" applyFont="1" applyAlignment="1" applyProtection="1">
      <alignment vertical="center"/>
    </xf>
    <xf numFmtId="0" fontId="7" fillId="0" borderId="0" xfId="0" applyFont="1" applyAlignment="1">
      <alignment horizontal="center"/>
    </xf>
    <xf numFmtId="0" fontId="19" fillId="0" borderId="0" xfId="0" applyFont="1" applyAlignment="1" applyProtection="1">
      <alignment horizontal="center"/>
    </xf>
    <xf numFmtId="0" fontId="33" fillId="0" borderId="0" xfId="0" applyFont="1" applyAlignment="1">
      <alignment horizontal="right"/>
    </xf>
    <xf numFmtId="0" fontId="34" fillId="0" borderId="0" xfId="0" applyFont="1" applyAlignment="1" applyProtection="1">
      <alignment horizontal="center"/>
      <protection locked="0"/>
    </xf>
    <xf numFmtId="0" fontId="35" fillId="0" borderId="0" xfId="0" applyFont="1"/>
    <xf numFmtId="0" fontId="19" fillId="0" borderId="0" xfId="0" applyNumberFormat="1" applyFont="1" applyAlignment="1" applyProtection="1">
      <alignment horizontal="right"/>
    </xf>
    <xf numFmtId="0" fontId="36" fillId="0" borderId="0" xfId="0" applyFont="1" applyAlignment="1">
      <alignment horizontal="center"/>
    </xf>
    <xf numFmtId="0" fontId="37" fillId="0" borderId="0" xfId="0" applyFont="1" applyAlignment="1">
      <alignment horizontal="center"/>
    </xf>
    <xf numFmtId="0" fontId="37" fillId="0" borderId="0" xfId="0" applyFont="1" applyAlignment="1" applyProtection="1">
      <alignment horizontal="center"/>
      <protection locked="0"/>
    </xf>
    <xf numFmtId="0" fontId="37" fillId="0" borderId="5" xfId="0" applyFont="1" applyBorder="1" applyAlignment="1">
      <alignment horizontal="center"/>
    </xf>
    <xf numFmtId="0" fontId="38" fillId="0" borderId="0" xfId="0" applyFont="1" applyAlignment="1">
      <alignment horizontal="center"/>
    </xf>
    <xf numFmtId="0" fontId="39" fillId="0" borderId="5" xfId="0" applyFont="1" applyBorder="1" applyAlignment="1">
      <alignment horizontal="center"/>
    </xf>
    <xf numFmtId="0" fontId="40" fillId="0" borderId="5" xfId="0" applyFont="1" applyBorder="1" applyAlignment="1">
      <alignment horizontal="center"/>
    </xf>
    <xf numFmtId="0" fontId="38" fillId="0" borderId="0" xfId="0" applyFont="1" applyAlignment="1" applyProtection="1">
      <alignment horizontal="center"/>
      <protection locked="0"/>
    </xf>
    <xf numFmtId="164" fontId="38" fillId="0" borderId="0" xfId="0" applyNumberFormat="1" applyFont="1" applyAlignment="1">
      <alignment horizontal="center"/>
    </xf>
    <xf numFmtId="0" fontId="7" fillId="0" borderId="0" xfId="0" applyFont="1" applyProtection="1"/>
    <xf numFmtId="0" fontId="7" fillId="0" borderId="0" xfId="0" applyFont="1" applyAlignment="1" applyProtection="1">
      <alignment vertical="top"/>
    </xf>
    <xf numFmtId="0" fontId="40" fillId="0" borderId="0" xfId="0" applyFont="1" applyAlignment="1">
      <alignment horizontal="center"/>
    </xf>
    <xf numFmtId="0" fontId="10" fillId="0" borderId="0" xfId="0" applyFont="1" applyAlignment="1">
      <alignment horizontal="right"/>
    </xf>
    <xf numFmtId="0" fontId="16" fillId="0" borderId="0" xfId="0" applyFont="1" applyProtection="1"/>
    <xf numFmtId="0" fontId="15" fillId="0" borderId="0" xfId="0" applyFont="1"/>
    <xf numFmtId="0" fontId="17" fillId="2" borderId="0" xfId="0" applyFont="1" applyFill="1" applyAlignment="1" applyProtection="1"/>
    <xf numFmtId="0" fontId="31" fillId="2" borderId="0" xfId="0" applyFont="1" applyFill="1" applyAlignment="1" applyProtection="1"/>
    <xf numFmtId="0" fontId="7" fillId="2" borderId="0" xfId="0" applyFont="1" applyFill="1" applyAlignment="1" applyProtection="1"/>
    <xf numFmtId="0" fontId="7" fillId="0" borderId="0" xfId="0" applyFont="1" applyAlignment="1" applyProtection="1"/>
    <xf numFmtId="0" fontId="7" fillId="0" borderId="0" xfId="0" applyFont="1" applyFill="1" applyAlignment="1" applyProtection="1"/>
    <xf numFmtId="0" fontId="11" fillId="0" borderId="0" xfId="0" applyFont="1" applyFill="1" applyAlignment="1" applyProtection="1">
      <alignment horizontal="right"/>
    </xf>
    <xf numFmtId="0" fontId="22" fillId="0" borderId="0" xfId="0" applyFont="1" applyFill="1" applyAlignment="1" applyProtection="1">
      <alignment horizontal="left"/>
    </xf>
    <xf numFmtId="0" fontId="39" fillId="0" borderId="0" xfId="0" applyFont="1" applyProtection="1"/>
    <xf numFmtId="0" fontId="7" fillId="0" borderId="0" xfId="0" applyFont="1" applyAlignment="1" applyProtection="1">
      <alignment horizontal="center"/>
    </xf>
    <xf numFmtId="0" fontId="48" fillId="4" borderId="0" xfId="0" applyFont="1" applyFill="1" applyAlignment="1" applyProtection="1">
      <alignment horizontal="center"/>
    </xf>
    <xf numFmtId="0" fontId="49" fillId="0" borderId="0" xfId="0" applyFont="1" applyAlignment="1" applyProtection="1"/>
    <xf numFmtId="0" fontId="50" fillId="0" borderId="0" xfId="0" applyFont="1" applyAlignment="1" applyProtection="1"/>
    <xf numFmtId="0" fontId="19" fillId="0" borderId="0" xfId="0" applyFont="1" applyFill="1" applyProtection="1"/>
    <xf numFmtId="0" fontId="7" fillId="0" borderId="6" xfId="0" applyFont="1" applyBorder="1" applyAlignment="1" applyProtection="1">
      <alignment horizontal="center"/>
    </xf>
    <xf numFmtId="0" fontId="7" fillId="0" borderId="6" xfId="0" applyFont="1" applyBorder="1" applyProtection="1"/>
    <xf numFmtId="0" fontId="7" fillId="0" borderId="7" xfId="0" applyFont="1" applyBorder="1" applyProtection="1"/>
    <xf numFmtId="0" fontId="21" fillId="0" borderId="0" xfId="0" applyFont="1" applyAlignment="1" applyProtection="1">
      <alignment horizontal="center"/>
    </xf>
    <xf numFmtId="0" fontId="7" fillId="0" borderId="8" xfId="0" applyFont="1" applyFill="1" applyBorder="1" applyProtection="1"/>
    <xf numFmtId="0" fontId="7" fillId="0" borderId="0" xfId="0" applyFont="1" applyBorder="1" applyAlignment="1" applyProtection="1">
      <alignment horizontal="center"/>
    </xf>
    <xf numFmtId="0" fontId="7" fillId="0" borderId="0" xfId="0" applyFont="1" applyBorder="1" applyProtection="1"/>
    <xf numFmtId="0" fontId="7" fillId="0" borderId="9" xfId="0" applyFont="1" applyBorder="1" applyProtection="1"/>
    <xf numFmtId="0" fontId="7" fillId="5" borderId="0" xfId="0" applyFont="1" applyFill="1" applyAlignment="1" applyProtection="1"/>
    <xf numFmtId="0" fontId="19" fillId="5" borderId="0" xfId="0" applyFont="1" applyFill="1" applyAlignment="1" applyProtection="1">
      <alignment horizontal="center"/>
    </xf>
    <xf numFmtId="0" fontId="7" fillId="0" borderId="10" xfId="0" applyFont="1" applyFill="1" applyBorder="1" applyAlignment="1" applyProtection="1"/>
    <xf numFmtId="0" fontId="7" fillId="0" borderId="9" xfId="0" applyFont="1" applyBorder="1" applyAlignment="1" applyProtection="1"/>
    <xf numFmtId="14" fontId="22" fillId="0" borderId="0" xfId="0" applyNumberFormat="1" applyFont="1" applyBorder="1" applyAlignment="1" applyProtection="1"/>
    <xf numFmtId="14" fontId="11" fillId="0" borderId="0" xfId="0" applyNumberFormat="1" applyFont="1" applyBorder="1" applyAlignment="1" applyProtection="1"/>
    <xf numFmtId="0" fontId="50" fillId="0" borderId="0" xfId="0" applyFont="1" applyAlignment="1" applyProtection="1">
      <alignment vertical="top"/>
    </xf>
    <xf numFmtId="0" fontId="19" fillId="0" borderId="0" xfId="0" applyFont="1" applyProtection="1"/>
    <xf numFmtId="0" fontId="7" fillId="0" borderId="10" xfId="0" applyFont="1" applyBorder="1" applyProtection="1"/>
    <xf numFmtId="0" fontId="7" fillId="0" borderId="11" xfId="0" applyFont="1" applyBorder="1" applyAlignment="1" applyProtection="1">
      <alignment horizontal="left"/>
    </xf>
    <xf numFmtId="0" fontId="7" fillId="0" borderId="11" xfId="0" applyFont="1" applyBorder="1" applyAlignment="1" applyProtection="1"/>
    <xf numFmtId="0" fontId="19" fillId="0" borderId="11" xfId="0" applyFont="1" applyBorder="1" applyAlignment="1" applyProtection="1">
      <alignment horizontal="right"/>
    </xf>
    <xf numFmtId="0" fontId="7" fillId="0" borderId="11" xfId="0" applyFont="1" applyBorder="1" applyAlignment="1" applyProtection="1">
      <alignment horizontal="right"/>
    </xf>
    <xf numFmtId="0" fontId="7" fillId="0" borderId="12" xfId="0" applyFont="1" applyBorder="1" applyAlignment="1" applyProtection="1"/>
    <xf numFmtId="0" fontId="40" fillId="0" borderId="0" xfId="0" applyFont="1" applyProtection="1"/>
    <xf numFmtId="0" fontId="7" fillId="0" borderId="0" xfId="0" applyFont="1" applyBorder="1" applyAlignment="1" applyProtection="1">
      <alignment horizontal="left"/>
    </xf>
    <xf numFmtId="0" fontId="19" fillId="0" borderId="0" xfId="0" applyFont="1" applyBorder="1" applyAlignment="1" applyProtection="1">
      <alignment horizontal="right"/>
    </xf>
    <xf numFmtId="0" fontId="7" fillId="0" borderId="0" xfId="0" applyFont="1" applyBorder="1" applyAlignment="1" applyProtection="1">
      <alignment horizontal="right"/>
    </xf>
    <xf numFmtId="0" fontId="7" fillId="0" borderId="0" xfId="0" applyFont="1" applyBorder="1" applyAlignment="1" applyProtection="1"/>
    <xf numFmtId="0" fontId="7" fillId="0" borderId="13" xfId="0" applyFont="1" applyBorder="1" applyAlignment="1" applyProtection="1"/>
    <xf numFmtId="0" fontId="39" fillId="0" borderId="0" xfId="0" applyFont="1" applyAlignment="1" applyProtection="1">
      <alignment horizontal="right"/>
    </xf>
    <xf numFmtId="0" fontId="7" fillId="0" borderId="10" xfId="0" applyFont="1" applyFill="1" applyBorder="1" applyProtection="1"/>
    <xf numFmtId="0" fontId="19" fillId="0" borderId="0" xfId="0" applyFont="1" applyBorder="1" applyAlignment="1" applyProtection="1">
      <alignment horizontal="center"/>
    </xf>
    <xf numFmtId="0" fontId="19" fillId="0" borderId="0" xfId="0" applyFont="1" applyAlignment="1" applyProtection="1"/>
    <xf numFmtId="0" fontId="0" fillId="0" borderId="9" xfId="0" applyBorder="1" applyProtection="1"/>
    <xf numFmtId="0" fontId="19" fillId="0" borderId="0" xfId="0" applyFont="1" applyBorder="1" applyAlignment="1" applyProtection="1">
      <alignment horizontal="left"/>
    </xf>
    <xf numFmtId="0" fontId="7" fillId="0" borderId="14" xfId="0" applyFont="1" applyBorder="1" applyProtection="1"/>
    <xf numFmtId="0" fontId="0" fillId="0" borderId="15" xfId="0" applyBorder="1" applyProtection="1"/>
    <xf numFmtId="0" fontId="7" fillId="0" borderId="16" xfId="0" applyFont="1" applyBorder="1" applyAlignment="1" applyProtection="1">
      <alignment horizontal="center"/>
    </xf>
    <xf numFmtId="0" fontId="7" fillId="0" borderId="16" xfId="0" applyFont="1" applyBorder="1" applyProtection="1"/>
    <xf numFmtId="0" fontId="7" fillId="0" borderId="15" xfId="0" applyFont="1" applyBorder="1" applyProtection="1"/>
    <xf numFmtId="0" fontId="51" fillId="0" borderId="0" xfId="0" applyFont="1" applyBorder="1" applyAlignment="1" applyProtection="1"/>
    <xf numFmtId="0" fontId="7" fillId="0" borderId="0" xfId="0" applyFont="1" applyAlignment="1" applyProtection="1">
      <alignment horizontal="right"/>
    </xf>
    <xf numFmtId="0" fontId="9" fillId="4" borderId="0" xfId="0" applyFont="1" applyFill="1" applyAlignment="1" applyProtection="1">
      <alignment horizontal="left"/>
    </xf>
    <xf numFmtId="0" fontId="7" fillId="0" borderId="17" xfId="0" applyFont="1" applyBorder="1" applyAlignment="1" applyProtection="1"/>
    <xf numFmtId="0" fontId="7" fillId="0" borderId="18" xfId="0" applyFont="1" applyBorder="1" applyAlignment="1" applyProtection="1"/>
    <xf numFmtId="0" fontId="19" fillId="0" borderId="0" xfId="0" applyFont="1" applyFill="1" applyAlignment="1" applyProtection="1">
      <alignment horizontal="right"/>
    </xf>
    <xf numFmtId="0" fontId="7" fillId="0" borderId="0" xfId="0" applyFont="1" applyAlignment="1" applyProtection="1">
      <alignment horizontal="left"/>
    </xf>
    <xf numFmtId="0" fontId="7" fillId="0" borderId="8" xfId="0" applyFont="1" applyFill="1" applyBorder="1" applyAlignment="1" applyProtection="1"/>
    <xf numFmtId="0" fontId="7" fillId="0" borderId="7" xfId="0" applyFont="1" applyBorder="1" applyAlignment="1" applyProtection="1">
      <alignment horizontal="center"/>
    </xf>
    <xf numFmtId="0" fontId="9" fillId="3" borderId="11" xfId="0" applyFont="1" applyFill="1" applyBorder="1" applyAlignment="1" applyProtection="1">
      <alignment horizontal="center"/>
      <protection locked="0"/>
    </xf>
    <xf numFmtId="0" fontId="7" fillId="0" borderId="9" xfId="0" applyFont="1" applyBorder="1" applyAlignment="1" applyProtection="1">
      <alignment horizontal="center"/>
    </xf>
    <xf numFmtId="0" fontId="7" fillId="0" borderId="19" xfId="0" applyFont="1" applyBorder="1" applyAlignment="1" applyProtection="1"/>
    <xf numFmtId="0" fontId="7" fillId="0" borderId="15" xfId="0" applyFont="1" applyBorder="1" applyAlignment="1" applyProtection="1">
      <alignment horizontal="center"/>
    </xf>
    <xf numFmtId="0" fontId="51" fillId="0" borderId="0" xfId="0" applyFont="1" applyAlignment="1" applyProtection="1"/>
    <xf numFmtId="0" fontId="7" fillId="0" borderId="14" xfId="0" applyFont="1" applyFill="1" applyBorder="1" applyProtection="1"/>
    <xf numFmtId="0" fontId="19" fillId="0" borderId="0" xfId="0" applyFont="1" applyAlignment="1" applyProtection="1">
      <alignment horizontal="right"/>
    </xf>
    <xf numFmtId="0" fontId="14" fillId="0" borderId="0" xfId="0" applyFont="1" applyAlignment="1" applyProtection="1"/>
    <xf numFmtId="0" fontId="10" fillId="0" borderId="0" xfId="0" applyFont="1" applyAlignment="1" applyProtection="1"/>
    <xf numFmtId="0" fontId="7" fillId="0" borderId="20" xfId="0" applyFont="1" applyBorder="1" applyAlignment="1" applyProtection="1"/>
    <xf numFmtId="0" fontId="7" fillId="0" borderId="8" xfId="0" applyFont="1" applyBorder="1" applyProtection="1"/>
    <xf numFmtId="0" fontId="0" fillId="0" borderId="7" xfId="0" applyBorder="1" applyProtection="1"/>
    <xf numFmtId="0" fontId="14" fillId="0" borderId="0" xfId="0" applyFont="1" applyAlignment="1">
      <alignment vertical="top"/>
    </xf>
    <xf numFmtId="0" fontId="7" fillId="0" borderId="0" xfId="0" applyFont="1" applyAlignment="1" applyProtection="1">
      <alignment horizontal="center"/>
      <protection locked="0"/>
    </xf>
    <xf numFmtId="0" fontId="7" fillId="0" borderId="0" xfId="0" applyFont="1" applyBorder="1" applyProtection="1">
      <protection locked="0"/>
    </xf>
    <xf numFmtId="0" fontId="7" fillId="0" borderId="0" xfId="0" applyFont="1" applyProtection="1">
      <protection locked="0"/>
    </xf>
    <xf numFmtId="0" fontId="31" fillId="0" borderId="0" xfId="0" applyFont="1" applyAlignment="1" applyProtection="1">
      <alignment horizontal="center"/>
      <protection hidden="1"/>
    </xf>
    <xf numFmtId="0" fontId="7" fillId="0" borderId="21" xfId="0" applyFont="1" applyBorder="1" applyAlignment="1" applyProtection="1">
      <alignment horizontal="center"/>
      <protection locked="0"/>
    </xf>
    <xf numFmtId="0" fontId="59" fillId="0" borderId="21" xfId="8" applyFont="1" applyFill="1" applyBorder="1" applyAlignment="1" applyProtection="1">
      <alignment horizontal="center"/>
      <protection locked="0"/>
    </xf>
    <xf numFmtId="0" fontId="7" fillId="0" borderId="22" xfId="0"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21" xfId="0" applyFont="1" applyBorder="1" applyProtection="1">
      <protection locked="0"/>
    </xf>
    <xf numFmtId="0" fontId="7" fillId="0" borderId="21" xfId="0" applyFont="1" applyFill="1" applyBorder="1" applyAlignment="1" applyProtection="1">
      <alignment horizontal="center"/>
      <protection locked="0"/>
    </xf>
    <xf numFmtId="0" fontId="7" fillId="0" borderId="23" xfId="0" applyFont="1" applyFill="1" applyBorder="1" applyAlignment="1" applyProtection="1">
      <alignment horizontal="center"/>
      <protection locked="0"/>
    </xf>
    <xf numFmtId="0" fontId="7" fillId="0" borderId="23" xfId="0" applyFont="1" applyBorder="1" applyAlignment="1" applyProtection="1">
      <alignment horizontal="center"/>
      <protection locked="0"/>
    </xf>
    <xf numFmtId="0" fontId="10" fillId="0" borderId="0" xfId="2" applyProtection="1"/>
    <xf numFmtId="0" fontId="10" fillId="0" borderId="0" xfId="2"/>
    <xf numFmtId="0" fontId="10" fillId="0" borderId="24" xfId="2" applyFont="1" applyBorder="1" applyAlignment="1">
      <alignment horizontal="center" wrapText="1"/>
    </xf>
    <xf numFmtId="0" fontId="10" fillId="0" borderId="11" xfId="2" applyFont="1" applyBorder="1" applyAlignment="1">
      <alignment horizontal="center" wrapText="1"/>
    </xf>
    <xf numFmtId="0" fontId="10" fillId="4" borderId="11" xfId="2" applyFont="1" applyFill="1" applyBorder="1" applyAlignment="1">
      <alignment horizontal="center"/>
    </xf>
    <xf numFmtId="166" fontId="10" fillId="0" borderId="11" xfId="2" applyNumberFormat="1" applyFont="1" applyBorder="1" applyAlignment="1">
      <alignment horizontal="center"/>
    </xf>
    <xf numFmtId="166" fontId="10" fillId="0" borderId="12" xfId="2" applyNumberFormat="1" applyFont="1" applyBorder="1" applyAlignment="1">
      <alignment horizontal="center"/>
    </xf>
    <xf numFmtId="0" fontId="7" fillId="0" borderId="11" xfId="0" applyFont="1" applyBorder="1" applyAlignment="1" applyProtection="1">
      <alignment horizontal="center"/>
    </xf>
    <xf numFmtId="0" fontId="10" fillId="0" borderId="12" xfId="2" applyFont="1" applyBorder="1" applyAlignment="1">
      <alignment horizontal="center" wrapText="1"/>
    </xf>
    <xf numFmtId="0" fontId="10" fillId="0" borderId="24" xfId="2" applyFont="1" applyFill="1" applyBorder="1" applyAlignment="1">
      <alignment horizontal="center" wrapText="1"/>
    </xf>
    <xf numFmtId="0" fontId="10" fillId="0" borderId="11" xfId="2" applyFont="1" applyFill="1" applyBorder="1" applyAlignment="1">
      <alignment horizontal="center"/>
    </xf>
    <xf numFmtId="0" fontId="10" fillId="0" borderId="11" xfId="2" applyFont="1" applyFill="1" applyBorder="1" applyAlignment="1">
      <alignment horizontal="center" wrapText="1"/>
    </xf>
    <xf numFmtId="0" fontId="10" fillId="0" borderId="0" xfId="2" applyFont="1" applyAlignment="1">
      <alignment wrapText="1"/>
    </xf>
    <xf numFmtId="0" fontId="14" fillId="0" borderId="19" xfId="2" applyFont="1" applyBorder="1" applyAlignment="1">
      <alignment horizontal="center"/>
    </xf>
    <xf numFmtId="0" fontId="14" fillId="0" borderId="0" xfId="2" applyFont="1" applyBorder="1" applyAlignment="1">
      <alignment horizontal="center"/>
    </xf>
    <xf numFmtId="0" fontId="14" fillId="0" borderId="0" xfId="2" applyFont="1" applyBorder="1"/>
    <xf numFmtId="0" fontId="14" fillId="0" borderId="13" xfId="2" applyFont="1" applyBorder="1"/>
    <xf numFmtId="0" fontId="14" fillId="0" borderId="0" xfId="2" applyFont="1"/>
    <xf numFmtId="0" fontId="10" fillId="4" borderId="0" xfId="2" applyFont="1" applyFill="1" applyBorder="1" applyAlignment="1">
      <alignment horizontal="center"/>
    </xf>
    <xf numFmtId="0" fontId="60" fillId="0" borderId="19" xfId="2" applyFont="1" applyBorder="1" applyAlignment="1">
      <alignment horizontal="center"/>
    </xf>
    <xf numFmtId="166" fontId="60" fillId="0" borderId="0" xfId="2" applyNumberFormat="1" applyFont="1" applyBorder="1" applyAlignment="1">
      <alignment horizontal="center"/>
    </xf>
    <xf numFmtId="166" fontId="60" fillId="0" borderId="13" xfId="2" applyNumberFormat="1" applyFont="1" applyBorder="1" applyAlignment="1">
      <alignment horizontal="center"/>
    </xf>
    <xf numFmtId="0" fontId="19" fillId="0" borderId="0" xfId="0" applyFont="1" applyBorder="1" applyAlignment="1" applyProtection="1"/>
    <xf numFmtId="0" fontId="19" fillId="0" borderId="0" xfId="0" applyFont="1" applyFill="1" applyBorder="1" applyAlignment="1" applyProtection="1">
      <alignment horizontal="center"/>
    </xf>
    <xf numFmtId="0" fontId="51" fillId="0" borderId="0" xfId="0" applyFont="1" applyFill="1" applyBorder="1" applyAlignment="1" applyProtection="1">
      <alignment horizontal="center"/>
    </xf>
    <xf numFmtId="0" fontId="10" fillId="0" borderId="0" xfId="2" applyFont="1" applyBorder="1" applyAlignment="1">
      <alignment horizontal="center"/>
    </xf>
    <xf numFmtId="166" fontId="62" fillId="0" borderId="20" xfId="2" applyNumberFormat="1" applyFont="1" applyBorder="1" applyAlignment="1">
      <alignment horizontal="center"/>
    </xf>
    <xf numFmtId="166" fontId="62" fillId="0" borderId="17" xfId="2" applyNumberFormat="1" applyFont="1" applyBorder="1" applyAlignment="1">
      <alignment horizontal="center"/>
    </xf>
    <xf numFmtId="166" fontId="62" fillId="0" borderId="18" xfId="2" applyNumberFormat="1" applyFont="1" applyBorder="1" applyAlignment="1">
      <alignment horizontal="center"/>
    </xf>
    <xf numFmtId="0" fontId="10" fillId="0" borderId="0" xfId="2" applyFont="1"/>
    <xf numFmtId="166" fontId="14" fillId="0" borderId="0" xfId="2" applyNumberFormat="1" applyFont="1" applyBorder="1" applyAlignment="1">
      <alignment horizontal="right"/>
    </xf>
    <xf numFmtId="166" fontId="14" fillId="0" borderId="13" xfId="2" applyNumberFormat="1" applyFont="1" applyBorder="1" applyAlignment="1">
      <alignment horizontal="center"/>
    </xf>
    <xf numFmtId="0" fontId="7" fillId="0" borderId="13" xfId="0" applyFont="1" applyBorder="1" applyAlignment="1" applyProtection="1">
      <alignment horizontal="center"/>
    </xf>
    <xf numFmtId="166" fontId="10" fillId="0" borderId="0" xfId="2" applyNumberFormat="1" applyFont="1" applyAlignment="1">
      <alignment horizontal="right"/>
    </xf>
    <xf numFmtId="166" fontId="15" fillId="0" borderId="0" xfId="2" applyNumberFormat="1" applyFont="1" applyBorder="1" applyAlignment="1">
      <alignment horizontal="center"/>
    </xf>
    <xf numFmtId="166" fontId="15" fillId="0" borderId="13" xfId="2" applyNumberFormat="1" applyFont="1" applyBorder="1"/>
    <xf numFmtId="0" fontId="10" fillId="0" borderId="24" xfId="2" applyBorder="1" applyProtection="1"/>
    <xf numFmtId="0" fontId="14" fillId="0" borderId="11" xfId="2" applyFont="1" applyBorder="1" applyAlignment="1" applyProtection="1">
      <alignment horizontal="right"/>
    </xf>
    <xf numFmtId="0" fontId="9" fillId="3" borderId="12" xfId="0" applyFont="1" applyFill="1" applyBorder="1" applyAlignment="1" applyProtection="1">
      <alignment horizontal="center"/>
      <protection locked="0"/>
    </xf>
    <xf numFmtId="0" fontId="10" fillId="0" borderId="20" xfId="2" applyBorder="1" applyProtection="1"/>
    <xf numFmtId="0" fontId="14" fillId="0" borderId="17" xfId="2" applyFont="1" applyBorder="1" applyAlignment="1" applyProtection="1">
      <alignment horizontal="right"/>
    </xf>
    <xf numFmtId="0" fontId="9" fillId="3" borderId="18" xfId="0" applyFont="1" applyFill="1" applyBorder="1" applyAlignment="1" applyProtection="1">
      <alignment horizontal="center"/>
      <protection locked="0"/>
    </xf>
    <xf numFmtId="166" fontId="10" fillId="0" borderId="0" xfId="2" applyNumberFormat="1" applyFont="1" applyBorder="1"/>
    <xf numFmtId="166" fontId="10" fillId="0" borderId="13" xfId="2" applyNumberFormat="1" applyFont="1" applyBorder="1"/>
    <xf numFmtId="0" fontId="14" fillId="0" borderId="0" xfId="2" applyFont="1" applyAlignment="1" applyProtection="1">
      <alignment horizontal="right"/>
    </xf>
    <xf numFmtId="0" fontId="14" fillId="0" borderId="0" xfId="2" applyFont="1" applyAlignment="1" applyProtection="1">
      <alignment horizontal="left"/>
    </xf>
    <xf numFmtId="0" fontId="10" fillId="0" borderId="0" xfId="2" applyFont="1" applyAlignment="1">
      <alignment horizontal="right"/>
    </xf>
    <xf numFmtId="0" fontId="10" fillId="0" borderId="0" xfId="2" applyFont="1" applyAlignment="1">
      <alignment horizontal="center"/>
    </xf>
    <xf numFmtId="166" fontId="10" fillId="0" borderId="0" xfId="2" applyNumberFormat="1" applyFont="1" applyAlignment="1">
      <alignment horizontal="center"/>
    </xf>
    <xf numFmtId="166" fontId="61" fillId="0" borderId="0" xfId="2" applyNumberFormat="1" applyFont="1"/>
    <xf numFmtId="0" fontId="10" fillId="0" borderId="0" xfId="2" quotePrefix="1" applyFont="1"/>
    <xf numFmtId="166" fontId="15" fillId="0" borderId="0" xfId="2" applyNumberFormat="1" applyFont="1"/>
    <xf numFmtId="0" fontId="14" fillId="0" borderId="0" xfId="2" applyFont="1" applyAlignment="1">
      <alignment horizontal="right"/>
    </xf>
    <xf numFmtId="166" fontId="10" fillId="0" borderId="0" xfId="2" applyNumberFormat="1" applyFont="1"/>
    <xf numFmtId="1" fontId="10" fillId="0" borderId="0" xfId="2" applyNumberFormat="1" applyFont="1"/>
    <xf numFmtId="0" fontId="63" fillId="0" borderId="0" xfId="2" applyFont="1" applyAlignment="1" applyProtection="1">
      <alignment horizontal="right"/>
    </xf>
    <xf numFmtId="0" fontId="0" fillId="0" borderId="0" xfId="0" applyBorder="1" applyAlignment="1" applyProtection="1">
      <alignment horizontal="left"/>
    </xf>
    <xf numFmtId="0" fontId="10" fillId="6" borderId="0" xfId="2" applyFill="1" applyProtection="1"/>
    <xf numFmtId="0" fontId="14" fillId="0" borderId="11" xfId="2" applyFont="1" applyBorder="1" applyAlignment="1">
      <alignment horizontal="center"/>
    </xf>
    <xf numFmtId="1" fontId="10" fillId="0" borderId="0" xfId="2" quotePrefix="1" applyNumberFormat="1" applyFont="1"/>
    <xf numFmtId="0" fontId="64" fillId="0" borderId="0" xfId="2" applyFont="1" applyBorder="1" applyAlignment="1">
      <alignment horizontal="center"/>
    </xf>
    <xf numFmtId="0" fontId="64" fillId="4" borderId="0" xfId="2" applyFont="1" applyFill="1" applyBorder="1" applyAlignment="1">
      <alignment horizontal="center"/>
    </xf>
    <xf numFmtId="0" fontId="7" fillId="0" borderId="0" xfId="0" applyFont="1" applyAlignment="1" applyProtection="1">
      <protection hidden="1"/>
    </xf>
    <xf numFmtId="0" fontId="17" fillId="2" borderId="0" xfId="0" applyFont="1" applyFill="1" applyAlignment="1" applyProtection="1">
      <protection hidden="1"/>
    </xf>
    <xf numFmtId="0" fontId="31" fillId="2" borderId="0" xfId="0" applyFont="1" applyFill="1" applyAlignment="1" applyProtection="1">
      <protection hidden="1"/>
    </xf>
    <xf numFmtId="0" fontId="7" fillId="2" borderId="0" xfId="0" applyFont="1" applyFill="1" applyAlignment="1" applyProtection="1">
      <protection hidden="1"/>
    </xf>
    <xf numFmtId="0" fontId="65" fillId="0" borderId="0" xfId="0" applyFont="1" applyFill="1" applyBorder="1" applyAlignment="1" applyProtection="1"/>
    <xf numFmtId="0" fontId="21" fillId="0" borderId="0" xfId="0" applyFont="1" applyAlignment="1" applyProtection="1">
      <alignment horizontal="center"/>
      <protection hidden="1"/>
    </xf>
    <xf numFmtId="0" fontId="7" fillId="0" borderId="0" xfId="0" applyFont="1" applyFill="1" applyAlignment="1" applyProtection="1">
      <protection hidden="1"/>
    </xf>
    <xf numFmtId="14" fontId="13" fillId="0" borderId="0" xfId="0" applyNumberFormat="1" applyFont="1" applyBorder="1" applyAlignment="1" applyProtection="1"/>
    <xf numFmtId="14" fontId="12" fillId="0" borderId="0" xfId="0" applyNumberFormat="1" applyFont="1" applyBorder="1" applyAlignment="1" applyProtection="1">
      <alignment horizontal="right"/>
    </xf>
    <xf numFmtId="14" fontId="13" fillId="0" borderId="0" xfId="0" applyNumberFormat="1" applyFont="1" applyBorder="1" applyAlignment="1" applyProtection="1">
      <alignment horizontal="right"/>
    </xf>
    <xf numFmtId="0" fontId="7" fillId="0" borderId="24" xfId="0" quotePrefix="1" applyFont="1" applyFill="1" applyBorder="1" applyAlignment="1" applyProtection="1">
      <alignment horizontal="left"/>
    </xf>
    <xf numFmtId="0" fontId="7" fillId="0" borderId="12" xfId="0" applyFont="1" applyBorder="1" applyProtection="1"/>
    <xf numFmtId="0" fontId="49" fillId="0" borderId="0" xfId="0" applyFont="1" applyAlignment="1" applyProtection="1">
      <protection hidden="1"/>
    </xf>
    <xf numFmtId="0" fontId="50" fillId="0" borderId="0" xfId="0" applyFont="1" applyAlignment="1" applyProtection="1">
      <protection hidden="1"/>
    </xf>
    <xf numFmtId="0" fontId="7" fillId="0" borderId="24" xfId="0" applyFont="1" applyFill="1" applyBorder="1" applyAlignment="1" applyProtection="1">
      <alignment horizontal="left"/>
    </xf>
    <xf numFmtId="0" fontId="7" fillId="0" borderId="20" xfId="0" applyFont="1" applyFill="1" applyBorder="1" applyAlignment="1" applyProtection="1"/>
    <xf numFmtId="0" fontId="7" fillId="0" borderId="17" xfId="0" applyFont="1" applyBorder="1" applyAlignment="1" applyProtection="1">
      <alignment horizontal="center"/>
    </xf>
    <xf numFmtId="0" fontId="7" fillId="0" borderId="18" xfId="0" applyFont="1" applyBorder="1" applyProtection="1"/>
    <xf numFmtId="14" fontId="22" fillId="0" borderId="0" xfId="0" applyNumberFormat="1" applyFont="1" applyBorder="1" applyAlignment="1" applyProtection="1">
      <protection hidden="1"/>
    </xf>
    <xf numFmtId="14" fontId="11" fillId="0" borderId="0" xfId="0" applyNumberFormat="1" applyFont="1" applyBorder="1" applyAlignment="1" applyProtection="1">
      <protection hidden="1"/>
    </xf>
    <xf numFmtId="0" fontId="50" fillId="0" borderId="0" xfId="0" applyFont="1" applyAlignment="1" applyProtection="1">
      <alignment vertical="top"/>
      <protection hidden="1"/>
    </xf>
    <xf numFmtId="0" fontId="7" fillId="0" borderId="0" xfId="0" applyFont="1" applyProtection="1">
      <protection hidden="1"/>
    </xf>
    <xf numFmtId="0" fontId="7" fillId="0" borderId="19" xfId="0" applyFont="1" applyFill="1" applyBorder="1" applyAlignment="1" applyProtection="1"/>
    <xf numFmtId="0" fontId="7" fillId="0" borderId="13" xfId="0" applyFont="1" applyBorder="1" applyProtection="1"/>
    <xf numFmtId="0" fontId="7" fillId="0" borderId="19" xfId="0" applyFont="1" applyBorder="1" applyProtection="1"/>
    <xf numFmtId="0" fontId="22" fillId="0" borderId="0" xfId="0" applyFont="1" applyAlignment="1" applyProtection="1">
      <protection hidden="1"/>
    </xf>
    <xf numFmtId="0" fontId="7" fillId="0" borderId="24" xfId="0" applyFont="1" applyBorder="1" applyAlignment="1" applyProtection="1"/>
    <xf numFmtId="0" fontId="7" fillId="0" borderId="11" xfId="0" applyFont="1" applyFill="1" applyBorder="1" applyAlignment="1" applyProtection="1">
      <alignment horizontal="left"/>
    </xf>
    <xf numFmtId="0" fontId="7" fillId="0" borderId="0" xfId="0" quotePrefix="1" applyFont="1" applyBorder="1" applyAlignment="1" applyProtection="1"/>
    <xf numFmtId="0" fontId="9" fillId="0" borderId="0" xfId="0" applyFont="1" applyProtection="1"/>
    <xf numFmtId="0" fontId="51" fillId="0" borderId="0" xfId="0" applyFont="1" applyBorder="1" applyAlignment="1" applyProtection="1">
      <protection hidden="1"/>
    </xf>
    <xf numFmtId="0" fontId="65" fillId="0" borderId="0" xfId="0" applyFont="1" applyFill="1" applyBorder="1" applyAlignment="1" applyProtection="1">
      <alignment horizontal="right"/>
    </xf>
    <xf numFmtId="0" fontId="14" fillId="0" borderId="0" xfId="0" applyFont="1" applyFill="1" applyBorder="1" applyAlignment="1" applyProtection="1">
      <alignment horizontal="center"/>
    </xf>
    <xf numFmtId="0" fontId="19" fillId="0" borderId="0" xfId="0" applyFont="1" applyFill="1" applyBorder="1" applyAlignment="1" applyProtection="1">
      <alignment horizontal="right"/>
    </xf>
    <xf numFmtId="0" fontId="9" fillId="0" borderId="0" xfId="0" applyFont="1" applyBorder="1" applyAlignment="1" applyProtection="1">
      <alignment horizontal="center"/>
    </xf>
    <xf numFmtId="0" fontId="0" fillId="0" borderId="0" xfId="0" applyProtection="1"/>
    <xf numFmtId="1" fontId="7" fillId="0" borderId="0" xfId="0" applyNumberFormat="1" applyFont="1" applyBorder="1" applyAlignment="1" applyProtection="1">
      <alignment horizontal="center"/>
    </xf>
    <xf numFmtId="164" fontId="7" fillId="0" borderId="0" xfId="0" applyNumberFormat="1" applyFont="1" applyBorder="1" applyAlignment="1" applyProtection="1">
      <alignment horizontal="center"/>
    </xf>
    <xf numFmtId="0" fontId="9" fillId="0" borderId="0" xfId="0" applyFont="1" applyAlignment="1" applyProtection="1">
      <alignment horizontal="center"/>
    </xf>
    <xf numFmtId="0" fontId="7" fillId="0" borderId="0" xfId="0" applyFont="1" applyBorder="1" applyAlignment="1" applyProtection="1">
      <protection hidden="1"/>
    </xf>
    <xf numFmtId="0" fontId="19" fillId="0" borderId="17" xfId="0" applyFont="1" applyFill="1" applyBorder="1" applyAlignment="1" applyProtection="1">
      <alignment horizontal="right"/>
    </xf>
    <xf numFmtId="0" fontId="22" fillId="0" borderId="0" xfId="0" applyFont="1" applyAlignment="1" applyProtection="1"/>
    <xf numFmtId="0" fontId="7" fillId="0" borderId="19" xfId="0" applyFont="1" applyBorder="1" applyAlignment="1" applyProtection="1">
      <protection hidden="1"/>
    </xf>
    <xf numFmtId="0" fontId="9" fillId="0" borderId="0" xfId="0" applyFont="1" applyBorder="1" applyAlignment="1" applyProtection="1">
      <protection hidden="1"/>
    </xf>
    <xf numFmtId="0" fontId="68" fillId="0" borderId="0" xfId="0" applyFont="1" applyAlignment="1" applyProtection="1"/>
    <xf numFmtId="0" fontId="7" fillId="0" borderId="0" xfId="0" applyFont="1" applyFill="1" applyBorder="1" applyAlignment="1" applyProtection="1">
      <protection hidden="1"/>
    </xf>
    <xf numFmtId="0" fontId="39" fillId="0" borderId="0" xfId="0" applyFont="1" applyBorder="1" applyAlignment="1" applyProtection="1"/>
    <xf numFmtId="0" fontId="70" fillId="0" borderId="0" xfId="0" applyFont="1" applyBorder="1" applyAlignment="1" applyProtection="1">
      <alignment horizontal="left" vertical="center"/>
      <protection hidden="1"/>
    </xf>
    <xf numFmtId="0" fontId="7" fillId="0" borderId="13" xfId="0" applyFont="1" applyBorder="1" applyAlignment="1" applyProtection="1">
      <protection hidden="1"/>
    </xf>
    <xf numFmtId="0" fontId="39" fillId="0" borderId="0" xfId="0" applyFont="1" applyBorder="1" applyProtection="1"/>
    <xf numFmtId="0" fontId="40" fillId="0" borderId="0" xfId="0" applyFont="1" applyBorder="1" applyAlignment="1" applyProtection="1">
      <alignment horizontal="right"/>
    </xf>
    <xf numFmtId="0" fontId="71" fillId="0" borderId="16" xfId="0" applyFont="1" applyBorder="1" applyAlignment="1" applyProtection="1">
      <alignment horizontal="right" vertical="center"/>
      <protection hidden="1"/>
    </xf>
    <xf numFmtId="0" fontId="40" fillId="0" borderId="0" xfId="0" applyFont="1" applyProtection="1">
      <protection hidden="1"/>
    </xf>
    <xf numFmtId="0" fontId="39" fillId="0" borderId="0" xfId="0" applyFont="1" applyBorder="1" applyAlignment="1" applyProtection="1">
      <alignment horizontal="left"/>
    </xf>
    <xf numFmtId="0" fontId="7" fillId="0" borderId="19" xfId="0" applyFont="1" applyBorder="1" applyAlignment="1" applyProtection="1">
      <alignment horizontal="center"/>
      <protection hidden="1"/>
    </xf>
    <xf numFmtId="0" fontId="7" fillId="0" borderId="0" xfId="0" applyFont="1" applyBorder="1" applyAlignment="1" applyProtection="1">
      <alignment horizontal="center"/>
      <protection hidden="1"/>
    </xf>
    <xf numFmtId="0" fontId="40" fillId="0" borderId="0" xfId="0" applyFont="1" applyBorder="1" applyProtection="1"/>
    <xf numFmtId="0" fontId="0" fillId="0" borderId="0" xfId="0" applyBorder="1" applyAlignment="1" applyProtection="1">
      <alignment horizontal="right"/>
    </xf>
    <xf numFmtId="0" fontId="39" fillId="0" borderId="19" xfId="0" applyFont="1" applyBorder="1" applyAlignment="1" applyProtection="1">
      <alignment horizontal="center"/>
      <protection hidden="1"/>
    </xf>
    <xf numFmtId="0" fontId="37" fillId="0" borderId="16" xfId="0" applyFont="1" applyBorder="1" applyAlignment="1" applyProtection="1">
      <alignment horizontal="center" vertical="center"/>
      <protection hidden="1"/>
    </xf>
    <xf numFmtId="0" fontId="69" fillId="0" borderId="16" xfId="0" applyFont="1" applyBorder="1" applyAlignment="1" applyProtection="1">
      <alignment horizontal="left" vertical="center"/>
      <protection hidden="1"/>
    </xf>
    <xf numFmtId="0" fontId="7" fillId="0" borderId="0" xfId="0" applyFont="1" applyBorder="1" applyAlignment="1" applyProtection="1">
      <alignment horizontal="right"/>
      <protection hidden="1"/>
    </xf>
    <xf numFmtId="0" fontId="7" fillId="0" borderId="0" xfId="0" applyFont="1" applyBorder="1" applyProtection="1">
      <protection hidden="1"/>
    </xf>
    <xf numFmtId="0" fontId="71" fillId="0" borderId="0" xfId="0" applyFont="1" applyAlignment="1" applyProtection="1">
      <alignment horizontal="right"/>
      <protection hidden="1"/>
    </xf>
    <xf numFmtId="0" fontId="7" fillId="0" borderId="13" xfId="0" applyFont="1" applyBorder="1" applyProtection="1">
      <protection hidden="1"/>
    </xf>
    <xf numFmtId="0" fontId="27" fillId="0" borderId="24" xfId="0" applyFont="1" applyFill="1" applyBorder="1" applyProtection="1"/>
    <xf numFmtId="0" fontId="27" fillId="0" borderId="11" xfId="0" applyFont="1" applyFill="1" applyBorder="1" applyAlignment="1" applyProtection="1">
      <alignment horizontal="center"/>
    </xf>
    <xf numFmtId="0" fontId="27" fillId="0" borderId="12" xfId="0" applyFont="1" applyFill="1" applyBorder="1" applyProtection="1"/>
    <xf numFmtId="0" fontId="72" fillId="0" borderId="0" xfId="0" applyFont="1" applyFill="1" applyAlignment="1" applyProtection="1"/>
    <xf numFmtId="0" fontId="71" fillId="0" borderId="0" xfId="0" applyFont="1" applyAlignment="1" applyProtection="1">
      <alignment horizontal="left"/>
      <protection hidden="1"/>
    </xf>
    <xf numFmtId="0" fontId="0" fillId="0" borderId="0" xfId="0" applyProtection="1">
      <protection hidden="1"/>
    </xf>
    <xf numFmtId="0" fontId="37" fillId="0" borderId="0" xfId="0" applyFont="1" applyBorder="1" applyAlignment="1" applyProtection="1">
      <alignment horizontal="right"/>
      <protection hidden="1"/>
    </xf>
    <xf numFmtId="0" fontId="9" fillId="0" borderId="0" xfId="0" applyFont="1" applyAlignment="1" applyProtection="1">
      <alignment horizontal="right"/>
      <protection hidden="1"/>
    </xf>
    <xf numFmtId="0" fontId="9" fillId="0" borderId="13" xfId="0" applyFont="1" applyBorder="1" applyAlignment="1" applyProtection="1">
      <alignment horizontal="right"/>
      <protection hidden="1"/>
    </xf>
    <xf numFmtId="0" fontId="73" fillId="0" borderId="0" xfId="0" applyFont="1" applyFill="1" applyBorder="1" applyAlignment="1" applyProtection="1"/>
    <xf numFmtId="0" fontId="34" fillId="0" borderId="20" xfId="0" applyFont="1" applyBorder="1" applyProtection="1"/>
    <xf numFmtId="0" fontId="34" fillId="0" borderId="17" xfId="0" applyFont="1" applyBorder="1" applyAlignment="1" applyProtection="1">
      <alignment horizontal="center"/>
    </xf>
    <xf numFmtId="0" fontId="74" fillId="0" borderId="18" xfId="0" applyFont="1" applyBorder="1" applyAlignment="1" applyProtection="1">
      <alignment horizontal="center"/>
    </xf>
    <xf numFmtId="0" fontId="37" fillId="0" borderId="0" xfId="0" applyFont="1" applyBorder="1" applyAlignment="1" applyProtection="1">
      <alignment horizontal="left"/>
      <protection hidden="1"/>
    </xf>
    <xf numFmtId="0" fontId="38" fillId="0" borderId="0" xfId="0" applyFont="1" applyBorder="1" applyProtection="1">
      <protection hidden="1"/>
    </xf>
    <xf numFmtId="0" fontId="0" fillId="0" borderId="20" xfId="0" applyBorder="1" applyAlignment="1" applyProtection="1">
      <alignment horizontal="right"/>
      <protection hidden="1"/>
    </xf>
    <xf numFmtId="0" fontId="7" fillId="0" borderId="17" xfId="0" applyFont="1" applyBorder="1" applyAlignment="1" applyProtection="1">
      <protection hidden="1"/>
    </xf>
    <xf numFmtId="0" fontId="7" fillId="0" borderId="17" xfId="0" applyFont="1" applyBorder="1" applyAlignment="1" applyProtection="1">
      <alignment horizontal="center"/>
      <protection hidden="1"/>
    </xf>
    <xf numFmtId="0" fontId="7" fillId="0" borderId="17" xfId="0" applyFont="1" applyBorder="1" applyProtection="1">
      <protection hidden="1"/>
    </xf>
    <xf numFmtId="0" fontId="7" fillId="0" borderId="18" xfId="0" applyFont="1" applyBorder="1" applyProtection="1">
      <protection hidden="1"/>
    </xf>
    <xf numFmtId="0" fontId="57" fillId="0" borderId="0" xfId="0" applyFont="1" applyAlignment="1">
      <alignment horizontal="left" vertical="top" wrapText="1"/>
    </xf>
    <xf numFmtId="0" fontId="63" fillId="0" borderId="0" xfId="0" applyFont="1" applyAlignment="1" applyProtection="1">
      <alignment horizontal="center" vertical="center"/>
      <protection locked="0"/>
    </xf>
    <xf numFmtId="0" fontId="7" fillId="0" borderId="0" xfId="0" applyFont="1" applyFill="1" applyAlignment="1" applyProtection="1">
      <alignment horizontal="center"/>
    </xf>
    <xf numFmtId="0" fontId="73" fillId="0" borderId="0" xfId="0" applyFont="1" applyFill="1" applyBorder="1" applyAlignment="1"/>
    <xf numFmtId="0" fontId="32" fillId="2" borderId="0" xfId="0" applyFont="1" applyFill="1" applyAlignment="1" applyProtection="1">
      <protection hidden="1"/>
    </xf>
    <xf numFmtId="0" fontId="7" fillId="0" borderId="0" xfId="0" applyFont="1" applyFill="1" applyBorder="1" applyAlignment="1" applyProtection="1"/>
    <xf numFmtId="0" fontId="68" fillId="0" borderId="0" xfId="0" applyFont="1" applyAlignment="1" applyProtection="1">
      <protection hidden="1"/>
    </xf>
    <xf numFmtId="0" fontId="78" fillId="0" borderId="0" xfId="0" applyFont="1" applyAlignment="1" applyProtection="1">
      <protection hidden="1"/>
    </xf>
    <xf numFmtId="0" fontId="27" fillId="0" borderId="0" xfId="0" applyFont="1" applyFill="1" applyProtection="1"/>
    <xf numFmtId="0" fontId="27" fillId="0" borderId="0" xfId="0" applyFont="1" applyAlignment="1">
      <alignment horizontal="center"/>
    </xf>
    <xf numFmtId="0" fontId="36" fillId="0" borderId="0" xfId="0" applyFont="1" applyAlignment="1" applyProtection="1"/>
    <xf numFmtId="0" fontId="36" fillId="0" borderId="0" xfId="0" applyFont="1" applyAlignment="1" applyProtection="1">
      <alignment horizontal="center"/>
    </xf>
    <xf numFmtId="0" fontId="39" fillId="0" borderId="0" xfId="0" applyFont="1" applyAlignment="1" applyProtection="1"/>
    <xf numFmtId="0" fontId="12" fillId="0" borderId="0" xfId="0" applyFont="1" applyAlignment="1" applyProtection="1"/>
    <xf numFmtId="0" fontId="13" fillId="0" borderId="0" xfId="0" applyFont="1" applyAlignment="1" applyProtection="1"/>
    <xf numFmtId="0" fontId="79" fillId="0" borderId="0" xfId="0" applyFont="1" applyAlignment="1" applyProtection="1"/>
    <xf numFmtId="0" fontId="12" fillId="0" borderId="0" xfId="0" applyFont="1" applyProtection="1"/>
    <xf numFmtId="0" fontId="29" fillId="0" borderId="0" xfId="0" applyFont="1" applyAlignment="1" applyProtection="1"/>
    <xf numFmtId="0" fontId="12" fillId="0" borderId="0" xfId="0" applyFont="1" applyFill="1" applyBorder="1" applyAlignment="1" applyProtection="1"/>
    <xf numFmtId="0" fontId="80" fillId="0" borderId="0" xfId="0" applyFont="1" applyAlignment="1" applyProtection="1">
      <alignment horizontal="center"/>
      <protection locked="0"/>
    </xf>
    <xf numFmtId="0" fontId="38" fillId="0" borderId="0" xfId="0" applyFont="1" applyAlignment="1" applyProtection="1">
      <alignment horizontal="center"/>
    </xf>
    <xf numFmtId="0" fontId="40" fillId="0" borderId="0" xfId="0" applyFont="1" applyFill="1" applyProtection="1"/>
    <xf numFmtId="0" fontId="40" fillId="0" borderId="0" xfId="0" applyFont="1" applyFill="1" applyAlignment="1" applyProtection="1">
      <alignment horizontal="center"/>
    </xf>
    <xf numFmtId="0" fontId="40" fillId="0" borderId="0" xfId="0" applyFont="1"/>
    <xf numFmtId="0" fontId="39" fillId="0" borderId="0" xfId="0" applyFont="1" applyAlignment="1" applyProtection="1">
      <alignment horizontal="center"/>
    </xf>
    <xf numFmtId="0" fontId="39" fillId="0" borderId="0" xfId="0" applyFont="1" applyAlignment="1" applyProtection="1">
      <alignment horizontal="left"/>
    </xf>
    <xf numFmtId="0" fontId="39" fillId="0" borderId="0" xfId="0" quotePrefix="1" applyFont="1" applyAlignment="1" applyProtection="1">
      <alignment horizontal="left"/>
    </xf>
    <xf numFmtId="0" fontId="39" fillId="0" borderId="5" xfId="0" applyFont="1" applyBorder="1" applyAlignment="1" applyProtection="1"/>
    <xf numFmtId="0" fontId="7" fillId="0" borderId="5" xfId="0" applyFont="1" applyBorder="1" applyAlignment="1" applyProtection="1"/>
    <xf numFmtId="0" fontId="22" fillId="0" borderId="0" xfId="0" applyFont="1" applyAlignment="1" applyProtection="1">
      <alignment horizontal="left"/>
    </xf>
    <xf numFmtId="0" fontId="19" fillId="0" borderId="0" xfId="0" applyFont="1" applyAlignment="1" applyProtection="1">
      <alignment horizontal="left"/>
    </xf>
    <xf numFmtId="0" fontId="78" fillId="0" borderId="0" xfId="0" applyFont="1" applyAlignment="1" applyProtection="1"/>
    <xf numFmtId="0" fontId="31" fillId="0" borderId="0" xfId="0" applyFont="1" applyAlignment="1" applyProtection="1">
      <alignment horizontal="center"/>
    </xf>
    <xf numFmtId="0" fontId="7" fillId="0" borderId="24" xfId="0" applyFont="1" applyBorder="1" applyProtection="1"/>
    <xf numFmtId="0" fontId="7" fillId="0" borderId="11" xfId="0" applyFont="1" applyBorder="1" applyProtection="1"/>
    <xf numFmtId="0" fontId="19" fillId="0" borderId="11" xfId="0" applyFont="1" applyBorder="1" applyAlignment="1" applyProtection="1">
      <alignment horizontal="right"/>
      <protection hidden="1"/>
    </xf>
    <xf numFmtId="0" fontId="82" fillId="0" borderId="0" xfId="0" applyFont="1" applyAlignment="1" applyProtection="1">
      <alignment horizontal="right"/>
    </xf>
    <xf numFmtId="0" fontId="0" fillId="0" borderId="0" xfId="0" applyAlignment="1" applyProtection="1">
      <alignment horizontal="left"/>
    </xf>
    <xf numFmtId="0" fontId="7" fillId="4" borderId="0" xfId="0" applyFont="1" applyFill="1" applyAlignment="1" applyProtection="1">
      <alignment horizontal="center"/>
      <protection locked="0"/>
    </xf>
    <xf numFmtId="0" fontId="9" fillId="0" borderId="0" xfId="0" applyFont="1" applyBorder="1" applyProtection="1"/>
    <xf numFmtId="0" fontId="48" fillId="4" borderId="0" xfId="0" applyFont="1" applyFill="1" applyProtection="1">
      <protection locked="0"/>
    </xf>
    <xf numFmtId="0" fontId="7" fillId="0" borderId="20" xfId="0" applyFont="1" applyBorder="1" applyProtection="1"/>
    <xf numFmtId="0" fontId="7" fillId="0" borderId="17" xfId="0" applyFont="1" applyBorder="1" applyProtection="1"/>
    <xf numFmtId="0" fontId="19" fillId="0" borderId="0" xfId="0" applyFont="1" applyProtection="1">
      <protection locked="0"/>
    </xf>
    <xf numFmtId="0" fontId="7" fillId="0" borderId="24" xfId="0" applyFont="1" applyBorder="1" applyProtection="1">
      <protection locked="0"/>
    </xf>
    <xf numFmtId="0" fontId="7" fillId="0" borderId="11" xfId="0" applyFont="1" applyBorder="1" applyProtection="1">
      <protection locked="0"/>
    </xf>
    <xf numFmtId="0" fontId="7" fillId="0" borderId="12" xfId="0" applyFont="1" applyBorder="1" applyProtection="1">
      <protection locked="0"/>
    </xf>
    <xf numFmtId="0" fontId="7" fillId="0" borderId="19" xfId="0" applyFont="1" applyBorder="1" applyProtection="1">
      <protection locked="0"/>
    </xf>
    <xf numFmtId="0" fontId="7" fillId="0" borderId="13" xfId="0" applyFont="1" applyBorder="1" applyProtection="1">
      <protection locked="0"/>
    </xf>
    <xf numFmtId="0" fontId="7" fillId="0" borderId="19" xfId="0" applyFont="1" applyBorder="1" applyProtection="1">
      <protection hidden="1"/>
    </xf>
    <xf numFmtId="0" fontId="19" fillId="0" borderId="0" xfId="0" applyFont="1" applyBorder="1" applyAlignment="1" applyProtection="1">
      <alignment horizontal="right"/>
      <protection hidden="1"/>
    </xf>
    <xf numFmtId="0" fontId="7" fillId="4" borderId="20" xfId="0" applyFont="1" applyFill="1" applyBorder="1" applyProtection="1">
      <protection locked="0"/>
    </xf>
    <xf numFmtId="0" fontId="7" fillId="4" borderId="17" xfId="0" applyFont="1" applyFill="1" applyBorder="1" applyProtection="1">
      <protection locked="0"/>
    </xf>
    <xf numFmtId="0" fontId="7" fillId="4" borderId="18" xfId="0" applyFont="1" applyFill="1" applyBorder="1" applyProtection="1">
      <protection locked="0"/>
    </xf>
    <xf numFmtId="16" fontId="7" fillId="0" borderId="0" xfId="0" applyNumberFormat="1" applyFont="1" applyProtection="1">
      <protection locked="0"/>
    </xf>
    <xf numFmtId="0" fontId="7" fillId="0" borderId="20" xfId="0" applyFont="1" applyBorder="1" applyProtection="1">
      <protection hidden="1"/>
    </xf>
    <xf numFmtId="0" fontId="19" fillId="0" borderId="17" xfId="0" applyFont="1" applyFill="1" applyBorder="1" applyAlignment="1" applyProtection="1">
      <alignment horizontal="right"/>
      <protection hidden="1"/>
    </xf>
    <xf numFmtId="0" fontId="7" fillId="0" borderId="20" xfId="0" applyFont="1" applyBorder="1" applyProtection="1">
      <protection locked="0"/>
    </xf>
    <xf numFmtId="0" fontId="7" fillId="0" borderId="17" xfId="0" applyFont="1" applyBorder="1" applyProtection="1">
      <protection locked="0"/>
    </xf>
    <xf numFmtId="0" fontId="7" fillId="0" borderId="18" xfId="0" applyFont="1" applyBorder="1" applyProtection="1">
      <protection locked="0"/>
    </xf>
    <xf numFmtId="0" fontId="14" fillId="0" borderId="0" xfId="0" applyFont="1" applyAlignment="1" applyProtection="1">
      <alignment vertical="top"/>
    </xf>
    <xf numFmtId="0" fontId="57" fillId="0" borderId="0" xfId="0" applyFont="1" applyAlignment="1" applyProtection="1">
      <alignment horizontal="left" vertical="top" wrapText="1"/>
    </xf>
    <xf numFmtId="0" fontId="7" fillId="0" borderId="0" xfId="0" applyFont="1" applyFill="1" applyProtection="1">
      <protection locked="0"/>
    </xf>
    <xf numFmtId="0" fontId="7" fillId="0" borderId="0" xfId="0" applyFont="1" applyFill="1" applyAlignment="1" applyProtection="1">
      <alignment horizontal="center"/>
      <protection locked="0"/>
    </xf>
    <xf numFmtId="0" fontId="19" fillId="0" borderId="0" xfId="0" applyFont="1" applyFill="1" applyBorder="1" applyAlignment="1" applyProtection="1"/>
    <xf numFmtId="0" fontId="12" fillId="0" borderId="0" xfId="0" applyFont="1" applyAlignment="1" applyProtection="1">
      <protection hidden="1"/>
    </xf>
    <xf numFmtId="0" fontId="79" fillId="0" borderId="0" xfId="0" applyFont="1" applyAlignment="1" applyProtection="1">
      <alignment horizontal="center"/>
      <protection hidden="1"/>
    </xf>
    <xf numFmtId="0" fontId="12" fillId="0" borderId="0" xfId="0" applyFont="1" applyFill="1" applyAlignment="1" applyProtection="1">
      <protection hidden="1"/>
    </xf>
    <xf numFmtId="0" fontId="12" fillId="0" borderId="0" xfId="0" applyFont="1" applyFill="1" applyAlignment="1" applyProtection="1"/>
    <xf numFmtId="0" fontId="39" fillId="7" borderId="0" xfId="0" applyFont="1" applyFill="1" applyAlignment="1" applyProtection="1">
      <alignment horizontal="center"/>
    </xf>
    <xf numFmtId="0" fontId="51" fillId="0" borderId="0" xfId="0" applyFont="1" applyAlignment="1" applyProtection="1">
      <alignment horizontal="left"/>
    </xf>
    <xf numFmtId="0" fontId="36" fillId="0" borderId="0" xfId="0" applyFont="1" applyAlignment="1" applyProtection="1">
      <alignment horizontal="left"/>
    </xf>
    <xf numFmtId="0" fontId="7" fillId="0" borderId="0" xfId="0" applyFont="1" applyAlignment="1">
      <alignment horizontal="left"/>
    </xf>
    <xf numFmtId="0" fontId="38" fillId="0" borderId="0" xfId="0" applyFont="1" applyAlignment="1" applyProtection="1">
      <alignment horizontal="right"/>
    </xf>
    <xf numFmtId="0" fontId="19" fillId="0" borderId="0" xfId="0" applyFont="1" applyFill="1" applyBorder="1" applyAlignment="1" applyProtection="1">
      <alignment horizontal="right"/>
      <protection hidden="1"/>
    </xf>
    <xf numFmtId="0" fontId="19" fillId="0" borderId="0" xfId="0" applyFont="1" applyFill="1" applyBorder="1" applyAlignment="1" applyProtection="1">
      <alignment horizontal="left"/>
      <protection hidden="1"/>
    </xf>
    <xf numFmtId="0" fontId="19" fillId="0" borderId="0" xfId="0" applyFont="1" applyAlignment="1" applyProtection="1">
      <alignment horizontal="right"/>
      <protection hidden="1"/>
    </xf>
    <xf numFmtId="0" fontId="9" fillId="3" borderId="0" xfId="0" applyFont="1" applyFill="1" applyAlignment="1" applyProtection="1">
      <alignment horizontal="right"/>
      <protection locked="0"/>
    </xf>
    <xf numFmtId="0" fontId="39" fillId="0" borderId="7" xfId="0" applyFont="1" applyFill="1" applyBorder="1" applyAlignment="1" applyProtection="1">
      <alignment horizontal="center"/>
    </xf>
    <xf numFmtId="0" fontId="39" fillId="0" borderId="0" xfId="0" applyFont="1" applyAlignment="1">
      <alignment horizontal="center"/>
    </xf>
    <xf numFmtId="0" fontId="39" fillId="0" borderId="9" xfId="0" applyFont="1" applyFill="1" applyBorder="1" applyAlignment="1" applyProtection="1">
      <alignment horizontal="center"/>
    </xf>
    <xf numFmtId="0" fontId="13" fillId="0" borderId="0" xfId="0" applyFont="1" applyAlignment="1" applyProtection="1">
      <alignment horizontal="center"/>
    </xf>
    <xf numFmtId="0" fontId="40" fillId="0" borderId="2" xfId="0" applyFont="1" applyFill="1" applyBorder="1" applyProtection="1"/>
    <xf numFmtId="0" fontId="40" fillId="0" borderId="3" xfId="0" applyFont="1" applyFill="1" applyBorder="1" applyProtection="1"/>
    <xf numFmtId="0" fontId="19" fillId="0" borderId="0" xfId="0" applyFont="1" applyAlignment="1" applyProtection="1">
      <alignment vertical="top"/>
    </xf>
    <xf numFmtId="0" fontId="18" fillId="0" borderId="0" xfId="0" applyFont="1" applyAlignment="1" applyProtection="1">
      <alignment horizontal="left" vertical="top" wrapText="1"/>
    </xf>
    <xf numFmtId="0" fontId="13" fillId="0" borderId="0" xfId="0" applyFont="1" applyAlignment="1" applyProtection="1">
      <alignment horizontal="center" vertical="center"/>
      <protection locked="0"/>
    </xf>
    <xf numFmtId="0" fontId="40" fillId="0" borderId="0" xfId="0" applyFont="1" applyFill="1" applyAlignment="1" applyProtection="1">
      <alignment horizontal="right"/>
    </xf>
    <xf numFmtId="0" fontId="81" fillId="0" borderId="0" xfId="0" applyFont="1" applyFill="1" applyAlignment="1" applyProtection="1">
      <alignment horizontal="right"/>
    </xf>
    <xf numFmtId="0" fontId="40" fillId="0" borderId="0" xfId="0" applyFont="1" applyFill="1" applyAlignment="1" applyProtection="1">
      <alignment horizontal="left"/>
    </xf>
    <xf numFmtId="0" fontId="19" fillId="0" borderId="11" xfId="0" applyFont="1" applyFill="1" applyBorder="1" applyAlignment="1" applyProtection="1"/>
    <xf numFmtId="0" fontId="19" fillId="0" borderId="11" xfId="0" applyFont="1" applyFill="1" applyBorder="1" applyAlignment="1" applyProtection="1">
      <alignment horizontal="right"/>
    </xf>
    <xf numFmtId="0" fontId="19" fillId="0" borderId="11" xfId="0" applyFont="1" applyFill="1" applyBorder="1" applyAlignment="1" applyProtection="1">
      <alignment horizontal="center"/>
    </xf>
    <xf numFmtId="0" fontId="19" fillId="0" borderId="12" xfId="0" applyFont="1" applyFill="1" applyBorder="1" applyAlignment="1" applyProtection="1"/>
    <xf numFmtId="0" fontId="19" fillId="0" borderId="19" xfId="0" applyFont="1" applyFill="1" applyBorder="1" applyAlignment="1" applyProtection="1"/>
    <xf numFmtId="0" fontId="19" fillId="0" borderId="13" xfId="0" applyFont="1" applyFill="1" applyBorder="1" applyAlignment="1" applyProtection="1"/>
    <xf numFmtId="0" fontId="19" fillId="0" borderId="0" xfId="0" applyFont="1" applyFill="1" applyAlignment="1" applyProtection="1"/>
    <xf numFmtId="0" fontId="19" fillId="0" borderId="0" xfId="0" applyFont="1" applyFill="1" applyBorder="1" applyAlignment="1" applyProtection="1">
      <alignment horizontal="left"/>
    </xf>
    <xf numFmtId="0" fontId="19" fillId="0" borderId="0" xfId="0" applyFont="1" applyFill="1" applyAlignment="1" applyProtection="1">
      <alignment horizontal="left"/>
    </xf>
    <xf numFmtId="0" fontId="51" fillId="0" borderId="0" xfId="0" applyFont="1" applyFill="1" applyBorder="1" applyAlignment="1" applyProtection="1"/>
    <xf numFmtId="0" fontId="19" fillId="0" borderId="20" xfId="0" applyFont="1" applyFill="1" applyBorder="1" applyAlignment="1" applyProtection="1"/>
    <xf numFmtId="0" fontId="19" fillId="0" borderId="17" xfId="0" applyFont="1" applyFill="1" applyBorder="1" applyAlignment="1" applyProtection="1"/>
    <xf numFmtId="0" fontId="19" fillId="0" borderId="18" xfId="0" applyFont="1" applyFill="1" applyBorder="1" applyAlignment="1" applyProtection="1"/>
    <xf numFmtId="0" fontId="9" fillId="0" borderId="0" xfId="0" applyFont="1" applyProtection="1">
      <protection hidden="1"/>
    </xf>
    <xf numFmtId="0" fontId="7" fillId="0" borderId="0" xfId="0" applyFont="1" applyAlignment="1" applyProtection="1">
      <alignment horizontal="center"/>
      <protection hidden="1"/>
    </xf>
    <xf numFmtId="0" fontId="7" fillId="0" borderId="0" xfId="0" applyFont="1" applyAlignment="1" applyProtection="1">
      <alignment horizontal="left"/>
      <protection hidden="1"/>
    </xf>
    <xf numFmtId="0" fontId="19" fillId="0" borderId="0" xfId="0" applyFont="1" applyAlignment="1" applyProtection="1">
      <alignment horizontal="center"/>
      <protection hidden="1"/>
    </xf>
    <xf numFmtId="0" fontId="7" fillId="0" borderId="8" xfId="0" applyFont="1" applyBorder="1" applyAlignment="1" applyProtection="1">
      <protection hidden="1"/>
    </xf>
    <xf numFmtId="0" fontId="7" fillId="0" borderId="7" xfId="0" applyFont="1" applyBorder="1" applyAlignment="1" applyProtection="1">
      <protection hidden="1"/>
    </xf>
    <xf numFmtId="0" fontId="7" fillId="0" borderId="10" xfId="0" applyFont="1" applyBorder="1" applyAlignment="1" applyProtection="1">
      <protection hidden="1"/>
    </xf>
    <xf numFmtId="0" fontId="7" fillId="0" borderId="9" xfId="0" applyFont="1" applyBorder="1" applyAlignment="1" applyProtection="1">
      <protection hidden="1"/>
    </xf>
    <xf numFmtId="0" fontId="84" fillId="0" borderId="0" xfId="0" applyFont="1" applyAlignment="1" applyProtection="1">
      <alignment horizontal="center"/>
      <protection hidden="1"/>
    </xf>
    <xf numFmtId="0" fontId="50" fillId="0" borderId="0" xfId="0" applyFont="1" applyBorder="1" applyAlignment="1" applyProtection="1">
      <protection hidden="1"/>
    </xf>
    <xf numFmtId="0" fontId="7" fillId="0" borderId="14" xfId="0" applyFont="1" applyBorder="1" applyAlignment="1" applyProtection="1">
      <protection hidden="1"/>
    </xf>
    <xf numFmtId="0" fontId="7" fillId="0" borderId="15" xfId="0" applyFont="1" applyBorder="1" applyAlignment="1" applyProtection="1">
      <protection hidden="1"/>
    </xf>
    <xf numFmtId="0" fontId="19" fillId="0" borderId="0" xfId="0" applyFont="1" applyBorder="1" applyAlignment="1" applyProtection="1">
      <protection hidden="1"/>
    </xf>
    <xf numFmtId="0" fontId="22" fillId="0" borderId="0" xfId="0" applyFont="1" applyFill="1" applyAlignment="1" applyProtection="1">
      <protection hidden="1"/>
    </xf>
    <xf numFmtId="0" fontId="76" fillId="0" borderId="0" xfId="0" applyFont="1" applyFill="1" applyAlignment="1" applyProtection="1">
      <alignment horizontal="center"/>
      <protection hidden="1"/>
    </xf>
    <xf numFmtId="0" fontId="8" fillId="0" borderId="0" xfId="0" applyFont="1" applyAlignment="1" applyProtection="1">
      <protection hidden="1"/>
    </xf>
    <xf numFmtId="0" fontId="13" fillId="0" borderId="0" xfId="0" applyFont="1" applyAlignment="1" applyProtection="1">
      <alignment vertical="top"/>
      <protection hidden="1"/>
    </xf>
    <xf numFmtId="0" fontId="13" fillId="0" borderId="0" xfId="0" applyFont="1" applyAlignment="1" applyProtection="1">
      <alignment horizontal="left" vertical="center"/>
      <protection locked="0"/>
    </xf>
    <xf numFmtId="0" fontId="76" fillId="0" borderId="0" xfId="0" applyFont="1" applyFill="1" applyAlignment="1" applyProtection="1">
      <alignment horizontal="left"/>
      <protection hidden="1"/>
    </xf>
    <xf numFmtId="1" fontId="7" fillId="0" borderId="21" xfId="0" applyNumberFormat="1" applyFont="1" applyBorder="1" applyAlignment="1" applyProtection="1">
      <alignment horizontal="center"/>
      <protection locked="0"/>
    </xf>
    <xf numFmtId="0" fontId="7" fillId="0" borderId="21" xfId="0" applyFont="1" applyBorder="1" applyAlignment="1" applyProtection="1">
      <alignment horizontal="left"/>
      <protection locked="0"/>
    </xf>
    <xf numFmtId="49" fontId="10" fillId="0" borderId="5" xfId="0" applyNumberFormat="1" applyFont="1" applyBorder="1" applyAlignment="1" applyProtection="1">
      <alignment horizontal="left" vertical="top" wrapText="1"/>
      <protection locked="0"/>
    </xf>
    <xf numFmtId="0" fontId="0" fillId="0" borderId="0" xfId="0" applyAlignment="1">
      <alignment horizontal="center"/>
    </xf>
    <xf numFmtId="0" fontId="7" fillId="8" borderId="0" xfId="0" applyFont="1" applyFill="1" applyAlignment="1" applyProtection="1">
      <protection hidden="1"/>
    </xf>
    <xf numFmtId="0" fontId="7" fillId="9" borderId="0" xfId="0" applyFont="1" applyFill="1" applyAlignment="1" applyProtection="1">
      <protection hidden="1"/>
    </xf>
    <xf numFmtId="0" fontId="13" fillId="9" borderId="0" xfId="0" applyFont="1" applyFill="1" applyAlignment="1" applyProtection="1">
      <alignment horizontal="left"/>
      <protection hidden="1"/>
    </xf>
    <xf numFmtId="0" fontId="7" fillId="8" borderId="24" xfId="0" applyFont="1" applyFill="1" applyBorder="1" applyAlignment="1" applyProtection="1">
      <protection hidden="1"/>
    </xf>
    <xf numFmtId="0" fontId="7" fillId="8" borderId="11" xfId="0" applyFont="1" applyFill="1" applyBorder="1" applyAlignment="1" applyProtection="1">
      <protection hidden="1"/>
    </xf>
    <xf numFmtId="0" fontId="7" fillId="8" borderId="12" xfId="0" applyFont="1" applyFill="1" applyBorder="1" applyAlignment="1" applyProtection="1">
      <protection hidden="1"/>
    </xf>
    <xf numFmtId="0" fontId="7" fillId="8" borderId="19" xfId="0" applyFont="1" applyFill="1" applyBorder="1" applyAlignment="1" applyProtection="1">
      <protection hidden="1"/>
    </xf>
    <xf numFmtId="0" fontId="19" fillId="8" borderId="0" xfId="0" applyFont="1" applyFill="1" applyBorder="1" applyAlignment="1" applyProtection="1">
      <alignment horizontal="right"/>
      <protection hidden="1"/>
    </xf>
    <xf numFmtId="0" fontId="7" fillId="8" borderId="0" xfId="0" applyFont="1" applyFill="1" applyBorder="1" applyAlignment="1" applyProtection="1">
      <protection hidden="1"/>
    </xf>
    <xf numFmtId="0" fontId="7" fillId="8" borderId="13" xfId="0" applyFont="1" applyFill="1" applyBorder="1" applyAlignment="1" applyProtection="1">
      <protection hidden="1"/>
    </xf>
    <xf numFmtId="0" fontId="7" fillId="8" borderId="20" xfId="0" applyFont="1" applyFill="1" applyBorder="1" applyAlignment="1" applyProtection="1">
      <protection hidden="1"/>
    </xf>
    <xf numFmtId="0" fontId="7" fillId="8" borderId="17" xfId="0" applyFont="1" applyFill="1" applyBorder="1" applyAlignment="1" applyProtection="1">
      <protection hidden="1"/>
    </xf>
    <xf numFmtId="0" fontId="7" fillId="8" borderId="18" xfId="0" applyFont="1" applyFill="1" applyBorder="1" applyAlignment="1" applyProtection="1">
      <protection hidden="1"/>
    </xf>
    <xf numFmtId="0" fontId="86" fillId="0" borderId="17" xfId="0" applyFont="1" applyBorder="1" applyAlignment="1" applyProtection="1">
      <alignment horizontal="right"/>
    </xf>
    <xf numFmtId="0" fontId="71" fillId="0" borderId="0" xfId="0" applyFont="1" applyBorder="1" applyAlignment="1" applyProtection="1">
      <alignment horizontal="left" vertical="center"/>
      <protection hidden="1"/>
    </xf>
    <xf numFmtId="0" fontId="71" fillId="0" borderId="16" xfId="0" applyFont="1" applyBorder="1" applyAlignment="1" applyProtection="1">
      <alignment horizontal="left" vertical="center"/>
      <protection hidden="1"/>
    </xf>
    <xf numFmtId="0" fontId="70" fillId="0" borderId="16" xfId="0" applyFont="1" applyBorder="1" applyAlignment="1" applyProtection="1">
      <alignment horizontal="left" vertical="center"/>
      <protection hidden="1"/>
    </xf>
    <xf numFmtId="0" fontId="89" fillId="0" borderId="0" xfId="0" applyFont="1" applyBorder="1" applyAlignment="1" applyProtection="1">
      <alignment horizontal="left"/>
      <protection hidden="1"/>
    </xf>
    <xf numFmtId="0" fontId="71" fillId="0" borderId="13" xfId="0" applyFont="1" applyBorder="1" applyAlignment="1" applyProtection="1">
      <alignment horizontal="center" vertical="center"/>
      <protection hidden="1"/>
    </xf>
    <xf numFmtId="0" fontId="19" fillId="0" borderId="28" xfId="0" applyFont="1" applyBorder="1" applyAlignment="1" applyProtection="1">
      <protection hidden="1"/>
    </xf>
    <xf numFmtId="0" fontId="19" fillId="10" borderId="11" xfId="0" applyFont="1" applyFill="1" applyBorder="1" applyAlignment="1" applyProtection="1">
      <alignment horizontal="right"/>
    </xf>
    <xf numFmtId="0" fontId="19" fillId="10" borderId="0" xfId="0" applyFont="1" applyFill="1" applyBorder="1" applyAlignment="1" applyProtection="1">
      <alignment horizontal="right"/>
    </xf>
    <xf numFmtId="0" fontId="0" fillId="0" borderId="0" xfId="0" applyFill="1" applyAlignment="1"/>
    <xf numFmtId="0" fontId="7" fillId="0" borderId="13" xfId="0" applyFont="1" applyFill="1" applyBorder="1" applyAlignment="1" applyProtection="1"/>
    <xf numFmtId="0" fontId="9" fillId="8" borderId="0" xfId="0" applyFont="1" applyFill="1" applyBorder="1" applyAlignment="1" applyProtection="1">
      <alignment horizontal="left"/>
      <protection hidden="1"/>
    </xf>
    <xf numFmtId="0" fontId="78" fillId="8" borderId="0" xfId="0" applyFont="1" applyFill="1" applyBorder="1" applyAlignment="1" applyProtection="1">
      <protection hidden="1"/>
    </xf>
    <xf numFmtId="0" fontId="86" fillId="0" borderId="0" xfId="0" applyFont="1" applyFill="1" applyBorder="1" applyAlignment="1" applyProtection="1">
      <alignment horizontal="right"/>
    </xf>
    <xf numFmtId="0" fontId="86" fillId="0" borderId="0" xfId="0" applyFont="1" applyAlignment="1" applyProtection="1">
      <alignment horizontal="right"/>
    </xf>
    <xf numFmtId="0" fontId="86" fillId="0" borderId="0" xfId="0" applyFont="1" applyBorder="1" applyAlignment="1" applyProtection="1">
      <alignment horizontal="right"/>
    </xf>
    <xf numFmtId="0" fontId="19" fillId="8" borderId="0" xfId="0" applyFont="1" applyFill="1" applyBorder="1" applyAlignment="1" applyProtection="1">
      <alignment horizontal="left"/>
      <protection hidden="1"/>
    </xf>
    <xf numFmtId="0" fontId="19" fillId="8" borderId="0" xfId="0" applyFont="1" applyFill="1" applyBorder="1" applyAlignment="1" applyProtection="1">
      <protection hidden="1"/>
    </xf>
    <xf numFmtId="164" fontId="7" fillId="8" borderId="0" xfId="0" applyNumberFormat="1" applyFont="1" applyFill="1" applyBorder="1" applyAlignment="1" applyProtection="1">
      <protection hidden="1"/>
    </xf>
    <xf numFmtId="0" fontId="9" fillId="8" borderId="0" xfId="0" applyFont="1" applyFill="1" applyBorder="1" applyAlignment="1" applyProtection="1">
      <alignment horizontal="right"/>
      <protection hidden="1"/>
    </xf>
    <xf numFmtId="14" fontId="92" fillId="0" borderId="0" xfId="0" applyNumberFormat="1" applyFont="1" applyBorder="1" applyAlignment="1" applyProtection="1">
      <alignment horizontal="right"/>
    </xf>
    <xf numFmtId="0" fontId="7" fillId="0" borderId="0" xfId="0" applyNumberFormat="1" applyFont="1" applyAlignment="1" applyProtection="1">
      <protection hidden="1"/>
    </xf>
    <xf numFmtId="0" fontId="7" fillId="0" borderId="0" xfId="0" applyFont="1" applyBorder="1" applyAlignment="1" applyProtection="1">
      <protection locked="0"/>
    </xf>
    <xf numFmtId="0" fontId="51" fillId="0" borderId="0" xfId="0" applyFont="1" applyFill="1" applyBorder="1" applyAlignment="1" applyProtection="1">
      <alignment horizontal="center"/>
      <protection hidden="1"/>
    </xf>
    <xf numFmtId="0" fontId="17" fillId="2" borderId="0" xfId="0" applyFont="1" applyFill="1" applyAlignment="1" applyProtection="1">
      <alignment vertical="top"/>
      <protection hidden="1"/>
    </xf>
    <xf numFmtId="0" fontId="13" fillId="9" borderId="26" xfId="0" applyNumberFormat="1" applyFont="1" applyFill="1" applyBorder="1" applyAlignment="1" applyProtection="1">
      <alignment horizontal="left"/>
      <protection hidden="1"/>
    </xf>
    <xf numFmtId="0" fontId="13" fillId="9" borderId="27" xfId="0" applyNumberFormat="1" applyFont="1" applyFill="1" applyBorder="1" applyAlignment="1" applyProtection="1">
      <alignment horizontal="left"/>
      <protection hidden="1"/>
    </xf>
    <xf numFmtId="0" fontId="31" fillId="2" borderId="0" xfId="0" applyFont="1" applyFill="1" applyProtection="1">
      <protection hidden="1"/>
    </xf>
    <xf numFmtId="0" fontId="7" fillId="9" borderId="0" xfId="0" applyFont="1" applyFill="1" applyProtection="1">
      <protection hidden="1"/>
    </xf>
    <xf numFmtId="0" fontId="8" fillId="9" borderId="0" xfId="0" applyFont="1" applyFill="1" applyAlignment="1" applyProtection="1">
      <protection hidden="1"/>
    </xf>
    <xf numFmtId="0" fontId="8" fillId="9" borderId="0" xfId="0" applyNumberFormat="1" applyFont="1" applyFill="1" applyAlignment="1" applyProtection="1">
      <protection hidden="1"/>
    </xf>
    <xf numFmtId="0" fontId="22" fillId="9" borderId="0" xfId="0" applyFont="1" applyFill="1" applyAlignment="1" applyProtection="1">
      <protection hidden="1"/>
    </xf>
    <xf numFmtId="0" fontId="22" fillId="9" borderId="0" xfId="0" applyFont="1" applyFill="1" applyBorder="1" applyAlignment="1" applyProtection="1">
      <protection hidden="1"/>
    </xf>
    <xf numFmtId="0" fontId="75" fillId="2" borderId="0" xfId="0" applyFont="1" applyFill="1" applyProtection="1">
      <protection hidden="1"/>
    </xf>
    <xf numFmtId="0" fontId="7" fillId="0" borderId="0" xfId="0" applyFont="1" applyFill="1" applyProtection="1">
      <protection hidden="1"/>
    </xf>
    <xf numFmtId="0" fontId="11" fillId="9" borderId="0" xfId="0" applyFont="1" applyFill="1" applyAlignment="1" applyProtection="1">
      <protection hidden="1"/>
    </xf>
    <xf numFmtId="49" fontId="13" fillId="9" borderId="0" xfId="0" applyNumberFormat="1" applyFont="1" applyFill="1" applyAlignment="1" applyProtection="1">
      <alignment horizontal="left"/>
      <protection hidden="1"/>
    </xf>
    <xf numFmtId="0" fontId="22" fillId="9" borderId="0" xfId="0" applyFont="1" applyFill="1" applyAlignment="1" applyProtection="1">
      <alignment horizontal="right"/>
      <protection hidden="1"/>
    </xf>
    <xf numFmtId="0" fontId="22" fillId="9" borderId="26" xfId="0" applyFont="1" applyFill="1" applyBorder="1" applyAlignment="1" applyProtection="1">
      <protection hidden="1"/>
    </xf>
    <xf numFmtId="0" fontId="75" fillId="2" borderId="0" xfId="0" applyFont="1" applyFill="1" applyBorder="1" applyAlignment="1" applyProtection="1">
      <alignment horizontal="center"/>
      <protection hidden="1"/>
    </xf>
    <xf numFmtId="0" fontId="22" fillId="9" borderId="27" xfId="0" applyFont="1" applyFill="1" applyBorder="1" applyAlignment="1" applyProtection="1">
      <protection hidden="1"/>
    </xf>
    <xf numFmtId="0" fontId="50" fillId="2" borderId="0" xfId="0" applyFont="1" applyFill="1" applyAlignment="1" applyProtection="1">
      <alignment vertical="top"/>
      <protection hidden="1"/>
    </xf>
    <xf numFmtId="0" fontId="11" fillId="2" borderId="0" xfId="0" applyFont="1" applyFill="1" applyBorder="1" applyAlignment="1" applyProtection="1">
      <alignment horizontal="center"/>
      <protection hidden="1"/>
    </xf>
    <xf numFmtId="0" fontId="7" fillId="2" borderId="0" xfId="0" applyFont="1" applyFill="1" applyProtection="1">
      <protection hidden="1"/>
    </xf>
    <xf numFmtId="49" fontId="13" fillId="9" borderId="0" xfId="0" applyNumberFormat="1" applyFont="1" applyFill="1" applyBorder="1" applyAlignment="1" applyProtection="1">
      <protection hidden="1"/>
    </xf>
    <xf numFmtId="0" fontId="10" fillId="0" borderId="0" xfId="2" applyProtection="1">
      <protection hidden="1"/>
    </xf>
    <xf numFmtId="0" fontId="93" fillId="0" borderId="0" xfId="2" applyFont="1" applyProtection="1">
      <protection hidden="1"/>
    </xf>
    <xf numFmtId="0" fontId="52" fillId="0" borderId="0" xfId="0" applyFont="1" applyAlignment="1" applyProtection="1"/>
    <xf numFmtId="0" fontId="94" fillId="0" borderId="0" xfId="2" applyFont="1" applyAlignment="1" applyProtection="1">
      <alignment horizontal="right"/>
    </xf>
    <xf numFmtId="1" fontId="94" fillId="0" borderId="0" xfId="2" applyNumberFormat="1" applyFont="1" applyProtection="1"/>
    <xf numFmtId="0" fontId="7" fillId="0" borderId="12" xfId="0" applyFont="1" applyBorder="1" applyAlignment="1" applyProtection="1">
      <alignment horizontal="center"/>
    </xf>
    <xf numFmtId="0" fontId="7" fillId="0" borderId="18" xfId="0" applyFont="1" applyBorder="1" applyAlignment="1" applyProtection="1">
      <alignment horizontal="center"/>
    </xf>
    <xf numFmtId="0" fontId="95" fillId="0" borderId="20" xfId="0" applyFont="1" applyBorder="1" applyProtection="1"/>
    <xf numFmtId="0" fontId="95" fillId="0" borderId="0" xfId="0" applyFont="1" applyBorder="1" applyAlignment="1" applyProtection="1"/>
    <xf numFmtId="0" fontId="96" fillId="0" borderId="0" xfId="0" applyFont="1" applyAlignment="1">
      <alignment horizontal="center"/>
    </xf>
    <xf numFmtId="0" fontId="95" fillId="0" borderId="0" xfId="0" applyFont="1" applyAlignment="1" applyProtection="1">
      <alignment horizontal="left"/>
    </xf>
    <xf numFmtId="0" fontId="90" fillId="0" borderId="0" xfId="0" applyFont="1" applyAlignment="1" applyProtection="1">
      <alignment horizontal="center"/>
      <protection locked="0"/>
    </xf>
    <xf numFmtId="0" fontId="90" fillId="0" borderId="0" xfId="0" quotePrefix="1" applyFont="1" applyAlignment="1" applyProtection="1">
      <alignment horizontal="left"/>
    </xf>
    <xf numFmtId="0" fontId="89" fillId="0" borderId="13" xfId="0" applyFont="1" applyBorder="1" applyAlignment="1" applyProtection="1">
      <alignment horizontal="right"/>
      <protection hidden="1"/>
    </xf>
    <xf numFmtId="0" fontId="89" fillId="0" borderId="0" xfId="0" applyFont="1" applyFill="1" applyAlignment="1" applyProtection="1">
      <alignment horizontal="right"/>
    </xf>
    <xf numFmtId="0" fontId="22" fillId="5" borderId="0" xfId="0" applyFont="1" applyFill="1" applyAlignment="1" applyProtection="1">
      <alignment horizontal="left"/>
    </xf>
    <xf numFmtId="0" fontId="7" fillId="5" borderId="0" xfId="0" applyFont="1" applyFill="1" applyProtection="1"/>
    <xf numFmtId="0" fontId="19" fillId="8" borderId="0" xfId="0" applyFont="1" applyFill="1" applyBorder="1" applyAlignment="1" applyProtection="1">
      <alignment horizontal="center"/>
    </xf>
    <xf numFmtId="0" fontId="14" fillId="8" borderId="0" xfId="0" applyFont="1" applyFill="1" applyBorder="1" applyAlignment="1" applyProtection="1">
      <alignment horizontal="center"/>
    </xf>
    <xf numFmtId="0" fontId="98" fillId="0" borderId="0" xfId="2" applyFont="1" applyProtection="1"/>
    <xf numFmtId="0" fontId="99" fillId="0" borderId="17" xfId="0" applyFont="1" applyBorder="1" applyAlignment="1" applyProtection="1">
      <alignment horizontal="center"/>
    </xf>
    <xf numFmtId="0" fontId="19" fillId="0" borderId="12" xfId="0" applyFont="1" applyBorder="1" applyAlignment="1" applyProtection="1">
      <alignment horizontal="right"/>
    </xf>
    <xf numFmtId="0" fontId="14" fillId="0" borderId="0" xfId="2" applyFont="1" applyProtection="1"/>
    <xf numFmtId="0" fontId="93" fillId="0" borderId="0" xfId="2" applyFont="1" applyProtection="1"/>
    <xf numFmtId="49" fontId="14" fillId="0" borderId="0" xfId="0" applyNumberFormat="1" applyFont="1" applyAlignment="1">
      <alignment horizontal="right"/>
    </xf>
    <xf numFmtId="0" fontId="0" fillId="0" borderId="0" xfId="0" applyProtection="1">
      <protection locked="0"/>
    </xf>
    <xf numFmtId="0" fontId="7" fillId="0" borderId="24" xfId="0" applyFont="1" applyFill="1" applyBorder="1" applyProtection="1"/>
    <xf numFmtId="0" fontId="7" fillId="0" borderId="11" xfId="0" applyFont="1" applyFill="1" applyBorder="1" applyProtection="1"/>
    <xf numFmtId="0" fontId="7" fillId="0" borderId="19" xfId="0" applyFont="1" applyFill="1" applyBorder="1" applyProtection="1"/>
    <xf numFmtId="0" fontId="7" fillId="0" borderId="0" xfId="0" applyFont="1" applyFill="1" applyBorder="1" applyProtection="1"/>
    <xf numFmtId="0" fontId="14" fillId="0" borderId="0" xfId="2" applyFont="1" applyAlignment="1">
      <alignment horizontal="center"/>
    </xf>
    <xf numFmtId="1" fontId="10" fillId="0" borderId="0" xfId="0" applyNumberFormat="1" applyFont="1" applyAlignment="1" applyProtection="1">
      <alignment horizontal="center"/>
    </xf>
    <xf numFmtId="0" fontId="10" fillId="0" borderId="0" xfId="2" applyFont="1" applyBorder="1" applyAlignment="1">
      <alignment horizontal="right"/>
    </xf>
    <xf numFmtId="0" fontId="10" fillId="0" borderId="24" xfId="2" applyFont="1" applyBorder="1" applyAlignment="1">
      <alignment horizontal="center"/>
    </xf>
    <xf numFmtId="0" fontId="10" fillId="0" borderId="11" xfId="0" applyFont="1" applyBorder="1" applyAlignment="1">
      <alignment horizontal="center"/>
    </xf>
    <xf numFmtId="0" fontId="10" fillId="0" borderId="12" xfId="2" applyFont="1" applyBorder="1"/>
    <xf numFmtId="0" fontId="10" fillId="0" borderId="24" xfId="0" applyFont="1" applyBorder="1" applyAlignment="1" applyProtection="1">
      <alignment horizontal="center" wrapText="1"/>
    </xf>
    <xf numFmtId="0" fontId="10" fillId="0" borderId="11" xfId="0" applyFont="1" applyBorder="1" applyAlignment="1" applyProtection="1">
      <alignment horizontal="center"/>
    </xf>
    <xf numFmtId="0" fontId="10" fillId="0" borderId="19" xfId="2" applyFont="1" applyBorder="1" applyAlignment="1">
      <alignment horizontal="center"/>
    </xf>
    <xf numFmtId="0" fontId="10" fillId="0" borderId="19" xfId="0" applyFont="1" applyBorder="1" applyAlignment="1" applyProtection="1"/>
    <xf numFmtId="0" fontId="14" fillId="0" borderId="0" xfId="0" applyFont="1" applyBorder="1" applyAlignment="1" applyProtection="1"/>
    <xf numFmtId="0" fontId="10" fillId="0" borderId="13" xfId="0" applyFont="1" applyBorder="1" applyAlignment="1" applyProtection="1"/>
    <xf numFmtId="0" fontId="14" fillId="0" borderId="19" xfId="0" applyFont="1" applyFill="1" applyBorder="1" applyAlignment="1" applyProtection="1">
      <alignment horizontal="center"/>
    </xf>
    <xf numFmtId="0" fontId="101" fillId="0" borderId="0" xfId="0" applyFont="1" applyFill="1" applyBorder="1" applyAlignment="1" applyProtection="1">
      <alignment horizontal="center"/>
    </xf>
    <xf numFmtId="0" fontId="10" fillId="0" borderId="13" xfId="2" applyFont="1" applyBorder="1" applyAlignment="1">
      <alignment horizontal="center"/>
    </xf>
    <xf numFmtId="1" fontId="10" fillId="0" borderId="0" xfId="2" applyNumberFormat="1" applyFont="1" applyBorder="1" applyAlignment="1">
      <alignment horizontal="center"/>
    </xf>
    <xf numFmtId="0" fontId="102" fillId="0" borderId="19" xfId="0" applyFont="1" applyBorder="1" applyAlignment="1" applyProtection="1">
      <alignment horizontal="center"/>
    </xf>
    <xf numFmtId="0" fontId="102" fillId="0" borderId="0" xfId="0" applyFont="1" applyBorder="1" applyAlignment="1" applyProtection="1">
      <alignment horizontal="center"/>
    </xf>
    <xf numFmtId="0" fontId="102" fillId="0" borderId="13" xfId="0" applyFont="1" applyBorder="1" applyAlignment="1" applyProtection="1">
      <alignment horizontal="center"/>
    </xf>
    <xf numFmtId="0" fontId="102" fillId="0" borderId="0" xfId="0" applyFont="1" applyAlignment="1" applyProtection="1">
      <alignment horizontal="center"/>
    </xf>
    <xf numFmtId="0" fontId="10" fillId="0" borderId="19" xfId="0" applyFont="1" applyFill="1" applyBorder="1" applyAlignment="1" applyProtection="1">
      <alignment horizontal="center"/>
    </xf>
    <xf numFmtId="0" fontId="10" fillId="0" borderId="0" xfId="0" applyFont="1" applyFill="1" applyBorder="1" applyAlignment="1" applyProtection="1">
      <alignment horizontal="center"/>
    </xf>
    <xf numFmtId="1" fontId="10" fillId="0" borderId="0" xfId="2" applyNumberFormat="1" applyFont="1" applyAlignment="1">
      <alignment horizontal="center"/>
    </xf>
    <xf numFmtId="1" fontId="10" fillId="0" borderId="19" xfId="2" applyNumberFormat="1" applyFont="1" applyBorder="1" applyAlignment="1">
      <alignment horizontal="center"/>
    </xf>
    <xf numFmtId="0" fontId="10" fillId="0" borderId="0" xfId="0" applyFont="1" applyBorder="1" applyAlignment="1" applyProtection="1">
      <alignment horizontal="center"/>
    </xf>
    <xf numFmtId="0" fontId="10" fillId="0" borderId="13" xfId="0" applyFont="1" applyBorder="1" applyAlignment="1" applyProtection="1">
      <alignment horizontal="center"/>
    </xf>
    <xf numFmtId="0" fontId="10" fillId="0" borderId="0" xfId="0" applyFont="1" applyAlignment="1" applyProtection="1">
      <alignment horizontal="center"/>
    </xf>
    <xf numFmtId="0" fontId="10" fillId="0" borderId="19" xfId="0" applyFont="1" applyBorder="1" applyAlignment="1" applyProtection="1">
      <alignment horizontal="center"/>
    </xf>
    <xf numFmtId="166" fontId="10" fillId="7" borderId="24" xfId="2" applyNumberFormat="1" applyFont="1" applyFill="1" applyBorder="1" applyAlignment="1">
      <alignment horizontal="center"/>
    </xf>
    <xf numFmtId="166" fontId="10" fillId="7" borderId="12" xfId="2" applyNumberFormat="1" applyFont="1" applyFill="1" applyBorder="1" applyAlignment="1">
      <alignment horizontal="center"/>
    </xf>
    <xf numFmtId="0" fontId="10" fillId="0" borderId="20"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166" fontId="10" fillId="7" borderId="19" xfId="2" applyNumberFormat="1" applyFont="1" applyFill="1" applyBorder="1" applyAlignment="1">
      <alignment horizontal="center"/>
    </xf>
    <xf numFmtId="166" fontId="10" fillId="7" borderId="13" xfId="2" applyNumberFormat="1" applyFont="1" applyFill="1" applyBorder="1" applyAlignment="1">
      <alignment horizontal="center"/>
    </xf>
    <xf numFmtId="166" fontId="10" fillId="7" borderId="20" xfId="2" applyNumberFormat="1" applyFont="1" applyFill="1" applyBorder="1" applyAlignment="1">
      <alignment horizontal="center"/>
    </xf>
    <xf numFmtId="166" fontId="10" fillId="7" borderId="18" xfId="2" applyNumberFormat="1" applyFont="1" applyFill="1" applyBorder="1" applyAlignment="1">
      <alignment horizontal="center"/>
    </xf>
    <xf numFmtId="0" fontId="10" fillId="0" borderId="10" xfId="2" applyFont="1" applyBorder="1"/>
    <xf numFmtId="0" fontId="10" fillId="0" borderId="14" xfId="2" applyFont="1" applyBorder="1"/>
    <xf numFmtId="0" fontId="10" fillId="0" borderId="16" xfId="2" applyFont="1" applyBorder="1" applyAlignment="1">
      <alignment horizontal="right"/>
    </xf>
    <xf numFmtId="0" fontId="10" fillId="0" borderId="11" xfId="0" applyFont="1" applyFill="1" applyBorder="1" applyAlignment="1" applyProtection="1">
      <alignment horizontal="center"/>
    </xf>
    <xf numFmtId="0" fontId="10" fillId="0" borderId="11" xfId="2" applyFont="1" applyBorder="1" applyAlignment="1">
      <alignment horizontal="center"/>
    </xf>
    <xf numFmtId="0" fontId="10" fillId="0" borderId="0" xfId="2" applyFont="1" applyBorder="1"/>
    <xf numFmtId="0" fontId="10" fillId="0" borderId="20" xfId="2" applyFont="1" applyBorder="1" applyAlignment="1">
      <alignment horizontal="center"/>
    </xf>
    <xf numFmtId="0" fontId="10" fillId="0" borderId="17" xfId="2" applyFont="1" applyBorder="1" applyAlignment="1">
      <alignment horizontal="center"/>
    </xf>
    <xf numFmtId="0" fontId="10" fillId="0" borderId="10" xfId="2" applyFont="1" applyBorder="1" applyAlignment="1">
      <alignment horizontal="center"/>
    </xf>
    <xf numFmtId="49" fontId="10" fillId="0" borderId="9" xfId="0" applyNumberFormat="1" applyFont="1" applyBorder="1" applyAlignment="1" applyProtection="1">
      <alignment horizontal="center"/>
    </xf>
    <xf numFmtId="0" fontId="10" fillId="0" borderId="14" xfId="2" applyFont="1" applyBorder="1" applyAlignment="1">
      <alignment horizontal="center"/>
    </xf>
    <xf numFmtId="49" fontId="10" fillId="0" borderId="15" xfId="0" applyNumberFormat="1" applyFont="1" applyBorder="1" applyAlignment="1" applyProtection="1">
      <alignment horizontal="center"/>
    </xf>
    <xf numFmtId="1" fontId="97" fillId="0" borderId="21" xfId="0" applyNumberFormat="1" applyFont="1" applyFill="1" applyBorder="1" applyAlignment="1" applyProtection="1">
      <alignment horizontal="center"/>
      <protection locked="0"/>
    </xf>
    <xf numFmtId="1" fontId="103" fillId="10" borderId="0" xfId="2" applyNumberFormat="1" applyFont="1" applyFill="1" applyProtection="1">
      <protection hidden="1"/>
    </xf>
    <xf numFmtId="0" fontId="10" fillId="0" borderId="7" xfId="0" applyFont="1" applyFill="1" applyBorder="1" applyAlignment="1" applyProtection="1">
      <alignment horizontal="center"/>
    </xf>
    <xf numFmtId="0" fontId="10" fillId="0" borderId="8" xfId="2" applyFont="1" applyFill="1" applyBorder="1" applyAlignment="1">
      <alignment horizontal="center"/>
    </xf>
    <xf numFmtId="0" fontId="10" fillId="0" borderId="6" xfId="2" applyFont="1" applyFill="1" applyBorder="1" applyAlignment="1">
      <alignment horizontal="center"/>
    </xf>
    <xf numFmtId="0" fontId="10" fillId="0" borderId="5" xfId="0" applyFont="1" applyBorder="1" applyAlignment="1">
      <alignment horizontal="center"/>
    </xf>
    <xf numFmtId="0" fontId="7" fillId="0" borderId="5" xfId="0" applyFont="1" applyFill="1" applyBorder="1" applyAlignment="1" applyProtection="1">
      <alignment horizontal="center"/>
    </xf>
    <xf numFmtId="0" fontId="10" fillId="0" borderId="0" xfId="2" applyFont="1" applyAlignment="1" applyProtection="1"/>
    <xf numFmtId="0" fontId="10" fillId="0" borderId="0" xfId="0" applyFont="1" applyBorder="1" applyAlignment="1">
      <alignment horizontal="center"/>
    </xf>
    <xf numFmtId="164" fontId="10" fillId="0" borderId="0" xfId="2" applyNumberFormat="1" applyFont="1" applyFill="1" applyBorder="1" applyAlignment="1">
      <alignment horizontal="center"/>
    </xf>
    <xf numFmtId="0" fontId="10" fillId="0" borderId="0" xfId="0" applyFont="1" applyBorder="1"/>
    <xf numFmtId="0" fontId="10" fillId="0" borderId="16" xfId="0" applyFont="1" applyBorder="1"/>
    <xf numFmtId="0" fontId="10" fillId="0" borderId="16" xfId="2" applyFont="1" applyBorder="1"/>
    <xf numFmtId="0" fontId="14" fillId="8" borderId="8" xfId="0" applyFont="1" applyFill="1" applyBorder="1" applyAlignment="1">
      <alignment horizontal="center"/>
    </xf>
    <xf numFmtId="0" fontId="14" fillId="8" borderId="6" xfId="2" applyFont="1" applyFill="1" applyBorder="1" applyAlignment="1">
      <alignment horizontal="center"/>
    </xf>
    <xf numFmtId="0" fontId="14" fillId="8" borderId="6" xfId="0" applyFont="1" applyFill="1" applyBorder="1" applyAlignment="1">
      <alignment horizontal="center" vertical="center"/>
    </xf>
    <xf numFmtId="0" fontId="14" fillId="8" borderId="7" xfId="0" applyFont="1" applyFill="1" applyBorder="1" applyAlignment="1">
      <alignment horizontal="center" vertical="center"/>
    </xf>
    <xf numFmtId="0" fontId="10" fillId="0" borderId="10" xfId="0" applyFont="1" applyBorder="1"/>
    <xf numFmtId="0" fontId="10" fillId="0" borderId="10" xfId="0" applyFont="1" applyBorder="1" applyAlignment="1">
      <alignment horizontal="right"/>
    </xf>
    <xf numFmtId="1" fontId="10" fillId="7" borderId="9" xfId="0" applyNumberFormat="1" applyFont="1" applyFill="1" applyBorder="1" applyAlignment="1" applyProtection="1">
      <alignment horizontal="center"/>
      <protection locked="0"/>
    </xf>
    <xf numFmtId="1" fontId="10" fillId="7" borderId="9" xfId="0" applyNumberFormat="1" applyFont="1" applyFill="1" applyBorder="1" applyAlignment="1">
      <alignment horizontal="center"/>
    </xf>
    <xf numFmtId="0" fontId="10" fillId="7" borderId="9" xfId="0" applyFont="1" applyFill="1" applyBorder="1" applyAlignment="1">
      <alignment horizontal="center"/>
    </xf>
    <xf numFmtId="1" fontId="10" fillId="7" borderId="15" xfId="0" applyNumberFormat="1" applyFont="1" applyFill="1" applyBorder="1" applyAlignment="1" applyProtection="1">
      <alignment horizontal="center"/>
    </xf>
    <xf numFmtId="0" fontId="10" fillId="7" borderId="10" xfId="2" applyFont="1" applyFill="1" applyBorder="1" applyAlignment="1">
      <alignment horizontal="center"/>
    </xf>
    <xf numFmtId="0" fontId="10" fillId="7" borderId="0" xfId="2" applyFont="1" applyFill="1" applyBorder="1" applyAlignment="1">
      <alignment horizontal="center"/>
    </xf>
    <xf numFmtId="0" fontId="10" fillId="7" borderId="16" xfId="2" applyFont="1" applyFill="1" applyBorder="1" applyAlignment="1">
      <alignment horizontal="center"/>
    </xf>
    <xf numFmtId="2" fontId="97" fillId="0" borderId="21" xfId="0" applyNumberFormat="1" applyFont="1" applyFill="1" applyBorder="1" applyAlignment="1" applyProtection="1">
      <alignment horizontal="center"/>
      <protection locked="0"/>
    </xf>
    <xf numFmtId="0" fontId="119" fillId="0" borderId="0" xfId="6"/>
    <xf numFmtId="0" fontId="7" fillId="0" borderId="0" xfId="0" applyFont="1" applyBorder="1" applyAlignment="1" applyProtection="1">
      <alignment horizontal="center"/>
      <protection locked="0"/>
    </xf>
    <xf numFmtId="0" fontId="19" fillId="0" borderId="0" xfId="0" applyFont="1" applyAlignment="1" applyProtection="1">
      <protection hidden="1"/>
    </xf>
    <xf numFmtId="1" fontId="7" fillId="0" borderId="21" xfId="0" applyNumberFormat="1" applyFont="1" applyFill="1" applyBorder="1" applyAlignment="1" applyProtection="1">
      <alignment horizontal="left"/>
      <protection locked="0"/>
    </xf>
    <xf numFmtId="0" fontId="7" fillId="0" borderId="21" xfId="0" applyFont="1" applyBorder="1" applyAlignment="1" applyProtection="1">
      <alignment horizontal="left" wrapText="1"/>
      <protection locked="0"/>
    </xf>
    <xf numFmtId="0" fontId="7" fillId="0" borderId="21" xfId="0" applyFont="1" applyFill="1" applyBorder="1" applyAlignment="1" applyProtection="1">
      <alignment horizontal="left"/>
      <protection locked="0"/>
    </xf>
    <xf numFmtId="0" fontId="7" fillId="0" borderId="0" xfId="0" applyFont="1" applyBorder="1" applyAlignment="1" applyProtection="1">
      <alignment horizontal="left"/>
      <protection locked="0"/>
    </xf>
    <xf numFmtId="0" fontId="0" fillId="0" borderId="0" xfId="0" applyBorder="1" applyProtection="1"/>
    <xf numFmtId="0" fontId="7" fillId="0" borderId="8" xfId="0" quotePrefix="1" applyFont="1" applyFill="1" applyBorder="1" applyAlignment="1" applyProtection="1">
      <alignment horizontal="left"/>
    </xf>
    <xf numFmtId="0" fontId="7" fillId="0" borderId="14" xfId="0" applyFont="1" applyFill="1" applyBorder="1" applyAlignment="1" applyProtection="1"/>
    <xf numFmtId="0" fontId="107" fillId="0" borderId="0" xfId="0" applyFont="1" applyAlignment="1" applyProtection="1"/>
    <xf numFmtId="14" fontId="0" fillId="0" borderId="4" xfId="0" applyNumberFormat="1" applyBorder="1" applyAlignment="1" applyProtection="1">
      <alignment horizontal="center" vertical="top"/>
      <protection locked="0"/>
    </xf>
    <xf numFmtId="14" fontId="0" fillId="0" borderId="5" xfId="0" applyNumberFormat="1" applyBorder="1" applyAlignment="1" applyProtection="1">
      <alignment horizontal="center" vertical="top"/>
      <protection locked="0"/>
    </xf>
    <xf numFmtId="0" fontId="7" fillId="0" borderId="0" xfId="0" applyNumberFormat="1" applyFont="1" applyAlignment="1" applyProtection="1">
      <alignment vertical="center"/>
      <protection hidden="1"/>
    </xf>
    <xf numFmtId="0" fontId="27" fillId="0" borderId="0" xfId="0" applyFont="1" applyAlignment="1"/>
    <xf numFmtId="0" fontId="40" fillId="0" borderId="0" xfId="0" applyFont="1" applyAlignment="1"/>
    <xf numFmtId="0" fontId="40" fillId="0" borderId="0" xfId="0" applyFont="1" applyAlignment="1">
      <alignment horizontal="left"/>
    </xf>
    <xf numFmtId="0" fontId="81" fillId="0" borderId="0" xfId="0" applyFont="1" applyAlignment="1" applyProtection="1">
      <alignment horizontal="center"/>
      <protection locked="0"/>
    </xf>
    <xf numFmtId="0" fontId="37" fillId="0" borderId="0" xfId="0" applyFont="1" applyAlignment="1">
      <alignment horizontal="left"/>
    </xf>
    <xf numFmtId="0" fontId="81" fillId="0" borderId="0" xfId="0" applyFont="1" applyAlignment="1" applyProtection="1">
      <protection locked="0"/>
    </xf>
    <xf numFmtId="14" fontId="40" fillId="0" borderId="0" xfId="0" applyNumberFormat="1" applyFont="1" applyAlignment="1"/>
    <xf numFmtId="0" fontId="36" fillId="0" borderId="0" xfId="0" applyFont="1" applyAlignment="1">
      <alignment horizontal="left"/>
    </xf>
    <xf numFmtId="0" fontId="12" fillId="0" borderId="0" xfId="0" applyNumberFormat="1" applyFont="1" applyBorder="1" applyAlignment="1" applyProtection="1"/>
    <xf numFmtId="0" fontId="13" fillId="0" borderId="0" xfId="0" applyNumberFormat="1" applyFont="1" applyBorder="1" applyAlignment="1" applyProtection="1">
      <alignment horizontal="center"/>
    </xf>
    <xf numFmtId="0" fontId="28" fillId="0" borderId="0" xfId="0" applyFont="1" applyBorder="1"/>
    <xf numFmtId="0" fontId="7" fillId="0" borderId="0" xfId="0" applyNumberFormat="1" applyFont="1" applyBorder="1" applyAlignment="1" applyProtection="1">
      <alignment vertical="center"/>
      <protection hidden="1"/>
    </xf>
    <xf numFmtId="0" fontId="85" fillId="0" borderId="0" xfId="0" applyFont="1" applyFill="1" applyBorder="1" applyAlignment="1" applyProtection="1">
      <alignment horizontal="center"/>
      <protection hidden="1"/>
    </xf>
    <xf numFmtId="0" fontId="85" fillId="0" borderId="0" xfId="0" applyFont="1" applyFill="1" applyBorder="1" applyAlignment="1">
      <alignment horizontal="center"/>
    </xf>
    <xf numFmtId="14" fontId="85" fillId="0" borderId="0" xfId="0" applyNumberFormat="1" applyFont="1" applyFill="1" applyBorder="1" applyAlignment="1" applyProtection="1">
      <alignment horizontal="left"/>
      <protection hidden="1"/>
    </xf>
    <xf numFmtId="0" fontId="108" fillId="0" borderId="0" xfId="0" applyFont="1" applyFill="1" applyAlignment="1">
      <alignment horizontal="right"/>
    </xf>
    <xf numFmtId="0" fontId="14" fillId="0" borderId="0" xfId="0" applyFont="1" applyBorder="1" applyAlignment="1">
      <alignment horizontal="left"/>
    </xf>
    <xf numFmtId="0" fontId="19" fillId="0" borderId="0" xfId="0" applyFont="1" applyAlignment="1">
      <alignment horizontal="right"/>
    </xf>
    <xf numFmtId="0" fontId="39" fillId="0" borderId="0" xfId="0" applyFont="1" applyAlignment="1">
      <alignment horizontal="left"/>
    </xf>
    <xf numFmtId="0" fontId="78" fillId="0" borderId="0" xfId="0" applyNumberFormat="1" applyFont="1" applyAlignment="1" applyProtection="1"/>
    <xf numFmtId="0" fontId="78" fillId="0" borderId="0" xfId="0" applyNumberFormat="1" applyFont="1" applyFill="1" applyAlignment="1" applyProtection="1"/>
    <xf numFmtId="0" fontId="39" fillId="0" borderId="0" xfId="0" applyFont="1"/>
    <xf numFmtId="0" fontId="39" fillId="0" borderId="0" xfId="0" applyNumberFormat="1" applyFont="1" applyAlignment="1" applyProtection="1"/>
    <xf numFmtId="49" fontId="10" fillId="0" borderId="0" xfId="0" applyNumberFormat="1" applyFont="1" applyAlignment="1">
      <alignment horizontal="left"/>
    </xf>
    <xf numFmtId="0" fontId="50" fillId="0" borderId="0" xfId="0" applyNumberFormat="1" applyFont="1" applyAlignment="1" applyProtection="1"/>
    <xf numFmtId="0" fontId="36" fillId="0" borderId="0" xfId="0" applyFont="1" applyFill="1" applyBorder="1" applyAlignment="1" applyProtection="1">
      <alignment horizontal="left" vertical="center"/>
      <protection hidden="1"/>
    </xf>
    <xf numFmtId="0" fontId="110" fillId="0" borderId="16" xfId="0" applyFont="1" applyFill="1" applyBorder="1" applyAlignment="1" applyProtection="1">
      <alignment horizontal="left" vertical="center"/>
      <protection hidden="1"/>
    </xf>
    <xf numFmtId="0" fontId="39" fillId="11" borderId="8" xfId="0" applyFont="1" applyFill="1" applyBorder="1"/>
    <xf numFmtId="0" fontId="39" fillId="11" borderId="6" xfId="0" applyFont="1" applyFill="1" applyBorder="1"/>
    <xf numFmtId="0" fontId="39" fillId="11" borderId="7" xfId="0" applyFont="1" applyFill="1" applyBorder="1"/>
    <xf numFmtId="0" fontId="39" fillId="0" borderId="0" xfId="0" applyNumberFormat="1" applyFont="1" applyAlignment="1" applyProtection="1">
      <alignment horizontal="left"/>
    </xf>
    <xf numFmtId="0" fontId="39" fillId="0" borderId="7" xfId="0" applyFont="1" applyBorder="1"/>
    <xf numFmtId="0" fontId="39" fillId="11" borderId="16" xfId="0" applyFont="1" applyFill="1" applyBorder="1"/>
    <xf numFmtId="0" fontId="110" fillId="0" borderId="6" xfId="0" applyFont="1" applyFill="1" applyBorder="1" applyAlignment="1" applyProtection="1">
      <alignment horizontal="left"/>
      <protection hidden="1"/>
    </xf>
    <xf numFmtId="0" fontId="19" fillId="0" borderId="0" xfId="0" applyFont="1" applyAlignment="1" applyProtection="1">
      <alignment horizontal="left"/>
      <protection hidden="1"/>
    </xf>
    <xf numFmtId="0" fontId="39" fillId="0" borderId="0" xfId="0" applyFont="1" applyAlignment="1" applyProtection="1">
      <alignment horizontal="left"/>
      <protection hidden="1"/>
    </xf>
    <xf numFmtId="0" fontId="19" fillId="0" borderId="0" xfId="0" applyFont="1" applyProtection="1">
      <protection hidden="1"/>
    </xf>
    <xf numFmtId="2" fontId="7" fillId="0" borderId="0" xfId="0" applyNumberFormat="1" applyFont="1" applyBorder="1" applyAlignment="1" applyProtection="1">
      <alignment horizontal="left"/>
      <protection hidden="1"/>
    </xf>
    <xf numFmtId="0" fontId="7" fillId="0" borderId="5" xfId="0" applyFont="1" applyBorder="1" applyProtection="1">
      <protection hidden="1"/>
    </xf>
    <xf numFmtId="0" fontId="19" fillId="0" borderId="38" xfId="0" applyFont="1" applyFill="1" applyBorder="1" applyAlignment="1" applyProtection="1">
      <alignment horizontal="center"/>
      <protection hidden="1"/>
    </xf>
    <xf numFmtId="0" fontId="19" fillId="0" borderId="39" xfId="0" applyFont="1" applyFill="1" applyBorder="1" applyAlignment="1" applyProtection="1">
      <alignment horizontal="center"/>
      <protection hidden="1"/>
    </xf>
    <xf numFmtId="1" fontId="7" fillId="0" borderId="0" xfId="0" applyNumberFormat="1" applyFont="1" applyProtection="1">
      <protection hidden="1"/>
    </xf>
    <xf numFmtId="0" fontId="18" fillId="0" borderId="0" xfId="0" quotePrefix="1" applyFont="1" applyAlignment="1" applyProtection="1">
      <alignment horizontal="left"/>
      <protection hidden="1"/>
    </xf>
    <xf numFmtId="0" fontId="7" fillId="0" borderId="8" xfId="0" applyFont="1" applyBorder="1" applyAlignment="1" applyProtection="1">
      <alignment horizontal="left"/>
      <protection hidden="1"/>
    </xf>
    <xf numFmtId="2" fontId="7" fillId="0" borderId="6" xfId="0" applyNumberFormat="1" applyFont="1" applyBorder="1" applyAlignment="1" applyProtection="1">
      <alignment horizontal="left"/>
      <protection hidden="1"/>
    </xf>
    <xf numFmtId="0" fontId="7" fillId="0" borderId="7" xfId="0" applyFont="1" applyBorder="1" applyAlignment="1" applyProtection="1">
      <alignment horizontal="left"/>
      <protection hidden="1"/>
    </xf>
    <xf numFmtId="2" fontId="7" fillId="0" borderId="0" xfId="0" applyNumberFormat="1" applyFont="1" applyBorder="1" applyAlignment="1" applyProtection="1">
      <alignment horizontal="right"/>
      <protection hidden="1"/>
    </xf>
    <xf numFmtId="49" fontId="7" fillId="0" borderId="5" xfId="0" applyNumberFormat="1" applyFont="1" applyBorder="1" applyProtection="1">
      <protection hidden="1"/>
    </xf>
    <xf numFmtId="49" fontId="7" fillId="0" borderId="5" xfId="0" applyNumberFormat="1" applyFont="1" applyBorder="1" applyAlignment="1" applyProtection="1">
      <alignment horizontal="left"/>
      <protection hidden="1"/>
    </xf>
    <xf numFmtId="0" fontId="56" fillId="0" borderId="0" xfId="0" applyFont="1" applyAlignment="1" applyProtection="1">
      <alignment horizontal="left"/>
      <protection hidden="1"/>
    </xf>
    <xf numFmtId="0" fontId="104" fillId="0" borderId="0" xfId="0" quotePrefix="1" applyFont="1" applyAlignment="1" applyProtection="1">
      <alignment horizontal="left"/>
      <protection hidden="1"/>
    </xf>
    <xf numFmtId="0" fontId="7" fillId="0" borderId="10" xfId="0" applyFont="1" applyBorder="1" applyAlignment="1" applyProtection="1">
      <alignment horizontal="left"/>
      <protection hidden="1"/>
    </xf>
    <xf numFmtId="0" fontId="7" fillId="0" borderId="0" xfId="0" applyFont="1" applyBorder="1" applyAlignment="1" applyProtection="1">
      <alignment horizontal="left"/>
      <protection hidden="1"/>
    </xf>
    <xf numFmtId="2" fontId="7" fillId="0" borderId="0" xfId="0" applyNumberFormat="1" applyFont="1" applyAlignment="1" applyProtection="1">
      <alignment horizontal="left"/>
      <protection hidden="1"/>
    </xf>
    <xf numFmtId="0" fontId="104" fillId="0" borderId="0" xfId="0" applyFont="1" applyBorder="1" applyAlignment="1" applyProtection="1">
      <alignment horizontal="left"/>
      <protection hidden="1"/>
    </xf>
    <xf numFmtId="1" fontId="30" fillId="0" borderId="0" xfId="0" applyNumberFormat="1" applyFont="1" applyAlignment="1" applyProtection="1">
      <protection hidden="1"/>
    </xf>
    <xf numFmtId="0" fontId="7" fillId="12" borderId="0" xfId="0" applyFont="1" applyFill="1" applyAlignment="1" applyProtection="1">
      <alignment horizontal="center"/>
      <protection hidden="1"/>
    </xf>
    <xf numFmtId="0" fontId="18" fillId="0" borderId="0" xfId="0" applyFont="1" applyAlignment="1" applyProtection="1">
      <alignment horizontal="left"/>
      <protection hidden="1"/>
    </xf>
    <xf numFmtId="0" fontId="7" fillId="0" borderId="0" xfId="0" applyFont="1" applyAlignment="1" applyProtection="1">
      <alignment horizontal="right"/>
      <protection hidden="1"/>
    </xf>
    <xf numFmtId="0" fontId="30" fillId="0" borderId="17" xfId="0" applyFont="1" applyBorder="1" applyAlignment="1" applyProtection="1">
      <alignment horizontal="center" wrapText="1"/>
      <protection hidden="1"/>
    </xf>
    <xf numFmtId="1" fontId="30" fillId="0" borderId="17" xfId="0" applyNumberFormat="1" applyFont="1" applyBorder="1" applyAlignment="1" applyProtection="1">
      <alignment horizontal="center" wrapText="1"/>
      <protection hidden="1"/>
    </xf>
    <xf numFmtId="0" fontId="19" fillId="0" borderId="40" xfId="0" applyFont="1" applyFill="1" applyBorder="1" applyAlignment="1" applyProtection="1">
      <alignment horizontal="left"/>
      <protection hidden="1"/>
    </xf>
    <xf numFmtId="0" fontId="7" fillId="0" borderId="41" xfId="0" applyFont="1" applyFill="1" applyBorder="1" applyAlignment="1" applyProtection="1">
      <alignment horizontal="center"/>
      <protection hidden="1"/>
    </xf>
    <xf numFmtId="0" fontId="7" fillId="0" borderId="42" xfId="0" applyFont="1" applyBorder="1" applyAlignment="1" applyProtection="1">
      <alignment horizontal="center"/>
      <protection hidden="1"/>
    </xf>
    <xf numFmtId="0" fontId="100" fillId="0" borderId="43" xfId="0" applyFont="1" applyBorder="1" applyAlignment="1" applyProtection="1">
      <alignment horizontal="center" textRotation="90"/>
      <protection hidden="1"/>
    </xf>
    <xf numFmtId="0" fontId="7" fillId="0" borderId="14" xfId="0" applyFont="1" applyBorder="1" applyAlignment="1" applyProtection="1">
      <alignment horizontal="left"/>
      <protection hidden="1"/>
    </xf>
    <xf numFmtId="0" fontId="7" fillId="0" borderId="16" xfId="0" applyFont="1" applyBorder="1" applyAlignment="1" applyProtection="1">
      <alignment horizontal="left"/>
      <protection hidden="1"/>
    </xf>
    <xf numFmtId="2" fontId="7" fillId="0" borderId="16" xfId="0" applyNumberFormat="1" applyFont="1" applyBorder="1" applyAlignment="1" applyProtection="1">
      <alignment horizontal="left"/>
      <protection hidden="1"/>
    </xf>
    <xf numFmtId="0" fontId="23" fillId="3" borderId="29" xfId="0" applyNumberFormat="1" applyFont="1" applyFill="1" applyBorder="1" applyAlignment="1" applyProtection="1">
      <alignment horizontal="center"/>
      <protection locked="0" hidden="1"/>
    </xf>
    <xf numFmtId="0" fontId="7" fillId="0" borderId="0" xfId="0" quotePrefix="1" applyFont="1" applyFill="1" applyBorder="1" applyAlignment="1" applyProtection="1"/>
    <xf numFmtId="0" fontId="7" fillId="0" borderId="0" xfId="0" applyFont="1" applyFill="1" applyBorder="1" applyAlignment="1" applyProtection="1">
      <alignment horizontal="left"/>
    </xf>
    <xf numFmtId="169" fontId="0" fillId="0" borderId="4" xfId="0" applyNumberFormat="1" applyBorder="1" applyAlignment="1" applyProtection="1">
      <alignment horizontal="center" vertical="top"/>
      <protection locked="0"/>
    </xf>
    <xf numFmtId="169" fontId="0" fillId="0" borderId="5" xfId="0" applyNumberFormat="1" applyBorder="1" applyAlignment="1" applyProtection="1">
      <alignment horizontal="center" vertical="top"/>
      <protection locked="0"/>
    </xf>
    <xf numFmtId="0" fontId="0" fillId="0" borderId="5" xfId="0" applyBorder="1" applyAlignment="1" applyProtection="1">
      <alignment vertical="top"/>
      <protection locked="0"/>
    </xf>
    <xf numFmtId="0" fontId="105" fillId="0" borderId="0" xfId="0" applyFont="1" applyBorder="1" applyProtection="1">
      <protection locked="0"/>
    </xf>
    <xf numFmtId="0" fontId="106" fillId="0" borderId="0" xfId="0" applyFont="1" applyBorder="1" applyProtection="1">
      <protection locked="0"/>
    </xf>
    <xf numFmtId="0" fontId="106" fillId="0" borderId="0" xfId="0" applyFont="1" applyBorder="1" applyAlignment="1" applyProtection="1">
      <alignment horizontal="center"/>
      <protection locked="0"/>
    </xf>
    <xf numFmtId="0" fontId="38" fillId="0" borderId="0" xfId="0" applyFont="1" applyAlignment="1" applyProtection="1">
      <alignment horizontal="left"/>
    </xf>
    <xf numFmtId="0" fontId="52" fillId="0" borderId="0" xfId="0" applyFont="1" applyAlignment="1" applyProtection="1">
      <alignment horizontal="center"/>
      <protection hidden="1"/>
    </xf>
    <xf numFmtId="0" fontId="14" fillId="0" borderId="10" xfId="0" applyFont="1" applyBorder="1" applyAlignment="1">
      <alignment horizontal="center"/>
    </xf>
    <xf numFmtId="0" fontId="14" fillId="0" borderId="0" xfId="0" applyFont="1" applyBorder="1" applyAlignment="1">
      <alignment horizontal="center"/>
    </xf>
    <xf numFmtId="0" fontId="14" fillId="0" borderId="9" xfId="0" applyFont="1" applyBorder="1" applyAlignment="1">
      <alignment horizontal="center"/>
    </xf>
    <xf numFmtId="0" fontId="0" fillId="0" borderId="10" xfId="0" applyBorder="1" applyAlignment="1">
      <alignment horizontal="right"/>
    </xf>
    <xf numFmtId="0" fontId="0" fillId="0" borderId="0" xfId="0" applyBorder="1" applyAlignment="1">
      <alignment horizontal="center"/>
    </xf>
    <xf numFmtId="0" fontId="0" fillId="0" borderId="9" xfId="0" applyBorder="1" applyAlignment="1">
      <alignment horizontal="center"/>
    </xf>
    <xf numFmtId="0" fontId="10" fillId="0" borderId="14" xfId="0" applyFont="1" applyBorder="1" applyAlignment="1">
      <alignment horizontal="right"/>
    </xf>
    <xf numFmtId="0" fontId="0" fillId="0" borderId="16" xfId="0" applyBorder="1" applyAlignment="1">
      <alignment horizontal="center"/>
    </xf>
    <xf numFmtId="0" fontId="0" fillId="0" borderId="15" xfId="0" applyBorder="1" applyAlignment="1">
      <alignment horizontal="center"/>
    </xf>
    <xf numFmtId="0" fontId="10" fillId="0" borderId="8" xfId="0" applyFont="1" applyBorder="1" applyAlignment="1">
      <alignment horizontal="right"/>
    </xf>
    <xf numFmtId="0" fontId="0" fillId="0" borderId="6" xfId="0" applyBorder="1" applyAlignment="1">
      <alignment horizontal="left"/>
    </xf>
    <xf numFmtId="0" fontId="0" fillId="0" borderId="16" xfId="0" applyBorder="1" applyAlignment="1">
      <alignment horizontal="left"/>
    </xf>
    <xf numFmtId="0" fontId="14" fillId="0" borderId="10" xfId="0" applyFont="1" applyBorder="1" applyAlignment="1">
      <alignment horizontal="right"/>
    </xf>
    <xf numFmtId="0" fontId="9" fillId="3" borderId="0" xfId="0" applyFont="1" applyFill="1" applyBorder="1" applyAlignment="1" applyProtection="1">
      <alignment horizontal="center"/>
      <protection locked="0"/>
    </xf>
    <xf numFmtId="0" fontId="39" fillId="0" borderId="8" xfId="0" applyFont="1" applyFill="1" applyBorder="1"/>
    <xf numFmtId="0" fontId="95" fillId="0" borderId="0" xfId="0" applyFont="1" applyBorder="1" applyAlignment="1" applyProtection="1">
      <protection hidden="1"/>
    </xf>
    <xf numFmtId="0" fontId="14" fillId="0" borderId="8" xfId="0" applyFont="1" applyBorder="1"/>
    <xf numFmtId="0" fontId="0" fillId="0" borderId="6" xfId="0" applyBorder="1"/>
    <xf numFmtId="0" fontId="0" fillId="0" borderId="7" xfId="0" applyBorder="1"/>
    <xf numFmtId="0" fontId="0" fillId="0" borderId="0" xfId="0" applyBorder="1" applyAlignment="1">
      <alignment horizontal="left"/>
    </xf>
    <xf numFmtId="0" fontId="0" fillId="0" borderId="9" xfId="0" applyBorder="1"/>
    <xf numFmtId="0" fontId="0" fillId="0" borderId="16" xfId="0" applyBorder="1"/>
    <xf numFmtId="0" fontId="0" fillId="0" borderId="15" xfId="0" applyBorder="1"/>
    <xf numFmtId="0" fontId="10" fillId="0" borderId="0" xfId="0" applyFont="1" applyBorder="1" applyAlignment="1">
      <alignment horizontal="right"/>
    </xf>
    <xf numFmtId="0" fontId="10" fillId="0" borderId="0" xfId="0" applyFont="1" applyFill="1" applyBorder="1" applyAlignment="1">
      <alignment horizontal="right"/>
    </xf>
    <xf numFmtId="0" fontId="14" fillId="0" borderId="6" xfId="0" applyFont="1" applyBorder="1"/>
    <xf numFmtId="0" fontId="0" fillId="0" borderId="10" xfId="0" applyBorder="1"/>
    <xf numFmtId="0" fontId="0" fillId="0" borderId="14" xfId="0" applyBorder="1"/>
    <xf numFmtId="0" fontId="0" fillId="0" borderId="0" xfId="0" applyBorder="1"/>
    <xf numFmtId="0" fontId="0" fillId="0" borderId="31" xfId="0" applyBorder="1"/>
    <xf numFmtId="0" fontId="10" fillId="0" borderId="32" xfId="0" applyFont="1" applyBorder="1" applyAlignment="1">
      <alignment horizontal="center"/>
    </xf>
    <xf numFmtId="0" fontId="10" fillId="0" borderId="46" xfId="0" applyFont="1" applyBorder="1" applyAlignment="1">
      <alignment horizontal="center"/>
    </xf>
    <xf numFmtId="0" fontId="14" fillId="0" borderId="36" xfId="0" applyFont="1" applyBorder="1" applyAlignment="1">
      <alignment horizontal="right"/>
    </xf>
    <xf numFmtId="0" fontId="10" fillId="0" borderId="37" xfId="0" applyFont="1" applyBorder="1" applyAlignment="1">
      <alignment horizontal="center"/>
    </xf>
    <xf numFmtId="0" fontId="0" fillId="0" borderId="36" xfId="0" applyBorder="1"/>
    <xf numFmtId="0" fontId="10" fillId="0" borderId="0" xfId="0" applyFont="1" applyBorder="1" applyProtection="1">
      <protection locked="0"/>
    </xf>
    <xf numFmtId="0" fontId="27" fillId="7" borderId="0" xfId="0" applyFont="1" applyFill="1" applyAlignment="1"/>
    <xf numFmtId="0" fontId="27" fillId="7" borderId="0" xfId="0" applyFont="1" applyFill="1" applyAlignment="1">
      <alignment horizontal="left"/>
    </xf>
    <xf numFmtId="1" fontId="40" fillId="0" borderId="0" xfId="0" applyNumberFormat="1" applyFont="1" applyAlignment="1"/>
    <xf numFmtId="1" fontId="81" fillId="0" borderId="0" xfId="0" applyNumberFormat="1" applyFont="1" applyAlignment="1" applyProtection="1">
      <alignment horizontal="right"/>
      <protection locked="0"/>
    </xf>
    <xf numFmtId="0" fontId="14" fillId="7" borderId="0" xfId="0" applyFont="1" applyFill="1" applyProtection="1"/>
    <xf numFmtId="0" fontId="14" fillId="7" borderId="0" xfId="0" applyFont="1" applyFill="1" applyAlignment="1" applyProtection="1">
      <alignment horizontal="center"/>
    </xf>
    <xf numFmtId="0" fontId="112" fillId="0" borderId="0" xfId="0" applyFont="1" applyAlignment="1">
      <alignment horizontal="center"/>
    </xf>
    <xf numFmtId="49" fontId="37" fillId="0" borderId="0" xfId="0" applyNumberFormat="1" applyFont="1" applyAlignment="1">
      <alignment horizontal="left"/>
    </xf>
    <xf numFmtId="0" fontId="39" fillId="0" borderId="0" xfId="0" applyNumberFormat="1" applyFont="1" applyAlignment="1">
      <alignment horizontal="left"/>
    </xf>
    <xf numFmtId="0" fontId="7" fillId="0" borderId="0" xfId="0" applyNumberFormat="1" applyFont="1" applyAlignment="1">
      <alignment horizontal="left"/>
    </xf>
    <xf numFmtId="0" fontId="10" fillId="0" borderId="9" xfId="0" applyFont="1" applyBorder="1"/>
    <xf numFmtId="0" fontId="63" fillId="0" borderId="0" xfId="0" applyFont="1" applyAlignment="1" applyProtection="1">
      <alignment horizontal="center" vertical="center"/>
    </xf>
    <xf numFmtId="0" fontId="31" fillId="0" borderId="0" xfId="0" applyFont="1" applyFill="1" applyBorder="1" applyAlignment="1" applyProtection="1">
      <alignment horizontal="left"/>
    </xf>
    <xf numFmtId="0" fontId="9" fillId="0" borderId="0" xfId="0" applyFont="1" applyFill="1" applyBorder="1" applyAlignment="1" applyProtection="1"/>
    <xf numFmtId="1" fontId="39" fillId="0" borderId="8" xfId="0" applyNumberFormat="1" applyFont="1" applyBorder="1" applyAlignment="1" applyProtection="1"/>
    <xf numFmtId="164" fontId="39" fillId="0" borderId="0" xfId="0" applyNumberFormat="1" applyFont="1" applyBorder="1" applyAlignment="1" applyProtection="1">
      <alignment horizontal="right"/>
    </xf>
    <xf numFmtId="1" fontId="39" fillId="0" borderId="10" xfId="0" applyNumberFormat="1" applyFont="1" applyBorder="1" applyAlignment="1" applyProtection="1"/>
    <xf numFmtId="164" fontId="39" fillId="0" borderId="0" xfId="0" applyNumberFormat="1" applyFont="1" applyBorder="1" applyAlignment="1" applyProtection="1">
      <alignment horizontal="center"/>
    </xf>
    <xf numFmtId="168" fontId="39" fillId="0" borderId="0" xfId="0" applyNumberFormat="1" applyFont="1" applyBorder="1" applyAlignment="1" applyProtection="1">
      <alignment horizontal="center"/>
    </xf>
    <xf numFmtId="0" fontId="39" fillId="0" borderId="10" xfId="0" applyFont="1" applyBorder="1" applyProtection="1"/>
    <xf numFmtId="0" fontId="39" fillId="0" borderId="9" xfId="0" applyFont="1" applyBorder="1" applyAlignment="1" applyProtection="1">
      <alignment horizontal="center"/>
    </xf>
    <xf numFmtId="0" fontId="39" fillId="0" borderId="14" xfId="0" applyFont="1" applyBorder="1" applyProtection="1"/>
    <xf numFmtId="0" fontId="39" fillId="0" borderId="15" xfId="0" applyFont="1" applyBorder="1" applyAlignment="1" applyProtection="1">
      <alignment horizontal="center"/>
    </xf>
    <xf numFmtId="0" fontId="39" fillId="4" borderId="8" xfId="0" applyFont="1" applyFill="1" applyBorder="1" applyProtection="1"/>
    <xf numFmtId="0" fontId="39" fillId="4" borderId="6" xfId="0" applyFont="1" applyFill="1" applyBorder="1" applyProtection="1"/>
    <xf numFmtId="0" fontId="39" fillId="4" borderId="7" xfId="0" applyFont="1" applyFill="1" applyBorder="1" applyProtection="1"/>
    <xf numFmtId="0" fontId="7" fillId="4" borderId="14" xfId="0" applyFont="1" applyFill="1" applyBorder="1" applyProtection="1"/>
    <xf numFmtId="0" fontId="7" fillId="4" borderId="16" xfId="0" applyFont="1" applyFill="1" applyBorder="1" applyProtection="1"/>
    <xf numFmtId="0" fontId="7" fillId="4" borderId="15" xfId="0" applyFont="1" applyFill="1" applyBorder="1" applyProtection="1"/>
    <xf numFmtId="0" fontId="7" fillId="4" borderId="0" xfId="0" applyFont="1" applyFill="1" applyAlignment="1" applyProtection="1">
      <alignment horizontal="center"/>
    </xf>
    <xf numFmtId="0" fontId="7" fillId="0" borderId="2" xfId="0" applyFont="1" applyBorder="1" applyProtection="1"/>
    <xf numFmtId="0" fontId="7" fillId="0" borderId="3" xfId="0" applyFont="1" applyBorder="1" applyProtection="1"/>
    <xf numFmtId="0" fontId="7" fillId="0" borderId="3" xfId="0" applyFont="1" applyFill="1" applyBorder="1" applyProtection="1"/>
    <xf numFmtId="0" fontId="27" fillId="0" borderId="0" xfId="0" applyFont="1" applyAlignment="1" applyProtection="1">
      <alignment horizontal="center"/>
    </xf>
    <xf numFmtId="0" fontId="7" fillId="0" borderId="4" xfId="0" applyFont="1" applyFill="1" applyBorder="1" applyProtection="1"/>
    <xf numFmtId="0" fontId="80" fillId="0" borderId="0" xfId="0" applyFont="1" applyAlignment="1" applyProtection="1">
      <alignment horizontal="center"/>
    </xf>
    <xf numFmtId="164" fontId="40" fillId="0" borderId="4" xfId="0" applyNumberFormat="1" applyFont="1" applyBorder="1" applyAlignment="1" applyProtection="1">
      <alignment horizontal="left"/>
    </xf>
    <xf numFmtId="0" fontId="7" fillId="0" borderId="16" xfId="0" applyFont="1" applyFill="1" applyBorder="1" applyProtection="1"/>
    <xf numFmtId="0" fontId="7" fillId="0" borderId="15" xfId="0" applyFont="1" applyFill="1" applyBorder="1" applyAlignment="1" applyProtection="1">
      <alignment horizontal="center"/>
    </xf>
    <xf numFmtId="164" fontId="10" fillId="0" borderId="0" xfId="0" applyNumberFormat="1" applyFont="1" applyBorder="1" applyAlignment="1" applyProtection="1">
      <alignment horizontal="center"/>
    </xf>
    <xf numFmtId="1" fontId="10" fillId="0" borderId="0" xfId="0" applyNumberFormat="1" applyFont="1" applyBorder="1" applyAlignment="1" applyProtection="1">
      <alignment horizontal="center"/>
    </xf>
    <xf numFmtId="164" fontId="10" fillId="0" borderId="8" xfId="0" applyNumberFormat="1" applyFont="1" applyBorder="1" applyAlignment="1" applyProtection="1">
      <alignment horizontal="left"/>
    </xf>
    <xf numFmtId="164" fontId="10" fillId="0" borderId="7" xfId="0" applyNumberFormat="1" applyFont="1" applyBorder="1" applyAlignment="1" applyProtection="1">
      <alignment horizontal="center"/>
    </xf>
    <xf numFmtId="168" fontId="10" fillId="0" borderId="0" xfId="0" applyNumberFormat="1" applyFont="1" applyBorder="1" applyAlignment="1" applyProtection="1">
      <alignment horizontal="center"/>
    </xf>
    <xf numFmtId="164" fontId="10" fillId="0" borderId="10" xfId="0" applyNumberFormat="1" applyFont="1" applyBorder="1" applyAlignment="1" applyProtection="1">
      <alignment horizontal="left"/>
    </xf>
    <xf numFmtId="164" fontId="10" fillId="0" borderId="9" xfId="0" applyNumberFormat="1" applyFont="1" applyBorder="1" applyAlignment="1" applyProtection="1">
      <alignment horizontal="center"/>
    </xf>
    <xf numFmtId="1" fontId="10" fillId="0" borderId="0" xfId="0" applyNumberFormat="1" applyFont="1" applyBorder="1" applyAlignment="1" applyProtection="1"/>
    <xf numFmtId="164" fontId="10" fillId="0" borderId="14" xfId="0" applyNumberFormat="1" applyFont="1" applyBorder="1" applyAlignment="1" applyProtection="1">
      <alignment horizontal="left"/>
    </xf>
    <xf numFmtId="164" fontId="10" fillId="0" borderId="15" xfId="0" applyNumberFormat="1" applyFont="1" applyBorder="1" applyAlignment="1" applyProtection="1">
      <alignment horizontal="center"/>
    </xf>
    <xf numFmtId="0" fontId="13" fillId="0" borderId="0" xfId="0" applyFont="1" applyAlignment="1" applyProtection="1">
      <alignment horizontal="center" vertical="center"/>
    </xf>
    <xf numFmtId="0" fontId="27" fillId="0" borderId="0" xfId="0" applyFont="1" applyAlignment="1" applyProtection="1">
      <alignment horizontal="right"/>
    </xf>
    <xf numFmtId="0" fontId="40" fillId="0" borderId="0" xfId="0" applyFont="1" applyAlignment="1" applyProtection="1">
      <alignment horizontal="center"/>
    </xf>
    <xf numFmtId="0" fontId="13" fillId="0" borderId="0" xfId="0" applyFont="1" applyAlignment="1" applyProtection="1">
      <alignment horizontal="left" vertical="center"/>
    </xf>
    <xf numFmtId="0" fontId="95" fillId="0" borderId="0" xfId="0" applyFont="1" applyBorder="1" applyAlignment="1" applyProtection="1">
      <alignment horizontal="center"/>
      <protection hidden="1"/>
    </xf>
    <xf numFmtId="0" fontId="10" fillId="0" borderId="0" xfId="0" applyFont="1" applyFill="1" applyProtection="1">
      <protection locked="0"/>
    </xf>
    <xf numFmtId="0" fontId="10" fillId="0" borderId="32" xfId="0" applyFont="1" applyFill="1" applyBorder="1"/>
    <xf numFmtId="0" fontId="10" fillId="0" borderId="32" xfId="0" applyFont="1" applyFill="1" applyBorder="1" applyProtection="1">
      <protection locked="0"/>
    </xf>
    <xf numFmtId="0" fontId="9" fillId="0" borderId="0" xfId="0" applyFont="1" applyFill="1" applyBorder="1" applyAlignment="1" applyProtection="1">
      <alignment horizontal="center"/>
    </xf>
    <xf numFmtId="0" fontId="115" fillId="0" borderId="24" xfId="0" applyFont="1" applyFill="1" applyBorder="1" applyAlignment="1" applyProtection="1"/>
    <xf numFmtId="0" fontId="93" fillId="0" borderId="0" xfId="0" applyFont="1"/>
    <xf numFmtId="1" fontId="10" fillId="8" borderId="0" xfId="2" applyNumberFormat="1" applyFont="1" applyFill="1"/>
    <xf numFmtId="0" fontId="10" fillId="8" borderId="0" xfId="2" applyFont="1" applyFill="1"/>
    <xf numFmtId="0" fontId="14" fillId="0" borderId="11" xfId="0" applyFont="1" applyBorder="1" applyAlignment="1">
      <alignment horizontal="center"/>
    </xf>
    <xf numFmtId="0" fontId="14" fillId="0" borderId="12" xfId="2" applyFont="1" applyBorder="1" applyAlignment="1">
      <alignment horizontal="center"/>
    </xf>
    <xf numFmtId="0" fontId="14" fillId="0" borderId="19" xfId="2" applyFont="1" applyBorder="1"/>
    <xf numFmtId="166" fontId="10" fillId="0" borderId="0" xfId="2" applyNumberFormat="1" applyFont="1" applyBorder="1" applyAlignment="1">
      <alignment horizontal="center"/>
    </xf>
    <xf numFmtId="0" fontId="10" fillId="0" borderId="0" xfId="2" applyNumberFormat="1" applyFont="1" applyBorder="1" applyAlignment="1">
      <alignment horizontal="center"/>
    </xf>
    <xf numFmtId="166" fontId="10" fillId="0" borderId="0" xfId="0" applyNumberFormat="1" applyFont="1" applyBorder="1" applyAlignment="1">
      <alignment horizontal="center"/>
    </xf>
    <xf numFmtId="0" fontId="14" fillId="0" borderId="20" xfId="2" applyFont="1" applyBorder="1"/>
    <xf numFmtId="166" fontId="10" fillId="0" borderId="17" xfId="2" applyNumberFormat="1" applyFont="1" applyBorder="1" applyAlignment="1">
      <alignment horizontal="center"/>
    </xf>
    <xf numFmtId="0" fontId="10" fillId="0" borderId="18" xfId="2" applyFont="1" applyBorder="1" applyAlignment="1">
      <alignment horizontal="center"/>
    </xf>
    <xf numFmtId="0" fontId="10" fillId="7" borderId="49" xfId="2" applyFont="1" applyFill="1" applyBorder="1" applyAlignment="1">
      <alignment horizontal="center"/>
    </xf>
    <xf numFmtId="0" fontId="10" fillId="7" borderId="50" xfId="2" applyFont="1" applyFill="1" applyBorder="1" applyAlignment="1">
      <alignment horizontal="center"/>
    </xf>
    <xf numFmtId="0" fontId="10" fillId="0" borderId="0" xfId="2" applyAlignment="1">
      <alignment horizontal="center"/>
    </xf>
    <xf numFmtId="170" fontId="0" fillId="0" borderId="9" xfId="0" applyNumberFormat="1" applyBorder="1" applyAlignment="1">
      <alignment horizontal="left"/>
    </xf>
    <xf numFmtId="166" fontId="10" fillId="0" borderId="10" xfId="2" applyNumberFormat="1" applyFont="1" applyBorder="1" applyAlignment="1">
      <alignment horizontal="center"/>
    </xf>
    <xf numFmtId="0" fontId="10" fillId="13" borderId="8" xfId="2" applyFont="1" applyFill="1" applyBorder="1" applyAlignment="1">
      <alignment horizontal="center"/>
    </xf>
    <xf numFmtId="0" fontId="10" fillId="13" borderId="6" xfId="2" applyFill="1" applyBorder="1" applyAlignment="1">
      <alignment horizontal="center"/>
    </xf>
    <xf numFmtId="0" fontId="10" fillId="13" borderId="7" xfId="2" applyFill="1" applyBorder="1" applyAlignment="1">
      <alignment horizontal="center"/>
    </xf>
    <xf numFmtId="49" fontId="13" fillId="0" borderId="0" xfId="0" applyNumberFormat="1" applyFont="1" applyFill="1" applyBorder="1" applyAlignment="1" applyProtection="1">
      <protection hidden="1"/>
    </xf>
    <xf numFmtId="0" fontId="13" fillId="0" borderId="0" xfId="0" applyFont="1" applyFill="1" applyAlignment="1" applyProtection="1">
      <alignment horizontal="left"/>
      <protection hidden="1"/>
    </xf>
    <xf numFmtId="0" fontId="13" fillId="0" borderId="0" xfId="0" applyFont="1" applyFill="1" applyBorder="1" applyAlignment="1" applyProtection="1">
      <alignment horizontal="left"/>
      <protection hidden="1"/>
    </xf>
    <xf numFmtId="0" fontId="22" fillId="0" borderId="0" xfId="0" applyFont="1" applyFill="1" applyBorder="1" applyAlignment="1" applyProtection="1">
      <protection hidden="1"/>
    </xf>
    <xf numFmtId="0" fontId="50" fillId="0" borderId="0" xfId="0" applyFont="1" applyProtection="1">
      <protection hidden="1"/>
    </xf>
    <xf numFmtId="0" fontId="11" fillId="0" borderId="0" xfId="0" applyFont="1" applyAlignment="1" applyProtection="1">
      <protection hidden="1"/>
    </xf>
    <xf numFmtId="0" fontId="8" fillId="0" borderId="0" xfId="0" applyFont="1" applyAlignment="1" applyProtection="1">
      <alignment vertical="top"/>
      <protection hidden="1"/>
    </xf>
    <xf numFmtId="0" fontId="22" fillId="0" borderId="0" xfId="0" applyFont="1" applyFill="1" applyAlignment="1" applyProtection="1">
      <alignment horizontal="center"/>
      <protection hidden="1"/>
    </xf>
    <xf numFmtId="0" fontId="116" fillId="0" borderId="0" xfId="0" applyFont="1" applyAlignment="1" applyProtection="1">
      <alignment horizontal="center"/>
      <protection hidden="1"/>
    </xf>
    <xf numFmtId="0" fontId="7" fillId="0" borderId="24" xfId="0" applyFont="1" applyFill="1" applyBorder="1" applyProtection="1">
      <protection hidden="1"/>
    </xf>
    <xf numFmtId="0" fontId="7" fillId="0" borderId="11" xfId="0" applyFont="1" applyFill="1" applyBorder="1" applyProtection="1">
      <protection hidden="1"/>
    </xf>
    <xf numFmtId="0" fontId="19" fillId="0" borderId="11" xfId="0" applyFont="1" applyFill="1" applyBorder="1" applyAlignment="1" applyProtection="1">
      <alignment horizontal="right"/>
      <protection hidden="1"/>
    </xf>
    <xf numFmtId="0" fontId="7" fillId="0" borderId="12" xfId="0" applyFont="1" applyFill="1" applyBorder="1" applyProtection="1">
      <protection hidden="1"/>
    </xf>
    <xf numFmtId="1" fontId="7" fillId="0" borderId="0" xfId="0" applyNumberFormat="1" applyFont="1" applyFill="1" applyProtection="1">
      <protection hidden="1"/>
    </xf>
    <xf numFmtId="0" fontId="7" fillId="0" borderId="19" xfId="0" applyFont="1" applyFill="1" applyBorder="1" applyProtection="1">
      <protection hidden="1"/>
    </xf>
    <xf numFmtId="0" fontId="7" fillId="0" borderId="0" xfId="0" applyFont="1" applyFill="1" applyBorder="1" applyProtection="1">
      <protection hidden="1"/>
    </xf>
    <xf numFmtId="0" fontId="7" fillId="0" borderId="13" xfId="0" applyFont="1" applyFill="1" applyBorder="1" applyProtection="1">
      <protection hidden="1"/>
    </xf>
    <xf numFmtId="0" fontId="19" fillId="0" borderId="0" xfId="0" applyFont="1" applyFill="1" applyBorder="1" applyProtection="1">
      <protection hidden="1"/>
    </xf>
    <xf numFmtId="0" fontId="7" fillId="0" borderId="20" xfId="0" applyFont="1" applyFill="1" applyBorder="1" applyProtection="1">
      <protection hidden="1"/>
    </xf>
    <xf numFmtId="0" fontId="7" fillId="0" borderId="17" xfId="0" applyFont="1" applyFill="1" applyBorder="1" applyProtection="1">
      <protection hidden="1"/>
    </xf>
    <xf numFmtId="0" fontId="0" fillId="0" borderId="18" xfId="0" applyBorder="1" applyAlignment="1" applyProtection="1">
      <protection hidden="1"/>
    </xf>
    <xf numFmtId="0" fontId="0" fillId="0" borderId="0" xfId="0" applyAlignment="1" applyProtection="1">
      <protection hidden="1"/>
    </xf>
    <xf numFmtId="0" fontId="50" fillId="0" borderId="0" xfId="0" applyFont="1" applyFill="1" applyProtection="1">
      <protection hidden="1"/>
    </xf>
    <xf numFmtId="0" fontId="7" fillId="6" borderId="5" xfId="0" applyFont="1" applyFill="1" applyBorder="1" applyAlignment="1" applyProtection="1">
      <protection hidden="1"/>
    </xf>
    <xf numFmtId="0" fontId="19" fillId="0" borderId="0" xfId="0" applyFont="1" applyFill="1" applyAlignment="1" applyProtection="1">
      <protection hidden="1"/>
    </xf>
    <xf numFmtId="0" fontId="11" fillId="0" borderId="0" xfId="0" applyFont="1" applyProtection="1">
      <protection hidden="1"/>
    </xf>
    <xf numFmtId="0" fontId="11" fillId="0" borderId="0" xfId="0" applyFont="1" applyBorder="1" applyProtection="1">
      <protection hidden="1"/>
    </xf>
    <xf numFmtId="0" fontId="11" fillId="0" borderId="0" xfId="0" applyFont="1" applyBorder="1" applyAlignment="1" applyProtection="1">
      <protection hidden="1"/>
    </xf>
    <xf numFmtId="0" fontId="77" fillId="0" borderId="0" xfId="0" applyFont="1" applyProtection="1">
      <protection hidden="1"/>
    </xf>
    <xf numFmtId="0" fontId="97" fillId="0" borderId="0" xfId="0" applyFont="1" applyAlignment="1" applyProtection="1">
      <alignment horizontal="center"/>
    </xf>
    <xf numFmtId="0" fontId="117" fillId="0" borderId="0" xfId="0" applyFont="1"/>
    <xf numFmtId="0" fontId="14" fillId="0" borderId="0" xfId="2" applyFont="1" applyFill="1" applyAlignment="1">
      <alignment horizontal="right"/>
    </xf>
    <xf numFmtId="0" fontId="97" fillId="0" borderId="5" xfId="0" applyFont="1" applyFill="1" applyBorder="1" applyAlignment="1" applyProtection="1">
      <alignment horizontal="center"/>
    </xf>
    <xf numFmtId="0" fontId="40" fillId="0" borderId="5" xfId="0" applyFont="1" applyBorder="1" applyAlignment="1" applyProtection="1">
      <alignment horizontal="center"/>
    </xf>
    <xf numFmtId="0" fontId="97" fillId="0" borderId="5" xfId="0" applyFont="1" applyBorder="1" applyAlignment="1" applyProtection="1">
      <alignment horizontal="center"/>
    </xf>
    <xf numFmtId="2" fontId="7" fillId="0" borderId="0" xfId="0" applyNumberFormat="1" applyFont="1" applyAlignment="1" applyProtection="1">
      <alignment horizontal="right"/>
      <protection hidden="1"/>
    </xf>
    <xf numFmtId="0" fontId="7" fillId="16" borderId="0" xfId="0" applyNumberFormat="1" applyFont="1" applyFill="1" applyBorder="1" applyAlignment="1" applyProtection="1"/>
    <xf numFmtId="0" fontId="11" fillId="16" borderId="0" xfId="0" applyNumberFormat="1" applyFont="1" applyFill="1" applyBorder="1" applyAlignment="1" applyProtection="1">
      <alignment horizontal="right"/>
    </xf>
    <xf numFmtId="0" fontId="24" fillId="16" borderId="0" xfId="0" applyNumberFormat="1" applyFont="1" applyFill="1" applyBorder="1" applyAlignment="1" applyProtection="1">
      <alignment horizontal="left"/>
    </xf>
    <xf numFmtId="0" fontId="8" fillId="17" borderId="0" xfId="0" applyNumberFormat="1" applyFont="1" applyFill="1" applyAlignment="1" applyProtection="1"/>
    <xf numFmtId="0" fontId="7" fillId="17" borderId="0" xfId="0" applyNumberFormat="1" applyFont="1" applyFill="1" applyAlignment="1" applyProtection="1"/>
    <xf numFmtId="0" fontId="8" fillId="17" borderId="0" xfId="0" applyNumberFormat="1" applyFont="1" applyFill="1" applyAlignment="1" applyProtection="1">
      <alignment horizontal="center"/>
    </xf>
    <xf numFmtId="0" fontId="11" fillId="17" borderId="0" xfId="0" applyNumberFormat="1" applyFont="1" applyFill="1" applyAlignment="1" applyProtection="1">
      <alignment horizontal="right"/>
    </xf>
    <xf numFmtId="0" fontId="18" fillId="17" borderId="0" xfId="0" applyNumberFormat="1" applyFont="1" applyFill="1" applyAlignment="1" applyProtection="1">
      <alignment horizontal="right"/>
    </xf>
    <xf numFmtId="0" fontId="7" fillId="16" borderId="0" xfId="0" applyFont="1" applyFill="1" applyAlignment="1" applyProtection="1">
      <protection hidden="1"/>
    </xf>
    <xf numFmtId="0" fontId="7" fillId="17" borderId="0" xfId="0" applyFont="1" applyFill="1" applyAlignment="1" applyProtection="1">
      <protection hidden="1"/>
    </xf>
    <xf numFmtId="0" fontId="11" fillId="17" borderId="0" xfId="0" applyFont="1" applyFill="1" applyAlignment="1" applyProtection="1">
      <alignment horizontal="right"/>
      <protection hidden="1"/>
    </xf>
    <xf numFmtId="0" fontId="22" fillId="17" borderId="0" xfId="0" applyFont="1" applyFill="1" applyAlignment="1" applyProtection="1">
      <alignment horizontal="left"/>
      <protection hidden="1"/>
    </xf>
    <xf numFmtId="0" fontId="13" fillId="17" borderId="0" xfId="0" applyFont="1" applyFill="1" applyAlignment="1" applyProtection="1">
      <alignment horizontal="left"/>
      <protection hidden="1"/>
    </xf>
    <xf numFmtId="0" fontId="12" fillId="17" borderId="26" xfId="0" applyNumberFormat="1" applyFont="1" applyFill="1" applyBorder="1" applyAlignment="1" applyProtection="1">
      <alignment horizontal="left"/>
      <protection hidden="1"/>
    </xf>
    <xf numFmtId="0" fontId="12" fillId="17" borderId="26" xfId="0" applyNumberFormat="1" applyFont="1" applyFill="1" applyBorder="1" applyProtection="1">
      <protection hidden="1"/>
    </xf>
    <xf numFmtId="0" fontId="7" fillId="17" borderId="26" xfId="0" applyFont="1" applyFill="1" applyBorder="1" applyProtection="1">
      <protection hidden="1"/>
    </xf>
    <xf numFmtId="0" fontId="11" fillId="17" borderId="0" xfId="0" applyFont="1" applyFill="1" applyAlignment="1" applyProtection="1">
      <alignment horizontal="left"/>
      <protection hidden="1"/>
    </xf>
    <xf numFmtId="0" fontId="12" fillId="17" borderId="0" xfId="0" applyFont="1" applyFill="1" applyAlignment="1" applyProtection="1">
      <alignment horizontal="right"/>
      <protection hidden="1"/>
    </xf>
    <xf numFmtId="0" fontId="12" fillId="17" borderId="27" xfId="0" applyNumberFormat="1" applyFont="1" applyFill="1" applyBorder="1" applyAlignment="1" applyProtection="1">
      <alignment horizontal="left"/>
      <protection hidden="1"/>
    </xf>
    <xf numFmtId="0" fontId="12" fillId="17" borderId="27" xfId="0" applyNumberFormat="1" applyFont="1" applyFill="1" applyBorder="1" applyProtection="1">
      <protection hidden="1"/>
    </xf>
    <xf numFmtId="0" fontId="7" fillId="17" borderId="27" xfId="0" applyFont="1" applyFill="1" applyBorder="1" applyProtection="1">
      <protection hidden="1"/>
    </xf>
    <xf numFmtId="0" fontId="7" fillId="17" borderId="0" xfId="0" applyNumberFormat="1" applyFont="1" applyFill="1" applyAlignment="1" applyProtection="1">
      <alignment horizontal="right"/>
      <protection hidden="1"/>
    </xf>
    <xf numFmtId="0" fontId="7" fillId="16" borderId="24" xfId="0" applyFont="1" applyFill="1" applyBorder="1" applyAlignment="1" applyProtection="1">
      <protection hidden="1"/>
    </xf>
    <xf numFmtId="0" fontId="19" fillId="16" borderId="11" xfId="0" applyFont="1" applyFill="1" applyBorder="1" applyAlignment="1" applyProtection="1">
      <alignment horizontal="right"/>
      <protection hidden="1"/>
    </xf>
    <xf numFmtId="0" fontId="9" fillId="16" borderId="11" xfId="0" applyFont="1" applyFill="1" applyBorder="1" applyAlignment="1" applyProtection="1">
      <alignment horizontal="left"/>
      <protection hidden="1"/>
    </xf>
    <xf numFmtId="0" fontId="7" fillId="16" borderId="11" xfId="0" applyFont="1" applyFill="1" applyBorder="1" applyAlignment="1" applyProtection="1">
      <protection hidden="1"/>
    </xf>
    <xf numFmtId="0" fontId="19" fillId="16" borderId="11" xfId="0" applyFont="1" applyFill="1" applyBorder="1" applyAlignment="1" applyProtection="1">
      <alignment horizontal="center"/>
      <protection hidden="1"/>
    </xf>
    <xf numFmtId="0" fontId="16" fillId="16" borderId="11" xfId="0" applyFont="1" applyFill="1" applyBorder="1" applyAlignment="1" applyProtection="1">
      <protection hidden="1"/>
    </xf>
    <xf numFmtId="0" fontId="7" fillId="16" borderId="12" xfId="0" applyFont="1" applyFill="1" applyBorder="1" applyAlignment="1" applyProtection="1">
      <protection hidden="1"/>
    </xf>
    <xf numFmtId="0" fontId="7" fillId="16" borderId="19" xfId="0" applyFont="1" applyFill="1" applyBorder="1" applyAlignment="1" applyProtection="1">
      <protection hidden="1"/>
    </xf>
    <xf numFmtId="0" fontId="19" fillId="16" borderId="0" xfId="0" applyFont="1" applyFill="1" applyBorder="1" applyAlignment="1" applyProtection="1">
      <alignment horizontal="right"/>
      <protection hidden="1"/>
    </xf>
    <xf numFmtId="0" fontId="7" fillId="16" borderId="0" xfId="0" applyFont="1" applyFill="1" applyBorder="1" applyAlignment="1" applyProtection="1">
      <protection hidden="1"/>
    </xf>
    <xf numFmtId="0" fontId="9" fillId="16" borderId="0" xfId="0" applyFont="1" applyFill="1" applyBorder="1" applyAlignment="1" applyProtection="1">
      <alignment horizontal="center"/>
      <protection hidden="1"/>
    </xf>
    <xf numFmtId="0" fontId="7" fillId="16" borderId="13" xfId="0" applyFont="1" applyFill="1" applyBorder="1" applyAlignment="1" applyProtection="1">
      <protection hidden="1"/>
    </xf>
    <xf numFmtId="0" fontId="19" fillId="16" borderId="19" xfId="0" applyFont="1" applyFill="1" applyBorder="1" applyAlignment="1" applyProtection="1">
      <protection hidden="1"/>
    </xf>
    <xf numFmtId="0" fontId="67" fillId="16" borderId="0" xfId="0" applyFont="1" applyFill="1" applyAlignment="1" applyProtection="1">
      <alignment horizontal="center"/>
      <protection hidden="1"/>
    </xf>
    <xf numFmtId="0" fontId="7" fillId="16" borderId="20" xfId="0" applyFont="1" applyFill="1" applyBorder="1" applyAlignment="1" applyProtection="1">
      <protection hidden="1"/>
    </xf>
    <xf numFmtId="0" fontId="7" fillId="16" borderId="17" xfId="0" applyFont="1" applyFill="1" applyBorder="1" applyAlignment="1" applyProtection="1">
      <protection hidden="1"/>
    </xf>
    <xf numFmtId="0" fontId="19" fillId="16" borderId="17" xfId="0" applyFont="1" applyFill="1" applyBorder="1" applyAlignment="1" applyProtection="1">
      <alignment horizontal="right"/>
      <protection hidden="1"/>
    </xf>
    <xf numFmtId="0" fontId="9" fillId="16" borderId="17" xfId="0" applyFont="1" applyFill="1" applyBorder="1" applyAlignment="1" applyProtection="1">
      <alignment horizontal="left"/>
      <protection hidden="1"/>
    </xf>
    <xf numFmtId="0" fontId="9" fillId="16" borderId="17" xfId="0" applyFont="1" applyFill="1" applyBorder="1" applyAlignment="1" applyProtection="1">
      <protection hidden="1"/>
    </xf>
    <xf numFmtId="0" fontId="7" fillId="16" borderId="18" xfId="0" applyFont="1" applyFill="1" applyBorder="1" applyAlignment="1" applyProtection="1">
      <protection hidden="1"/>
    </xf>
    <xf numFmtId="0" fontId="9" fillId="16" borderId="0" xfId="0" applyFont="1" applyFill="1" applyBorder="1" applyAlignment="1" applyProtection="1">
      <alignment horizontal="left"/>
      <protection hidden="1"/>
    </xf>
    <xf numFmtId="0" fontId="7" fillId="17" borderId="0" xfId="0" applyFont="1" applyFill="1" applyAlignment="1" applyProtection="1">
      <alignment horizontal="right"/>
      <protection hidden="1"/>
    </xf>
    <xf numFmtId="0" fontId="19" fillId="17" borderId="0" xfId="0" applyFont="1" applyFill="1" applyAlignment="1" applyProtection="1">
      <alignment horizontal="left"/>
      <protection hidden="1"/>
    </xf>
    <xf numFmtId="0" fontId="7" fillId="17" borderId="26" xfId="0" applyNumberFormat="1" applyFont="1" applyFill="1" applyBorder="1" applyAlignment="1" applyProtection="1">
      <alignment horizontal="left"/>
      <protection hidden="1"/>
    </xf>
    <xf numFmtId="0" fontId="7" fillId="17" borderId="26" xfId="0" applyNumberFormat="1" applyFont="1" applyFill="1" applyBorder="1" applyProtection="1">
      <protection hidden="1"/>
    </xf>
    <xf numFmtId="0" fontId="7" fillId="17" borderId="0" xfId="0" applyFont="1" applyFill="1" applyAlignment="1" applyProtection="1">
      <alignment horizontal="left"/>
      <protection hidden="1"/>
    </xf>
    <xf numFmtId="0" fontId="7" fillId="17" borderId="27" xfId="0" applyNumberFormat="1" applyFont="1" applyFill="1" applyBorder="1" applyAlignment="1" applyProtection="1">
      <alignment horizontal="left"/>
      <protection hidden="1"/>
    </xf>
    <xf numFmtId="0" fontId="7" fillId="17" borderId="27" xfId="0" applyNumberFormat="1" applyFont="1" applyFill="1" applyBorder="1" applyProtection="1">
      <protection hidden="1"/>
    </xf>
    <xf numFmtId="0" fontId="68" fillId="16" borderId="24" xfId="0" applyFont="1" applyFill="1" applyBorder="1" applyAlignment="1" applyProtection="1">
      <protection hidden="1"/>
    </xf>
    <xf numFmtId="0" fontId="78" fillId="16" borderId="11" xfId="0" applyFont="1" applyFill="1" applyBorder="1" applyAlignment="1" applyProtection="1">
      <protection hidden="1"/>
    </xf>
    <xf numFmtId="0" fontId="31" fillId="16" borderId="11" xfId="0" applyFont="1" applyFill="1" applyBorder="1" applyAlignment="1" applyProtection="1">
      <alignment horizontal="center"/>
      <protection hidden="1"/>
    </xf>
    <xf numFmtId="0" fontId="68" fillId="16" borderId="19" xfId="0" applyFont="1" applyFill="1" applyBorder="1" applyAlignment="1" applyProtection="1">
      <protection hidden="1"/>
    </xf>
    <xf numFmtId="0" fontId="9" fillId="16" borderId="0" xfId="0" applyFont="1" applyFill="1" applyBorder="1" applyAlignment="1" applyProtection="1">
      <protection hidden="1"/>
    </xf>
    <xf numFmtId="0" fontId="31" fillId="16" borderId="0" xfId="0" applyFont="1" applyFill="1" applyBorder="1" applyAlignment="1" applyProtection="1">
      <alignment horizontal="center"/>
      <protection hidden="1"/>
    </xf>
    <xf numFmtId="164" fontId="9" fillId="16" borderId="0" xfId="0" applyNumberFormat="1" applyFont="1" applyFill="1" applyBorder="1" applyAlignment="1" applyProtection="1">
      <alignment horizontal="left"/>
      <protection hidden="1"/>
    </xf>
    <xf numFmtId="0" fontId="16" fillId="16" borderId="0" xfId="0" applyFont="1" applyFill="1" applyBorder="1" applyAlignment="1" applyProtection="1">
      <protection hidden="1"/>
    </xf>
    <xf numFmtId="0" fontId="78" fillId="16" borderId="0" xfId="0" applyFont="1" applyFill="1" applyBorder="1" applyAlignment="1" applyProtection="1">
      <protection hidden="1"/>
    </xf>
    <xf numFmtId="0" fontId="68" fillId="16" borderId="20" xfId="0" applyFont="1" applyFill="1" applyBorder="1" applyAlignment="1" applyProtection="1">
      <protection hidden="1"/>
    </xf>
    <xf numFmtId="0" fontId="31" fillId="16" borderId="17" xfId="0" applyFont="1" applyFill="1" applyBorder="1" applyAlignment="1" applyProtection="1">
      <alignment horizontal="center"/>
      <protection hidden="1"/>
    </xf>
    <xf numFmtId="0" fontId="7" fillId="16" borderId="24" xfId="0" applyFont="1" applyFill="1" applyBorder="1" applyProtection="1">
      <protection hidden="1"/>
    </xf>
    <xf numFmtId="0" fontId="7" fillId="16" borderId="11" xfId="0" applyFont="1" applyFill="1" applyBorder="1" applyProtection="1">
      <protection hidden="1"/>
    </xf>
    <xf numFmtId="0" fontId="7" fillId="16" borderId="12" xfId="0" applyFont="1" applyFill="1" applyBorder="1" applyProtection="1">
      <protection hidden="1"/>
    </xf>
    <xf numFmtId="0" fontId="19" fillId="17" borderId="27" xfId="0" applyNumberFormat="1" applyFont="1" applyFill="1" applyBorder="1" applyAlignment="1" applyProtection="1">
      <alignment horizontal="left"/>
      <protection hidden="1"/>
    </xf>
    <xf numFmtId="0" fontId="19" fillId="17" borderId="27" xfId="0" applyNumberFormat="1" applyFont="1" applyFill="1" applyBorder="1" applyProtection="1">
      <protection hidden="1"/>
    </xf>
    <xf numFmtId="0" fontId="19" fillId="17" borderId="27" xfId="0" applyFont="1" applyFill="1" applyBorder="1" applyProtection="1">
      <protection hidden="1"/>
    </xf>
    <xf numFmtId="0" fontId="14" fillId="16" borderId="29" xfId="0" applyFont="1" applyFill="1" applyBorder="1" applyAlignment="1">
      <alignment horizontal="center"/>
    </xf>
    <xf numFmtId="0" fontId="14" fillId="16" borderId="29" xfId="0" applyFont="1" applyFill="1" applyBorder="1"/>
    <xf numFmtId="0" fontId="23" fillId="16" borderId="0" xfId="0" applyNumberFormat="1" applyFont="1" applyFill="1" applyBorder="1" applyAlignment="1" applyProtection="1">
      <alignment horizontal="left"/>
      <protection hidden="1"/>
    </xf>
    <xf numFmtId="0" fontId="12" fillId="17" borderId="0" xfId="0" applyNumberFormat="1" applyFont="1" applyFill="1" applyBorder="1" applyAlignment="1" applyProtection="1">
      <alignment horizontal="right"/>
    </xf>
    <xf numFmtId="0" fontId="10" fillId="16" borderId="8" xfId="0" applyFont="1" applyFill="1" applyBorder="1" applyProtection="1"/>
    <xf numFmtId="0" fontId="7" fillId="16" borderId="6" xfId="0" applyNumberFormat="1" applyFont="1" applyFill="1" applyBorder="1" applyAlignment="1" applyProtection="1"/>
    <xf numFmtId="0" fontId="11" fillId="16" borderId="6" xfId="0" applyNumberFormat="1" applyFont="1" applyFill="1" applyBorder="1" applyAlignment="1" applyProtection="1">
      <alignment horizontal="right"/>
    </xf>
    <xf numFmtId="0" fontId="23" fillId="16" borderId="6" xfId="0" applyNumberFormat="1" applyFont="1" applyFill="1" applyBorder="1" applyAlignment="1" applyProtection="1">
      <alignment horizontal="left"/>
      <protection hidden="1"/>
    </xf>
    <xf numFmtId="0" fontId="24" fillId="16" borderId="6" xfId="0" applyNumberFormat="1" applyFont="1" applyFill="1" applyBorder="1" applyAlignment="1" applyProtection="1">
      <alignment horizontal="left"/>
    </xf>
    <xf numFmtId="0" fontId="24" fillId="16" borderId="7" xfId="0" applyNumberFormat="1" applyFont="1" applyFill="1" applyBorder="1" applyAlignment="1" applyProtection="1">
      <alignment horizontal="left"/>
    </xf>
    <xf numFmtId="0" fontId="10" fillId="16" borderId="10" xfId="0" applyFont="1" applyFill="1" applyBorder="1" applyProtection="1"/>
    <xf numFmtId="0" fontId="24" fillId="16" borderId="9" xfId="0" applyNumberFormat="1" applyFont="1" applyFill="1" applyBorder="1" applyAlignment="1" applyProtection="1">
      <alignment horizontal="left"/>
    </xf>
    <xf numFmtId="0" fontId="111" fillId="16" borderId="14" xfId="0" applyFont="1" applyFill="1" applyBorder="1" applyProtection="1"/>
    <xf numFmtId="0" fontId="53" fillId="16" borderId="16" xfId="0" applyNumberFormat="1" applyFont="1" applyFill="1" applyBorder="1" applyAlignment="1" applyProtection="1">
      <alignment horizontal="right"/>
    </xf>
    <xf numFmtId="0" fontId="9" fillId="16" borderId="16" xfId="0" applyNumberFormat="1" applyFont="1" applyFill="1" applyBorder="1" applyAlignment="1" applyProtection="1">
      <protection hidden="1"/>
    </xf>
    <xf numFmtId="0" fontId="25" fillId="16" borderId="16" xfId="0" applyFont="1" applyFill="1" applyBorder="1" applyAlignment="1" applyProtection="1"/>
    <xf numFmtId="0" fontId="25" fillId="16" borderId="15" xfId="0" applyFont="1" applyFill="1" applyBorder="1" applyAlignment="1" applyProtection="1"/>
    <xf numFmtId="1" fontId="19" fillId="16" borderId="44" xfId="0" applyNumberFormat="1" applyFont="1" applyFill="1" applyBorder="1" applyAlignment="1" applyProtection="1">
      <alignment horizontal="center" vertical="center"/>
      <protection hidden="1"/>
    </xf>
    <xf numFmtId="1" fontId="19" fillId="16" borderId="45" xfId="0" applyNumberFormat="1" applyFont="1" applyFill="1" applyBorder="1" applyAlignment="1" applyProtection="1">
      <alignment horizontal="center" vertical="center"/>
      <protection hidden="1"/>
    </xf>
    <xf numFmtId="0" fontId="7" fillId="16" borderId="19" xfId="0" applyFont="1" applyFill="1" applyBorder="1" applyAlignment="1" applyProtection="1"/>
    <xf numFmtId="0" fontId="7" fillId="16" borderId="0" xfId="0" applyFont="1" applyFill="1" applyAlignment="1" applyProtection="1"/>
    <xf numFmtId="0" fontId="87" fillId="16" borderId="0" xfId="0" applyFont="1" applyFill="1" applyBorder="1" applyAlignment="1" applyProtection="1">
      <alignment horizontal="left"/>
      <protection hidden="1"/>
    </xf>
    <xf numFmtId="0" fontId="95" fillId="16" borderId="17" xfId="0" applyFont="1" applyFill="1" applyBorder="1" applyAlignment="1" applyProtection="1">
      <alignment horizontal="center"/>
      <protection hidden="1"/>
    </xf>
    <xf numFmtId="0" fontId="7" fillId="16" borderId="19" xfId="0" applyFont="1" applyFill="1" applyBorder="1" applyProtection="1">
      <protection hidden="1"/>
    </xf>
    <xf numFmtId="0" fontId="7" fillId="16" borderId="0" xfId="0" applyFont="1" applyFill="1" applyBorder="1" applyProtection="1">
      <protection hidden="1"/>
    </xf>
    <xf numFmtId="0" fontId="7" fillId="16" borderId="13" xfId="0" applyFont="1" applyFill="1" applyBorder="1" applyProtection="1">
      <protection hidden="1"/>
    </xf>
    <xf numFmtId="0" fontId="7" fillId="16" borderId="33" xfId="0" applyFont="1" applyFill="1" applyBorder="1" applyProtection="1">
      <protection hidden="1"/>
    </xf>
    <xf numFmtId="0" fontId="19" fillId="16" borderId="33" xfId="0" applyFont="1" applyFill="1" applyBorder="1" applyAlignment="1" applyProtection="1">
      <alignment horizontal="right"/>
      <protection hidden="1"/>
    </xf>
    <xf numFmtId="0" fontId="7" fillId="16" borderId="32" xfId="0" applyFont="1" applyFill="1" applyBorder="1" applyProtection="1">
      <protection hidden="1"/>
    </xf>
    <xf numFmtId="0" fontId="19" fillId="16" borderId="32" xfId="0" applyFont="1" applyFill="1" applyBorder="1" applyAlignment="1" applyProtection="1">
      <alignment horizontal="right"/>
      <protection hidden="1"/>
    </xf>
    <xf numFmtId="0" fontId="7" fillId="16" borderId="36" xfId="0" applyFont="1" applyFill="1" applyBorder="1" applyProtection="1">
      <protection hidden="1"/>
    </xf>
    <xf numFmtId="0" fontId="7" fillId="16" borderId="37" xfId="0" applyFont="1" applyFill="1" applyBorder="1" applyProtection="1">
      <protection hidden="1"/>
    </xf>
    <xf numFmtId="0" fontId="7" fillId="16" borderId="31" xfId="0" applyFont="1" applyFill="1" applyBorder="1" applyProtection="1">
      <protection hidden="1"/>
    </xf>
    <xf numFmtId="0" fontId="7" fillId="16" borderId="32" xfId="0" applyFont="1" applyFill="1" applyBorder="1" applyAlignment="1" applyProtection="1">
      <protection hidden="1"/>
    </xf>
    <xf numFmtId="0" fontId="7" fillId="16" borderId="20" xfId="0" applyFont="1" applyFill="1" applyBorder="1" applyProtection="1">
      <protection hidden="1"/>
    </xf>
    <xf numFmtId="0" fontId="7" fillId="16" borderId="17" xfId="0" applyFont="1" applyFill="1" applyBorder="1" applyProtection="1">
      <protection hidden="1"/>
    </xf>
    <xf numFmtId="0" fontId="7" fillId="16" borderId="34" xfId="0" applyFont="1" applyFill="1" applyBorder="1" applyProtection="1">
      <protection hidden="1"/>
    </xf>
    <xf numFmtId="0" fontId="7" fillId="16" borderId="35" xfId="0" applyFont="1" applyFill="1" applyBorder="1" applyProtection="1">
      <protection hidden="1"/>
    </xf>
    <xf numFmtId="0" fontId="7" fillId="16" borderId="18" xfId="0" applyFont="1" applyFill="1" applyBorder="1" applyProtection="1">
      <protection hidden="1"/>
    </xf>
    <xf numFmtId="0" fontId="9" fillId="3" borderId="0" xfId="0" applyFont="1" applyFill="1" applyBorder="1" applyAlignment="1" applyProtection="1">
      <alignment horizontal="center"/>
      <protection locked="0"/>
    </xf>
    <xf numFmtId="164" fontId="40" fillId="0" borderId="0" xfId="0" applyNumberFormat="1" applyFont="1" applyAlignment="1"/>
    <xf numFmtId="0" fontId="13" fillId="18" borderId="0" xfId="3" applyFont="1" applyFill="1" applyBorder="1" applyAlignment="1" applyProtection="1">
      <alignment horizontal="left"/>
      <protection locked="0"/>
    </xf>
    <xf numFmtId="0" fontId="7" fillId="18" borderId="0" xfId="3" applyFont="1" applyFill="1" applyProtection="1">
      <protection locked="0"/>
    </xf>
    <xf numFmtId="0" fontId="7" fillId="18" borderId="0" xfId="3" applyFont="1" applyFill="1" applyBorder="1" applyAlignment="1" applyProtection="1">
      <protection locked="0"/>
    </xf>
    <xf numFmtId="0" fontId="7" fillId="0" borderId="0" xfId="3" applyFont="1" applyFill="1" applyBorder="1" applyAlignment="1" applyProtection="1">
      <protection locked="0"/>
    </xf>
    <xf numFmtId="0" fontId="7" fillId="0" borderId="0" xfId="3" applyFont="1" applyProtection="1">
      <protection locked="0"/>
    </xf>
    <xf numFmtId="0" fontId="7" fillId="0" borderId="0" xfId="3" applyFont="1" applyBorder="1" applyAlignment="1" applyProtection="1">
      <protection locked="0"/>
    </xf>
    <xf numFmtId="0" fontId="7" fillId="0" borderId="0" xfId="3" applyFont="1" applyBorder="1" applyAlignment="1" applyProtection="1">
      <alignment horizontal="center"/>
      <protection locked="0"/>
    </xf>
    <xf numFmtId="0" fontId="39" fillId="0" borderId="0" xfId="3" applyFont="1" applyFill="1" applyBorder="1" applyAlignment="1" applyProtection="1">
      <protection locked="0"/>
    </xf>
    <xf numFmtId="0" fontId="7" fillId="0" borderId="0" xfId="3" applyFont="1" applyFill="1" applyBorder="1" applyAlignment="1" applyProtection="1">
      <alignment horizontal="center"/>
      <protection locked="0"/>
    </xf>
    <xf numFmtId="0" fontId="7" fillId="0" borderId="0" xfId="3" applyFont="1" applyBorder="1" applyProtection="1">
      <protection locked="0"/>
    </xf>
    <xf numFmtId="0" fontId="7" fillId="0" borderId="38" xfId="3" applyFont="1" applyBorder="1" applyAlignment="1" applyProtection="1">
      <alignment horizontal="center"/>
    </xf>
    <xf numFmtId="0" fontId="7" fillId="16" borderId="29" xfId="3" applyFont="1" applyFill="1" applyBorder="1" applyAlignment="1" applyProtection="1">
      <alignment horizontal="center" vertical="center"/>
      <protection locked="0"/>
    </xf>
    <xf numFmtId="0" fontId="7" fillId="16" borderId="100" xfId="3" applyFont="1" applyFill="1" applyBorder="1" applyAlignment="1" applyProtection="1">
      <alignment horizontal="center"/>
      <protection locked="0"/>
    </xf>
    <xf numFmtId="0" fontId="7" fillId="16" borderId="101" xfId="3" applyFont="1" applyFill="1" applyBorder="1" applyAlignment="1" applyProtection="1">
      <alignment horizontal="center"/>
      <protection locked="0"/>
    </xf>
    <xf numFmtId="0" fontId="7" fillId="16" borderId="102" xfId="3" applyFont="1" applyFill="1" applyBorder="1" applyAlignment="1" applyProtection="1">
      <alignment horizontal="center"/>
      <protection locked="0"/>
    </xf>
    <xf numFmtId="0" fontId="7" fillId="0" borderId="12" xfId="3" applyFont="1" applyBorder="1" applyAlignment="1" applyProtection="1"/>
    <xf numFmtId="0" fontId="7" fillId="0" borderId="43" xfId="3" applyFont="1" applyBorder="1" applyAlignment="1" applyProtection="1">
      <alignment horizontal="center" vertical="center"/>
    </xf>
    <xf numFmtId="0" fontId="7" fillId="0" borderId="19" xfId="3" applyFont="1" applyBorder="1" applyAlignment="1" applyProtection="1">
      <alignment horizontal="right"/>
    </xf>
    <xf numFmtId="0" fontId="7" fillId="0" borderId="13" xfId="3" applyFont="1" applyBorder="1" applyAlignment="1" applyProtection="1">
      <alignment horizontal="center"/>
    </xf>
    <xf numFmtId="0" fontId="7" fillId="0" borderId="43" xfId="3" applyFont="1" applyBorder="1" applyAlignment="1" applyProtection="1">
      <alignment horizontal="center"/>
    </xf>
    <xf numFmtId="0" fontId="7" fillId="0" borderId="13" xfId="3" applyFont="1" applyBorder="1" applyAlignment="1" applyProtection="1"/>
    <xf numFmtId="0" fontId="7" fillId="0" borderId="53" xfId="3" applyFont="1" applyBorder="1" applyAlignment="1" applyProtection="1">
      <alignment horizontal="center" vertical="center"/>
    </xf>
    <xf numFmtId="0" fontId="19" fillId="0" borderId="54" xfId="3" applyFont="1" applyBorder="1" applyAlignment="1" applyProtection="1">
      <alignment horizontal="center" vertical="center"/>
    </xf>
    <xf numFmtId="0" fontId="19" fillId="0" borderId="18" xfId="3" applyFont="1" applyBorder="1" applyAlignment="1" applyProtection="1">
      <alignment horizontal="center" vertical="center"/>
    </xf>
    <xf numFmtId="0" fontId="7" fillId="0" borderId="53" xfId="3" applyFont="1" applyBorder="1" applyAlignment="1" applyProtection="1">
      <alignment horizontal="center"/>
    </xf>
    <xf numFmtId="0" fontId="7" fillId="0" borderId="55" xfId="3" applyFont="1" applyBorder="1" applyAlignment="1" applyProtection="1">
      <alignment horizontal="center"/>
    </xf>
    <xf numFmtId="0" fontId="7" fillId="0" borderId="17" xfId="3" applyFont="1" applyBorder="1" applyAlignment="1" applyProtection="1">
      <alignment horizontal="center"/>
    </xf>
    <xf numFmtId="0" fontId="7" fillId="0" borderId="18" xfId="3" applyFont="1" applyBorder="1" applyAlignment="1" applyProtection="1"/>
    <xf numFmtId="0" fontId="10" fillId="0" borderId="0" xfId="3" applyProtection="1">
      <protection locked="0"/>
    </xf>
    <xf numFmtId="0" fontId="7" fillId="0" borderId="0" xfId="3" applyFont="1" applyBorder="1" applyAlignment="1" applyProtection="1">
      <alignment horizontal="center" vertical="center"/>
      <protection locked="0"/>
    </xf>
    <xf numFmtId="0" fontId="19" fillId="0" borderId="0" xfId="3" applyFont="1" applyBorder="1" applyAlignment="1" applyProtection="1">
      <alignment horizontal="center" vertical="center"/>
      <protection locked="0"/>
    </xf>
    <xf numFmtId="0" fontId="39" fillId="0" borderId="0" xfId="3" applyFont="1" applyProtection="1">
      <protection locked="0"/>
    </xf>
    <xf numFmtId="0" fontId="7" fillId="0" borderId="0" xfId="3" applyFont="1" applyBorder="1" applyAlignment="1" applyProtection="1">
      <alignment horizontal="left"/>
      <protection locked="0"/>
    </xf>
    <xf numFmtId="0" fontId="39" fillId="8" borderId="0" xfId="3" applyFont="1" applyFill="1" applyProtection="1">
      <protection locked="0"/>
    </xf>
    <xf numFmtId="166" fontId="7" fillId="0" borderId="21" xfId="3" applyNumberFormat="1" applyFont="1" applyBorder="1" applyAlignment="1" applyProtection="1">
      <protection locked="0"/>
    </xf>
    <xf numFmtId="0" fontId="39" fillId="0" borderId="21" xfId="3" applyFont="1" applyBorder="1" applyAlignment="1" applyProtection="1">
      <alignment horizontal="left"/>
      <protection locked="0"/>
    </xf>
    <xf numFmtId="1" fontId="7" fillId="0" borderId="21" xfId="0" applyNumberFormat="1" applyFont="1" applyBorder="1" applyProtection="1">
      <protection locked="0"/>
    </xf>
    <xf numFmtId="166" fontId="7" fillId="0" borderId="21" xfId="0" applyNumberFormat="1" applyFont="1" applyBorder="1" applyAlignment="1" applyProtection="1">
      <protection locked="0"/>
    </xf>
    <xf numFmtId="166" fontId="7" fillId="0" borderId="21" xfId="0" applyNumberFormat="1" applyFont="1" applyBorder="1" applyProtection="1">
      <protection locked="0"/>
    </xf>
    <xf numFmtId="0" fontId="7" fillId="0" borderId="21" xfId="3" applyFont="1" applyBorder="1" applyProtection="1">
      <protection locked="0"/>
    </xf>
    <xf numFmtId="1" fontId="7" fillId="0" borderId="21" xfId="3" applyNumberFormat="1" applyFont="1" applyBorder="1" applyProtection="1">
      <protection locked="0"/>
    </xf>
    <xf numFmtId="0" fontId="7" fillId="0" borderId="0" xfId="3" applyFont="1" applyAlignment="1" applyProtection="1">
      <alignment horizontal="center"/>
      <protection locked="0"/>
    </xf>
    <xf numFmtId="1" fontId="7" fillId="0" borderId="0" xfId="3" applyNumberFormat="1" applyFont="1" applyProtection="1">
      <protection locked="0"/>
    </xf>
    <xf numFmtId="166" fontId="7" fillId="0" borderId="21" xfId="3" applyNumberFormat="1" applyFont="1" applyBorder="1" applyAlignment="1" applyProtection="1">
      <alignment horizontal="center"/>
      <protection locked="0"/>
    </xf>
    <xf numFmtId="0" fontId="39" fillId="0" borderId="21" xfId="3" applyFont="1" applyBorder="1" applyAlignment="1" applyProtection="1">
      <alignment horizontal="center"/>
      <protection locked="0"/>
    </xf>
    <xf numFmtId="0" fontId="9" fillId="3" borderId="0" xfId="0" applyFont="1" applyFill="1" applyBorder="1" applyAlignment="1" applyProtection="1">
      <alignment horizontal="center"/>
      <protection locked="0"/>
    </xf>
    <xf numFmtId="0" fontId="19" fillId="0" borderId="11" xfId="0" applyFont="1" applyBorder="1" applyAlignment="1" applyProtection="1">
      <alignment horizontal="right"/>
    </xf>
    <xf numFmtId="0" fontId="7" fillId="0" borderId="5" xfId="0" applyFont="1" applyBorder="1" applyAlignment="1" applyProtection="1">
      <alignment horizontal="center"/>
    </xf>
    <xf numFmtId="0" fontId="82" fillId="0" borderId="0" xfId="0" applyFont="1" applyBorder="1" applyAlignment="1" applyProtection="1">
      <alignment horizontal="right"/>
    </xf>
    <xf numFmtId="0" fontId="10" fillId="0" borderId="0" xfId="0" quotePrefix="1" applyFont="1"/>
    <xf numFmtId="0" fontId="9" fillId="3" borderId="0" xfId="0" applyFont="1" applyFill="1" applyBorder="1" applyAlignment="1" applyProtection="1">
      <alignment horizontal="center"/>
      <protection locked="0"/>
    </xf>
    <xf numFmtId="0" fontId="40" fillId="0" borderId="17" xfId="0" applyFont="1" applyBorder="1" applyProtection="1"/>
    <xf numFmtId="0" fontId="71" fillId="0" borderId="0" xfId="0" applyFont="1" applyBorder="1" applyAlignment="1" applyProtection="1">
      <alignment horizontal="right" vertical="center"/>
      <protection hidden="1"/>
    </xf>
    <xf numFmtId="0" fontId="69" fillId="0" borderId="0" xfId="0" applyFont="1" applyBorder="1" applyAlignment="1" applyProtection="1">
      <alignment horizontal="center" vertical="center"/>
      <protection hidden="1"/>
    </xf>
    <xf numFmtId="0" fontId="89" fillId="0" borderId="11" xfId="0" applyFont="1" applyBorder="1" applyAlignment="1" applyProtection="1">
      <alignment horizontal="left"/>
      <protection hidden="1"/>
    </xf>
    <xf numFmtId="0" fontId="7" fillId="0" borderId="16" xfId="0" applyFont="1" applyBorder="1" applyAlignment="1" applyProtection="1">
      <protection hidden="1"/>
    </xf>
    <xf numFmtId="0" fontId="40" fillId="19" borderId="104" xfId="0" applyFont="1" applyFill="1" applyBorder="1" applyProtection="1">
      <protection hidden="1"/>
    </xf>
    <xf numFmtId="0" fontId="87" fillId="0" borderId="0" xfId="0" applyFont="1" applyBorder="1" applyAlignment="1" applyProtection="1">
      <alignment horizontal="center"/>
    </xf>
    <xf numFmtId="0" fontId="108" fillId="0" borderId="11" xfId="0" applyFont="1" applyFill="1" applyBorder="1" applyAlignment="1">
      <alignment horizontal="right"/>
    </xf>
    <xf numFmtId="0" fontId="40" fillId="19" borderId="108" xfId="0" applyFont="1" applyFill="1" applyBorder="1" applyProtection="1">
      <protection hidden="1"/>
    </xf>
    <xf numFmtId="0" fontId="7" fillId="19" borderId="109" xfId="0" applyFont="1" applyFill="1" applyBorder="1" applyAlignment="1" applyProtection="1">
      <alignment horizontal="center"/>
      <protection hidden="1"/>
    </xf>
    <xf numFmtId="0" fontId="122" fillId="0" borderId="0" xfId="0" applyFont="1" applyBorder="1" applyAlignment="1" applyProtection="1">
      <alignment horizontal="center"/>
      <protection hidden="1"/>
    </xf>
    <xf numFmtId="0" fontId="122" fillId="0" borderId="17" xfId="0" applyFont="1" applyBorder="1" applyAlignment="1" applyProtection="1">
      <alignment horizontal="left"/>
      <protection hidden="1"/>
    </xf>
    <xf numFmtId="0" fontId="14" fillId="0" borderId="0" xfId="0" applyNumberFormat="1" applyFont="1" applyAlignment="1" applyProtection="1">
      <alignment horizontal="right"/>
    </xf>
    <xf numFmtId="0" fontId="120" fillId="0" borderId="0" xfId="0" applyNumberFormat="1" applyFont="1" applyBorder="1" applyAlignment="1" applyProtection="1"/>
    <xf numFmtId="0" fontId="9" fillId="0" borderId="19" xfId="0" applyFont="1" applyBorder="1" applyAlignment="1" applyProtection="1">
      <alignment horizontal="center"/>
    </xf>
    <xf numFmtId="0" fontId="9" fillId="0" borderId="13" xfId="0" applyFont="1" applyBorder="1" applyAlignment="1" applyProtection="1">
      <alignment horizontal="center"/>
    </xf>
    <xf numFmtId="0" fontId="14" fillId="0" borderId="19" xfId="0" applyFont="1" applyFill="1" applyBorder="1" applyProtection="1"/>
    <xf numFmtId="0" fontId="14" fillId="0" borderId="20" xfId="0" applyFont="1" applyFill="1" applyBorder="1" applyProtection="1"/>
    <xf numFmtId="1" fontId="7" fillId="0" borderId="17" xfId="0" applyNumberFormat="1" applyFont="1" applyBorder="1" applyAlignment="1" applyProtection="1">
      <alignment horizontal="center"/>
    </xf>
    <xf numFmtId="164" fontId="7" fillId="0" borderId="17" xfId="0" applyNumberFormat="1" applyFont="1" applyBorder="1" applyAlignment="1" applyProtection="1">
      <alignment horizontal="center"/>
    </xf>
    <xf numFmtId="0" fontId="121" fillId="0" borderId="0" xfId="0" applyFont="1" applyProtection="1">
      <protection hidden="1"/>
    </xf>
    <xf numFmtId="0" fontId="14" fillId="0" borderId="0" xfId="0" applyFont="1" applyAlignment="1">
      <alignment horizontal="left"/>
    </xf>
    <xf numFmtId="0" fontId="121" fillId="0" borderId="0" xfId="0" applyFont="1" applyAlignment="1" applyProtection="1"/>
    <xf numFmtId="0" fontId="127" fillId="0" borderId="0" xfId="0" applyFont="1" applyAlignment="1" applyProtection="1"/>
    <xf numFmtId="0" fontId="7" fillId="0" borderId="0" xfId="0" applyFont="1" applyAlignment="1" applyProtection="1"/>
    <xf numFmtId="0" fontId="7" fillId="0" borderId="21" xfId="0" applyNumberFormat="1" applyFont="1" applyBorder="1" applyAlignment="1" applyProtection="1">
      <alignment horizontal="center"/>
      <protection locked="0"/>
    </xf>
    <xf numFmtId="0" fontId="7" fillId="0" borderId="0" xfId="0" applyNumberFormat="1" applyFont="1" applyBorder="1" applyAlignment="1" applyProtection="1">
      <alignment horizontal="center"/>
      <protection locked="0"/>
    </xf>
    <xf numFmtId="0" fontId="19" fillId="0" borderId="20" xfId="0" applyFont="1" applyBorder="1" applyAlignment="1" applyProtection="1"/>
    <xf numFmtId="0" fontId="129" fillId="10" borderId="0" xfId="2" applyFont="1" applyFill="1" applyAlignment="1" applyProtection="1">
      <alignment horizontal="left"/>
    </xf>
    <xf numFmtId="0" fontId="7" fillId="19" borderId="16" xfId="0" applyFont="1" applyFill="1" applyBorder="1" applyAlignment="1" applyProtection="1">
      <protection hidden="1"/>
    </xf>
    <xf numFmtId="0" fontId="0" fillId="0" borderId="0" xfId="0"/>
    <xf numFmtId="0" fontId="7" fillId="0" borderId="0" xfId="0" applyFont="1" applyAlignment="1" applyProtection="1"/>
    <xf numFmtId="0" fontId="14" fillId="0" borderId="0" xfId="2" applyFont="1" applyAlignment="1" applyProtection="1">
      <alignment horizontal="center"/>
    </xf>
    <xf numFmtId="0" fontId="130" fillId="0" borderId="0" xfId="0" applyFont="1" applyBorder="1" applyAlignment="1" applyProtection="1">
      <alignment horizontal="left"/>
      <protection hidden="1"/>
    </xf>
    <xf numFmtId="0" fontId="130" fillId="0" borderId="0" xfId="0" applyFont="1" applyBorder="1" applyAlignment="1" applyProtection="1">
      <alignment horizontal="left" wrapText="1"/>
      <protection hidden="1"/>
    </xf>
    <xf numFmtId="0" fontId="0" fillId="0" borderId="0" xfId="0" applyBorder="1" applyAlignment="1" applyProtection="1">
      <alignment horizontal="right"/>
      <protection hidden="1"/>
    </xf>
    <xf numFmtId="0" fontId="7" fillId="0" borderId="9" xfId="0" applyNumberFormat="1" applyFont="1" applyBorder="1" applyAlignment="1" applyProtection="1">
      <alignment horizontal="left"/>
      <protection hidden="1"/>
    </xf>
    <xf numFmtId="0" fontId="7" fillId="0" borderId="15" xfId="0" applyNumberFormat="1" applyFont="1" applyBorder="1" applyAlignment="1" applyProtection="1">
      <alignment horizontal="left"/>
      <protection hidden="1"/>
    </xf>
    <xf numFmtId="0" fontId="39" fillId="0" borderId="21" xfId="0" applyFont="1" applyBorder="1" applyAlignment="1" applyProtection="1">
      <protection locked="0"/>
    </xf>
    <xf numFmtId="1" fontId="39" fillId="0" borderId="21" xfId="0" applyNumberFormat="1" applyFont="1" applyBorder="1" applyAlignment="1" applyProtection="1">
      <protection locked="0"/>
    </xf>
    <xf numFmtId="0" fontId="39" fillId="0" borderId="0" xfId="0" applyFont="1" applyBorder="1" applyAlignment="1" applyProtection="1">
      <protection locked="0"/>
    </xf>
    <xf numFmtId="49" fontId="7" fillId="0" borderId="0" xfId="0" applyNumberFormat="1" applyFont="1" applyAlignment="1" applyProtection="1"/>
    <xf numFmtId="0" fontId="9" fillId="16" borderId="0" xfId="0" applyFont="1" applyFill="1" applyAlignment="1" applyProtection="1">
      <alignment horizontal="left"/>
      <protection hidden="1"/>
    </xf>
    <xf numFmtId="0" fontId="126" fillId="16" borderId="11" xfId="0" applyFont="1" applyFill="1" applyBorder="1" applyAlignment="1" applyProtection="1">
      <protection hidden="1"/>
    </xf>
    <xf numFmtId="0" fontId="122" fillId="0" borderId="0" xfId="0" applyFont="1" applyBorder="1" applyAlignment="1" applyProtection="1"/>
    <xf numFmtId="0" fontId="126" fillId="16" borderId="0" xfId="0" applyFont="1" applyFill="1" applyBorder="1" applyAlignment="1" applyProtection="1">
      <alignment horizontal="left"/>
      <protection hidden="1"/>
    </xf>
    <xf numFmtId="0" fontId="126" fillId="16" borderId="17" xfId="0" applyFont="1" applyFill="1" applyBorder="1" applyAlignment="1" applyProtection="1">
      <alignment horizontal="left"/>
      <protection hidden="1"/>
    </xf>
    <xf numFmtId="0" fontId="40" fillId="0" borderId="0" xfId="0" applyFont="1" applyAlignment="1">
      <alignment horizontal="center"/>
    </xf>
    <xf numFmtId="0" fontId="133" fillId="0" borderId="0" xfId="0" applyFont="1" applyBorder="1" applyAlignment="1" applyProtection="1">
      <alignment horizontal="center"/>
    </xf>
    <xf numFmtId="1" fontId="120" fillId="0" borderId="0" xfId="0" applyNumberFormat="1" applyFont="1" applyAlignment="1" applyProtection="1">
      <alignment horizontal="left"/>
      <protection hidden="1"/>
    </xf>
    <xf numFmtId="0" fontId="19" fillId="0" borderId="8" xfId="0" applyFont="1" applyFill="1" applyBorder="1" applyProtection="1"/>
    <xf numFmtId="0" fontId="19" fillId="0" borderId="6" xfId="0" applyFont="1" applyBorder="1" applyAlignment="1" applyProtection="1">
      <alignment horizontal="center"/>
    </xf>
    <xf numFmtId="0" fontId="19" fillId="0" borderId="7" xfId="0" applyFont="1" applyBorder="1" applyAlignment="1" applyProtection="1"/>
    <xf numFmtId="0" fontId="91" fillId="0" borderId="0" xfId="0" applyFont="1" applyBorder="1" applyAlignment="1" applyProtection="1">
      <alignment horizontal="right"/>
    </xf>
    <xf numFmtId="0" fontId="87" fillId="0" borderId="9" xfId="0" applyFont="1" applyBorder="1" applyAlignment="1" applyProtection="1">
      <alignment horizontal="left"/>
    </xf>
    <xf numFmtId="0" fontId="7" fillId="0" borderId="10" xfId="0" applyFont="1" applyFill="1" applyBorder="1" applyAlignment="1" applyProtection="1">
      <alignment horizontal="left"/>
    </xf>
    <xf numFmtId="0" fontId="7" fillId="0" borderId="0" xfId="0" applyFont="1" applyAlignment="1" applyProtection="1"/>
    <xf numFmtId="164" fontId="19" fillId="0" borderId="0" xfId="0" applyNumberFormat="1" applyFont="1" applyFill="1" applyBorder="1" applyAlignment="1" applyProtection="1">
      <alignment horizontal="right"/>
      <protection hidden="1"/>
    </xf>
    <xf numFmtId="0" fontId="69" fillId="0" borderId="0" xfId="2" applyFont="1" applyProtection="1"/>
    <xf numFmtId="0" fontId="135" fillId="0" borderId="0" xfId="2" applyFont="1" applyProtection="1"/>
    <xf numFmtId="0" fontId="134" fillId="0" borderId="0" xfId="0" applyFont="1"/>
    <xf numFmtId="0" fontId="135" fillId="0" borderId="0" xfId="0" applyFont="1"/>
    <xf numFmtId="0" fontId="39" fillId="0" borderId="0" xfId="0" applyFont="1" applyFill="1" applyProtection="1">
      <protection hidden="1"/>
    </xf>
    <xf numFmtId="0" fontId="39" fillId="0" borderId="10" xfId="0" applyFont="1" applyFill="1" applyBorder="1" applyProtection="1">
      <protection hidden="1"/>
    </xf>
    <xf numFmtId="0" fontId="39" fillId="0" borderId="0" xfId="0" applyFont="1" applyFill="1" applyBorder="1" applyProtection="1">
      <protection hidden="1"/>
    </xf>
    <xf numFmtId="2" fontId="7" fillId="0" borderId="0" xfId="0" applyNumberFormat="1" applyFont="1" applyFill="1" applyBorder="1" applyProtection="1">
      <protection hidden="1"/>
    </xf>
    <xf numFmtId="0" fontId="7" fillId="0" borderId="9" xfId="0" applyFont="1" applyFill="1" applyBorder="1" applyProtection="1">
      <protection hidden="1"/>
    </xf>
    <xf numFmtId="0" fontId="39" fillId="0" borderId="14" xfId="0" applyFont="1" applyFill="1" applyBorder="1" applyProtection="1">
      <protection hidden="1"/>
    </xf>
    <xf numFmtId="0" fontId="39" fillId="0" borderId="16" xfId="0" applyFont="1" applyFill="1" applyBorder="1" applyProtection="1">
      <protection hidden="1"/>
    </xf>
    <xf numFmtId="0" fontId="7" fillId="0" borderId="16" xfId="0" applyFont="1" applyFill="1" applyBorder="1" applyProtection="1">
      <protection hidden="1"/>
    </xf>
    <xf numFmtId="2" fontId="7" fillId="0" borderId="16" xfId="0" applyNumberFormat="1" applyFont="1" applyFill="1" applyBorder="1" applyProtection="1">
      <protection hidden="1"/>
    </xf>
    <xf numFmtId="0" fontId="7" fillId="0" borderId="15" xfId="0" applyFont="1" applyFill="1" applyBorder="1" applyProtection="1">
      <protection hidden="1"/>
    </xf>
    <xf numFmtId="0" fontId="7" fillId="0" borderId="8"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7" xfId="0" applyFont="1" applyFill="1" applyBorder="1" applyAlignment="1" applyProtection="1">
      <alignment horizontal="center"/>
      <protection hidden="1"/>
    </xf>
    <xf numFmtId="0" fontId="121" fillId="0" borderId="0" xfId="0" applyFont="1" applyFill="1" applyBorder="1" applyProtection="1">
      <protection hidden="1"/>
    </xf>
    <xf numFmtId="0" fontId="140" fillId="0" borderId="0" xfId="0" applyFont="1" applyFill="1" applyBorder="1" applyProtection="1">
      <protection hidden="1"/>
    </xf>
    <xf numFmtId="0" fontId="139" fillId="0" borderId="0" xfId="0" applyFont="1" applyFill="1" applyAlignment="1">
      <alignment horizontal="center" vertical="center"/>
    </xf>
    <xf numFmtId="0" fontId="19" fillId="0" borderId="0" xfId="0" applyFont="1" applyFill="1" applyAlignment="1" applyProtection="1">
      <alignment horizontal="center"/>
      <protection hidden="1"/>
    </xf>
    <xf numFmtId="0" fontId="7" fillId="23" borderId="5" xfId="0" applyFont="1" applyFill="1" applyBorder="1" applyAlignment="1" applyProtection="1">
      <protection hidden="1"/>
    </xf>
    <xf numFmtId="0" fontId="7" fillId="0" borderId="0" xfId="0" applyFont="1" applyFill="1" applyAlignment="1" applyProtection="1">
      <alignment horizontal="center"/>
      <protection hidden="1"/>
    </xf>
    <xf numFmtId="0" fontId="7" fillId="0" borderId="0" xfId="0" applyFont="1" applyFill="1" applyBorder="1" applyAlignment="1" applyProtection="1">
      <alignment horizontal="center"/>
      <protection hidden="1"/>
    </xf>
    <xf numFmtId="0" fontId="11" fillId="0" borderId="0" xfId="0" applyFont="1" applyAlignment="1" applyProtection="1">
      <alignment horizontal="center"/>
      <protection hidden="1"/>
    </xf>
    <xf numFmtId="0" fontId="39" fillId="0" borderId="82" xfId="0" applyFont="1" applyFill="1" applyBorder="1" applyProtection="1">
      <protection hidden="1"/>
    </xf>
    <xf numFmtId="0" fontId="39" fillId="0" borderId="25" xfId="0" applyFont="1" applyFill="1" applyBorder="1" applyProtection="1">
      <protection hidden="1"/>
    </xf>
    <xf numFmtId="2" fontId="7" fillId="0" borderId="25" xfId="0" applyNumberFormat="1" applyFont="1" applyFill="1" applyBorder="1" applyProtection="1">
      <protection hidden="1"/>
    </xf>
    <xf numFmtId="0" fontId="7" fillId="0" borderId="25" xfId="0" applyFont="1" applyFill="1" applyBorder="1" applyProtection="1">
      <protection hidden="1"/>
    </xf>
    <xf numFmtId="0" fontId="7" fillId="0" borderId="83" xfId="0" applyFont="1" applyFill="1" applyBorder="1" applyProtection="1">
      <protection hidden="1"/>
    </xf>
    <xf numFmtId="0" fontId="7" fillId="0" borderId="6" xfId="0" applyFont="1" applyFill="1" applyBorder="1" applyProtection="1">
      <protection hidden="1"/>
    </xf>
    <xf numFmtId="0" fontId="7" fillId="0" borderId="7" xfId="0" applyFont="1" applyFill="1" applyBorder="1" applyProtection="1">
      <protection hidden="1"/>
    </xf>
    <xf numFmtId="0" fontId="22" fillId="0" borderId="0" xfId="0" applyFont="1" applyFill="1" applyProtection="1">
      <protection hidden="1"/>
    </xf>
    <xf numFmtId="0" fontId="10" fillId="0" borderId="8" xfId="0" applyFont="1" applyBorder="1"/>
    <xf numFmtId="1" fontId="10" fillId="0" borderId="6" xfId="2" applyNumberFormat="1" applyFont="1" applyBorder="1" applyAlignment="1">
      <alignment horizontal="center"/>
    </xf>
    <xf numFmtId="1" fontId="10" fillId="0" borderId="7" xfId="2" applyNumberFormat="1" applyFont="1" applyBorder="1" applyAlignment="1">
      <alignment horizontal="center"/>
    </xf>
    <xf numFmtId="0" fontId="10" fillId="0" borderId="14" xfId="0" applyFont="1" applyBorder="1"/>
    <xf numFmtId="1" fontId="10" fillId="0" borderId="16" xfId="2" applyNumberFormat="1" applyFont="1" applyBorder="1" applyAlignment="1">
      <alignment horizontal="center"/>
    </xf>
    <xf numFmtId="1" fontId="10" fillId="0" borderId="15" xfId="2" applyNumberFormat="1" applyFont="1" applyBorder="1" applyAlignment="1">
      <alignment horizontal="center"/>
    </xf>
    <xf numFmtId="0" fontId="63" fillId="0" borderId="0" xfId="2" applyFont="1" applyAlignment="1" applyProtection="1">
      <alignment horizontal="center"/>
    </xf>
    <xf numFmtId="0" fontId="40" fillId="0" borderId="0" xfId="0" applyFont="1" applyAlignment="1">
      <alignment horizontal="center"/>
    </xf>
    <xf numFmtId="2" fontId="10" fillId="0" borderId="0" xfId="2" applyNumberFormat="1" applyFont="1"/>
    <xf numFmtId="1" fontId="10" fillId="0" borderId="0" xfId="0" applyNumberFormat="1" applyFont="1"/>
    <xf numFmtId="0" fontId="0" fillId="0" borderId="0" xfId="0"/>
    <xf numFmtId="166" fontId="10" fillId="0" borderId="12" xfId="2" applyNumberFormat="1" applyFont="1" applyBorder="1" applyAlignment="1">
      <alignment horizontal="right"/>
    </xf>
    <xf numFmtId="167" fontId="10" fillId="0" borderId="11" xfId="2" applyNumberFormat="1" applyFont="1" applyBorder="1" applyAlignment="1">
      <alignment horizontal="right"/>
    </xf>
    <xf numFmtId="166" fontId="10" fillId="0" borderId="11" xfId="2" applyNumberFormat="1" applyFont="1" applyBorder="1" applyAlignment="1">
      <alignment horizontal="right"/>
    </xf>
    <xf numFmtId="0" fontId="14" fillId="0" borderId="24" xfId="2" applyFont="1" applyFill="1" applyBorder="1" applyAlignment="1">
      <alignment horizontal="center" vertical="center"/>
    </xf>
    <xf numFmtId="0" fontId="10" fillId="0" borderId="0" xfId="2" applyFont="1" applyFill="1"/>
    <xf numFmtId="166" fontId="10" fillId="0" borderId="11" xfId="2" applyNumberFormat="1" applyFont="1" applyBorder="1" applyAlignment="1">
      <alignment horizontal="center"/>
    </xf>
    <xf numFmtId="0" fontId="10" fillId="0" borderId="0" xfId="2" applyFont="1"/>
    <xf numFmtId="166" fontId="10" fillId="0" borderId="0" xfId="2" applyNumberFormat="1" applyFont="1" applyBorder="1"/>
    <xf numFmtId="0" fontId="10" fillId="0" borderId="0" xfId="2" applyFont="1" applyAlignment="1">
      <alignment horizontal="center"/>
    </xf>
    <xf numFmtId="0" fontId="14" fillId="0" borderId="0" xfId="2" applyFont="1" applyAlignment="1">
      <alignment horizontal="right"/>
    </xf>
    <xf numFmtId="0" fontId="14" fillId="0" borderId="0" xfId="2" applyFont="1" applyAlignment="1">
      <alignment horizontal="center"/>
    </xf>
    <xf numFmtId="0" fontId="10" fillId="0" borderId="11" xfId="2" applyFont="1" applyBorder="1"/>
    <xf numFmtId="166" fontId="10" fillId="0" borderId="17" xfId="2" applyNumberFormat="1" applyFont="1" applyBorder="1"/>
    <xf numFmtId="0" fontId="10" fillId="0" borderId="0" xfId="2" applyFont="1" applyBorder="1"/>
    <xf numFmtId="166" fontId="10" fillId="0" borderId="0" xfId="2" applyNumberFormat="1" applyFont="1" applyBorder="1" applyAlignment="1">
      <alignment horizontal="center"/>
    </xf>
    <xf numFmtId="166" fontId="10" fillId="0" borderId="17" xfId="2" applyNumberFormat="1" applyFont="1" applyBorder="1" applyAlignment="1">
      <alignment horizontal="center"/>
    </xf>
    <xf numFmtId="0" fontId="14" fillId="0" borderId="0" xfId="2" applyFont="1" applyFill="1" applyAlignment="1">
      <alignment horizontal="right"/>
    </xf>
    <xf numFmtId="0" fontId="7" fillId="0" borderId="21" xfId="2" applyNumberFormat="1" applyFont="1" applyBorder="1" applyAlignment="1" applyProtection="1">
      <alignment horizontal="center"/>
      <protection locked="0"/>
    </xf>
    <xf numFmtId="166" fontId="10" fillId="0" borderId="0" xfId="2" applyNumberFormat="1" applyFont="1" applyBorder="1" applyAlignment="1">
      <alignment horizontal="right"/>
    </xf>
    <xf numFmtId="167" fontId="10" fillId="0" borderId="0" xfId="2" applyNumberFormat="1" applyFont="1" applyBorder="1" applyAlignment="1">
      <alignment horizontal="right"/>
    </xf>
    <xf numFmtId="166" fontId="10" fillId="0" borderId="13" xfId="2" applyNumberFormat="1" applyFont="1" applyBorder="1" applyAlignment="1">
      <alignment horizontal="right"/>
    </xf>
    <xf numFmtId="0" fontId="10" fillId="0" borderId="17" xfId="2" applyFont="1" applyBorder="1"/>
    <xf numFmtId="166" fontId="10" fillId="0" borderId="17" xfId="2" applyNumberFormat="1" applyFont="1" applyBorder="1" applyAlignment="1">
      <alignment horizontal="right"/>
    </xf>
    <xf numFmtId="167" fontId="10" fillId="0" borderId="17" xfId="2" applyNumberFormat="1" applyFont="1" applyBorder="1" applyAlignment="1">
      <alignment horizontal="right"/>
    </xf>
    <xf numFmtId="166" fontId="10" fillId="0" borderId="18" xfId="2" applyNumberFormat="1" applyFont="1" applyBorder="1" applyAlignment="1">
      <alignment horizontal="right"/>
    </xf>
    <xf numFmtId="166" fontId="10" fillId="0" borderId="11" xfId="2" applyNumberFormat="1" applyFont="1" applyBorder="1"/>
    <xf numFmtId="167" fontId="10" fillId="0" borderId="12" xfId="2" applyNumberFormat="1" applyFont="1" applyBorder="1" applyAlignment="1">
      <alignment horizontal="center"/>
    </xf>
    <xf numFmtId="167" fontId="10" fillId="0" borderId="13" xfId="2" applyNumberFormat="1" applyFont="1" applyBorder="1" applyAlignment="1">
      <alignment horizontal="center"/>
    </xf>
    <xf numFmtId="167" fontId="10" fillId="0" borderId="18" xfId="2" applyNumberFormat="1" applyFont="1" applyBorder="1" applyAlignment="1">
      <alignment horizontal="center"/>
    </xf>
    <xf numFmtId="2" fontId="10" fillId="7" borderId="49" xfId="2" applyNumberFormat="1" applyFont="1" applyFill="1" applyBorder="1" applyAlignment="1">
      <alignment horizontal="center"/>
    </xf>
    <xf numFmtId="2" fontId="10" fillId="7" borderId="50" xfId="2" applyNumberFormat="1" applyFont="1" applyFill="1" applyBorder="1" applyAlignment="1">
      <alignment horizontal="center"/>
    </xf>
    <xf numFmtId="166" fontId="10" fillId="7" borderId="11" xfId="2" applyNumberFormat="1" applyFont="1" applyFill="1" applyBorder="1" applyAlignment="1">
      <alignment horizontal="center"/>
    </xf>
    <xf numFmtId="166" fontId="10" fillId="7" borderId="0" xfId="2" applyNumberFormat="1" applyFont="1" applyFill="1" applyBorder="1" applyAlignment="1">
      <alignment horizontal="center"/>
    </xf>
    <xf numFmtId="166" fontId="10" fillId="7" borderId="17" xfId="2" applyNumberFormat="1" applyFont="1" applyFill="1" applyBorder="1" applyAlignment="1">
      <alignment horizontal="center"/>
    </xf>
    <xf numFmtId="2" fontId="10" fillId="18" borderId="29" xfId="0" applyNumberFormat="1" applyFont="1" applyFill="1" applyBorder="1" applyAlignment="1">
      <alignment horizontal="center"/>
    </xf>
    <xf numFmtId="0" fontId="14" fillId="0" borderId="11"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Border="1" applyAlignment="1">
      <alignment horizontal="center"/>
    </xf>
    <xf numFmtId="0" fontId="14" fillId="0" borderId="13" xfId="0" applyFont="1" applyFill="1" applyBorder="1" applyAlignment="1">
      <alignment horizontal="center"/>
    </xf>
    <xf numFmtId="0" fontId="14" fillId="0" borderId="24" xfId="0" applyFont="1" applyFill="1" applyBorder="1"/>
    <xf numFmtId="0" fontId="14" fillId="0" borderId="20" xfId="0" applyFont="1" applyFill="1" applyBorder="1" applyAlignment="1">
      <alignment horizontal="center"/>
    </xf>
    <xf numFmtId="166" fontId="14" fillId="0" borderId="20" xfId="0" applyNumberFormat="1" applyFont="1" applyFill="1" applyBorder="1" applyAlignment="1">
      <alignment horizontal="center"/>
    </xf>
    <xf numFmtId="2" fontId="10" fillId="0" borderId="0" xfId="0" applyNumberFormat="1" applyFont="1" applyAlignment="1">
      <alignment horizontal="center"/>
    </xf>
    <xf numFmtId="0" fontId="14" fillId="0" borderId="12" xfId="0" applyFont="1" applyFill="1" applyBorder="1"/>
    <xf numFmtId="166" fontId="143" fillId="0" borderId="0" xfId="2" applyNumberFormat="1" applyFont="1" applyBorder="1" applyAlignment="1">
      <alignment horizontal="right"/>
    </xf>
    <xf numFmtId="166" fontId="143" fillId="0" borderId="17" xfId="2" applyNumberFormat="1" applyFont="1" applyBorder="1" applyAlignment="1">
      <alignment horizontal="right"/>
    </xf>
    <xf numFmtId="49" fontId="142" fillId="0" borderId="0" xfId="2" applyNumberFormat="1" applyFont="1" applyAlignment="1">
      <alignment horizontal="left"/>
    </xf>
    <xf numFmtId="2" fontId="142" fillId="0" borderId="0" xfId="2" applyNumberFormat="1" applyFont="1" applyFill="1" applyAlignment="1">
      <alignment horizontal="center"/>
    </xf>
    <xf numFmtId="0" fontId="102" fillId="0" borderId="19" xfId="0" applyFont="1" applyFill="1" applyBorder="1" applyAlignment="1" applyProtection="1">
      <alignment horizontal="center"/>
    </xf>
    <xf numFmtId="1" fontId="10" fillId="0" borderId="11" xfId="2" applyNumberFormat="1" applyFont="1" applyBorder="1" applyAlignment="1">
      <alignment horizontal="left"/>
    </xf>
    <xf numFmtId="0" fontId="10" fillId="0" borderId="0" xfId="2" applyFont="1" applyBorder="1" applyAlignment="1">
      <alignment horizontal="left"/>
    </xf>
    <xf numFmtId="1" fontId="10" fillId="0" borderId="0" xfId="2" applyNumberFormat="1" applyFont="1" applyBorder="1" applyAlignment="1">
      <alignment horizontal="left"/>
    </xf>
    <xf numFmtId="1" fontId="10" fillId="0" borderId="17" xfId="2" applyNumberFormat="1" applyFont="1" applyBorder="1" applyAlignment="1">
      <alignment horizontal="left"/>
    </xf>
    <xf numFmtId="0" fontId="142" fillId="0" borderId="11" xfId="2" applyFont="1" applyBorder="1"/>
    <xf numFmtId="0" fontId="142" fillId="0" borderId="0" xfId="2" applyFont="1" applyBorder="1"/>
    <xf numFmtId="166" fontId="61" fillId="0" borderId="17" xfId="2" applyNumberFormat="1" applyFont="1" applyBorder="1"/>
    <xf numFmtId="0" fontId="14" fillId="0" borderId="0" xfId="2" applyFont="1" applyAlignment="1">
      <alignment horizontal="center"/>
    </xf>
    <xf numFmtId="0" fontId="10" fillId="0" borderId="24" xfId="0" applyFont="1" applyBorder="1" applyAlignment="1">
      <alignment horizontal="left" wrapText="1"/>
    </xf>
    <xf numFmtId="166" fontId="34" fillId="0" borderId="0" xfId="2" applyNumberFormat="1" applyFont="1" applyBorder="1"/>
    <xf numFmtId="166" fontId="144" fillId="0" borderId="0" xfId="2" applyNumberFormat="1" applyFont="1" applyBorder="1"/>
    <xf numFmtId="0" fontId="10" fillId="0" borderId="0" xfId="2" applyNumberFormat="1" applyFont="1"/>
    <xf numFmtId="0" fontId="14" fillId="0" borderId="18" xfId="0" applyNumberFormat="1" applyFont="1" applyFill="1" applyBorder="1" applyAlignment="1">
      <alignment horizontal="center"/>
    </xf>
    <xf numFmtId="0" fontId="14" fillId="0" borderId="0" xfId="2" applyFont="1" applyBorder="1" applyAlignment="1">
      <alignment horizontal="right"/>
    </xf>
    <xf numFmtId="166" fontId="15" fillId="0" borderId="0" xfId="2" applyNumberFormat="1" applyFont="1" applyAlignment="1">
      <alignment horizontal="center"/>
    </xf>
    <xf numFmtId="0" fontId="10" fillId="0" borderId="9" xfId="2" applyFont="1" applyBorder="1" applyAlignment="1">
      <alignment horizontal="center"/>
    </xf>
    <xf numFmtId="0" fontId="145" fillId="0" borderId="10" xfId="2" applyFont="1" applyBorder="1" applyAlignment="1">
      <alignment horizontal="center"/>
    </xf>
    <xf numFmtId="0" fontId="145" fillId="0" borderId="9" xfId="2" applyFont="1" applyBorder="1" applyAlignment="1">
      <alignment horizontal="center"/>
    </xf>
    <xf numFmtId="0" fontId="10" fillId="0" borderId="10" xfId="2" quotePrefix="1" applyFont="1" applyBorder="1" applyAlignment="1">
      <alignment horizontal="center"/>
    </xf>
    <xf numFmtId="0" fontId="145" fillId="0" borderId="14" xfId="2" applyFont="1" applyBorder="1" applyAlignment="1">
      <alignment horizontal="center"/>
    </xf>
    <xf numFmtId="0" fontId="145" fillId="0" borderId="15" xfId="2" applyFont="1" applyBorder="1" applyAlignment="1">
      <alignment horizontal="center"/>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14" fillId="0" borderId="6" xfId="2" applyFont="1" applyBorder="1" applyAlignment="1">
      <alignment horizontal="right"/>
    </xf>
    <xf numFmtId="0" fontId="10" fillId="0" borderId="6" xfId="2" applyFont="1" applyBorder="1" applyAlignment="1">
      <alignment horizontal="center"/>
    </xf>
    <xf numFmtId="166" fontId="10" fillId="0" borderId="7" xfId="2" applyNumberFormat="1" applyFont="1" applyBorder="1" applyAlignment="1">
      <alignment horizontal="center"/>
    </xf>
    <xf numFmtId="1" fontId="10" fillId="0" borderId="9" xfId="2" applyNumberFormat="1" applyFont="1" applyBorder="1" applyAlignment="1">
      <alignment horizontal="center"/>
    </xf>
    <xf numFmtId="166" fontId="10" fillId="0" borderId="16" xfId="2" applyNumberFormat="1" applyFont="1" applyBorder="1" applyAlignment="1">
      <alignment horizontal="right"/>
    </xf>
    <xf numFmtId="0" fontId="146" fillId="0" borderId="0" xfId="0" applyFont="1" applyAlignment="1" applyProtection="1"/>
    <xf numFmtId="0" fontId="120" fillId="0" borderId="0" xfId="2" applyFont="1" applyProtection="1"/>
    <xf numFmtId="1" fontId="14" fillId="0" borderId="17" xfId="0" applyNumberFormat="1" applyFont="1" applyFill="1" applyBorder="1" applyAlignment="1">
      <alignment horizontal="center"/>
    </xf>
    <xf numFmtId="0" fontId="7" fillId="0" borderId="21" xfId="0" applyFont="1" applyBorder="1" applyAlignment="1" applyProtection="1">
      <alignment horizontal="center"/>
      <protection locked="0"/>
    </xf>
    <xf numFmtId="0" fontId="59" fillId="0" borderId="21" xfId="8" applyFont="1" applyFill="1" applyBorder="1" applyAlignment="1" applyProtection="1">
      <alignment horizontal="center"/>
      <protection locked="0"/>
    </xf>
    <xf numFmtId="0" fontId="7" fillId="0" borderId="22" xfId="0"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0" fontId="7" fillId="0" borderId="21" xfId="0" applyFont="1" applyFill="1" applyBorder="1" applyAlignment="1" applyProtection="1">
      <alignment horizontal="center"/>
      <protection locked="0"/>
    </xf>
    <xf numFmtId="0" fontId="7" fillId="0" borderId="23" xfId="0" applyFont="1" applyFill="1" applyBorder="1" applyAlignment="1" applyProtection="1">
      <alignment horizontal="center"/>
      <protection locked="0"/>
    </xf>
    <xf numFmtId="1" fontId="7" fillId="0" borderId="21" xfId="0" applyNumberFormat="1" applyFont="1" applyFill="1" applyBorder="1" applyAlignment="1" applyProtection="1">
      <alignment horizontal="left"/>
      <protection locked="0"/>
    </xf>
    <xf numFmtId="0" fontId="19" fillId="16" borderId="17" xfId="0" applyFont="1" applyFill="1" applyBorder="1" applyProtection="1">
      <protection hidden="1"/>
    </xf>
    <xf numFmtId="166" fontId="10" fillId="0" borderId="0" xfId="2" applyNumberFormat="1" applyFont="1" applyAlignment="1">
      <alignment horizontal="center"/>
    </xf>
    <xf numFmtId="0" fontId="7" fillId="0" borderId="21" xfId="2" applyFont="1" applyFill="1" applyBorder="1" applyAlignment="1" applyProtection="1">
      <alignment horizontal="left"/>
      <protection locked="0"/>
    </xf>
    <xf numFmtId="0" fontId="7" fillId="0" borderId="0" xfId="2" applyFont="1" applyProtection="1">
      <protection locked="0"/>
    </xf>
    <xf numFmtId="0" fontId="7" fillId="0" borderId="21" xfId="2" applyFont="1" applyBorder="1" applyAlignment="1" applyProtection="1">
      <alignment horizontal="center"/>
      <protection locked="0"/>
    </xf>
    <xf numFmtId="0" fontId="39" fillId="0" borderId="21" xfId="2" applyFont="1" applyBorder="1" applyAlignment="1" applyProtection="1">
      <alignment horizontal="left"/>
      <protection locked="0"/>
    </xf>
    <xf numFmtId="0" fontId="7" fillId="0" borderId="22" xfId="2" applyFont="1" applyBorder="1" applyAlignment="1" applyProtection="1">
      <alignment horizontal="center"/>
      <protection locked="0"/>
    </xf>
    <xf numFmtId="49" fontId="7" fillId="0" borderId="22" xfId="2" applyNumberFormat="1" applyFont="1" applyBorder="1" applyAlignment="1" applyProtection="1">
      <alignment horizontal="center"/>
      <protection locked="0"/>
    </xf>
    <xf numFmtId="49" fontId="7" fillId="0" borderId="21" xfId="2" applyNumberFormat="1" applyFont="1" applyBorder="1" applyAlignment="1" applyProtection="1">
      <alignment horizontal="center"/>
      <protection locked="0"/>
    </xf>
    <xf numFmtId="0" fontId="7" fillId="0" borderId="21" xfId="2" applyFont="1" applyBorder="1" applyProtection="1">
      <protection locked="0"/>
    </xf>
    <xf numFmtId="0" fontId="7" fillId="0" borderId="21" xfId="2" applyFont="1" applyFill="1" applyBorder="1" applyAlignment="1" applyProtection="1">
      <alignment horizontal="center"/>
      <protection locked="0"/>
    </xf>
    <xf numFmtId="0" fontId="7" fillId="0" borderId="23" xfId="2" applyFont="1" applyFill="1" applyBorder="1" applyAlignment="1" applyProtection="1">
      <alignment horizontal="center"/>
      <protection locked="0"/>
    </xf>
    <xf numFmtId="0" fontId="72" fillId="0" borderId="21" xfId="2" applyFont="1" applyFill="1" applyBorder="1" applyAlignment="1" applyProtection="1">
      <alignment horizontal="center"/>
      <protection locked="0"/>
    </xf>
    <xf numFmtId="0" fontId="39" fillId="0" borderId="21" xfId="2" applyFont="1" applyFill="1" applyBorder="1" applyAlignment="1" applyProtection="1">
      <alignment horizontal="left"/>
      <protection locked="0"/>
    </xf>
    <xf numFmtId="0" fontId="72" fillId="0" borderId="21" xfId="2" applyFont="1" applyBorder="1" applyAlignment="1" applyProtection="1">
      <alignment horizontal="center"/>
      <protection locked="0"/>
    </xf>
    <xf numFmtId="0" fontId="10" fillId="7" borderId="49" xfId="0" applyFont="1" applyFill="1" applyBorder="1" applyAlignment="1">
      <alignment horizontal="center"/>
    </xf>
    <xf numFmtId="0" fontId="10" fillId="7" borderId="50" xfId="0" applyFont="1" applyFill="1" applyBorder="1" applyAlignment="1">
      <alignment horizontal="center"/>
    </xf>
    <xf numFmtId="0" fontId="7" fillId="0" borderId="22" xfId="0" applyFont="1" applyFill="1" applyBorder="1" applyAlignment="1" applyProtection="1">
      <alignment horizontal="center"/>
      <protection locked="0"/>
    </xf>
    <xf numFmtId="0" fontId="7" fillId="0" borderId="51" xfId="0" applyFont="1" applyFill="1" applyBorder="1" applyAlignment="1" applyProtection="1">
      <alignment horizontal="center"/>
      <protection locked="0"/>
    </xf>
    <xf numFmtId="1" fontId="7" fillId="0" borderId="23" xfId="0" applyNumberFormat="1" applyFont="1" applyFill="1" applyBorder="1" applyAlignment="1" applyProtection="1">
      <alignment horizontal="left"/>
      <protection locked="0"/>
    </xf>
    <xf numFmtId="1" fontId="39" fillId="0" borderId="21" xfId="2" applyNumberFormat="1" applyFont="1" applyFill="1" applyBorder="1" applyAlignment="1" applyProtection="1">
      <alignment horizontal="left"/>
      <protection locked="0"/>
    </xf>
    <xf numFmtId="1" fontId="97" fillId="0" borderId="52" xfId="0" applyNumberFormat="1" applyFont="1" applyFill="1" applyBorder="1" applyAlignment="1" applyProtection="1">
      <alignment horizontal="center"/>
      <protection locked="0"/>
    </xf>
    <xf numFmtId="0" fontId="7" fillId="0" borderId="30" xfId="0" applyFont="1" applyBorder="1" applyAlignment="1" applyProtection="1">
      <alignment horizontal="center"/>
      <protection locked="0"/>
    </xf>
    <xf numFmtId="14" fontId="10" fillId="0" borderId="5" xfId="0" applyNumberFormat="1" applyFont="1" applyBorder="1" applyAlignment="1" applyProtection="1">
      <alignment horizontal="center" vertical="top"/>
      <protection locked="0"/>
    </xf>
    <xf numFmtId="49" fontId="0" fillId="0" borderId="4" xfId="0" applyNumberFormat="1" applyFont="1" applyBorder="1" applyAlignment="1" applyProtection="1">
      <alignment horizontal="left" vertical="top" wrapText="1"/>
      <protection locked="0"/>
    </xf>
    <xf numFmtId="14" fontId="0" fillId="0" borderId="5" xfId="0" applyNumberFormat="1" applyFont="1" applyBorder="1" applyAlignment="1" applyProtection="1">
      <alignment horizontal="center" vertical="top"/>
      <protection locked="0"/>
    </xf>
    <xf numFmtId="49" fontId="0" fillId="0" borderId="5" xfId="0" applyNumberFormat="1" applyFont="1" applyBorder="1" applyAlignment="1" applyProtection="1">
      <alignment horizontal="left" vertical="top" wrapText="1"/>
      <protection locked="0"/>
    </xf>
    <xf numFmtId="0" fontId="135" fillId="0" borderId="0" xfId="0" applyFont="1" applyAlignment="1">
      <alignment horizontal="right"/>
    </xf>
    <xf numFmtId="0" fontId="10" fillId="0" borderId="0" xfId="2" applyFont="1" applyFill="1" applyBorder="1" applyAlignment="1">
      <alignment horizontal="center"/>
    </xf>
    <xf numFmtId="2" fontId="10" fillId="0" borderId="0" xfId="2" applyNumberFormat="1" applyFont="1" applyFill="1" applyBorder="1" applyAlignment="1">
      <alignment horizontal="center"/>
    </xf>
    <xf numFmtId="2" fontId="10" fillId="0" borderId="0" xfId="2" applyNumberFormat="1" applyFill="1" applyBorder="1" applyAlignment="1">
      <alignment horizontal="center"/>
    </xf>
    <xf numFmtId="166" fontId="10" fillId="0" borderId="0" xfId="2" applyNumberFormat="1" applyFont="1" applyFill="1" applyBorder="1" applyAlignment="1">
      <alignment horizontal="center"/>
    </xf>
    <xf numFmtId="0" fontId="7" fillId="0" borderId="24"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19" xfId="0" applyFont="1" applyBorder="1" applyAlignment="1" applyProtection="1">
      <alignment horizontal="left"/>
    </xf>
    <xf numFmtId="0" fontId="9" fillId="3" borderId="0" xfId="0" applyFont="1" applyFill="1" applyAlignment="1" applyProtection="1">
      <alignment horizontal="left"/>
      <protection locked="0"/>
    </xf>
    <xf numFmtId="0" fontId="9" fillId="0" borderId="0" xfId="0" applyFont="1" applyFill="1" applyAlignment="1" applyProtection="1">
      <alignment horizontal="left"/>
      <protection locked="0"/>
    </xf>
    <xf numFmtId="0" fontId="41" fillId="0" borderId="0" xfId="1" applyAlignment="1" applyProtection="1">
      <protection locked="0"/>
    </xf>
    <xf numFmtId="0" fontId="7" fillId="0" borderId="0" xfId="0" quotePrefix="1" applyFont="1" applyFill="1" applyAlignment="1" applyProtection="1">
      <alignment horizontal="right"/>
    </xf>
    <xf numFmtId="49" fontId="134" fillId="0" borderId="0" xfId="2" applyNumberFormat="1" applyFont="1" applyAlignment="1" applyProtection="1">
      <alignment horizontal="right"/>
    </xf>
    <xf numFmtId="0" fontId="7" fillId="0" borderId="0" xfId="0" applyFont="1" applyAlignment="1" applyProtection="1"/>
    <xf numFmtId="0" fontId="0" fillId="0" borderId="0" xfId="0" applyAlignment="1" applyProtection="1">
      <alignment horizontal="center"/>
    </xf>
    <xf numFmtId="49" fontId="65" fillId="0" borderId="0" xfId="0" applyNumberFormat="1" applyFont="1" applyFill="1" applyBorder="1" applyAlignment="1" applyProtection="1"/>
    <xf numFmtId="0" fontId="18" fillId="0" borderId="11" xfId="0" applyFont="1" applyBorder="1" applyAlignment="1" applyProtection="1"/>
    <xf numFmtId="0" fontId="7" fillId="8" borderId="11" xfId="0" applyFont="1" applyFill="1" applyBorder="1" applyAlignment="1" applyProtection="1"/>
    <xf numFmtId="0" fontId="19" fillId="8" borderId="11" xfId="0" applyFont="1" applyFill="1" applyBorder="1" applyAlignment="1" applyProtection="1">
      <alignment horizontal="center"/>
    </xf>
    <xf numFmtId="0" fontId="132" fillId="0" borderId="0" xfId="0" applyFont="1" applyBorder="1" applyAlignment="1" applyProtection="1">
      <alignment horizontal="center"/>
    </xf>
    <xf numFmtId="0" fontId="133" fillId="0" borderId="0" xfId="0" applyFont="1" applyBorder="1" applyAlignment="1" applyProtection="1"/>
    <xf numFmtId="0" fontId="133" fillId="0" borderId="17" xfId="0" applyFont="1" applyBorder="1" applyAlignment="1" applyProtection="1">
      <alignment horizontal="center"/>
    </xf>
    <xf numFmtId="0" fontId="132" fillId="0" borderId="17" xfId="0" applyFont="1" applyBorder="1" applyAlignment="1" applyProtection="1">
      <alignment horizontal="center"/>
    </xf>
    <xf numFmtId="0" fontId="131" fillId="0" borderId="11" xfId="0" applyFont="1" applyBorder="1" applyProtection="1"/>
    <xf numFmtId="0" fontId="133" fillId="0" borderId="11" xfId="0" applyFont="1" applyBorder="1" applyAlignment="1" applyProtection="1"/>
    <xf numFmtId="0" fontId="133" fillId="0" borderId="11" xfId="0" applyFont="1" applyBorder="1" applyAlignment="1" applyProtection="1">
      <alignment horizontal="center"/>
    </xf>
    <xf numFmtId="0" fontId="19" fillId="0" borderId="19" xfId="0" applyFont="1" applyBorder="1" applyAlignment="1" applyProtection="1">
      <alignment horizontal="center"/>
    </xf>
    <xf numFmtId="0" fontId="34" fillId="0" borderId="0" xfId="0" quotePrefix="1" applyFont="1" applyFill="1" applyBorder="1" applyAlignment="1" applyProtection="1">
      <alignment horizontal="center"/>
    </xf>
    <xf numFmtId="0" fontId="19" fillId="0" borderId="0" xfId="0" applyFont="1" applyBorder="1" applyProtection="1"/>
    <xf numFmtId="0" fontId="18" fillId="0" borderId="0" xfId="0" applyFont="1" applyBorder="1" applyAlignment="1" applyProtection="1"/>
    <xf numFmtId="0" fontId="19" fillId="8" borderId="0" xfId="0" applyFont="1" applyFill="1" applyBorder="1" applyAlignment="1" applyProtection="1"/>
    <xf numFmtId="0" fontId="7" fillId="8" borderId="0" xfId="0" applyFont="1" applyFill="1" applyBorder="1" applyAlignment="1" applyProtection="1"/>
    <xf numFmtId="0" fontId="124" fillId="18" borderId="24" xfId="0" applyFont="1" applyFill="1" applyBorder="1" applyProtection="1"/>
    <xf numFmtId="0" fontId="7" fillId="18" borderId="11" xfId="0" applyFont="1" applyFill="1" applyBorder="1" applyAlignment="1" applyProtection="1">
      <alignment horizontal="center"/>
    </xf>
    <xf numFmtId="166" fontId="14" fillId="0" borderId="0" xfId="2" applyNumberFormat="1" applyFont="1" applyFill="1" applyBorder="1" applyAlignment="1">
      <alignment horizontal="right"/>
    </xf>
    <xf numFmtId="166" fontId="15" fillId="0" borderId="6" xfId="2" applyNumberFormat="1" applyFont="1" applyBorder="1"/>
    <xf numFmtId="166" fontId="10" fillId="0" borderId="16" xfId="2" applyNumberFormat="1" applyFont="1" applyBorder="1"/>
    <xf numFmtId="166" fontId="34" fillId="0" borderId="13" xfId="2" applyNumberFormat="1" applyFont="1" applyBorder="1"/>
    <xf numFmtId="166" fontId="144" fillId="0" borderId="13" xfId="2" applyNumberFormat="1" applyFont="1" applyBorder="1"/>
    <xf numFmtId="0" fontId="10" fillId="0" borderId="13" xfId="0" applyFont="1" applyBorder="1"/>
    <xf numFmtId="0" fontId="10" fillId="0" borderId="17" xfId="0" applyFont="1" applyBorder="1"/>
    <xf numFmtId="0" fontId="10" fillId="0" borderId="18" xfId="0" applyFont="1" applyBorder="1"/>
    <xf numFmtId="0" fontId="13" fillId="18" borderId="0" xfId="0" applyFont="1" applyFill="1" applyAlignment="1" applyProtection="1"/>
    <xf numFmtId="0" fontId="7" fillId="18" borderId="0" xfId="0" applyFont="1" applyFill="1" applyAlignment="1" applyProtection="1"/>
    <xf numFmtId="0" fontId="126" fillId="0" borderId="0" xfId="0" applyFont="1" applyAlignment="1" applyProtection="1"/>
    <xf numFmtId="0" fontId="0" fillId="18" borderId="0" xfId="0" applyFill="1" applyProtection="1">
      <protection locked="0"/>
    </xf>
    <xf numFmtId="0" fontId="10" fillId="0" borderId="8" xfId="2" applyFont="1" applyBorder="1" applyAlignment="1">
      <alignment horizontal="center"/>
    </xf>
    <xf numFmtId="0" fontId="10" fillId="0" borderId="0" xfId="2" applyNumberFormat="1" applyBorder="1" applyAlignment="1">
      <alignment horizontal="center"/>
    </xf>
    <xf numFmtId="0" fontId="10" fillId="0" borderId="9" xfId="2" applyNumberFormat="1" applyBorder="1" applyAlignment="1">
      <alignment horizontal="center"/>
    </xf>
    <xf numFmtId="0" fontId="10" fillId="0" borderId="16" xfId="2" applyNumberFormat="1" applyBorder="1" applyAlignment="1">
      <alignment horizontal="center"/>
    </xf>
    <xf numFmtId="0" fontId="10" fillId="0" borderId="15" xfId="2" applyNumberFormat="1" applyBorder="1" applyAlignment="1">
      <alignment horizontal="center"/>
    </xf>
    <xf numFmtId="0" fontId="0" fillId="0" borderId="6" xfId="0" applyNumberFormat="1" applyBorder="1" applyAlignment="1">
      <alignment horizontal="center"/>
    </xf>
    <xf numFmtId="0" fontId="0" fillId="0" borderId="7" xfId="0" applyNumberFormat="1" applyBorder="1" applyAlignment="1">
      <alignment horizontal="center"/>
    </xf>
    <xf numFmtId="1" fontId="19" fillId="22" borderId="0" xfId="0" applyNumberFormat="1" applyFont="1" applyFill="1" applyBorder="1" applyAlignment="1" applyProtection="1">
      <alignment horizontal="center"/>
      <protection hidden="1"/>
    </xf>
    <xf numFmtId="1" fontId="10" fillId="22" borderId="0" xfId="0" applyNumberFormat="1" applyFont="1" applyFill="1" applyBorder="1" applyAlignment="1" applyProtection="1">
      <alignment horizontal="center"/>
      <protection hidden="1"/>
    </xf>
    <xf numFmtId="0" fontId="131" fillId="0" borderId="5" xfId="0" applyFont="1" applyBorder="1" applyAlignment="1" applyProtection="1"/>
    <xf numFmtId="0" fontId="131" fillId="0" borderId="5" xfId="0" applyFont="1" applyBorder="1" applyAlignment="1" applyProtection="1">
      <alignment horizontal="center"/>
    </xf>
    <xf numFmtId="0" fontId="40" fillId="0" borderId="0" xfId="0" applyFont="1" applyAlignment="1">
      <alignment horizontal="center"/>
    </xf>
    <xf numFmtId="0" fontId="10" fillId="0" borderId="0" xfId="0" applyNumberFormat="1" applyFont="1" applyAlignment="1">
      <alignment horizontal="left"/>
    </xf>
    <xf numFmtId="0" fontId="7" fillId="0" borderId="82" xfId="0" applyFont="1" applyFill="1" applyBorder="1" applyProtection="1">
      <protection hidden="1"/>
    </xf>
    <xf numFmtId="0" fontId="10" fillId="25" borderId="9" xfId="0" applyFont="1" applyFill="1" applyBorder="1" applyAlignment="1" applyProtection="1"/>
    <xf numFmtId="0" fontId="10" fillId="24" borderId="14" xfId="0" applyFont="1" applyFill="1" applyBorder="1" applyAlignment="1" applyProtection="1"/>
    <xf numFmtId="0" fontId="10" fillId="0" borderId="45" xfId="0" applyFont="1" applyBorder="1" applyAlignment="1" applyProtection="1"/>
    <xf numFmtId="0" fontId="40" fillId="0" borderId="5" xfId="0" applyFont="1" applyBorder="1" applyAlignment="1" applyProtection="1">
      <alignment horizontal="center"/>
      <protection locked="0"/>
    </xf>
    <xf numFmtId="0" fontId="19" fillId="18" borderId="0" xfId="0" applyFont="1" applyFill="1" applyAlignment="1" applyProtection="1"/>
    <xf numFmtId="0" fontId="10" fillId="18" borderId="0" xfId="0" applyFont="1" applyFill="1" applyAlignment="1" applyProtection="1"/>
    <xf numFmtId="0" fontId="19" fillId="18" borderId="0" xfId="0" applyFont="1" applyFill="1" applyAlignment="1" applyProtection="1">
      <alignment horizontal="right"/>
    </xf>
    <xf numFmtId="0" fontId="0" fillId="0" borderId="0" xfId="0"/>
    <xf numFmtId="0" fontId="10" fillId="0" borderId="0" xfId="0" applyFont="1"/>
    <xf numFmtId="0" fontId="0" fillId="0" borderId="0" xfId="0" applyBorder="1"/>
    <xf numFmtId="0" fontId="14" fillId="0" borderId="36" xfId="0" applyFont="1" applyBorder="1" applyAlignment="1">
      <alignment horizontal="right"/>
    </xf>
    <xf numFmtId="0" fontId="10" fillId="0" borderId="37" xfId="0" applyFont="1" applyBorder="1" applyAlignment="1">
      <alignment horizontal="center"/>
    </xf>
    <xf numFmtId="0" fontId="0" fillId="0" borderId="36" xfId="0" applyBorder="1"/>
    <xf numFmtId="0" fontId="0" fillId="0" borderId="47" xfId="0" applyBorder="1"/>
    <xf numFmtId="0" fontId="10" fillId="0" borderId="33" xfId="0" applyFont="1" applyBorder="1"/>
    <xf numFmtId="0" fontId="10" fillId="0" borderId="33" xfId="0" applyFont="1" applyBorder="1" applyProtection="1">
      <protection locked="0"/>
    </xf>
    <xf numFmtId="0" fontId="10" fillId="0" borderId="33" xfId="0" applyFont="1" applyBorder="1" applyAlignment="1">
      <alignment horizontal="center"/>
    </xf>
    <xf numFmtId="0" fontId="10" fillId="0" borderId="48" xfId="0" applyFont="1" applyBorder="1" applyAlignment="1">
      <alignment horizontal="center"/>
    </xf>
    <xf numFmtId="0" fontId="10" fillId="0" borderId="0" xfId="0" applyFont="1" applyAlignment="1" applyProtection="1">
      <alignment horizontal="right"/>
      <protection locked="0"/>
    </xf>
    <xf numFmtId="0" fontId="10" fillId="27" borderId="10" xfId="2" applyFont="1" applyFill="1" applyBorder="1" applyAlignment="1">
      <alignment horizontal="center"/>
    </xf>
    <xf numFmtId="0" fontId="10" fillId="27" borderId="0" xfId="0" applyFont="1" applyFill="1" applyBorder="1" applyAlignment="1">
      <alignment horizontal="center"/>
    </xf>
    <xf numFmtId="164" fontId="10" fillId="27" borderId="0" xfId="2" applyNumberFormat="1" applyFont="1" applyFill="1" applyBorder="1" applyAlignment="1">
      <alignment horizontal="center"/>
    </xf>
    <xf numFmtId="1" fontId="10" fillId="27" borderId="9" xfId="0" applyNumberFormat="1" applyFont="1" applyFill="1" applyBorder="1" applyAlignment="1" applyProtection="1">
      <alignment horizontal="center"/>
      <protection locked="0"/>
    </xf>
    <xf numFmtId="0" fontId="7" fillId="0" borderId="0" xfId="0" applyFont="1" applyAlignment="1" applyProtection="1"/>
    <xf numFmtId="0" fontId="19" fillId="0" borderId="11" xfId="0" applyFont="1" applyBorder="1" applyAlignment="1" applyProtection="1">
      <alignment horizontal="left"/>
    </xf>
    <xf numFmtId="0" fontId="19" fillId="0" borderId="0" xfId="0" applyFont="1" applyFill="1" applyBorder="1" applyAlignment="1" applyProtection="1">
      <protection hidden="1"/>
    </xf>
    <xf numFmtId="0" fontId="69" fillId="0" borderId="0" xfId="0" applyFont="1" applyFill="1" applyBorder="1" applyAlignment="1" applyProtection="1">
      <alignment horizontal="left" vertical="center"/>
      <protection hidden="1"/>
    </xf>
    <xf numFmtId="0" fontId="7" fillId="0" borderId="38" xfId="3" applyFont="1" applyBorder="1" applyAlignment="1" applyProtection="1">
      <alignment horizontal="center"/>
    </xf>
    <xf numFmtId="0" fontId="122" fillId="0" borderId="0" xfId="0" applyFont="1" applyAlignment="1" applyProtection="1"/>
    <xf numFmtId="0" fontId="9" fillId="3" borderId="0" xfId="0" applyFont="1" applyFill="1" applyBorder="1" applyAlignment="1" applyProtection="1">
      <alignment horizontal="center"/>
      <protection locked="0"/>
    </xf>
    <xf numFmtId="0" fontId="14" fillId="4" borderId="0" xfId="0" applyFont="1" applyFill="1" applyBorder="1" applyAlignment="1">
      <alignment horizontal="center" vertical="center"/>
    </xf>
    <xf numFmtId="0" fontId="19" fillId="17" borderId="26" xfId="0" applyNumberFormat="1" applyFont="1" applyFill="1" applyBorder="1" applyAlignment="1" applyProtection="1">
      <alignment horizontal="left"/>
      <protection hidden="1"/>
    </xf>
    <xf numFmtId="0" fontId="0" fillId="0" borderId="0" xfId="0" applyAlignment="1" applyProtection="1">
      <alignment horizontal="center"/>
      <protection locked="0"/>
    </xf>
    <xf numFmtId="0" fontId="95" fillId="0" borderId="0" xfId="0" applyFont="1" applyBorder="1" applyAlignment="1" applyProtection="1">
      <alignment horizontal="left"/>
      <protection hidden="1"/>
    </xf>
    <xf numFmtId="0" fontId="0" fillId="0" borderId="0" xfId="0" applyBorder="1" applyAlignment="1" applyProtection="1">
      <alignment horizontal="center"/>
      <protection locked="0"/>
    </xf>
    <xf numFmtId="0" fontId="10" fillId="0" borderId="0" xfId="0" applyFont="1"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hidden="1"/>
    </xf>
    <xf numFmtId="0" fontId="48" fillId="4" borderId="0" xfId="0" applyFont="1" applyFill="1" applyAlignment="1" applyProtection="1">
      <alignment horizontal="center"/>
      <protection hidden="1"/>
    </xf>
    <xf numFmtId="0" fontId="10" fillId="0" borderId="0" xfId="0" applyFont="1" applyAlignment="1" applyProtection="1">
      <alignment horizontal="left"/>
      <protection hidden="1"/>
    </xf>
    <xf numFmtId="0" fontId="0" fillId="0" borderId="24"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1" xfId="0" applyBorder="1" applyProtection="1">
      <protection hidden="1"/>
    </xf>
    <xf numFmtId="0" fontId="0" fillId="0" borderId="12" xfId="0" applyBorder="1" applyProtection="1">
      <protection hidden="1"/>
    </xf>
    <xf numFmtId="0" fontId="19" fillId="0" borderId="127" xfId="0" applyFont="1" applyBorder="1" applyAlignment="1" applyProtection="1">
      <alignment horizontal="right"/>
      <protection hidden="1"/>
    </xf>
    <xf numFmtId="0" fontId="0" fillId="0" borderId="0" xfId="0" applyBorder="1" applyProtection="1">
      <protection hidden="1"/>
    </xf>
    <xf numFmtId="0" fontId="0" fillId="0" borderId="13" xfId="0" applyBorder="1" applyProtection="1">
      <protection hidden="1"/>
    </xf>
    <xf numFmtId="0" fontId="0" fillId="16" borderId="8" xfId="0" applyFill="1" applyBorder="1" applyProtection="1">
      <protection hidden="1"/>
    </xf>
    <xf numFmtId="0" fontId="10" fillId="16" borderId="6" xfId="0" applyFont="1" applyFill="1" applyBorder="1" applyProtection="1">
      <protection hidden="1"/>
    </xf>
    <xf numFmtId="0" fontId="0" fillId="16" borderId="2" xfId="0" applyFill="1" applyBorder="1" applyProtection="1">
      <protection hidden="1"/>
    </xf>
    <xf numFmtId="0" fontId="7" fillId="0" borderId="127" xfId="0" applyFont="1" applyBorder="1" applyAlignment="1" applyProtection="1">
      <protection hidden="1"/>
    </xf>
    <xf numFmtId="0" fontId="0" fillId="0" borderId="10" xfId="0" applyFill="1" applyBorder="1" applyProtection="1">
      <protection hidden="1"/>
    </xf>
    <xf numFmtId="0" fontId="10" fillId="0" borderId="0" xfId="0" applyFont="1" applyFill="1" applyBorder="1" applyProtection="1">
      <protection hidden="1"/>
    </xf>
    <xf numFmtId="0" fontId="10" fillId="0" borderId="3" xfId="0" applyFont="1" applyBorder="1" applyProtection="1">
      <protection hidden="1"/>
    </xf>
    <xf numFmtId="0" fontId="0" fillId="0" borderId="10" xfId="0" applyBorder="1" applyProtection="1">
      <protection hidden="1"/>
    </xf>
    <xf numFmtId="0" fontId="0" fillId="0" borderId="9" xfId="0" applyBorder="1" applyProtection="1">
      <protection hidden="1"/>
    </xf>
    <xf numFmtId="0" fontId="0" fillId="0" borderId="20" xfId="0" applyBorder="1" applyProtection="1">
      <protection hidden="1"/>
    </xf>
    <xf numFmtId="0" fontId="0" fillId="0" borderId="17" xfId="0" applyBorder="1" applyProtection="1">
      <protection hidden="1"/>
    </xf>
    <xf numFmtId="0" fontId="0" fillId="0" borderId="18" xfId="0" applyBorder="1" applyProtection="1">
      <protection hidden="1"/>
    </xf>
    <xf numFmtId="0" fontId="0" fillId="0" borderId="14" xfId="0" applyBorder="1" applyProtection="1">
      <protection hidden="1"/>
    </xf>
    <xf numFmtId="0" fontId="0" fillId="0" borderId="15" xfId="0" applyBorder="1" applyProtection="1">
      <protection hidden="1"/>
    </xf>
    <xf numFmtId="0" fontId="120" fillId="0" borderId="0" xfId="0" applyFont="1" applyFill="1" applyAlignment="1" applyProtection="1">
      <alignment horizontal="left"/>
      <protection hidden="1"/>
    </xf>
    <xf numFmtId="0" fontId="0" fillId="0" borderId="14" xfId="0" applyFill="1" applyBorder="1" applyProtection="1">
      <protection hidden="1"/>
    </xf>
    <xf numFmtId="0" fontId="10" fillId="0" borderId="16" xfId="0" applyFont="1" applyFill="1" applyBorder="1" applyProtection="1">
      <protection hidden="1"/>
    </xf>
    <xf numFmtId="0" fontId="0" fillId="16" borderId="7" xfId="0" applyFill="1" applyBorder="1" applyProtection="1">
      <protection hidden="1"/>
    </xf>
    <xf numFmtId="0" fontId="14" fillId="0" borderId="0" xfId="0" applyFont="1" applyProtection="1">
      <protection hidden="1"/>
    </xf>
    <xf numFmtId="0" fontId="0" fillId="0" borderId="9" xfId="0" applyFont="1" applyBorder="1" applyProtection="1">
      <protection hidden="1"/>
    </xf>
    <xf numFmtId="0" fontId="10" fillId="0" borderId="4" xfId="0" applyFont="1" applyBorder="1" applyProtection="1">
      <protection hidden="1"/>
    </xf>
    <xf numFmtId="0" fontId="0" fillId="0" borderId="15" xfId="0" applyFont="1" applyBorder="1" applyProtection="1">
      <protection hidden="1"/>
    </xf>
    <xf numFmtId="0" fontId="14" fillId="0" borderId="0" xfId="0" applyFont="1" applyAlignment="1" applyProtection="1">
      <alignment horizontal="left"/>
      <protection hidden="1"/>
    </xf>
    <xf numFmtId="0" fontId="147" fillId="28" borderId="2" xfId="0" applyFont="1" applyFill="1" applyBorder="1" applyAlignment="1" applyProtection="1">
      <alignment horizontal="center" vertical="center"/>
      <protection hidden="1"/>
    </xf>
    <xf numFmtId="0" fontId="147" fillId="28" borderId="3" xfId="0" applyFont="1" applyFill="1" applyBorder="1" applyAlignment="1" applyProtection="1">
      <alignment horizontal="center" vertical="center"/>
      <protection hidden="1"/>
    </xf>
    <xf numFmtId="0" fontId="147" fillId="28" borderId="9" xfId="0" applyFont="1" applyFill="1" applyBorder="1" applyAlignment="1" applyProtection="1">
      <alignment horizontal="center"/>
      <protection hidden="1"/>
    </xf>
    <xf numFmtId="0" fontId="147" fillId="28" borderId="3" xfId="0" applyFont="1" applyFill="1" applyBorder="1" applyAlignment="1" applyProtection="1">
      <alignment horizontal="center"/>
      <protection hidden="1"/>
    </xf>
    <xf numFmtId="0" fontId="14" fillId="0" borderId="0" xfId="0" applyFont="1" applyFill="1" applyBorder="1" applyAlignment="1" applyProtection="1">
      <alignment horizontal="center"/>
      <protection hidden="1"/>
    </xf>
    <xf numFmtId="0" fontId="14" fillId="0" borderId="0" xfId="0" applyFont="1" applyBorder="1" applyAlignment="1" applyProtection="1">
      <alignment horizontal="center"/>
      <protection hidden="1"/>
    </xf>
    <xf numFmtId="0" fontId="0" fillId="0" borderId="2" xfId="0" applyFill="1" applyBorder="1" applyProtection="1">
      <protection hidden="1"/>
    </xf>
    <xf numFmtId="0" fontId="0" fillId="0" borderId="2" xfId="0" applyBorder="1" applyProtection="1">
      <protection hidden="1"/>
    </xf>
    <xf numFmtId="0" fontId="0" fillId="0" borderId="3" xfId="0" applyFill="1" applyBorder="1" applyProtection="1">
      <protection hidden="1"/>
    </xf>
    <xf numFmtId="0" fontId="0" fillId="0" borderId="3" xfId="0" applyBorder="1" applyAlignment="1" applyProtection="1">
      <alignment horizontal="center"/>
      <protection hidden="1"/>
    </xf>
    <xf numFmtId="0" fontId="0" fillId="0" borderId="3" xfId="0" applyBorder="1" applyProtection="1">
      <protection hidden="1"/>
    </xf>
    <xf numFmtId="0" fontId="0" fillId="0" borderId="0" xfId="0" applyBorder="1" applyAlignment="1" applyProtection="1">
      <alignment horizontal="center"/>
      <protection locked="0"/>
    </xf>
    <xf numFmtId="0" fontId="148" fillId="0" borderId="0" xfId="0" applyFont="1" applyProtection="1">
      <protection hidden="1"/>
    </xf>
    <xf numFmtId="0" fontId="10" fillId="0" borderId="16" xfId="0" applyFont="1" applyBorder="1" applyAlignment="1" applyProtection="1">
      <alignment horizontal="right"/>
    </xf>
    <xf numFmtId="0" fontId="10" fillId="0" borderId="0" xfId="0" applyFont="1" applyBorder="1" applyAlignment="1" applyProtection="1">
      <alignment horizontal="right"/>
    </xf>
    <xf numFmtId="0" fontId="7" fillId="0" borderId="24" xfId="3" applyFont="1" applyBorder="1" applyAlignment="1" applyProtection="1">
      <alignment horizontal="center"/>
    </xf>
    <xf numFmtId="0" fontId="7" fillId="0" borderId="127" xfId="3" applyFont="1" applyBorder="1" applyAlignment="1" applyProtection="1">
      <alignment horizontal="center" vertical="center"/>
    </xf>
    <xf numFmtId="0" fontId="7" fillId="0" borderId="20" xfId="3" applyFont="1" applyBorder="1" applyAlignment="1" applyProtection="1">
      <alignment horizontal="center" vertical="center"/>
    </xf>
    <xf numFmtId="0" fontId="19" fillId="29" borderId="0" xfId="3" applyFont="1" applyFill="1" applyProtection="1">
      <protection locked="0"/>
    </xf>
    <xf numFmtId="0" fontId="19" fillId="29" borderId="0" xfId="3" applyFont="1" applyFill="1" applyBorder="1" applyAlignment="1" applyProtection="1">
      <alignment horizontal="center"/>
      <protection locked="0"/>
    </xf>
    <xf numFmtId="0" fontId="7" fillId="29" borderId="38" xfId="3" applyFont="1" applyFill="1" applyBorder="1" applyAlignment="1" applyProtection="1">
      <alignment horizontal="center"/>
    </xf>
    <xf numFmtId="0" fontId="7" fillId="29" borderId="43" xfId="3" applyFont="1" applyFill="1" applyBorder="1" applyAlignment="1" applyProtection="1">
      <alignment horizontal="center"/>
    </xf>
    <xf numFmtId="0" fontId="7" fillId="29" borderId="53" xfId="3" applyFont="1" applyFill="1" applyBorder="1" applyAlignment="1" applyProtection="1">
      <alignment horizontal="center"/>
    </xf>
    <xf numFmtId="0" fontId="7" fillId="29" borderId="43" xfId="3" applyFont="1" applyFill="1" applyBorder="1" applyAlignment="1" applyProtection="1">
      <alignment horizontal="center" vertical="center"/>
    </xf>
    <xf numFmtId="0" fontId="7" fillId="29" borderId="53" xfId="3" applyFont="1" applyFill="1" applyBorder="1" applyAlignment="1" applyProtection="1">
      <alignment horizontal="center" vertical="center"/>
    </xf>
    <xf numFmtId="0" fontId="121" fillId="22" borderId="0" xfId="0" applyFont="1" applyFill="1" applyAlignment="1" applyProtection="1"/>
    <xf numFmtId="0" fontId="10" fillId="0" borderId="2" xfId="0" applyFont="1" applyFill="1" applyBorder="1" applyAlignment="1" applyProtection="1">
      <alignment horizontal="left"/>
    </xf>
    <xf numFmtId="0" fontId="10" fillId="0" borderId="3" xfId="0" applyFont="1" applyFill="1" applyBorder="1" applyAlignment="1" applyProtection="1">
      <alignment horizontal="left"/>
    </xf>
    <xf numFmtId="0" fontId="10" fillId="0" borderId="4" xfId="0" applyFont="1" applyFill="1" applyBorder="1" applyAlignment="1" applyProtection="1">
      <alignment horizontal="left"/>
    </xf>
    <xf numFmtId="0" fontId="7" fillId="0" borderId="9" xfId="0" applyFont="1" applyFill="1" applyBorder="1" applyProtection="1"/>
    <xf numFmtId="0" fontId="32" fillId="2" borderId="0" xfId="0" applyFont="1" applyFill="1" applyAlignment="1" applyProtection="1"/>
    <xf numFmtId="0" fontId="32" fillId="2" borderId="0" xfId="0" applyNumberFormat="1" applyFont="1" applyFill="1" applyAlignment="1" applyProtection="1"/>
    <xf numFmtId="0" fontId="10" fillId="0" borderId="0" xfId="0" applyFont="1" applyAlignment="1" applyProtection="1">
      <alignment horizontal="center"/>
      <protection hidden="1"/>
    </xf>
    <xf numFmtId="0" fontId="0" fillId="0" borderId="8" xfId="0" applyBorder="1" applyProtection="1">
      <protection hidden="1"/>
    </xf>
    <xf numFmtId="0" fontId="14" fillId="0" borderId="6" xfId="0" applyFont="1" applyBorder="1" applyAlignment="1" applyProtection="1">
      <alignment horizontal="center"/>
      <protection hidden="1"/>
    </xf>
    <xf numFmtId="0" fontId="14" fillId="0" borderId="7" xfId="0" applyFont="1" applyBorder="1" applyAlignment="1" applyProtection="1">
      <alignment horizontal="center"/>
      <protection hidden="1"/>
    </xf>
    <xf numFmtId="0" fontId="14" fillId="0" borderId="10" xfId="0" applyFont="1" applyBorder="1" applyAlignment="1" applyProtection="1">
      <alignment horizontal="right"/>
      <protection hidden="1"/>
    </xf>
    <xf numFmtId="0" fontId="0" fillId="0" borderId="0" xfId="0" applyBorder="1" applyAlignment="1" applyProtection="1">
      <alignment horizontal="center"/>
      <protection hidden="1"/>
    </xf>
    <xf numFmtId="0" fontId="0" fillId="0" borderId="9" xfId="0" applyBorder="1" applyAlignment="1" applyProtection="1">
      <alignment horizontal="center"/>
      <protection hidden="1"/>
    </xf>
    <xf numFmtId="0" fontId="14" fillId="0" borderId="14" xfId="0" applyFont="1" applyBorder="1" applyAlignment="1" applyProtection="1">
      <alignment horizontal="right"/>
      <protection hidden="1"/>
    </xf>
    <xf numFmtId="0" fontId="0" fillId="0" borderId="16" xfId="0" applyBorder="1" applyAlignment="1" applyProtection="1">
      <alignment horizontal="center"/>
      <protection hidden="1"/>
    </xf>
    <xf numFmtId="0" fontId="0" fillId="0" borderId="15" xfId="0" applyBorder="1" applyAlignment="1" applyProtection="1">
      <alignment horizontal="center"/>
      <protection hidden="1"/>
    </xf>
    <xf numFmtId="0" fontId="128" fillId="0" borderId="0" xfId="0" applyFont="1" applyAlignment="1" applyProtection="1">
      <alignment horizontal="left"/>
      <protection hidden="1"/>
    </xf>
    <xf numFmtId="0" fontId="11" fillId="3" borderId="23" xfId="2" applyNumberFormat="1" applyFont="1" applyFill="1" applyBorder="1" applyAlignment="1" applyProtection="1">
      <alignment horizontal="left"/>
      <protection locked="0"/>
    </xf>
    <xf numFmtId="0" fontId="11" fillId="3" borderId="27" xfId="2" applyNumberFormat="1" applyFont="1" applyFill="1" applyBorder="1" applyAlignment="1" applyProtection="1">
      <alignment horizontal="left"/>
      <protection locked="0"/>
    </xf>
    <xf numFmtId="0" fontId="11" fillId="3" borderId="30" xfId="2" applyNumberFormat="1" applyFont="1" applyFill="1" applyBorder="1" applyAlignment="1" applyProtection="1">
      <alignment horizontal="left"/>
      <protection locked="0"/>
    </xf>
    <xf numFmtId="0" fontId="11" fillId="21" borderId="23" xfId="2" applyNumberFormat="1" applyFont="1" applyFill="1" applyBorder="1" applyAlignment="1" applyProtection="1">
      <alignment horizontal="left"/>
      <protection locked="0"/>
    </xf>
    <xf numFmtId="0" fontId="11" fillId="21" borderId="27" xfId="2" applyNumberFormat="1" applyFont="1" applyFill="1" applyBorder="1" applyAlignment="1" applyProtection="1">
      <alignment horizontal="left"/>
      <protection locked="0"/>
    </xf>
    <xf numFmtId="0" fontId="11" fillId="21" borderId="30" xfId="2" applyNumberFormat="1" applyFont="1" applyFill="1" applyBorder="1" applyAlignment="1" applyProtection="1">
      <alignment horizontal="left"/>
      <protection locked="0"/>
    </xf>
    <xf numFmtId="0" fontId="41" fillId="3" borderId="23" xfId="1" applyNumberFormat="1" applyFill="1" applyBorder="1" applyAlignment="1" applyProtection="1">
      <alignment horizontal="left"/>
      <protection locked="0"/>
    </xf>
    <xf numFmtId="0" fontId="14" fillId="4" borderId="56" xfId="0" applyFont="1" applyFill="1" applyBorder="1" applyAlignment="1" applyProtection="1">
      <alignment horizontal="center" vertical="center" wrapText="1"/>
    </xf>
    <xf numFmtId="0" fontId="0" fillId="0" borderId="57" xfId="0" applyBorder="1" applyAlignment="1">
      <alignment wrapText="1"/>
    </xf>
    <xf numFmtId="0" fontId="7" fillId="21" borderId="23" xfId="2" applyNumberFormat="1" applyFont="1" applyFill="1" applyBorder="1" applyAlignment="1" applyProtection="1">
      <alignment horizontal="left"/>
      <protection locked="0"/>
    </xf>
    <xf numFmtId="0" fontId="7" fillId="21" borderId="27" xfId="2" applyNumberFormat="1" applyFont="1" applyFill="1" applyBorder="1" applyAlignment="1" applyProtection="1">
      <alignment horizontal="left"/>
      <protection locked="0"/>
    </xf>
    <xf numFmtId="0" fontId="7" fillId="21" borderId="30" xfId="2" applyNumberFormat="1" applyFont="1" applyFill="1" applyBorder="1" applyAlignment="1" applyProtection="1">
      <alignment horizontal="left"/>
      <protection locked="0"/>
    </xf>
    <xf numFmtId="165" fontId="7" fillId="0" borderId="0" xfId="0" applyNumberFormat="1" applyFont="1" applyAlignment="1" applyProtection="1">
      <alignment horizontal="left"/>
    </xf>
    <xf numFmtId="0" fontId="0" fillId="0" borderId="0" xfId="0"/>
    <xf numFmtId="0" fontId="33" fillId="8" borderId="0" xfId="0" applyFont="1" applyFill="1" applyAlignment="1" applyProtection="1">
      <alignment horizontal="center"/>
      <protection locked="0"/>
    </xf>
    <xf numFmtId="0" fontId="85" fillId="8" borderId="0" xfId="0" applyFont="1" applyFill="1" applyAlignment="1" applyProtection="1">
      <alignment horizontal="center"/>
      <protection locked="0"/>
    </xf>
    <xf numFmtId="0" fontId="14" fillId="8" borderId="0" xfId="0" applyFont="1" applyFill="1" applyAlignment="1" applyProtection="1">
      <alignment horizontal="center"/>
      <protection locked="0"/>
    </xf>
    <xf numFmtId="0" fontId="9" fillId="3" borderId="0" xfId="0" applyFont="1" applyFill="1" applyBorder="1" applyAlignment="1" applyProtection="1">
      <alignment horizontal="left"/>
      <protection locked="0"/>
    </xf>
    <xf numFmtId="0" fontId="15" fillId="3" borderId="0" xfId="0" applyFont="1" applyFill="1" applyBorder="1" applyAlignment="1" applyProtection="1">
      <alignment horizontal="left"/>
      <protection locked="0"/>
    </xf>
    <xf numFmtId="0" fontId="59" fillId="0" borderId="25" xfId="0" applyFont="1" applyBorder="1" applyAlignment="1" applyProtection="1">
      <protection locked="0"/>
    </xf>
    <xf numFmtId="0" fontId="9" fillId="3" borderId="0" xfId="0" applyNumberFormat="1" applyFont="1" applyFill="1" applyBorder="1" applyAlignment="1" applyProtection="1">
      <alignment horizontal="center"/>
      <protection locked="0"/>
    </xf>
    <xf numFmtId="0" fontId="87" fillId="3" borderId="0" xfId="0" applyFont="1" applyFill="1" applyAlignment="1" applyProtection="1">
      <alignment horizontal="center"/>
      <protection locked="0"/>
    </xf>
    <xf numFmtId="0" fontId="94" fillId="3" borderId="0" xfId="0" applyFont="1" applyFill="1" applyAlignment="1" applyProtection="1">
      <alignment horizontal="center"/>
      <protection locked="0"/>
    </xf>
    <xf numFmtId="0" fontId="14" fillId="0" borderId="6" xfId="0" applyFont="1" applyBorder="1" applyAlignment="1">
      <alignment horizontal="center"/>
    </xf>
    <xf numFmtId="0" fontId="14" fillId="0" borderId="7" xfId="0" applyFont="1" applyBorder="1" applyAlignment="1">
      <alignment horizontal="center"/>
    </xf>
    <xf numFmtId="0" fontId="109" fillId="3" borderId="49" xfId="0" applyFont="1" applyFill="1" applyBorder="1" applyAlignment="1" applyProtection="1">
      <alignment horizontal="center"/>
      <protection locked="0"/>
    </xf>
    <xf numFmtId="0" fontId="109" fillId="0" borderId="58" xfId="0" applyFont="1" applyBorder="1" applyAlignment="1" applyProtection="1">
      <alignment horizontal="center"/>
      <protection locked="0"/>
    </xf>
    <xf numFmtId="0" fontId="109" fillId="0" borderId="50" xfId="0" applyFont="1" applyBorder="1" applyAlignment="1" applyProtection="1">
      <alignment horizontal="center"/>
      <protection locked="0"/>
    </xf>
    <xf numFmtId="0" fontId="87" fillId="3" borderId="11" xfId="0" applyFont="1" applyFill="1" applyBorder="1" applyAlignment="1" applyProtection="1">
      <alignment horizontal="center"/>
      <protection locked="0"/>
    </xf>
    <xf numFmtId="0" fontId="0" fillId="3" borderId="11" xfId="0" applyFill="1" applyBorder="1" applyAlignment="1" applyProtection="1">
      <alignment horizontal="center"/>
      <protection locked="0"/>
    </xf>
    <xf numFmtId="0" fontId="10" fillId="0" borderId="8" xfId="0" applyFont="1" applyFill="1" applyBorder="1" applyAlignment="1" applyProtection="1"/>
    <xf numFmtId="0" fontId="0" fillId="0" borderId="6" xfId="0" applyBorder="1" applyAlignment="1"/>
    <xf numFmtId="0" fontId="0" fillId="0" borderId="7" xfId="0" applyBorder="1" applyAlignment="1"/>
    <xf numFmtId="0" fontId="10" fillId="0" borderId="10" xfId="0" applyFont="1" applyFill="1" applyBorder="1" applyAlignment="1" applyProtection="1"/>
    <xf numFmtId="0" fontId="0" fillId="0" borderId="0" xfId="0" applyBorder="1" applyAlignment="1"/>
    <xf numFmtId="0" fontId="0" fillId="0" borderId="9" xfId="0" applyBorder="1" applyAlignment="1"/>
    <xf numFmtId="0" fontId="10" fillId="0" borderId="14" xfId="0" applyFont="1" applyFill="1" applyBorder="1" applyAlignment="1" applyProtection="1"/>
    <xf numFmtId="0" fontId="0" fillId="0" borderId="16" xfId="0" applyBorder="1" applyAlignment="1"/>
    <xf numFmtId="0" fontId="0" fillId="0" borderId="15" xfId="0" applyBorder="1" applyAlignment="1"/>
    <xf numFmtId="0" fontId="11" fillId="3" borderId="23" xfId="0" applyNumberFormat="1" applyFont="1" applyFill="1" applyBorder="1" applyAlignment="1" applyProtection="1">
      <alignment horizontal="left"/>
      <protection locked="0"/>
    </xf>
    <xf numFmtId="0" fontId="11" fillId="3" borderId="27" xfId="0" applyNumberFormat="1" applyFont="1" applyFill="1" applyBorder="1" applyAlignment="1" applyProtection="1">
      <alignment horizontal="left"/>
      <protection locked="0"/>
    </xf>
    <xf numFmtId="0" fontId="11" fillId="3" borderId="30" xfId="0" applyNumberFormat="1" applyFont="1" applyFill="1" applyBorder="1" applyAlignment="1" applyProtection="1">
      <alignment horizontal="left"/>
      <protection locked="0"/>
    </xf>
    <xf numFmtId="0" fontId="123" fillId="21" borderId="20" xfId="0" applyNumberFormat="1" applyFont="1" applyFill="1" applyBorder="1" applyAlignment="1" applyProtection="1">
      <alignment shrinkToFit="1"/>
      <protection locked="0"/>
    </xf>
    <xf numFmtId="0" fontId="123" fillId="21" borderId="17" xfId="0" applyFont="1" applyFill="1" applyBorder="1" applyAlignment="1" applyProtection="1">
      <alignment shrinkToFit="1"/>
      <protection locked="0"/>
    </xf>
    <xf numFmtId="0" fontId="123" fillId="21" borderId="18" xfId="0" applyFont="1" applyFill="1" applyBorder="1" applyAlignment="1" applyProtection="1">
      <alignment shrinkToFit="1"/>
      <protection locked="0"/>
    </xf>
    <xf numFmtId="0" fontId="59" fillId="0" borderId="16" xfId="0" applyFont="1" applyBorder="1" applyAlignment="1" applyProtection="1">
      <protection locked="0"/>
    </xf>
    <xf numFmtId="0" fontId="0" fillId="0" borderId="16" xfId="0" applyBorder="1" applyAlignment="1" applyProtection="1">
      <protection locked="0"/>
    </xf>
    <xf numFmtId="0" fontId="10" fillId="0" borderId="27" xfId="2" applyBorder="1" applyProtection="1">
      <protection locked="0"/>
    </xf>
    <xf numFmtId="0" fontId="10" fillId="0" borderId="30" xfId="2" applyBorder="1" applyProtection="1">
      <protection locked="0"/>
    </xf>
    <xf numFmtId="0" fontId="10" fillId="21" borderId="27" xfId="2" applyFill="1" applyBorder="1" applyProtection="1">
      <protection locked="0"/>
    </xf>
    <xf numFmtId="0" fontId="10" fillId="21" borderId="30" xfId="2" applyFill="1" applyBorder="1" applyProtection="1">
      <protection locked="0"/>
    </xf>
    <xf numFmtId="0" fontId="19" fillId="17" borderId="27" xfId="0" applyNumberFormat="1" applyFont="1" applyFill="1" applyBorder="1" applyAlignment="1" applyProtection="1">
      <alignment horizontal="left"/>
      <protection locked="0"/>
    </xf>
    <xf numFmtId="0" fontId="13" fillId="17" borderId="26" xfId="0" applyNumberFormat="1" applyFont="1" applyFill="1" applyBorder="1" applyAlignment="1" applyProtection="1">
      <alignment horizontal="left"/>
      <protection locked="0"/>
    </xf>
    <xf numFmtId="0" fontId="14" fillId="16" borderId="26" xfId="0" applyFont="1" applyFill="1" applyBorder="1" applyAlignment="1" applyProtection="1">
      <protection locked="0"/>
    </xf>
    <xf numFmtId="0" fontId="13" fillId="17" borderId="27" xfId="0" applyNumberFormat="1" applyFont="1" applyFill="1" applyBorder="1" applyAlignment="1" applyProtection="1">
      <alignment horizontal="left"/>
      <protection locked="0"/>
    </xf>
    <xf numFmtId="0" fontId="14" fillId="16" borderId="27" xfId="0" applyFont="1" applyFill="1" applyBorder="1" applyAlignment="1" applyProtection="1">
      <alignment horizontal="left"/>
      <protection locked="0"/>
    </xf>
    <xf numFmtId="0" fontId="9" fillId="0" borderId="23" xfId="0" applyNumberFormat="1" applyFont="1" applyFill="1" applyBorder="1" applyAlignment="1" applyProtection="1">
      <alignment horizontal="left" shrinkToFit="1"/>
    </xf>
    <xf numFmtId="0" fontId="9" fillId="0" borderId="27" xfId="0" applyNumberFormat="1" applyFont="1" applyFill="1" applyBorder="1" applyAlignment="1" applyProtection="1">
      <alignment horizontal="left" shrinkToFit="1"/>
    </xf>
    <xf numFmtId="0" fontId="9" fillId="0" borderId="30" xfId="0" applyNumberFormat="1" applyFont="1" applyFill="1" applyBorder="1" applyAlignment="1" applyProtection="1">
      <alignment horizontal="left" shrinkToFit="1"/>
    </xf>
    <xf numFmtId="49" fontId="9" fillId="3" borderId="23" xfId="0" applyNumberFormat="1" applyFont="1" applyFill="1" applyBorder="1" applyAlignment="1" applyProtection="1">
      <alignment horizontal="center"/>
      <protection locked="0"/>
    </xf>
    <xf numFmtId="49" fontId="9" fillId="3" borderId="30" xfId="0" applyNumberFormat="1" applyFont="1" applyFill="1" applyBorder="1" applyAlignment="1" applyProtection="1">
      <alignment horizontal="center"/>
      <protection locked="0"/>
    </xf>
    <xf numFmtId="166" fontId="7" fillId="0" borderId="23" xfId="0" applyNumberFormat="1" applyFont="1" applyFill="1" applyBorder="1" applyAlignment="1" applyProtection="1">
      <alignment horizontal="center"/>
    </xf>
    <xf numFmtId="166" fontId="7" fillId="0" borderId="30" xfId="0" applyNumberFormat="1" applyFont="1" applyFill="1" applyBorder="1" applyAlignment="1" applyProtection="1">
      <alignment horizontal="center"/>
    </xf>
    <xf numFmtId="0" fontId="47" fillId="14" borderId="23" xfId="0" applyNumberFormat="1" applyFont="1" applyFill="1" applyBorder="1" applyAlignment="1" applyProtection="1">
      <alignment horizontal="left"/>
      <protection locked="0"/>
    </xf>
    <xf numFmtId="0" fontId="15" fillId="3" borderId="27" xfId="0" applyFont="1" applyFill="1" applyBorder="1" applyAlignment="1" applyProtection="1">
      <protection locked="0"/>
    </xf>
    <xf numFmtId="0" fontId="15" fillId="3" borderId="30" xfId="0" applyFont="1" applyFill="1" applyBorder="1" applyAlignment="1" applyProtection="1">
      <protection locked="0"/>
    </xf>
    <xf numFmtId="0" fontId="24" fillId="3" borderId="23" xfId="0" applyNumberFormat="1" applyFont="1" applyFill="1" applyBorder="1" applyAlignment="1" applyProtection="1">
      <alignment horizontal="left"/>
      <protection locked="0"/>
    </xf>
    <xf numFmtId="0" fontId="24" fillId="3" borderId="27" xfId="0" applyNumberFormat="1" applyFont="1" applyFill="1" applyBorder="1" applyAlignment="1" applyProtection="1">
      <alignment horizontal="left"/>
      <protection locked="0"/>
    </xf>
    <xf numFmtId="0" fontId="15" fillId="3" borderId="27" xfId="0" applyFont="1" applyFill="1" applyBorder="1" applyAlignment="1" applyProtection="1">
      <alignment horizontal="left"/>
      <protection locked="0"/>
    </xf>
    <xf numFmtId="0" fontId="15" fillId="3" borderId="30" xfId="0" applyFont="1" applyFill="1" applyBorder="1" applyAlignment="1" applyProtection="1">
      <alignment horizontal="left"/>
      <protection locked="0"/>
    </xf>
    <xf numFmtId="0" fontId="7" fillId="0" borderId="23" xfId="0" applyFont="1" applyBorder="1" applyAlignment="1" applyProtection="1">
      <alignment horizontal="center"/>
    </xf>
    <xf numFmtId="0" fontId="7" fillId="0" borderId="30" xfId="0" applyFont="1" applyBorder="1" applyAlignment="1" applyProtection="1">
      <alignment horizontal="center"/>
    </xf>
    <xf numFmtId="0" fontId="9" fillId="3" borderId="23" xfId="0" applyNumberFormat="1" applyFont="1" applyFill="1" applyBorder="1" applyAlignment="1" applyProtection="1">
      <alignment horizontal="center"/>
      <protection locked="0"/>
    </xf>
    <xf numFmtId="0" fontId="9" fillId="3" borderId="30" xfId="0" applyNumberFormat="1" applyFont="1" applyFill="1" applyBorder="1" applyAlignment="1" applyProtection="1">
      <alignment horizontal="center"/>
      <protection locked="0"/>
    </xf>
    <xf numFmtId="2" fontId="7" fillId="0" borderId="23" xfId="0" applyNumberFormat="1" applyFont="1" applyBorder="1" applyAlignment="1" applyProtection="1">
      <alignment horizontal="center"/>
      <protection hidden="1"/>
    </xf>
    <xf numFmtId="2" fontId="7" fillId="0" borderId="30" xfId="0" applyNumberFormat="1" applyFont="1" applyBorder="1" applyAlignment="1" applyProtection="1">
      <alignment horizontal="center"/>
      <protection hidden="1"/>
    </xf>
    <xf numFmtId="0" fontId="19" fillId="0" borderId="19" xfId="0" applyFont="1" applyBorder="1" applyAlignment="1" applyProtection="1">
      <alignment horizontal="left"/>
    </xf>
    <xf numFmtId="0" fontId="0" fillId="0" borderId="0" xfId="0" applyBorder="1" applyAlignment="1" applyProtection="1">
      <alignment horizontal="left"/>
    </xf>
    <xf numFmtId="0" fontId="0" fillId="0" borderId="0" xfId="0" applyAlignment="1" applyProtection="1"/>
    <xf numFmtId="0" fontId="9" fillId="3" borderId="0" xfId="0" applyFont="1" applyFill="1" applyAlignment="1" applyProtection="1">
      <protection locked="0"/>
    </xf>
    <xf numFmtId="0" fontId="94" fillId="3" borderId="0" xfId="0" applyFont="1" applyFill="1" applyAlignment="1" applyProtection="1">
      <protection locked="0"/>
    </xf>
    <xf numFmtId="0" fontId="7" fillId="22" borderId="23" xfId="0" applyFont="1" applyFill="1" applyBorder="1" applyAlignment="1" applyProtection="1">
      <alignment horizontal="center"/>
    </xf>
    <xf numFmtId="0" fontId="7" fillId="22" borderId="30" xfId="0" applyFont="1" applyFill="1" applyBorder="1" applyAlignment="1" applyProtection="1">
      <alignment horizontal="center"/>
    </xf>
    <xf numFmtId="0" fontId="9" fillId="22" borderId="23" xfId="0" applyNumberFormat="1" applyFont="1" applyFill="1" applyBorder="1" applyAlignment="1" applyProtection="1">
      <alignment horizontal="left" shrinkToFit="1"/>
    </xf>
    <xf numFmtId="0" fontId="9" fillId="22" borderId="27" xfId="0" applyNumberFormat="1" applyFont="1" applyFill="1" applyBorder="1" applyAlignment="1" applyProtection="1">
      <alignment horizontal="left" shrinkToFit="1"/>
    </xf>
    <xf numFmtId="0" fontId="9" fillId="22" borderId="30" xfId="0" applyNumberFormat="1" applyFont="1" applyFill="1" applyBorder="1" applyAlignment="1" applyProtection="1">
      <alignment horizontal="left" shrinkToFit="1"/>
    </xf>
    <xf numFmtId="0" fontId="53" fillId="0" borderId="29" xfId="0" applyFont="1" applyBorder="1" applyAlignment="1" applyProtection="1">
      <alignment horizontal="center"/>
    </xf>
    <xf numFmtId="0" fontId="20" fillId="0" borderId="29" xfId="0" applyFont="1" applyBorder="1" applyAlignment="1" applyProtection="1">
      <alignment horizontal="center"/>
    </xf>
    <xf numFmtId="0" fontId="7" fillId="0" borderId="22" xfId="0" applyFont="1" applyBorder="1" applyAlignment="1" applyProtection="1">
      <alignment horizontal="center"/>
    </xf>
    <xf numFmtId="0" fontId="9" fillId="3" borderId="59" xfId="0" applyNumberFormat="1" applyFont="1" applyFill="1" applyBorder="1" applyAlignment="1" applyProtection="1">
      <alignment horizontal="center"/>
      <protection locked="0"/>
    </xf>
    <xf numFmtId="0" fontId="9" fillId="3" borderId="61" xfId="0" applyNumberFormat="1" applyFont="1" applyFill="1" applyBorder="1" applyAlignment="1" applyProtection="1">
      <alignment horizontal="center"/>
      <protection locked="0"/>
    </xf>
    <xf numFmtId="49" fontId="9" fillId="3" borderId="22" xfId="0" applyNumberFormat="1" applyFont="1" applyFill="1" applyBorder="1" applyAlignment="1" applyProtection="1">
      <alignment horizontal="center"/>
      <protection locked="0"/>
    </xf>
    <xf numFmtId="166" fontId="7" fillId="0" borderId="116" xfId="0" applyNumberFormat="1" applyFont="1" applyFill="1" applyBorder="1" applyAlignment="1" applyProtection="1">
      <alignment horizontal="center"/>
    </xf>
    <xf numFmtId="166" fontId="7" fillId="0" borderId="117" xfId="0" applyNumberFormat="1" applyFont="1" applyFill="1" applyBorder="1" applyAlignment="1" applyProtection="1">
      <alignment horizontal="center"/>
    </xf>
    <xf numFmtId="2" fontId="7" fillId="0" borderId="59" xfId="0" applyNumberFormat="1" applyFont="1" applyBorder="1" applyAlignment="1" applyProtection="1">
      <alignment horizontal="center"/>
      <protection hidden="1"/>
    </xf>
    <xf numFmtId="2" fontId="7" fillId="0" borderId="61" xfId="0" applyNumberFormat="1" applyFont="1" applyBorder="1" applyAlignment="1" applyProtection="1">
      <alignment horizontal="center"/>
      <protection hidden="1"/>
    </xf>
    <xf numFmtId="0" fontId="36" fillId="0" borderId="29" xfId="0" applyFont="1" applyBorder="1" applyAlignment="1" applyProtection="1">
      <alignment horizontal="center" wrapText="1"/>
    </xf>
    <xf numFmtId="0" fontId="0" fillId="0" borderId="29" xfId="0" applyBorder="1" applyAlignment="1">
      <alignment horizontal="center"/>
    </xf>
    <xf numFmtId="0" fontId="53" fillId="0" borderId="49" xfId="0" applyFont="1" applyBorder="1" applyAlignment="1" applyProtection="1">
      <alignment horizontal="center"/>
    </xf>
    <xf numFmtId="0" fontId="0" fillId="0" borderId="58" xfId="0" applyBorder="1" applyAlignment="1" applyProtection="1">
      <alignment horizontal="center"/>
    </xf>
    <xf numFmtId="0" fontId="0" fillId="0" borderId="58" xfId="0" applyBorder="1" applyAlignment="1"/>
    <xf numFmtId="0" fontId="0" fillId="0" borderId="50" xfId="0" applyBorder="1" applyAlignment="1"/>
    <xf numFmtId="0" fontId="9" fillId="0" borderId="51" xfId="0" applyNumberFormat="1" applyFont="1" applyFill="1" applyBorder="1" applyAlignment="1" applyProtection="1">
      <alignment horizontal="left" shrinkToFit="1"/>
    </xf>
    <xf numFmtId="0" fontId="9" fillId="0" borderId="26" xfId="0" applyNumberFormat="1" applyFont="1" applyFill="1" applyBorder="1" applyAlignment="1" applyProtection="1">
      <alignment horizontal="left" shrinkToFit="1"/>
    </xf>
    <xf numFmtId="0" fontId="9" fillId="0" borderId="98" xfId="0" applyNumberFormat="1" applyFont="1" applyFill="1" applyBorder="1" applyAlignment="1" applyProtection="1">
      <alignment horizontal="left" shrinkToFit="1"/>
    </xf>
    <xf numFmtId="0" fontId="9" fillId="3" borderId="0" xfId="0" applyFont="1" applyFill="1" applyBorder="1" applyAlignment="1" applyProtection="1">
      <alignment horizontal="center"/>
      <protection locked="0"/>
    </xf>
    <xf numFmtId="0" fontId="34" fillId="3" borderId="13" xfId="0" applyFont="1" applyFill="1" applyBorder="1" applyAlignment="1" applyProtection="1">
      <alignment horizontal="center"/>
      <protection locked="0"/>
    </xf>
    <xf numFmtId="0" fontId="34" fillId="3" borderId="0" xfId="0" applyFont="1" applyFill="1" applyBorder="1" applyAlignment="1" applyProtection="1">
      <alignment horizontal="center"/>
      <protection locked="0"/>
    </xf>
    <xf numFmtId="0" fontId="9" fillId="3" borderId="11" xfId="0" applyFont="1" applyFill="1" applyBorder="1" applyAlignment="1" applyProtection="1">
      <alignment horizontal="center"/>
      <protection locked="0"/>
    </xf>
    <xf numFmtId="0" fontId="0" fillId="0" borderId="11" xfId="0" applyBorder="1" applyAlignment="1" applyProtection="1">
      <alignment horizontal="center"/>
      <protection locked="0"/>
    </xf>
    <xf numFmtId="0" fontId="34" fillId="3" borderId="12" xfId="0" applyFont="1" applyFill="1" applyBorder="1" applyAlignment="1" applyProtection="1">
      <alignment horizontal="center"/>
      <protection locked="0"/>
    </xf>
    <xf numFmtId="0" fontId="19" fillId="0" borderId="20" xfId="0" applyFont="1" applyBorder="1" applyAlignment="1" applyProtection="1">
      <alignment horizontal="left"/>
    </xf>
    <xf numFmtId="0" fontId="0" fillId="0" borderId="17" xfId="0" applyBorder="1" applyAlignment="1"/>
    <xf numFmtId="0" fontId="9" fillId="3" borderId="17" xfId="0" applyFont="1" applyFill="1" applyBorder="1" applyAlignment="1" applyProtection="1">
      <alignment horizontal="center"/>
      <protection locked="0"/>
    </xf>
    <xf numFmtId="0" fontId="19" fillId="0" borderId="24" xfId="0" applyFont="1" applyBorder="1" applyAlignment="1" applyProtection="1">
      <alignment horizontal="left"/>
    </xf>
    <xf numFmtId="0" fontId="0" fillId="0" borderId="11" xfId="0" applyBorder="1" applyAlignment="1" applyProtection="1">
      <alignment horizontal="left"/>
    </xf>
    <xf numFmtId="0" fontId="19" fillId="0" borderId="11" xfId="0" applyFont="1" applyBorder="1" applyAlignment="1" applyProtection="1">
      <alignment horizontal="right"/>
    </xf>
    <xf numFmtId="0" fontId="9" fillId="3" borderId="0" xfId="0" applyFont="1" applyFill="1" applyAlignment="1" applyProtection="1">
      <alignment horizontal="center"/>
      <protection locked="0"/>
    </xf>
    <xf numFmtId="0" fontId="9" fillId="3" borderId="11" xfId="0" applyFont="1" applyFill="1" applyBorder="1" applyAlignment="1" applyProtection="1">
      <alignment horizontal="left"/>
      <protection locked="0"/>
    </xf>
    <xf numFmtId="0" fontId="0" fillId="0" borderId="11" xfId="0" applyBorder="1" applyAlignment="1" applyProtection="1">
      <alignment horizontal="left"/>
      <protection locked="0"/>
    </xf>
    <xf numFmtId="0" fontId="0" fillId="0" borderId="0" xfId="0" applyBorder="1" applyAlignment="1" applyProtection="1">
      <alignment horizontal="left"/>
      <protection locked="0"/>
    </xf>
    <xf numFmtId="0" fontId="0" fillId="0" borderId="0" xfId="0" applyAlignment="1" applyProtection="1">
      <alignment horizontal="center"/>
      <protection locked="0"/>
    </xf>
    <xf numFmtId="0" fontId="39" fillId="0" borderId="0" xfId="0" applyFont="1" applyBorder="1" applyAlignment="1" applyProtection="1">
      <alignment horizontal="center"/>
    </xf>
    <xf numFmtId="0" fontId="40" fillId="0" borderId="0" xfId="0" applyFont="1" applyAlignment="1">
      <alignment horizontal="center"/>
    </xf>
    <xf numFmtId="0" fontId="0" fillId="0" borderId="0" xfId="0" applyProtection="1">
      <protection locked="0"/>
    </xf>
    <xf numFmtId="0" fontId="126" fillId="21" borderId="19" xfId="0" applyFont="1" applyFill="1" applyBorder="1" applyAlignment="1" applyProtection="1">
      <alignment horizontal="center"/>
      <protection locked="0"/>
    </xf>
    <xf numFmtId="0" fontId="123" fillId="21" borderId="0" xfId="0" applyFont="1" applyFill="1" applyBorder="1" applyAlignment="1" applyProtection="1">
      <alignment horizontal="center"/>
      <protection locked="0"/>
    </xf>
    <xf numFmtId="0" fontId="126" fillId="21" borderId="17" xfId="0" applyFont="1" applyFill="1" applyBorder="1" applyAlignment="1" applyProtection="1">
      <protection locked="0"/>
    </xf>
    <xf numFmtId="0" fontId="128" fillId="21" borderId="17" xfId="0" applyFont="1" applyFill="1" applyBorder="1" applyAlignment="1" applyProtection="1">
      <protection locked="0"/>
    </xf>
    <xf numFmtId="0" fontId="7" fillId="15" borderId="38" xfId="0" applyFont="1" applyFill="1" applyBorder="1" applyAlignment="1" applyProtection="1">
      <alignment horizontal="left" wrapText="1"/>
      <protection hidden="1"/>
    </xf>
    <xf numFmtId="0" fontId="7" fillId="15" borderId="43" xfId="0" applyFont="1" applyFill="1" applyBorder="1" applyAlignment="1" applyProtection="1">
      <alignment horizontal="left"/>
      <protection hidden="1"/>
    </xf>
    <xf numFmtId="0" fontId="7" fillId="15" borderId="53" xfId="0" applyFont="1" applyFill="1" applyBorder="1" applyAlignment="1" applyProtection="1">
      <alignment horizontal="left"/>
      <protection hidden="1"/>
    </xf>
    <xf numFmtId="0" fontId="7" fillId="16" borderId="10" xfId="0" applyFont="1" applyFill="1" applyBorder="1" applyAlignment="1" applyProtection="1">
      <alignment horizontal="center" wrapText="1"/>
      <protection hidden="1"/>
    </xf>
    <xf numFmtId="0" fontId="0" fillId="16" borderId="14" xfId="0" applyFill="1" applyBorder="1" applyAlignment="1" applyProtection="1">
      <alignment horizontal="center" wrapText="1"/>
      <protection hidden="1"/>
    </xf>
    <xf numFmtId="0" fontId="7" fillId="16" borderId="52" xfId="0" applyFont="1" applyFill="1" applyBorder="1" applyAlignment="1" applyProtection="1">
      <alignment horizontal="center"/>
      <protection hidden="1"/>
    </xf>
    <xf numFmtId="0" fontId="0" fillId="16" borderId="66" xfId="0" applyFill="1" applyBorder="1" applyAlignment="1" applyProtection="1">
      <alignment horizontal="center"/>
      <protection hidden="1"/>
    </xf>
    <xf numFmtId="0" fontId="7" fillId="16" borderId="52" xfId="0" applyFont="1" applyFill="1" applyBorder="1" applyAlignment="1" applyProtection="1">
      <alignment horizontal="center" wrapText="1"/>
      <protection hidden="1"/>
    </xf>
    <xf numFmtId="0" fontId="7" fillId="16" borderId="38" xfId="0" applyFont="1" applyFill="1" applyBorder="1" applyAlignment="1" applyProtection="1">
      <alignment horizontal="center" wrapText="1"/>
      <protection hidden="1"/>
    </xf>
    <xf numFmtId="0" fontId="0" fillId="16" borderId="43" xfId="0" applyFill="1" applyBorder="1" applyAlignment="1" applyProtection="1">
      <alignment horizontal="center"/>
      <protection hidden="1"/>
    </xf>
    <xf numFmtId="0" fontId="7" fillId="15" borderId="38" xfId="0" applyFont="1" applyFill="1" applyBorder="1" applyAlignment="1" applyProtection="1">
      <alignment horizontal="center" wrapText="1"/>
      <protection hidden="1"/>
    </xf>
    <xf numFmtId="0" fontId="0" fillId="15" borderId="43" xfId="0" applyFill="1" applyBorder="1" applyAlignment="1" applyProtection="1">
      <alignment horizontal="center"/>
      <protection hidden="1"/>
    </xf>
    <xf numFmtId="0" fontId="0" fillId="15" borderId="67" xfId="0" applyFill="1" applyBorder="1" applyAlignment="1" applyProtection="1">
      <alignment horizontal="center"/>
      <protection hidden="1"/>
    </xf>
    <xf numFmtId="0" fontId="19" fillId="15" borderId="24" xfId="0" applyFont="1" applyFill="1" applyBorder="1" applyAlignment="1" applyProtection="1">
      <alignment horizontal="center" wrapText="1"/>
      <protection hidden="1"/>
    </xf>
    <xf numFmtId="0" fontId="19" fillId="15" borderId="12" xfId="0" applyFont="1" applyFill="1" applyBorder="1" applyAlignment="1" applyProtection="1">
      <alignment horizontal="center" wrapText="1"/>
      <protection hidden="1"/>
    </xf>
    <xf numFmtId="0" fontId="19" fillId="15" borderId="11" xfId="0" applyFont="1" applyFill="1" applyBorder="1" applyAlignment="1" applyProtection="1">
      <alignment horizontal="center"/>
      <protection hidden="1"/>
    </xf>
    <xf numFmtId="0" fontId="20" fillId="15" borderId="11" xfId="0" applyFont="1" applyFill="1" applyBorder="1" applyAlignment="1" applyProtection="1">
      <alignment horizontal="center"/>
      <protection hidden="1"/>
    </xf>
    <xf numFmtId="0" fontId="7" fillId="15" borderId="68" xfId="0" applyFont="1" applyFill="1" applyBorder="1" applyAlignment="1" applyProtection="1">
      <alignment horizontal="center" wrapText="1"/>
      <protection hidden="1"/>
    </xf>
    <xf numFmtId="0" fontId="0" fillId="15" borderId="69" xfId="0" applyFill="1" applyBorder="1" applyAlignment="1" applyProtection="1">
      <alignment horizontal="center"/>
      <protection hidden="1"/>
    </xf>
    <xf numFmtId="0" fontId="19" fillId="16" borderId="24" xfId="0" applyFont="1" applyFill="1" applyBorder="1" applyAlignment="1" applyProtection="1">
      <alignment horizontal="center"/>
      <protection hidden="1"/>
    </xf>
    <xf numFmtId="0" fontId="0" fillId="16" borderId="11" xfId="0" applyFill="1" applyBorder="1" applyAlignment="1" applyProtection="1">
      <alignment horizontal="center"/>
      <protection hidden="1"/>
    </xf>
    <xf numFmtId="0" fontId="0" fillId="16" borderId="12" xfId="0" applyFill="1" applyBorder="1" applyAlignment="1" applyProtection="1">
      <alignment horizontal="center"/>
      <protection hidden="1"/>
    </xf>
    <xf numFmtId="0" fontId="7" fillId="15" borderId="52" xfId="0" applyFont="1" applyFill="1" applyBorder="1" applyAlignment="1" applyProtection="1">
      <alignment horizontal="center"/>
      <protection hidden="1"/>
    </xf>
    <xf numFmtId="0" fontId="0" fillId="15" borderId="65" xfId="0" applyFill="1" applyBorder="1" applyAlignment="1" applyProtection="1">
      <alignment horizontal="center"/>
      <protection hidden="1"/>
    </xf>
    <xf numFmtId="0" fontId="7" fillId="15" borderId="69" xfId="0" applyFont="1" applyFill="1" applyBorder="1" applyAlignment="1" applyProtection="1">
      <alignment horizontal="center" wrapText="1"/>
      <protection hidden="1"/>
    </xf>
    <xf numFmtId="0" fontId="7" fillId="15" borderId="63" xfId="0" applyFont="1" applyFill="1" applyBorder="1" applyAlignment="1" applyProtection="1">
      <alignment horizontal="center"/>
      <protection hidden="1"/>
    </xf>
    <xf numFmtId="0" fontId="7" fillId="15" borderId="64" xfId="0" applyFont="1" applyFill="1" applyBorder="1" applyAlignment="1" applyProtection="1">
      <alignment horizontal="center"/>
      <protection hidden="1"/>
    </xf>
    <xf numFmtId="0" fontId="0" fillId="16" borderId="62" xfId="0" applyFill="1" applyBorder="1" applyAlignment="1" applyProtection="1">
      <alignment horizontal="center"/>
      <protection hidden="1"/>
    </xf>
    <xf numFmtId="0" fontId="18" fillId="16" borderId="19" xfId="0" applyFont="1" applyFill="1" applyBorder="1" applyAlignment="1" applyProtection="1">
      <alignment horizontal="center" wrapText="1"/>
      <protection hidden="1"/>
    </xf>
    <xf numFmtId="0" fontId="57" fillId="16" borderId="9" xfId="0" applyFont="1" applyFill="1" applyBorder="1" applyAlignment="1" applyProtection="1">
      <alignment horizontal="center" wrapText="1"/>
      <protection hidden="1"/>
    </xf>
    <xf numFmtId="0" fontId="57" fillId="16" borderId="70" xfId="0" applyFont="1" applyFill="1" applyBorder="1" applyAlignment="1" applyProtection="1">
      <alignment horizontal="center" wrapText="1"/>
      <protection hidden="1"/>
    </xf>
    <xf numFmtId="0" fontId="57" fillId="16" borderId="15" xfId="0" applyFont="1" applyFill="1" applyBorder="1" applyAlignment="1" applyProtection="1">
      <alignment horizontal="center" wrapText="1"/>
      <protection hidden="1"/>
    </xf>
    <xf numFmtId="0" fontId="18" fillId="16" borderId="3" xfId="0" applyFont="1" applyFill="1" applyBorder="1" applyAlignment="1" applyProtection="1">
      <alignment horizontal="center" wrapText="1"/>
      <protection hidden="1"/>
    </xf>
    <xf numFmtId="0" fontId="0" fillId="16" borderId="4" xfId="0" applyFill="1" applyBorder="1" applyAlignment="1" applyProtection="1">
      <alignment horizontal="center"/>
      <protection hidden="1"/>
    </xf>
    <xf numFmtId="0" fontId="7" fillId="16" borderId="3" xfId="0" applyFont="1" applyFill="1" applyBorder="1" applyAlignment="1" applyProtection="1">
      <alignment horizontal="center" wrapText="1"/>
      <protection hidden="1"/>
    </xf>
    <xf numFmtId="0" fontId="7" fillId="16" borderId="71" xfId="0" applyFont="1" applyFill="1" applyBorder="1" applyAlignment="1" applyProtection="1">
      <alignment horizontal="center" wrapText="1"/>
      <protection hidden="1"/>
    </xf>
    <xf numFmtId="0" fontId="0" fillId="16" borderId="72" xfId="0" applyFill="1" applyBorder="1" applyAlignment="1" applyProtection="1">
      <alignment horizontal="center"/>
      <protection hidden="1"/>
    </xf>
    <xf numFmtId="0" fontId="7" fillId="16" borderId="38" xfId="0" applyFont="1" applyFill="1" applyBorder="1" applyAlignment="1" applyProtection="1">
      <alignment horizontal="center"/>
      <protection hidden="1"/>
    </xf>
    <xf numFmtId="0" fontId="19" fillId="7" borderId="49" xfId="0" applyFont="1" applyFill="1" applyBorder="1" applyAlignment="1" applyProtection="1">
      <alignment horizontal="center" wrapText="1"/>
      <protection hidden="1"/>
    </xf>
    <xf numFmtId="0" fontId="20" fillId="7" borderId="58" xfId="0" applyFont="1" applyFill="1" applyBorder="1" applyAlignment="1" applyProtection="1">
      <alignment horizontal="center"/>
      <protection hidden="1"/>
    </xf>
    <xf numFmtId="0" fontId="20" fillId="7" borderId="50" xfId="0" applyFont="1" applyFill="1" applyBorder="1" applyAlignment="1" applyProtection="1">
      <alignment horizontal="center"/>
      <protection hidden="1"/>
    </xf>
    <xf numFmtId="0" fontId="12" fillId="16" borderId="38" xfId="0" applyFont="1" applyFill="1" applyBorder="1" applyAlignment="1" applyProtection="1">
      <alignment horizontal="center" vertical="center" wrapText="1"/>
      <protection hidden="1"/>
    </xf>
    <xf numFmtId="0" fontId="28" fillId="16" borderId="43" xfId="0" applyFont="1" applyFill="1" applyBorder="1" applyAlignment="1" applyProtection="1">
      <alignment horizontal="center" vertical="center"/>
      <protection hidden="1"/>
    </xf>
    <xf numFmtId="0" fontId="28" fillId="16" borderId="53" xfId="0" applyFont="1" applyFill="1" applyBorder="1" applyAlignment="1" applyProtection="1">
      <alignment horizontal="center" vertical="center"/>
      <protection hidden="1"/>
    </xf>
    <xf numFmtId="0" fontId="7" fillId="16" borderId="38" xfId="0" applyFont="1" applyFill="1" applyBorder="1" applyAlignment="1" applyProtection="1">
      <alignment horizontal="center" vertical="center" textRotation="90" wrapText="1"/>
      <protection hidden="1"/>
    </xf>
    <xf numFmtId="0" fontId="10" fillId="16" borderId="43" xfId="0" applyFont="1" applyFill="1" applyBorder="1" applyAlignment="1" applyProtection="1">
      <alignment horizontal="center" vertical="center" textRotation="90"/>
      <protection hidden="1"/>
    </xf>
    <xf numFmtId="0" fontId="10" fillId="16" borderId="62" xfId="0" applyFont="1" applyFill="1" applyBorder="1" applyAlignment="1" applyProtection="1">
      <alignment horizontal="center" vertical="center" textRotation="90"/>
      <protection hidden="1"/>
    </xf>
    <xf numFmtId="0" fontId="7" fillId="16" borderId="38" xfId="0" applyFont="1" applyFill="1" applyBorder="1" applyAlignment="1" applyProtection="1">
      <alignment horizontal="center" vertical="center" wrapText="1"/>
      <protection hidden="1"/>
    </xf>
    <xf numFmtId="0" fontId="0" fillId="16" borderId="43" xfId="0" applyFill="1" applyBorder="1" applyAlignment="1" applyProtection="1">
      <alignment horizontal="center" vertical="center"/>
      <protection hidden="1"/>
    </xf>
    <xf numFmtId="0" fontId="0" fillId="16" borderId="62" xfId="0" applyFill="1" applyBorder="1" applyAlignment="1" applyProtection="1">
      <alignment horizontal="center" vertical="center"/>
      <protection hidden="1"/>
    </xf>
    <xf numFmtId="1" fontId="18" fillId="16" borderId="24" xfId="0" applyNumberFormat="1" applyFont="1" applyFill="1" applyBorder="1" applyAlignment="1" applyProtection="1">
      <alignment horizontal="center" wrapText="1"/>
      <protection hidden="1"/>
    </xf>
    <xf numFmtId="1" fontId="57" fillId="16" borderId="12" xfId="0" applyNumberFormat="1" applyFont="1" applyFill="1" applyBorder="1" applyAlignment="1" applyProtection="1">
      <alignment horizontal="center"/>
      <protection hidden="1"/>
    </xf>
    <xf numFmtId="1" fontId="57" fillId="16" borderId="19" xfId="0" applyNumberFormat="1" applyFont="1" applyFill="1" applyBorder="1" applyAlignment="1" applyProtection="1">
      <alignment horizontal="center"/>
      <protection hidden="1"/>
    </xf>
    <xf numFmtId="1" fontId="57" fillId="16" borderId="13" xfId="0" applyNumberFormat="1" applyFont="1" applyFill="1" applyBorder="1" applyAlignment="1" applyProtection="1">
      <alignment horizontal="center"/>
      <protection hidden="1"/>
    </xf>
    <xf numFmtId="0" fontId="7" fillId="16" borderId="24" xfId="0" applyFont="1" applyFill="1" applyBorder="1" applyAlignment="1" applyProtection="1">
      <alignment horizontal="center"/>
      <protection hidden="1"/>
    </xf>
    <xf numFmtId="0" fontId="10" fillId="16" borderId="43" xfId="0" applyFont="1" applyFill="1" applyBorder="1" applyAlignment="1" applyProtection="1">
      <alignment horizontal="center"/>
      <protection hidden="1"/>
    </xf>
    <xf numFmtId="0" fontId="10" fillId="16" borderId="62" xfId="0" applyFont="1" applyFill="1" applyBorder="1" applyAlignment="1" applyProtection="1">
      <alignment horizontal="center"/>
      <protection hidden="1"/>
    </xf>
    <xf numFmtId="0" fontId="7" fillId="15" borderId="19" xfId="0" applyFont="1" applyFill="1" applyBorder="1" applyAlignment="1" applyProtection="1">
      <alignment horizontal="center"/>
      <protection hidden="1"/>
    </xf>
    <xf numFmtId="0" fontId="0" fillId="15" borderId="20" xfId="0" applyFill="1" applyBorder="1" applyAlignment="1" applyProtection="1">
      <alignment horizontal="center"/>
      <protection hidden="1"/>
    </xf>
    <xf numFmtId="0" fontId="7" fillId="15" borderId="52" xfId="0" applyFont="1" applyFill="1" applyBorder="1" applyAlignment="1" applyProtection="1">
      <alignment horizontal="center" wrapText="1"/>
      <protection hidden="1"/>
    </xf>
    <xf numFmtId="0" fontId="7" fillId="15" borderId="65" xfId="0" applyFont="1" applyFill="1" applyBorder="1" applyAlignment="1" applyProtection="1">
      <alignment horizontal="center" wrapText="1"/>
      <protection hidden="1"/>
    </xf>
    <xf numFmtId="0" fontId="7" fillId="16" borderId="38" xfId="0" applyFont="1" applyFill="1" applyBorder="1" applyAlignment="1" applyProtection="1">
      <alignment horizontal="left" wrapText="1"/>
      <protection hidden="1"/>
    </xf>
    <xf numFmtId="0" fontId="7" fillId="16" borderId="43" xfId="0" applyFont="1" applyFill="1" applyBorder="1" applyAlignment="1" applyProtection="1">
      <alignment horizontal="left"/>
      <protection hidden="1"/>
    </xf>
    <xf numFmtId="0" fontId="7" fillId="16" borderId="62" xfId="0" applyFont="1" applyFill="1" applyBorder="1" applyAlignment="1" applyProtection="1">
      <alignment horizontal="left"/>
      <protection hidden="1"/>
    </xf>
    <xf numFmtId="0" fontId="7" fillId="16" borderId="68" xfId="0" applyFont="1" applyFill="1" applyBorder="1" applyAlignment="1" applyProtection="1">
      <alignment horizontal="center" wrapText="1"/>
      <protection hidden="1"/>
    </xf>
    <xf numFmtId="0" fontId="7" fillId="16" borderId="124" xfId="0" applyFont="1" applyFill="1" applyBorder="1" applyAlignment="1" applyProtection="1">
      <alignment horizontal="center" wrapText="1"/>
      <protection hidden="1"/>
    </xf>
    <xf numFmtId="0" fontId="14" fillId="0" borderId="0" xfId="2" applyFont="1" applyAlignment="1">
      <alignment horizontal="center"/>
    </xf>
    <xf numFmtId="0" fontId="14" fillId="4" borderId="49" xfId="2" applyFont="1" applyFill="1" applyBorder="1" applyAlignment="1">
      <alignment horizontal="center" vertical="center"/>
    </xf>
    <xf numFmtId="0" fontId="10" fillId="0" borderId="58" xfId="0" applyFont="1" applyBorder="1" applyAlignment="1">
      <alignment horizontal="center" vertical="center"/>
    </xf>
    <xf numFmtId="0" fontId="10" fillId="0" borderId="50" xfId="0" applyFont="1" applyBorder="1" applyAlignment="1">
      <alignment horizontal="center" vertical="center"/>
    </xf>
    <xf numFmtId="0" fontId="10" fillId="0" borderId="73" xfId="2" applyFont="1" applyBorder="1" applyAlignment="1" applyProtection="1">
      <alignment horizontal="center" vertical="center" wrapText="1"/>
    </xf>
    <xf numFmtId="0" fontId="10" fillId="0" borderId="74" xfId="2" applyBorder="1" applyAlignment="1" applyProtection="1">
      <alignment horizontal="center" vertical="center"/>
    </xf>
    <xf numFmtId="0" fontId="0" fillId="0" borderId="75" xfId="0" applyBorder="1" applyAlignment="1"/>
    <xf numFmtId="0" fontId="14" fillId="8" borderId="17" xfId="2" applyFont="1" applyFill="1" applyBorder="1" applyAlignment="1" applyProtection="1">
      <alignment horizontal="center"/>
    </xf>
    <xf numFmtId="0" fontId="0" fillId="8" borderId="17" xfId="0" applyFill="1" applyBorder="1" applyAlignment="1"/>
    <xf numFmtId="0" fontId="14" fillId="0" borderId="11" xfId="0" applyFont="1" applyBorder="1" applyAlignment="1" applyProtection="1">
      <alignment horizontal="center"/>
    </xf>
    <xf numFmtId="0" fontId="14" fillId="0" borderId="0" xfId="0" applyFont="1" applyAlignment="1" applyProtection="1">
      <alignment horizontal="center"/>
    </xf>
    <xf numFmtId="0" fontId="14" fillId="8" borderId="0" xfId="2" applyFont="1" applyFill="1" applyAlignment="1" applyProtection="1">
      <alignment horizontal="center"/>
    </xf>
    <xf numFmtId="0" fontId="14" fillId="8" borderId="0" xfId="0" applyFont="1" applyFill="1" applyAlignment="1" applyProtection="1">
      <alignment horizontal="center"/>
    </xf>
    <xf numFmtId="0" fontId="14" fillId="4" borderId="19" xfId="0" applyFont="1" applyFill="1" applyBorder="1" applyAlignment="1" applyProtection="1">
      <alignment horizontal="center" vertical="center"/>
    </xf>
    <xf numFmtId="0" fontId="0" fillId="0" borderId="0" xfId="0" applyBorder="1"/>
    <xf numFmtId="0" fontId="0" fillId="0" borderId="13" xfId="0" applyBorder="1"/>
    <xf numFmtId="0" fontId="14" fillId="4" borderId="24" xfId="0" applyFont="1" applyFill="1" applyBorder="1" applyAlignment="1" applyProtection="1">
      <alignment horizontal="center" vertical="center"/>
    </xf>
    <xf numFmtId="0" fontId="0" fillId="0" borderId="11" xfId="0" applyBorder="1" applyAlignment="1"/>
    <xf numFmtId="0" fontId="0" fillId="0" borderId="12" xfId="0" applyBorder="1" applyAlignment="1"/>
    <xf numFmtId="0" fontId="135" fillId="0" borderId="0" xfId="2" applyFont="1" applyAlignment="1" applyProtection="1">
      <alignment horizontal="center" vertical="top" textRotation="90"/>
    </xf>
    <xf numFmtId="0" fontId="135" fillId="0" borderId="0" xfId="0" applyFont="1" applyAlignment="1">
      <alignment vertical="top"/>
    </xf>
    <xf numFmtId="0" fontId="10" fillId="0" borderId="8" xfId="2" applyFont="1" applyBorder="1" applyAlignment="1">
      <alignment horizontal="center"/>
    </xf>
    <xf numFmtId="0" fontId="0" fillId="0" borderId="7" xfId="0" applyBorder="1" applyAlignment="1">
      <alignment horizontal="center"/>
    </xf>
    <xf numFmtId="0" fontId="10" fillId="0" borderId="118" xfId="2" applyFont="1" applyBorder="1" applyAlignment="1" applyProtection="1">
      <alignment horizontal="center" vertical="center" wrapText="1"/>
    </xf>
    <xf numFmtId="0" fontId="10" fillId="0" borderId="119" xfId="2" applyFont="1" applyBorder="1" applyAlignment="1" applyProtection="1">
      <alignment horizontal="center" vertical="center"/>
    </xf>
    <xf numFmtId="0" fontId="10" fillId="0" borderId="120" xfId="0" applyFont="1" applyBorder="1" applyAlignment="1"/>
    <xf numFmtId="0" fontId="10" fillId="0" borderId="110" xfId="2" applyFont="1" applyBorder="1" applyAlignment="1" applyProtection="1">
      <alignment horizontal="center" vertical="center" wrapText="1"/>
    </xf>
    <xf numFmtId="0" fontId="10" fillId="0" borderId="111" xfId="2" applyFont="1" applyBorder="1" applyAlignment="1" applyProtection="1">
      <alignment horizontal="center" vertical="center"/>
    </xf>
    <xf numFmtId="0" fontId="10" fillId="0" borderId="112" xfId="0" applyFont="1" applyBorder="1" applyAlignment="1"/>
    <xf numFmtId="0" fontId="10" fillId="0" borderId="121" xfId="2" applyFont="1" applyBorder="1" applyAlignment="1" applyProtection="1">
      <alignment horizontal="center" vertical="center" wrapText="1"/>
    </xf>
    <xf numFmtId="0" fontId="10" fillId="0" borderId="122" xfId="2" applyFont="1" applyBorder="1" applyAlignment="1" applyProtection="1">
      <alignment horizontal="center" vertical="center"/>
    </xf>
    <xf numFmtId="0" fontId="10" fillId="0" borderId="123" xfId="0" applyFont="1" applyBorder="1" applyAlignment="1"/>
    <xf numFmtId="0" fontId="14" fillId="4" borderId="58"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9" xfId="0" applyFont="1" applyFill="1" applyBorder="1" applyAlignment="1" applyProtection="1">
      <alignment horizontal="center" vertical="center"/>
    </xf>
    <xf numFmtId="0" fontId="10" fillId="4" borderId="58" xfId="0" applyFont="1" applyFill="1" applyBorder="1" applyAlignment="1">
      <alignment horizontal="center" vertical="center"/>
    </xf>
    <xf numFmtId="0" fontId="10" fillId="4" borderId="50" xfId="0" applyFont="1" applyFill="1" applyBorder="1" applyAlignment="1">
      <alignment horizontal="center" vertical="center"/>
    </xf>
    <xf numFmtId="0" fontId="14" fillId="4" borderId="49" xfId="2" applyFont="1" applyFill="1" applyBorder="1" applyAlignment="1">
      <alignment horizontal="center"/>
    </xf>
    <xf numFmtId="0" fontId="14" fillId="4" borderId="58" xfId="0" applyFont="1" applyFill="1" applyBorder="1" applyAlignment="1">
      <alignment horizontal="center"/>
    </xf>
    <xf numFmtId="0" fontId="14" fillId="4" borderId="50" xfId="0" applyFont="1" applyFill="1" applyBorder="1" applyAlignment="1">
      <alignment horizontal="center"/>
    </xf>
    <xf numFmtId="0" fontId="14" fillId="4" borderId="58" xfId="2" applyFont="1" applyFill="1" applyBorder="1" applyAlignment="1">
      <alignment horizontal="center" vertical="center"/>
    </xf>
    <xf numFmtId="0" fontId="14" fillId="4" borderId="50" xfId="2" applyFont="1" applyFill="1" applyBorder="1" applyAlignment="1">
      <alignment horizontal="center" vertical="center"/>
    </xf>
    <xf numFmtId="0" fontId="10" fillId="0" borderId="113" xfId="2" applyBorder="1" applyAlignment="1" applyProtection="1">
      <alignment horizontal="center" vertical="center" wrapText="1"/>
    </xf>
    <xf numFmtId="0" fontId="0" fillId="0" borderId="114" xfId="0" applyBorder="1" applyAlignment="1">
      <alignment horizontal="center" vertical="center"/>
    </xf>
    <xf numFmtId="0" fontId="0" fillId="0" borderId="115" xfId="0" applyBorder="1" applyAlignment="1">
      <alignment horizontal="center" vertical="center"/>
    </xf>
    <xf numFmtId="0" fontId="10" fillId="26" borderId="14" xfId="0" applyFont="1" applyFill="1" applyBorder="1" applyAlignment="1">
      <alignment horizontal="center"/>
    </xf>
    <xf numFmtId="0" fontId="0" fillId="0" borderId="45" xfId="0" applyBorder="1" applyAlignment="1">
      <alignment horizontal="center"/>
    </xf>
    <xf numFmtId="0" fontId="7" fillId="0" borderId="16" xfId="0" applyFont="1" applyFill="1" applyBorder="1" applyAlignment="1" applyProtection="1">
      <protection locked="0"/>
    </xf>
    <xf numFmtId="0" fontId="7" fillId="0" borderId="25" xfId="0" applyFont="1" applyFill="1" applyBorder="1" applyAlignment="1" applyProtection="1">
      <protection locked="0"/>
    </xf>
    <xf numFmtId="0" fontId="0" fillId="0" borderId="25" xfId="0" applyBorder="1" applyAlignment="1" applyProtection="1">
      <protection locked="0"/>
    </xf>
    <xf numFmtId="0" fontId="141" fillId="0" borderId="0" xfId="0" applyFont="1" applyFill="1" applyAlignment="1" applyProtection="1">
      <alignment horizontal="center" textRotation="180"/>
      <protection hidden="1"/>
    </xf>
    <xf numFmtId="0" fontId="135" fillId="0" borderId="0" xfId="0" applyFont="1" applyFill="1" applyAlignment="1">
      <alignment textRotation="180"/>
    </xf>
    <xf numFmtId="0" fontId="141" fillId="0" borderId="0" xfId="0" applyFont="1" applyAlignment="1" applyProtection="1">
      <alignment horizontal="center" textRotation="90"/>
      <protection hidden="1"/>
    </xf>
    <xf numFmtId="0" fontId="135" fillId="0" borderId="0" xfId="0" applyFont="1" applyAlignment="1">
      <alignment textRotation="90"/>
    </xf>
    <xf numFmtId="0" fontId="138" fillId="0" borderId="0" xfId="0" applyFont="1" applyFill="1" applyAlignment="1" applyProtection="1">
      <alignment horizontal="center" vertical="center"/>
      <protection hidden="1"/>
    </xf>
    <xf numFmtId="0" fontId="0" fillId="0" borderId="0" xfId="0" applyAlignment="1"/>
    <xf numFmtId="0" fontId="141" fillId="0" borderId="0" xfId="0" applyFont="1" applyAlignment="1" applyProtection="1">
      <alignment horizontal="center"/>
      <protection hidden="1"/>
    </xf>
    <xf numFmtId="0" fontId="135" fillId="0" borderId="0" xfId="0" applyFont="1" applyAlignment="1">
      <alignment horizontal="center"/>
    </xf>
    <xf numFmtId="0" fontId="136" fillId="0" borderId="0" xfId="0" applyFont="1" applyFill="1" applyBorder="1" applyAlignment="1" applyProtection="1">
      <alignment horizontal="center" vertical="top"/>
      <protection hidden="1"/>
    </xf>
    <xf numFmtId="0" fontId="137" fillId="0" borderId="0" xfId="0" applyFont="1" applyAlignment="1">
      <alignment horizontal="center" vertical="top"/>
    </xf>
    <xf numFmtId="0" fontId="136" fillId="0" borderId="0" xfId="0" applyFont="1" applyFill="1" applyBorder="1" applyAlignment="1" applyProtection="1">
      <alignment horizontal="right" vertical="center" textRotation="180"/>
      <protection hidden="1"/>
    </xf>
    <xf numFmtId="0" fontId="137" fillId="0" borderId="0" xfId="0" applyFont="1" applyAlignment="1">
      <alignment horizontal="right" vertical="center" textRotation="180"/>
    </xf>
    <xf numFmtId="0" fontId="87" fillId="3" borderId="11" xfId="0" applyFont="1" applyFill="1" applyBorder="1" applyAlignment="1" applyProtection="1">
      <alignment horizontal="left"/>
      <protection locked="0"/>
    </xf>
    <xf numFmtId="0" fontId="14" fillId="0" borderId="11" xfId="0" applyFont="1" applyBorder="1" applyAlignment="1" applyProtection="1">
      <alignment horizontal="left"/>
      <protection locked="0"/>
    </xf>
    <xf numFmtId="0" fontId="0" fillId="0" borderId="11" xfId="0" applyBorder="1" applyAlignment="1" applyProtection="1">
      <protection locked="0"/>
    </xf>
    <xf numFmtId="0" fontId="87" fillId="3" borderId="0" xfId="0" applyFont="1" applyFill="1" applyBorder="1" applyAlignment="1" applyProtection="1">
      <alignment horizontal="left"/>
      <protection locked="0"/>
    </xf>
    <xf numFmtId="0" fontId="14" fillId="0" borderId="0" xfId="0" applyFont="1" applyBorder="1" applyAlignment="1" applyProtection="1">
      <alignment horizontal="left"/>
      <protection locked="0"/>
    </xf>
    <xf numFmtId="0" fontId="87" fillId="3" borderId="17" xfId="0" applyFont="1" applyFill="1" applyBorder="1" applyAlignment="1" applyProtection="1">
      <alignment horizontal="left"/>
      <protection locked="0"/>
    </xf>
    <xf numFmtId="0" fontId="0" fillId="0" borderId="17" xfId="0" applyBorder="1" applyAlignment="1" applyProtection="1">
      <protection locked="0"/>
    </xf>
    <xf numFmtId="0" fontId="136" fillId="0" borderId="0" xfId="0" applyFont="1" applyFill="1" applyBorder="1" applyAlignment="1" applyProtection="1">
      <alignment horizontal="left" vertical="center" textRotation="90"/>
      <protection hidden="1"/>
    </xf>
    <xf numFmtId="0" fontId="137" fillId="0" borderId="0" xfId="0" applyFont="1" applyAlignment="1">
      <alignment horizontal="left" vertical="center"/>
    </xf>
    <xf numFmtId="0" fontId="136" fillId="0" borderId="0" xfId="0" applyFont="1" applyFill="1" applyBorder="1" applyAlignment="1" applyProtection="1">
      <alignment horizontal="center"/>
      <protection hidden="1"/>
    </xf>
    <xf numFmtId="0" fontId="137" fillId="0" borderId="0" xfId="0" applyFont="1" applyFill="1" applyAlignment="1">
      <alignment horizontal="center"/>
    </xf>
    <xf numFmtId="49" fontId="10" fillId="0" borderId="23" xfId="0" applyNumberFormat="1" applyFont="1" applyBorder="1" applyAlignment="1" applyProtection="1">
      <alignment horizontal="left" vertical="top" wrapText="1"/>
      <protection locked="0"/>
    </xf>
    <xf numFmtId="49" fontId="10" fillId="0" borderId="27" xfId="0" applyNumberFormat="1" applyFont="1" applyBorder="1" applyAlignment="1" applyProtection="1">
      <alignment horizontal="left" vertical="top" wrapText="1"/>
      <protection locked="0"/>
    </xf>
    <xf numFmtId="49" fontId="10" fillId="0" borderId="30" xfId="0" applyNumberFormat="1" applyFont="1" applyBorder="1" applyAlignment="1" applyProtection="1">
      <alignment horizontal="left" vertical="top" wrapText="1"/>
      <protection locked="0"/>
    </xf>
    <xf numFmtId="0" fontId="126" fillId="21" borderId="26" xfId="0" applyFont="1" applyFill="1" applyBorder="1" applyAlignment="1" applyProtection="1">
      <alignment horizontal="center"/>
      <protection locked="0"/>
    </xf>
    <xf numFmtId="0" fontId="128" fillId="21" borderId="26" xfId="0" applyFont="1" applyFill="1" applyBorder="1" applyAlignment="1" applyProtection="1">
      <alignment horizontal="center"/>
      <protection locked="0"/>
    </xf>
    <xf numFmtId="0" fontId="71" fillId="0" borderId="0" xfId="0" applyFont="1" applyFill="1" applyBorder="1" applyAlignment="1" applyProtection="1">
      <alignment horizontal="left" vertical="center" wrapText="1"/>
      <protection hidden="1"/>
    </xf>
    <xf numFmtId="0" fontId="0" fillId="0" borderId="16" xfId="0" applyBorder="1" applyAlignment="1">
      <alignment horizontal="left" vertical="center" wrapText="1"/>
    </xf>
    <xf numFmtId="0" fontId="9" fillId="3" borderId="0" xfId="0" applyFont="1" applyFill="1" applyBorder="1" applyAlignment="1" applyProtection="1">
      <protection locked="0"/>
    </xf>
    <xf numFmtId="0" fontId="34" fillId="3" borderId="0" xfId="0" applyFont="1" applyFill="1" applyAlignment="1" applyProtection="1">
      <protection locked="0"/>
    </xf>
    <xf numFmtId="0" fontId="16" fillId="3" borderId="0" xfId="0" applyFont="1" applyFill="1" applyBorder="1" applyAlignment="1" applyProtection="1">
      <protection locked="0"/>
    </xf>
    <xf numFmtId="49" fontId="9" fillId="3" borderId="0" xfId="0" applyNumberFormat="1" applyFont="1" applyFill="1" applyBorder="1" applyAlignment="1" applyProtection="1">
      <alignment horizontal="left"/>
      <protection locked="0"/>
    </xf>
    <xf numFmtId="0" fontId="9" fillId="16" borderId="17" xfId="0" applyFont="1" applyFill="1" applyBorder="1" applyAlignment="1" applyProtection="1">
      <alignment horizontal="center"/>
      <protection hidden="1"/>
    </xf>
    <xf numFmtId="0" fontId="0" fillId="16" borderId="17" xfId="0" applyFill="1" applyBorder="1" applyAlignment="1" applyProtection="1">
      <alignment horizontal="center"/>
      <protection hidden="1"/>
    </xf>
    <xf numFmtId="49" fontId="10" fillId="0" borderId="23" xfId="2" applyNumberFormat="1" applyFont="1" applyBorder="1" applyAlignment="1" applyProtection="1">
      <alignment horizontal="left" vertical="top" wrapText="1"/>
      <protection locked="0"/>
    </xf>
    <xf numFmtId="49" fontId="10" fillId="0" borderId="27" xfId="2" applyNumberFormat="1" applyBorder="1" applyAlignment="1" applyProtection="1">
      <alignment horizontal="left" vertical="top" wrapText="1"/>
      <protection locked="0"/>
    </xf>
    <xf numFmtId="49" fontId="10" fillId="0" borderId="30" xfId="2" applyNumberFormat="1" applyBorder="1" applyAlignment="1" applyProtection="1">
      <alignment horizontal="left" vertical="top" wrapText="1"/>
      <protection locked="0"/>
    </xf>
    <xf numFmtId="49" fontId="87" fillId="3" borderId="17" xfId="0" applyNumberFormat="1" applyFont="1" applyFill="1" applyBorder="1" applyAlignment="1" applyProtection="1">
      <alignment horizontal="center"/>
      <protection locked="0"/>
    </xf>
    <xf numFmtId="0" fontId="88" fillId="3" borderId="17" xfId="0" applyFont="1" applyFill="1" applyBorder="1" applyProtection="1">
      <protection locked="0"/>
    </xf>
    <xf numFmtId="0" fontId="9" fillId="3" borderId="11" xfId="0" applyFont="1" applyFill="1" applyBorder="1" applyAlignment="1" applyProtection="1">
      <protection locked="0"/>
    </xf>
    <xf numFmtId="0" fontId="87" fillId="3" borderId="0" xfId="0" applyFont="1" applyFill="1" applyAlignment="1" applyProtection="1">
      <protection locked="0"/>
    </xf>
    <xf numFmtId="0" fontId="0" fillId="0" borderId="0" xfId="0" applyAlignment="1" applyProtection="1">
      <protection locked="0"/>
    </xf>
    <xf numFmtId="0" fontId="71" fillId="0" borderId="0" xfId="0" applyFont="1" applyFill="1" applyBorder="1" applyAlignment="1" applyProtection="1">
      <alignment horizontal="left" vertical="top" textRotation="180"/>
      <protection hidden="1"/>
    </xf>
    <xf numFmtId="0" fontId="0" fillId="0" borderId="0" xfId="0" applyBorder="1" applyAlignment="1">
      <alignment horizontal="left" vertical="top" textRotation="180"/>
    </xf>
    <xf numFmtId="0" fontId="7" fillId="20" borderId="105" xfId="0" applyFont="1" applyFill="1" applyBorder="1" applyAlignment="1" applyProtection="1">
      <protection hidden="1"/>
    </xf>
    <xf numFmtId="0" fontId="7" fillId="20" borderId="106" xfId="0" applyFont="1" applyFill="1" applyBorder="1" applyAlignment="1" applyProtection="1">
      <protection hidden="1"/>
    </xf>
    <xf numFmtId="0" fontId="7" fillId="20" borderId="107" xfId="0" applyFont="1" applyFill="1" applyBorder="1" applyAlignment="1" applyProtection="1">
      <protection hidden="1"/>
    </xf>
    <xf numFmtId="0" fontId="9" fillId="0" borderId="0" xfId="0" applyFont="1" applyBorder="1" applyAlignment="1" applyProtection="1">
      <alignment horizontal="left"/>
      <protection hidden="1"/>
    </xf>
    <xf numFmtId="0" fontId="9" fillId="0" borderId="0" xfId="0" applyFont="1" applyAlignment="1" applyProtection="1">
      <protection hidden="1"/>
    </xf>
    <xf numFmtId="0" fontId="9" fillId="0" borderId="13" xfId="0" applyFont="1" applyBorder="1" applyAlignment="1" applyProtection="1">
      <protection hidden="1"/>
    </xf>
    <xf numFmtId="49" fontId="10" fillId="0" borderId="27" xfId="2" applyNumberFormat="1" applyFont="1" applyBorder="1" applyAlignment="1" applyProtection="1">
      <alignment horizontal="left" vertical="top" wrapText="1"/>
      <protection locked="0"/>
    </xf>
    <xf numFmtId="49" fontId="10" fillId="0" borderId="30" xfId="2" applyNumberFormat="1" applyFont="1" applyBorder="1" applyAlignment="1" applyProtection="1">
      <alignment horizontal="left" vertical="top" wrapText="1"/>
      <protection locked="0"/>
    </xf>
    <xf numFmtId="14" fontId="66" fillId="3" borderId="0" xfId="0" applyNumberFormat="1" applyFont="1" applyFill="1" applyBorder="1" applyAlignment="1" applyProtection="1">
      <protection locked="0"/>
    </xf>
    <xf numFmtId="0" fontId="66" fillId="3" borderId="0" xfId="0" applyFont="1" applyFill="1" applyBorder="1" applyAlignment="1" applyProtection="1">
      <protection locked="0"/>
    </xf>
    <xf numFmtId="0" fontId="19" fillId="16" borderId="76" xfId="0" applyFont="1" applyFill="1" applyBorder="1" applyAlignment="1" applyProtection="1">
      <alignment horizontal="center"/>
      <protection hidden="1"/>
    </xf>
    <xf numFmtId="0" fontId="14" fillId="16" borderId="76" xfId="0" applyFont="1" applyFill="1" applyBorder="1" applyAlignment="1" applyProtection="1">
      <alignment horizontal="center"/>
      <protection hidden="1"/>
    </xf>
    <xf numFmtId="49" fontId="19" fillId="16" borderId="77" xfId="0" applyNumberFormat="1" applyFont="1" applyFill="1" applyBorder="1" applyAlignment="1" applyProtection="1">
      <protection hidden="1"/>
    </xf>
    <xf numFmtId="0" fontId="0" fillId="16" borderId="0" xfId="0" applyFill="1" applyBorder="1" applyAlignment="1" applyProtection="1">
      <protection hidden="1"/>
    </xf>
    <xf numFmtId="49" fontId="19" fillId="16" borderId="0" xfId="0" applyNumberFormat="1" applyFont="1" applyFill="1" applyAlignment="1" applyProtection="1">
      <protection hidden="1"/>
    </xf>
    <xf numFmtId="0" fontId="0" fillId="16" borderId="0" xfId="0" applyFill="1" applyAlignment="1" applyProtection="1">
      <protection hidden="1"/>
    </xf>
    <xf numFmtId="49" fontId="19" fillId="16" borderId="78" xfId="0" applyNumberFormat="1" applyFont="1" applyFill="1" applyBorder="1" applyAlignment="1" applyProtection="1">
      <protection hidden="1"/>
    </xf>
    <xf numFmtId="0" fontId="0" fillId="16" borderId="79" xfId="0" applyFill="1" applyBorder="1" applyAlignment="1" applyProtection="1">
      <protection hidden="1"/>
    </xf>
    <xf numFmtId="49" fontId="19" fillId="16" borderId="84" xfId="0" applyNumberFormat="1" applyFont="1" applyFill="1" applyBorder="1" applyAlignment="1" applyProtection="1">
      <alignment horizontal="center"/>
      <protection hidden="1"/>
    </xf>
    <xf numFmtId="0" fontId="0" fillId="16" borderId="78" xfId="0" applyFill="1" applyBorder="1" applyAlignment="1" applyProtection="1">
      <alignment horizontal="center"/>
      <protection hidden="1"/>
    </xf>
    <xf numFmtId="0" fontId="0" fillId="16" borderId="79" xfId="0" applyFill="1" applyBorder="1" applyAlignment="1" applyProtection="1">
      <alignment horizontal="center"/>
      <protection hidden="1"/>
    </xf>
    <xf numFmtId="49" fontId="19" fillId="16" borderId="78" xfId="0" applyNumberFormat="1" applyFont="1" applyFill="1" applyBorder="1" applyAlignment="1" applyProtection="1">
      <alignment horizontal="center"/>
      <protection hidden="1"/>
    </xf>
    <xf numFmtId="0" fontId="87" fillId="16" borderId="103" xfId="0" applyFont="1" applyFill="1" applyBorder="1" applyAlignment="1" applyProtection="1">
      <alignment horizontal="left"/>
      <protection hidden="1"/>
    </xf>
    <xf numFmtId="0" fontId="0" fillId="0" borderId="103" xfId="0" applyBorder="1" applyAlignment="1"/>
    <xf numFmtId="1" fontId="87" fillId="16" borderId="80" xfId="0" applyNumberFormat="1" applyFont="1" applyFill="1" applyBorder="1" applyAlignment="1" applyProtection="1">
      <alignment horizontal="center"/>
      <protection hidden="1"/>
    </xf>
    <xf numFmtId="1" fontId="88" fillId="16" borderId="76" xfId="0" applyNumberFormat="1" applyFont="1" applyFill="1" applyBorder="1" applyAlignment="1" applyProtection="1">
      <alignment horizontal="center"/>
      <protection hidden="1"/>
    </xf>
    <xf numFmtId="1" fontId="88" fillId="16" borderId="81" xfId="0" applyNumberFormat="1" applyFont="1" applyFill="1" applyBorder="1" applyAlignment="1" applyProtection="1">
      <alignment horizontal="center"/>
      <protection hidden="1"/>
    </xf>
    <xf numFmtId="1" fontId="87" fillId="16" borderId="76" xfId="0" applyNumberFormat="1" applyFont="1" applyFill="1" applyBorder="1" applyAlignment="1" applyProtection="1">
      <alignment horizontal="center"/>
      <protection hidden="1"/>
    </xf>
    <xf numFmtId="0" fontId="19" fillId="16" borderId="84" xfId="0" applyFont="1" applyFill="1" applyBorder="1" applyAlignment="1" applyProtection="1">
      <alignment horizontal="center"/>
      <protection hidden="1"/>
    </xf>
    <xf numFmtId="0" fontId="14" fillId="0" borderId="78" xfId="0" applyFont="1" applyBorder="1" applyAlignment="1">
      <alignment horizontal="center"/>
    </xf>
    <xf numFmtId="0" fontId="14" fillId="0" borderId="125" xfId="0" applyFont="1" applyBorder="1" applyAlignment="1">
      <alignment horizontal="center"/>
    </xf>
    <xf numFmtId="1" fontId="126" fillId="16" borderId="80" xfId="0" applyNumberFormat="1" applyFont="1" applyFill="1" applyBorder="1" applyAlignment="1" applyProtection="1">
      <alignment horizontal="center"/>
    </xf>
    <xf numFmtId="0" fontId="128" fillId="0" borderId="76" xfId="0" applyFont="1" applyBorder="1" applyAlignment="1">
      <alignment horizontal="center"/>
    </xf>
    <xf numFmtId="0" fontId="128" fillId="0" borderId="126" xfId="0" applyFont="1" applyBorder="1" applyAlignment="1">
      <alignment horizontal="center"/>
    </xf>
    <xf numFmtId="0" fontId="0" fillId="0" borderId="27"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19" fillId="0" borderId="21" xfId="0" applyFont="1" applyBorder="1" applyAlignment="1" applyProtection="1">
      <alignment horizontal="center"/>
      <protection hidden="1"/>
    </xf>
    <xf numFmtId="0" fontId="19" fillId="0" borderId="85" xfId="0" applyFont="1" applyFill="1" applyBorder="1" applyAlignment="1" applyProtection="1">
      <alignment horizontal="center"/>
      <protection hidden="1"/>
    </xf>
    <xf numFmtId="0" fontId="19" fillId="0" borderId="86" xfId="0" applyFont="1" applyFill="1" applyBorder="1" applyAlignment="1" applyProtection="1">
      <alignment horizontal="center"/>
      <protection hidden="1"/>
    </xf>
    <xf numFmtId="0" fontId="126" fillId="3" borderId="0" xfId="0" applyFont="1" applyFill="1" applyBorder="1" applyAlignment="1" applyProtection="1">
      <alignment horizontal="center"/>
      <protection locked="0"/>
    </xf>
    <xf numFmtId="0" fontId="7" fillId="0" borderId="0" xfId="0" applyFont="1" applyAlignment="1" applyProtection="1"/>
    <xf numFmtId="0" fontId="19" fillId="0" borderId="0" xfId="0" applyFont="1" applyBorder="1" applyAlignment="1" applyProtection="1">
      <alignment horizontal="center"/>
      <protection hidden="1"/>
    </xf>
    <xf numFmtId="49" fontId="19" fillId="16" borderId="0" xfId="0" applyNumberFormat="1" applyFont="1" applyFill="1" applyBorder="1" applyAlignment="1" applyProtection="1">
      <alignment horizontal="center"/>
      <protection hidden="1"/>
    </xf>
    <xf numFmtId="0" fontId="19" fillId="16" borderId="0" xfId="0" applyNumberFormat="1" applyFont="1" applyFill="1" applyBorder="1" applyAlignment="1" applyProtection="1">
      <alignment horizontal="center"/>
      <protection hidden="1"/>
    </xf>
    <xf numFmtId="0" fontId="19" fillId="16" borderId="0" xfId="0" applyFont="1" applyFill="1" applyBorder="1" applyAlignment="1" applyProtection="1">
      <alignment horizontal="center"/>
      <protection hidden="1"/>
    </xf>
    <xf numFmtId="14" fontId="9" fillId="3" borderId="0" xfId="0" applyNumberFormat="1" applyFont="1" applyFill="1" applyBorder="1" applyAlignment="1" applyProtection="1">
      <protection locked="0"/>
    </xf>
    <xf numFmtId="0" fontId="10" fillId="0" borderId="0" xfId="0" applyFont="1" applyAlignment="1" applyProtection="1">
      <protection locked="0"/>
    </xf>
    <xf numFmtId="0" fontId="126" fillId="3" borderId="0" xfId="0" applyFont="1" applyFill="1" applyBorder="1" applyAlignment="1" applyProtection="1">
      <alignment horizontal="left"/>
      <protection locked="0"/>
    </xf>
    <xf numFmtId="0" fontId="34" fillId="3" borderId="0" xfId="0" applyFont="1" applyFill="1" applyAlignment="1" applyProtection="1">
      <alignment horizontal="left"/>
      <protection locked="0"/>
    </xf>
    <xf numFmtId="0" fontId="87" fillId="3" borderId="0" xfId="0" applyFont="1" applyFill="1" applyBorder="1" applyAlignment="1" applyProtection="1">
      <protection locked="0"/>
    </xf>
    <xf numFmtId="49" fontId="7" fillId="0" borderId="23" xfId="0" applyNumberFormat="1"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7" fillId="0" borderId="30" xfId="0" applyFont="1" applyBorder="1" applyAlignment="1" applyProtection="1">
      <alignment horizontal="left" vertical="top" wrapText="1"/>
      <protection locked="0"/>
    </xf>
    <xf numFmtId="0" fontId="9" fillId="3" borderId="5" xfId="0" applyFont="1" applyFill="1" applyBorder="1" applyAlignment="1" applyProtection="1">
      <protection locked="0"/>
    </xf>
    <xf numFmtId="0" fontId="20" fillId="3" borderId="5" xfId="0" applyFont="1" applyFill="1" applyBorder="1" applyAlignment="1" applyProtection="1">
      <protection locked="0"/>
    </xf>
    <xf numFmtId="0" fontId="19" fillId="0" borderId="11" xfId="0" applyFont="1" applyFill="1" applyBorder="1" applyAlignment="1" applyProtection="1">
      <alignment horizontal="center"/>
    </xf>
    <xf numFmtId="0" fontId="9" fillId="3" borderId="97" xfId="0" applyFont="1" applyFill="1" applyBorder="1" applyAlignment="1" applyProtection="1">
      <alignment horizontal="center"/>
      <protection locked="0"/>
    </xf>
    <xf numFmtId="0" fontId="9" fillId="3" borderId="83" xfId="0" applyFont="1" applyFill="1" applyBorder="1" applyAlignment="1" applyProtection="1">
      <alignment horizontal="center"/>
      <protection locked="0"/>
    </xf>
    <xf numFmtId="49" fontId="7" fillId="0" borderId="23" xfId="2" applyNumberFormat="1" applyFont="1" applyBorder="1" applyAlignment="1" applyProtection="1">
      <alignment horizontal="left" vertical="top" wrapText="1"/>
      <protection locked="0"/>
    </xf>
    <xf numFmtId="49" fontId="7" fillId="0" borderId="27" xfId="2" applyNumberFormat="1" applyFont="1" applyBorder="1" applyAlignment="1" applyProtection="1">
      <alignment horizontal="left" vertical="top" wrapText="1"/>
      <protection locked="0"/>
    </xf>
    <xf numFmtId="49" fontId="7" fillId="0" borderId="30" xfId="2" applyNumberFormat="1" applyFont="1" applyBorder="1" applyAlignment="1" applyProtection="1">
      <alignment horizontal="left" vertical="top" wrapText="1"/>
      <protection locked="0"/>
    </xf>
    <xf numFmtId="0" fontId="7" fillId="0" borderId="27" xfId="2" applyFont="1" applyBorder="1" applyAlignment="1" applyProtection="1">
      <alignment horizontal="left" vertical="top" wrapText="1"/>
      <protection locked="0"/>
    </xf>
    <xf numFmtId="0" fontId="7" fillId="0" borderId="30" xfId="2" applyFont="1" applyBorder="1" applyAlignment="1" applyProtection="1">
      <alignment horizontal="left" vertical="top" wrapText="1"/>
      <protection locked="0"/>
    </xf>
    <xf numFmtId="0" fontId="9" fillId="3" borderId="5" xfId="2" applyFont="1" applyFill="1" applyBorder="1" applyAlignment="1" applyProtection="1">
      <protection locked="0"/>
    </xf>
    <xf numFmtId="0" fontId="14" fillId="3" borderId="5" xfId="2" applyFont="1" applyFill="1" applyBorder="1" applyAlignment="1" applyProtection="1">
      <protection locked="0"/>
    </xf>
    <xf numFmtId="49" fontId="19"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9" fillId="3" borderId="82" xfId="0" applyFont="1" applyFill="1" applyBorder="1" applyAlignment="1" applyProtection="1">
      <alignment horizontal="center"/>
      <protection locked="0"/>
    </xf>
    <xf numFmtId="0" fontId="9" fillId="3" borderId="28" xfId="0" applyFont="1" applyFill="1" applyBorder="1" applyAlignment="1" applyProtection="1">
      <alignment horizontal="center"/>
      <protection locked="0"/>
    </xf>
    <xf numFmtId="49" fontId="19" fillId="16" borderId="32" xfId="0" applyNumberFormat="1" applyFont="1" applyFill="1" applyBorder="1" applyAlignment="1" applyProtection="1">
      <alignment horizontal="center"/>
      <protection hidden="1"/>
    </xf>
    <xf numFmtId="0" fontId="19" fillId="16" borderId="32" xfId="0" applyNumberFormat="1" applyFont="1" applyFill="1" applyBorder="1" applyAlignment="1" applyProtection="1">
      <alignment horizontal="center"/>
      <protection hidden="1"/>
    </xf>
    <xf numFmtId="0" fontId="9" fillId="16" borderId="32" xfId="0" applyFont="1" applyFill="1" applyBorder="1" applyAlignment="1" applyProtection="1">
      <alignment horizontal="center"/>
      <protection hidden="1"/>
    </xf>
    <xf numFmtId="0" fontId="9" fillId="16" borderId="46" xfId="0" applyFont="1" applyFill="1" applyBorder="1" applyAlignment="1" applyProtection="1">
      <alignment horizontal="center"/>
      <protection hidden="1"/>
    </xf>
    <xf numFmtId="0" fontId="19" fillId="16" borderId="11" xfId="0" applyFont="1" applyFill="1" applyBorder="1" applyAlignment="1" applyProtection="1">
      <alignment horizontal="center"/>
      <protection hidden="1"/>
    </xf>
    <xf numFmtId="0" fontId="9" fillId="16" borderId="33" xfId="0" applyFont="1" applyFill="1" applyBorder="1" applyAlignment="1" applyProtection="1">
      <alignment horizontal="center"/>
      <protection hidden="1"/>
    </xf>
    <xf numFmtId="14" fontId="66" fillId="3" borderId="0" xfId="0" applyNumberFormat="1" applyFont="1" applyFill="1" applyBorder="1" applyAlignment="1" applyProtection="1">
      <alignment horizontal="center"/>
      <protection locked="0"/>
    </xf>
    <xf numFmtId="14" fontId="66" fillId="3" borderId="0" xfId="0" applyNumberFormat="1" applyFont="1" applyFill="1" applyBorder="1" applyAlignment="1" applyProtection="1">
      <alignment horizontal="left"/>
      <protection locked="0"/>
    </xf>
    <xf numFmtId="0" fontId="28" fillId="0" borderId="0" xfId="0" applyFont="1" applyAlignment="1" applyProtection="1">
      <protection locked="0"/>
    </xf>
    <xf numFmtId="0" fontId="28" fillId="0" borderId="0" xfId="0" applyFont="1" applyAlignment="1" applyProtection="1">
      <alignment horizontal="left"/>
      <protection locked="0"/>
    </xf>
    <xf numFmtId="0" fontId="19" fillId="0" borderId="91" xfId="0" applyFont="1" applyBorder="1" applyAlignment="1" applyProtection="1">
      <alignment horizontal="left"/>
    </xf>
    <xf numFmtId="0" fontId="0" fillId="0" borderId="5" xfId="0" applyBorder="1" applyAlignment="1"/>
    <xf numFmtId="0" fontId="9" fillId="3" borderId="88" xfId="0" applyFont="1" applyFill="1" applyBorder="1" applyAlignment="1" applyProtection="1">
      <alignment horizontal="left"/>
      <protection locked="0"/>
    </xf>
    <xf numFmtId="0" fontId="34" fillId="3" borderId="88" xfId="0" applyFont="1" applyFill="1" applyBorder="1" applyAlignment="1" applyProtection="1">
      <alignment horizontal="left"/>
      <protection locked="0"/>
    </xf>
    <xf numFmtId="0" fontId="0" fillId="0" borderId="88" xfId="0" applyBorder="1" applyAlignment="1" applyProtection="1">
      <alignment horizontal="left"/>
      <protection locked="0"/>
    </xf>
    <xf numFmtId="0" fontId="53" fillId="0" borderId="82" xfId="0" applyFont="1" applyFill="1" applyBorder="1" applyAlignment="1" applyProtection="1">
      <alignment horizontal="left"/>
      <protection hidden="1"/>
    </xf>
    <xf numFmtId="0" fontId="83" fillId="0" borderId="25" xfId="0" applyFont="1" applyFill="1" applyBorder="1" applyAlignment="1" applyProtection="1">
      <alignment horizontal="left"/>
      <protection hidden="1"/>
    </xf>
    <xf numFmtId="0" fontId="16" fillId="3" borderId="82" xfId="0" applyFont="1" applyFill="1" applyBorder="1" applyAlignment="1" applyProtection="1">
      <protection locked="0"/>
    </xf>
    <xf numFmtId="0" fontId="0" fillId="0" borderId="28" xfId="0" applyBorder="1" applyAlignment="1" applyProtection="1">
      <protection locked="0"/>
    </xf>
    <xf numFmtId="0" fontId="9" fillId="3" borderId="0" xfId="0" applyFont="1" applyFill="1" applyAlignment="1" applyProtection="1">
      <alignment horizontal="left"/>
      <protection locked="0"/>
    </xf>
    <xf numFmtId="0" fontId="19" fillId="0" borderId="87" xfId="0" applyFont="1" applyBorder="1" applyAlignment="1" applyProtection="1">
      <alignment horizontal="left"/>
    </xf>
    <xf numFmtId="0" fontId="0" fillId="0" borderId="88" xfId="0" applyBorder="1" applyAlignment="1"/>
    <xf numFmtId="0" fontId="19" fillId="0" borderId="92" xfId="0" applyFont="1" applyBorder="1" applyAlignment="1" applyProtection="1">
      <alignment horizontal="left"/>
    </xf>
    <xf numFmtId="0" fontId="0" fillId="0" borderId="93" xfId="0" applyBorder="1" applyAlignment="1"/>
    <xf numFmtId="0" fontId="53" fillId="0" borderId="94" xfId="0" applyFont="1" applyFill="1" applyBorder="1" applyAlignment="1" applyProtection="1">
      <alignment horizontal="left"/>
      <protection hidden="1"/>
    </xf>
    <xf numFmtId="0" fontId="83" fillId="0" borderId="95" xfId="0" applyFont="1" applyFill="1" applyBorder="1" applyAlignment="1" applyProtection="1">
      <alignment horizontal="left"/>
      <protection hidden="1"/>
    </xf>
    <xf numFmtId="0" fontId="16" fillId="3" borderId="94" xfId="0" applyFont="1" applyFill="1" applyBorder="1" applyAlignment="1" applyProtection="1">
      <protection locked="0"/>
    </xf>
    <xf numFmtId="0" fontId="0" fillId="0" borderId="95" xfId="0" applyBorder="1" applyAlignment="1" applyProtection="1">
      <protection locked="0"/>
    </xf>
    <xf numFmtId="0" fontId="0" fillId="0" borderId="96" xfId="0" applyBorder="1" applyAlignment="1" applyProtection="1">
      <protection locked="0"/>
    </xf>
    <xf numFmtId="0" fontId="19" fillId="7" borderId="17" xfId="0" applyFont="1" applyFill="1" applyBorder="1" applyAlignment="1" applyProtection="1"/>
    <xf numFmtId="0" fontId="14" fillId="7" borderId="17" xfId="0" applyFont="1" applyFill="1" applyBorder="1" applyAlignment="1"/>
    <xf numFmtId="0" fontId="87" fillId="3" borderId="11" xfId="0" applyFont="1" applyFill="1" applyBorder="1" applyAlignment="1" applyProtection="1">
      <protection locked="0"/>
    </xf>
    <xf numFmtId="0" fontId="0" fillId="0" borderId="0" xfId="0" applyBorder="1" applyAlignment="1" applyProtection="1">
      <protection locked="0"/>
    </xf>
    <xf numFmtId="0" fontId="34" fillId="3" borderId="0" xfId="0" applyFont="1" applyFill="1" applyBorder="1" applyAlignment="1" applyProtection="1">
      <protection locked="0"/>
    </xf>
    <xf numFmtId="0" fontId="19" fillId="7" borderId="0" xfId="0" applyFont="1" applyFill="1" applyBorder="1" applyAlignment="1" applyProtection="1">
      <alignment horizontal="left"/>
    </xf>
    <xf numFmtId="0" fontId="16" fillId="3" borderId="89" xfId="0" applyFont="1" applyFill="1" applyBorder="1" applyAlignment="1" applyProtection="1">
      <protection locked="0"/>
    </xf>
    <xf numFmtId="0" fontId="0" fillId="0" borderId="90" xfId="0" applyBorder="1" applyAlignment="1" applyProtection="1">
      <protection locked="0"/>
    </xf>
    <xf numFmtId="0" fontId="0" fillId="0" borderId="57" xfId="0" applyBorder="1" applyAlignment="1" applyProtection="1">
      <protection locked="0"/>
    </xf>
    <xf numFmtId="0" fontId="9" fillId="16" borderId="0" xfId="0" applyFont="1" applyFill="1" applyBorder="1" applyAlignment="1" applyProtection="1">
      <alignment horizontal="center"/>
      <protection hidden="1"/>
    </xf>
    <xf numFmtId="0" fontId="53" fillId="0" borderId="89" xfId="0" applyFont="1" applyFill="1" applyBorder="1" applyAlignment="1" applyProtection="1">
      <alignment horizontal="left"/>
      <protection hidden="1"/>
    </xf>
    <xf numFmtId="0" fontId="83" fillId="0" borderId="90" xfId="0" applyFont="1" applyFill="1" applyBorder="1" applyAlignment="1" applyProtection="1">
      <alignment horizontal="left"/>
      <protection hidden="1"/>
    </xf>
    <xf numFmtId="0" fontId="10" fillId="0" borderId="0" xfId="0" applyFont="1" applyAlignment="1" applyProtection="1">
      <alignment horizontal="center"/>
      <protection hidden="1"/>
    </xf>
    <xf numFmtId="0" fontId="0" fillId="0" borderId="0" xfId="0" applyAlignment="1">
      <alignment horizontal="center"/>
    </xf>
    <xf numFmtId="0" fontId="14" fillId="0" borderId="0" xfId="0" applyFont="1" applyAlignment="1" applyProtection="1">
      <alignment horizontal="center" vertical="center"/>
      <protection hidden="1"/>
    </xf>
    <xf numFmtId="0" fontId="0" fillId="0" borderId="0" xfId="0" applyAlignment="1">
      <alignment horizontal="center" vertical="center"/>
    </xf>
    <xf numFmtId="0" fontId="147" fillId="28" borderId="8" xfId="0" applyFont="1" applyFill="1" applyBorder="1" applyAlignment="1" applyProtection="1">
      <alignment horizontal="center"/>
      <protection hidden="1"/>
    </xf>
    <xf numFmtId="0" fontId="147" fillId="28" borderId="7" xfId="0" applyFont="1" applyFill="1" applyBorder="1" applyAlignment="1" applyProtection="1">
      <alignment horizontal="center"/>
      <protection hidden="1"/>
    </xf>
    <xf numFmtId="0" fontId="147" fillId="28" borderId="2" xfId="0" applyFont="1" applyFill="1" applyBorder="1" applyAlignment="1" applyProtection="1">
      <alignment horizontal="center" vertical="center"/>
      <protection hidden="1"/>
    </xf>
    <xf numFmtId="0" fontId="147" fillId="28" borderId="3" xfId="0" applyFont="1" applyFill="1" applyBorder="1" applyAlignment="1" applyProtection="1">
      <alignment horizontal="center" vertical="center"/>
      <protection hidden="1"/>
    </xf>
    <xf numFmtId="0" fontId="147" fillId="28" borderId="8" xfId="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147" fillId="28" borderId="10" xfId="0" applyFont="1" applyFill="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0" xfId="0" applyAlignment="1" applyProtection="1">
      <alignment horizontal="left"/>
      <protection locked="0"/>
    </xf>
    <xf numFmtId="0" fontId="148" fillId="0" borderId="0" xfId="0" applyFont="1" applyAlignment="1" applyProtection="1">
      <alignment horizontal="center" vertical="top" textRotation="180"/>
      <protection hidden="1"/>
    </xf>
    <xf numFmtId="0" fontId="0" fillId="0" borderId="0" xfId="0" applyAlignment="1">
      <alignment horizontal="center" vertical="top"/>
    </xf>
    <xf numFmtId="0" fontId="0" fillId="0" borderId="0" xfId="0" applyBorder="1" applyAlignment="1" applyProtection="1">
      <alignment horizontal="center"/>
      <protection locked="0"/>
    </xf>
    <xf numFmtId="0" fontId="10" fillId="16" borderId="0" xfId="0" applyFont="1" applyFill="1" applyAlignment="1" applyProtection="1">
      <alignment horizontal="center"/>
      <protection hidden="1"/>
    </xf>
    <xf numFmtId="0" fontId="0" fillId="0" borderId="0" xfId="0" applyAlignment="1" applyProtection="1">
      <alignment horizontal="center"/>
      <protection hidden="1"/>
    </xf>
    <xf numFmtId="0" fontId="10" fillId="16" borderId="8" xfId="0" applyFont="1" applyFill="1" applyBorder="1" applyAlignment="1" applyProtection="1">
      <protection hidden="1"/>
    </xf>
    <xf numFmtId="0" fontId="0" fillId="16" borderId="7" xfId="0" applyFill="1" applyBorder="1" applyAlignment="1" applyProtection="1">
      <protection hidden="1"/>
    </xf>
    <xf numFmtId="14" fontId="9" fillId="3" borderId="0" xfId="0" applyNumberFormat="1" applyFont="1" applyFill="1" applyBorder="1" applyAlignment="1" applyProtection="1">
      <alignment horizontal="center"/>
      <protection locked="0"/>
    </xf>
    <xf numFmtId="0" fontId="15" fillId="0" borderId="0" xfId="0" applyFont="1" applyAlignment="1" applyProtection="1">
      <alignment horizontal="center"/>
      <protection locked="0"/>
    </xf>
    <xf numFmtId="14" fontId="9" fillId="3" borderId="0" xfId="0" applyNumberFormat="1" applyFont="1" applyFill="1" applyAlignment="1" applyProtection="1">
      <alignment horizontal="left"/>
      <protection locked="0"/>
    </xf>
    <xf numFmtId="14" fontId="9" fillId="3" borderId="0" xfId="0" applyNumberFormat="1" applyFont="1" applyFill="1" applyAlignment="1" applyProtection="1">
      <alignment horizontal="center"/>
      <protection locked="0"/>
    </xf>
    <xf numFmtId="49" fontId="7" fillId="0" borderId="23" xfId="0" applyNumberFormat="1" applyFont="1" applyBorder="1" applyAlignment="1" applyProtection="1">
      <alignment wrapText="1"/>
      <protection locked="0"/>
    </xf>
    <xf numFmtId="49" fontId="7" fillId="0" borderId="27" xfId="0" applyNumberFormat="1" applyFont="1" applyBorder="1" applyAlignment="1" applyProtection="1">
      <alignment wrapText="1"/>
      <protection locked="0"/>
    </xf>
    <xf numFmtId="49" fontId="7" fillId="0" borderId="30" xfId="0" applyNumberFormat="1" applyFont="1" applyBorder="1" applyAlignment="1" applyProtection="1">
      <alignment wrapText="1"/>
      <protection locked="0"/>
    </xf>
    <xf numFmtId="0" fontId="19" fillId="0" borderId="23" xfId="0" applyFont="1" applyFill="1" applyBorder="1" applyAlignment="1" applyProtection="1">
      <alignment horizontal="left"/>
      <protection hidden="1"/>
    </xf>
    <xf numFmtId="0" fontId="19" fillId="0" borderId="27" xfId="0" applyFont="1" applyFill="1" applyBorder="1" applyAlignment="1" applyProtection="1">
      <alignment horizontal="left"/>
      <protection hidden="1"/>
    </xf>
    <xf numFmtId="0" fontId="19" fillId="0" borderId="30" xfId="0" applyFont="1" applyFill="1" applyBorder="1" applyAlignment="1" applyProtection="1">
      <alignment horizontal="left"/>
      <protection hidden="1"/>
    </xf>
    <xf numFmtId="0" fontId="19" fillId="10" borderId="51" xfId="0" applyFont="1" applyFill="1" applyBorder="1" applyAlignment="1" applyProtection="1">
      <alignment horizontal="center"/>
      <protection locked="0"/>
    </xf>
    <xf numFmtId="0" fontId="19" fillId="10" borderId="26" xfId="0" applyFont="1" applyFill="1" applyBorder="1" applyAlignment="1" applyProtection="1">
      <alignment horizontal="center"/>
      <protection locked="0"/>
    </xf>
    <xf numFmtId="0" fontId="19" fillId="10" borderId="98" xfId="0" applyFont="1" applyFill="1" applyBorder="1" applyAlignment="1" applyProtection="1">
      <alignment horizontal="center"/>
      <protection locked="0"/>
    </xf>
    <xf numFmtId="0" fontId="19" fillId="0" borderId="23" xfId="0" applyFont="1" applyBorder="1" applyAlignment="1" applyProtection="1">
      <alignment horizontal="center"/>
      <protection locked="0"/>
    </xf>
    <xf numFmtId="0" fontId="19" fillId="0" borderId="27" xfId="0" applyFont="1" applyBorder="1" applyAlignment="1" applyProtection="1">
      <alignment horizontal="center"/>
      <protection locked="0"/>
    </xf>
    <xf numFmtId="0" fontId="19" fillId="0" borderId="30" xfId="0" applyFont="1" applyBorder="1" applyAlignment="1" applyProtection="1">
      <alignment horizontal="center"/>
      <protection locked="0"/>
    </xf>
    <xf numFmtId="0" fontId="19" fillId="0" borderId="21" xfId="0" applyFont="1" applyFill="1" applyBorder="1" applyAlignment="1" applyProtection="1">
      <alignment horizontal="left"/>
      <protection hidden="1"/>
    </xf>
    <xf numFmtId="0" fontId="19" fillId="16" borderId="49" xfId="0" applyFont="1" applyFill="1" applyBorder="1" applyAlignment="1" applyProtection="1">
      <alignment horizontal="left"/>
      <protection hidden="1"/>
    </xf>
    <xf numFmtId="0" fontId="0" fillId="16" borderId="58" xfId="0" applyFill="1" applyBorder="1" applyAlignment="1" applyProtection="1">
      <alignment horizontal="left"/>
      <protection hidden="1"/>
    </xf>
    <xf numFmtId="0" fontId="0" fillId="16" borderId="99" xfId="0" applyFill="1" applyBorder="1" applyAlignment="1" applyProtection="1">
      <alignment horizontal="left"/>
      <protection hidden="1"/>
    </xf>
    <xf numFmtId="0" fontId="19" fillId="16" borderId="49" xfId="0" applyFont="1" applyFill="1" applyBorder="1" applyAlignment="1" applyProtection="1">
      <alignment horizontal="center"/>
      <protection hidden="1"/>
    </xf>
    <xf numFmtId="0" fontId="0" fillId="16" borderId="58" xfId="0" applyFill="1" applyBorder="1" applyAlignment="1" applyProtection="1">
      <alignment horizontal="center"/>
      <protection hidden="1"/>
    </xf>
    <xf numFmtId="0" fontId="0" fillId="16" borderId="50" xfId="0" applyFill="1" applyBorder="1" applyAlignment="1" applyProtection="1">
      <alignment horizontal="center"/>
      <protection hidden="1"/>
    </xf>
    <xf numFmtId="0" fontId="19" fillId="0" borderId="51" xfId="0" applyFont="1" applyBorder="1" applyAlignment="1" applyProtection="1">
      <alignment horizontal="center"/>
      <protection locked="0"/>
    </xf>
    <xf numFmtId="0" fontId="19" fillId="0" borderId="26" xfId="0" applyFont="1" applyBorder="1" applyAlignment="1" applyProtection="1">
      <alignment horizontal="center"/>
      <protection locked="0"/>
    </xf>
    <xf numFmtId="0" fontId="19" fillId="0" borderId="98" xfId="0" applyFont="1" applyBorder="1" applyAlignment="1" applyProtection="1">
      <alignment horizontal="center"/>
      <protection locked="0"/>
    </xf>
    <xf numFmtId="0" fontId="19" fillId="10" borderId="51" xfId="0" applyFont="1" applyFill="1" applyBorder="1" applyAlignment="1" applyProtection="1">
      <alignment horizontal="center"/>
      <protection hidden="1"/>
    </xf>
    <xf numFmtId="0" fontId="19" fillId="10" borderId="26" xfId="0" applyFont="1" applyFill="1" applyBorder="1" applyAlignment="1" applyProtection="1">
      <alignment horizontal="center"/>
      <protection hidden="1"/>
    </xf>
    <xf numFmtId="0" fontId="19" fillId="10" borderId="98" xfId="0" applyFont="1" applyFill="1" applyBorder="1" applyAlignment="1" applyProtection="1">
      <alignment horizontal="center"/>
      <protection hidden="1"/>
    </xf>
    <xf numFmtId="0" fontId="19" fillId="0" borderId="23" xfId="0" applyFont="1" applyBorder="1" applyAlignment="1" applyProtection="1">
      <alignment horizontal="center"/>
      <protection hidden="1"/>
    </xf>
    <xf numFmtId="0" fontId="19" fillId="0" borderId="27" xfId="0" applyFont="1" applyBorder="1" applyAlignment="1" applyProtection="1">
      <alignment horizontal="center"/>
      <protection hidden="1"/>
    </xf>
    <xf numFmtId="0" fontId="19" fillId="0" borderId="30" xfId="0" applyFont="1" applyBorder="1" applyAlignment="1" applyProtection="1">
      <alignment horizontal="center"/>
      <protection hidden="1"/>
    </xf>
    <xf numFmtId="0" fontId="19" fillId="0" borderId="22" xfId="0" applyFont="1" applyFill="1" applyBorder="1" applyAlignment="1" applyProtection="1">
      <alignment horizontal="left"/>
      <protection hidden="1"/>
    </xf>
    <xf numFmtId="0" fontId="19" fillId="0" borderId="59" xfId="0" applyFont="1" applyBorder="1" applyAlignment="1" applyProtection="1">
      <alignment horizontal="center"/>
      <protection hidden="1"/>
    </xf>
    <xf numFmtId="0" fontId="19" fillId="0" borderId="60" xfId="0" applyFont="1" applyBorder="1" applyAlignment="1" applyProtection="1">
      <alignment horizontal="center"/>
      <protection hidden="1"/>
    </xf>
    <xf numFmtId="0" fontId="19" fillId="0" borderId="61" xfId="0" applyFont="1" applyBorder="1" applyAlignment="1" applyProtection="1">
      <alignment horizontal="center"/>
      <protection hidden="1"/>
    </xf>
    <xf numFmtId="0" fontId="19" fillId="0" borderId="0" xfId="0" applyFont="1" applyFill="1" applyBorder="1" applyAlignment="1" applyProtection="1">
      <alignment horizontal="center"/>
      <protection hidden="1"/>
    </xf>
    <xf numFmtId="0" fontId="19" fillId="16" borderId="29" xfId="0" applyFont="1" applyFill="1" applyBorder="1" applyAlignment="1" applyProtection="1">
      <alignment horizontal="left"/>
      <protection hidden="1"/>
    </xf>
    <xf numFmtId="0" fontId="0" fillId="16" borderId="29" xfId="0" applyFill="1" applyBorder="1" applyAlignment="1" applyProtection="1">
      <alignment horizontal="left"/>
      <protection hidden="1"/>
    </xf>
    <xf numFmtId="0" fontId="10" fillId="0" borderId="0" xfId="0" applyFont="1" applyFill="1" applyBorder="1" applyAlignment="1" applyProtection="1">
      <alignment horizontal="center"/>
      <protection hidden="1"/>
    </xf>
    <xf numFmtId="0" fontId="7" fillId="0" borderId="24" xfId="3" applyFont="1" applyBorder="1" applyAlignment="1" applyProtection="1">
      <alignment horizontal="center"/>
    </xf>
    <xf numFmtId="0" fontId="7" fillId="0" borderId="11" xfId="3" applyFont="1" applyBorder="1" applyAlignment="1" applyProtection="1">
      <alignment horizontal="center"/>
    </xf>
    <xf numFmtId="0" fontId="7" fillId="0" borderId="43" xfId="3" applyFont="1" applyBorder="1" applyAlignment="1" applyProtection="1">
      <alignment horizontal="center"/>
    </xf>
    <xf numFmtId="0" fontId="7" fillId="0" borderId="19" xfId="3" applyFont="1" applyBorder="1" applyAlignment="1" applyProtection="1">
      <alignment horizontal="center"/>
    </xf>
    <xf numFmtId="0" fontId="7" fillId="0" borderId="0" xfId="3" applyFont="1" applyBorder="1" applyAlignment="1" applyProtection="1">
      <alignment horizontal="center"/>
    </xf>
    <xf numFmtId="0" fontId="7" fillId="0" borderId="24" xfId="3" applyFont="1" applyBorder="1" applyAlignment="1" applyProtection="1">
      <alignment horizontal="center" vertical="center"/>
    </xf>
    <xf numFmtId="0" fontId="7" fillId="0" borderId="12" xfId="3" applyFont="1" applyBorder="1" applyAlignment="1" applyProtection="1">
      <alignment horizontal="center"/>
    </xf>
    <xf numFmtId="0" fontId="7" fillId="0" borderId="38" xfId="3" applyFont="1" applyBorder="1" applyAlignment="1" applyProtection="1">
      <alignment horizontal="center"/>
    </xf>
    <xf numFmtId="0" fontId="17" fillId="2" borderId="0" xfId="0" applyFont="1" applyFill="1" applyAlignment="1" applyProtection="1">
      <alignment horizontal="center"/>
    </xf>
    <xf numFmtId="0" fontId="27" fillId="16" borderId="0" xfId="0" applyFont="1" applyFill="1" applyBorder="1" applyAlignment="1">
      <alignment wrapText="1"/>
    </xf>
    <xf numFmtId="0" fontId="14" fillId="16" borderId="0" xfId="0" applyFont="1" applyFill="1" applyBorder="1" applyAlignment="1"/>
    <xf numFmtId="0" fontId="40" fillId="0" borderId="0" xfId="0" applyFont="1" applyBorder="1" applyAlignment="1" applyProtection="1">
      <alignment horizontal="center"/>
      <protection locked="0"/>
    </xf>
    <xf numFmtId="0" fontId="40" fillId="0" borderId="0" xfId="0" applyFont="1" applyAlignment="1" applyProtection="1">
      <alignment horizontal="center"/>
      <protection locked="0"/>
    </xf>
  </cellXfs>
  <cellStyles count="119">
    <cellStyle name="Hyperlink" xfId="1" builtinId="8"/>
    <cellStyle name="Normal" xfId="0" builtinId="0"/>
    <cellStyle name="Normal 2" xfId="2"/>
    <cellStyle name="Normal 2 2" xfId="3"/>
    <cellStyle name="Normal 2 3" xfId="4"/>
    <cellStyle name="Normal 2_700-1330-00A_DesCap old" xfId="5"/>
    <cellStyle name="Normal 3" xfId="6"/>
    <cellStyle name="Normal 3 10" xfId="39"/>
    <cellStyle name="Normal 3 2" xfId="7"/>
    <cellStyle name="Normal 3 2 2" xfId="10"/>
    <cellStyle name="Normal 3 2 2 2" xfId="13"/>
    <cellStyle name="Normal 3 2 2 2 2" xfId="26"/>
    <cellStyle name="Normal 3 2 2 2 2 2" xfId="44"/>
    <cellStyle name="Normal 3 2 2 2 2 3" xfId="43"/>
    <cellStyle name="Normal 3 2 2 2 3" xfId="45"/>
    <cellStyle name="Normal 3 2 2 2 4" xfId="46"/>
    <cellStyle name="Normal 3 2 2 2 5" xfId="42"/>
    <cellStyle name="Normal 3 2 2 3" xfId="18"/>
    <cellStyle name="Normal 3 2 2 3 2" xfId="27"/>
    <cellStyle name="Normal 3 2 2 3 2 2" xfId="49"/>
    <cellStyle name="Normal 3 2 2 3 2 3" xfId="48"/>
    <cellStyle name="Normal 3 2 2 3 3" xfId="50"/>
    <cellStyle name="Normal 3 2 2 3 4" xfId="51"/>
    <cellStyle name="Normal 3 2 2 3 5" xfId="47"/>
    <cellStyle name="Normal 3 2 2 4" xfId="25"/>
    <cellStyle name="Normal 3 2 2 4 2" xfId="53"/>
    <cellStyle name="Normal 3 2 2 4 3" xfId="52"/>
    <cellStyle name="Normal 3 2 2 5" xfId="54"/>
    <cellStyle name="Normal 3 2 2 6" xfId="55"/>
    <cellStyle name="Normal 3 2 2 7" xfId="41"/>
    <cellStyle name="Normal 3 2 3" xfId="12"/>
    <cellStyle name="Normal 3 2 3 2" xfId="28"/>
    <cellStyle name="Normal 3 2 3 2 2" xfId="58"/>
    <cellStyle name="Normal 3 2 3 2 3" xfId="57"/>
    <cellStyle name="Normal 3 2 3 3" xfId="59"/>
    <cellStyle name="Normal 3 2 3 4" xfId="60"/>
    <cellStyle name="Normal 3 2 3 5" xfId="56"/>
    <cellStyle name="Normal 3 2 4" xfId="17"/>
    <cellStyle name="Normal 3 2 4 2" xfId="29"/>
    <cellStyle name="Normal 3 2 4 2 2" xfId="63"/>
    <cellStyle name="Normal 3 2 4 2 3" xfId="62"/>
    <cellStyle name="Normal 3 2 4 3" xfId="64"/>
    <cellStyle name="Normal 3 2 4 4" xfId="65"/>
    <cellStyle name="Normal 3 2 4 5" xfId="61"/>
    <cellStyle name="Normal 3 2 5" xfId="22"/>
    <cellStyle name="Normal 3 2 5 2" xfId="30"/>
    <cellStyle name="Normal 3 2 5 2 2" xfId="68"/>
    <cellStyle name="Normal 3 2 5 2 3" xfId="67"/>
    <cellStyle name="Normal 3 2 5 3" xfId="69"/>
    <cellStyle name="Normal 3 2 5 4" xfId="70"/>
    <cellStyle name="Normal 3 2 5 5" xfId="66"/>
    <cellStyle name="Normal 3 2 6" xfId="24"/>
    <cellStyle name="Normal 3 2 6 2" xfId="72"/>
    <cellStyle name="Normal 3 2 6 3" xfId="71"/>
    <cellStyle name="Normal 3 2 7" xfId="73"/>
    <cellStyle name="Normal 3 2 8" xfId="74"/>
    <cellStyle name="Normal 3 2 9" xfId="40"/>
    <cellStyle name="Normal 3 3" xfId="9"/>
    <cellStyle name="Normal 3 3 2" xfId="14"/>
    <cellStyle name="Normal 3 3 2 2" xfId="32"/>
    <cellStyle name="Normal 3 3 2 2 2" xfId="78"/>
    <cellStyle name="Normal 3 3 2 2 3" xfId="77"/>
    <cellStyle name="Normal 3 3 2 3" xfId="79"/>
    <cellStyle name="Normal 3 3 2 4" xfId="80"/>
    <cellStyle name="Normal 3 3 2 5" xfId="76"/>
    <cellStyle name="Normal 3 3 3" xfId="19"/>
    <cellStyle name="Normal 3 3 3 2" xfId="33"/>
    <cellStyle name="Normal 3 3 3 2 2" xfId="83"/>
    <cellStyle name="Normal 3 3 3 2 3" xfId="82"/>
    <cellStyle name="Normal 3 3 3 3" xfId="84"/>
    <cellStyle name="Normal 3 3 3 4" xfId="85"/>
    <cellStyle name="Normal 3 3 3 5" xfId="81"/>
    <cellStyle name="Normal 3 3 4" xfId="31"/>
    <cellStyle name="Normal 3 3 4 2" xfId="87"/>
    <cellStyle name="Normal 3 3 4 3" xfId="86"/>
    <cellStyle name="Normal 3 3 5" xfId="88"/>
    <cellStyle name="Normal 3 3 6" xfId="89"/>
    <cellStyle name="Normal 3 3 7" xfId="75"/>
    <cellStyle name="Normal 3 4" xfId="11"/>
    <cellStyle name="Normal 3 4 2" xfId="34"/>
    <cellStyle name="Normal 3 4 2 2" xfId="92"/>
    <cellStyle name="Normal 3 4 2 3" xfId="91"/>
    <cellStyle name="Normal 3 4 3" xfId="93"/>
    <cellStyle name="Normal 3 4 4" xfId="94"/>
    <cellStyle name="Normal 3 4 5" xfId="90"/>
    <cellStyle name="Normal 3 5" xfId="16"/>
    <cellStyle name="Normal 3 5 2" xfId="35"/>
    <cellStyle name="Normal 3 5 2 2" xfId="97"/>
    <cellStyle name="Normal 3 5 2 3" xfId="96"/>
    <cellStyle name="Normal 3 5 3" xfId="98"/>
    <cellStyle name="Normal 3 5 4" xfId="99"/>
    <cellStyle name="Normal 3 5 5" xfId="95"/>
    <cellStyle name="Normal 3 6" xfId="21"/>
    <cellStyle name="Normal 3 6 2" xfId="36"/>
    <cellStyle name="Normal 3 6 2 2" xfId="102"/>
    <cellStyle name="Normal 3 6 2 3" xfId="101"/>
    <cellStyle name="Normal 3 6 3" xfId="103"/>
    <cellStyle name="Normal 3 6 4" xfId="104"/>
    <cellStyle name="Normal 3 6 5" xfId="100"/>
    <cellStyle name="Normal 3 7" xfId="23"/>
    <cellStyle name="Normal 3 7 2" xfId="106"/>
    <cellStyle name="Normal 3 7 3" xfId="105"/>
    <cellStyle name="Normal 3 8" xfId="107"/>
    <cellStyle name="Normal 3 9" xfId="108"/>
    <cellStyle name="Normal 4" xfId="15"/>
    <cellStyle name="Normal 4 2" xfId="20"/>
    <cellStyle name="Normal 4 2 2" xfId="38"/>
    <cellStyle name="Normal 4 2 2 2" xfId="112"/>
    <cellStyle name="Normal 4 2 2 3" xfId="111"/>
    <cellStyle name="Normal 4 2 3" xfId="113"/>
    <cellStyle name="Normal 4 2 4" xfId="114"/>
    <cellStyle name="Normal 4 2 5" xfId="110"/>
    <cellStyle name="Normal 4 3" xfId="37"/>
    <cellStyle name="Normal 4 3 2" xfId="116"/>
    <cellStyle name="Normal 4 3 3" xfId="115"/>
    <cellStyle name="Normal 4 4" xfId="117"/>
    <cellStyle name="Normal 4 5" xfId="118"/>
    <cellStyle name="Normal 4 6" xfId="109"/>
    <cellStyle name="Normal_Netlist" xfId="8"/>
  </cellStyles>
  <dxfs count="231">
    <dxf>
      <font>
        <strike val="0"/>
        <color theme="0" tint="-0.14996795556505021"/>
      </font>
    </dxf>
    <dxf>
      <font>
        <b val="0"/>
        <i val="0"/>
        <strike val="0"/>
        <color theme="0" tint="-0.14996795556505021"/>
      </font>
      <fill>
        <patternFill patternType="none">
          <bgColor indexed="65"/>
        </patternFill>
      </fill>
    </dxf>
    <dxf>
      <font>
        <strike val="0"/>
        <color theme="0" tint="-0.14996795556505021"/>
      </font>
    </dxf>
    <dxf>
      <font>
        <b val="0"/>
        <i val="0"/>
        <strike val="0"/>
        <color theme="0" tint="-0.14996795556505021"/>
      </font>
      <fill>
        <patternFill patternType="none">
          <bgColor indexed="65"/>
        </patternFill>
      </fill>
    </dxf>
    <dxf>
      <font>
        <b val="0"/>
        <i val="0"/>
        <strike val="0"/>
        <color theme="0" tint="-0.14996795556505021"/>
      </font>
      <fill>
        <patternFill patternType="none">
          <bgColor indexed="65"/>
        </patternFill>
      </fill>
    </dxf>
    <dxf>
      <font>
        <strike val="0"/>
        <color theme="0" tint="-0.14996795556505021"/>
      </font>
    </dxf>
    <dxf>
      <font>
        <b val="0"/>
        <i val="0"/>
        <strike val="0"/>
        <condense val="0"/>
        <extend val="0"/>
        <color indexed="9"/>
      </font>
      <fill>
        <patternFill patternType="none">
          <bgColor indexed="65"/>
        </patternFill>
      </fill>
    </dxf>
    <dxf>
      <font>
        <color theme="0" tint="-0.14996795556505021"/>
      </font>
    </dxf>
    <dxf>
      <font>
        <b val="0"/>
        <i val="0"/>
        <strike val="0"/>
        <condense val="0"/>
        <extend val="0"/>
        <color indexed="9"/>
      </font>
      <fill>
        <patternFill patternType="none">
          <bgColor indexed="65"/>
        </patternFill>
      </fill>
    </dxf>
    <dxf>
      <font>
        <strike val="0"/>
        <color theme="0" tint="-0.14996795556505021"/>
        <name val="Cambria"/>
        <scheme val="none"/>
      </font>
      <fill>
        <patternFill patternType="none">
          <bgColor indexed="65"/>
        </patternFill>
      </fill>
    </dxf>
    <dxf>
      <font>
        <condense val="0"/>
        <extend val="0"/>
        <color indexed="9"/>
      </font>
      <fill>
        <patternFill patternType="none">
          <bgColor indexed="65"/>
        </patternFill>
      </fill>
    </dxf>
    <dxf>
      <font>
        <strike val="0"/>
        <color theme="0" tint="-0.14996795556505021"/>
        <name val="Cambria"/>
        <scheme val="none"/>
      </font>
      <fill>
        <patternFill patternType="none">
          <bgColor indexed="65"/>
        </patternFill>
      </fill>
    </dxf>
    <dxf>
      <font>
        <b/>
        <i val="0"/>
        <condense val="0"/>
        <extend val="0"/>
        <color indexed="10"/>
      </font>
    </dxf>
    <dxf>
      <font>
        <strike val="0"/>
        <color theme="0" tint="-0.14996795556505021"/>
        <name val="Cambria"/>
        <scheme val="none"/>
      </font>
      <fill>
        <patternFill patternType="none">
          <bgColor indexed="65"/>
        </patternFill>
      </fill>
    </dxf>
    <dxf>
      <font>
        <color theme="0" tint="-0.34998626667073579"/>
      </font>
    </dxf>
    <dxf>
      <font>
        <color theme="0"/>
      </font>
      <border>
        <left/>
        <right/>
        <top/>
        <bottom/>
      </border>
    </dxf>
    <dxf>
      <border>
        <top style="thin">
          <color auto="1"/>
        </top>
        <bottom/>
        <vertical/>
        <horizontal/>
      </border>
    </dxf>
    <dxf>
      <border>
        <top style="thin">
          <color auto="1"/>
        </top>
        <bottom/>
        <vertical/>
        <horizontal/>
      </border>
    </dxf>
    <dxf>
      <border>
        <left style="thin">
          <color auto="1"/>
        </left>
        <vertical/>
        <horizontal/>
      </border>
    </dxf>
    <dxf>
      <border>
        <bottom style="thin">
          <color auto="1"/>
        </bottom>
        <vertical/>
        <horizontal/>
      </border>
    </dxf>
    <dxf>
      <font>
        <color theme="0"/>
      </font>
    </dxf>
    <dxf>
      <font>
        <color theme="0" tint="-0.34998626667073579"/>
      </font>
    </dxf>
    <dxf>
      <font>
        <color theme="0"/>
      </font>
      <border>
        <left/>
        <right/>
        <top/>
        <bottom/>
      </border>
    </dxf>
    <dxf>
      <border>
        <top style="thin">
          <color auto="1"/>
        </top>
        <bottom/>
        <vertical/>
        <horizontal/>
      </border>
    </dxf>
    <dxf>
      <font>
        <color theme="0" tint="-0.24994659260841701"/>
      </font>
      <fill>
        <patternFill patternType="none">
          <bgColor auto="1"/>
        </patternFill>
      </fill>
    </dxf>
    <dxf>
      <font>
        <color theme="0" tint="-0.24994659260841701"/>
      </font>
    </dxf>
    <dxf>
      <font>
        <b/>
        <i val="0"/>
        <condense val="0"/>
        <extend val="0"/>
        <color indexed="10"/>
      </font>
    </dxf>
    <dxf>
      <border>
        <top style="thin">
          <color auto="1"/>
        </top>
        <bottom/>
        <vertical/>
        <horizontal/>
      </border>
    </dxf>
    <dxf>
      <border>
        <left style="thin">
          <color auto="1"/>
        </left>
        <vertical/>
        <horizontal/>
      </border>
    </dxf>
    <dxf>
      <font>
        <color theme="0"/>
      </font>
      <fill>
        <patternFill patternType="none">
          <bgColor auto="1"/>
        </patternFill>
      </fill>
    </dxf>
    <dxf>
      <font>
        <color theme="0" tint="-0.24994659260841701"/>
      </font>
      <fill>
        <patternFill patternType="none">
          <bgColor auto="1"/>
        </patternFill>
      </fill>
    </dxf>
    <dxf>
      <border>
        <bottom style="thin">
          <color auto="1"/>
        </bottom>
        <vertical/>
        <horizontal/>
      </border>
    </dxf>
    <dxf>
      <border>
        <bottom style="thin">
          <color auto="1"/>
        </bottom>
        <vertical/>
        <horizontal/>
      </border>
    </dxf>
    <dxf>
      <border>
        <left/>
        <right style="thin">
          <color auto="1"/>
        </right>
        <top/>
        <bottom/>
        <vertical/>
        <horizontal/>
      </border>
    </dxf>
    <dxf>
      <border>
        <left style="thin">
          <color auto="1"/>
        </left>
        <right style="thin">
          <color auto="1"/>
        </right>
        <top style="thin">
          <color auto="1"/>
        </top>
        <bottom style="thin">
          <color auto="1"/>
        </bottom>
        <vertical/>
        <horizontal/>
      </border>
    </dxf>
    <dxf>
      <font>
        <color theme="0" tint="-0.24994659260841701"/>
      </font>
      <fill>
        <patternFill patternType="none">
          <bgColor auto="1"/>
        </patternFill>
      </fill>
    </dxf>
    <dxf>
      <font>
        <color rgb="FFFF0000"/>
      </font>
    </dxf>
    <dxf>
      <font>
        <strike val="0"/>
        <color theme="0" tint="-0.24994659260841701"/>
      </font>
      <fill>
        <patternFill>
          <bgColor theme="0"/>
        </patternFill>
      </fill>
    </dxf>
    <dxf>
      <font>
        <strike val="0"/>
        <color theme="0"/>
      </font>
      <fill>
        <patternFill patternType="none">
          <bgColor indexed="65"/>
        </patternFill>
      </fill>
    </dxf>
    <dxf>
      <font>
        <strike val="0"/>
        <color theme="0" tint="-0.14996795556505021"/>
      </font>
      <fill>
        <patternFill patternType="none">
          <bgColor indexed="65"/>
        </patternFill>
      </fill>
    </dxf>
    <dxf>
      <font>
        <color theme="0" tint="-0.24994659260841701"/>
      </font>
    </dxf>
    <dxf>
      <font>
        <strike val="0"/>
        <color theme="0"/>
      </font>
    </dxf>
    <dxf>
      <font>
        <strike val="0"/>
        <color theme="0" tint="-0.14996795556505021"/>
      </font>
    </dxf>
    <dxf>
      <font>
        <strike val="0"/>
        <color theme="0" tint="-0.14996795556505021"/>
      </font>
      <fill>
        <patternFill patternType="none">
          <bgColor indexed="65"/>
        </patternFill>
      </fill>
    </dxf>
    <dxf>
      <font>
        <strike val="0"/>
      </font>
      <fill>
        <patternFill>
          <bgColor rgb="FFFFFF00"/>
        </patternFill>
      </fill>
    </dxf>
    <dxf>
      <font>
        <strike val="0"/>
        <color theme="0" tint="-0.14996795556505021"/>
      </font>
      <fill>
        <patternFill patternType="none">
          <bgColor indexed="65"/>
        </patternFill>
      </fill>
    </dxf>
    <dxf>
      <font>
        <strike val="0"/>
        <color theme="0"/>
      </font>
      <fill>
        <patternFill patternType="none">
          <bgColor indexed="65"/>
        </patternFill>
      </fill>
    </dxf>
    <dxf>
      <font>
        <strike val="0"/>
        <color theme="0" tint="-0.14996795556505021"/>
      </font>
      <fill>
        <patternFill patternType="none">
          <bgColor indexed="65"/>
        </patternFill>
      </fill>
    </dxf>
    <dxf>
      <font>
        <b/>
        <i val="0"/>
        <strike val="0"/>
        <color rgb="FFFF0000"/>
      </font>
    </dxf>
    <dxf>
      <font>
        <color theme="0" tint="-0.14996795556505021"/>
      </font>
    </dxf>
    <dxf>
      <font>
        <strike val="0"/>
        <color theme="0"/>
      </font>
    </dxf>
    <dxf>
      <font>
        <strike val="0"/>
        <color theme="0"/>
      </font>
    </dxf>
    <dxf>
      <font>
        <strike val="0"/>
        <color theme="0" tint="-0.14996795556505021"/>
      </font>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i val="0"/>
      </font>
      <fill>
        <patternFill>
          <bgColor rgb="FFFF0000"/>
        </patternFill>
      </fill>
    </dxf>
    <dxf>
      <font>
        <color theme="0" tint="-0.14996795556505021"/>
      </font>
      <fill>
        <patternFill patternType="none">
          <bgColor indexed="65"/>
        </patternFill>
      </fill>
    </dxf>
    <dxf>
      <font>
        <b val="0"/>
        <i val="0"/>
        <strike val="0"/>
        <condense val="0"/>
        <extend val="0"/>
        <color indexed="9"/>
      </font>
      <fill>
        <patternFill patternType="none">
          <bgColor indexed="65"/>
        </patternFill>
      </fill>
    </dxf>
    <dxf>
      <font>
        <b val="0"/>
        <i val="0"/>
        <condense val="0"/>
        <extend val="0"/>
        <color indexed="9"/>
      </font>
      <fill>
        <patternFill patternType="none">
          <bgColor indexed="65"/>
        </patternFill>
      </fill>
    </dxf>
    <dxf>
      <font>
        <strike val="0"/>
        <color theme="0" tint="-0.14996795556505021"/>
      </font>
      <fill>
        <patternFill patternType="none">
          <bgColor indexed="65"/>
        </patternFill>
      </fill>
    </dxf>
    <dxf>
      <font>
        <b val="0"/>
        <i val="0"/>
        <condense val="0"/>
        <extend val="0"/>
        <color indexed="9"/>
      </font>
      <fill>
        <patternFill patternType="none">
          <bgColor indexed="65"/>
        </patternFill>
      </fill>
    </dxf>
    <dxf>
      <fill>
        <patternFill patternType="none">
          <bgColor indexed="65"/>
        </patternFill>
      </fill>
    </dxf>
    <dxf>
      <font>
        <b val="0"/>
        <i val="0"/>
        <condense val="0"/>
        <extend val="0"/>
        <color indexed="9"/>
      </font>
      <fill>
        <patternFill patternType="none">
          <bgColor indexed="65"/>
        </patternFill>
      </fill>
    </dxf>
    <dxf>
      <font>
        <color theme="0" tint="-0.14996795556505021"/>
      </font>
      <fill>
        <patternFill patternType="none">
          <bgColor indexed="65"/>
        </patternFill>
      </fill>
    </dxf>
    <dxf>
      <font>
        <b val="0"/>
        <i val="0"/>
        <condense val="0"/>
        <extend val="0"/>
        <color indexed="9"/>
      </font>
      <fill>
        <patternFill patternType="none">
          <bgColor indexed="65"/>
        </patternFill>
      </fill>
    </dxf>
    <dxf>
      <font>
        <color theme="0" tint="-0.14996795556505021"/>
      </font>
      <fill>
        <patternFill patternType="none">
          <bgColor indexed="65"/>
        </patternFill>
      </fill>
    </dxf>
    <dxf>
      <font>
        <b val="0"/>
        <i val="0"/>
        <condense val="0"/>
        <extend val="0"/>
        <color indexed="9"/>
      </font>
      <fill>
        <patternFill patternType="none">
          <bgColor indexed="65"/>
        </patternFill>
      </fill>
    </dxf>
    <dxf>
      <font>
        <b val="0"/>
        <i val="0"/>
        <condense val="0"/>
        <extend val="0"/>
        <color indexed="9"/>
      </font>
      <fill>
        <patternFill patternType="none">
          <bgColor indexed="65"/>
        </patternFill>
      </fill>
    </dxf>
    <dxf>
      <font>
        <strike val="0"/>
        <color theme="0" tint="-0.14996795556505021"/>
      </font>
      <fill>
        <patternFill patternType="none">
          <bgColor indexed="65"/>
        </patternFill>
      </fill>
    </dxf>
    <dxf>
      <font>
        <b val="0"/>
        <i val="0"/>
        <condense val="0"/>
        <extend val="0"/>
        <color indexed="9"/>
      </font>
      <fill>
        <patternFill patternType="none">
          <bgColor indexed="65"/>
        </patternFill>
      </fill>
    </dxf>
    <dxf>
      <font>
        <b val="0"/>
        <i val="0"/>
        <condense val="0"/>
        <extend val="0"/>
        <color indexed="9"/>
      </font>
      <fill>
        <patternFill patternType="none">
          <bgColor indexed="65"/>
        </patternFill>
      </fill>
    </dxf>
    <dxf>
      <font>
        <strike val="0"/>
        <color theme="0" tint="-0.14996795556505021"/>
      </font>
      <fill>
        <patternFill patternType="none">
          <bgColor indexed="65"/>
        </patternFill>
      </fill>
    </dxf>
    <dxf>
      <font>
        <b val="0"/>
        <i val="0"/>
        <strike val="0"/>
        <condense val="0"/>
        <extend val="0"/>
        <color indexed="9"/>
      </font>
      <fill>
        <patternFill patternType="none">
          <bgColor indexed="65"/>
        </patternFill>
      </fill>
    </dxf>
    <dxf>
      <font>
        <strike val="0"/>
        <color theme="0" tint="-0.14996795556505021"/>
      </font>
    </dxf>
    <dxf>
      <font>
        <b val="0"/>
        <i val="0"/>
        <condense val="0"/>
        <extend val="0"/>
        <color indexed="9"/>
      </font>
      <fill>
        <patternFill patternType="none">
          <bgColor indexed="65"/>
        </patternFill>
      </fill>
    </dxf>
    <dxf>
      <font>
        <color theme="0" tint="-0.14996795556505021"/>
      </font>
      <fill>
        <patternFill patternType="none">
          <bgColor indexed="65"/>
        </patternFill>
      </fill>
    </dxf>
    <dxf>
      <font>
        <color theme="0" tint="-0.14996795556505021"/>
      </font>
    </dxf>
    <dxf>
      <font>
        <strike val="0"/>
        <color theme="0" tint="-0.14996795556505021"/>
      </font>
      <fill>
        <patternFill patternType="none">
          <bgColor indexed="65"/>
        </patternFill>
      </fill>
    </dxf>
    <dxf>
      <font>
        <strike val="0"/>
        <color theme="0"/>
      </font>
      <fill>
        <patternFill patternType="none">
          <bgColor indexed="65"/>
        </patternFill>
      </fill>
    </dxf>
    <dxf>
      <font>
        <strike val="0"/>
        <color theme="0" tint="-0.14996795556505021"/>
      </font>
      <fill>
        <patternFill patternType="none">
          <bgColor indexed="65"/>
        </patternFill>
      </fill>
    </dxf>
    <dxf>
      <font>
        <b/>
        <i val="0"/>
        <color theme="1"/>
      </font>
      <fill>
        <patternFill patternType="solid">
          <bgColor rgb="FFFFFF00"/>
        </patternFill>
      </fill>
    </dxf>
    <dxf>
      <font>
        <strike val="0"/>
        <color theme="0" tint="-0.24994659260841701"/>
      </font>
      <fill>
        <patternFill patternType="none">
          <bgColor indexed="65"/>
        </patternFill>
      </fill>
    </dxf>
    <dxf>
      <font>
        <strike val="0"/>
        <color theme="0" tint="-0.14996795556505021"/>
      </font>
      <fill>
        <patternFill patternType="none">
          <bgColor indexed="65"/>
        </patternFill>
      </fill>
    </dxf>
    <dxf>
      <font>
        <condense val="0"/>
        <extend val="0"/>
        <color indexed="9"/>
      </font>
      <fill>
        <patternFill patternType="none">
          <bgColor indexed="65"/>
        </patternFill>
      </fill>
    </dxf>
    <dxf>
      <font>
        <strike val="0"/>
        <color theme="0" tint="-0.14996795556505021"/>
      </font>
      <fill>
        <patternFill patternType="none">
          <bgColor indexed="65"/>
        </patternFill>
      </fill>
    </dxf>
    <dxf>
      <font>
        <b/>
        <i val="0"/>
        <color theme="0"/>
      </font>
      <fill>
        <patternFill patternType="none">
          <bgColor indexed="65"/>
        </patternFill>
      </fill>
    </dxf>
    <dxf>
      <font>
        <strike val="0"/>
        <color theme="0" tint="-0.14996795556505021"/>
      </font>
      <fill>
        <patternFill patternType="none">
          <bgColor indexed="65"/>
        </patternFill>
      </fill>
    </dxf>
    <dxf>
      <font>
        <b/>
        <i val="0"/>
        <strike val="0"/>
        <color theme="0"/>
      </font>
      <fill>
        <patternFill patternType="none">
          <bgColor indexed="65"/>
        </patternFill>
      </fill>
    </dxf>
    <dxf>
      <font>
        <strike val="0"/>
        <color theme="0" tint="-0.14996795556505021"/>
      </font>
      <fill>
        <patternFill patternType="none">
          <bgColor indexed="65"/>
        </patternFill>
      </fill>
    </dxf>
    <dxf>
      <font>
        <b/>
        <i val="0"/>
        <color theme="0"/>
      </font>
      <fill>
        <patternFill patternType="none">
          <bgColor indexed="65"/>
        </patternFill>
      </fill>
    </dxf>
    <dxf>
      <font>
        <strike val="0"/>
        <color theme="0" tint="-0.14996795556505021"/>
      </font>
      <fill>
        <patternFill patternType="none">
          <bgColor indexed="65"/>
        </patternFill>
      </fill>
    </dxf>
    <dxf>
      <font>
        <b/>
        <i val="0"/>
        <strike/>
        <color theme="0"/>
      </font>
      <fill>
        <patternFill patternType="none">
          <bgColor indexed="65"/>
        </patternFill>
      </fill>
    </dxf>
    <dxf>
      <font>
        <strike val="0"/>
        <color theme="0" tint="-0.14996795556505021"/>
      </font>
      <fill>
        <patternFill patternType="none">
          <bgColor indexed="65"/>
        </patternFill>
      </fill>
    </dxf>
    <dxf>
      <font>
        <b/>
        <i val="0"/>
        <condense val="0"/>
        <extend val="0"/>
        <color indexed="10"/>
      </font>
    </dxf>
    <dxf>
      <font>
        <strike val="0"/>
        <color theme="0" tint="-0.14993743705557422"/>
      </font>
      <fill>
        <patternFill patternType="none">
          <bgColor indexed="65"/>
        </patternFill>
      </fill>
    </dxf>
    <dxf>
      <font>
        <strike val="0"/>
        <color theme="0" tint="-0.14993743705557422"/>
      </font>
      <fill>
        <patternFill patternType="none">
          <bgColor indexed="65"/>
        </patternFill>
      </fill>
    </dxf>
    <dxf>
      <font>
        <strike val="0"/>
        <color theme="0" tint="-0.14993743705557422"/>
      </font>
      <fill>
        <patternFill patternType="none">
          <bgColor indexed="65"/>
        </patternFill>
      </fill>
    </dxf>
    <dxf>
      <font>
        <color theme="0"/>
      </font>
      <fill>
        <patternFill patternType="none">
          <bgColor auto="1"/>
        </patternFill>
      </fill>
    </dxf>
    <dxf>
      <font>
        <color theme="0" tint="-0.14996795556505021"/>
      </font>
      <fill>
        <patternFill patternType="none">
          <bgColor auto="1"/>
        </patternFill>
      </fill>
    </dxf>
    <dxf>
      <font>
        <b val="0"/>
        <i val="0"/>
        <strike val="0"/>
        <condense val="0"/>
        <extend val="0"/>
        <color indexed="9"/>
      </font>
      <fill>
        <patternFill patternType="none">
          <bgColor indexed="65"/>
        </patternFill>
      </fill>
    </dxf>
    <dxf>
      <font>
        <strike val="0"/>
        <color theme="0" tint="-0.14996795556505021"/>
      </font>
      <fill>
        <patternFill patternType="none">
          <bgColor auto="1"/>
        </patternFill>
      </fill>
    </dxf>
    <dxf>
      <font>
        <strike val="0"/>
        <color theme="0"/>
      </font>
      <fill>
        <patternFill patternType="none">
          <bgColor indexed="65"/>
        </patternFill>
      </fill>
    </dxf>
    <dxf>
      <font>
        <strike val="0"/>
        <color theme="0" tint="-0.14996795556505021"/>
      </font>
      <fill>
        <patternFill patternType="none">
          <bgColor indexed="65"/>
        </patternFill>
      </fill>
    </dxf>
    <dxf>
      <fill>
        <patternFill>
          <bgColor rgb="FFFF0000"/>
        </patternFill>
      </fill>
    </dxf>
    <dxf>
      <font>
        <color theme="0" tint="-0.14996795556505021"/>
      </font>
      <fill>
        <patternFill patternType="none">
          <bgColor auto="1"/>
        </patternFill>
      </fill>
    </dxf>
    <dxf>
      <font>
        <color theme="0"/>
      </font>
    </dxf>
    <dxf>
      <font>
        <color theme="0"/>
      </font>
      <border>
        <left/>
        <right/>
        <top/>
        <bottom/>
        <vertical/>
        <horizontal/>
      </border>
    </dxf>
    <dxf>
      <border>
        <bottom style="thin">
          <color auto="1"/>
        </bottom>
        <vertical/>
        <horizontal/>
      </border>
    </dxf>
    <dxf>
      <border>
        <top style="thin">
          <color auto="1"/>
        </top>
        <vertical/>
        <horizontal/>
      </border>
    </dxf>
    <dxf>
      <font>
        <color theme="0"/>
      </font>
      <border>
        <left/>
        <right/>
        <top/>
        <bottom/>
        <vertical/>
        <horizontal/>
      </border>
    </dxf>
    <dxf>
      <fill>
        <patternFill patternType="none">
          <bgColor auto="1"/>
        </patternFill>
      </fill>
      <border>
        <left/>
        <right/>
        <top/>
        <bottom/>
        <vertical/>
        <horizontal/>
      </border>
    </dxf>
    <dxf>
      <font>
        <color theme="0" tint="-0.14996795556505021"/>
      </font>
    </dxf>
    <dxf>
      <font>
        <color theme="0"/>
      </font>
      <fill>
        <patternFill patternType="none">
          <bgColor indexed="65"/>
        </patternFill>
      </fill>
    </dxf>
    <dxf>
      <font>
        <strike val="0"/>
        <color theme="0" tint="-0.14993743705557422"/>
      </font>
      <fill>
        <patternFill patternType="none">
          <bgColor indexed="65"/>
        </patternFill>
      </fill>
    </dxf>
    <dxf>
      <font>
        <strike val="0"/>
        <color theme="0"/>
      </font>
      <border>
        <top/>
        <bottom/>
      </border>
    </dxf>
    <dxf>
      <font>
        <strike val="0"/>
        <color theme="0" tint="-0.24994659260841701"/>
      </font>
      <fill>
        <patternFill patternType="none">
          <bgColor indexed="65"/>
        </patternFill>
      </fill>
    </dxf>
    <dxf>
      <font>
        <strike val="0"/>
        <color theme="0"/>
      </font>
      <fill>
        <patternFill patternType="none">
          <bgColor indexed="65"/>
        </patternFill>
      </fill>
      <border>
        <left/>
        <right/>
        <top/>
        <bottom/>
      </border>
    </dxf>
    <dxf>
      <font>
        <b/>
        <i val="0"/>
        <strike val="0"/>
        <color theme="0"/>
      </font>
      <fill>
        <patternFill patternType="none">
          <bgColor indexed="65"/>
        </patternFill>
      </fill>
    </dxf>
    <dxf>
      <font>
        <strike val="0"/>
        <color theme="0" tint="-0.14996795556505021"/>
      </font>
      <fill>
        <patternFill patternType="none">
          <bgColor indexed="65"/>
        </patternFill>
      </fill>
    </dxf>
    <dxf>
      <font>
        <b/>
        <i val="0"/>
        <condense val="0"/>
        <extend val="0"/>
        <color indexed="10"/>
      </font>
    </dxf>
    <dxf>
      <font>
        <b/>
        <i val="0"/>
        <condense val="0"/>
        <extend val="0"/>
        <color indexed="10"/>
      </font>
    </dxf>
    <dxf>
      <font>
        <strike val="0"/>
        <color theme="0" tint="-0.14996795556505021"/>
      </font>
    </dxf>
    <dxf>
      <font>
        <color theme="1"/>
      </font>
      <fill>
        <patternFill>
          <bgColor theme="0"/>
        </patternFill>
      </fill>
      <border>
        <right style="thin">
          <color theme="3" tint="0.39994506668294322"/>
        </right>
      </border>
    </dxf>
    <dxf>
      <font>
        <color theme="1"/>
      </font>
      <fill>
        <patternFill>
          <bgColor theme="0"/>
        </patternFill>
      </fill>
      <border>
        <right style="thin">
          <color theme="3" tint="0.39994506668294322"/>
        </right>
      </border>
    </dxf>
    <dxf>
      <font>
        <color theme="1"/>
      </font>
      <fill>
        <patternFill>
          <bgColor theme="0"/>
        </patternFill>
      </fill>
      <border>
        <right style="thin">
          <color theme="3" tint="0.39994506668294322"/>
        </right>
      </border>
    </dxf>
    <dxf>
      <font>
        <color theme="1"/>
      </font>
      <fill>
        <patternFill>
          <bgColor theme="0"/>
        </patternFill>
      </fill>
      <border>
        <right style="thin">
          <color theme="3" tint="0.39994506668294322"/>
        </right>
      </border>
    </dxf>
    <dxf>
      <font>
        <color theme="1"/>
      </font>
      <fill>
        <patternFill>
          <bgColor theme="0"/>
        </patternFill>
      </fill>
      <border>
        <right style="thin">
          <color theme="3" tint="0.39994506668294322"/>
        </right>
      </border>
    </dxf>
    <dxf>
      <font>
        <color theme="1"/>
      </font>
      <border>
        <bottom style="thin">
          <color theme="3" tint="0.39994506668294322"/>
        </bottom>
      </border>
    </dxf>
    <dxf>
      <font>
        <color theme="1"/>
      </font>
      <border>
        <bottom style="thin">
          <color theme="3" tint="0.39994506668294322"/>
        </bottom>
      </border>
    </dxf>
    <dxf>
      <font>
        <color theme="1"/>
      </font>
      <border>
        <bottom style="thin">
          <color theme="3" tint="0.39994506668294322"/>
        </bottom>
      </border>
    </dxf>
    <dxf>
      <font>
        <color theme="1"/>
      </font>
      <border>
        <bottom style="thin">
          <color theme="3" tint="0.39994506668294322"/>
        </bottom>
      </border>
    </dxf>
    <dxf>
      <font>
        <color theme="1"/>
      </font>
      <border>
        <top style="thin">
          <color theme="3" tint="0.39994506668294322"/>
        </top>
      </border>
    </dxf>
    <dxf>
      <font>
        <color theme="1"/>
      </font>
      <border>
        <top style="thin">
          <color theme="3" tint="0.39994506668294322"/>
        </top>
      </border>
    </dxf>
    <dxf>
      <font>
        <color theme="1"/>
      </font>
      <border>
        <top style="thin">
          <color theme="3" tint="0.39994506668294322"/>
        </top>
      </border>
    </dxf>
    <dxf>
      <font>
        <color theme="1"/>
      </font>
      <border>
        <top style="thin">
          <color theme="3" tint="0.39994506668294322"/>
        </top>
      </border>
    </dxf>
    <dxf>
      <font>
        <color theme="1"/>
      </font>
      <border>
        <left style="thin">
          <color theme="3" tint="0.39994506668294322"/>
        </left>
      </border>
    </dxf>
    <dxf>
      <font>
        <color theme="1"/>
      </font>
      <border>
        <left style="thin">
          <color theme="3" tint="0.39994506668294322"/>
        </left>
      </border>
    </dxf>
    <dxf>
      <font>
        <color theme="1"/>
      </font>
      <border>
        <left style="thin">
          <color theme="3" tint="0.39994506668294322"/>
        </left>
      </border>
    </dxf>
    <dxf>
      <font>
        <color theme="1"/>
      </font>
      <border>
        <left style="thin">
          <color theme="3" tint="0.39994506668294322"/>
        </left>
      </border>
    </dxf>
    <dxf>
      <font>
        <color theme="1"/>
      </font>
      <border>
        <left style="thin">
          <color theme="3" tint="0.39994506668294322"/>
        </left>
      </border>
    </dxf>
    <dxf>
      <font>
        <color theme="1"/>
      </font>
    </dxf>
    <dxf>
      <font>
        <color theme="1"/>
      </font>
    </dxf>
    <dxf>
      <font>
        <color theme="1"/>
      </font>
    </dxf>
    <dxf>
      <font>
        <color theme="1"/>
      </font>
    </dxf>
    <dxf>
      <font>
        <color theme="1"/>
      </font>
      <border>
        <left/>
        <right/>
        <top/>
        <bottom/>
      </border>
    </dxf>
    <dxf>
      <font>
        <color theme="1"/>
      </font>
      <fill>
        <patternFill>
          <bgColor theme="0"/>
        </patternFill>
      </fill>
      <border>
        <left/>
        <right/>
        <top/>
        <bottom/>
      </border>
    </dxf>
    <dxf>
      <font>
        <color theme="1"/>
      </font>
      <border>
        <left/>
        <right/>
        <top/>
        <bottom/>
      </border>
    </dxf>
    <dxf>
      <font>
        <color theme="1"/>
      </font>
      <border>
        <left/>
        <right/>
        <top/>
        <bottom/>
      </border>
    </dxf>
    <dxf>
      <font>
        <color theme="0"/>
      </font>
      <fill>
        <patternFill>
          <bgColor theme="0"/>
        </patternFill>
      </fill>
      <border>
        <left/>
        <right/>
        <top/>
        <bottom/>
      </border>
    </dxf>
    <dxf>
      <font>
        <b/>
        <i val="0"/>
        <color rgb="FFFF0000"/>
      </font>
    </dxf>
    <dxf>
      <font>
        <b/>
        <i val="0"/>
        <color rgb="FFFF0000"/>
      </font>
    </dxf>
    <dxf>
      <font>
        <color theme="0"/>
      </font>
    </dxf>
    <dxf>
      <font>
        <strike val="0"/>
        <color theme="0"/>
      </font>
    </dxf>
    <dxf>
      <font>
        <b/>
        <i val="0"/>
        <color rgb="FFFF0000"/>
      </font>
    </dxf>
    <dxf>
      <font>
        <color theme="1"/>
      </font>
    </dxf>
    <dxf>
      <font>
        <color theme="1"/>
      </font>
      <border>
        <bottom style="thin">
          <color auto="1"/>
        </bottom>
      </border>
    </dxf>
    <dxf>
      <font>
        <color theme="1"/>
      </font>
      <border>
        <right style="thin">
          <color auto="1"/>
        </right>
        <bottom style="thin">
          <color auto="1"/>
        </bottom>
        <vertical/>
        <horizontal/>
      </border>
    </dxf>
    <dxf>
      <font>
        <color theme="1"/>
      </font>
      <border>
        <left style="thin">
          <color auto="1"/>
        </left>
        <bottom style="thin">
          <color auto="1"/>
        </bottom>
        <vertical/>
        <horizontal/>
      </border>
    </dxf>
    <dxf>
      <font>
        <color theme="1"/>
      </font>
      <border>
        <left style="thin">
          <color auto="1"/>
        </left>
        <vertical/>
        <horizontal/>
      </border>
    </dxf>
    <dxf>
      <border>
        <left style="thin">
          <color auto="1"/>
        </left>
        <top style="thin">
          <color auto="1"/>
        </top>
        <vertical/>
        <horizontal/>
      </border>
    </dxf>
    <dxf>
      <border>
        <left/>
        <right/>
        <top style="thin">
          <color auto="1"/>
        </top>
        <bottom/>
        <vertical/>
        <horizontal/>
      </border>
    </dxf>
    <dxf>
      <border>
        <right style="thin">
          <color auto="1"/>
        </right>
        <top style="thin">
          <color auto="1"/>
        </top>
        <vertical/>
        <horizontal/>
      </border>
    </dxf>
    <dxf>
      <border>
        <right style="thin">
          <color auto="1"/>
        </right>
        <vertical/>
        <horizontal/>
      </border>
    </dxf>
    <dxf>
      <font>
        <strike val="0"/>
        <color theme="0"/>
      </font>
    </dxf>
    <dxf>
      <font>
        <strike val="0"/>
        <color theme="0"/>
      </font>
    </dxf>
    <dxf>
      <font>
        <strike val="0"/>
        <color rgb="FFFF0000"/>
      </font>
    </dxf>
    <dxf>
      <font>
        <strike val="0"/>
        <color theme="0"/>
      </font>
    </dxf>
    <dxf>
      <font>
        <strike val="0"/>
        <color theme="0"/>
      </font>
    </dxf>
    <dxf>
      <font>
        <b val="0"/>
        <i val="0"/>
        <color theme="0"/>
      </font>
    </dxf>
    <dxf>
      <font>
        <b/>
        <i val="0"/>
        <condense val="0"/>
        <extend val="0"/>
        <color indexed="10"/>
      </font>
    </dxf>
    <dxf>
      <fill>
        <patternFill patternType="lightVertical">
          <fgColor rgb="FFFFC000"/>
          <bgColor indexed="65"/>
        </patternFill>
      </fill>
    </dxf>
    <dxf>
      <font>
        <b val="0"/>
        <i val="0"/>
        <strike/>
        <color rgb="FFFF0000"/>
      </font>
      <fill>
        <patternFill patternType="none">
          <bgColor indexed="65"/>
        </patternFill>
      </fill>
    </dxf>
    <dxf>
      <fill>
        <patternFill>
          <bgColor rgb="FFFF0000"/>
        </patternFill>
      </fill>
    </dxf>
    <dxf>
      <fill>
        <patternFill>
          <bgColor rgb="FFFF0000"/>
        </patternFill>
      </fill>
    </dxf>
    <dxf>
      <font>
        <b/>
        <i val="0"/>
        <color theme="1"/>
      </font>
      <fill>
        <patternFill>
          <bgColor rgb="FFFF0000"/>
        </patternFill>
      </fill>
    </dxf>
    <dxf>
      <font>
        <strike/>
        <color rgb="FFFF0000"/>
      </font>
    </dxf>
    <dxf>
      <font>
        <strike/>
        <color rgb="FFFF0000"/>
      </font>
    </dxf>
    <dxf>
      <font>
        <strike/>
        <color rgb="FFFF0000"/>
      </font>
    </dxf>
    <dxf>
      <font>
        <strike/>
        <color rgb="FFFF0000"/>
      </font>
    </dxf>
    <dxf>
      <font>
        <color theme="0" tint="-4.9989318521683403E-2"/>
      </font>
    </dxf>
    <dxf>
      <font>
        <strike val="0"/>
        <color theme="0" tint="-0.24994659260841701"/>
      </font>
      <fill>
        <patternFill patternType="none">
          <bgColor auto="1"/>
        </patternFill>
      </fill>
      <border>
        <vertical/>
        <horizontal/>
      </border>
    </dxf>
    <dxf>
      <font>
        <b val="0"/>
        <i val="0"/>
        <strike val="0"/>
        <condense val="0"/>
        <extend val="0"/>
        <color indexed="9"/>
      </font>
      <fill>
        <patternFill patternType="none">
          <bgColor indexed="65"/>
        </patternFill>
      </fill>
    </dxf>
    <dxf>
      <font>
        <color theme="0" tint="-0.14996795556505021"/>
      </font>
      <fill>
        <patternFill patternType="none">
          <bgColor auto="1"/>
        </patternFill>
      </fill>
    </dxf>
    <dxf>
      <font>
        <b val="0"/>
        <i val="0"/>
        <strike val="0"/>
        <condense val="0"/>
        <extend val="0"/>
        <color indexed="9"/>
      </font>
      <fill>
        <patternFill patternType="none">
          <bgColor indexed="65"/>
        </patternFill>
      </fill>
    </dxf>
    <dxf>
      <font>
        <strike val="0"/>
        <color theme="0"/>
      </font>
      <fill>
        <patternFill patternType="none">
          <bgColor indexed="65"/>
        </patternFill>
      </fill>
    </dxf>
    <dxf>
      <font>
        <color theme="0" tint="-0.14996795556505021"/>
      </font>
      <fill>
        <patternFill patternType="none">
          <bgColor auto="1"/>
        </patternFill>
      </fill>
    </dxf>
    <dxf>
      <font>
        <color theme="0"/>
      </font>
      <fill>
        <patternFill patternType="none">
          <bgColor indexed="65"/>
        </patternFill>
      </fill>
    </dxf>
    <dxf>
      <font>
        <color theme="0" tint="-0.14996795556505021"/>
      </font>
      <fill>
        <patternFill patternType="none">
          <bgColor auto="1"/>
        </patternFill>
      </fill>
    </dxf>
    <dxf>
      <font>
        <b val="0"/>
        <i val="0"/>
        <strike val="0"/>
        <condense val="0"/>
        <extend val="0"/>
        <color indexed="9"/>
      </font>
      <fill>
        <patternFill patternType="none">
          <bgColor indexed="65"/>
        </patternFill>
      </fill>
    </dxf>
    <dxf>
      <font>
        <color theme="0" tint="-0.14996795556505021"/>
      </font>
      <fill>
        <patternFill patternType="none">
          <bgColor auto="1"/>
        </patternFill>
      </fill>
    </dxf>
    <dxf>
      <font>
        <b/>
        <i val="0"/>
        <color rgb="FFFF0000"/>
      </font>
    </dxf>
    <dxf>
      <font>
        <color theme="0"/>
      </font>
      <fill>
        <patternFill patternType="none">
          <bgColor auto="1"/>
        </patternFill>
      </fill>
    </dxf>
    <dxf>
      <font>
        <color theme="0" tint="-0.14996795556505021"/>
      </font>
      <fill>
        <patternFill patternType="none">
          <bgColor auto="1"/>
        </patternFill>
      </fill>
    </dxf>
    <dxf>
      <font>
        <color theme="0"/>
      </font>
      <fill>
        <patternFill patternType="none">
          <bgColor auto="1"/>
        </patternFill>
      </fill>
    </dxf>
    <dxf>
      <font>
        <color theme="0" tint="-0.14996795556505021"/>
      </font>
    </dxf>
    <dxf>
      <font>
        <b val="0"/>
        <i val="0"/>
        <strike val="0"/>
        <condense val="0"/>
        <extend val="0"/>
        <color indexed="9"/>
      </font>
      <fill>
        <patternFill patternType="none">
          <bgColor indexed="65"/>
        </patternFill>
      </fill>
    </dxf>
    <dxf>
      <font>
        <b val="0"/>
        <i val="0"/>
        <strike val="0"/>
        <condense val="0"/>
        <extend val="0"/>
        <color indexed="9"/>
      </font>
      <fill>
        <patternFill patternType="none">
          <bgColor indexed="65"/>
        </patternFill>
      </fill>
    </dxf>
    <dxf>
      <font>
        <b val="0"/>
        <i val="0"/>
        <strike val="0"/>
        <condense val="0"/>
        <extend val="0"/>
        <color indexed="9"/>
      </font>
      <fill>
        <patternFill patternType="none">
          <bgColor indexed="65"/>
        </patternFill>
      </fill>
    </dxf>
    <dxf>
      <font>
        <color theme="0" tint="-0.14996795556505021"/>
      </font>
      <fill>
        <patternFill patternType="none">
          <bgColor auto="1"/>
        </patternFill>
      </fill>
    </dxf>
    <dxf>
      <font>
        <b val="0"/>
        <i val="0"/>
        <strike val="0"/>
        <condense val="0"/>
        <extend val="0"/>
        <color indexed="9"/>
      </font>
      <fill>
        <patternFill patternType="none">
          <bgColor indexed="65"/>
        </patternFill>
      </fill>
    </dxf>
    <dxf>
      <font>
        <b/>
        <i val="0"/>
        <condense val="0"/>
        <extend val="0"/>
        <color indexed="10"/>
      </font>
    </dxf>
    <dxf>
      <font>
        <strike val="0"/>
        <color theme="0"/>
      </font>
      <fill>
        <patternFill patternType="none">
          <bgColor indexed="65"/>
        </patternFill>
      </fill>
      <border>
        <left/>
        <right/>
        <top/>
        <bottom/>
      </border>
    </dxf>
    <dxf>
      <font>
        <strike val="0"/>
        <color theme="0"/>
      </font>
      <fill>
        <patternFill patternType="none">
          <bgColor indexed="65"/>
        </patternFill>
      </fill>
      <border>
        <left/>
        <right/>
        <top/>
        <bottom/>
      </border>
    </dxf>
    <dxf>
      <font>
        <color theme="0"/>
      </font>
      <fill>
        <patternFill patternType="none">
          <bgColor auto="1"/>
        </patternFill>
      </fill>
      <border>
        <left/>
        <right/>
        <bottom/>
        <vertical/>
        <horizontal/>
      </border>
    </dxf>
    <dxf>
      <font>
        <color theme="0"/>
      </font>
      <fill>
        <patternFill patternType="none">
          <bgColor auto="1"/>
        </patternFill>
      </fill>
    </dxf>
    <dxf>
      <fill>
        <patternFill>
          <bgColor rgb="FFFF0000"/>
        </patternFill>
      </fill>
    </dxf>
    <dxf>
      <font>
        <color theme="0" tint="-0.14996795556505021"/>
      </font>
    </dxf>
    <dxf>
      <font>
        <strike val="0"/>
        <color theme="0"/>
      </font>
      <fill>
        <patternFill patternType="none">
          <bgColor indexed="65"/>
        </patternFill>
      </fill>
      <border>
        <left/>
        <right/>
        <top/>
        <bottom/>
      </border>
    </dxf>
    <dxf>
      <font>
        <color theme="0"/>
      </font>
    </dxf>
    <dxf>
      <font>
        <b/>
        <i val="0"/>
        <color theme="0"/>
      </font>
      <fill>
        <patternFill patternType="none">
          <bgColor indexed="65"/>
        </patternFill>
      </fill>
    </dxf>
    <dxf>
      <font>
        <color theme="0"/>
      </font>
      <fill>
        <patternFill patternType="none">
          <bgColor indexed="65"/>
        </patternFill>
      </fill>
    </dxf>
    <dxf>
      <font>
        <b val="0"/>
        <i val="0"/>
        <strike val="0"/>
        <color theme="0"/>
      </font>
      <fill>
        <patternFill patternType="none">
          <bgColor indexed="65"/>
        </patternFill>
      </fill>
    </dxf>
    <dxf>
      <font>
        <b val="0"/>
        <i val="0"/>
        <strike val="0"/>
        <condense val="0"/>
        <extend val="0"/>
        <color indexed="9"/>
      </font>
      <fill>
        <patternFill patternType="none">
          <bgColor indexed="65"/>
        </patternFill>
      </fill>
    </dxf>
    <dxf>
      <font>
        <b/>
        <i val="0"/>
        <condense val="0"/>
        <extend val="0"/>
        <color indexed="10"/>
      </font>
    </dxf>
    <dxf>
      <fill>
        <patternFill>
          <bgColor indexed="10"/>
        </patternFill>
      </fill>
    </dxf>
    <dxf>
      <font>
        <color theme="0"/>
      </font>
      <fill>
        <patternFill patternType="none">
          <bgColor indexed="65"/>
        </patternFill>
      </fill>
    </dxf>
    <dxf>
      <font>
        <strike val="0"/>
        <color theme="0"/>
      </font>
      <fill>
        <patternFill patternType="none">
          <bgColor indexed="65"/>
        </patternFill>
      </fill>
      <border>
        <left/>
        <right/>
        <top/>
        <bottom/>
      </border>
    </dxf>
    <dxf>
      <font>
        <strike val="0"/>
        <color theme="0"/>
      </font>
      <fill>
        <patternFill patternType="none">
          <bgColor indexed="65"/>
        </patternFill>
      </fill>
      <border>
        <left/>
        <right/>
        <top/>
        <bottom/>
      </border>
    </dxf>
    <dxf>
      <font>
        <b val="0"/>
        <i val="0"/>
        <condense val="0"/>
        <extend val="0"/>
        <color indexed="9"/>
      </font>
      <border>
        <left/>
        <right/>
        <top/>
        <bottom/>
      </border>
    </dxf>
  </dxfs>
  <tableStyles count="0" defaultTableStyle="TableStyleMedium9" defaultPivotStyle="PivotStyleLight16"/>
  <colors>
    <mruColors>
      <color rgb="FF0000FF"/>
      <color rgb="FFFFFF00"/>
      <color rgb="FF6600FF"/>
      <color rgb="FF009999"/>
      <color rgb="FFFF00FF"/>
      <color rgb="FFCCFFCC"/>
      <color rgb="FF99FF99"/>
      <color rgb="FFCC99FF"/>
      <color rgb="FF663300"/>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619047619047623E-2"/>
          <c:y val="0.10097130962078008"/>
          <c:w val="0.87166159108160268"/>
          <c:h val="0.7073733369535955"/>
        </c:manualLayout>
      </c:layout>
      <c:scatterChart>
        <c:scatterStyle val="lineMarker"/>
        <c:varyColors val="0"/>
        <c:ser>
          <c:idx val="1"/>
          <c:order val="0"/>
          <c:tx>
            <c:strRef>
              <c:f>Chart!$BY$4</c:f>
              <c:strCache>
                <c:ptCount val="1"/>
              </c:strCache>
            </c:strRef>
          </c:tx>
          <c:spPr>
            <a:ln w="28575">
              <a:noFill/>
            </a:ln>
          </c:spPr>
          <c:marker>
            <c:symbol val="square"/>
            <c:size val="4"/>
            <c:spPr>
              <a:solidFill>
                <a:srgbClr val="00FFFF"/>
              </a:solidFill>
              <a:ln>
                <a:solidFill>
                  <a:srgbClr val="00FFFF"/>
                </a:solidFill>
                <a:prstDash val="solid"/>
              </a:ln>
            </c:spPr>
          </c:marker>
          <c:xVal>
            <c:numRef>
              <c:f>[0]!X_01</c:f>
              <c:numCache>
                <c:formatCode>0.0</c:formatCode>
                <c:ptCount val="1"/>
                <c:pt idx="0">
                  <c:v>#N/A</c:v>
                </c:pt>
              </c:numCache>
            </c:numRef>
          </c:xVal>
          <c:yVal>
            <c:numRef>
              <c:f>[0]!Y_01</c:f>
              <c:numCache>
                <c:formatCode>0.0</c:formatCode>
                <c:ptCount val="1"/>
                <c:pt idx="0">
                  <c:v>#N/A</c:v>
                </c:pt>
              </c:numCache>
            </c:numRef>
          </c:yVal>
          <c:smooth val="0"/>
        </c:ser>
        <c:ser>
          <c:idx val="2"/>
          <c:order val="1"/>
          <c:tx>
            <c:strRef>
              <c:f>Chart!$BY$5</c:f>
              <c:strCache>
                <c:ptCount val="1"/>
              </c:strCache>
            </c:strRef>
          </c:tx>
          <c:spPr>
            <a:ln w="28575">
              <a:noFill/>
            </a:ln>
          </c:spPr>
          <c:marker>
            <c:symbol val="square"/>
            <c:size val="4"/>
            <c:spPr>
              <a:solidFill>
                <a:srgbClr val="0000FF"/>
              </a:solidFill>
              <a:ln>
                <a:solidFill>
                  <a:srgbClr val="0000FF"/>
                </a:solidFill>
                <a:prstDash val="solid"/>
              </a:ln>
            </c:spPr>
          </c:marker>
          <c:xVal>
            <c:numRef>
              <c:f>[0]!X_02</c:f>
              <c:numCache>
                <c:formatCode>0.0</c:formatCode>
                <c:ptCount val="1"/>
                <c:pt idx="0">
                  <c:v>#N/A</c:v>
                </c:pt>
              </c:numCache>
            </c:numRef>
          </c:xVal>
          <c:yVal>
            <c:numRef>
              <c:f>[0]!Y_02</c:f>
              <c:numCache>
                <c:formatCode>0.0</c:formatCode>
                <c:ptCount val="1"/>
                <c:pt idx="0">
                  <c:v>#N/A</c:v>
                </c:pt>
              </c:numCache>
            </c:numRef>
          </c:yVal>
          <c:smooth val="0"/>
        </c:ser>
        <c:ser>
          <c:idx val="3"/>
          <c:order val="2"/>
          <c:tx>
            <c:strRef>
              <c:f>Chart!$BY$6</c:f>
              <c:strCache>
                <c:ptCount val="1"/>
              </c:strCache>
            </c:strRef>
          </c:tx>
          <c:spPr>
            <a:ln w="28575">
              <a:noFill/>
            </a:ln>
          </c:spPr>
          <c:marker>
            <c:symbol val="square"/>
            <c:size val="4"/>
            <c:spPr>
              <a:solidFill>
                <a:srgbClr val="FFFF00"/>
              </a:solidFill>
              <a:ln>
                <a:solidFill>
                  <a:srgbClr val="FF0000"/>
                </a:solidFill>
                <a:prstDash val="solid"/>
              </a:ln>
            </c:spPr>
          </c:marker>
          <c:xVal>
            <c:numRef>
              <c:f>[0]!X_03</c:f>
              <c:numCache>
                <c:formatCode>0.0</c:formatCode>
                <c:ptCount val="1"/>
                <c:pt idx="0">
                  <c:v>#N/A</c:v>
                </c:pt>
              </c:numCache>
            </c:numRef>
          </c:xVal>
          <c:yVal>
            <c:numRef>
              <c:f>[0]!Y_03</c:f>
              <c:numCache>
                <c:formatCode>0.0</c:formatCode>
                <c:ptCount val="1"/>
                <c:pt idx="0">
                  <c:v>#N/A</c:v>
                </c:pt>
              </c:numCache>
            </c:numRef>
          </c:yVal>
          <c:smooth val="0"/>
        </c:ser>
        <c:ser>
          <c:idx val="4"/>
          <c:order val="3"/>
          <c:tx>
            <c:strRef>
              <c:f>Chart!$BY$7</c:f>
              <c:strCache>
                <c:ptCount val="1"/>
              </c:strCache>
            </c:strRef>
          </c:tx>
          <c:spPr>
            <a:ln w="28575">
              <a:noFill/>
            </a:ln>
          </c:spPr>
          <c:marker>
            <c:symbol val="square"/>
            <c:size val="4"/>
            <c:spPr>
              <a:solidFill>
                <a:srgbClr val="00FF00"/>
              </a:solidFill>
              <a:ln>
                <a:solidFill>
                  <a:srgbClr val="00FF00"/>
                </a:solidFill>
                <a:prstDash val="solid"/>
              </a:ln>
            </c:spPr>
          </c:marker>
          <c:xVal>
            <c:numRef>
              <c:f>[0]!X_04</c:f>
              <c:numCache>
                <c:formatCode>0.0</c:formatCode>
                <c:ptCount val="1"/>
                <c:pt idx="0">
                  <c:v>#N/A</c:v>
                </c:pt>
              </c:numCache>
            </c:numRef>
          </c:xVal>
          <c:yVal>
            <c:numRef>
              <c:f>[0]!Y_04</c:f>
              <c:numCache>
                <c:formatCode>0.0</c:formatCode>
                <c:ptCount val="1"/>
                <c:pt idx="0">
                  <c:v>#N/A</c:v>
                </c:pt>
              </c:numCache>
            </c:numRef>
          </c:yVal>
          <c:smooth val="0"/>
        </c:ser>
        <c:ser>
          <c:idx val="5"/>
          <c:order val="4"/>
          <c:tx>
            <c:strRef>
              <c:f>Chart!$BY$8</c:f>
              <c:strCache>
                <c:ptCount val="1"/>
              </c:strCache>
            </c:strRef>
          </c:tx>
          <c:spPr>
            <a:ln w="28575">
              <a:noFill/>
            </a:ln>
          </c:spPr>
          <c:marker>
            <c:symbol val="square"/>
            <c:size val="4"/>
            <c:spPr>
              <a:solidFill>
                <a:srgbClr val="FF0000"/>
              </a:solidFill>
              <a:ln>
                <a:solidFill>
                  <a:srgbClr val="FF0000"/>
                </a:solidFill>
                <a:prstDash val="solid"/>
              </a:ln>
            </c:spPr>
          </c:marker>
          <c:xVal>
            <c:numRef>
              <c:f>[0]!X_05</c:f>
              <c:numCache>
                <c:formatCode>0.0</c:formatCode>
                <c:ptCount val="1"/>
                <c:pt idx="0">
                  <c:v>#N/A</c:v>
                </c:pt>
              </c:numCache>
            </c:numRef>
          </c:xVal>
          <c:yVal>
            <c:numRef>
              <c:f>[0]!Y_05</c:f>
              <c:numCache>
                <c:formatCode>0.0</c:formatCode>
                <c:ptCount val="1"/>
                <c:pt idx="0">
                  <c:v>#N/A</c:v>
                </c:pt>
              </c:numCache>
            </c:numRef>
          </c:yVal>
          <c:smooth val="0"/>
        </c:ser>
        <c:ser>
          <c:idx val="6"/>
          <c:order val="5"/>
          <c:tx>
            <c:strRef>
              <c:f>Chart!$BY$9</c:f>
              <c:strCache>
                <c:ptCount val="1"/>
              </c:strCache>
            </c:strRef>
          </c:tx>
          <c:spPr>
            <a:ln w="28575">
              <a:noFill/>
            </a:ln>
          </c:spPr>
          <c:marker>
            <c:symbol val="square"/>
            <c:size val="4"/>
            <c:spPr>
              <a:solidFill>
                <a:srgbClr val="FF6600"/>
              </a:solidFill>
              <a:ln>
                <a:solidFill>
                  <a:schemeClr val="tx1"/>
                </a:solidFill>
                <a:prstDash val="solid"/>
              </a:ln>
            </c:spPr>
          </c:marker>
          <c:xVal>
            <c:numRef>
              <c:f>[0]!X_06</c:f>
              <c:numCache>
                <c:formatCode>0.0</c:formatCode>
                <c:ptCount val="1"/>
                <c:pt idx="0">
                  <c:v>#N/A</c:v>
                </c:pt>
              </c:numCache>
            </c:numRef>
          </c:xVal>
          <c:yVal>
            <c:numRef>
              <c:f>[0]!Y_06</c:f>
              <c:numCache>
                <c:formatCode>0.0</c:formatCode>
                <c:ptCount val="1"/>
                <c:pt idx="0">
                  <c:v>#N/A</c:v>
                </c:pt>
              </c:numCache>
            </c:numRef>
          </c:yVal>
          <c:smooth val="0"/>
        </c:ser>
        <c:ser>
          <c:idx val="7"/>
          <c:order val="6"/>
          <c:tx>
            <c:strRef>
              <c:f>Chart!$BY$10</c:f>
              <c:strCache>
                <c:ptCount val="1"/>
              </c:strCache>
            </c:strRef>
          </c:tx>
          <c:spPr>
            <a:ln w="28575">
              <a:noFill/>
            </a:ln>
          </c:spPr>
          <c:marker>
            <c:symbol val="square"/>
            <c:size val="4"/>
            <c:spPr>
              <a:solidFill>
                <a:srgbClr val="009999"/>
              </a:solidFill>
              <a:ln>
                <a:solidFill>
                  <a:srgbClr val="009999"/>
                </a:solidFill>
                <a:prstDash val="solid"/>
              </a:ln>
            </c:spPr>
          </c:marker>
          <c:xVal>
            <c:numRef>
              <c:f>[0]!X_07</c:f>
              <c:numCache>
                <c:formatCode>0.0</c:formatCode>
                <c:ptCount val="1"/>
                <c:pt idx="0">
                  <c:v>#N/A</c:v>
                </c:pt>
              </c:numCache>
            </c:numRef>
          </c:xVal>
          <c:yVal>
            <c:numRef>
              <c:f>[0]!Y_07</c:f>
              <c:numCache>
                <c:formatCode>0.0</c:formatCode>
                <c:ptCount val="1"/>
                <c:pt idx="0">
                  <c:v>#N/A</c:v>
                </c:pt>
              </c:numCache>
            </c:numRef>
          </c:yVal>
          <c:smooth val="0"/>
        </c:ser>
        <c:ser>
          <c:idx val="8"/>
          <c:order val="7"/>
          <c:tx>
            <c:strRef>
              <c:f>Chart!$BY$11</c:f>
              <c:strCache>
                <c:ptCount val="1"/>
              </c:strCache>
            </c:strRef>
          </c:tx>
          <c:spPr>
            <a:ln w="28575">
              <a:noFill/>
            </a:ln>
          </c:spPr>
          <c:marker>
            <c:symbol val="square"/>
            <c:size val="4"/>
            <c:spPr>
              <a:solidFill>
                <a:srgbClr val="663300"/>
              </a:solidFill>
              <a:ln>
                <a:solidFill>
                  <a:srgbClr val="800000"/>
                </a:solidFill>
                <a:prstDash val="solid"/>
              </a:ln>
            </c:spPr>
          </c:marker>
          <c:xVal>
            <c:numRef>
              <c:f>[0]!X_08</c:f>
              <c:numCache>
                <c:formatCode>0.0</c:formatCode>
                <c:ptCount val="1"/>
                <c:pt idx="0">
                  <c:v>#N/A</c:v>
                </c:pt>
              </c:numCache>
            </c:numRef>
          </c:xVal>
          <c:yVal>
            <c:numRef>
              <c:f>[0]!Y_08</c:f>
              <c:numCache>
                <c:formatCode>0.0</c:formatCode>
                <c:ptCount val="1"/>
                <c:pt idx="0">
                  <c:v>#N/A</c:v>
                </c:pt>
              </c:numCache>
            </c:numRef>
          </c:yVal>
          <c:smooth val="0"/>
        </c:ser>
        <c:ser>
          <c:idx val="9"/>
          <c:order val="8"/>
          <c:tx>
            <c:strRef>
              <c:f>Chart!$BY$12</c:f>
              <c:strCache>
                <c:ptCount val="1"/>
              </c:strCache>
            </c:strRef>
          </c:tx>
          <c:spPr>
            <a:ln w="28575">
              <a:noFill/>
            </a:ln>
          </c:spPr>
          <c:marker>
            <c:symbol val="square"/>
            <c:size val="4"/>
            <c:spPr>
              <a:solidFill>
                <a:srgbClr val="FF00FF"/>
              </a:solidFill>
              <a:ln>
                <a:solidFill>
                  <a:srgbClr val="FF00FF"/>
                </a:solidFill>
                <a:prstDash val="solid"/>
              </a:ln>
            </c:spPr>
          </c:marker>
          <c:xVal>
            <c:numRef>
              <c:f>[0]!X_09</c:f>
              <c:numCache>
                <c:formatCode>0.0</c:formatCode>
                <c:ptCount val="1"/>
                <c:pt idx="0">
                  <c:v>#N/A</c:v>
                </c:pt>
              </c:numCache>
            </c:numRef>
          </c:xVal>
          <c:yVal>
            <c:numRef>
              <c:f>[0]!Y_09</c:f>
              <c:numCache>
                <c:formatCode>0.0</c:formatCode>
                <c:ptCount val="1"/>
                <c:pt idx="0">
                  <c:v>#N/A</c:v>
                </c:pt>
              </c:numCache>
            </c:numRef>
          </c:yVal>
          <c:smooth val="0"/>
        </c:ser>
        <c:ser>
          <c:idx val="10"/>
          <c:order val="9"/>
          <c:tx>
            <c:strRef>
              <c:f>Chart!$BY$13</c:f>
              <c:strCache>
                <c:ptCount val="1"/>
              </c:strCache>
            </c:strRef>
          </c:tx>
          <c:spPr>
            <a:ln w="28575">
              <a:noFill/>
            </a:ln>
          </c:spPr>
          <c:marker>
            <c:symbol val="square"/>
            <c:size val="4"/>
            <c:spPr>
              <a:solidFill>
                <a:srgbClr val="99FF99"/>
              </a:solidFill>
              <a:ln>
                <a:solidFill>
                  <a:srgbClr val="FF0000"/>
                </a:solidFill>
                <a:prstDash val="solid"/>
              </a:ln>
            </c:spPr>
          </c:marker>
          <c:xVal>
            <c:numRef>
              <c:f>[0]!X_10</c:f>
              <c:numCache>
                <c:formatCode>0.0</c:formatCode>
                <c:ptCount val="1"/>
                <c:pt idx="0">
                  <c:v>#N/A</c:v>
                </c:pt>
              </c:numCache>
            </c:numRef>
          </c:xVal>
          <c:yVal>
            <c:numRef>
              <c:f>[0]!Y_10</c:f>
              <c:numCache>
                <c:formatCode>0.0</c:formatCode>
                <c:ptCount val="1"/>
                <c:pt idx="0">
                  <c:v>#N/A</c:v>
                </c:pt>
              </c:numCache>
            </c:numRef>
          </c:yVal>
          <c:smooth val="0"/>
        </c:ser>
        <c:ser>
          <c:idx val="11"/>
          <c:order val="10"/>
          <c:tx>
            <c:strRef>
              <c:f>Chart!$BY$14</c:f>
              <c:strCache>
                <c:ptCount val="1"/>
              </c:strCache>
            </c:strRef>
          </c:tx>
          <c:spPr>
            <a:ln w="28575">
              <a:noFill/>
            </a:ln>
          </c:spPr>
          <c:marker>
            <c:symbol val="square"/>
            <c:size val="4"/>
            <c:spPr>
              <a:solidFill>
                <a:srgbClr val="CC99FF"/>
              </a:solidFill>
              <a:ln>
                <a:solidFill>
                  <a:srgbClr val="CC99FF"/>
                </a:solidFill>
                <a:prstDash val="solid"/>
              </a:ln>
            </c:spPr>
          </c:marker>
          <c:xVal>
            <c:numRef>
              <c:f>[0]!X_11</c:f>
              <c:numCache>
                <c:formatCode>0.0</c:formatCode>
                <c:ptCount val="1"/>
                <c:pt idx="0">
                  <c:v>#N/A</c:v>
                </c:pt>
              </c:numCache>
            </c:numRef>
          </c:xVal>
          <c:yVal>
            <c:numRef>
              <c:f>[0]!Y_11</c:f>
              <c:numCache>
                <c:formatCode>0.0</c:formatCode>
                <c:ptCount val="1"/>
                <c:pt idx="0">
                  <c:v>#N/A</c:v>
                </c:pt>
              </c:numCache>
            </c:numRef>
          </c:yVal>
          <c:smooth val="0"/>
        </c:ser>
        <c:ser>
          <c:idx val="12"/>
          <c:order val="11"/>
          <c:tx>
            <c:strRef>
              <c:f>Chart!$BY$15</c:f>
              <c:strCache>
                <c:ptCount val="1"/>
              </c:strCache>
            </c:strRef>
          </c:tx>
          <c:spPr>
            <a:ln w="28575">
              <a:noFill/>
            </a:ln>
          </c:spPr>
          <c:marker>
            <c:symbol val="square"/>
            <c:size val="4"/>
            <c:spPr>
              <a:solidFill>
                <a:schemeClr val="tx1"/>
              </a:solidFill>
              <a:ln>
                <a:solidFill>
                  <a:schemeClr val="tx1"/>
                </a:solidFill>
                <a:prstDash val="solid"/>
              </a:ln>
            </c:spPr>
          </c:marker>
          <c:xVal>
            <c:numRef>
              <c:f>[0]!X_12</c:f>
              <c:numCache>
                <c:formatCode>0.0</c:formatCode>
                <c:ptCount val="1"/>
                <c:pt idx="0">
                  <c:v>#N/A</c:v>
                </c:pt>
              </c:numCache>
            </c:numRef>
          </c:xVal>
          <c:yVal>
            <c:numRef>
              <c:f>[0]!Y_12</c:f>
              <c:numCache>
                <c:formatCode>0.0</c:formatCode>
                <c:ptCount val="1"/>
                <c:pt idx="0">
                  <c:v>#N/A</c:v>
                </c:pt>
              </c:numCache>
            </c:numRef>
          </c:yVal>
          <c:smooth val="0"/>
        </c:ser>
        <c:ser>
          <c:idx val="13"/>
          <c:order val="12"/>
          <c:tx>
            <c:strRef>
              <c:f>Chart!$BY$16</c:f>
              <c:strCache>
                <c:ptCount val="1"/>
              </c:strCache>
            </c:strRef>
          </c:tx>
          <c:spPr>
            <a:ln w="28575">
              <a:noFill/>
            </a:ln>
          </c:spPr>
          <c:marker>
            <c:symbol val="square"/>
            <c:size val="4"/>
            <c:spPr>
              <a:solidFill>
                <a:srgbClr val="777777"/>
              </a:solidFill>
              <a:ln>
                <a:solidFill>
                  <a:srgbClr val="777777"/>
                </a:solidFill>
                <a:prstDash val="solid"/>
              </a:ln>
            </c:spPr>
          </c:marker>
          <c:xVal>
            <c:numRef>
              <c:f>[0]!X_13</c:f>
              <c:numCache>
                <c:formatCode>0.0</c:formatCode>
                <c:ptCount val="1"/>
                <c:pt idx="0">
                  <c:v>#N/A</c:v>
                </c:pt>
              </c:numCache>
            </c:numRef>
          </c:xVal>
          <c:yVal>
            <c:numRef>
              <c:f>[0]!Y_13</c:f>
              <c:numCache>
                <c:formatCode>0.0</c:formatCode>
                <c:ptCount val="1"/>
                <c:pt idx="0">
                  <c:v>#N/A</c:v>
                </c:pt>
              </c:numCache>
            </c:numRef>
          </c:yVal>
          <c:smooth val="0"/>
        </c:ser>
        <c:ser>
          <c:idx val="14"/>
          <c:order val="13"/>
          <c:tx>
            <c:strRef>
              <c:f>Chart!$BY$17</c:f>
              <c:strCache>
                <c:ptCount val="1"/>
              </c:strCache>
            </c:strRef>
          </c:tx>
          <c:spPr>
            <a:ln w="28575">
              <a:noFill/>
            </a:ln>
          </c:spPr>
          <c:marker>
            <c:symbol val="x"/>
            <c:size val="4"/>
            <c:spPr>
              <a:solidFill>
                <a:srgbClr val="6600FF"/>
              </a:solidFill>
              <a:ln>
                <a:solidFill>
                  <a:srgbClr val="6600FF"/>
                </a:solidFill>
                <a:prstDash val="solid"/>
              </a:ln>
            </c:spPr>
          </c:marker>
          <c:xVal>
            <c:numRef>
              <c:f>[0]!X_14</c:f>
              <c:numCache>
                <c:formatCode>0.0</c:formatCode>
                <c:ptCount val="1"/>
                <c:pt idx="0">
                  <c:v>#N/A</c:v>
                </c:pt>
              </c:numCache>
            </c:numRef>
          </c:xVal>
          <c:yVal>
            <c:numRef>
              <c:f>[0]!Y_14</c:f>
              <c:numCache>
                <c:formatCode>0.0</c:formatCode>
                <c:ptCount val="1"/>
                <c:pt idx="0">
                  <c:v>#N/A</c:v>
                </c:pt>
              </c:numCache>
            </c:numRef>
          </c:yVal>
          <c:smooth val="0"/>
        </c:ser>
        <c:ser>
          <c:idx val="15"/>
          <c:order val="14"/>
          <c:tx>
            <c:strRef>
              <c:f>Chart!$BY$18</c:f>
              <c:strCache>
                <c:ptCount val="1"/>
              </c:strCache>
            </c:strRef>
          </c:tx>
          <c:spPr>
            <a:ln w="28575">
              <a:noFill/>
            </a:ln>
          </c:spPr>
          <c:marker>
            <c:symbol val="circle"/>
            <c:size val="4"/>
            <c:spPr>
              <a:solidFill>
                <a:srgbClr val="00FFFF"/>
              </a:solidFill>
              <a:ln>
                <a:solidFill>
                  <a:srgbClr val="00FFFF"/>
                </a:solidFill>
                <a:prstDash val="solid"/>
              </a:ln>
            </c:spPr>
          </c:marker>
          <c:xVal>
            <c:numRef>
              <c:f>[0]!X_15</c:f>
              <c:numCache>
                <c:formatCode>0.0</c:formatCode>
                <c:ptCount val="1"/>
                <c:pt idx="0">
                  <c:v>#N/A</c:v>
                </c:pt>
              </c:numCache>
            </c:numRef>
          </c:xVal>
          <c:yVal>
            <c:numRef>
              <c:f>[0]!Y_15</c:f>
              <c:numCache>
                <c:formatCode>0.0</c:formatCode>
                <c:ptCount val="1"/>
                <c:pt idx="0">
                  <c:v>#N/A</c:v>
                </c:pt>
              </c:numCache>
            </c:numRef>
          </c:yVal>
          <c:smooth val="0"/>
        </c:ser>
        <c:ser>
          <c:idx val="16"/>
          <c:order val="15"/>
          <c:tx>
            <c:strRef>
              <c:f>Chart!$BY$19</c:f>
              <c:strCache>
                <c:ptCount val="1"/>
              </c:strCache>
            </c:strRef>
          </c:tx>
          <c:spPr>
            <a:ln w="28575">
              <a:noFill/>
            </a:ln>
          </c:spPr>
          <c:marker>
            <c:symbol val="circle"/>
            <c:size val="4"/>
            <c:spPr>
              <a:solidFill>
                <a:srgbClr val="0000FF"/>
              </a:solidFill>
              <a:ln>
                <a:solidFill>
                  <a:srgbClr val="0000FF"/>
                </a:solidFill>
                <a:prstDash val="solid"/>
              </a:ln>
            </c:spPr>
          </c:marker>
          <c:xVal>
            <c:numRef>
              <c:f>[0]!X_16</c:f>
              <c:numCache>
                <c:formatCode>0.0</c:formatCode>
                <c:ptCount val="1"/>
                <c:pt idx="0">
                  <c:v>#N/A</c:v>
                </c:pt>
              </c:numCache>
            </c:numRef>
          </c:xVal>
          <c:yVal>
            <c:numRef>
              <c:f>[0]!Y_16</c:f>
              <c:numCache>
                <c:formatCode>0.0</c:formatCode>
                <c:ptCount val="1"/>
                <c:pt idx="0">
                  <c:v>#N/A</c:v>
                </c:pt>
              </c:numCache>
            </c:numRef>
          </c:yVal>
          <c:smooth val="0"/>
        </c:ser>
        <c:ser>
          <c:idx val="17"/>
          <c:order val="16"/>
          <c:tx>
            <c:strRef>
              <c:f>Chart!$BY$20</c:f>
              <c:strCache>
                <c:ptCount val="1"/>
              </c:strCache>
            </c:strRef>
          </c:tx>
          <c:spPr>
            <a:ln w="28575">
              <a:noFill/>
            </a:ln>
          </c:spPr>
          <c:marker>
            <c:symbol val="circle"/>
            <c:size val="4"/>
            <c:spPr>
              <a:solidFill>
                <a:srgbClr val="FFFF00"/>
              </a:solidFill>
              <a:ln>
                <a:solidFill>
                  <a:srgbClr val="FF0000"/>
                </a:solidFill>
                <a:prstDash val="solid"/>
              </a:ln>
            </c:spPr>
          </c:marker>
          <c:xVal>
            <c:numRef>
              <c:f>[0]!X_17</c:f>
              <c:numCache>
                <c:formatCode>0.0</c:formatCode>
                <c:ptCount val="1"/>
                <c:pt idx="0">
                  <c:v>#N/A</c:v>
                </c:pt>
              </c:numCache>
            </c:numRef>
          </c:xVal>
          <c:yVal>
            <c:numRef>
              <c:f>[0]!Y_17</c:f>
              <c:numCache>
                <c:formatCode>0.0</c:formatCode>
                <c:ptCount val="1"/>
                <c:pt idx="0">
                  <c:v>#N/A</c:v>
                </c:pt>
              </c:numCache>
            </c:numRef>
          </c:yVal>
          <c:smooth val="0"/>
        </c:ser>
        <c:ser>
          <c:idx val="18"/>
          <c:order val="17"/>
          <c:tx>
            <c:strRef>
              <c:f>Chart!$BY$21</c:f>
              <c:strCache>
                <c:ptCount val="1"/>
              </c:strCache>
            </c:strRef>
          </c:tx>
          <c:spPr>
            <a:ln w="28575">
              <a:noFill/>
            </a:ln>
          </c:spPr>
          <c:marker>
            <c:symbol val="circle"/>
            <c:size val="4"/>
            <c:spPr>
              <a:solidFill>
                <a:srgbClr val="00FF00"/>
              </a:solidFill>
              <a:ln>
                <a:solidFill>
                  <a:srgbClr val="00FF00"/>
                </a:solidFill>
                <a:prstDash val="solid"/>
              </a:ln>
            </c:spPr>
          </c:marker>
          <c:xVal>
            <c:numRef>
              <c:f>[0]!X_18</c:f>
              <c:numCache>
                <c:formatCode>0.0</c:formatCode>
                <c:ptCount val="1"/>
                <c:pt idx="0">
                  <c:v>#N/A</c:v>
                </c:pt>
              </c:numCache>
            </c:numRef>
          </c:xVal>
          <c:yVal>
            <c:numRef>
              <c:f>[0]!Y_18</c:f>
              <c:numCache>
                <c:formatCode>0.0</c:formatCode>
                <c:ptCount val="1"/>
                <c:pt idx="0">
                  <c:v>#N/A</c:v>
                </c:pt>
              </c:numCache>
            </c:numRef>
          </c:yVal>
          <c:smooth val="0"/>
        </c:ser>
        <c:ser>
          <c:idx val="19"/>
          <c:order val="18"/>
          <c:tx>
            <c:strRef>
              <c:f>Chart!$BY$22</c:f>
              <c:strCache>
                <c:ptCount val="1"/>
              </c:strCache>
            </c:strRef>
          </c:tx>
          <c:spPr>
            <a:ln w="28575">
              <a:noFill/>
            </a:ln>
          </c:spPr>
          <c:marker>
            <c:symbol val="circle"/>
            <c:size val="4"/>
            <c:spPr>
              <a:solidFill>
                <a:srgbClr val="FF0000"/>
              </a:solidFill>
              <a:ln>
                <a:solidFill>
                  <a:srgbClr val="FF0000"/>
                </a:solidFill>
                <a:prstDash val="solid"/>
              </a:ln>
            </c:spPr>
          </c:marker>
          <c:xVal>
            <c:numRef>
              <c:f>[0]!X_19</c:f>
              <c:numCache>
                <c:formatCode>0.0</c:formatCode>
                <c:ptCount val="1"/>
                <c:pt idx="0">
                  <c:v>#N/A</c:v>
                </c:pt>
              </c:numCache>
            </c:numRef>
          </c:xVal>
          <c:yVal>
            <c:numRef>
              <c:f>[0]!Y_19</c:f>
              <c:numCache>
                <c:formatCode>0.0</c:formatCode>
                <c:ptCount val="1"/>
                <c:pt idx="0">
                  <c:v>#N/A</c:v>
                </c:pt>
              </c:numCache>
            </c:numRef>
          </c:yVal>
          <c:smooth val="0"/>
        </c:ser>
        <c:ser>
          <c:idx val="20"/>
          <c:order val="19"/>
          <c:tx>
            <c:strRef>
              <c:f>Chart!$BY$23</c:f>
              <c:strCache>
                <c:ptCount val="1"/>
              </c:strCache>
            </c:strRef>
          </c:tx>
          <c:spPr>
            <a:ln w="28575">
              <a:noFill/>
            </a:ln>
          </c:spPr>
          <c:marker>
            <c:symbol val="circle"/>
            <c:size val="4"/>
            <c:spPr>
              <a:solidFill>
                <a:srgbClr val="FF6600"/>
              </a:solidFill>
              <a:ln>
                <a:solidFill>
                  <a:schemeClr val="tx1"/>
                </a:solidFill>
                <a:prstDash val="solid"/>
              </a:ln>
            </c:spPr>
          </c:marker>
          <c:xVal>
            <c:numRef>
              <c:f>[0]!X_20</c:f>
              <c:numCache>
                <c:formatCode>0.0</c:formatCode>
                <c:ptCount val="1"/>
                <c:pt idx="0">
                  <c:v>#N/A</c:v>
                </c:pt>
              </c:numCache>
            </c:numRef>
          </c:xVal>
          <c:yVal>
            <c:numRef>
              <c:f>[0]!Y_20</c:f>
              <c:numCache>
                <c:formatCode>0.0</c:formatCode>
                <c:ptCount val="1"/>
                <c:pt idx="0">
                  <c:v>#N/A</c:v>
                </c:pt>
              </c:numCache>
            </c:numRef>
          </c:yVal>
          <c:smooth val="0"/>
        </c:ser>
        <c:ser>
          <c:idx val="21"/>
          <c:order val="20"/>
          <c:tx>
            <c:strRef>
              <c:f>Chart!$BY$24</c:f>
              <c:strCache>
                <c:ptCount val="1"/>
              </c:strCache>
            </c:strRef>
          </c:tx>
          <c:spPr>
            <a:ln w="28575">
              <a:noFill/>
            </a:ln>
          </c:spPr>
          <c:marker>
            <c:symbol val="circle"/>
            <c:size val="4"/>
            <c:spPr>
              <a:solidFill>
                <a:srgbClr val="009999"/>
              </a:solidFill>
              <a:ln>
                <a:solidFill>
                  <a:srgbClr val="009999"/>
                </a:solidFill>
                <a:prstDash val="solid"/>
              </a:ln>
            </c:spPr>
          </c:marker>
          <c:xVal>
            <c:numRef>
              <c:f>[0]!X_21</c:f>
              <c:numCache>
                <c:formatCode>0.0</c:formatCode>
                <c:ptCount val="1"/>
                <c:pt idx="0">
                  <c:v>#N/A</c:v>
                </c:pt>
              </c:numCache>
            </c:numRef>
          </c:xVal>
          <c:yVal>
            <c:numRef>
              <c:f>[0]!Y_21</c:f>
              <c:numCache>
                <c:formatCode>0.0</c:formatCode>
                <c:ptCount val="1"/>
                <c:pt idx="0">
                  <c:v>#N/A</c:v>
                </c:pt>
              </c:numCache>
            </c:numRef>
          </c:yVal>
          <c:smooth val="0"/>
        </c:ser>
        <c:ser>
          <c:idx val="22"/>
          <c:order val="21"/>
          <c:tx>
            <c:strRef>
              <c:f>Chart!$BY$25</c:f>
              <c:strCache>
                <c:ptCount val="1"/>
              </c:strCache>
            </c:strRef>
          </c:tx>
          <c:spPr>
            <a:ln w="28575">
              <a:noFill/>
            </a:ln>
          </c:spPr>
          <c:marker>
            <c:symbol val="circle"/>
            <c:size val="4"/>
            <c:spPr>
              <a:solidFill>
                <a:srgbClr val="663300"/>
              </a:solidFill>
              <a:ln>
                <a:solidFill>
                  <a:srgbClr val="663300"/>
                </a:solidFill>
                <a:prstDash val="solid"/>
              </a:ln>
            </c:spPr>
          </c:marker>
          <c:xVal>
            <c:numRef>
              <c:f>[0]!X_22</c:f>
              <c:numCache>
                <c:formatCode>0.0</c:formatCode>
                <c:ptCount val="1"/>
                <c:pt idx="0">
                  <c:v>#N/A</c:v>
                </c:pt>
              </c:numCache>
            </c:numRef>
          </c:xVal>
          <c:yVal>
            <c:numRef>
              <c:f>[0]!Y_22</c:f>
              <c:numCache>
                <c:formatCode>0.0</c:formatCode>
                <c:ptCount val="1"/>
                <c:pt idx="0">
                  <c:v>#N/A</c:v>
                </c:pt>
              </c:numCache>
            </c:numRef>
          </c:yVal>
          <c:smooth val="0"/>
        </c:ser>
        <c:ser>
          <c:idx val="23"/>
          <c:order val="22"/>
          <c:tx>
            <c:strRef>
              <c:f>Chart!$BY$26</c:f>
              <c:strCache>
                <c:ptCount val="1"/>
              </c:strCache>
            </c:strRef>
          </c:tx>
          <c:spPr>
            <a:ln w="28575">
              <a:noFill/>
            </a:ln>
          </c:spPr>
          <c:marker>
            <c:symbol val="circle"/>
            <c:size val="4"/>
            <c:spPr>
              <a:solidFill>
                <a:srgbClr val="FF00FF"/>
              </a:solidFill>
              <a:ln>
                <a:solidFill>
                  <a:srgbClr val="FF00FF"/>
                </a:solidFill>
                <a:prstDash val="solid"/>
              </a:ln>
            </c:spPr>
          </c:marker>
          <c:xVal>
            <c:numRef>
              <c:f>[0]!X_23</c:f>
              <c:numCache>
                <c:formatCode>0.0</c:formatCode>
                <c:ptCount val="1"/>
                <c:pt idx="0">
                  <c:v>#N/A</c:v>
                </c:pt>
              </c:numCache>
            </c:numRef>
          </c:xVal>
          <c:yVal>
            <c:numRef>
              <c:f>[0]!Y_23</c:f>
              <c:numCache>
                <c:formatCode>0.0</c:formatCode>
                <c:ptCount val="1"/>
                <c:pt idx="0">
                  <c:v>#N/A</c:v>
                </c:pt>
              </c:numCache>
            </c:numRef>
          </c:yVal>
          <c:smooth val="0"/>
        </c:ser>
        <c:ser>
          <c:idx val="24"/>
          <c:order val="23"/>
          <c:tx>
            <c:strRef>
              <c:f>Chart!$BY$27</c:f>
              <c:strCache>
                <c:ptCount val="1"/>
              </c:strCache>
            </c:strRef>
          </c:tx>
          <c:spPr>
            <a:ln w="28575">
              <a:noFill/>
            </a:ln>
          </c:spPr>
          <c:marker>
            <c:symbol val="circle"/>
            <c:size val="4"/>
            <c:spPr>
              <a:solidFill>
                <a:srgbClr val="99FF99"/>
              </a:solidFill>
              <a:ln>
                <a:solidFill>
                  <a:srgbClr val="FF0000"/>
                </a:solidFill>
                <a:prstDash val="solid"/>
              </a:ln>
            </c:spPr>
          </c:marker>
          <c:xVal>
            <c:numRef>
              <c:f>[0]!X_24</c:f>
              <c:numCache>
                <c:formatCode>0.0</c:formatCode>
                <c:ptCount val="1"/>
                <c:pt idx="0">
                  <c:v>#N/A</c:v>
                </c:pt>
              </c:numCache>
            </c:numRef>
          </c:xVal>
          <c:yVal>
            <c:numRef>
              <c:f>[0]!Y_24</c:f>
              <c:numCache>
                <c:formatCode>0.0</c:formatCode>
                <c:ptCount val="1"/>
                <c:pt idx="0">
                  <c:v>#N/A</c:v>
                </c:pt>
              </c:numCache>
            </c:numRef>
          </c:yVal>
          <c:smooth val="0"/>
        </c:ser>
        <c:ser>
          <c:idx val="25"/>
          <c:order val="24"/>
          <c:tx>
            <c:strRef>
              <c:f>Chart!$BY$28</c:f>
              <c:strCache>
                <c:ptCount val="1"/>
              </c:strCache>
            </c:strRef>
          </c:tx>
          <c:spPr>
            <a:ln w="28575">
              <a:noFill/>
            </a:ln>
          </c:spPr>
          <c:marker>
            <c:symbol val="circle"/>
            <c:size val="4"/>
            <c:spPr>
              <a:solidFill>
                <a:srgbClr val="CC99FF"/>
              </a:solidFill>
              <a:ln>
                <a:solidFill>
                  <a:srgbClr val="CC99FF"/>
                </a:solidFill>
                <a:prstDash val="solid"/>
              </a:ln>
            </c:spPr>
          </c:marker>
          <c:xVal>
            <c:numRef>
              <c:f>[0]!X_25</c:f>
              <c:numCache>
                <c:formatCode>0.0</c:formatCode>
                <c:ptCount val="1"/>
                <c:pt idx="0">
                  <c:v>#N/A</c:v>
                </c:pt>
              </c:numCache>
            </c:numRef>
          </c:xVal>
          <c:yVal>
            <c:numRef>
              <c:f>[0]!Y_25</c:f>
              <c:numCache>
                <c:formatCode>0.0</c:formatCode>
                <c:ptCount val="1"/>
                <c:pt idx="0">
                  <c:v>#N/A</c:v>
                </c:pt>
              </c:numCache>
            </c:numRef>
          </c:yVal>
          <c:smooth val="0"/>
        </c:ser>
        <c:ser>
          <c:idx val="26"/>
          <c:order val="25"/>
          <c:tx>
            <c:strRef>
              <c:f>Chart!$BY$29</c:f>
              <c:strCache>
                <c:ptCount val="1"/>
              </c:strCache>
            </c:strRef>
          </c:tx>
          <c:spPr>
            <a:ln w="28575">
              <a:noFill/>
            </a:ln>
          </c:spPr>
          <c:marker>
            <c:symbol val="circle"/>
            <c:size val="4"/>
            <c:spPr>
              <a:solidFill>
                <a:schemeClr val="tx1"/>
              </a:solidFill>
              <a:ln>
                <a:solidFill>
                  <a:schemeClr val="tx1"/>
                </a:solidFill>
                <a:prstDash val="solid"/>
              </a:ln>
            </c:spPr>
          </c:marker>
          <c:xVal>
            <c:numRef>
              <c:f>[0]!X_26</c:f>
              <c:numCache>
                <c:formatCode>0.0</c:formatCode>
                <c:ptCount val="1"/>
                <c:pt idx="0">
                  <c:v>#N/A</c:v>
                </c:pt>
              </c:numCache>
            </c:numRef>
          </c:xVal>
          <c:yVal>
            <c:numRef>
              <c:f>[0]!Y_26</c:f>
              <c:numCache>
                <c:formatCode>0.0</c:formatCode>
                <c:ptCount val="1"/>
                <c:pt idx="0">
                  <c:v>#N/A</c:v>
                </c:pt>
              </c:numCache>
            </c:numRef>
          </c:yVal>
          <c:smooth val="0"/>
        </c:ser>
        <c:ser>
          <c:idx val="27"/>
          <c:order val="26"/>
          <c:tx>
            <c:strRef>
              <c:f>Chart!$BY$30</c:f>
              <c:strCache>
                <c:ptCount val="1"/>
              </c:strCache>
            </c:strRef>
          </c:tx>
          <c:spPr>
            <a:ln w="28575">
              <a:noFill/>
            </a:ln>
          </c:spPr>
          <c:marker>
            <c:symbol val="circle"/>
            <c:size val="4"/>
            <c:spPr>
              <a:solidFill>
                <a:srgbClr val="777777"/>
              </a:solidFill>
              <a:ln>
                <a:solidFill>
                  <a:srgbClr val="777777"/>
                </a:solidFill>
                <a:prstDash val="solid"/>
              </a:ln>
            </c:spPr>
          </c:marker>
          <c:xVal>
            <c:numRef>
              <c:f>[0]!X_27</c:f>
              <c:numCache>
                <c:formatCode>0.0</c:formatCode>
                <c:ptCount val="1"/>
                <c:pt idx="0">
                  <c:v>#N/A</c:v>
                </c:pt>
              </c:numCache>
            </c:numRef>
          </c:xVal>
          <c:yVal>
            <c:numRef>
              <c:f>[0]!Y_27</c:f>
              <c:numCache>
                <c:formatCode>0.0</c:formatCode>
                <c:ptCount val="1"/>
                <c:pt idx="0">
                  <c:v>#N/A</c:v>
                </c:pt>
              </c:numCache>
            </c:numRef>
          </c:yVal>
          <c:smooth val="0"/>
        </c:ser>
        <c:ser>
          <c:idx val="28"/>
          <c:order val="27"/>
          <c:tx>
            <c:strRef>
              <c:f>Chart!$BY$31</c:f>
              <c:strCache>
                <c:ptCount val="1"/>
              </c:strCache>
            </c:strRef>
          </c:tx>
          <c:spPr>
            <a:ln w="28575">
              <a:noFill/>
            </a:ln>
          </c:spPr>
          <c:marker>
            <c:symbol val="circle"/>
            <c:size val="4"/>
            <c:spPr>
              <a:solidFill>
                <a:srgbClr val="6600FF"/>
              </a:solidFill>
              <a:ln>
                <a:solidFill>
                  <a:srgbClr val="6600FF"/>
                </a:solidFill>
                <a:prstDash val="solid"/>
              </a:ln>
            </c:spPr>
          </c:marker>
          <c:xVal>
            <c:numRef>
              <c:f>[0]!X_28</c:f>
              <c:numCache>
                <c:formatCode>0.0</c:formatCode>
                <c:ptCount val="1"/>
                <c:pt idx="0">
                  <c:v>#N/A</c:v>
                </c:pt>
              </c:numCache>
            </c:numRef>
          </c:xVal>
          <c:yVal>
            <c:numRef>
              <c:f>[0]!Y_28</c:f>
              <c:numCache>
                <c:formatCode>0.0</c:formatCode>
                <c:ptCount val="1"/>
                <c:pt idx="0">
                  <c:v>#N/A</c:v>
                </c:pt>
              </c:numCache>
            </c:numRef>
          </c:yVal>
          <c:smooth val="0"/>
        </c:ser>
        <c:ser>
          <c:idx val="29"/>
          <c:order val="28"/>
          <c:tx>
            <c:strRef>
              <c:f>Chart!$BY$32</c:f>
              <c:strCache>
                <c:ptCount val="1"/>
              </c:strCache>
            </c:strRef>
          </c:tx>
          <c:spPr>
            <a:ln w="28575">
              <a:noFill/>
            </a:ln>
          </c:spPr>
          <c:marker>
            <c:symbol val="triangle"/>
            <c:size val="4"/>
            <c:spPr>
              <a:solidFill>
                <a:srgbClr val="00FFFF"/>
              </a:solidFill>
              <a:ln>
                <a:solidFill>
                  <a:srgbClr val="00FFFF"/>
                </a:solidFill>
                <a:prstDash val="solid"/>
              </a:ln>
            </c:spPr>
          </c:marker>
          <c:xVal>
            <c:numRef>
              <c:f>[0]!X_29</c:f>
              <c:numCache>
                <c:formatCode>0.0</c:formatCode>
                <c:ptCount val="1"/>
                <c:pt idx="0">
                  <c:v>#N/A</c:v>
                </c:pt>
              </c:numCache>
            </c:numRef>
          </c:xVal>
          <c:yVal>
            <c:numRef>
              <c:f>[0]!Y_29</c:f>
              <c:numCache>
                <c:formatCode>0.0</c:formatCode>
                <c:ptCount val="1"/>
                <c:pt idx="0">
                  <c:v>#N/A</c:v>
                </c:pt>
              </c:numCache>
            </c:numRef>
          </c:yVal>
          <c:smooth val="0"/>
        </c:ser>
        <c:ser>
          <c:idx val="30"/>
          <c:order val="29"/>
          <c:tx>
            <c:strRef>
              <c:f>Chart!$BY$33</c:f>
              <c:strCache>
                <c:ptCount val="1"/>
              </c:strCache>
            </c:strRef>
          </c:tx>
          <c:spPr>
            <a:ln w="28575">
              <a:noFill/>
            </a:ln>
          </c:spPr>
          <c:marker>
            <c:symbol val="triangle"/>
            <c:size val="4"/>
            <c:spPr>
              <a:solidFill>
                <a:srgbClr val="0000FF"/>
              </a:solidFill>
              <a:ln>
                <a:solidFill>
                  <a:srgbClr val="0000FF"/>
                </a:solidFill>
                <a:prstDash val="solid"/>
              </a:ln>
            </c:spPr>
          </c:marker>
          <c:xVal>
            <c:numRef>
              <c:f>[0]!X_30</c:f>
              <c:numCache>
                <c:formatCode>0.0</c:formatCode>
                <c:ptCount val="1"/>
                <c:pt idx="0">
                  <c:v>#N/A</c:v>
                </c:pt>
              </c:numCache>
            </c:numRef>
          </c:xVal>
          <c:yVal>
            <c:numRef>
              <c:f>[0]!Y_30</c:f>
              <c:numCache>
                <c:formatCode>0.0</c:formatCode>
                <c:ptCount val="1"/>
                <c:pt idx="0">
                  <c:v>#N/A</c:v>
                </c:pt>
              </c:numCache>
            </c:numRef>
          </c:yVal>
          <c:smooth val="0"/>
        </c:ser>
        <c:ser>
          <c:idx val="31"/>
          <c:order val="30"/>
          <c:tx>
            <c:strRef>
              <c:f>Chart!$BY$34</c:f>
              <c:strCache>
                <c:ptCount val="1"/>
              </c:strCache>
            </c:strRef>
          </c:tx>
          <c:spPr>
            <a:ln w="28575">
              <a:noFill/>
            </a:ln>
          </c:spPr>
          <c:marker>
            <c:symbol val="triangle"/>
            <c:size val="4"/>
            <c:spPr>
              <a:solidFill>
                <a:srgbClr val="FFFF00"/>
              </a:solidFill>
              <a:ln>
                <a:solidFill>
                  <a:srgbClr val="FF0000"/>
                </a:solidFill>
                <a:prstDash val="solid"/>
              </a:ln>
            </c:spPr>
          </c:marker>
          <c:xVal>
            <c:numRef>
              <c:f>[0]!X_31</c:f>
              <c:numCache>
                <c:formatCode>0.0</c:formatCode>
                <c:ptCount val="1"/>
                <c:pt idx="0">
                  <c:v>#N/A</c:v>
                </c:pt>
              </c:numCache>
            </c:numRef>
          </c:xVal>
          <c:yVal>
            <c:numRef>
              <c:f>[0]!Y_31</c:f>
              <c:numCache>
                <c:formatCode>0.0</c:formatCode>
                <c:ptCount val="1"/>
                <c:pt idx="0">
                  <c:v>#N/A</c:v>
                </c:pt>
              </c:numCache>
            </c:numRef>
          </c:yVal>
          <c:smooth val="0"/>
        </c:ser>
        <c:ser>
          <c:idx val="32"/>
          <c:order val="31"/>
          <c:tx>
            <c:strRef>
              <c:f>Chart!$BY$35</c:f>
              <c:strCache>
                <c:ptCount val="1"/>
              </c:strCache>
            </c:strRef>
          </c:tx>
          <c:spPr>
            <a:ln w="28575">
              <a:noFill/>
            </a:ln>
          </c:spPr>
          <c:marker>
            <c:symbol val="triangle"/>
            <c:size val="4"/>
            <c:spPr>
              <a:solidFill>
                <a:srgbClr val="00FF00"/>
              </a:solidFill>
              <a:ln>
                <a:solidFill>
                  <a:srgbClr val="00FF00"/>
                </a:solidFill>
                <a:prstDash val="solid"/>
              </a:ln>
            </c:spPr>
          </c:marker>
          <c:xVal>
            <c:numRef>
              <c:f>[0]!X_32</c:f>
              <c:numCache>
                <c:formatCode>0.0</c:formatCode>
                <c:ptCount val="1"/>
                <c:pt idx="0">
                  <c:v>#N/A</c:v>
                </c:pt>
              </c:numCache>
            </c:numRef>
          </c:xVal>
          <c:yVal>
            <c:numRef>
              <c:f>[0]!Y_32</c:f>
              <c:numCache>
                <c:formatCode>0.0</c:formatCode>
                <c:ptCount val="1"/>
                <c:pt idx="0">
                  <c:v>#N/A</c:v>
                </c:pt>
              </c:numCache>
            </c:numRef>
          </c:yVal>
          <c:smooth val="0"/>
        </c:ser>
        <c:ser>
          <c:idx val="33"/>
          <c:order val="32"/>
          <c:tx>
            <c:strRef>
              <c:f>Chart!$BY$36</c:f>
              <c:strCache>
                <c:ptCount val="1"/>
              </c:strCache>
            </c:strRef>
          </c:tx>
          <c:spPr>
            <a:ln w="28575">
              <a:noFill/>
            </a:ln>
          </c:spPr>
          <c:marker>
            <c:symbol val="triangle"/>
            <c:size val="4"/>
            <c:spPr>
              <a:solidFill>
                <a:srgbClr val="FF0000"/>
              </a:solidFill>
              <a:ln>
                <a:solidFill>
                  <a:srgbClr val="FF0000"/>
                </a:solidFill>
                <a:prstDash val="solid"/>
              </a:ln>
            </c:spPr>
          </c:marker>
          <c:xVal>
            <c:numRef>
              <c:f>[0]!X_33</c:f>
              <c:numCache>
                <c:formatCode>0.0</c:formatCode>
                <c:ptCount val="1"/>
                <c:pt idx="0">
                  <c:v>#N/A</c:v>
                </c:pt>
              </c:numCache>
            </c:numRef>
          </c:xVal>
          <c:yVal>
            <c:numRef>
              <c:f>[0]!Y_33</c:f>
              <c:numCache>
                <c:formatCode>0.0</c:formatCode>
                <c:ptCount val="1"/>
                <c:pt idx="0">
                  <c:v>#N/A</c:v>
                </c:pt>
              </c:numCache>
            </c:numRef>
          </c:yVal>
          <c:smooth val="0"/>
        </c:ser>
        <c:ser>
          <c:idx val="34"/>
          <c:order val="33"/>
          <c:tx>
            <c:strRef>
              <c:f>Chart!$BY$37</c:f>
              <c:strCache>
                <c:ptCount val="1"/>
              </c:strCache>
            </c:strRef>
          </c:tx>
          <c:spPr>
            <a:ln w="28575">
              <a:noFill/>
            </a:ln>
          </c:spPr>
          <c:marker>
            <c:symbol val="triangle"/>
            <c:size val="4"/>
            <c:spPr>
              <a:solidFill>
                <a:srgbClr val="FF6600"/>
              </a:solidFill>
              <a:ln>
                <a:solidFill>
                  <a:schemeClr val="tx1"/>
                </a:solidFill>
                <a:prstDash val="solid"/>
              </a:ln>
            </c:spPr>
          </c:marker>
          <c:xVal>
            <c:numRef>
              <c:f>[0]!X_34</c:f>
              <c:numCache>
                <c:formatCode>0.0</c:formatCode>
                <c:ptCount val="1"/>
                <c:pt idx="0">
                  <c:v>#N/A</c:v>
                </c:pt>
              </c:numCache>
            </c:numRef>
          </c:xVal>
          <c:yVal>
            <c:numRef>
              <c:f>[0]!Y_34</c:f>
              <c:numCache>
                <c:formatCode>0.0</c:formatCode>
                <c:ptCount val="1"/>
                <c:pt idx="0">
                  <c:v>#N/A</c:v>
                </c:pt>
              </c:numCache>
            </c:numRef>
          </c:yVal>
          <c:smooth val="0"/>
        </c:ser>
        <c:ser>
          <c:idx val="35"/>
          <c:order val="34"/>
          <c:tx>
            <c:strRef>
              <c:f>Chart!$BY$38</c:f>
              <c:strCache>
                <c:ptCount val="1"/>
              </c:strCache>
            </c:strRef>
          </c:tx>
          <c:spPr>
            <a:ln w="28575">
              <a:noFill/>
            </a:ln>
          </c:spPr>
          <c:marker>
            <c:symbol val="triangle"/>
            <c:size val="4"/>
            <c:spPr>
              <a:solidFill>
                <a:srgbClr val="009999"/>
              </a:solidFill>
              <a:ln>
                <a:solidFill>
                  <a:srgbClr val="009999"/>
                </a:solidFill>
                <a:prstDash val="solid"/>
              </a:ln>
            </c:spPr>
          </c:marker>
          <c:xVal>
            <c:numRef>
              <c:f>[0]!X_35</c:f>
              <c:numCache>
                <c:formatCode>0.0</c:formatCode>
                <c:ptCount val="1"/>
                <c:pt idx="0">
                  <c:v>#N/A</c:v>
                </c:pt>
              </c:numCache>
            </c:numRef>
          </c:xVal>
          <c:yVal>
            <c:numRef>
              <c:f>[0]!Y_35</c:f>
              <c:numCache>
                <c:formatCode>0.0</c:formatCode>
                <c:ptCount val="1"/>
                <c:pt idx="0">
                  <c:v>#N/A</c:v>
                </c:pt>
              </c:numCache>
            </c:numRef>
          </c:yVal>
          <c:smooth val="0"/>
        </c:ser>
        <c:ser>
          <c:idx val="37"/>
          <c:order val="35"/>
          <c:tx>
            <c:strRef>
              <c:f>Chart!$BY$39</c:f>
              <c:strCache>
                <c:ptCount val="1"/>
              </c:strCache>
            </c:strRef>
          </c:tx>
          <c:spPr>
            <a:ln w="28575">
              <a:noFill/>
            </a:ln>
          </c:spPr>
          <c:marker>
            <c:symbol val="triangle"/>
            <c:size val="4"/>
            <c:spPr>
              <a:solidFill>
                <a:srgbClr val="663300"/>
              </a:solidFill>
              <a:ln>
                <a:solidFill>
                  <a:srgbClr val="663300"/>
                </a:solidFill>
              </a:ln>
            </c:spPr>
          </c:marker>
          <c:xVal>
            <c:numRef>
              <c:f>[0]!X_36</c:f>
              <c:numCache>
                <c:formatCode>0.0</c:formatCode>
                <c:ptCount val="1"/>
                <c:pt idx="0">
                  <c:v>#N/A</c:v>
                </c:pt>
              </c:numCache>
            </c:numRef>
          </c:xVal>
          <c:yVal>
            <c:numRef>
              <c:f>[0]!Y_36</c:f>
              <c:numCache>
                <c:formatCode>0.0</c:formatCode>
                <c:ptCount val="1"/>
                <c:pt idx="0">
                  <c:v>#N/A</c:v>
                </c:pt>
              </c:numCache>
            </c:numRef>
          </c:yVal>
          <c:smooth val="0"/>
        </c:ser>
        <c:ser>
          <c:idx val="38"/>
          <c:order val="36"/>
          <c:tx>
            <c:strRef>
              <c:f>Chart!$BY$40</c:f>
              <c:strCache>
                <c:ptCount val="1"/>
              </c:strCache>
            </c:strRef>
          </c:tx>
          <c:spPr>
            <a:ln w="28575">
              <a:noFill/>
            </a:ln>
          </c:spPr>
          <c:marker>
            <c:symbol val="triangle"/>
            <c:size val="4"/>
            <c:spPr>
              <a:solidFill>
                <a:srgbClr val="FF00FF"/>
              </a:solidFill>
              <a:ln>
                <a:solidFill>
                  <a:srgbClr val="FF00FF"/>
                </a:solidFill>
              </a:ln>
            </c:spPr>
          </c:marker>
          <c:xVal>
            <c:numRef>
              <c:f>[0]!X_37</c:f>
              <c:numCache>
                <c:formatCode>0.0</c:formatCode>
                <c:ptCount val="1"/>
                <c:pt idx="0">
                  <c:v>#N/A</c:v>
                </c:pt>
              </c:numCache>
            </c:numRef>
          </c:xVal>
          <c:yVal>
            <c:numRef>
              <c:f>[0]!Y_37</c:f>
              <c:numCache>
                <c:formatCode>0.0</c:formatCode>
                <c:ptCount val="1"/>
                <c:pt idx="0">
                  <c:v>#N/A</c:v>
                </c:pt>
              </c:numCache>
            </c:numRef>
          </c:yVal>
          <c:smooth val="0"/>
        </c:ser>
        <c:ser>
          <c:idx val="39"/>
          <c:order val="37"/>
          <c:tx>
            <c:strRef>
              <c:f>Chart!$BY$41</c:f>
              <c:strCache>
                <c:ptCount val="1"/>
              </c:strCache>
            </c:strRef>
          </c:tx>
          <c:spPr>
            <a:ln w="28575">
              <a:noFill/>
            </a:ln>
          </c:spPr>
          <c:marker>
            <c:symbol val="triangle"/>
            <c:size val="4"/>
            <c:spPr>
              <a:solidFill>
                <a:srgbClr val="99FF99"/>
              </a:solidFill>
              <a:ln>
                <a:solidFill>
                  <a:srgbClr val="FF0000"/>
                </a:solidFill>
              </a:ln>
            </c:spPr>
          </c:marker>
          <c:xVal>
            <c:numRef>
              <c:f>[0]!X_38</c:f>
              <c:numCache>
                <c:formatCode>0.0</c:formatCode>
                <c:ptCount val="1"/>
                <c:pt idx="0">
                  <c:v>#N/A</c:v>
                </c:pt>
              </c:numCache>
            </c:numRef>
          </c:xVal>
          <c:yVal>
            <c:numRef>
              <c:f>[0]!Y_38</c:f>
              <c:numCache>
                <c:formatCode>0.0</c:formatCode>
                <c:ptCount val="1"/>
                <c:pt idx="0">
                  <c:v>#N/A</c:v>
                </c:pt>
              </c:numCache>
            </c:numRef>
          </c:yVal>
          <c:smooth val="0"/>
        </c:ser>
        <c:ser>
          <c:idx val="40"/>
          <c:order val="38"/>
          <c:tx>
            <c:strRef>
              <c:f>Chart!$BY$42</c:f>
              <c:strCache>
                <c:ptCount val="1"/>
              </c:strCache>
            </c:strRef>
          </c:tx>
          <c:spPr>
            <a:ln w="28575">
              <a:noFill/>
            </a:ln>
          </c:spPr>
          <c:marker>
            <c:symbol val="triangle"/>
            <c:size val="4"/>
            <c:spPr>
              <a:solidFill>
                <a:srgbClr val="CC99FF"/>
              </a:solidFill>
              <a:ln>
                <a:solidFill>
                  <a:srgbClr val="CC99FF"/>
                </a:solidFill>
              </a:ln>
            </c:spPr>
          </c:marker>
          <c:xVal>
            <c:numRef>
              <c:f>[0]!X_39</c:f>
              <c:numCache>
                <c:formatCode>0.0</c:formatCode>
                <c:ptCount val="1"/>
                <c:pt idx="0">
                  <c:v>#N/A</c:v>
                </c:pt>
              </c:numCache>
            </c:numRef>
          </c:xVal>
          <c:yVal>
            <c:numRef>
              <c:f>[0]!Y_39</c:f>
              <c:numCache>
                <c:formatCode>0.0</c:formatCode>
                <c:ptCount val="1"/>
                <c:pt idx="0">
                  <c:v>#N/A</c:v>
                </c:pt>
              </c:numCache>
            </c:numRef>
          </c:yVal>
          <c:smooth val="0"/>
        </c:ser>
        <c:ser>
          <c:idx val="41"/>
          <c:order val="39"/>
          <c:tx>
            <c:strRef>
              <c:f>Chart!$BY$43</c:f>
              <c:strCache>
                <c:ptCount val="1"/>
              </c:strCache>
            </c:strRef>
          </c:tx>
          <c:spPr>
            <a:ln w="28575">
              <a:noFill/>
            </a:ln>
          </c:spPr>
          <c:marker>
            <c:symbol val="triangle"/>
            <c:size val="4"/>
            <c:spPr>
              <a:solidFill>
                <a:schemeClr val="tx1"/>
              </a:solidFill>
              <a:ln>
                <a:solidFill>
                  <a:schemeClr val="tx1"/>
                </a:solidFill>
              </a:ln>
            </c:spPr>
          </c:marker>
          <c:xVal>
            <c:numRef>
              <c:f>[0]!X_40</c:f>
              <c:numCache>
                <c:formatCode>0.0</c:formatCode>
                <c:ptCount val="1"/>
                <c:pt idx="0">
                  <c:v>#N/A</c:v>
                </c:pt>
              </c:numCache>
            </c:numRef>
          </c:xVal>
          <c:yVal>
            <c:numRef>
              <c:f>[0]!Y_40</c:f>
              <c:numCache>
                <c:formatCode>0.0</c:formatCode>
                <c:ptCount val="1"/>
                <c:pt idx="0">
                  <c:v>#N/A</c:v>
                </c:pt>
              </c:numCache>
            </c:numRef>
          </c:yVal>
          <c:smooth val="0"/>
        </c:ser>
        <c:ser>
          <c:idx val="42"/>
          <c:order val="40"/>
          <c:tx>
            <c:strRef>
              <c:f>Chart!$BY$44</c:f>
              <c:strCache>
                <c:ptCount val="1"/>
              </c:strCache>
            </c:strRef>
          </c:tx>
          <c:spPr>
            <a:ln w="28575">
              <a:noFill/>
            </a:ln>
          </c:spPr>
          <c:marker>
            <c:symbol val="triangle"/>
            <c:size val="4"/>
            <c:spPr>
              <a:solidFill>
                <a:srgbClr val="777777"/>
              </a:solidFill>
              <a:ln>
                <a:solidFill>
                  <a:srgbClr val="777777"/>
                </a:solidFill>
              </a:ln>
            </c:spPr>
          </c:marker>
          <c:xVal>
            <c:numRef>
              <c:f>[0]!X_41</c:f>
              <c:numCache>
                <c:formatCode>0.0</c:formatCode>
                <c:ptCount val="1"/>
                <c:pt idx="0">
                  <c:v>#N/A</c:v>
                </c:pt>
              </c:numCache>
            </c:numRef>
          </c:xVal>
          <c:yVal>
            <c:numRef>
              <c:f>[0]!Y_41</c:f>
              <c:numCache>
                <c:formatCode>0.0</c:formatCode>
                <c:ptCount val="1"/>
                <c:pt idx="0">
                  <c:v>#N/A</c:v>
                </c:pt>
              </c:numCache>
            </c:numRef>
          </c:yVal>
          <c:smooth val="0"/>
        </c:ser>
        <c:ser>
          <c:idx val="43"/>
          <c:order val="41"/>
          <c:tx>
            <c:strRef>
              <c:f>Chart!$BY$45</c:f>
              <c:strCache>
                <c:ptCount val="1"/>
              </c:strCache>
            </c:strRef>
          </c:tx>
          <c:spPr>
            <a:ln w="28575">
              <a:noFill/>
            </a:ln>
          </c:spPr>
          <c:marker>
            <c:symbol val="triangle"/>
            <c:size val="4"/>
            <c:spPr>
              <a:solidFill>
                <a:srgbClr val="6600FF"/>
              </a:solidFill>
              <a:ln>
                <a:solidFill>
                  <a:srgbClr val="6600FF"/>
                </a:solidFill>
              </a:ln>
            </c:spPr>
          </c:marker>
          <c:xVal>
            <c:numRef>
              <c:f>[0]!X_42</c:f>
              <c:numCache>
                <c:formatCode>0.0</c:formatCode>
                <c:ptCount val="1"/>
                <c:pt idx="0">
                  <c:v>#N/A</c:v>
                </c:pt>
              </c:numCache>
            </c:numRef>
          </c:xVal>
          <c:yVal>
            <c:numRef>
              <c:f>[0]!Y_42</c:f>
              <c:numCache>
                <c:formatCode>0.0</c:formatCode>
                <c:ptCount val="1"/>
                <c:pt idx="0">
                  <c:v>#N/A</c:v>
                </c:pt>
              </c:numCache>
            </c:numRef>
          </c:yVal>
          <c:smooth val="0"/>
        </c:ser>
        <c:ser>
          <c:idx val="44"/>
          <c:order val="42"/>
          <c:tx>
            <c:strRef>
              <c:f>Chart!$BY$46</c:f>
              <c:strCache>
                <c:ptCount val="1"/>
              </c:strCache>
            </c:strRef>
          </c:tx>
          <c:spPr>
            <a:ln w="28575">
              <a:noFill/>
            </a:ln>
          </c:spPr>
          <c:marker>
            <c:symbol val="diamond"/>
            <c:size val="4"/>
            <c:spPr>
              <a:solidFill>
                <a:srgbClr val="00FFFF"/>
              </a:solidFill>
              <a:ln>
                <a:solidFill>
                  <a:srgbClr val="00FFFF"/>
                </a:solidFill>
              </a:ln>
            </c:spPr>
          </c:marker>
          <c:xVal>
            <c:numRef>
              <c:f>[0]!X_43</c:f>
              <c:numCache>
                <c:formatCode>0.0</c:formatCode>
                <c:ptCount val="1"/>
                <c:pt idx="0">
                  <c:v>#N/A</c:v>
                </c:pt>
              </c:numCache>
            </c:numRef>
          </c:xVal>
          <c:yVal>
            <c:numRef>
              <c:f>[0]!Y_43</c:f>
              <c:numCache>
                <c:formatCode>0.0</c:formatCode>
                <c:ptCount val="1"/>
                <c:pt idx="0">
                  <c:v>#N/A</c:v>
                </c:pt>
              </c:numCache>
            </c:numRef>
          </c:yVal>
          <c:smooth val="0"/>
        </c:ser>
        <c:ser>
          <c:idx val="45"/>
          <c:order val="43"/>
          <c:tx>
            <c:strRef>
              <c:f>Chart!$BY$47</c:f>
              <c:strCache>
                <c:ptCount val="1"/>
              </c:strCache>
            </c:strRef>
          </c:tx>
          <c:spPr>
            <a:ln w="28575">
              <a:noFill/>
            </a:ln>
          </c:spPr>
          <c:marker>
            <c:symbol val="diamond"/>
            <c:size val="4"/>
            <c:spPr>
              <a:solidFill>
                <a:srgbClr val="0000FF"/>
              </a:solidFill>
              <a:ln>
                <a:solidFill>
                  <a:srgbClr val="0000FF"/>
                </a:solidFill>
              </a:ln>
            </c:spPr>
          </c:marker>
          <c:xVal>
            <c:numRef>
              <c:f>[0]!X_44</c:f>
              <c:numCache>
                <c:formatCode>0.0</c:formatCode>
                <c:ptCount val="1"/>
                <c:pt idx="0">
                  <c:v>#N/A</c:v>
                </c:pt>
              </c:numCache>
            </c:numRef>
          </c:xVal>
          <c:yVal>
            <c:numRef>
              <c:f>[0]!Y_44</c:f>
              <c:numCache>
                <c:formatCode>0.0</c:formatCode>
                <c:ptCount val="1"/>
                <c:pt idx="0">
                  <c:v>#N/A</c:v>
                </c:pt>
              </c:numCache>
            </c:numRef>
          </c:yVal>
          <c:smooth val="0"/>
        </c:ser>
        <c:ser>
          <c:idx val="46"/>
          <c:order val="44"/>
          <c:tx>
            <c:strRef>
              <c:f>Chart!$BY$48</c:f>
              <c:strCache>
                <c:ptCount val="1"/>
              </c:strCache>
            </c:strRef>
          </c:tx>
          <c:spPr>
            <a:ln w="28575">
              <a:noFill/>
            </a:ln>
          </c:spPr>
          <c:marker>
            <c:symbol val="diamond"/>
            <c:size val="4"/>
            <c:spPr>
              <a:solidFill>
                <a:srgbClr val="FFFF00"/>
              </a:solidFill>
              <a:ln>
                <a:solidFill>
                  <a:srgbClr val="FF0000"/>
                </a:solidFill>
              </a:ln>
            </c:spPr>
          </c:marker>
          <c:xVal>
            <c:numRef>
              <c:f>[0]!X_45</c:f>
              <c:numCache>
                <c:formatCode>0.0</c:formatCode>
                <c:ptCount val="1"/>
                <c:pt idx="0">
                  <c:v>#N/A</c:v>
                </c:pt>
              </c:numCache>
            </c:numRef>
          </c:xVal>
          <c:yVal>
            <c:numRef>
              <c:f>[0]!Y_45</c:f>
              <c:numCache>
                <c:formatCode>0.0</c:formatCode>
                <c:ptCount val="1"/>
                <c:pt idx="0">
                  <c:v>#N/A</c:v>
                </c:pt>
              </c:numCache>
            </c:numRef>
          </c:yVal>
          <c:smooth val="0"/>
        </c:ser>
        <c:ser>
          <c:idx val="47"/>
          <c:order val="45"/>
          <c:tx>
            <c:strRef>
              <c:f>Chart!$BY$49</c:f>
              <c:strCache>
                <c:ptCount val="1"/>
              </c:strCache>
            </c:strRef>
          </c:tx>
          <c:spPr>
            <a:ln w="28575">
              <a:noFill/>
            </a:ln>
          </c:spPr>
          <c:marker>
            <c:symbol val="diamond"/>
            <c:size val="4"/>
            <c:spPr>
              <a:solidFill>
                <a:srgbClr val="00FF00"/>
              </a:solidFill>
              <a:ln>
                <a:solidFill>
                  <a:srgbClr val="00FF00"/>
                </a:solidFill>
              </a:ln>
            </c:spPr>
          </c:marker>
          <c:xVal>
            <c:numRef>
              <c:f>[0]!X_46</c:f>
              <c:numCache>
                <c:formatCode>0.0</c:formatCode>
                <c:ptCount val="1"/>
                <c:pt idx="0">
                  <c:v>#N/A</c:v>
                </c:pt>
              </c:numCache>
            </c:numRef>
          </c:xVal>
          <c:yVal>
            <c:numRef>
              <c:f>[0]!Y_46</c:f>
              <c:numCache>
                <c:formatCode>0.0</c:formatCode>
                <c:ptCount val="1"/>
                <c:pt idx="0">
                  <c:v>#N/A</c:v>
                </c:pt>
              </c:numCache>
            </c:numRef>
          </c:yVal>
          <c:smooth val="0"/>
        </c:ser>
        <c:ser>
          <c:idx val="48"/>
          <c:order val="46"/>
          <c:tx>
            <c:strRef>
              <c:f>Chart!$BY$50</c:f>
              <c:strCache>
                <c:ptCount val="1"/>
              </c:strCache>
            </c:strRef>
          </c:tx>
          <c:spPr>
            <a:ln w="28575">
              <a:noFill/>
            </a:ln>
          </c:spPr>
          <c:marker>
            <c:symbol val="diamond"/>
            <c:size val="4"/>
            <c:spPr>
              <a:solidFill>
                <a:srgbClr val="FF0000"/>
              </a:solidFill>
              <a:ln>
                <a:solidFill>
                  <a:srgbClr val="FF0000"/>
                </a:solidFill>
              </a:ln>
            </c:spPr>
          </c:marker>
          <c:xVal>
            <c:numRef>
              <c:f>[0]!X_47</c:f>
              <c:numCache>
                <c:formatCode>0.0</c:formatCode>
                <c:ptCount val="1"/>
                <c:pt idx="0">
                  <c:v>#N/A</c:v>
                </c:pt>
              </c:numCache>
            </c:numRef>
          </c:xVal>
          <c:yVal>
            <c:numRef>
              <c:f>[0]!Y_47</c:f>
              <c:numCache>
                <c:formatCode>0.0</c:formatCode>
                <c:ptCount val="1"/>
                <c:pt idx="0">
                  <c:v>#N/A</c:v>
                </c:pt>
              </c:numCache>
            </c:numRef>
          </c:yVal>
          <c:smooth val="0"/>
        </c:ser>
        <c:ser>
          <c:idx val="49"/>
          <c:order val="47"/>
          <c:tx>
            <c:strRef>
              <c:f>Chart!$BY$51</c:f>
              <c:strCache>
                <c:ptCount val="1"/>
              </c:strCache>
            </c:strRef>
          </c:tx>
          <c:spPr>
            <a:ln w="28575">
              <a:noFill/>
            </a:ln>
          </c:spPr>
          <c:marker>
            <c:symbol val="diamond"/>
            <c:size val="4"/>
            <c:spPr>
              <a:solidFill>
                <a:srgbClr val="FF6600"/>
              </a:solidFill>
              <a:ln>
                <a:solidFill>
                  <a:schemeClr val="tx1"/>
                </a:solidFill>
              </a:ln>
            </c:spPr>
          </c:marker>
          <c:xVal>
            <c:numRef>
              <c:f>[0]!X_48</c:f>
              <c:numCache>
                <c:formatCode>0.0</c:formatCode>
                <c:ptCount val="1"/>
                <c:pt idx="0">
                  <c:v>#N/A</c:v>
                </c:pt>
              </c:numCache>
            </c:numRef>
          </c:xVal>
          <c:yVal>
            <c:numRef>
              <c:f>[0]!Y_48</c:f>
              <c:numCache>
                <c:formatCode>0.0</c:formatCode>
                <c:ptCount val="1"/>
                <c:pt idx="0">
                  <c:v>#N/A</c:v>
                </c:pt>
              </c:numCache>
            </c:numRef>
          </c:yVal>
          <c:smooth val="0"/>
        </c:ser>
        <c:ser>
          <c:idx val="50"/>
          <c:order val="48"/>
          <c:tx>
            <c:strRef>
              <c:f>Chart!$BY$52</c:f>
              <c:strCache>
                <c:ptCount val="1"/>
              </c:strCache>
            </c:strRef>
          </c:tx>
          <c:spPr>
            <a:ln w="28575">
              <a:noFill/>
            </a:ln>
          </c:spPr>
          <c:marker>
            <c:symbol val="diamond"/>
            <c:size val="4"/>
            <c:spPr>
              <a:solidFill>
                <a:srgbClr val="009999"/>
              </a:solidFill>
              <a:ln>
                <a:solidFill>
                  <a:srgbClr val="009999"/>
                </a:solidFill>
              </a:ln>
            </c:spPr>
          </c:marker>
          <c:xVal>
            <c:numRef>
              <c:f>[0]!X_49</c:f>
              <c:numCache>
                <c:formatCode>0.0</c:formatCode>
                <c:ptCount val="1"/>
                <c:pt idx="0">
                  <c:v>#N/A</c:v>
                </c:pt>
              </c:numCache>
            </c:numRef>
          </c:xVal>
          <c:yVal>
            <c:numRef>
              <c:f>[0]!Y_49</c:f>
              <c:numCache>
                <c:formatCode>0.0</c:formatCode>
                <c:ptCount val="1"/>
                <c:pt idx="0">
                  <c:v>#N/A</c:v>
                </c:pt>
              </c:numCache>
            </c:numRef>
          </c:yVal>
          <c:smooth val="0"/>
        </c:ser>
        <c:ser>
          <c:idx val="51"/>
          <c:order val="49"/>
          <c:tx>
            <c:strRef>
              <c:f>Chart!$BY$53</c:f>
              <c:strCache>
                <c:ptCount val="1"/>
              </c:strCache>
            </c:strRef>
          </c:tx>
          <c:spPr>
            <a:ln w="28575">
              <a:noFill/>
            </a:ln>
          </c:spPr>
          <c:marker>
            <c:symbol val="diamond"/>
            <c:size val="4"/>
            <c:spPr>
              <a:solidFill>
                <a:srgbClr val="663300"/>
              </a:solidFill>
              <a:ln>
                <a:solidFill>
                  <a:srgbClr val="663300"/>
                </a:solidFill>
              </a:ln>
            </c:spPr>
          </c:marker>
          <c:xVal>
            <c:numRef>
              <c:f>[0]!X_50</c:f>
              <c:numCache>
                <c:formatCode>0.0</c:formatCode>
                <c:ptCount val="1"/>
                <c:pt idx="0">
                  <c:v>#N/A</c:v>
                </c:pt>
              </c:numCache>
            </c:numRef>
          </c:xVal>
          <c:yVal>
            <c:numRef>
              <c:f>[0]!Y_50</c:f>
              <c:numCache>
                <c:formatCode>0.0</c:formatCode>
                <c:ptCount val="1"/>
                <c:pt idx="0">
                  <c:v>#N/A</c:v>
                </c:pt>
              </c:numCache>
            </c:numRef>
          </c:yVal>
          <c:smooth val="0"/>
        </c:ser>
        <c:ser>
          <c:idx val="52"/>
          <c:order val="50"/>
          <c:tx>
            <c:strRef>
              <c:f>Chart!$BY$54</c:f>
              <c:strCache>
                <c:ptCount val="1"/>
              </c:strCache>
            </c:strRef>
          </c:tx>
          <c:spPr>
            <a:ln w="28575">
              <a:noFill/>
            </a:ln>
          </c:spPr>
          <c:marker>
            <c:symbol val="diamond"/>
            <c:size val="4"/>
            <c:spPr>
              <a:solidFill>
                <a:srgbClr val="FF00FF"/>
              </a:solidFill>
              <a:ln>
                <a:solidFill>
                  <a:srgbClr val="FF00FF"/>
                </a:solidFill>
              </a:ln>
            </c:spPr>
          </c:marker>
          <c:xVal>
            <c:numRef>
              <c:f>[0]!X_51</c:f>
              <c:numCache>
                <c:formatCode>0.0</c:formatCode>
                <c:ptCount val="1"/>
                <c:pt idx="0">
                  <c:v>#N/A</c:v>
                </c:pt>
              </c:numCache>
            </c:numRef>
          </c:xVal>
          <c:yVal>
            <c:numRef>
              <c:f>[0]!Y_51</c:f>
              <c:numCache>
                <c:formatCode>0.0</c:formatCode>
                <c:ptCount val="1"/>
                <c:pt idx="0">
                  <c:v>#N/A</c:v>
                </c:pt>
              </c:numCache>
            </c:numRef>
          </c:yVal>
          <c:smooth val="0"/>
        </c:ser>
        <c:ser>
          <c:idx val="53"/>
          <c:order val="51"/>
          <c:tx>
            <c:strRef>
              <c:f>Chart!$BY$55</c:f>
              <c:strCache>
                <c:ptCount val="1"/>
              </c:strCache>
            </c:strRef>
          </c:tx>
          <c:spPr>
            <a:ln w="28575">
              <a:noFill/>
            </a:ln>
          </c:spPr>
          <c:marker>
            <c:symbol val="diamond"/>
            <c:size val="4"/>
            <c:spPr>
              <a:solidFill>
                <a:srgbClr val="99FF99"/>
              </a:solidFill>
              <a:ln>
                <a:solidFill>
                  <a:srgbClr val="FF0000"/>
                </a:solidFill>
              </a:ln>
            </c:spPr>
          </c:marker>
          <c:xVal>
            <c:numRef>
              <c:f>[0]!X_52</c:f>
              <c:numCache>
                <c:formatCode>0.0</c:formatCode>
                <c:ptCount val="1"/>
                <c:pt idx="0">
                  <c:v>#N/A</c:v>
                </c:pt>
              </c:numCache>
            </c:numRef>
          </c:xVal>
          <c:yVal>
            <c:numRef>
              <c:f>[0]!Y_52</c:f>
              <c:numCache>
                <c:formatCode>0.0</c:formatCode>
                <c:ptCount val="1"/>
                <c:pt idx="0">
                  <c:v>#N/A</c:v>
                </c:pt>
              </c:numCache>
            </c:numRef>
          </c:yVal>
          <c:smooth val="0"/>
        </c:ser>
        <c:ser>
          <c:idx val="54"/>
          <c:order val="52"/>
          <c:tx>
            <c:strRef>
              <c:f>Chart!$BY$56</c:f>
              <c:strCache>
                <c:ptCount val="1"/>
              </c:strCache>
            </c:strRef>
          </c:tx>
          <c:spPr>
            <a:ln w="28575">
              <a:noFill/>
            </a:ln>
          </c:spPr>
          <c:marker>
            <c:symbol val="diamond"/>
            <c:size val="4"/>
            <c:spPr>
              <a:solidFill>
                <a:srgbClr val="CC99FF"/>
              </a:solidFill>
              <a:ln>
                <a:solidFill>
                  <a:srgbClr val="CC99FF"/>
                </a:solidFill>
              </a:ln>
            </c:spPr>
          </c:marker>
          <c:xVal>
            <c:numRef>
              <c:f>[0]!X_53</c:f>
              <c:numCache>
                <c:formatCode>0.0</c:formatCode>
                <c:ptCount val="1"/>
                <c:pt idx="0">
                  <c:v>#N/A</c:v>
                </c:pt>
              </c:numCache>
            </c:numRef>
          </c:xVal>
          <c:yVal>
            <c:numRef>
              <c:f>[0]!Y_53</c:f>
              <c:numCache>
                <c:formatCode>0.0</c:formatCode>
                <c:ptCount val="1"/>
                <c:pt idx="0">
                  <c:v>#N/A</c:v>
                </c:pt>
              </c:numCache>
            </c:numRef>
          </c:yVal>
          <c:smooth val="0"/>
        </c:ser>
        <c:ser>
          <c:idx val="56"/>
          <c:order val="53"/>
          <c:tx>
            <c:strRef>
              <c:f>Chart!$BY$57</c:f>
              <c:strCache>
                <c:ptCount val="1"/>
              </c:strCache>
            </c:strRef>
          </c:tx>
          <c:spPr>
            <a:ln w="28575">
              <a:noFill/>
            </a:ln>
          </c:spPr>
          <c:marker>
            <c:symbol val="diamond"/>
            <c:size val="4"/>
            <c:spPr>
              <a:solidFill>
                <a:schemeClr val="tx1"/>
              </a:solidFill>
              <a:ln>
                <a:solidFill>
                  <a:schemeClr val="tx1"/>
                </a:solidFill>
              </a:ln>
            </c:spPr>
          </c:marker>
          <c:xVal>
            <c:numRef>
              <c:f>[0]!X_54</c:f>
              <c:numCache>
                <c:formatCode>0.0</c:formatCode>
                <c:ptCount val="1"/>
                <c:pt idx="0">
                  <c:v>#N/A</c:v>
                </c:pt>
              </c:numCache>
            </c:numRef>
          </c:xVal>
          <c:yVal>
            <c:numRef>
              <c:f>[0]!Y_54</c:f>
              <c:numCache>
                <c:formatCode>0.0</c:formatCode>
                <c:ptCount val="1"/>
                <c:pt idx="0">
                  <c:v>#N/A</c:v>
                </c:pt>
              </c:numCache>
            </c:numRef>
          </c:yVal>
          <c:smooth val="0"/>
        </c:ser>
        <c:ser>
          <c:idx val="57"/>
          <c:order val="54"/>
          <c:tx>
            <c:strRef>
              <c:f>Chart!$BY$58</c:f>
              <c:strCache>
                <c:ptCount val="1"/>
              </c:strCache>
            </c:strRef>
          </c:tx>
          <c:spPr>
            <a:ln w="28575">
              <a:noFill/>
            </a:ln>
          </c:spPr>
          <c:marker>
            <c:symbol val="diamond"/>
            <c:size val="4"/>
            <c:spPr>
              <a:solidFill>
                <a:schemeClr val="bg1">
                  <a:lumMod val="50000"/>
                </a:schemeClr>
              </a:solidFill>
              <a:ln>
                <a:solidFill>
                  <a:schemeClr val="bg1">
                    <a:lumMod val="50000"/>
                  </a:schemeClr>
                </a:solidFill>
              </a:ln>
            </c:spPr>
          </c:marker>
          <c:xVal>
            <c:numRef>
              <c:f>[0]!X_55</c:f>
              <c:numCache>
                <c:formatCode>0.0</c:formatCode>
                <c:ptCount val="1"/>
                <c:pt idx="0">
                  <c:v>#N/A</c:v>
                </c:pt>
              </c:numCache>
            </c:numRef>
          </c:xVal>
          <c:yVal>
            <c:numRef>
              <c:f>[0]!Y_55</c:f>
              <c:numCache>
                <c:formatCode>0.0</c:formatCode>
                <c:ptCount val="1"/>
                <c:pt idx="0">
                  <c:v>#N/A</c:v>
                </c:pt>
              </c:numCache>
            </c:numRef>
          </c:yVal>
          <c:smooth val="0"/>
        </c:ser>
        <c:ser>
          <c:idx val="58"/>
          <c:order val="55"/>
          <c:tx>
            <c:strRef>
              <c:f>Chart!$BY$59</c:f>
              <c:strCache>
                <c:ptCount val="1"/>
              </c:strCache>
            </c:strRef>
          </c:tx>
          <c:spPr>
            <a:ln w="28575">
              <a:noFill/>
            </a:ln>
          </c:spPr>
          <c:marker>
            <c:symbol val="diamond"/>
            <c:size val="4"/>
            <c:spPr>
              <a:solidFill>
                <a:srgbClr val="6600FF"/>
              </a:solidFill>
              <a:ln>
                <a:solidFill>
                  <a:srgbClr val="6600FF"/>
                </a:solidFill>
              </a:ln>
            </c:spPr>
          </c:marker>
          <c:xVal>
            <c:numRef>
              <c:f>[0]!X_56</c:f>
              <c:numCache>
                <c:formatCode>0.0</c:formatCode>
                <c:ptCount val="1"/>
                <c:pt idx="0">
                  <c:v>#N/A</c:v>
                </c:pt>
              </c:numCache>
            </c:numRef>
          </c:xVal>
          <c:yVal>
            <c:numRef>
              <c:f>[0]!Y_56</c:f>
              <c:numCache>
                <c:formatCode>0.0</c:formatCode>
                <c:ptCount val="1"/>
                <c:pt idx="0">
                  <c:v>#N/A</c:v>
                </c:pt>
              </c:numCache>
            </c:numRef>
          </c:yVal>
          <c:smooth val="0"/>
        </c:ser>
        <c:ser>
          <c:idx val="55"/>
          <c:order val="56"/>
          <c:tx>
            <c:v>  </c:v>
          </c:tx>
          <c:spPr>
            <a:ln w="28575">
              <a:noFill/>
            </a:ln>
          </c:spPr>
          <c:marker>
            <c:symbol val="none"/>
          </c:marker>
          <c:xVal>
            <c:numRef>
              <c:f>Chart!$BK$16:$BK$17</c:f>
              <c:numCache>
                <c:formatCode>0</c:formatCode>
                <c:ptCount val="2"/>
                <c:pt idx="0">
                  <c:v>0</c:v>
                </c:pt>
                <c:pt idx="1">
                  <c:v>0</c:v>
                </c:pt>
              </c:numCache>
            </c:numRef>
          </c:xVal>
          <c:yVal>
            <c:numRef>
              <c:f>Chart!$BL$16:$BL$17</c:f>
              <c:numCache>
                <c:formatCode>0</c:formatCode>
                <c:ptCount val="2"/>
                <c:pt idx="0">
                  <c:v>0</c:v>
                </c:pt>
                <c:pt idx="1">
                  <c:v>0</c:v>
                </c:pt>
              </c:numCache>
            </c:numRef>
          </c:yVal>
          <c:smooth val="0"/>
        </c:ser>
        <c:ser>
          <c:idx val="0"/>
          <c:order val="57"/>
          <c:tx>
            <c:strRef>
              <c:f>[0]!zSense</c:f>
              <c:strCache>
                <c:ptCount val="1"/>
              </c:strCache>
            </c:strRef>
          </c:tx>
          <c:spPr>
            <a:ln w="28575">
              <a:noFill/>
            </a:ln>
          </c:spPr>
          <c:marker>
            <c:symbol val="plus"/>
            <c:size val="10"/>
            <c:spPr>
              <a:noFill/>
              <a:ln>
                <a:solidFill>
                  <a:schemeClr val="tx1"/>
                </a:solidFill>
                <a:prstDash val="solid"/>
              </a:ln>
            </c:spPr>
          </c:marker>
          <c:xVal>
            <c:numRef>
              <c:f>[0]!zSenseX</c:f>
              <c:numCache>
                <c:formatCode>0.0</c:formatCode>
                <c:ptCount val="1"/>
                <c:pt idx="0">
                  <c:v>#N/A</c:v>
                </c:pt>
              </c:numCache>
            </c:numRef>
          </c:xVal>
          <c:yVal>
            <c:numRef>
              <c:f>[0]!zSenseY</c:f>
              <c:numCache>
                <c:formatCode>0.0</c:formatCode>
                <c:ptCount val="1"/>
                <c:pt idx="0">
                  <c:v>#N/A</c:v>
                </c:pt>
              </c:numCache>
            </c:numRef>
          </c:yVal>
          <c:smooth val="0"/>
        </c:ser>
        <c:ser>
          <c:idx val="36"/>
          <c:order val="58"/>
          <c:tx>
            <c:v>Origin</c:v>
          </c:tx>
          <c:spPr>
            <a:ln w="28575">
              <a:noFill/>
            </a:ln>
          </c:spPr>
          <c:marker>
            <c:symbol val="square"/>
            <c:size val="8"/>
            <c:spPr>
              <a:noFill/>
              <a:ln>
                <a:solidFill>
                  <a:schemeClr val="tx1"/>
                </a:solidFill>
                <a:prstDash val="solid"/>
              </a:ln>
            </c:spPr>
          </c:marker>
          <c:xVal>
            <c:numRef>
              <c:f>Chart!$CD$2</c:f>
              <c:numCache>
                <c:formatCode>0.0</c:formatCode>
                <c:ptCount val="1"/>
                <c:pt idx="0">
                  <c:v>#N/A</c:v>
                </c:pt>
              </c:numCache>
            </c:numRef>
          </c:xVal>
          <c:yVal>
            <c:numRef>
              <c:f>Chart!$CE$2</c:f>
              <c:numCache>
                <c:formatCode>0.0</c:formatCode>
                <c:ptCount val="1"/>
                <c:pt idx="0">
                  <c:v>#N/A</c:v>
                </c:pt>
              </c:numCache>
            </c:numRef>
          </c:yVal>
          <c:smooth val="0"/>
        </c:ser>
        <c:dLbls>
          <c:showLegendKey val="0"/>
          <c:showVal val="0"/>
          <c:showCatName val="0"/>
          <c:showSerName val="0"/>
          <c:showPercent val="0"/>
          <c:showBubbleSize val="0"/>
        </c:dLbls>
        <c:axId val="137519488"/>
        <c:axId val="137521408"/>
      </c:scatterChart>
      <c:valAx>
        <c:axId val="137519488"/>
        <c:scaling>
          <c:orientation val="minMax"/>
        </c:scaling>
        <c:delete val="0"/>
        <c:axPos val="t"/>
        <c:numFmt formatCode="0" sourceLinked="0"/>
        <c:majorTickMark val="out"/>
        <c:minorTickMark val="none"/>
        <c:tickLblPos val="nextTo"/>
        <c:spPr>
          <a:ln w="3175">
            <a:solidFill>
              <a:srgbClr val="000000"/>
            </a:solidFill>
            <a:prstDash val="solid"/>
          </a:ln>
        </c:spPr>
        <c:txPr>
          <a:bodyPr rot="5400000" vert="horz"/>
          <a:lstStyle/>
          <a:p>
            <a:pPr>
              <a:defRPr sz="850" b="0" i="0" u="none" strike="noStrike" baseline="0">
                <a:solidFill>
                  <a:srgbClr val="000000"/>
                </a:solidFill>
                <a:latin typeface="Arial"/>
                <a:ea typeface="Arial"/>
                <a:cs typeface="Arial"/>
              </a:defRPr>
            </a:pPr>
            <a:endParaRPr lang="en-US"/>
          </a:p>
        </c:txPr>
        <c:crossAx val="137521408"/>
        <c:crosses val="max"/>
        <c:crossBetween val="midCat"/>
      </c:valAx>
      <c:valAx>
        <c:axId val="137521408"/>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37519488"/>
        <c:crosses val="max"/>
        <c:crossBetween val="midCat"/>
      </c:valAx>
      <c:spPr>
        <a:solidFill>
          <a:schemeClr val="bg1"/>
        </a:solidFill>
        <a:ln w="25400">
          <a:noFill/>
        </a:ln>
      </c:spPr>
    </c:plotArea>
    <c:legend>
      <c:legendPos val="b"/>
      <c:legendEntry>
        <c:idx val="14"/>
        <c:txPr>
          <a:bodyPr/>
          <a:lstStyle/>
          <a:p>
            <a:pPr>
              <a:defRPr sz="760" b="0" i="0" u="none" strike="noStrike" kern="1200" spc="0" baseline="0">
                <a:solidFill>
                  <a:srgbClr val="000000"/>
                </a:solidFill>
                <a:latin typeface="Arial" panose="020B0604020202020204" pitchFamily="34" charset="0"/>
                <a:ea typeface="Arial"/>
                <a:cs typeface="Arial" panose="020B0604020202020204" pitchFamily="34" charset="0"/>
              </a:defRPr>
            </a:pPr>
            <a:endParaRPr lang="en-US"/>
          </a:p>
        </c:txPr>
      </c:legendEntry>
      <c:layout>
        <c:manualLayout>
          <c:xMode val="edge"/>
          <c:yMode val="edge"/>
          <c:x val="1.1641358170675143E-2"/>
          <c:y val="0.85226430582368529"/>
          <c:w val="0.9860303701951898"/>
          <c:h val="0.133673719535359"/>
        </c:manualLayout>
      </c:layout>
      <c:overlay val="1"/>
      <c:spPr>
        <a:noFill/>
        <a:ln w="3175">
          <a:noFill/>
          <a:prstDash val="solid"/>
        </a:ln>
        <a:effectLst/>
      </c:spPr>
      <c:txPr>
        <a:bodyPr/>
        <a:lstStyle/>
        <a:p>
          <a:pPr>
            <a:defRPr sz="760" b="0" i="0" u="none" strike="noStrike" kern="1200" spc="0" baseline="0">
              <a:solidFill>
                <a:srgbClr val="000000"/>
              </a:solidFill>
              <a:latin typeface="Arial" panose="020B0604020202020204" pitchFamily="34" charset="0"/>
              <a:ea typeface="Arial"/>
              <a:cs typeface="Arial" panose="020B0604020202020204" pitchFamily="34" charset="0"/>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134275618374558E-2"/>
          <c:y val="0.1069624043473439"/>
          <c:w val="0.95296480418761209"/>
          <c:h val="0.83270200335127664"/>
        </c:manualLayout>
      </c:layout>
      <c:scatterChart>
        <c:scatterStyle val="lineMarker"/>
        <c:varyColors val="0"/>
        <c:ser>
          <c:idx val="0"/>
          <c:order val="0"/>
          <c:tx>
            <c:v>0_Scribe</c:v>
          </c:tx>
          <c:spPr>
            <a:ln w="6350">
              <a:solidFill>
                <a:srgbClr val="C0C0C0"/>
              </a:solidFill>
              <a:prstDash val="solid"/>
            </a:ln>
          </c:spPr>
          <c:marker>
            <c:symbol val="none"/>
          </c:marker>
          <c:xVal>
            <c:numRef>
              <c:f>Chart!$CI$3:$CI$7</c:f>
              <c:numCache>
                <c:formatCode>0.0</c:formatCode>
                <c:ptCount val="5"/>
                <c:pt idx="0">
                  <c:v>0</c:v>
                </c:pt>
                <c:pt idx="1">
                  <c:v>0</c:v>
                </c:pt>
                <c:pt idx="2">
                  <c:v>0</c:v>
                </c:pt>
                <c:pt idx="3">
                  <c:v>0</c:v>
                </c:pt>
                <c:pt idx="4">
                  <c:v>0</c:v>
                </c:pt>
              </c:numCache>
            </c:numRef>
          </c:xVal>
          <c:yVal>
            <c:numRef>
              <c:f>Chart!$CJ$3:$CJ$7</c:f>
              <c:numCache>
                <c:formatCode>0.0</c:formatCode>
                <c:ptCount val="5"/>
                <c:pt idx="0">
                  <c:v>0</c:v>
                </c:pt>
                <c:pt idx="1">
                  <c:v>0</c:v>
                </c:pt>
                <c:pt idx="2">
                  <c:v>0</c:v>
                </c:pt>
                <c:pt idx="3">
                  <c:v>0</c:v>
                </c:pt>
                <c:pt idx="4">
                  <c:v>0</c:v>
                </c:pt>
              </c:numCache>
            </c:numRef>
          </c:yVal>
          <c:smooth val="0"/>
        </c:ser>
        <c:ser>
          <c:idx val="8"/>
          <c:order val="1"/>
          <c:tx>
            <c:v>Pin1</c:v>
          </c:tx>
          <c:spPr>
            <a:ln w="28575">
              <a:noFill/>
            </a:ln>
          </c:spPr>
          <c:marker>
            <c:symbol val="square"/>
            <c:size val="2"/>
            <c:spPr>
              <a:solidFill>
                <a:srgbClr val="FF0000"/>
              </a:solidFill>
              <a:ln>
                <a:solidFill>
                  <a:srgbClr val="FF0000"/>
                </a:solidFill>
                <a:prstDash val="solid"/>
              </a:ln>
            </c:spPr>
          </c:marker>
          <c:xVal>
            <c:numRef>
              <c:f>Chart!$CM$3:$CM$158</c:f>
              <c:numCache>
                <c:formatCode>0.0</c:formatCode>
                <c:ptCount val="156"/>
                <c:pt idx="0">
                  <c:v>#N/A</c:v>
                </c:pt>
                <c:pt idx="5">
                  <c:v>#N/A</c:v>
                </c:pt>
                <c:pt idx="10">
                  <c:v>#N/A</c:v>
                </c:pt>
                <c:pt idx="15">
                  <c:v>#N/A</c:v>
                </c:pt>
                <c:pt idx="20">
                  <c:v>#N/A</c:v>
                </c:pt>
                <c:pt idx="25">
                  <c:v>#N/A</c:v>
                </c:pt>
                <c:pt idx="30">
                  <c:v>#N/A</c:v>
                </c:pt>
                <c:pt idx="35">
                  <c:v>#N/A</c:v>
                </c:pt>
                <c:pt idx="40">
                  <c:v>#N/A</c:v>
                </c:pt>
                <c:pt idx="45">
                  <c:v>#N/A</c:v>
                </c:pt>
                <c:pt idx="50">
                  <c:v>#N/A</c:v>
                </c:pt>
                <c:pt idx="55">
                  <c:v>#N/A</c:v>
                </c:pt>
                <c:pt idx="60">
                  <c:v>#N/A</c:v>
                </c:pt>
                <c:pt idx="65">
                  <c:v>#N/A</c:v>
                </c:pt>
                <c:pt idx="70">
                  <c:v>#N/A</c:v>
                </c:pt>
                <c:pt idx="75">
                  <c:v>#N/A</c:v>
                </c:pt>
                <c:pt idx="80">
                  <c:v>#N/A</c:v>
                </c:pt>
                <c:pt idx="85">
                  <c:v>#N/A</c:v>
                </c:pt>
                <c:pt idx="90">
                  <c:v>#N/A</c:v>
                </c:pt>
                <c:pt idx="95">
                  <c:v>#N/A</c:v>
                </c:pt>
                <c:pt idx="100">
                  <c:v>#N/A</c:v>
                </c:pt>
                <c:pt idx="105">
                  <c:v>#N/A</c:v>
                </c:pt>
                <c:pt idx="110">
                  <c:v>#N/A</c:v>
                </c:pt>
                <c:pt idx="115">
                  <c:v>#N/A</c:v>
                </c:pt>
                <c:pt idx="120">
                  <c:v>#N/A</c:v>
                </c:pt>
                <c:pt idx="125">
                  <c:v>#N/A</c:v>
                </c:pt>
                <c:pt idx="130">
                  <c:v>#N/A</c:v>
                </c:pt>
                <c:pt idx="135">
                  <c:v>#N/A</c:v>
                </c:pt>
                <c:pt idx="140">
                  <c:v>#N/A</c:v>
                </c:pt>
                <c:pt idx="145">
                  <c:v>#N/A</c:v>
                </c:pt>
                <c:pt idx="150">
                  <c:v>#N/A</c:v>
                </c:pt>
                <c:pt idx="155">
                  <c:v>#N/A</c:v>
                </c:pt>
              </c:numCache>
            </c:numRef>
          </c:xVal>
          <c:yVal>
            <c:numRef>
              <c:f>Chart!$CN$3:$CN$158</c:f>
              <c:numCache>
                <c:formatCode>0.0</c:formatCode>
                <c:ptCount val="156"/>
                <c:pt idx="0">
                  <c:v>#N/A</c:v>
                </c:pt>
                <c:pt idx="5">
                  <c:v>#N/A</c:v>
                </c:pt>
                <c:pt idx="10">
                  <c:v>#N/A</c:v>
                </c:pt>
                <c:pt idx="15">
                  <c:v>#N/A</c:v>
                </c:pt>
                <c:pt idx="20">
                  <c:v>#N/A</c:v>
                </c:pt>
                <c:pt idx="25">
                  <c:v>#N/A</c:v>
                </c:pt>
                <c:pt idx="30">
                  <c:v>#N/A</c:v>
                </c:pt>
                <c:pt idx="35">
                  <c:v>#N/A</c:v>
                </c:pt>
                <c:pt idx="40">
                  <c:v>#N/A</c:v>
                </c:pt>
                <c:pt idx="45">
                  <c:v>#N/A</c:v>
                </c:pt>
                <c:pt idx="50">
                  <c:v>#N/A</c:v>
                </c:pt>
                <c:pt idx="55">
                  <c:v>#N/A</c:v>
                </c:pt>
                <c:pt idx="60">
                  <c:v>#N/A</c:v>
                </c:pt>
                <c:pt idx="65">
                  <c:v>#N/A</c:v>
                </c:pt>
                <c:pt idx="70">
                  <c:v>#N/A</c:v>
                </c:pt>
                <c:pt idx="75">
                  <c:v>#N/A</c:v>
                </c:pt>
                <c:pt idx="80">
                  <c:v>#N/A</c:v>
                </c:pt>
                <c:pt idx="85">
                  <c:v>#N/A</c:v>
                </c:pt>
                <c:pt idx="90">
                  <c:v>#N/A</c:v>
                </c:pt>
                <c:pt idx="95">
                  <c:v>#N/A</c:v>
                </c:pt>
                <c:pt idx="100">
                  <c:v>#N/A</c:v>
                </c:pt>
                <c:pt idx="105">
                  <c:v>#N/A</c:v>
                </c:pt>
                <c:pt idx="110">
                  <c:v>#N/A</c:v>
                </c:pt>
                <c:pt idx="115">
                  <c:v>#N/A</c:v>
                </c:pt>
                <c:pt idx="120">
                  <c:v>#N/A</c:v>
                </c:pt>
                <c:pt idx="125">
                  <c:v>#N/A</c:v>
                </c:pt>
                <c:pt idx="130">
                  <c:v>#N/A</c:v>
                </c:pt>
                <c:pt idx="135">
                  <c:v>#N/A</c:v>
                </c:pt>
                <c:pt idx="140">
                  <c:v>#N/A</c:v>
                </c:pt>
                <c:pt idx="145">
                  <c:v>#N/A</c:v>
                </c:pt>
                <c:pt idx="150">
                  <c:v>#N/A</c:v>
                </c:pt>
                <c:pt idx="155">
                  <c:v>#N/A</c:v>
                </c:pt>
              </c:numCache>
            </c:numRef>
          </c:yVal>
          <c:smooth val="0"/>
        </c:ser>
        <c:ser>
          <c:idx val="18"/>
          <c:order val="2"/>
          <c:tx>
            <c:v>die0</c:v>
          </c:tx>
          <c:spPr>
            <a:ln w="12700">
              <a:solidFill>
                <a:srgbClr val="00FF00"/>
              </a:solidFill>
              <a:prstDash val="solid"/>
            </a:ln>
          </c:spPr>
          <c:marker>
            <c:symbol val="none"/>
          </c:marker>
          <c:xVal>
            <c:numRef>
              <c:f>Chart!$CK$3:$CK$7</c:f>
              <c:numCache>
                <c:formatCode>0.0</c:formatCode>
                <c:ptCount val="5"/>
                <c:pt idx="0">
                  <c:v>0</c:v>
                </c:pt>
                <c:pt idx="1">
                  <c:v>0</c:v>
                </c:pt>
                <c:pt idx="2">
                  <c:v>0</c:v>
                </c:pt>
                <c:pt idx="3">
                  <c:v>0</c:v>
                </c:pt>
                <c:pt idx="4">
                  <c:v>0</c:v>
                </c:pt>
              </c:numCache>
            </c:numRef>
          </c:xVal>
          <c:yVal>
            <c:numRef>
              <c:f>Chart!$CL$3:$CL$7</c:f>
              <c:numCache>
                <c:formatCode>0.0</c:formatCode>
                <c:ptCount val="5"/>
                <c:pt idx="0">
                  <c:v>0</c:v>
                </c:pt>
                <c:pt idx="1">
                  <c:v>0</c:v>
                </c:pt>
                <c:pt idx="2">
                  <c:v>0</c:v>
                </c:pt>
                <c:pt idx="3">
                  <c:v>0</c:v>
                </c:pt>
                <c:pt idx="4">
                  <c:v>0</c:v>
                </c:pt>
              </c:numCache>
            </c:numRef>
          </c:yVal>
          <c:smooth val="0"/>
        </c:ser>
        <c:ser>
          <c:idx val="19"/>
          <c:order val="3"/>
          <c:tx>
            <c:v>die1</c:v>
          </c:tx>
          <c:spPr>
            <a:ln w="12700">
              <a:solidFill>
                <a:srgbClr val="993300"/>
              </a:solidFill>
              <a:prstDash val="solid"/>
            </a:ln>
          </c:spPr>
          <c:marker>
            <c:symbol val="none"/>
          </c:marker>
          <c:xVal>
            <c:numRef>
              <c:f>Chart!$CK$8:$CK$12</c:f>
              <c:numCache>
                <c:formatCode>0.0</c:formatCode>
                <c:ptCount val="5"/>
                <c:pt idx="0">
                  <c:v>0</c:v>
                </c:pt>
                <c:pt idx="1">
                  <c:v>0</c:v>
                </c:pt>
                <c:pt idx="2">
                  <c:v>0</c:v>
                </c:pt>
                <c:pt idx="3">
                  <c:v>0</c:v>
                </c:pt>
                <c:pt idx="4">
                  <c:v>0</c:v>
                </c:pt>
              </c:numCache>
            </c:numRef>
          </c:xVal>
          <c:yVal>
            <c:numRef>
              <c:f>Chart!$CL$8:$CL$12</c:f>
              <c:numCache>
                <c:formatCode>0.0</c:formatCode>
                <c:ptCount val="5"/>
                <c:pt idx="0">
                  <c:v>0</c:v>
                </c:pt>
                <c:pt idx="1">
                  <c:v>0</c:v>
                </c:pt>
                <c:pt idx="2">
                  <c:v>0</c:v>
                </c:pt>
                <c:pt idx="3">
                  <c:v>0</c:v>
                </c:pt>
                <c:pt idx="4">
                  <c:v>0</c:v>
                </c:pt>
              </c:numCache>
            </c:numRef>
          </c:yVal>
          <c:smooth val="0"/>
        </c:ser>
        <c:ser>
          <c:idx val="20"/>
          <c:order val="4"/>
          <c:tx>
            <c:v>die2</c:v>
          </c:tx>
          <c:spPr>
            <a:ln w="12700">
              <a:solidFill>
                <a:srgbClr val="993300"/>
              </a:solidFill>
              <a:prstDash val="solid"/>
            </a:ln>
          </c:spPr>
          <c:marker>
            <c:symbol val="none"/>
          </c:marker>
          <c:xVal>
            <c:numRef>
              <c:f>Chart!$CK$13:$CK$17</c:f>
              <c:numCache>
                <c:formatCode>0.0</c:formatCode>
                <c:ptCount val="5"/>
                <c:pt idx="0">
                  <c:v>0</c:v>
                </c:pt>
                <c:pt idx="1">
                  <c:v>0</c:v>
                </c:pt>
                <c:pt idx="2">
                  <c:v>0</c:v>
                </c:pt>
                <c:pt idx="3">
                  <c:v>0</c:v>
                </c:pt>
                <c:pt idx="4">
                  <c:v>0</c:v>
                </c:pt>
              </c:numCache>
            </c:numRef>
          </c:xVal>
          <c:yVal>
            <c:numRef>
              <c:f>Chart!$CL$13:$CL$17</c:f>
              <c:numCache>
                <c:formatCode>0.0</c:formatCode>
                <c:ptCount val="5"/>
                <c:pt idx="0">
                  <c:v>0</c:v>
                </c:pt>
                <c:pt idx="1">
                  <c:v>0</c:v>
                </c:pt>
                <c:pt idx="2">
                  <c:v>0</c:v>
                </c:pt>
                <c:pt idx="3">
                  <c:v>0</c:v>
                </c:pt>
                <c:pt idx="4">
                  <c:v>0</c:v>
                </c:pt>
              </c:numCache>
            </c:numRef>
          </c:yVal>
          <c:smooth val="0"/>
        </c:ser>
        <c:ser>
          <c:idx val="21"/>
          <c:order val="5"/>
          <c:tx>
            <c:v>die3</c:v>
          </c:tx>
          <c:spPr>
            <a:ln w="12700">
              <a:solidFill>
                <a:srgbClr val="993300"/>
              </a:solidFill>
              <a:prstDash val="solid"/>
            </a:ln>
          </c:spPr>
          <c:marker>
            <c:symbol val="none"/>
          </c:marker>
          <c:xVal>
            <c:numRef>
              <c:f>Chart!$CK$18:$CK$22</c:f>
              <c:numCache>
                <c:formatCode>0.0</c:formatCode>
                <c:ptCount val="5"/>
                <c:pt idx="0">
                  <c:v>0</c:v>
                </c:pt>
                <c:pt idx="1">
                  <c:v>0</c:v>
                </c:pt>
                <c:pt idx="2">
                  <c:v>0</c:v>
                </c:pt>
                <c:pt idx="3">
                  <c:v>0</c:v>
                </c:pt>
                <c:pt idx="4">
                  <c:v>0</c:v>
                </c:pt>
              </c:numCache>
            </c:numRef>
          </c:xVal>
          <c:yVal>
            <c:numRef>
              <c:f>Chart!$CL$18:$CL$22</c:f>
              <c:numCache>
                <c:formatCode>0.0</c:formatCode>
                <c:ptCount val="5"/>
                <c:pt idx="0">
                  <c:v>0</c:v>
                </c:pt>
                <c:pt idx="1">
                  <c:v>0</c:v>
                </c:pt>
                <c:pt idx="2">
                  <c:v>0</c:v>
                </c:pt>
                <c:pt idx="3">
                  <c:v>0</c:v>
                </c:pt>
                <c:pt idx="4">
                  <c:v>0</c:v>
                </c:pt>
              </c:numCache>
            </c:numRef>
          </c:yVal>
          <c:smooth val="0"/>
        </c:ser>
        <c:ser>
          <c:idx val="22"/>
          <c:order val="6"/>
          <c:tx>
            <c:v>die4</c:v>
          </c:tx>
          <c:spPr>
            <a:ln w="12700">
              <a:solidFill>
                <a:srgbClr val="993300"/>
              </a:solidFill>
              <a:prstDash val="solid"/>
            </a:ln>
          </c:spPr>
          <c:marker>
            <c:symbol val="none"/>
          </c:marker>
          <c:xVal>
            <c:numRef>
              <c:f>Chart!$CK$23:$CK$27</c:f>
              <c:numCache>
                <c:formatCode>0.0</c:formatCode>
                <c:ptCount val="5"/>
                <c:pt idx="0">
                  <c:v>0</c:v>
                </c:pt>
                <c:pt idx="1">
                  <c:v>0</c:v>
                </c:pt>
                <c:pt idx="2">
                  <c:v>0</c:v>
                </c:pt>
                <c:pt idx="3">
                  <c:v>0</c:v>
                </c:pt>
                <c:pt idx="4">
                  <c:v>0</c:v>
                </c:pt>
              </c:numCache>
            </c:numRef>
          </c:xVal>
          <c:yVal>
            <c:numRef>
              <c:f>Chart!$CL$23:$CL$27</c:f>
              <c:numCache>
                <c:formatCode>0.0</c:formatCode>
                <c:ptCount val="5"/>
                <c:pt idx="0">
                  <c:v>0</c:v>
                </c:pt>
                <c:pt idx="1">
                  <c:v>0</c:v>
                </c:pt>
                <c:pt idx="2">
                  <c:v>0</c:v>
                </c:pt>
                <c:pt idx="3">
                  <c:v>0</c:v>
                </c:pt>
                <c:pt idx="4">
                  <c:v>0</c:v>
                </c:pt>
              </c:numCache>
            </c:numRef>
          </c:yVal>
          <c:smooth val="0"/>
        </c:ser>
        <c:ser>
          <c:idx val="23"/>
          <c:order val="7"/>
          <c:tx>
            <c:v>die5</c:v>
          </c:tx>
          <c:spPr>
            <a:ln w="12700">
              <a:solidFill>
                <a:srgbClr val="993300"/>
              </a:solidFill>
              <a:prstDash val="solid"/>
            </a:ln>
          </c:spPr>
          <c:marker>
            <c:symbol val="none"/>
          </c:marker>
          <c:xVal>
            <c:numRef>
              <c:f>Chart!$CK$28:$CK$32</c:f>
              <c:numCache>
                <c:formatCode>0.0</c:formatCode>
                <c:ptCount val="5"/>
                <c:pt idx="0">
                  <c:v>0</c:v>
                </c:pt>
                <c:pt idx="1">
                  <c:v>0</c:v>
                </c:pt>
                <c:pt idx="2">
                  <c:v>0</c:v>
                </c:pt>
                <c:pt idx="3">
                  <c:v>0</c:v>
                </c:pt>
                <c:pt idx="4">
                  <c:v>0</c:v>
                </c:pt>
              </c:numCache>
            </c:numRef>
          </c:xVal>
          <c:yVal>
            <c:numRef>
              <c:f>Chart!$CL$28:$CL$32</c:f>
              <c:numCache>
                <c:formatCode>0.0</c:formatCode>
                <c:ptCount val="5"/>
                <c:pt idx="0">
                  <c:v>0</c:v>
                </c:pt>
                <c:pt idx="1">
                  <c:v>0</c:v>
                </c:pt>
                <c:pt idx="2">
                  <c:v>0</c:v>
                </c:pt>
                <c:pt idx="3">
                  <c:v>0</c:v>
                </c:pt>
                <c:pt idx="4">
                  <c:v>0</c:v>
                </c:pt>
              </c:numCache>
            </c:numRef>
          </c:yVal>
          <c:smooth val="0"/>
        </c:ser>
        <c:ser>
          <c:idx val="24"/>
          <c:order val="8"/>
          <c:tx>
            <c:v>die6</c:v>
          </c:tx>
          <c:spPr>
            <a:ln w="12700">
              <a:solidFill>
                <a:srgbClr val="993300"/>
              </a:solidFill>
              <a:prstDash val="solid"/>
            </a:ln>
          </c:spPr>
          <c:marker>
            <c:symbol val="none"/>
          </c:marker>
          <c:xVal>
            <c:numRef>
              <c:f>Chart!$CK$33:$CK$37</c:f>
              <c:numCache>
                <c:formatCode>0.0</c:formatCode>
                <c:ptCount val="5"/>
                <c:pt idx="0">
                  <c:v>0</c:v>
                </c:pt>
                <c:pt idx="1">
                  <c:v>0</c:v>
                </c:pt>
                <c:pt idx="2">
                  <c:v>0</c:v>
                </c:pt>
                <c:pt idx="3">
                  <c:v>0</c:v>
                </c:pt>
                <c:pt idx="4">
                  <c:v>0</c:v>
                </c:pt>
              </c:numCache>
            </c:numRef>
          </c:xVal>
          <c:yVal>
            <c:numRef>
              <c:f>Chart!$CL$33:$CL$37</c:f>
              <c:numCache>
                <c:formatCode>0.0</c:formatCode>
                <c:ptCount val="5"/>
                <c:pt idx="0">
                  <c:v>0</c:v>
                </c:pt>
                <c:pt idx="1">
                  <c:v>0</c:v>
                </c:pt>
                <c:pt idx="2">
                  <c:v>0</c:v>
                </c:pt>
                <c:pt idx="3">
                  <c:v>0</c:v>
                </c:pt>
                <c:pt idx="4">
                  <c:v>0</c:v>
                </c:pt>
              </c:numCache>
            </c:numRef>
          </c:yVal>
          <c:smooth val="0"/>
        </c:ser>
        <c:ser>
          <c:idx val="25"/>
          <c:order val="9"/>
          <c:tx>
            <c:v>die7</c:v>
          </c:tx>
          <c:spPr>
            <a:ln w="12700">
              <a:solidFill>
                <a:srgbClr val="993300"/>
              </a:solidFill>
              <a:prstDash val="solid"/>
            </a:ln>
          </c:spPr>
          <c:marker>
            <c:symbol val="none"/>
          </c:marker>
          <c:xVal>
            <c:numRef>
              <c:f>Chart!$CK$38:$CK$42</c:f>
              <c:numCache>
                <c:formatCode>0.0</c:formatCode>
                <c:ptCount val="5"/>
                <c:pt idx="0">
                  <c:v>0</c:v>
                </c:pt>
                <c:pt idx="1">
                  <c:v>0</c:v>
                </c:pt>
                <c:pt idx="2">
                  <c:v>0</c:v>
                </c:pt>
                <c:pt idx="3">
                  <c:v>0</c:v>
                </c:pt>
                <c:pt idx="4">
                  <c:v>0</c:v>
                </c:pt>
              </c:numCache>
            </c:numRef>
          </c:xVal>
          <c:yVal>
            <c:numRef>
              <c:f>Chart!$CL$38:$CL$42</c:f>
              <c:numCache>
                <c:formatCode>0.0</c:formatCode>
                <c:ptCount val="5"/>
                <c:pt idx="0">
                  <c:v>0</c:v>
                </c:pt>
                <c:pt idx="1">
                  <c:v>0</c:v>
                </c:pt>
                <c:pt idx="2">
                  <c:v>0</c:v>
                </c:pt>
                <c:pt idx="3">
                  <c:v>0</c:v>
                </c:pt>
                <c:pt idx="4">
                  <c:v>0</c:v>
                </c:pt>
              </c:numCache>
            </c:numRef>
          </c:yVal>
          <c:smooth val="0"/>
        </c:ser>
        <c:ser>
          <c:idx val="26"/>
          <c:order val="10"/>
          <c:tx>
            <c:v>die8</c:v>
          </c:tx>
          <c:spPr>
            <a:ln w="12700">
              <a:solidFill>
                <a:srgbClr val="993300"/>
              </a:solidFill>
              <a:prstDash val="solid"/>
            </a:ln>
          </c:spPr>
          <c:marker>
            <c:symbol val="none"/>
          </c:marker>
          <c:xVal>
            <c:numRef>
              <c:f>Chart!$CK$43:$CK$47</c:f>
              <c:numCache>
                <c:formatCode>0.0</c:formatCode>
                <c:ptCount val="5"/>
                <c:pt idx="0">
                  <c:v>0</c:v>
                </c:pt>
                <c:pt idx="1">
                  <c:v>0</c:v>
                </c:pt>
                <c:pt idx="2">
                  <c:v>0</c:v>
                </c:pt>
                <c:pt idx="3">
                  <c:v>0</c:v>
                </c:pt>
                <c:pt idx="4">
                  <c:v>0</c:v>
                </c:pt>
              </c:numCache>
            </c:numRef>
          </c:xVal>
          <c:yVal>
            <c:numRef>
              <c:f>Chart!$CL$43:$CL$47</c:f>
              <c:numCache>
                <c:formatCode>0.0</c:formatCode>
                <c:ptCount val="5"/>
                <c:pt idx="0">
                  <c:v>0</c:v>
                </c:pt>
                <c:pt idx="1">
                  <c:v>0</c:v>
                </c:pt>
                <c:pt idx="2">
                  <c:v>0</c:v>
                </c:pt>
                <c:pt idx="3">
                  <c:v>0</c:v>
                </c:pt>
                <c:pt idx="4">
                  <c:v>0</c:v>
                </c:pt>
              </c:numCache>
            </c:numRef>
          </c:yVal>
          <c:smooth val="0"/>
        </c:ser>
        <c:ser>
          <c:idx val="27"/>
          <c:order val="11"/>
          <c:tx>
            <c:v>die9</c:v>
          </c:tx>
          <c:spPr>
            <a:ln w="12700">
              <a:solidFill>
                <a:srgbClr val="993300"/>
              </a:solidFill>
              <a:prstDash val="solid"/>
            </a:ln>
          </c:spPr>
          <c:marker>
            <c:symbol val="none"/>
          </c:marker>
          <c:xVal>
            <c:numRef>
              <c:f>Chart!$CK$48:$CK$52</c:f>
              <c:numCache>
                <c:formatCode>0.0</c:formatCode>
                <c:ptCount val="5"/>
                <c:pt idx="0">
                  <c:v>0</c:v>
                </c:pt>
                <c:pt idx="1">
                  <c:v>0</c:v>
                </c:pt>
                <c:pt idx="2">
                  <c:v>0</c:v>
                </c:pt>
                <c:pt idx="3">
                  <c:v>0</c:v>
                </c:pt>
                <c:pt idx="4">
                  <c:v>0</c:v>
                </c:pt>
              </c:numCache>
            </c:numRef>
          </c:xVal>
          <c:yVal>
            <c:numRef>
              <c:f>Chart!$CL$48:$CL$52</c:f>
              <c:numCache>
                <c:formatCode>0.0</c:formatCode>
                <c:ptCount val="5"/>
                <c:pt idx="0">
                  <c:v>0</c:v>
                </c:pt>
                <c:pt idx="1">
                  <c:v>0</c:v>
                </c:pt>
                <c:pt idx="2">
                  <c:v>0</c:v>
                </c:pt>
                <c:pt idx="3">
                  <c:v>0</c:v>
                </c:pt>
                <c:pt idx="4">
                  <c:v>0</c:v>
                </c:pt>
              </c:numCache>
            </c:numRef>
          </c:yVal>
          <c:smooth val="0"/>
        </c:ser>
        <c:ser>
          <c:idx val="28"/>
          <c:order val="12"/>
          <c:tx>
            <c:v>die10</c:v>
          </c:tx>
          <c:spPr>
            <a:ln w="12700">
              <a:solidFill>
                <a:srgbClr val="993300"/>
              </a:solidFill>
              <a:prstDash val="solid"/>
            </a:ln>
          </c:spPr>
          <c:marker>
            <c:symbol val="none"/>
          </c:marker>
          <c:xVal>
            <c:numRef>
              <c:f>Chart!$CK$53:$CK$57</c:f>
              <c:numCache>
                <c:formatCode>0.0</c:formatCode>
                <c:ptCount val="5"/>
                <c:pt idx="0">
                  <c:v>0</c:v>
                </c:pt>
                <c:pt idx="1">
                  <c:v>0</c:v>
                </c:pt>
                <c:pt idx="2">
                  <c:v>0</c:v>
                </c:pt>
                <c:pt idx="3">
                  <c:v>0</c:v>
                </c:pt>
                <c:pt idx="4">
                  <c:v>0</c:v>
                </c:pt>
              </c:numCache>
            </c:numRef>
          </c:xVal>
          <c:yVal>
            <c:numRef>
              <c:f>Chart!$CL$53:$CL$57</c:f>
              <c:numCache>
                <c:formatCode>0.0</c:formatCode>
                <c:ptCount val="5"/>
                <c:pt idx="0">
                  <c:v>0</c:v>
                </c:pt>
                <c:pt idx="1">
                  <c:v>0</c:v>
                </c:pt>
                <c:pt idx="2">
                  <c:v>0</c:v>
                </c:pt>
                <c:pt idx="3">
                  <c:v>0</c:v>
                </c:pt>
                <c:pt idx="4">
                  <c:v>0</c:v>
                </c:pt>
              </c:numCache>
            </c:numRef>
          </c:yVal>
          <c:smooth val="0"/>
        </c:ser>
        <c:ser>
          <c:idx val="29"/>
          <c:order val="13"/>
          <c:tx>
            <c:v>die11</c:v>
          </c:tx>
          <c:spPr>
            <a:ln w="12700">
              <a:solidFill>
                <a:srgbClr val="993300"/>
              </a:solidFill>
              <a:prstDash val="solid"/>
            </a:ln>
          </c:spPr>
          <c:marker>
            <c:symbol val="none"/>
          </c:marker>
          <c:xVal>
            <c:numRef>
              <c:f>Chart!$CK$58:$CK$62</c:f>
              <c:numCache>
                <c:formatCode>0.0</c:formatCode>
                <c:ptCount val="5"/>
                <c:pt idx="0">
                  <c:v>0</c:v>
                </c:pt>
                <c:pt idx="1">
                  <c:v>0</c:v>
                </c:pt>
                <c:pt idx="2">
                  <c:v>0</c:v>
                </c:pt>
                <c:pt idx="3">
                  <c:v>0</c:v>
                </c:pt>
                <c:pt idx="4">
                  <c:v>0</c:v>
                </c:pt>
              </c:numCache>
            </c:numRef>
          </c:xVal>
          <c:yVal>
            <c:numRef>
              <c:f>Chart!$CL$58:$CL$62</c:f>
              <c:numCache>
                <c:formatCode>0.0</c:formatCode>
                <c:ptCount val="5"/>
                <c:pt idx="0">
                  <c:v>0</c:v>
                </c:pt>
                <c:pt idx="1">
                  <c:v>0</c:v>
                </c:pt>
                <c:pt idx="2">
                  <c:v>0</c:v>
                </c:pt>
                <c:pt idx="3">
                  <c:v>0</c:v>
                </c:pt>
                <c:pt idx="4">
                  <c:v>0</c:v>
                </c:pt>
              </c:numCache>
            </c:numRef>
          </c:yVal>
          <c:smooth val="0"/>
        </c:ser>
        <c:ser>
          <c:idx val="30"/>
          <c:order val="14"/>
          <c:tx>
            <c:v>die12</c:v>
          </c:tx>
          <c:spPr>
            <a:ln w="12700">
              <a:solidFill>
                <a:srgbClr val="993300"/>
              </a:solidFill>
              <a:prstDash val="solid"/>
            </a:ln>
          </c:spPr>
          <c:marker>
            <c:symbol val="none"/>
          </c:marker>
          <c:xVal>
            <c:numRef>
              <c:f>Chart!$CK$63:$CK$67</c:f>
              <c:numCache>
                <c:formatCode>0.0</c:formatCode>
                <c:ptCount val="5"/>
                <c:pt idx="0">
                  <c:v>0</c:v>
                </c:pt>
                <c:pt idx="1">
                  <c:v>0</c:v>
                </c:pt>
                <c:pt idx="2">
                  <c:v>0</c:v>
                </c:pt>
                <c:pt idx="3">
                  <c:v>0</c:v>
                </c:pt>
                <c:pt idx="4">
                  <c:v>0</c:v>
                </c:pt>
              </c:numCache>
            </c:numRef>
          </c:xVal>
          <c:yVal>
            <c:numRef>
              <c:f>Chart!$CL$63:$CL$67</c:f>
              <c:numCache>
                <c:formatCode>0.0</c:formatCode>
                <c:ptCount val="5"/>
                <c:pt idx="0">
                  <c:v>0</c:v>
                </c:pt>
                <c:pt idx="1">
                  <c:v>0</c:v>
                </c:pt>
                <c:pt idx="2">
                  <c:v>0</c:v>
                </c:pt>
                <c:pt idx="3">
                  <c:v>0</c:v>
                </c:pt>
                <c:pt idx="4">
                  <c:v>0</c:v>
                </c:pt>
              </c:numCache>
            </c:numRef>
          </c:yVal>
          <c:smooth val="0"/>
        </c:ser>
        <c:ser>
          <c:idx val="31"/>
          <c:order val="15"/>
          <c:tx>
            <c:v>die13</c:v>
          </c:tx>
          <c:spPr>
            <a:ln w="12700">
              <a:solidFill>
                <a:srgbClr val="993300"/>
              </a:solidFill>
              <a:prstDash val="solid"/>
            </a:ln>
          </c:spPr>
          <c:marker>
            <c:symbol val="none"/>
          </c:marker>
          <c:xVal>
            <c:numRef>
              <c:f>Chart!$CK$68:$CK$72</c:f>
              <c:numCache>
                <c:formatCode>0.0</c:formatCode>
                <c:ptCount val="5"/>
                <c:pt idx="0">
                  <c:v>0</c:v>
                </c:pt>
                <c:pt idx="1">
                  <c:v>0</c:v>
                </c:pt>
                <c:pt idx="2">
                  <c:v>0</c:v>
                </c:pt>
                <c:pt idx="3">
                  <c:v>0</c:v>
                </c:pt>
                <c:pt idx="4">
                  <c:v>0</c:v>
                </c:pt>
              </c:numCache>
            </c:numRef>
          </c:xVal>
          <c:yVal>
            <c:numRef>
              <c:f>Chart!$CL$68:$CL$72</c:f>
              <c:numCache>
                <c:formatCode>0.0</c:formatCode>
                <c:ptCount val="5"/>
                <c:pt idx="0">
                  <c:v>0</c:v>
                </c:pt>
                <c:pt idx="1">
                  <c:v>0</c:v>
                </c:pt>
                <c:pt idx="2">
                  <c:v>0</c:v>
                </c:pt>
                <c:pt idx="3">
                  <c:v>0</c:v>
                </c:pt>
                <c:pt idx="4">
                  <c:v>0</c:v>
                </c:pt>
              </c:numCache>
            </c:numRef>
          </c:yVal>
          <c:smooth val="0"/>
        </c:ser>
        <c:ser>
          <c:idx val="32"/>
          <c:order val="16"/>
          <c:tx>
            <c:v>die14</c:v>
          </c:tx>
          <c:spPr>
            <a:ln w="12700">
              <a:solidFill>
                <a:srgbClr val="993300"/>
              </a:solidFill>
              <a:prstDash val="solid"/>
            </a:ln>
          </c:spPr>
          <c:marker>
            <c:symbol val="none"/>
          </c:marker>
          <c:xVal>
            <c:numRef>
              <c:f>Chart!$CK$73:$CK$77</c:f>
              <c:numCache>
                <c:formatCode>0.0</c:formatCode>
                <c:ptCount val="5"/>
                <c:pt idx="0">
                  <c:v>0</c:v>
                </c:pt>
                <c:pt idx="1">
                  <c:v>0</c:v>
                </c:pt>
                <c:pt idx="2">
                  <c:v>0</c:v>
                </c:pt>
                <c:pt idx="3">
                  <c:v>0</c:v>
                </c:pt>
                <c:pt idx="4">
                  <c:v>0</c:v>
                </c:pt>
              </c:numCache>
            </c:numRef>
          </c:xVal>
          <c:yVal>
            <c:numRef>
              <c:f>Chart!$CL$73:$CL$77</c:f>
              <c:numCache>
                <c:formatCode>0.0</c:formatCode>
                <c:ptCount val="5"/>
                <c:pt idx="0">
                  <c:v>0</c:v>
                </c:pt>
                <c:pt idx="1">
                  <c:v>0</c:v>
                </c:pt>
                <c:pt idx="2">
                  <c:v>0</c:v>
                </c:pt>
                <c:pt idx="3">
                  <c:v>0</c:v>
                </c:pt>
                <c:pt idx="4">
                  <c:v>0</c:v>
                </c:pt>
              </c:numCache>
            </c:numRef>
          </c:yVal>
          <c:smooth val="0"/>
        </c:ser>
        <c:ser>
          <c:idx val="33"/>
          <c:order val="17"/>
          <c:tx>
            <c:v>die15</c:v>
          </c:tx>
          <c:spPr>
            <a:ln w="12700">
              <a:solidFill>
                <a:srgbClr val="993300"/>
              </a:solidFill>
              <a:prstDash val="solid"/>
            </a:ln>
          </c:spPr>
          <c:marker>
            <c:symbol val="none"/>
          </c:marker>
          <c:xVal>
            <c:numRef>
              <c:f>Chart!$CK$78:$CK$82</c:f>
              <c:numCache>
                <c:formatCode>0.0</c:formatCode>
                <c:ptCount val="5"/>
                <c:pt idx="0">
                  <c:v>0</c:v>
                </c:pt>
                <c:pt idx="1">
                  <c:v>0</c:v>
                </c:pt>
                <c:pt idx="2">
                  <c:v>0</c:v>
                </c:pt>
                <c:pt idx="3">
                  <c:v>0</c:v>
                </c:pt>
                <c:pt idx="4">
                  <c:v>0</c:v>
                </c:pt>
              </c:numCache>
            </c:numRef>
          </c:xVal>
          <c:yVal>
            <c:numRef>
              <c:f>Chart!$CL$78:$CL$82</c:f>
              <c:numCache>
                <c:formatCode>0.0</c:formatCode>
                <c:ptCount val="5"/>
                <c:pt idx="0">
                  <c:v>0</c:v>
                </c:pt>
                <c:pt idx="1">
                  <c:v>0</c:v>
                </c:pt>
                <c:pt idx="2">
                  <c:v>0</c:v>
                </c:pt>
                <c:pt idx="3">
                  <c:v>0</c:v>
                </c:pt>
                <c:pt idx="4">
                  <c:v>0</c:v>
                </c:pt>
              </c:numCache>
            </c:numRef>
          </c:yVal>
          <c:smooth val="0"/>
        </c:ser>
        <c:ser>
          <c:idx val="34"/>
          <c:order val="18"/>
          <c:tx>
            <c:v>Probe_Area_Ang</c:v>
          </c:tx>
          <c:spPr>
            <a:ln w="3175">
              <a:solidFill>
                <a:srgbClr val="0066FF"/>
              </a:solidFill>
              <a:prstDash val="lgDashDotDot"/>
            </a:ln>
          </c:spPr>
          <c:marker>
            <c:symbol val="none"/>
          </c:marker>
          <c:xVal>
            <c:numRef>
              <c:f>Chart!$CU$11:$CU$15</c:f>
              <c:numCache>
                <c:formatCode>0.0</c:formatCode>
                <c:ptCount val="5"/>
                <c:pt idx="0">
                  <c:v>0</c:v>
                </c:pt>
                <c:pt idx="1">
                  <c:v>0</c:v>
                </c:pt>
                <c:pt idx="2">
                  <c:v>0</c:v>
                </c:pt>
                <c:pt idx="3">
                  <c:v>0</c:v>
                </c:pt>
                <c:pt idx="4">
                  <c:v>0</c:v>
                </c:pt>
              </c:numCache>
            </c:numRef>
          </c:xVal>
          <c:yVal>
            <c:numRef>
              <c:f>Chart!$CV$11:$CV$15</c:f>
              <c:numCache>
                <c:formatCode>0.0</c:formatCode>
                <c:ptCount val="5"/>
                <c:pt idx="0">
                  <c:v>0</c:v>
                </c:pt>
                <c:pt idx="1">
                  <c:v>0</c:v>
                </c:pt>
                <c:pt idx="2">
                  <c:v>0</c:v>
                </c:pt>
                <c:pt idx="3">
                  <c:v>0</c:v>
                </c:pt>
                <c:pt idx="4">
                  <c:v>0</c:v>
                </c:pt>
              </c:numCache>
            </c:numRef>
          </c:yVal>
          <c:smooth val="0"/>
        </c:ser>
        <c:ser>
          <c:idx val="17"/>
          <c:order val="19"/>
          <c:tx>
            <c:strRef>
              <c:f>Chart!$CP$34</c:f>
              <c:strCache>
                <c:ptCount val="1"/>
                <c:pt idx="0">
                  <c:v>Chart_Adjust_min</c:v>
                </c:pt>
              </c:strCache>
            </c:strRef>
          </c:tx>
          <c:spPr>
            <a:ln>
              <a:noFill/>
            </a:ln>
          </c:spPr>
          <c:marker>
            <c:symbol val="none"/>
          </c:marker>
          <c:xVal>
            <c:numRef>
              <c:f>(Chart!$CQ$34,Chart!$CQ$35)</c:f>
              <c:numCache>
                <c:formatCode>0</c:formatCode>
                <c:ptCount val="2"/>
                <c:pt idx="0">
                  <c:v>0</c:v>
                </c:pt>
                <c:pt idx="1">
                  <c:v>0</c:v>
                </c:pt>
              </c:numCache>
            </c:numRef>
          </c:xVal>
          <c:yVal>
            <c:numRef>
              <c:f>(Chart!$CR$34,Chart!$CR$35)</c:f>
              <c:numCache>
                <c:formatCode>0</c:formatCode>
                <c:ptCount val="2"/>
                <c:pt idx="0">
                  <c:v>0</c:v>
                </c:pt>
                <c:pt idx="1">
                  <c:v>0</c:v>
                </c:pt>
              </c:numCache>
            </c:numRef>
          </c:yVal>
          <c:smooth val="0"/>
        </c:ser>
        <c:ser>
          <c:idx val="35"/>
          <c:order val="20"/>
          <c:tx>
            <c:v>Probe_Area_Oth</c:v>
          </c:tx>
          <c:spPr>
            <a:ln w="6350">
              <a:solidFill>
                <a:schemeClr val="tx1"/>
              </a:solidFill>
              <a:prstDash val="lgDashDotDot"/>
            </a:ln>
          </c:spPr>
          <c:marker>
            <c:symbol val="none"/>
          </c:marker>
          <c:xVal>
            <c:numRef>
              <c:f>Chart!$CW$11:$CW$15</c:f>
              <c:numCache>
                <c:formatCode>0.0</c:formatCode>
                <c:ptCount val="5"/>
                <c:pt idx="0">
                  <c:v>0</c:v>
                </c:pt>
                <c:pt idx="1">
                  <c:v>0</c:v>
                </c:pt>
                <c:pt idx="2">
                  <c:v>0</c:v>
                </c:pt>
                <c:pt idx="3">
                  <c:v>0</c:v>
                </c:pt>
                <c:pt idx="4">
                  <c:v>0</c:v>
                </c:pt>
              </c:numCache>
            </c:numRef>
          </c:xVal>
          <c:yVal>
            <c:numRef>
              <c:f>Chart!$CX$11:$CX$15</c:f>
              <c:numCache>
                <c:formatCode>0.0</c:formatCode>
                <c:ptCount val="5"/>
                <c:pt idx="0">
                  <c:v>0</c:v>
                </c:pt>
                <c:pt idx="1">
                  <c:v>0</c:v>
                </c:pt>
                <c:pt idx="2">
                  <c:v>0</c:v>
                </c:pt>
                <c:pt idx="3">
                  <c:v>0</c:v>
                </c:pt>
                <c:pt idx="4">
                  <c:v>0</c:v>
                </c:pt>
              </c:numCache>
            </c:numRef>
          </c:yVal>
          <c:smooth val="0"/>
        </c:ser>
        <c:ser>
          <c:idx val="1"/>
          <c:order val="21"/>
          <c:tx>
            <c:v>die16</c:v>
          </c:tx>
          <c:spPr>
            <a:ln w="12700">
              <a:solidFill>
                <a:srgbClr val="993300"/>
              </a:solidFill>
            </a:ln>
          </c:spPr>
          <c:marker>
            <c:symbol val="none"/>
          </c:marker>
          <c:xVal>
            <c:numRef>
              <c:f>Chart!$CK$83:$CK$87</c:f>
              <c:numCache>
                <c:formatCode>0.0</c:formatCode>
                <c:ptCount val="5"/>
                <c:pt idx="0">
                  <c:v>0</c:v>
                </c:pt>
                <c:pt idx="1">
                  <c:v>0</c:v>
                </c:pt>
                <c:pt idx="2">
                  <c:v>0</c:v>
                </c:pt>
                <c:pt idx="3">
                  <c:v>0</c:v>
                </c:pt>
                <c:pt idx="4">
                  <c:v>0</c:v>
                </c:pt>
              </c:numCache>
            </c:numRef>
          </c:xVal>
          <c:yVal>
            <c:numRef>
              <c:f>Chart!$CL$83:$CL$87</c:f>
              <c:numCache>
                <c:formatCode>0.0</c:formatCode>
                <c:ptCount val="5"/>
                <c:pt idx="0">
                  <c:v>0</c:v>
                </c:pt>
                <c:pt idx="1">
                  <c:v>0</c:v>
                </c:pt>
                <c:pt idx="2">
                  <c:v>0</c:v>
                </c:pt>
                <c:pt idx="3">
                  <c:v>0</c:v>
                </c:pt>
                <c:pt idx="4">
                  <c:v>0</c:v>
                </c:pt>
              </c:numCache>
            </c:numRef>
          </c:yVal>
          <c:smooth val="0"/>
        </c:ser>
        <c:ser>
          <c:idx val="2"/>
          <c:order val="22"/>
          <c:tx>
            <c:v>die17</c:v>
          </c:tx>
          <c:spPr>
            <a:ln w="12700">
              <a:solidFill>
                <a:srgbClr val="993300"/>
              </a:solidFill>
            </a:ln>
          </c:spPr>
          <c:marker>
            <c:symbol val="none"/>
          </c:marker>
          <c:xVal>
            <c:numRef>
              <c:f>Chart!$CK$88:$CK$92</c:f>
              <c:numCache>
                <c:formatCode>0.0</c:formatCode>
                <c:ptCount val="5"/>
                <c:pt idx="0">
                  <c:v>0</c:v>
                </c:pt>
                <c:pt idx="1">
                  <c:v>0</c:v>
                </c:pt>
                <c:pt idx="2">
                  <c:v>0</c:v>
                </c:pt>
                <c:pt idx="3">
                  <c:v>0</c:v>
                </c:pt>
                <c:pt idx="4">
                  <c:v>0</c:v>
                </c:pt>
              </c:numCache>
            </c:numRef>
          </c:xVal>
          <c:yVal>
            <c:numRef>
              <c:f>Chart!$CL$88:$CL$92</c:f>
              <c:numCache>
                <c:formatCode>0.0</c:formatCode>
                <c:ptCount val="5"/>
                <c:pt idx="0">
                  <c:v>0</c:v>
                </c:pt>
                <c:pt idx="1">
                  <c:v>0</c:v>
                </c:pt>
                <c:pt idx="2">
                  <c:v>0</c:v>
                </c:pt>
                <c:pt idx="3">
                  <c:v>0</c:v>
                </c:pt>
                <c:pt idx="4">
                  <c:v>0</c:v>
                </c:pt>
              </c:numCache>
            </c:numRef>
          </c:yVal>
          <c:smooth val="0"/>
        </c:ser>
        <c:ser>
          <c:idx val="3"/>
          <c:order val="23"/>
          <c:tx>
            <c:v>die18</c:v>
          </c:tx>
          <c:spPr>
            <a:ln w="12700">
              <a:solidFill>
                <a:srgbClr val="993300"/>
              </a:solidFill>
            </a:ln>
          </c:spPr>
          <c:marker>
            <c:symbol val="none"/>
          </c:marker>
          <c:xVal>
            <c:numRef>
              <c:f>Chart!$CK$93:$CK$97</c:f>
              <c:numCache>
                <c:formatCode>0.0</c:formatCode>
                <c:ptCount val="5"/>
                <c:pt idx="0">
                  <c:v>0</c:v>
                </c:pt>
                <c:pt idx="1">
                  <c:v>0</c:v>
                </c:pt>
                <c:pt idx="2">
                  <c:v>0</c:v>
                </c:pt>
                <c:pt idx="3">
                  <c:v>0</c:v>
                </c:pt>
                <c:pt idx="4">
                  <c:v>0</c:v>
                </c:pt>
              </c:numCache>
            </c:numRef>
          </c:xVal>
          <c:yVal>
            <c:numRef>
              <c:f>Chart!$CL$93:$CL$97</c:f>
              <c:numCache>
                <c:formatCode>0.0</c:formatCode>
                <c:ptCount val="5"/>
                <c:pt idx="0">
                  <c:v>0</c:v>
                </c:pt>
                <c:pt idx="1">
                  <c:v>0</c:v>
                </c:pt>
                <c:pt idx="2">
                  <c:v>0</c:v>
                </c:pt>
                <c:pt idx="3">
                  <c:v>0</c:v>
                </c:pt>
                <c:pt idx="4">
                  <c:v>0</c:v>
                </c:pt>
              </c:numCache>
            </c:numRef>
          </c:yVal>
          <c:smooth val="0"/>
        </c:ser>
        <c:ser>
          <c:idx val="4"/>
          <c:order val="24"/>
          <c:tx>
            <c:v>die19</c:v>
          </c:tx>
          <c:spPr>
            <a:ln w="12700">
              <a:solidFill>
                <a:srgbClr val="993300"/>
              </a:solidFill>
            </a:ln>
          </c:spPr>
          <c:marker>
            <c:symbol val="none"/>
          </c:marker>
          <c:xVal>
            <c:numRef>
              <c:f>Chart!$CK$98:$CK$102</c:f>
              <c:numCache>
                <c:formatCode>0.0</c:formatCode>
                <c:ptCount val="5"/>
                <c:pt idx="0">
                  <c:v>0</c:v>
                </c:pt>
                <c:pt idx="1">
                  <c:v>0</c:v>
                </c:pt>
                <c:pt idx="2">
                  <c:v>0</c:v>
                </c:pt>
                <c:pt idx="3">
                  <c:v>0</c:v>
                </c:pt>
                <c:pt idx="4">
                  <c:v>0</c:v>
                </c:pt>
              </c:numCache>
            </c:numRef>
          </c:xVal>
          <c:yVal>
            <c:numRef>
              <c:f>Chart!$CL$98:$CL$102</c:f>
              <c:numCache>
                <c:formatCode>0.0</c:formatCode>
                <c:ptCount val="5"/>
                <c:pt idx="0">
                  <c:v>0</c:v>
                </c:pt>
                <c:pt idx="1">
                  <c:v>0</c:v>
                </c:pt>
                <c:pt idx="2">
                  <c:v>0</c:v>
                </c:pt>
                <c:pt idx="3">
                  <c:v>0</c:v>
                </c:pt>
                <c:pt idx="4">
                  <c:v>0</c:v>
                </c:pt>
              </c:numCache>
            </c:numRef>
          </c:yVal>
          <c:smooth val="0"/>
        </c:ser>
        <c:ser>
          <c:idx val="5"/>
          <c:order val="25"/>
          <c:tx>
            <c:v>die20</c:v>
          </c:tx>
          <c:spPr>
            <a:ln w="12700">
              <a:solidFill>
                <a:srgbClr val="993300"/>
              </a:solidFill>
            </a:ln>
          </c:spPr>
          <c:marker>
            <c:symbol val="none"/>
          </c:marker>
          <c:xVal>
            <c:numRef>
              <c:f>Chart!$CK$103:$CK$107</c:f>
              <c:numCache>
                <c:formatCode>0.0</c:formatCode>
                <c:ptCount val="5"/>
                <c:pt idx="0">
                  <c:v>0</c:v>
                </c:pt>
                <c:pt idx="1">
                  <c:v>0</c:v>
                </c:pt>
                <c:pt idx="2">
                  <c:v>0</c:v>
                </c:pt>
                <c:pt idx="3">
                  <c:v>0</c:v>
                </c:pt>
                <c:pt idx="4">
                  <c:v>0</c:v>
                </c:pt>
              </c:numCache>
            </c:numRef>
          </c:xVal>
          <c:yVal>
            <c:numRef>
              <c:f>Chart!$CL$103:$CL$107</c:f>
              <c:numCache>
                <c:formatCode>0.0</c:formatCode>
                <c:ptCount val="5"/>
                <c:pt idx="0">
                  <c:v>0</c:v>
                </c:pt>
                <c:pt idx="1">
                  <c:v>0</c:v>
                </c:pt>
                <c:pt idx="2">
                  <c:v>0</c:v>
                </c:pt>
                <c:pt idx="3">
                  <c:v>0</c:v>
                </c:pt>
                <c:pt idx="4">
                  <c:v>0</c:v>
                </c:pt>
              </c:numCache>
            </c:numRef>
          </c:yVal>
          <c:smooth val="0"/>
        </c:ser>
        <c:ser>
          <c:idx val="6"/>
          <c:order val="26"/>
          <c:tx>
            <c:v>die21</c:v>
          </c:tx>
          <c:spPr>
            <a:ln w="12700">
              <a:solidFill>
                <a:srgbClr val="993300"/>
              </a:solidFill>
            </a:ln>
          </c:spPr>
          <c:marker>
            <c:symbol val="none"/>
          </c:marker>
          <c:xVal>
            <c:numRef>
              <c:f>Chart!$CK$108:$CK$112</c:f>
              <c:numCache>
                <c:formatCode>0.0</c:formatCode>
                <c:ptCount val="5"/>
                <c:pt idx="0">
                  <c:v>0</c:v>
                </c:pt>
                <c:pt idx="1">
                  <c:v>0</c:v>
                </c:pt>
                <c:pt idx="2">
                  <c:v>0</c:v>
                </c:pt>
                <c:pt idx="3">
                  <c:v>0</c:v>
                </c:pt>
                <c:pt idx="4">
                  <c:v>0</c:v>
                </c:pt>
              </c:numCache>
            </c:numRef>
          </c:xVal>
          <c:yVal>
            <c:numRef>
              <c:f>Chart!$CL$108:$CL$112</c:f>
              <c:numCache>
                <c:formatCode>0.0</c:formatCode>
                <c:ptCount val="5"/>
                <c:pt idx="0">
                  <c:v>0</c:v>
                </c:pt>
                <c:pt idx="1">
                  <c:v>0</c:v>
                </c:pt>
                <c:pt idx="2">
                  <c:v>0</c:v>
                </c:pt>
                <c:pt idx="3">
                  <c:v>0</c:v>
                </c:pt>
                <c:pt idx="4">
                  <c:v>0</c:v>
                </c:pt>
              </c:numCache>
            </c:numRef>
          </c:yVal>
          <c:smooth val="0"/>
        </c:ser>
        <c:ser>
          <c:idx val="7"/>
          <c:order val="27"/>
          <c:tx>
            <c:v>die22</c:v>
          </c:tx>
          <c:spPr>
            <a:ln w="12700">
              <a:solidFill>
                <a:srgbClr val="993300"/>
              </a:solidFill>
            </a:ln>
          </c:spPr>
          <c:marker>
            <c:symbol val="none"/>
          </c:marker>
          <c:xVal>
            <c:numRef>
              <c:f>Chart!$CK$113:$CK$117</c:f>
              <c:numCache>
                <c:formatCode>0.0</c:formatCode>
                <c:ptCount val="5"/>
                <c:pt idx="0">
                  <c:v>0</c:v>
                </c:pt>
                <c:pt idx="1">
                  <c:v>0</c:v>
                </c:pt>
                <c:pt idx="2">
                  <c:v>0</c:v>
                </c:pt>
                <c:pt idx="3">
                  <c:v>0</c:v>
                </c:pt>
                <c:pt idx="4">
                  <c:v>0</c:v>
                </c:pt>
              </c:numCache>
            </c:numRef>
          </c:xVal>
          <c:yVal>
            <c:numRef>
              <c:f>Chart!$CL$113:$CL$117</c:f>
              <c:numCache>
                <c:formatCode>0.0</c:formatCode>
                <c:ptCount val="5"/>
                <c:pt idx="0">
                  <c:v>0</c:v>
                </c:pt>
                <c:pt idx="1">
                  <c:v>0</c:v>
                </c:pt>
                <c:pt idx="2">
                  <c:v>0</c:v>
                </c:pt>
                <c:pt idx="3">
                  <c:v>0</c:v>
                </c:pt>
                <c:pt idx="4">
                  <c:v>0</c:v>
                </c:pt>
              </c:numCache>
            </c:numRef>
          </c:yVal>
          <c:smooth val="0"/>
        </c:ser>
        <c:ser>
          <c:idx val="9"/>
          <c:order val="28"/>
          <c:tx>
            <c:v>die23</c:v>
          </c:tx>
          <c:spPr>
            <a:ln w="12700">
              <a:solidFill>
                <a:srgbClr val="993300"/>
              </a:solidFill>
            </a:ln>
          </c:spPr>
          <c:marker>
            <c:symbol val="none"/>
          </c:marker>
          <c:xVal>
            <c:numRef>
              <c:f>Chart!$CK$118:$CK$122</c:f>
              <c:numCache>
                <c:formatCode>0.0</c:formatCode>
                <c:ptCount val="5"/>
                <c:pt idx="0">
                  <c:v>0</c:v>
                </c:pt>
                <c:pt idx="1">
                  <c:v>0</c:v>
                </c:pt>
                <c:pt idx="2">
                  <c:v>0</c:v>
                </c:pt>
                <c:pt idx="3">
                  <c:v>0</c:v>
                </c:pt>
                <c:pt idx="4">
                  <c:v>0</c:v>
                </c:pt>
              </c:numCache>
            </c:numRef>
          </c:xVal>
          <c:yVal>
            <c:numRef>
              <c:f>Chart!$CL$118:$CL$122</c:f>
              <c:numCache>
                <c:formatCode>0.0</c:formatCode>
                <c:ptCount val="5"/>
                <c:pt idx="0">
                  <c:v>0</c:v>
                </c:pt>
                <c:pt idx="1">
                  <c:v>0</c:v>
                </c:pt>
                <c:pt idx="2">
                  <c:v>0</c:v>
                </c:pt>
                <c:pt idx="3">
                  <c:v>0</c:v>
                </c:pt>
                <c:pt idx="4">
                  <c:v>0</c:v>
                </c:pt>
              </c:numCache>
            </c:numRef>
          </c:yVal>
          <c:smooth val="0"/>
        </c:ser>
        <c:ser>
          <c:idx val="10"/>
          <c:order val="29"/>
          <c:tx>
            <c:v>die24</c:v>
          </c:tx>
          <c:spPr>
            <a:ln w="12700">
              <a:solidFill>
                <a:srgbClr val="993300"/>
              </a:solidFill>
            </a:ln>
          </c:spPr>
          <c:marker>
            <c:symbol val="none"/>
          </c:marker>
          <c:xVal>
            <c:numRef>
              <c:f>Chart!$CK$123:$CK$127</c:f>
              <c:numCache>
                <c:formatCode>0.0</c:formatCode>
                <c:ptCount val="5"/>
                <c:pt idx="0">
                  <c:v>0</c:v>
                </c:pt>
                <c:pt idx="1">
                  <c:v>0</c:v>
                </c:pt>
                <c:pt idx="2">
                  <c:v>0</c:v>
                </c:pt>
                <c:pt idx="3">
                  <c:v>0</c:v>
                </c:pt>
                <c:pt idx="4">
                  <c:v>0</c:v>
                </c:pt>
              </c:numCache>
            </c:numRef>
          </c:xVal>
          <c:yVal>
            <c:numRef>
              <c:f>Chart!$CL$123:$CL$127</c:f>
              <c:numCache>
                <c:formatCode>0.0</c:formatCode>
                <c:ptCount val="5"/>
                <c:pt idx="0">
                  <c:v>0</c:v>
                </c:pt>
                <c:pt idx="1">
                  <c:v>0</c:v>
                </c:pt>
                <c:pt idx="2">
                  <c:v>0</c:v>
                </c:pt>
                <c:pt idx="3">
                  <c:v>0</c:v>
                </c:pt>
                <c:pt idx="4">
                  <c:v>0</c:v>
                </c:pt>
              </c:numCache>
            </c:numRef>
          </c:yVal>
          <c:smooth val="0"/>
        </c:ser>
        <c:ser>
          <c:idx val="11"/>
          <c:order val="30"/>
          <c:tx>
            <c:v>die25</c:v>
          </c:tx>
          <c:spPr>
            <a:ln w="12700">
              <a:solidFill>
                <a:srgbClr val="993300"/>
              </a:solidFill>
            </a:ln>
          </c:spPr>
          <c:marker>
            <c:symbol val="none"/>
          </c:marker>
          <c:xVal>
            <c:numRef>
              <c:f>Chart!$CK$128:$CK$132</c:f>
              <c:numCache>
                <c:formatCode>0.0</c:formatCode>
                <c:ptCount val="5"/>
                <c:pt idx="0">
                  <c:v>0</c:v>
                </c:pt>
                <c:pt idx="1">
                  <c:v>0</c:v>
                </c:pt>
                <c:pt idx="2">
                  <c:v>0</c:v>
                </c:pt>
                <c:pt idx="3">
                  <c:v>0</c:v>
                </c:pt>
                <c:pt idx="4">
                  <c:v>0</c:v>
                </c:pt>
              </c:numCache>
            </c:numRef>
          </c:xVal>
          <c:yVal>
            <c:numRef>
              <c:f>Chart!$CL$128:$CL$132</c:f>
              <c:numCache>
                <c:formatCode>0.0</c:formatCode>
                <c:ptCount val="5"/>
                <c:pt idx="0">
                  <c:v>0</c:v>
                </c:pt>
                <c:pt idx="1">
                  <c:v>0</c:v>
                </c:pt>
                <c:pt idx="2">
                  <c:v>0</c:v>
                </c:pt>
                <c:pt idx="3">
                  <c:v>0</c:v>
                </c:pt>
                <c:pt idx="4">
                  <c:v>0</c:v>
                </c:pt>
              </c:numCache>
            </c:numRef>
          </c:yVal>
          <c:smooth val="0"/>
        </c:ser>
        <c:ser>
          <c:idx val="12"/>
          <c:order val="31"/>
          <c:tx>
            <c:v>die26</c:v>
          </c:tx>
          <c:spPr>
            <a:ln w="12700">
              <a:solidFill>
                <a:srgbClr val="993300"/>
              </a:solidFill>
            </a:ln>
          </c:spPr>
          <c:marker>
            <c:symbol val="none"/>
          </c:marker>
          <c:xVal>
            <c:numRef>
              <c:f>Chart!$CK$133:$CK$137</c:f>
              <c:numCache>
                <c:formatCode>0.0</c:formatCode>
                <c:ptCount val="5"/>
                <c:pt idx="0">
                  <c:v>0</c:v>
                </c:pt>
                <c:pt idx="1">
                  <c:v>0</c:v>
                </c:pt>
                <c:pt idx="2">
                  <c:v>0</c:v>
                </c:pt>
                <c:pt idx="3">
                  <c:v>0</c:v>
                </c:pt>
                <c:pt idx="4">
                  <c:v>0</c:v>
                </c:pt>
              </c:numCache>
            </c:numRef>
          </c:xVal>
          <c:yVal>
            <c:numRef>
              <c:f>Chart!$CL$133:$CL$137</c:f>
              <c:numCache>
                <c:formatCode>0.0</c:formatCode>
                <c:ptCount val="5"/>
                <c:pt idx="0">
                  <c:v>0</c:v>
                </c:pt>
                <c:pt idx="1">
                  <c:v>0</c:v>
                </c:pt>
                <c:pt idx="2">
                  <c:v>0</c:v>
                </c:pt>
                <c:pt idx="3">
                  <c:v>0</c:v>
                </c:pt>
                <c:pt idx="4">
                  <c:v>0</c:v>
                </c:pt>
              </c:numCache>
            </c:numRef>
          </c:yVal>
          <c:smooth val="0"/>
        </c:ser>
        <c:ser>
          <c:idx val="13"/>
          <c:order val="32"/>
          <c:tx>
            <c:v>die27</c:v>
          </c:tx>
          <c:spPr>
            <a:ln w="12700">
              <a:solidFill>
                <a:srgbClr val="993300"/>
              </a:solidFill>
            </a:ln>
          </c:spPr>
          <c:marker>
            <c:symbol val="none"/>
          </c:marker>
          <c:xVal>
            <c:numRef>
              <c:f>Chart!$CK$138:$CK$142</c:f>
              <c:numCache>
                <c:formatCode>0.0</c:formatCode>
                <c:ptCount val="5"/>
                <c:pt idx="0">
                  <c:v>0</c:v>
                </c:pt>
                <c:pt idx="1">
                  <c:v>0</c:v>
                </c:pt>
                <c:pt idx="2">
                  <c:v>0</c:v>
                </c:pt>
                <c:pt idx="3">
                  <c:v>0</c:v>
                </c:pt>
                <c:pt idx="4">
                  <c:v>0</c:v>
                </c:pt>
              </c:numCache>
            </c:numRef>
          </c:xVal>
          <c:yVal>
            <c:numRef>
              <c:f>Chart!$CL$138:$CL$142</c:f>
              <c:numCache>
                <c:formatCode>0.0</c:formatCode>
                <c:ptCount val="5"/>
                <c:pt idx="0">
                  <c:v>0</c:v>
                </c:pt>
                <c:pt idx="1">
                  <c:v>0</c:v>
                </c:pt>
                <c:pt idx="2">
                  <c:v>0</c:v>
                </c:pt>
                <c:pt idx="3">
                  <c:v>0</c:v>
                </c:pt>
                <c:pt idx="4">
                  <c:v>0</c:v>
                </c:pt>
              </c:numCache>
            </c:numRef>
          </c:yVal>
          <c:smooth val="0"/>
        </c:ser>
        <c:ser>
          <c:idx val="14"/>
          <c:order val="33"/>
          <c:tx>
            <c:v>die28</c:v>
          </c:tx>
          <c:spPr>
            <a:ln w="12700">
              <a:solidFill>
                <a:srgbClr val="993300"/>
              </a:solidFill>
            </a:ln>
          </c:spPr>
          <c:marker>
            <c:symbol val="none"/>
          </c:marker>
          <c:xVal>
            <c:numRef>
              <c:f>Chart!$CK$143:$CK$147</c:f>
              <c:numCache>
                <c:formatCode>0.0</c:formatCode>
                <c:ptCount val="5"/>
                <c:pt idx="0">
                  <c:v>0</c:v>
                </c:pt>
                <c:pt idx="1">
                  <c:v>0</c:v>
                </c:pt>
                <c:pt idx="2">
                  <c:v>0</c:v>
                </c:pt>
                <c:pt idx="3">
                  <c:v>0</c:v>
                </c:pt>
                <c:pt idx="4">
                  <c:v>0</c:v>
                </c:pt>
              </c:numCache>
            </c:numRef>
          </c:xVal>
          <c:yVal>
            <c:numRef>
              <c:f>Chart!$CL$143:$CL$147</c:f>
              <c:numCache>
                <c:formatCode>0.0</c:formatCode>
                <c:ptCount val="5"/>
                <c:pt idx="0">
                  <c:v>0</c:v>
                </c:pt>
                <c:pt idx="1">
                  <c:v>0</c:v>
                </c:pt>
                <c:pt idx="2">
                  <c:v>0</c:v>
                </c:pt>
                <c:pt idx="3">
                  <c:v>0</c:v>
                </c:pt>
                <c:pt idx="4">
                  <c:v>0</c:v>
                </c:pt>
              </c:numCache>
            </c:numRef>
          </c:yVal>
          <c:smooth val="0"/>
        </c:ser>
        <c:ser>
          <c:idx val="15"/>
          <c:order val="34"/>
          <c:tx>
            <c:v>die29</c:v>
          </c:tx>
          <c:spPr>
            <a:ln w="12700">
              <a:solidFill>
                <a:srgbClr val="993300"/>
              </a:solidFill>
            </a:ln>
          </c:spPr>
          <c:marker>
            <c:symbol val="none"/>
          </c:marker>
          <c:xVal>
            <c:numRef>
              <c:f>Chart!$CK$148:$CK$152</c:f>
              <c:numCache>
                <c:formatCode>0.0</c:formatCode>
                <c:ptCount val="5"/>
                <c:pt idx="0">
                  <c:v>0</c:v>
                </c:pt>
                <c:pt idx="1">
                  <c:v>0</c:v>
                </c:pt>
                <c:pt idx="2">
                  <c:v>0</c:v>
                </c:pt>
                <c:pt idx="3">
                  <c:v>0</c:v>
                </c:pt>
                <c:pt idx="4">
                  <c:v>0</c:v>
                </c:pt>
              </c:numCache>
            </c:numRef>
          </c:xVal>
          <c:yVal>
            <c:numRef>
              <c:f>Chart!$CL$148:$CL$152</c:f>
              <c:numCache>
                <c:formatCode>0.0</c:formatCode>
                <c:ptCount val="5"/>
                <c:pt idx="0">
                  <c:v>0</c:v>
                </c:pt>
                <c:pt idx="1">
                  <c:v>0</c:v>
                </c:pt>
                <c:pt idx="2">
                  <c:v>0</c:v>
                </c:pt>
                <c:pt idx="3">
                  <c:v>0</c:v>
                </c:pt>
                <c:pt idx="4">
                  <c:v>0</c:v>
                </c:pt>
              </c:numCache>
            </c:numRef>
          </c:yVal>
          <c:smooth val="0"/>
        </c:ser>
        <c:ser>
          <c:idx val="16"/>
          <c:order val="35"/>
          <c:tx>
            <c:v>die30</c:v>
          </c:tx>
          <c:spPr>
            <a:ln w="12700">
              <a:solidFill>
                <a:srgbClr val="993300"/>
              </a:solidFill>
            </a:ln>
          </c:spPr>
          <c:marker>
            <c:symbol val="none"/>
          </c:marker>
          <c:xVal>
            <c:numRef>
              <c:f>Chart!$CK$153:$CK$157</c:f>
              <c:numCache>
                <c:formatCode>0.0</c:formatCode>
                <c:ptCount val="5"/>
                <c:pt idx="0">
                  <c:v>0</c:v>
                </c:pt>
                <c:pt idx="1">
                  <c:v>0</c:v>
                </c:pt>
                <c:pt idx="2">
                  <c:v>0</c:v>
                </c:pt>
                <c:pt idx="3">
                  <c:v>0</c:v>
                </c:pt>
                <c:pt idx="4">
                  <c:v>0</c:v>
                </c:pt>
              </c:numCache>
            </c:numRef>
          </c:xVal>
          <c:yVal>
            <c:numRef>
              <c:f>Chart!$CL$153:$CL$157</c:f>
              <c:numCache>
                <c:formatCode>0.0</c:formatCode>
                <c:ptCount val="5"/>
                <c:pt idx="0">
                  <c:v>0</c:v>
                </c:pt>
                <c:pt idx="1">
                  <c:v>0</c:v>
                </c:pt>
                <c:pt idx="2">
                  <c:v>0</c:v>
                </c:pt>
                <c:pt idx="3">
                  <c:v>0</c:v>
                </c:pt>
                <c:pt idx="4">
                  <c:v>0</c:v>
                </c:pt>
              </c:numCache>
            </c:numRef>
          </c:yVal>
          <c:smooth val="0"/>
        </c:ser>
        <c:ser>
          <c:idx val="37"/>
          <c:order val="36"/>
          <c:tx>
            <c:v>die31</c:v>
          </c:tx>
          <c:spPr>
            <a:ln w="12700">
              <a:solidFill>
                <a:srgbClr val="993300"/>
              </a:solidFill>
            </a:ln>
          </c:spPr>
          <c:marker>
            <c:symbol val="none"/>
          </c:marker>
          <c:xVal>
            <c:numRef>
              <c:f>Chart!$CK$158:$CK$162</c:f>
              <c:numCache>
                <c:formatCode>0.0</c:formatCode>
                <c:ptCount val="5"/>
                <c:pt idx="0">
                  <c:v>0</c:v>
                </c:pt>
                <c:pt idx="1">
                  <c:v>0</c:v>
                </c:pt>
                <c:pt idx="2">
                  <c:v>0</c:v>
                </c:pt>
                <c:pt idx="3">
                  <c:v>0</c:v>
                </c:pt>
                <c:pt idx="4">
                  <c:v>0</c:v>
                </c:pt>
              </c:numCache>
            </c:numRef>
          </c:xVal>
          <c:yVal>
            <c:numRef>
              <c:f>Chart!$CL$158:$CL$162</c:f>
              <c:numCache>
                <c:formatCode>0.0</c:formatCode>
                <c:ptCount val="5"/>
                <c:pt idx="0">
                  <c:v>0</c:v>
                </c:pt>
                <c:pt idx="1">
                  <c:v>0</c:v>
                </c:pt>
                <c:pt idx="2">
                  <c:v>0</c:v>
                </c:pt>
                <c:pt idx="3">
                  <c:v>0</c:v>
                </c:pt>
                <c:pt idx="4">
                  <c:v>0</c:v>
                </c:pt>
              </c:numCache>
            </c:numRef>
          </c:yVal>
          <c:smooth val="0"/>
        </c:ser>
        <c:dLbls>
          <c:showLegendKey val="0"/>
          <c:showVal val="0"/>
          <c:showCatName val="0"/>
          <c:showSerName val="0"/>
          <c:showPercent val="0"/>
          <c:showBubbleSize val="0"/>
        </c:dLbls>
        <c:axId val="137632768"/>
        <c:axId val="137650944"/>
      </c:scatterChart>
      <c:valAx>
        <c:axId val="137632768"/>
        <c:scaling>
          <c:orientation val="minMax"/>
        </c:scaling>
        <c:delete val="0"/>
        <c:axPos val="t"/>
        <c:numFmt formatCode="General" sourceLinked="0"/>
        <c:majorTickMark val="out"/>
        <c:minorTickMark val="none"/>
        <c:tickLblPos val="nextTo"/>
        <c:spPr>
          <a:ln w="3175">
            <a:solidFill>
              <a:srgbClr val="C0C0C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7650944"/>
        <c:crosses val="max"/>
        <c:crossBetween val="midCat"/>
      </c:valAx>
      <c:valAx>
        <c:axId val="137650944"/>
        <c:scaling>
          <c:orientation val="minMax"/>
        </c:scaling>
        <c:delete val="0"/>
        <c:axPos val="r"/>
        <c:numFmt formatCode="General"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7632768"/>
        <c:crosses val="max"/>
        <c:crossBetween val="midCat"/>
      </c:valAx>
    </c:plotArea>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083124400714419E-2"/>
          <c:y val="0.11111352242887219"/>
          <c:w val="0.84456172219509562"/>
          <c:h val="0.82224006597365396"/>
        </c:manualLayout>
      </c:layout>
      <c:scatterChart>
        <c:scatterStyle val="lineMarker"/>
        <c:varyColors val="0"/>
        <c:ser>
          <c:idx val="0"/>
          <c:order val="0"/>
          <c:spPr>
            <a:ln>
              <a:noFill/>
            </a:ln>
          </c:spPr>
          <c:marker>
            <c:symbol val="circle"/>
            <c:size val="7"/>
          </c:marker>
          <c:xVal>
            <c:numRef>
              <c:f>Orientation!$BE$26:$BE$31</c:f>
              <c:numCache>
                <c:formatCode>0.00</c:formatCode>
                <c:ptCount val="6"/>
                <c:pt idx="0">
                  <c:v>0</c:v>
                </c:pt>
                <c:pt idx="1">
                  <c:v>0.1</c:v>
                </c:pt>
                <c:pt idx="2">
                  <c:v>0.2</c:v>
                </c:pt>
                <c:pt idx="3">
                  <c:v>0.3</c:v>
                </c:pt>
                <c:pt idx="4">
                  <c:v>0.4</c:v>
                </c:pt>
                <c:pt idx="5">
                  <c:v>0.5</c:v>
                </c:pt>
              </c:numCache>
            </c:numRef>
          </c:xVal>
          <c:yVal>
            <c:numRef>
              <c:f>Orientation!$BF$26:$BF$31</c:f>
              <c:numCache>
                <c:formatCode>General</c:formatCode>
                <c:ptCount val="6"/>
                <c:pt idx="0">
                  <c:v>0.02</c:v>
                </c:pt>
                <c:pt idx="1">
                  <c:v>0.02</c:v>
                </c:pt>
                <c:pt idx="2">
                  <c:v>0.02</c:v>
                </c:pt>
                <c:pt idx="3">
                  <c:v>0.02</c:v>
                </c:pt>
                <c:pt idx="4">
                  <c:v>0.02</c:v>
                </c:pt>
                <c:pt idx="5">
                  <c:v>0.02</c:v>
                </c:pt>
              </c:numCache>
            </c:numRef>
          </c:yVal>
          <c:smooth val="0"/>
        </c:ser>
        <c:ser>
          <c:idx val="1"/>
          <c:order val="1"/>
          <c:marker>
            <c:symbol val="none"/>
          </c:marker>
          <c:xVal>
            <c:numRef>
              <c:f>Orientation!$BC$26:$BC$30</c:f>
              <c:numCache>
                <c:formatCode>0.00</c:formatCode>
                <c:ptCount val="5"/>
                <c:pt idx="0">
                  <c:v>-0.1</c:v>
                </c:pt>
                <c:pt idx="1">
                  <c:v>0.6</c:v>
                </c:pt>
                <c:pt idx="2">
                  <c:v>0.6</c:v>
                </c:pt>
                <c:pt idx="3">
                  <c:v>-0.1</c:v>
                </c:pt>
                <c:pt idx="4">
                  <c:v>-0.1</c:v>
                </c:pt>
              </c:numCache>
            </c:numRef>
          </c:xVal>
          <c:yVal>
            <c:numRef>
              <c:f>Orientation!$BD$26:$BD$30</c:f>
              <c:numCache>
                <c:formatCode>0.00</c:formatCode>
                <c:ptCount val="5"/>
                <c:pt idx="0">
                  <c:v>2E-3</c:v>
                </c:pt>
                <c:pt idx="1">
                  <c:v>2E-3</c:v>
                </c:pt>
                <c:pt idx="2">
                  <c:v>-2E-3</c:v>
                </c:pt>
                <c:pt idx="3">
                  <c:v>-2E-3</c:v>
                </c:pt>
                <c:pt idx="4">
                  <c:v>2E-3</c:v>
                </c:pt>
              </c:numCache>
            </c:numRef>
          </c:yVal>
          <c:smooth val="0"/>
        </c:ser>
        <c:ser>
          <c:idx val="2"/>
          <c:order val="2"/>
          <c:spPr>
            <a:ln>
              <a:noFill/>
            </a:ln>
          </c:spPr>
          <c:marker>
            <c:symbol val="none"/>
          </c:marker>
          <c:xVal>
            <c:numRef>
              <c:f>Orientation!$BA$26</c:f>
              <c:numCache>
                <c:formatCode>General</c:formatCode>
                <c:ptCount val="1"/>
                <c:pt idx="0">
                  <c:v>0.25</c:v>
                </c:pt>
              </c:numCache>
            </c:numRef>
          </c:xVal>
          <c:yVal>
            <c:numRef>
              <c:f>Orientation!$BB$26</c:f>
              <c:numCache>
                <c:formatCode>0.00</c:formatCode>
                <c:ptCount val="1"/>
                <c:pt idx="0">
                  <c:v>0.05</c:v>
                </c:pt>
              </c:numCache>
            </c:numRef>
          </c:yVal>
          <c:smooth val="0"/>
        </c:ser>
        <c:dLbls>
          <c:showLegendKey val="0"/>
          <c:showVal val="0"/>
          <c:showCatName val="0"/>
          <c:showSerName val="0"/>
          <c:showPercent val="0"/>
          <c:showBubbleSize val="0"/>
        </c:dLbls>
        <c:axId val="137680384"/>
        <c:axId val="137681920"/>
      </c:scatterChart>
      <c:valAx>
        <c:axId val="137680384"/>
        <c:scaling>
          <c:orientation val="minMax"/>
        </c:scaling>
        <c:delete val="1"/>
        <c:axPos val="b"/>
        <c:numFmt formatCode="0.00" sourceLinked="1"/>
        <c:majorTickMark val="out"/>
        <c:minorTickMark val="none"/>
        <c:tickLblPos val="none"/>
        <c:crossAx val="137681920"/>
        <c:crosses val="autoZero"/>
        <c:crossBetween val="midCat"/>
      </c:valAx>
      <c:valAx>
        <c:axId val="137681920"/>
        <c:scaling>
          <c:orientation val="minMax"/>
        </c:scaling>
        <c:delete val="1"/>
        <c:axPos val="l"/>
        <c:numFmt formatCode="General" sourceLinked="1"/>
        <c:majorTickMark val="out"/>
        <c:minorTickMark val="none"/>
        <c:tickLblPos val="none"/>
        <c:crossAx val="137680384"/>
        <c:crosses val="autoZero"/>
        <c:crossBetween val="midCat"/>
      </c:valAx>
      <c:spPr>
        <a:noFill/>
        <a:ln w="25400">
          <a:noFill/>
        </a:ln>
      </c:spPr>
    </c:plotArea>
    <c:plotVisOnly val="0"/>
    <c:dispBlanksAs val="gap"/>
    <c:showDLblsOverMax val="0"/>
  </c:chart>
  <c:spPr>
    <a:solidFill>
      <a:srgbClr val="FFFFFF"/>
    </a:solidFill>
    <a:ln w="9525">
      <a:noFill/>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spPr>
            <a:ln>
              <a:solidFill>
                <a:schemeClr val="bg1"/>
              </a:solidFill>
            </a:ln>
          </c:spPr>
          <c:marker>
            <c:symbol val="none"/>
          </c:marker>
          <c:xVal>
            <c:numRef>
              <c:f>Chart!$BK$62</c:f>
              <c:numCache>
                <c:formatCode>General</c:formatCode>
                <c:ptCount val="1"/>
                <c:pt idx="0">
                  <c:v>0</c:v>
                </c:pt>
              </c:numCache>
            </c:numRef>
          </c:xVal>
          <c:yVal>
            <c:numRef>
              <c:f>Chart!$BL$62</c:f>
              <c:numCache>
                <c:formatCode>General</c:formatCode>
                <c:ptCount val="1"/>
                <c:pt idx="0">
                  <c:v>0</c:v>
                </c:pt>
              </c:numCache>
            </c:numRef>
          </c:yVal>
          <c:smooth val="0"/>
        </c:ser>
        <c:ser>
          <c:idx val="2"/>
          <c:order val="1"/>
          <c:spPr>
            <a:ln>
              <a:solidFill>
                <a:schemeClr val="tx1"/>
              </a:solidFill>
            </a:ln>
          </c:spPr>
          <c:marker>
            <c:symbol val="none"/>
          </c:marker>
          <c:xVal>
            <c:numRef>
              <c:f>Chart!$BK$56:$BK$60</c:f>
              <c:numCache>
                <c:formatCode>General</c:formatCode>
                <c:ptCount val="5"/>
                <c:pt idx="0">
                  <c:v>0</c:v>
                </c:pt>
                <c:pt idx="1">
                  <c:v>0</c:v>
                </c:pt>
                <c:pt idx="2">
                  <c:v>0</c:v>
                </c:pt>
                <c:pt idx="3">
                  <c:v>0</c:v>
                </c:pt>
                <c:pt idx="4">
                  <c:v>0</c:v>
                </c:pt>
              </c:numCache>
            </c:numRef>
          </c:xVal>
          <c:yVal>
            <c:numRef>
              <c:f>Chart!$BL$56:$BL$60</c:f>
              <c:numCache>
                <c:formatCode>General</c:formatCode>
                <c:ptCount val="5"/>
                <c:pt idx="0">
                  <c:v>0</c:v>
                </c:pt>
                <c:pt idx="1">
                  <c:v>0</c:v>
                </c:pt>
                <c:pt idx="2">
                  <c:v>0</c:v>
                </c:pt>
                <c:pt idx="3">
                  <c:v>0</c:v>
                </c:pt>
                <c:pt idx="4">
                  <c:v>0</c:v>
                </c:pt>
              </c:numCache>
            </c:numRef>
          </c:yVal>
          <c:smooth val="0"/>
        </c:ser>
        <c:dLbls>
          <c:showLegendKey val="0"/>
          <c:showVal val="0"/>
          <c:showCatName val="0"/>
          <c:showSerName val="0"/>
          <c:showPercent val="0"/>
          <c:showBubbleSize val="0"/>
        </c:dLbls>
        <c:axId val="137782016"/>
        <c:axId val="137783552"/>
      </c:scatterChart>
      <c:valAx>
        <c:axId val="137782016"/>
        <c:scaling>
          <c:orientation val="minMax"/>
        </c:scaling>
        <c:delete val="1"/>
        <c:axPos val="b"/>
        <c:numFmt formatCode="General" sourceLinked="1"/>
        <c:majorTickMark val="out"/>
        <c:minorTickMark val="none"/>
        <c:tickLblPos val="nextTo"/>
        <c:crossAx val="137783552"/>
        <c:crosses val="autoZero"/>
        <c:crossBetween val="midCat"/>
        <c:majorUnit val="5"/>
      </c:valAx>
      <c:valAx>
        <c:axId val="137783552"/>
        <c:scaling>
          <c:orientation val="minMax"/>
        </c:scaling>
        <c:delete val="1"/>
        <c:axPos val="l"/>
        <c:majorGridlines>
          <c:spPr>
            <a:ln>
              <a:noFill/>
            </a:ln>
          </c:spPr>
        </c:majorGridlines>
        <c:numFmt formatCode="General" sourceLinked="1"/>
        <c:majorTickMark val="out"/>
        <c:minorTickMark val="none"/>
        <c:tickLblPos val="nextTo"/>
        <c:crossAx val="137782016"/>
        <c:crosses val="autoZero"/>
        <c:crossBetween val="midCat"/>
        <c:majorUnit val="5"/>
      </c:valAx>
      <c:spPr>
        <a:noFill/>
        <a:ln w="25400">
          <a:noFill/>
        </a:ln>
      </c:spPr>
    </c:plotArea>
    <c:plotVisOnly val="0"/>
    <c:dispBlanksAs val="gap"/>
    <c:showDLblsOverMax val="0"/>
  </c:chart>
  <c:spPr>
    <a:solidFill>
      <a:sysClr val="window" lastClr="FFFFFF"/>
    </a:solidFill>
    <a:ln>
      <a:noFill/>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tx>
            <c:v>Round</c:v>
          </c:tx>
          <c:spPr>
            <a:noFill/>
            <a:ln w="25400">
              <a:solidFill>
                <a:srgbClr val="FFFF00"/>
              </a:solidFill>
            </a:ln>
          </c:spPr>
          <c:dPt>
            <c:idx val="0"/>
            <c:bubble3D val="0"/>
            <c:spPr>
              <a:noFill/>
              <a:ln w="25400">
                <a:solidFill>
                  <a:schemeClr val="tx2">
                    <a:lumMod val="60000"/>
                    <a:lumOff val="40000"/>
                  </a:schemeClr>
                </a:solidFill>
              </a:ln>
            </c:spPr>
          </c:dPt>
          <c:cat>
            <c:numRef>
              <c:f>Orientation!$BB$4:$BB$7</c:f>
              <c:numCache>
                <c:formatCode>General</c:formatCode>
                <c:ptCount val="4"/>
                <c:pt idx="0">
                  <c:v>-2.5</c:v>
                </c:pt>
                <c:pt idx="1">
                  <c:v>5.0000000000000018</c:v>
                </c:pt>
                <c:pt idx="2">
                  <c:v>5</c:v>
                </c:pt>
                <c:pt idx="3">
                  <c:v>5.5000000000000018</c:v>
                </c:pt>
              </c:numCache>
            </c:numRef>
          </c:cat>
          <c:val>
            <c:numRef>
              <c:f>Orientation!$BG$13</c:f>
              <c:numCache>
                <c:formatCode>General</c:formatCode>
                <c:ptCount val="1"/>
                <c:pt idx="0">
                  <c:v>0</c:v>
                </c:pt>
              </c:numCache>
            </c:numRef>
          </c:val>
        </c:ser>
        <c:dLbls>
          <c:showLegendKey val="0"/>
          <c:showVal val="0"/>
          <c:showCatName val="0"/>
          <c:showSerName val="0"/>
          <c:showPercent val="0"/>
          <c:showBubbleSize val="0"/>
          <c:showLeaderLines val="1"/>
        </c:dLbls>
        <c:firstSliceAng val="0"/>
        <c:holeSize val="39"/>
      </c:doughnutChart>
      <c:scatterChart>
        <c:scatterStyle val="lineMarker"/>
        <c:varyColors val="0"/>
        <c:ser>
          <c:idx val="0"/>
          <c:order val="0"/>
          <c:tx>
            <c:v>Rectang</c:v>
          </c:tx>
          <c:spPr>
            <a:ln>
              <a:solidFill>
                <a:schemeClr val="tx1"/>
              </a:solidFill>
            </a:ln>
          </c:spPr>
          <c:marker>
            <c:symbol val="none"/>
          </c:marker>
          <c:xVal>
            <c:numRef>
              <c:f>Orientation!$BE$4:$BE$12</c:f>
              <c:numCache>
                <c:formatCode>General</c:formatCode>
                <c:ptCount val="9"/>
                <c:pt idx="0">
                  <c:v>-2.5</c:v>
                </c:pt>
                <c:pt idx="1">
                  <c:v>-2.4999999999999956</c:v>
                </c:pt>
                <c:pt idx="2">
                  <c:v>-1.9999999999999987</c:v>
                </c:pt>
                <c:pt idx="3">
                  <c:v>-1.9999999999999956</c:v>
                </c:pt>
                <c:pt idx="4">
                  <c:v>1.9999999999999987</c:v>
                </c:pt>
                <c:pt idx="5">
                  <c:v>2.0000000000000013</c:v>
                </c:pt>
                <c:pt idx="6">
                  <c:v>2.5000000000000009</c:v>
                </c:pt>
                <c:pt idx="7">
                  <c:v>2.5000000000000004</c:v>
                </c:pt>
                <c:pt idx="8">
                  <c:v>-2.5</c:v>
                </c:pt>
              </c:numCache>
            </c:numRef>
          </c:xVal>
          <c:yVal>
            <c:numRef>
              <c:f>Orientation!$BF$4:$BF$12</c:f>
              <c:numCache>
                <c:formatCode>General</c:formatCode>
                <c:ptCount val="9"/>
                <c:pt idx="0">
                  <c:v>-2.5000000000000004</c:v>
                </c:pt>
                <c:pt idx="1">
                  <c:v>5.0000000000000027</c:v>
                </c:pt>
                <c:pt idx="2">
                  <c:v>5</c:v>
                </c:pt>
                <c:pt idx="3">
                  <c:v>5.5000000000000018</c:v>
                </c:pt>
                <c:pt idx="4">
                  <c:v>5.5000000000000009</c:v>
                </c:pt>
                <c:pt idx="5">
                  <c:v>4.9999999999999991</c:v>
                </c:pt>
                <c:pt idx="6">
                  <c:v>5</c:v>
                </c:pt>
                <c:pt idx="7">
                  <c:v>-2.5</c:v>
                </c:pt>
                <c:pt idx="8">
                  <c:v>-2.5000000000000004</c:v>
                </c:pt>
              </c:numCache>
            </c:numRef>
          </c:yVal>
          <c:smooth val="0"/>
        </c:ser>
        <c:ser>
          <c:idx val="2"/>
          <c:order val="2"/>
          <c:tx>
            <c:v>Pin_1</c:v>
          </c:tx>
          <c:spPr>
            <a:ln w="0">
              <a:solidFill>
                <a:srgbClr val="0000FF"/>
              </a:solidFill>
            </a:ln>
          </c:spPr>
          <c:marker>
            <c:symbol val="x"/>
            <c:size val="6"/>
            <c:spPr>
              <a:solidFill>
                <a:srgbClr val="0000FF"/>
              </a:solidFill>
              <a:ln>
                <a:noFill/>
              </a:ln>
            </c:spPr>
          </c:marker>
          <c:xVal>
            <c:numRef>
              <c:f>Orientation!$BE$23</c:f>
              <c:numCache>
                <c:formatCode>General</c:formatCode>
                <c:ptCount val="1"/>
                <c:pt idx="0">
                  <c:v>0</c:v>
                </c:pt>
              </c:numCache>
            </c:numRef>
          </c:xVal>
          <c:yVal>
            <c:numRef>
              <c:f>Orientation!$BF$23</c:f>
              <c:numCache>
                <c:formatCode>General</c:formatCode>
                <c:ptCount val="1"/>
                <c:pt idx="0">
                  <c:v>0</c:v>
                </c:pt>
              </c:numCache>
            </c:numRef>
          </c:yVal>
          <c:smooth val="0"/>
        </c:ser>
        <c:ser>
          <c:idx val="3"/>
          <c:order val="3"/>
          <c:tx>
            <c:v>Square</c:v>
          </c:tx>
          <c:spPr>
            <a:ln>
              <a:solidFill>
                <a:schemeClr val="tx1"/>
              </a:solidFill>
            </a:ln>
          </c:spPr>
          <c:marker>
            <c:symbol val="none"/>
          </c:marker>
          <c:xVal>
            <c:numRef>
              <c:f>Orientation!$BE$16:$BE$20</c:f>
              <c:numCache>
                <c:formatCode>General</c:formatCode>
                <c:ptCount val="5"/>
                <c:pt idx="0">
                  <c:v>0</c:v>
                </c:pt>
                <c:pt idx="1">
                  <c:v>0</c:v>
                </c:pt>
                <c:pt idx="2">
                  <c:v>0</c:v>
                </c:pt>
                <c:pt idx="3">
                  <c:v>0</c:v>
                </c:pt>
                <c:pt idx="4">
                  <c:v>0</c:v>
                </c:pt>
              </c:numCache>
            </c:numRef>
          </c:xVal>
          <c:yVal>
            <c:numRef>
              <c:f>Orientation!$BF$16:$BF$20</c:f>
              <c:numCache>
                <c:formatCode>General</c:formatCode>
                <c:ptCount val="5"/>
                <c:pt idx="0">
                  <c:v>0</c:v>
                </c:pt>
                <c:pt idx="1">
                  <c:v>0</c:v>
                </c:pt>
                <c:pt idx="2">
                  <c:v>0</c:v>
                </c:pt>
                <c:pt idx="3">
                  <c:v>0</c:v>
                </c:pt>
                <c:pt idx="4">
                  <c:v>0</c:v>
                </c:pt>
              </c:numCache>
            </c:numRef>
          </c:yVal>
          <c:smooth val="0"/>
        </c:ser>
        <c:dLbls>
          <c:showLegendKey val="0"/>
          <c:showVal val="0"/>
          <c:showCatName val="0"/>
          <c:showSerName val="0"/>
          <c:showPercent val="0"/>
          <c:showBubbleSize val="0"/>
        </c:dLbls>
        <c:axId val="128506112"/>
        <c:axId val="55656448"/>
      </c:scatterChart>
      <c:valAx>
        <c:axId val="128506112"/>
        <c:scaling>
          <c:orientation val="minMax"/>
          <c:max val="6"/>
          <c:min val="-6"/>
        </c:scaling>
        <c:delete val="1"/>
        <c:axPos val="b"/>
        <c:numFmt formatCode="General" sourceLinked="1"/>
        <c:majorTickMark val="out"/>
        <c:minorTickMark val="none"/>
        <c:tickLblPos val="nextTo"/>
        <c:crossAx val="55656448"/>
        <c:crosses val="autoZero"/>
        <c:crossBetween val="midCat"/>
        <c:majorUnit val="1"/>
      </c:valAx>
      <c:valAx>
        <c:axId val="55656448"/>
        <c:scaling>
          <c:orientation val="minMax"/>
          <c:max val="6"/>
          <c:min val="-6"/>
        </c:scaling>
        <c:delete val="1"/>
        <c:axPos val="l"/>
        <c:numFmt formatCode="General" sourceLinked="1"/>
        <c:majorTickMark val="out"/>
        <c:minorTickMark val="none"/>
        <c:tickLblPos val="nextTo"/>
        <c:crossAx val="128506112"/>
        <c:crosses val="autoZero"/>
        <c:crossBetween val="midCat"/>
        <c:majorUnit val="1"/>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083124400714419E-2"/>
          <c:y val="0.11111352242887219"/>
          <c:w val="0.84456172219509562"/>
          <c:h val="0.82224006597365396"/>
        </c:manualLayout>
      </c:layout>
      <c:scatterChart>
        <c:scatterStyle val="lineMarker"/>
        <c:varyColors val="0"/>
        <c:ser>
          <c:idx val="0"/>
          <c:order val="0"/>
          <c:spPr>
            <a:ln>
              <a:noFill/>
            </a:ln>
          </c:spPr>
          <c:marker>
            <c:symbol val="circle"/>
            <c:size val="7"/>
          </c:marker>
          <c:xVal>
            <c:numRef>
              <c:f>Orientation!$BE$26:$BE$31</c:f>
              <c:numCache>
                <c:formatCode>0.00</c:formatCode>
                <c:ptCount val="6"/>
                <c:pt idx="0">
                  <c:v>0</c:v>
                </c:pt>
                <c:pt idx="1">
                  <c:v>0.1</c:v>
                </c:pt>
                <c:pt idx="2">
                  <c:v>0.2</c:v>
                </c:pt>
                <c:pt idx="3">
                  <c:v>0.3</c:v>
                </c:pt>
                <c:pt idx="4">
                  <c:v>0.4</c:v>
                </c:pt>
                <c:pt idx="5">
                  <c:v>0.5</c:v>
                </c:pt>
              </c:numCache>
            </c:numRef>
          </c:xVal>
          <c:yVal>
            <c:numRef>
              <c:f>Orientation!$BF$26:$BF$31</c:f>
              <c:numCache>
                <c:formatCode>General</c:formatCode>
                <c:ptCount val="6"/>
                <c:pt idx="0">
                  <c:v>0.02</c:v>
                </c:pt>
                <c:pt idx="1">
                  <c:v>0.02</c:v>
                </c:pt>
                <c:pt idx="2">
                  <c:v>0.02</c:v>
                </c:pt>
                <c:pt idx="3">
                  <c:v>0.02</c:v>
                </c:pt>
                <c:pt idx="4">
                  <c:v>0.02</c:v>
                </c:pt>
                <c:pt idx="5">
                  <c:v>0.02</c:v>
                </c:pt>
              </c:numCache>
            </c:numRef>
          </c:yVal>
          <c:smooth val="0"/>
        </c:ser>
        <c:ser>
          <c:idx val="1"/>
          <c:order val="1"/>
          <c:marker>
            <c:symbol val="none"/>
          </c:marker>
          <c:xVal>
            <c:numRef>
              <c:f>Orientation!$BC$26:$BC$30</c:f>
              <c:numCache>
                <c:formatCode>0.00</c:formatCode>
                <c:ptCount val="5"/>
                <c:pt idx="0">
                  <c:v>-0.1</c:v>
                </c:pt>
                <c:pt idx="1">
                  <c:v>0.6</c:v>
                </c:pt>
                <c:pt idx="2">
                  <c:v>0.6</c:v>
                </c:pt>
                <c:pt idx="3">
                  <c:v>-0.1</c:v>
                </c:pt>
                <c:pt idx="4">
                  <c:v>-0.1</c:v>
                </c:pt>
              </c:numCache>
            </c:numRef>
          </c:xVal>
          <c:yVal>
            <c:numRef>
              <c:f>Orientation!$BD$26:$BD$30</c:f>
              <c:numCache>
                <c:formatCode>0.00</c:formatCode>
                <c:ptCount val="5"/>
                <c:pt idx="0">
                  <c:v>2E-3</c:v>
                </c:pt>
                <c:pt idx="1">
                  <c:v>2E-3</c:v>
                </c:pt>
                <c:pt idx="2">
                  <c:v>-2E-3</c:v>
                </c:pt>
                <c:pt idx="3">
                  <c:v>-2E-3</c:v>
                </c:pt>
                <c:pt idx="4">
                  <c:v>2E-3</c:v>
                </c:pt>
              </c:numCache>
            </c:numRef>
          </c:yVal>
          <c:smooth val="0"/>
        </c:ser>
        <c:ser>
          <c:idx val="2"/>
          <c:order val="2"/>
          <c:spPr>
            <a:ln>
              <a:noFill/>
            </a:ln>
          </c:spPr>
          <c:marker>
            <c:symbol val="none"/>
          </c:marker>
          <c:xVal>
            <c:numRef>
              <c:f>Orientation!$BA$26</c:f>
              <c:numCache>
                <c:formatCode>General</c:formatCode>
                <c:ptCount val="1"/>
                <c:pt idx="0">
                  <c:v>0.25</c:v>
                </c:pt>
              </c:numCache>
            </c:numRef>
          </c:xVal>
          <c:yVal>
            <c:numRef>
              <c:f>Orientation!$BB$26</c:f>
              <c:numCache>
                <c:formatCode>0.00</c:formatCode>
                <c:ptCount val="1"/>
                <c:pt idx="0">
                  <c:v>0.05</c:v>
                </c:pt>
              </c:numCache>
            </c:numRef>
          </c:yVal>
          <c:smooth val="0"/>
        </c:ser>
        <c:dLbls>
          <c:showLegendKey val="0"/>
          <c:showVal val="0"/>
          <c:showCatName val="0"/>
          <c:showSerName val="0"/>
          <c:showPercent val="0"/>
          <c:showBubbleSize val="0"/>
        </c:dLbls>
        <c:axId val="55685888"/>
        <c:axId val="55687424"/>
      </c:scatterChart>
      <c:valAx>
        <c:axId val="55685888"/>
        <c:scaling>
          <c:orientation val="minMax"/>
        </c:scaling>
        <c:delete val="1"/>
        <c:axPos val="b"/>
        <c:numFmt formatCode="0.00" sourceLinked="1"/>
        <c:majorTickMark val="out"/>
        <c:minorTickMark val="none"/>
        <c:tickLblPos val="none"/>
        <c:crossAx val="55687424"/>
        <c:crosses val="autoZero"/>
        <c:crossBetween val="midCat"/>
      </c:valAx>
      <c:valAx>
        <c:axId val="55687424"/>
        <c:scaling>
          <c:orientation val="minMax"/>
        </c:scaling>
        <c:delete val="1"/>
        <c:axPos val="l"/>
        <c:numFmt formatCode="General" sourceLinked="1"/>
        <c:majorTickMark val="out"/>
        <c:minorTickMark val="none"/>
        <c:tickLblPos val="none"/>
        <c:crossAx val="55685888"/>
        <c:crosses val="autoZero"/>
        <c:crossBetween val="midCat"/>
      </c:valAx>
      <c:spPr>
        <a:noFill/>
        <a:ln w="25400">
          <a:noFill/>
        </a:ln>
      </c:spPr>
    </c:plotArea>
    <c:plotVisOnly val="0"/>
    <c:dispBlanksAs val="gap"/>
    <c:showDLblsOverMax val="0"/>
  </c:chart>
  <c:spPr>
    <a:solidFill>
      <a:srgbClr val="FFFFFF"/>
    </a:solidFill>
    <a:ln w="9525">
      <a:noFill/>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77777777777779"/>
          <c:y val="0.12813369849008505"/>
          <c:w val="0.69444444444444442"/>
          <c:h val="0.71525844779981096"/>
        </c:manualLayout>
      </c:layout>
      <c:scatterChart>
        <c:scatterStyle val="lineMarker"/>
        <c:varyColors val="0"/>
        <c:ser>
          <c:idx val="0"/>
          <c:order val="0"/>
          <c:spPr>
            <a:ln w="12700">
              <a:solidFill>
                <a:schemeClr val="tx1"/>
              </a:solidFill>
              <a:prstDash val="solid"/>
            </a:ln>
          </c:spPr>
          <c:marker>
            <c:symbol val="none"/>
          </c:marker>
          <c:xVal>
            <c:numRef>
              <c:f>Orientation!$BB$38:$BB$42</c:f>
              <c:numCache>
                <c:formatCode>General</c:formatCode>
                <c:ptCount val="5"/>
                <c:pt idx="0">
                  <c:v>0</c:v>
                </c:pt>
                <c:pt idx="1">
                  <c:v>0</c:v>
                </c:pt>
                <c:pt idx="2">
                  <c:v>0</c:v>
                </c:pt>
                <c:pt idx="3">
                  <c:v>0</c:v>
                </c:pt>
                <c:pt idx="4">
                  <c:v>0</c:v>
                </c:pt>
              </c:numCache>
            </c:numRef>
          </c:xVal>
          <c:yVal>
            <c:numRef>
              <c:f>Orientation!$BC$38:$BC$42</c:f>
              <c:numCache>
                <c:formatCode>General</c:formatCode>
                <c:ptCount val="5"/>
                <c:pt idx="0">
                  <c:v>0</c:v>
                </c:pt>
                <c:pt idx="1">
                  <c:v>0</c:v>
                </c:pt>
                <c:pt idx="2">
                  <c:v>0</c:v>
                </c:pt>
                <c:pt idx="3">
                  <c:v>0</c:v>
                </c:pt>
                <c:pt idx="4">
                  <c:v>0</c:v>
                </c:pt>
              </c:numCache>
            </c:numRef>
          </c:yVal>
          <c:smooth val="0"/>
        </c:ser>
        <c:ser>
          <c:idx val="1"/>
          <c:order val="1"/>
          <c:spPr>
            <a:ln w="28575">
              <a:solidFill>
                <a:srgbClr val="FF0000"/>
              </a:solidFill>
            </a:ln>
          </c:spPr>
          <c:marker>
            <c:symbol val="square"/>
            <c:size val="4"/>
            <c:spPr>
              <a:solidFill>
                <a:srgbClr val="FF0000"/>
              </a:solidFill>
            </c:spPr>
          </c:marker>
          <c:xVal>
            <c:numRef>
              <c:f>Orientation!$BB$43</c:f>
              <c:numCache>
                <c:formatCode>General</c:formatCode>
                <c:ptCount val="1"/>
                <c:pt idx="0">
                  <c:v>0</c:v>
                </c:pt>
              </c:numCache>
            </c:numRef>
          </c:xVal>
          <c:yVal>
            <c:numRef>
              <c:f>Orientation!$BC$43</c:f>
              <c:numCache>
                <c:formatCode>General</c:formatCode>
                <c:ptCount val="1"/>
                <c:pt idx="0">
                  <c:v>0</c:v>
                </c:pt>
              </c:numCache>
            </c:numRef>
          </c:yVal>
          <c:smooth val="0"/>
        </c:ser>
        <c:dLbls>
          <c:showLegendKey val="0"/>
          <c:showVal val="0"/>
          <c:showCatName val="0"/>
          <c:showSerName val="0"/>
          <c:showPercent val="0"/>
          <c:showBubbleSize val="0"/>
        </c:dLbls>
        <c:axId val="137838592"/>
        <c:axId val="137840512"/>
      </c:scatterChart>
      <c:valAx>
        <c:axId val="137838592"/>
        <c:scaling>
          <c:orientation val="minMax"/>
          <c:max val="0.5"/>
          <c:min val="-0.5"/>
        </c:scaling>
        <c:delete val="1"/>
        <c:axPos val="b"/>
        <c:numFmt formatCode="General" sourceLinked="1"/>
        <c:majorTickMark val="out"/>
        <c:minorTickMark val="none"/>
        <c:tickLblPos val="none"/>
        <c:crossAx val="137840512"/>
        <c:crosses val="autoZero"/>
        <c:crossBetween val="midCat"/>
      </c:valAx>
      <c:valAx>
        <c:axId val="137840512"/>
        <c:scaling>
          <c:orientation val="minMax"/>
          <c:max val="0.5"/>
          <c:min val="-0.5"/>
        </c:scaling>
        <c:delete val="1"/>
        <c:axPos val="l"/>
        <c:numFmt formatCode="General" sourceLinked="1"/>
        <c:majorTickMark val="out"/>
        <c:minorTickMark val="none"/>
        <c:tickLblPos val="none"/>
        <c:crossAx val="137838592"/>
        <c:crossesAt val="0"/>
        <c:crossBetween val="midCat"/>
      </c:valAx>
    </c:plotArea>
    <c:plotVisOnly val="0"/>
    <c:dispBlanksAs val="gap"/>
    <c:showDLblsOverMax val="0"/>
  </c:chart>
  <c:spPr>
    <a:noFill/>
    <a:ln w="19050">
      <a:noFill/>
      <a:prstDash val="solid"/>
    </a:ln>
    <a:effectLst/>
  </c:spPr>
  <c:printSettings>
    <c:headerFooter/>
    <c:pageMargins b="0.75000000000000511" l="0.70000000000000062" r="0.70000000000000062" t="0.750000000000005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chart" Target="../charts/chart4.xm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6.png"/><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209550</xdr:colOff>
      <xdr:row>2</xdr:row>
      <xdr:rowOff>142875</xdr:rowOff>
    </xdr:to>
    <xdr:pic>
      <xdr:nvPicPr>
        <xdr:cNvPr id="1065" name="Picture 3" descr="LogoHorzLG copy.png"/>
        <xdr:cNvPicPr>
          <a:picLocks noChangeAspect="1"/>
        </xdr:cNvPicPr>
      </xdr:nvPicPr>
      <xdr:blipFill>
        <a:blip xmlns:r="http://schemas.openxmlformats.org/officeDocument/2006/relationships" r:embed="rId1" cstate="print"/>
        <a:srcRect/>
        <a:stretch>
          <a:fillRect/>
        </a:stretch>
      </xdr:blipFill>
      <xdr:spPr bwMode="auto">
        <a:xfrm>
          <a:off x="133350" y="0"/>
          <a:ext cx="2076450" cy="514350"/>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295275</xdr:colOff>
      <xdr:row>1</xdr:row>
      <xdr:rowOff>76200</xdr:rowOff>
    </xdr:from>
    <xdr:to>
      <xdr:col>10</xdr:col>
      <xdr:colOff>400877</xdr:colOff>
      <xdr:row>38</xdr:row>
      <xdr:rowOff>8282</xdr:rowOff>
    </xdr:to>
    <xdr:graphicFrame macro="">
      <xdr:nvGraphicFramePr>
        <xdr:cNvPr id="4122"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304799</xdr:colOff>
      <xdr:row>42</xdr:row>
      <xdr:rowOff>2897</xdr:rowOff>
    </xdr:from>
    <xdr:to>
      <xdr:col>10</xdr:col>
      <xdr:colOff>410403</xdr:colOff>
      <xdr:row>75</xdr:row>
      <xdr:rowOff>14492</xdr:rowOff>
    </xdr:to>
    <xdr:graphicFrame macro="">
      <xdr:nvGraphicFramePr>
        <xdr:cNvPr id="4123"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114300</xdr:colOff>
      <xdr:row>5</xdr:row>
      <xdr:rowOff>133350</xdr:rowOff>
    </xdr:from>
    <xdr:to>
      <xdr:col>14</xdr:col>
      <xdr:colOff>581025</xdr:colOff>
      <xdr:row>8</xdr:row>
      <xdr:rowOff>57150</xdr:rowOff>
    </xdr:to>
    <xdr:graphicFrame macro="">
      <xdr:nvGraphicFramePr>
        <xdr:cNvPr id="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85725</xdr:colOff>
      <xdr:row>4</xdr:row>
      <xdr:rowOff>123825</xdr:rowOff>
    </xdr:from>
    <xdr:to>
      <xdr:col>13</xdr:col>
      <xdr:colOff>533400</xdr:colOff>
      <xdr:row>6</xdr:row>
      <xdr:rowOff>133350</xdr:rowOff>
    </xdr:to>
    <xdr:pic>
      <xdr:nvPicPr>
        <xdr:cNvPr id="7" name="Picture 1" descr="Die Viewpoint.JPG"/>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blip>
        <a:srcRect l="10648" t="14188" r="67430" b="37833"/>
        <a:stretch>
          <a:fillRect/>
        </a:stretch>
      </xdr:blipFill>
      <xdr:spPr bwMode="auto">
        <a:xfrm>
          <a:off x="6800850" y="3324225"/>
          <a:ext cx="447675" cy="352425"/>
        </a:xfrm>
        <a:prstGeom prst="rect">
          <a:avLst/>
        </a:prstGeom>
        <a:noFill/>
        <a:ln w="9525">
          <a:noFill/>
          <a:miter lim="800000"/>
          <a:headEnd/>
          <a:tailEnd/>
        </a:ln>
      </xdr:spPr>
    </xdr:pic>
    <xdr:clientData/>
  </xdr:twoCellAnchor>
  <xdr:twoCellAnchor>
    <xdr:from>
      <xdr:col>11</xdr:col>
      <xdr:colOff>152400</xdr:colOff>
      <xdr:row>24</xdr:row>
      <xdr:rowOff>76200</xdr:rowOff>
    </xdr:from>
    <xdr:to>
      <xdr:col>13</xdr:col>
      <xdr:colOff>554096</xdr:colOff>
      <xdr:row>32</xdr:row>
      <xdr:rowOff>19050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100</xdr:col>
      <xdr:colOff>331305</xdr:colOff>
      <xdr:row>1</xdr:row>
      <xdr:rowOff>41412</xdr:rowOff>
    </xdr:from>
    <xdr:to>
      <xdr:col>102</xdr:col>
      <xdr:colOff>447262</xdr:colOff>
      <xdr:row>5</xdr:row>
      <xdr:rowOff>103446</xdr:rowOff>
    </xdr:to>
    <xdr:pic>
      <xdr:nvPicPr>
        <xdr:cNvPr id="2" name="Picture 1"/>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59485696" y="248477"/>
          <a:ext cx="1341783" cy="906860"/>
        </a:xfrm>
        <a:prstGeom prst="rect">
          <a:avLst/>
        </a:prstGeom>
      </xdr:spPr>
    </xdr:pic>
    <xdr:clientData fLocksWithSheet="0" fPrintsWithSheet="0"/>
  </xdr:twoCellAnchor>
  <xdr:twoCellAnchor>
    <xdr:from>
      <xdr:col>96</xdr:col>
      <xdr:colOff>544216</xdr:colOff>
      <xdr:row>18</xdr:row>
      <xdr:rowOff>29720</xdr:rowOff>
    </xdr:from>
    <xdr:to>
      <xdr:col>99</xdr:col>
      <xdr:colOff>315846</xdr:colOff>
      <xdr:row>28</xdr:row>
      <xdr:rowOff>79034</xdr:rowOff>
    </xdr:to>
    <xdr:pic>
      <xdr:nvPicPr>
        <xdr:cNvPr id="3" name="Picture 2"/>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56551216" y="3212191"/>
          <a:ext cx="1699042" cy="1629343"/>
        </a:xfrm>
        <a:prstGeom prst="rect">
          <a:avLst/>
        </a:prstGeom>
      </xdr:spPr>
    </xdr:pic>
    <xdr:clientData/>
  </xdr:twoCellAnchor>
  <xdr:twoCellAnchor editAs="oneCell">
    <xdr:from>
      <xdr:col>12</xdr:col>
      <xdr:colOff>132519</xdr:colOff>
      <xdr:row>46</xdr:row>
      <xdr:rowOff>157370</xdr:rowOff>
    </xdr:from>
    <xdr:to>
      <xdr:col>12</xdr:col>
      <xdr:colOff>662607</xdr:colOff>
      <xdr:row>52</xdr:row>
      <xdr:rowOff>93932</xdr:rowOff>
    </xdr:to>
    <xdr:pic>
      <xdr:nvPicPr>
        <xdr:cNvPr id="5" name="Picture 4"/>
        <xdr:cNvPicPr>
          <a:picLocks noChangeAspect="1"/>
        </xdr:cNvPicPr>
      </xdr:nvPicPr>
      <xdr:blipFill>
        <a:blip xmlns:r="http://schemas.openxmlformats.org/officeDocument/2006/relationships" r:embed="rId8"/>
        <a:stretch>
          <a:fillRect/>
        </a:stretch>
      </xdr:blipFill>
      <xdr:spPr>
        <a:xfrm>
          <a:off x="6195389" y="7669696"/>
          <a:ext cx="530088" cy="930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98534</xdr:colOff>
      <xdr:row>17</xdr:row>
      <xdr:rowOff>39414</xdr:rowOff>
    </xdr:from>
    <xdr:to>
      <xdr:col>22</xdr:col>
      <xdr:colOff>105103</xdr:colOff>
      <xdr:row>27</xdr:row>
      <xdr:rowOff>124810</xdr:rowOff>
    </xdr:to>
    <xdr:sp macro="" textlink="">
      <xdr:nvSpPr>
        <xdr:cNvPr id="14347" name="Oval 311"/>
        <xdr:cNvSpPr>
          <a:spLocks noChangeArrowheads="1"/>
        </xdr:cNvSpPr>
      </xdr:nvSpPr>
      <xdr:spPr bwMode="auto">
        <a:xfrm>
          <a:off x="2575034" y="2831224"/>
          <a:ext cx="1721069" cy="1727638"/>
        </a:xfrm>
        <a:prstGeom prst="ellipse">
          <a:avLst/>
        </a:prstGeom>
        <a:noFill/>
        <a:ln w="15875">
          <a:solidFill>
            <a:srgbClr val="558ED5"/>
          </a:solidFill>
          <a:round/>
          <a:headEnd/>
          <a:tailEnd/>
        </a:ln>
      </xdr:spPr>
    </xdr:sp>
    <xdr:clientData/>
  </xdr:twoCellAnchor>
  <xdr:twoCellAnchor>
    <xdr:from>
      <xdr:col>3</xdr:col>
      <xdr:colOff>183645</xdr:colOff>
      <xdr:row>5</xdr:row>
      <xdr:rowOff>140805</xdr:rowOff>
    </xdr:from>
    <xdr:to>
      <xdr:col>32</xdr:col>
      <xdr:colOff>17992</xdr:colOff>
      <xdr:row>39</xdr:row>
      <xdr:rowOff>24849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36444</xdr:colOff>
      <xdr:row>10</xdr:row>
      <xdr:rowOff>142875</xdr:rowOff>
    </xdr:from>
    <xdr:to>
      <xdr:col>7</xdr:col>
      <xdr:colOff>182217</xdr:colOff>
      <xdr:row>13</xdr:row>
      <xdr:rowOff>57979</xdr:rowOff>
    </xdr:to>
    <xdr:graphicFrame macro="">
      <xdr:nvGraphicFramePr>
        <xdr:cNvPr id="39"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131280</xdr:colOff>
      <xdr:row>9</xdr:row>
      <xdr:rowOff>50110</xdr:rowOff>
    </xdr:from>
    <xdr:to>
      <xdr:col>5</xdr:col>
      <xdr:colOff>9981</xdr:colOff>
      <xdr:row>11</xdr:row>
      <xdr:rowOff>78686</xdr:rowOff>
    </xdr:to>
    <xdr:pic>
      <xdr:nvPicPr>
        <xdr:cNvPr id="40" name="Picture 1" descr="Die Viewpoint.JPG"/>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blip>
        <a:srcRect l="10648" t="14188" r="67430" b="37833"/>
        <a:stretch>
          <a:fillRect/>
        </a:stretch>
      </xdr:blipFill>
      <xdr:spPr bwMode="auto">
        <a:xfrm>
          <a:off x="512280" y="1540980"/>
          <a:ext cx="450201" cy="359880"/>
        </a:xfrm>
        <a:prstGeom prst="rect">
          <a:avLst/>
        </a:prstGeom>
        <a:noFill/>
        <a:ln w="9525">
          <a:noFill/>
          <a:miter lim="800000"/>
          <a:headEnd/>
          <a:tailEnd/>
        </a:ln>
      </xdr:spPr>
    </xdr:pic>
    <xdr:clientData/>
  </xdr:twoCellAnchor>
  <xdr:twoCellAnchor>
    <xdr:from>
      <xdr:col>15</xdr:col>
      <xdr:colOff>125097</xdr:colOff>
      <xdr:row>19</xdr:row>
      <xdr:rowOff>118812</xdr:rowOff>
    </xdr:from>
    <xdr:to>
      <xdr:col>20</xdr:col>
      <xdr:colOff>86997</xdr:colOff>
      <xdr:row>25</xdr:row>
      <xdr:rowOff>39299</xdr:rowOff>
    </xdr:to>
    <xdr:graphicFrame macro="">
      <xdr:nvGraphicFramePr>
        <xdr:cNvPr id="43"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15</xdr:col>
      <xdr:colOff>8283</xdr:colOff>
      <xdr:row>18</xdr:row>
      <xdr:rowOff>157369</xdr:rowOff>
    </xdr:from>
    <xdr:to>
      <xdr:col>21</xdr:col>
      <xdr:colOff>1360</xdr:colOff>
      <xdr:row>25</xdr:row>
      <xdr:rowOff>130469</xdr:rowOff>
    </xdr:to>
    <xdr:pic>
      <xdr:nvPicPr>
        <xdr:cNvPr id="3" name="Picture 2"/>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865783" y="3139108"/>
          <a:ext cx="1136077" cy="11326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161434</xdr:colOff>
      <xdr:row>27</xdr:row>
      <xdr:rowOff>60214</xdr:rowOff>
    </xdr:from>
    <xdr:to>
      <xdr:col>21</xdr:col>
      <xdr:colOff>102321</xdr:colOff>
      <xdr:row>34</xdr:row>
      <xdr:rowOff>136070</xdr:rowOff>
    </xdr:to>
    <xdr:pic>
      <xdr:nvPicPr>
        <xdr:cNvPr id="5128" name="Picture 27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18691" t="17456" r="15740"/>
        <a:stretch>
          <a:fillRect/>
        </a:stretch>
      </xdr:blipFill>
      <xdr:spPr bwMode="auto">
        <a:xfrm>
          <a:off x="1461804" y="4781301"/>
          <a:ext cx="3668060" cy="895834"/>
        </a:xfrm>
        <a:prstGeom prst="rect">
          <a:avLst/>
        </a:prstGeom>
        <a:noFill/>
        <a:ln w="1">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15</xdr:row>
      <xdr:rowOff>0</xdr:rowOff>
    </xdr:from>
    <xdr:to>
      <xdr:col>8</xdr:col>
      <xdr:colOff>0</xdr:colOff>
      <xdr:row>15</xdr:row>
      <xdr:rowOff>0</xdr:rowOff>
    </xdr:to>
    <xdr:sp macro="" textlink="">
      <xdr:nvSpPr>
        <xdr:cNvPr id="2" name="Text Box 118"/>
        <xdr:cNvSpPr txBox="1">
          <a:spLocks noChangeArrowheads="1"/>
        </xdr:cNvSpPr>
      </xdr:nvSpPr>
      <xdr:spPr bwMode="auto">
        <a:xfrm>
          <a:off x="1276350" y="2524125"/>
          <a:ext cx="57150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NORTH</a:t>
          </a:r>
        </a:p>
      </xdr:txBody>
    </xdr:sp>
    <xdr:clientData/>
  </xdr:twoCellAnchor>
  <xdr:twoCellAnchor>
    <xdr:from>
      <xdr:col>5</xdr:col>
      <xdr:colOff>180975</xdr:colOff>
      <xdr:row>15</xdr:row>
      <xdr:rowOff>0</xdr:rowOff>
    </xdr:from>
    <xdr:to>
      <xdr:col>8</xdr:col>
      <xdr:colOff>0</xdr:colOff>
      <xdr:row>15</xdr:row>
      <xdr:rowOff>0</xdr:rowOff>
    </xdr:to>
    <xdr:sp macro="" textlink="">
      <xdr:nvSpPr>
        <xdr:cNvPr id="3" name="Text Box 119"/>
        <xdr:cNvSpPr txBox="1">
          <a:spLocks noChangeArrowheads="1"/>
        </xdr:cNvSpPr>
      </xdr:nvSpPr>
      <xdr:spPr bwMode="auto">
        <a:xfrm>
          <a:off x="1285875" y="2524125"/>
          <a:ext cx="561975"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SOUTH</a:t>
          </a:r>
        </a:p>
      </xdr:txBody>
    </xdr:sp>
    <xdr:clientData/>
  </xdr:twoCellAnchor>
  <xdr:twoCellAnchor>
    <xdr:from>
      <xdr:col>9</xdr:col>
      <xdr:colOff>19050</xdr:colOff>
      <xdr:row>15</xdr:row>
      <xdr:rowOff>0</xdr:rowOff>
    </xdr:from>
    <xdr:to>
      <xdr:col>10</xdr:col>
      <xdr:colOff>171450</xdr:colOff>
      <xdr:row>15</xdr:row>
      <xdr:rowOff>0</xdr:rowOff>
    </xdr:to>
    <xdr:sp macro="" textlink="">
      <xdr:nvSpPr>
        <xdr:cNvPr id="4" name="Text Box 120"/>
        <xdr:cNvSpPr txBox="1">
          <a:spLocks noChangeArrowheads="1"/>
        </xdr:cNvSpPr>
      </xdr:nvSpPr>
      <xdr:spPr bwMode="auto">
        <a:xfrm>
          <a:off x="2114550" y="2524125"/>
          <a:ext cx="40005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EAST</a:t>
          </a:r>
        </a:p>
      </xdr:txBody>
    </xdr:sp>
    <xdr:clientData/>
  </xdr:twoCellAnchor>
  <xdr:twoCellAnchor>
    <xdr:from>
      <xdr:col>2</xdr:col>
      <xdr:colOff>104775</xdr:colOff>
      <xdr:row>15</xdr:row>
      <xdr:rowOff>0</xdr:rowOff>
    </xdr:from>
    <xdr:to>
      <xdr:col>4</xdr:col>
      <xdr:colOff>9525</xdr:colOff>
      <xdr:row>15</xdr:row>
      <xdr:rowOff>0</xdr:rowOff>
    </xdr:to>
    <xdr:sp macro="" textlink="">
      <xdr:nvSpPr>
        <xdr:cNvPr id="5" name="Text Box 121"/>
        <xdr:cNvSpPr txBox="1">
          <a:spLocks noChangeArrowheads="1"/>
        </xdr:cNvSpPr>
      </xdr:nvSpPr>
      <xdr:spPr bwMode="auto">
        <a:xfrm>
          <a:off x="466725" y="2524125"/>
          <a:ext cx="40005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WEST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16</xdr:row>
      <xdr:rowOff>0</xdr:rowOff>
    </xdr:from>
    <xdr:to>
      <xdr:col>8</xdr:col>
      <xdr:colOff>0</xdr:colOff>
      <xdr:row>16</xdr:row>
      <xdr:rowOff>0</xdr:rowOff>
    </xdr:to>
    <xdr:sp macro="" textlink="">
      <xdr:nvSpPr>
        <xdr:cNvPr id="2" name="Text Box 118"/>
        <xdr:cNvSpPr txBox="1">
          <a:spLocks noChangeArrowheads="1"/>
        </xdr:cNvSpPr>
      </xdr:nvSpPr>
      <xdr:spPr bwMode="auto">
        <a:xfrm>
          <a:off x="1276350" y="2790825"/>
          <a:ext cx="57150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NORTH</a:t>
          </a:r>
        </a:p>
      </xdr:txBody>
    </xdr:sp>
    <xdr:clientData/>
  </xdr:twoCellAnchor>
  <xdr:twoCellAnchor>
    <xdr:from>
      <xdr:col>5</xdr:col>
      <xdr:colOff>180975</xdr:colOff>
      <xdr:row>16</xdr:row>
      <xdr:rowOff>0</xdr:rowOff>
    </xdr:from>
    <xdr:to>
      <xdr:col>8</xdr:col>
      <xdr:colOff>0</xdr:colOff>
      <xdr:row>16</xdr:row>
      <xdr:rowOff>0</xdr:rowOff>
    </xdr:to>
    <xdr:sp macro="" textlink="">
      <xdr:nvSpPr>
        <xdr:cNvPr id="3" name="Text Box 119"/>
        <xdr:cNvSpPr txBox="1">
          <a:spLocks noChangeArrowheads="1"/>
        </xdr:cNvSpPr>
      </xdr:nvSpPr>
      <xdr:spPr bwMode="auto">
        <a:xfrm>
          <a:off x="1285875" y="2790825"/>
          <a:ext cx="561975"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SOUTH</a:t>
          </a:r>
        </a:p>
      </xdr:txBody>
    </xdr:sp>
    <xdr:clientData/>
  </xdr:twoCellAnchor>
  <xdr:twoCellAnchor>
    <xdr:from>
      <xdr:col>9</xdr:col>
      <xdr:colOff>19050</xdr:colOff>
      <xdr:row>16</xdr:row>
      <xdr:rowOff>0</xdr:rowOff>
    </xdr:from>
    <xdr:to>
      <xdr:col>10</xdr:col>
      <xdr:colOff>171450</xdr:colOff>
      <xdr:row>16</xdr:row>
      <xdr:rowOff>0</xdr:rowOff>
    </xdr:to>
    <xdr:sp macro="" textlink="">
      <xdr:nvSpPr>
        <xdr:cNvPr id="4" name="Text Box 120"/>
        <xdr:cNvSpPr txBox="1">
          <a:spLocks noChangeArrowheads="1"/>
        </xdr:cNvSpPr>
      </xdr:nvSpPr>
      <xdr:spPr bwMode="auto">
        <a:xfrm>
          <a:off x="2114550" y="2790825"/>
          <a:ext cx="40005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EAST</a:t>
          </a:r>
        </a:p>
      </xdr:txBody>
    </xdr:sp>
    <xdr:clientData/>
  </xdr:twoCellAnchor>
  <xdr:twoCellAnchor>
    <xdr:from>
      <xdr:col>2</xdr:col>
      <xdr:colOff>104775</xdr:colOff>
      <xdr:row>16</xdr:row>
      <xdr:rowOff>0</xdr:rowOff>
    </xdr:from>
    <xdr:to>
      <xdr:col>4</xdr:col>
      <xdr:colOff>9525</xdr:colOff>
      <xdr:row>16</xdr:row>
      <xdr:rowOff>0</xdr:rowOff>
    </xdr:to>
    <xdr:sp macro="" textlink="">
      <xdr:nvSpPr>
        <xdr:cNvPr id="5" name="Text Box 121"/>
        <xdr:cNvSpPr txBox="1">
          <a:spLocks noChangeArrowheads="1"/>
        </xdr:cNvSpPr>
      </xdr:nvSpPr>
      <xdr:spPr bwMode="auto">
        <a:xfrm>
          <a:off x="466725" y="2790825"/>
          <a:ext cx="400050" cy="0"/>
        </a:xfrm>
        <a:prstGeom prst="rect">
          <a:avLst/>
        </a:prstGeom>
        <a:solidFill>
          <a:srgbClr val="FFFFE1"/>
        </a:solidFill>
        <a:ln w="9525">
          <a:noFill/>
          <a:miter lim="800000"/>
          <a:headEnd/>
          <a:tailEnd/>
        </a:ln>
        <a:effectLst/>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WEST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295276</xdr:colOff>
      <xdr:row>3</xdr:row>
      <xdr:rowOff>44758</xdr:rowOff>
    </xdr:from>
    <xdr:to>
      <xdr:col>22</xdr:col>
      <xdr:colOff>85726</xdr:colOff>
      <xdr:row>17</xdr:row>
      <xdr:rowOff>132654</xdr:rowOff>
    </xdr:to>
    <xdr:pic>
      <xdr:nvPicPr>
        <xdr:cNvPr id="2" name="Picture 1"/>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676901" y="530533"/>
          <a:ext cx="2933700" cy="2440571"/>
        </a:xfrm>
        <a:prstGeom prst="rect">
          <a:avLst/>
        </a:prstGeom>
      </xdr:spPr>
    </xdr:pic>
    <xdr:clientData/>
  </xdr:twoCellAnchor>
  <xdr:twoCellAnchor editAs="oneCell">
    <xdr:from>
      <xdr:col>22</xdr:col>
      <xdr:colOff>297656</xdr:colOff>
      <xdr:row>1</xdr:row>
      <xdr:rowOff>92869</xdr:rowOff>
    </xdr:from>
    <xdr:to>
      <xdr:col>32</xdr:col>
      <xdr:colOff>96440</xdr:colOff>
      <xdr:row>18</xdr:row>
      <xdr:rowOff>155534</xdr:rowOff>
    </xdr:to>
    <xdr:pic>
      <xdr:nvPicPr>
        <xdr:cNvPr id="5" name="Picture 4"/>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846344" y="253603"/>
          <a:ext cx="2953940" cy="29320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0</xdr:row>
      <xdr:rowOff>0</xdr:rowOff>
    </xdr:from>
    <xdr:to>
      <xdr:col>23</xdr:col>
      <xdr:colOff>581025</xdr:colOff>
      <xdr:row>0</xdr:row>
      <xdr:rowOff>0</xdr:rowOff>
    </xdr:to>
    <xdr:sp macro="" textlink="">
      <xdr:nvSpPr>
        <xdr:cNvPr id="9222" name="AutoShape 1"/>
        <xdr:cNvSpPr>
          <a:spLocks noChangeArrowheads="1"/>
        </xdr:cNvSpPr>
      </xdr:nvSpPr>
      <xdr:spPr bwMode="auto">
        <a:xfrm>
          <a:off x="2324100" y="0"/>
          <a:ext cx="4286250" cy="0"/>
        </a:xfrm>
        <a:prstGeom prst="octagon">
          <a:avLst>
            <a:gd name="adj" fmla="val 29329"/>
          </a:avLst>
        </a:prstGeom>
        <a:no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philli/AppData/Local/Microsoft/Windows/Temporary%20Internet%20Files/Content.Outlook/ZH39PNNV/Custom%20ISS%20Customer%20DesCap_UNOFFICIAL%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l Layout ver2"/>
      <sheetName val="LIST"/>
    </sheetNames>
    <sheetDataSet>
      <sheetData sheetId="0" refreshError="1"/>
      <sheetData sheetId="1">
        <row r="3">
          <cell r="B3" t="str">
            <v>Alignment Mark</v>
          </cell>
          <cell r="I3">
            <v>1</v>
          </cell>
          <cell r="K3" t="str">
            <v>Offset Open</v>
          </cell>
        </row>
        <row r="4">
          <cell r="B4" t="str">
            <v>Short</v>
          </cell>
          <cell r="I4">
            <v>3</v>
          </cell>
          <cell r="K4" t="str">
            <v>Offset Short</v>
          </cell>
        </row>
        <row r="5">
          <cell r="B5" t="str">
            <v>Open</v>
          </cell>
          <cell r="K5" t="str">
            <v>None</v>
          </cell>
        </row>
        <row r="6">
          <cell r="B6" t="str">
            <v>Load</v>
          </cell>
        </row>
        <row r="7">
          <cell r="B7" t="str">
            <v>Thru</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micro.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Z89"/>
  <sheetViews>
    <sheetView showGridLines="0" showRowColHeaders="0" tabSelected="1" zoomScaleNormal="100" workbookViewId="0">
      <selection activeCell="F9" sqref="F9:L9"/>
    </sheetView>
  </sheetViews>
  <sheetFormatPr defaultRowHeight="12.75" x14ac:dyDescent="0.2"/>
  <cols>
    <col min="1" max="26" width="4.28515625" customWidth="1"/>
    <col min="52" max="52" width="9.140625" customWidth="1"/>
    <col min="53" max="53" width="14.5703125" hidden="1" customWidth="1"/>
    <col min="54" max="54" width="17" style="5" hidden="1" customWidth="1"/>
    <col min="55" max="55" width="8.5703125" style="3" hidden="1" customWidth="1"/>
    <col min="56" max="56" width="9.5703125" style="3" hidden="1" customWidth="1"/>
    <col min="57" max="57" width="10.140625" style="4" hidden="1" customWidth="1"/>
    <col min="58" max="58" width="12.7109375" style="4" hidden="1" customWidth="1"/>
    <col min="59" max="59" width="6.42578125" style="4" hidden="1" customWidth="1"/>
    <col min="60" max="60" width="9.140625" style="5" hidden="1" customWidth="1"/>
    <col min="61" max="61" width="19.5703125" style="5" hidden="1" customWidth="1"/>
    <col min="62" max="62" width="5.28515625" style="5" hidden="1" customWidth="1"/>
    <col min="63" max="63" width="7.85546875" style="5" hidden="1" customWidth="1"/>
    <col min="64" max="64" width="8.5703125" style="5" hidden="1" customWidth="1"/>
    <col min="65" max="65" width="12.42578125" style="4" hidden="1" customWidth="1"/>
    <col min="66" max="78" width="9.140625" hidden="1" customWidth="1"/>
    <col min="79" max="79" width="9.140625" customWidth="1"/>
  </cols>
  <sheetData>
    <row r="1" spans="1:67" ht="13.5" thickBot="1" x14ac:dyDescent="0.25">
      <c r="A1" s="1"/>
      <c r="B1" s="1"/>
      <c r="C1" s="1"/>
      <c r="D1" s="1"/>
      <c r="E1" s="1"/>
      <c r="F1" s="1"/>
      <c r="G1" s="1"/>
      <c r="H1" s="1"/>
      <c r="I1" s="1"/>
      <c r="J1" s="1"/>
      <c r="K1" s="1"/>
      <c r="L1" s="1"/>
      <c r="M1" s="1"/>
      <c r="N1" s="1"/>
      <c r="O1" s="1"/>
      <c r="P1" s="833"/>
      <c r="Q1" s="834"/>
      <c r="R1" s="834"/>
      <c r="S1" s="834"/>
      <c r="T1" s="835" t="s">
        <v>0</v>
      </c>
      <c r="U1" s="834"/>
      <c r="V1" s="834"/>
      <c r="W1" s="834"/>
      <c r="X1" s="834"/>
      <c r="Y1" s="834"/>
      <c r="BB1" s="2" t="s">
        <v>1</v>
      </c>
    </row>
    <row r="2" spans="1:67" ht="15.75" x14ac:dyDescent="0.25">
      <c r="A2" s="1"/>
      <c r="B2" s="1"/>
      <c r="C2" s="1"/>
      <c r="D2" s="1"/>
      <c r="E2" s="1"/>
      <c r="F2" s="1"/>
      <c r="G2" s="1"/>
      <c r="H2" s="1"/>
      <c r="I2" s="1"/>
      <c r="J2" s="1"/>
      <c r="K2" s="1"/>
      <c r="L2" s="1"/>
      <c r="M2" s="1"/>
      <c r="N2" s="1"/>
      <c r="O2" s="1"/>
      <c r="P2" s="834"/>
      <c r="Q2" s="834"/>
      <c r="R2" s="836"/>
      <c r="S2" s="834"/>
      <c r="T2" s="900" t="str">
        <f ca="1">BC27</f>
        <v>Core P/N:</v>
      </c>
      <c r="U2" s="1432"/>
      <c r="V2" s="1433"/>
      <c r="W2" s="1433"/>
      <c r="X2" s="1433"/>
      <c r="Y2" s="834"/>
      <c r="BA2" s="60" t="s">
        <v>578</v>
      </c>
      <c r="BB2" s="1265">
        <v>1.71</v>
      </c>
    </row>
    <row r="3" spans="1:67" ht="15.75" x14ac:dyDescent="0.25">
      <c r="A3" s="1"/>
      <c r="B3" s="1"/>
      <c r="C3" s="1"/>
      <c r="D3" s="1"/>
      <c r="E3" s="1"/>
      <c r="F3" s="1"/>
      <c r="G3" s="1"/>
      <c r="H3" s="1"/>
      <c r="I3" s="1"/>
      <c r="J3" s="1"/>
      <c r="K3" s="1"/>
      <c r="L3" s="1"/>
      <c r="M3" s="1"/>
      <c r="N3" s="1"/>
      <c r="O3" s="1"/>
      <c r="P3" s="834"/>
      <c r="Q3" s="834"/>
      <c r="R3" s="836"/>
      <c r="S3" s="834"/>
      <c r="T3" s="900" t="str">
        <f ca="1">BC37</f>
        <v>Custom PCB P/N:</v>
      </c>
      <c r="U3" s="1434"/>
      <c r="V3" s="1435"/>
      <c r="W3" s="1435"/>
      <c r="X3" s="1435"/>
      <c r="Y3" s="834"/>
      <c r="BA3" s="60"/>
      <c r="BB3" s="211"/>
      <c r="BC3" s="6"/>
      <c r="BD3" s="6"/>
      <c r="BF3" s="720" t="s">
        <v>2</v>
      </c>
      <c r="BI3" s="719" t="s">
        <v>3</v>
      </c>
      <c r="BJ3" s="8"/>
      <c r="BL3" s="9"/>
      <c r="BM3" s="10"/>
      <c r="BO3" s="11"/>
    </row>
    <row r="4" spans="1:67" ht="15" customHeight="1" x14ac:dyDescent="0.25">
      <c r="A4" s="1"/>
      <c r="B4" s="1368" t="s">
        <v>984</v>
      </c>
      <c r="C4" s="12"/>
      <c r="D4" s="12"/>
      <c r="E4" s="13"/>
      <c r="F4" s="13"/>
      <c r="G4" s="13"/>
      <c r="H4" s="13"/>
      <c r="I4" s="13"/>
      <c r="J4" s="13"/>
      <c r="K4" s="1"/>
      <c r="L4" s="1"/>
      <c r="M4" s="1"/>
      <c r="N4" s="1"/>
      <c r="O4" s="1"/>
      <c r="P4" s="834"/>
      <c r="Q4" s="834"/>
      <c r="R4" s="834"/>
      <c r="S4" s="834"/>
      <c r="T4" s="837" t="s">
        <v>4</v>
      </c>
      <c r="U4" s="1431"/>
      <c r="V4" s="1431"/>
      <c r="W4" s="1431"/>
      <c r="X4" s="1431"/>
      <c r="Y4" s="834"/>
      <c r="BB4" s="211"/>
      <c r="BC4" s="6"/>
      <c r="BD4" s="6"/>
      <c r="BF4" s="14" t="s">
        <v>5</v>
      </c>
      <c r="BI4" s="1363" t="s">
        <v>877</v>
      </c>
      <c r="BJ4" s="8"/>
      <c r="BL4" s="9"/>
      <c r="BM4" s="10"/>
      <c r="BO4" s="11"/>
    </row>
    <row r="5" spans="1:67" ht="15" customHeight="1" x14ac:dyDescent="0.25">
      <c r="A5" s="1"/>
      <c r="B5" s="1368" t="str">
        <f>" CQS-03-031-0001  R"&amp;DC_Vers</f>
        <v xml:space="preserve"> CQS-03-031-0001  R1.71</v>
      </c>
      <c r="C5" s="12"/>
      <c r="D5" s="12"/>
      <c r="E5" s="13"/>
      <c r="F5" s="13"/>
      <c r="G5" s="13"/>
      <c r="H5" s="13"/>
      <c r="I5" s="13"/>
      <c r="J5" s="13"/>
      <c r="K5" s="1"/>
      <c r="L5" s="1"/>
      <c r="M5" s="1"/>
      <c r="N5" s="1"/>
      <c r="O5" s="1"/>
      <c r="P5" s="834"/>
      <c r="Q5" s="834"/>
      <c r="R5" s="834"/>
      <c r="S5" s="834"/>
      <c r="T5" s="837" t="s">
        <v>6</v>
      </c>
      <c r="U5" s="1431"/>
      <c r="V5" s="1431"/>
      <c r="W5" s="1431"/>
      <c r="X5" s="1431"/>
      <c r="Y5" s="834"/>
      <c r="BC5" s="6"/>
      <c r="BD5" s="6"/>
      <c r="BF5" s="15" t="s">
        <v>908</v>
      </c>
      <c r="BI5" s="1364" t="s">
        <v>917</v>
      </c>
      <c r="BJ5" s="8"/>
      <c r="BL5" s="9"/>
      <c r="BM5" s="10"/>
      <c r="BO5" s="11"/>
    </row>
    <row r="6" spans="1:67" ht="15" customHeight="1" x14ac:dyDescent="0.25">
      <c r="A6" s="1"/>
      <c r="B6" s="12" t="s">
        <v>983</v>
      </c>
      <c r="C6" s="12"/>
      <c r="D6" s="12"/>
      <c r="E6" s="13"/>
      <c r="F6" s="13"/>
      <c r="G6" s="13"/>
      <c r="H6" s="13"/>
      <c r="I6" s="13"/>
      <c r="J6" s="13"/>
      <c r="K6" s="1"/>
      <c r="L6" s="1"/>
      <c r="M6" s="1"/>
      <c r="N6" s="1"/>
      <c r="O6" s="1"/>
      <c r="P6" s="834"/>
      <c r="Q6" s="834"/>
      <c r="R6" s="834"/>
      <c r="S6" s="834"/>
      <c r="T6" s="837" t="s">
        <v>577</v>
      </c>
      <c r="U6" s="1431"/>
      <c r="V6" s="1431"/>
      <c r="W6" s="1431"/>
      <c r="X6" s="1431"/>
      <c r="Y6" s="834"/>
      <c r="BC6" s="6"/>
      <c r="BD6" s="6"/>
      <c r="BF6" s="15" t="s">
        <v>876</v>
      </c>
      <c r="BI6" s="1364" t="s">
        <v>9</v>
      </c>
      <c r="BJ6" s="8"/>
      <c r="BL6" s="9"/>
      <c r="BM6" s="10"/>
      <c r="BO6" s="11"/>
    </row>
    <row r="7" spans="1:67" x14ac:dyDescent="0.2">
      <c r="A7" s="1"/>
      <c r="B7" s="1"/>
      <c r="C7" s="1"/>
      <c r="D7" s="1"/>
      <c r="E7" s="1"/>
      <c r="F7" s="1"/>
      <c r="G7" s="1"/>
      <c r="H7" s="1"/>
      <c r="I7" s="1"/>
      <c r="J7" s="1"/>
      <c r="K7" s="1"/>
      <c r="L7" s="1"/>
      <c r="M7" s="1"/>
      <c r="N7" s="1"/>
      <c r="O7" s="1"/>
      <c r="P7" s="1"/>
      <c r="Q7" s="1"/>
      <c r="R7" s="1"/>
      <c r="S7" s="1"/>
      <c r="T7" s="1"/>
      <c r="U7" s="1"/>
      <c r="V7" s="1"/>
      <c r="W7" s="1"/>
      <c r="X7" s="1"/>
      <c r="Y7" s="1"/>
      <c r="BC7" s="6"/>
      <c r="BD7" s="6"/>
      <c r="BF7" s="15" t="s">
        <v>7</v>
      </c>
      <c r="BI7" s="1364" t="s">
        <v>878</v>
      </c>
      <c r="BJ7" s="8"/>
      <c r="BL7" s="9"/>
      <c r="BM7" s="10"/>
      <c r="BO7" s="11"/>
    </row>
    <row r="8" spans="1:67" ht="16.899999999999999" customHeight="1" x14ac:dyDescent="0.2">
      <c r="B8" s="16" t="s">
        <v>10</v>
      </c>
      <c r="C8" s="16"/>
      <c r="D8" s="16"/>
      <c r="E8" s="16"/>
      <c r="F8" s="16"/>
      <c r="G8" s="16"/>
      <c r="I8" s="1019"/>
      <c r="J8" s="1019"/>
      <c r="K8" s="1019"/>
      <c r="L8" s="1019"/>
      <c r="M8" s="16"/>
      <c r="N8" s="16"/>
      <c r="O8" s="16"/>
      <c r="P8" s="16"/>
      <c r="Q8" s="16"/>
      <c r="R8" s="16"/>
      <c r="S8" s="1"/>
      <c r="T8" s="1"/>
      <c r="U8" s="1"/>
      <c r="V8" s="1"/>
      <c r="W8" s="1"/>
      <c r="X8" s="1"/>
      <c r="Y8" s="17"/>
      <c r="BC8" s="6"/>
      <c r="BD8" s="6"/>
      <c r="BF8" s="15" t="s">
        <v>822</v>
      </c>
      <c r="BI8" s="1364" t="s">
        <v>11</v>
      </c>
      <c r="BJ8" s="8"/>
      <c r="BL8" s="9"/>
      <c r="BM8" s="10"/>
      <c r="BO8" s="11"/>
    </row>
    <row r="9" spans="1:67" ht="15" x14ac:dyDescent="0.25">
      <c r="A9" s="18"/>
      <c r="D9" s="19" t="s">
        <v>12</v>
      </c>
      <c r="F9" s="1380"/>
      <c r="G9" s="1381"/>
      <c r="H9" s="1381"/>
      <c r="I9" s="1381"/>
      <c r="J9" s="1381"/>
      <c r="K9" s="1381"/>
      <c r="L9" s="1382"/>
      <c r="M9" s="20"/>
      <c r="N9" s="20"/>
      <c r="O9" s="19" t="s">
        <v>13</v>
      </c>
      <c r="Q9" s="21"/>
      <c r="S9" s="1389"/>
      <c r="T9" s="1390"/>
      <c r="U9" s="1390"/>
      <c r="V9" s="1390"/>
      <c r="W9" s="1390"/>
      <c r="X9" s="1390"/>
      <c r="Y9" s="1391"/>
      <c r="BC9" s="6"/>
      <c r="BD9" s="6"/>
      <c r="BF9" s="15" t="s">
        <v>913</v>
      </c>
      <c r="BI9" s="1364" t="s">
        <v>765</v>
      </c>
      <c r="BJ9" s="8"/>
      <c r="BL9" s="9"/>
      <c r="BM9" s="10"/>
      <c r="BO9" s="11"/>
    </row>
    <row r="10" spans="1:67" ht="15.75" thickBot="1" x14ac:dyDescent="0.3">
      <c r="A10" s="18"/>
      <c r="D10" s="19" t="s">
        <v>14</v>
      </c>
      <c r="F10" s="1383"/>
      <c r="G10" s="1384"/>
      <c r="H10" s="1384"/>
      <c r="I10" s="1384"/>
      <c r="J10" s="1384"/>
      <c r="K10" s="1384"/>
      <c r="L10" s="1385"/>
      <c r="M10" s="20"/>
      <c r="N10" s="20"/>
      <c r="O10" s="19" t="s">
        <v>14</v>
      </c>
      <c r="Q10" s="21"/>
      <c r="R10" s="19"/>
      <c r="S10" s="1389"/>
      <c r="T10" s="1390"/>
      <c r="U10" s="1390"/>
      <c r="V10" s="1390"/>
      <c r="W10" s="1390"/>
      <c r="X10" s="1390"/>
      <c r="Y10" s="1391"/>
      <c r="BF10" s="15" t="s">
        <v>764</v>
      </c>
      <c r="BI10" s="1364" t="s">
        <v>978</v>
      </c>
      <c r="BJ10" s="8"/>
      <c r="BK10" s="9"/>
      <c r="BL10" s="9"/>
      <c r="BM10" s="10"/>
      <c r="BN10" s="11"/>
      <c r="BO10" s="11"/>
    </row>
    <row r="11" spans="1:67" ht="15" x14ac:dyDescent="0.25">
      <c r="A11" s="18"/>
      <c r="D11" s="19" t="s">
        <v>15</v>
      </c>
      <c r="F11" s="1380"/>
      <c r="G11" s="1381"/>
      <c r="H11" s="1381"/>
      <c r="I11" s="1381"/>
      <c r="J11" s="1381"/>
      <c r="K11" s="1381"/>
      <c r="L11" s="1382"/>
      <c r="M11" s="23"/>
      <c r="N11" s="23"/>
      <c r="O11" s="19" t="s">
        <v>15</v>
      </c>
      <c r="Q11" s="24"/>
      <c r="S11" s="1389"/>
      <c r="T11" s="1390"/>
      <c r="U11" s="1390"/>
      <c r="V11" s="1390"/>
      <c r="W11" s="1390"/>
      <c r="X11" s="1390"/>
      <c r="Y11" s="1391"/>
      <c r="BC11" s="1387" t="s">
        <v>583</v>
      </c>
      <c r="BD11" s="1388"/>
      <c r="BF11" s="22" t="s">
        <v>8</v>
      </c>
      <c r="BI11" s="1364" t="s">
        <v>979</v>
      </c>
      <c r="BJ11" s="8"/>
      <c r="BK11" s="9"/>
      <c r="BL11" s="9"/>
      <c r="BM11" s="10"/>
      <c r="BN11" s="11"/>
      <c r="BO11" s="11"/>
    </row>
    <row r="12" spans="1:67" ht="15" x14ac:dyDescent="0.25">
      <c r="A12" s="18"/>
      <c r="D12" s="19" t="s">
        <v>17</v>
      </c>
      <c r="F12" s="1386"/>
      <c r="G12" s="1381"/>
      <c r="H12" s="1381"/>
      <c r="I12" s="1381"/>
      <c r="J12" s="1381"/>
      <c r="K12" s="1381"/>
      <c r="L12" s="1382"/>
      <c r="M12" s="23"/>
      <c r="N12" s="23"/>
      <c r="O12" s="19" t="s">
        <v>17</v>
      </c>
      <c r="R12" s="19"/>
      <c r="S12" s="1389"/>
      <c r="T12" s="1390"/>
      <c r="U12" s="1390"/>
      <c r="V12" s="1390"/>
      <c r="W12" s="1390"/>
      <c r="X12" s="1390"/>
      <c r="Y12" s="1391"/>
      <c r="BC12" s="565" t="s">
        <v>584</v>
      </c>
      <c r="BD12" s="564" t="s">
        <v>583</v>
      </c>
      <c r="BI12" s="1364" t="s">
        <v>761</v>
      </c>
      <c r="BJ12" s="8"/>
      <c r="BK12" s="9"/>
      <c r="BL12" s="9"/>
      <c r="BM12" s="10"/>
      <c r="BN12" s="11"/>
      <c r="BO12" s="11"/>
    </row>
    <row r="13" spans="1:67" ht="15" x14ac:dyDescent="0.25">
      <c r="A13" s="18"/>
      <c r="B13" s="18"/>
      <c r="C13" s="18"/>
      <c r="D13" s="18"/>
      <c r="F13" s="1419"/>
      <c r="G13" s="1420"/>
      <c r="H13" s="1420"/>
      <c r="I13" s="1420"/>
      <c r="J13" s="1420"/>
      <c r="K13" s="1420"/>
      <c r="L13" s="1421"/>
      <c r="M13" s="23"/>
      <c r="N13" s="23"/>
      <c r="O13" s="18"/>
      <c r="P13" s="18"/>
      <c r="Q13" s="1"/>
      <c r="R13" s="18"/>
      <c r="S13" s="1019"/>
      <c r="T13" s="1019"/>
      <c r="U13" s="1019"/>
      <c r="V13" s="1019"/>
      <c r="W13" s="1019"/>
      <c r="X13" s="1019"/>
      <c r="Y13" s="1019"/>
      <c r="BC13" s="564" t="b">
        <f>AND(BD27&gt;1,BD37&gt;1)</f>
        <v>1</v>
      </c>
      <c r="BD13" s="564" t="str">
        <f>IF(BC13,T25,"No")</f>
        <v>No</v>
      </c>
      <c r="BI13" s="1364" t="s">
        <v>769</v>
      </c>
    </row>
    <row r="14" spans="1:67" ht="15" x14ac:dyDescent="0.25">
      <c r="M14" s="23"/>
      <c r="N14" s="23"/>
      <c r="O14" s="18"/>
      <c r="P14" s="18"/>
      <c r="Q14" s="1"/>
      <c r="R14" s="18"/>
      <c r="S14" s="1019"/>
      <c r="T14" s="1019"/>
      <c r="U14" s="1019"/>
      <c r="V14" s="1019"/>
      <c r="W14" s="1019"/>
      <c r="X14" s="1019"/>
      <c r="Y14" s="1019"/>
      <c r="BB14" s="25"/>
      <c r="BC14" s="6"/>
      <c r="BD14" s="6"/>
      <c r="BI14" s="1364" t="s">
        <v>16</v>
      </c>
    </row>
    <row r="15" spans="1:67" ht="7.15" customHeight="1" x14ac:dyDescent="0.25">
      <c r="A15" s="18"/>
      <c r="B15" s="1"/>
      <c r="C15" s="18"/>
      <c r="D15" s="18"/>
      <c r="E15" s="18"/>
      <c r="F15" s="18"/>
      <c r="G15" s="18"/>
      <c r="H15" s="18"/>
      <c r="I15" s="18"/>
      <c r="J15" s="18"/>
      <c r="K15" s="18"/>
      <c r="L15" s="18"/>
      <c r="M15" s="1"/>
      <c r="N15" s="1"/>
      <c r="O15" s="18"/>
      <c r="P15" s="18"/>
      <c r="Q15" s="1"/>
      <c r="R15" s="18"/>
      <c r="S15" s="21"/>
      <c r="T15" s="21"/>
      <c r="U15" s="21"/>
      <c r="V15" s="21"/>
      <c r="W15" s="21"/>
      <c r="X15" s="21"/>
      <c r="Y15" s="21"/>
      <c r="BB15" s="25"/>
      <c r="BC15" s="6"/>
      <c r="BD15" s="6"/>
      <c r="BI15" s="1364" t="s">
        <v>18</v>
      </c>
    </row>
    <row r="16" spans="1:67" ht="15" customHeight="1" x14ac:dyDescent="0.25">
      <c r="A16" s="18"/>
      <c r="C16" s="18"/>
      <c r="D16" s="26" t="s">
        <v>19</v>
      </c>
      <c r="E16" s="1380"/>
      <c r="F16" s="1381"/>
      <c r="G16" s="1381"/>
      <c r="H16" s="1381"/>
      <c r="I16" s="1381"/>
      <c r="J16" s="1381"/>
      <c r="K16" s="1381"/>
      <c r="L16" s="1382"/>
      <c r="M16" s="20"/>
      <c r="N16" s="20"/>
      <c r="Q16" s="27"/>
      <c r="BB16" s="25"/>
      <c r="BC16" s="6"/>
      <c r="BD16" s="6"/>
      <c r="BI16" s="1364" t="s">
        <v>724</v>
      </c>
    </row>
    <row r="17" spans="1:65" ht="15" x14ac:dyDescent="0.25">
      <c r="A17" s="18"/>
      <c r="C17" s="18"/>
      <c r="D17" s="26" t="s">
        <v>20</v>
      </c>
      <c r="E17" s="1380"/>
      <c r="F17" s="1381"/>
      <c r="G17" s="1381"/>
      <c r="H17" s="1381"/>
      <c r="I17" s="1381"/>
      <c r="J17" s="1381"/>
      <c r="K17" s="1381"/>
      <c r="L17" s="1382"/>
      <c r="M17" s="20"/>
      <c r="N17" s="20"/>
      <c r="BB17" s="719" t="s">
        <v>21</v>
      </c>
      <c r="BC17" s="6"/>
      <c r="BD17" s="6"/>
      <c r="BI17" s="1365" t="s">
        <v>994</v>
      </c>
    </row>
    <row r="18" spans="1:65" ht="15" x14ac:dyDescent="0.25">
      <c r="A18" s="18"/>
      <c r="B18" s="18"/>
      <c r="C18" s="18"/>
      <c r="D18" s="18"/>
      <c r="E18" s="1380"/>
      <c r="F18" s="1427"/>
      <c r="G18" s="1427"/>
      <c r="H18" s="1427"/>
      <c r="I18" s="1427"/>
      <c r="J18" s="1427"/>
      <c r="K18" s="1427"/>
      <c r="L18" s="1428"/>
      <c r="M18" s="20"/>
      <c r="N18" s="20"/>
      <c r="P18" s="28" t="s">
        <v>22</v>
      </c>
      <c r="BB18" s="1410" t="s">
        <v>23</v>
      </c>
      <c r="BC18" s="1411"/>
      <c r="BD18" s="1411"/>
      <c r="BE18" s="1411"/>
      <c r="BF18" s="1412"/>
    </row>
    <row r="19" spans="1:65" ht="15" x14ac:dyDescent="0.25">
      <c r="A19" s="18"/>
      <c r="B19" s="18"/>
      <c r="C19" s="18"/>
      <c r="D19" s="18"/>
      <c r="E19" s="1383"/>
      <c r="F19" s="1429"/>
      <c r="G19" s="1429"/>
      <c r="H19" s="1429"/>
      <c r="I19" s="1429"/>
      <c r="J19" s="1429"/>
      <c r="K19" s="1429"/>
      <c r="L19" s="1430"/>
      <c r="M19" s="20"/>
      <c r="N19" s="20"/>
      <c r="P19" s="901"/>
      <c r="Q19" s="902"/>
      <c r="R19" s="903" t="s">
        <v>24</v>
      </c>
      <c r="S19" s="904" t="str">
        <f>IF(ISBLANK(DUT!T1),"",DUT!T1&amp;IF(DUT!G18="No",",x1",",x"&amp;DUT!L18))</f>
        <v/>
      </c>
      <c r="T19" s="905"/>
      <c r="U19" s="905"/>
      <c r="V19" s="905"/>
      <c r="W19" s="905"/>
      <c r="X19" s="905"/>
      <c r="Y19" s="906"/>
      <c r="BB19" s="1413" t="s">
        <v>25</v>
      </c>
      <c r="BC19" s="1414"/>
      <c r="BD19" s="1414"/>
      <c r="BE19" s="1414"/>
      <c r="BF19" s="1415"/>
    </row>
    <row r="20" spans="1:65" ht="13.9" customHeight="1" x14ac:dyDescent="0.25">
      <c r="A20" s="1"/>
      <c r="B20" s="1"/>
      <c r="C20" s="1"/>
      <c r="D20" s="1"/>
      <c r="E20" s="1419"/>
      <c r="F20" s="1420"/>
      <c r="G20" s="1420"/>
      <c r="H20" s="1420"/>
      <c r="I20" s="1420"/>
      <c r="J20" s="1420"/>
      <c r="K20" s="1420"/>
      <c r="L20" s="1421"/>
      <c r="M20" s="20"/>
      <c r="N20" s="20"/>
      <c r="P20" s="907"/>
      <c r="Q20" s="830"/>
      <c r="R20" s="831" t="s">
        <v>62</v>
      </c>
      <c r="S20" s="899" t="str">
        <f>IF(ISBLANK(DUT!T2),"",DUT!T2)</f>
        <v/>
      </c>
      <c r="T20" s="832"/>
      <c r="U20" s="832"/>
      <c r="V20" s="832"/>
      <c r="W20" s="832"/>
      <c r="X20" s="832"/>
      <c r="Y20" s="908"/>
      <c r="BB20" s="1416" t="s">
        <v>26</v>
      </c>
      <c r="BC20" s="1417"/>
      <c r="BD20" s="1417"/>
      <c r="BE20" s="1417"/>
      <c r="BF20" s="1418"/>
    </row>
    <row r="21" spans="1:65" ht="15" x14ac:dyDescent="0.25">
      <c r="A21" s="29"/>
      <c r="B21" s="1"/>
      <c r="C21" s="1"/>
      <c r="D21" s="1"/>
      <c r="E21" s="1419"/>
      <c r="F21" s="1420"/>
      <c r="G21" s="1420"/>
      <c r="H21" s="1420"/>
      <c r="I21" s="1420"/>
      <c r="J21" s="1420"/>
      <c r="K21" s="1420"/>
      <c r="L21" s="1421"/>
      <c r="M21" s="1"/>
      <c r="N21" s="1"/>
      <c r="P21" s="909" t="str">
        <f>IF(ISBLANK(DUT!T3),"",DUT!T3)</f>
        <v/>
      </c>
      <c r="Q21" s="910"/>
      <c r="R21" s="911"/>
      <c r="S21" s="911"/>
      <c r="T21" s="912"/>
      <c r="U21" s="912"/>
      <c r="V21" s="912"/>
      <c r="W21" s="912"/>
      <c r="X21" s="912"/>
      <c r="Y21" s="913"/>
      <c r="BB21" s="8"/>
      <c r="BC21" s="6"/>
      <c r="BD21" s="6"/>
    </row>
    <row r="22" spans="1:65" x14ac:dyDescent="0.2">
      <c r="A22" s="29"/>
      <c r="B22" s="1"/>
      <c r="C22" s="1"/>
      <c r="D22" s="1"/>
      <c r="E22" s="1"/>
      <c r="F22" s="1"/>
      <c r="G22" s="1"/>
      <c r="H22" s="1"/>
      <c r="I22" s="1"/>
      <c r="J22" s="1"/>
      <c r="K22" s="1"/>
      <c r="L22" s="1"/>
      <c r="M22" s="1"/>
      <c r="N22" s="1"/>
      <c r="BB22" s="8"/>
      <c r="BC22" s="6"/>
      <c r="BD22" s="6"/>
    </row>
    <row r="23" spans="1:65" x14ac:dyDescent="0.2">
      <c r="A23" s="29"/>
      <c r="B23" s="1"/>
      <c r="C23" s="1"/>
      <c r="D23" s="1"/>
      <c r="E23" s="1"/>
      <c r="F23" s="1"/>
      <c r="G23" s="1"/>
      <c r="H23" s="1"/>
      <c r="I23" s="1"/>
      <c r="J23" s="1"/>
      <c r="K23" s="1"/>
      <c r="L23" s="1"/>
      <c r="M23" s="1"/>
      <c r="N23" s="1"/>
      <c r="BB23" s="8"/>
      <c r="BC23" s="6"/>
      <c r="BD23" s="6"/>
    </row>
    <row r="24" spans="1:65" ht="18.75" x14ac:dyDescent="0.3">
      <c r="A24" s="29"/>
      <c r="C24" s="30" t="s">
        <v>27</v>
      </c>
      <c r="D24" s="1"/>
      <c r="E24" s="1"/>
      <c r="F24" s="1"/>
      <c r="H24" s="1"/>
      <c r="I24" s="1"/>
      <c r="J24" s="1"/>
      <c r="K24" s="1"/>
      <c r="P24" s="30" t="s">
        <v>28</v>
      </c>
      <c r="V24" s="31" t="s">
        <v>29</v>
      </c>
      <c r="W24" s="32"/>
      <c r="X24" s="32"/>
      <c r="Y24" s="32"/>
    </row>
    <row r="25" spans="1:65" ht="16.5" thickBot="1" x14ac:dyDescent="0.3">
      <c r="A25" s="29"/>
      <c r="B25" s="616"/>
      <c r="C25" s="33"/>
      <c r="E25" s="608"/>
      <c r="F25" s="608"/>
      <c r="G25" s="609"/>
      <c r="H25" s="608"/>
      <c r="I25" s="20"/>
      <c r="J25" s="20"/>
      <c r="K25" s="1"/>
      <c r="L25" s="1"/>
      <c r="M25" s="34"/>
      <c r="N25" s="34"/>
      <c r="P25" s="32"/>
      <c r="Q25" s="32"/>
      <c r="R25" s="32"/>
      <c r="S25" s="35" t="s">
        <v>30</v>
      </c>
      <c r="T25" s="983" t="s">
        <v>31</v>
      </c>
      <c r="V25" s="1394"/>
      <c r="W25" s="1395"/>
      <c r="X25" s="1395"/>
      <c r="Y25" s="1395"/>
      <c r="BK25" s="987" t="s">
        <v>755</v>
      </c>
    </row>
    <row r="26" spans="1:65" s="32" customFormat="1" ht="15.75" customHeight="1" thickBot="1" x14ac:dyDescent="0.3">
      <c r="A26" s="36"/>
      <c r="C26" s="33"/>
      <c r="D26" s="35" t="s">
        <v>230</v>
      </c>
      <c r="E26" s="1405" t="s">
        <v>613</v>
      </c>
      <c r="F26" s="1406"/>
      <c r="G26" s="1406"/>
      <c r="H26" s="1406"/>
      <c r="I26" s="1407"/>
      <c r="J26" s="615" t="s">
        <v>34</v>
      </c>
      <c r="K26" s="614" t="str">
        <f ca="1">""&amp;BB27</f>
        <v>RFC (P100)</v>
      </c>
      <c r="L26" s="612"/>
      <c r="M26" s="612"/>
      <c r="N26" s="613"/>
      <c r="O26" s="613"/>
      <c r="Q26" s="37" t="s">
        <v>32</v>
      </c>
      <c r="V26" s="31" t="s">
        <v>33</v>
      </c>
      <c r="BA26" s="715" t="s">
        <v>660</v>
      </c>
      <c r="BB26" s="600" t="s">
        <v>614</v>
      </c>
      <c r="BC26" s="600" t="s">
        <v>42</v>
      </c>
      <c r="BD26" s="305" t="s">
        <v>43</v>
      </c>
      <c r="BH26" s="5"/>
      <c r="BI26" s="715" t="s">
        <v>662</v>
      </c>
      <c r="BJ26" s="48" t="s">
        <v>45</v>
      </c>
      <c r="BK26" s="305" t="s">
        <v>43</v>
      </c>
      <c r="BL26" s="5"/>
      <c r="BM26" s="4"/>
    </row>
    <row r="27" spans="1:65" s="32" customFormat="1" ht="15.75" customHeight="1" x14ac:dyDescent="0.25">
      <c r="A27" s="36"/>
      <c r="C27" s="33"/>
      <c r="D27" s="608"/>
      <c r="J27" s="610"/>
      <c r="L27" s="38"/>
      <c r="M27" s="39"/>
      <c r="N27" s="39"/>
      <c r="S27" s="35" t="s">
        <v>35</v>
      </c>
      <c r="T27" s="936" t="s">
        <v>31</v>
      </c>
      <c r="V27" s="1396"/>
      <c r="W27" s="1396"/>
      <c r="X27" s="1396"/>
      <c r="Y27" s="1396"/>
      <c r="BA27" s="605" t="str">
        <f ca="1">OFFSET(BA27,$BD$27,0)</f>
        <v>Pyramid Core</v>
      </c>
      <c r="BB27" s="605" t="str">
        <f ca="1">""&amp;OFFSET(BB27,$BD$27,0)</f>
        <v>RFC (P100)</v>
      </c>
      <c r="BC27" s="605" t="str">
        <f ca="1">OFFSET(BC27,$BD$27,0)</f>
        <v>Core P/N:</v>
      </c>
      <c r="BD27" s="603">
        <f>VLOOKUP(E26,BA28:BD31,4,0)</f>
        <v>2</v>
      </c>
      <c r="BH27" s="5"/>
      <c r="BI27" s="605" t="e">
        <f ca="1">OFFSET(BI27,$BK$27,0)</f>
        <v>#VALUE!</v>
      </c>
      <c r="BJ27" s="718" t="e">
        <f ca="1">OFFSET(BJ27,$BK$27,0)</f>
        <v>#VALUE!</v>
      </c>
      <c r="BK27" s="603" t="str">
        <f>IF(E29&lt;&gt;BA41,"X",MATCH(F31,BI28:BI32,0))</f>
        <v>X</v>
      </c>
      <c r="BL27" s="5"/>
      <c r="BM27" s="4"/>
    </row>
    <row r="28" spans="1:65" s="32" customFormat="1" ht="15.75" customHeight="1" thickBot="1" x14ac:dyDescent="0.3">
      <c r="A28" s="36"/>
      <c r="B28" s="1002" t="str">
        <f ca="1">IF(AND(BD37=2,Pinlist_RF_Max&gt;BX37),"Selected PCB is unable to meet Pinlist RF requirements","")</f>
        <v/>
      </c>
      <c r="C28" s="33"/>
      <c r="F28" s="610"/>
      <c r="G28" s="610"/>
      <c r="H28" s="610"/>
      <c r="I28" s="611"/>
      <c r="J28" s="611"/>
      <c r="K28" s="599"/>
      <c r="L28" s="41"/>
      <c r="M28" s="34"/>
      <c r="N28" s="34"/>
      <c r="V28" s="31" t="s">
        <v>950</v>
      </c>
      <c r="BA28" s="601" t="s">
        <v>226</v>
      </c>
      <c r="BB28" s="601"/>
      <c r="BC28" s="601" t="str">
        <f>IF(T27="Yes","Accel P/N:","N/A")</f>
        <v>N/A</v>
      </c>
      <c r="BD28" s="59">
        <v>1</v>
      </c>
      <c r="BH28" s="5"/>
      <c r="BI28" s="601" t="s">
        <v>81</v>
      </c>
      <c r="BJ28" s="717">
        <v>0</v>
      </c>
      <c r="BK28" s="59">
        <v>1</v>
      </c>
      <c r="BM28" s="4"/>
    </row>
    <row r="29" spans="1:65" s="32" customFormat="1" ht="15.75" customHeight="1" thickBot="1" x14ac:dyDescent="0.3">
      <c r="A29" s="36"/>
      <c r="C29" s="33"/>
      <c r="D29" s="35" t="s">
        <v>766</v>
      </c>
      <c r="E29" s="1405" t="s">
        <v>54</v>
      </c>
      <c r="F29" s="1406"/>
      <c r="G29" s="1406"/>
      <c r="H29" s="1406"/>
      <c r="I29" s="1407"/>
      <c r="J29" s="615" t="s">
        <v>34</v>
      </c>
      <c r="K29" s="614" t="str">
        <f ca="1">""&amp;BB37</f>
        <v>4.5" Rectangular</v>
      </c>
      <c r="L29" s="1"/>
      <c r="M29" s="34"/>
      <c r="N29" s="34"/>
      <c r="S29" s="35" t="s">
        <v>961</v>
      </c>
      <c r="T29" s="1296" t="s">
        <v>31</v>
      </c>
      <c r="V29" s="1396"/>
      <c r="W29" s="1396"/>
      <c r="X29" s="1396"/>
      <c r="Y29" s="1396"/>
      <c r="BA29" s="601" t="s">
        <v>613</v>
      </c>
      <c r="BB29" s="606" t="str">
        <f ca="1">Core!$BA$20</f>
        <v>RFC (P100)</v>
      </c>
      <c r="BC29" s="601" t="s">
        <v>38</v>
      </c>
      <c r="BD29" s="59">
        <v>2</v>
      </c>
      <c r="BH29" s="5"/>
      <c r="BI29" s="601" t="s">
        <v>314</v>
      </c>
      <c r="BJ29" s="937">
        <f>VLOOKUP(BI29,'PCB Config'!$BA$7:$BF$19,6,0)+0.125-$F$32</f>
        <v>6.8000000000000005E-2</v>
      </c>
      <c r="BK29" s="59">
        <v>2</v>
      </c>
      <c r="BM29" s="4"/>
    </row>
    <row r="30" spans="1:65" s="32" customFormat="1" ht="16.5" thickBot="1" x14ac:dyDescent="0.3">
      <c r="A30" s="1"/>
      <c r="C30" s="33"/>
      <c r="D30" s="1001" t="s">
        <v>767</v>
      </c>
      <c r="E30" s="1422"/>
      <c r="F30" s="1423"/>
      <c r="G30" s="1423"/>
      <c r="H30" s="1423"/>
      <c r="I30" s="1424"/>
      <c r="J30" s="456"/>
      <c r="K30" s="456"/>
      <c r="L30" s="1"/>
      <c r="M30" s="34"/>
      <c r="N30" s="34"/>
      <c r="BA30" s="601" t="s">
        <v>666</v>
      </c>
      <c r="BB30" s="606"/>
      <c r="BC30" s="601" t="s">
        <v>56</v>
      </c>
      <c r="BD30" s="59">
        <v>3</v>
      </c>
      <c r="BE30" s="4"/>
      <c r="BH30" s="5"/>
      <c r="BI30" s="601" t="s">
        <v>675</v>
      </c>
      <c r="BJ30" s="937">
        <f>VLOOKUP(BI30,'PCB Config'!$BA$7:$BF$19,6,0)+0.125-$F$32</f>
        <v>6.8000000000000005E-2</v>
      </c>
      <c r="BK30" s="59">
        <v>3</v>
      </c>
      <c r="BM30" s="4"/>
    </row>
    <row r="31" spans="1:65" s="32" customFormat="1" ht="15" x14ac:dyDescent="0.2">
      <c r="A31" s="620"/>
      <c r="E31" s="617" t="s">
        <v>615</v>
      </c>
      <c r="F31" s="1408" t="s">
        <v>81</v>
      </c>
      <c r="G31" s="1408"/>
      <c r="H31" s="1409"/>
      <c r="N31" s="34"/>
      <c r="BB31" s="5"/>
      <c r="BC31" s="45"/>
      <c r="BD31" s="3"/>
      <c r="BE31" s="4"/>
      <c r="BG31" s="4"/>
      <c r="BH31" s="5"/>
      <c r="BI31" s="601" t="s">
        <v>309</v>
      </c>
      <c r="BJ31" s="601">
        <f>VLOOKUP(BI31,'PCB Config'!$BA$7:$BF$19,6,0)</f>
        <v>0.81699999999999995</v>
      </c>
      <c r="BK31" s="59">
        <v>4</v>
      </c>
      <c r="BM31" s="4"/>
    </row>
    <row r="32" spans="1:65" s="32" customFormat="1" ht="15" x14ac:dyDescent="0.2">
      <c r="A32" s="619"/>
      <c r="B32" s="34"/>
      <c r="E32" s="47" t="s">
        <v>88</v>
      </c>
      <c r="F32" s="1400">
        <v>0.125</v>
      </c>
      <c r="G32" s="1400"/>
      <c r="H32" s="1215" t="s">
        <v>373</v>
      </c>
      <c r="I32" s="1216"/>
      <c r="N32" s="34"/>
      <c r="BB32" s="5"/>
      <c r="BC32" s="45"/>
      <c r="BD32" s="3"/>
      <c r="BE32" s="4"/>
      <c r="BF32" s="4"/>
      <c r="BG32" s="4"/>
      <c r="BH32" s="5"/>
      <c r="BI32" s="601" t="s">
        <v>411</v>
      </c>
      <c r="BJ32" s="601" t="str">
        <f>IF(OR($F$32=0.187,$F$32=0.25),0.04,"Error")</f>
        <v>Error</v>
      </c>
      <c r="BK32" s="59">
        <v>5</v>
      </c>
      <c r="BM32" s="4"/>
    </row>
    <row r="33" spans="1:76" s="32" customFormat="1" ht="15.75" x14ac:dyDescent="0.25">
      <c r="A33" s="36"/>
      <c r="B33" s="36"/>
      <c r="E33" s="504" t="s">
        <v>561</v>
      </c>
      <c r="F33" s="1401" t="s">
        <v>31</v>
      </c>
      <c r="G33" s="1402"/>
      <c r="H33" s="623" t="s">
        <v>618</v>
      </c>
      <c r="I33" s="36"/>
      <c r="J33" s="36"/>
      <c r="K33" s="36"/>
      <c r="L33" s="36"/>
      <c r="M33" s="36"/>
      <c r="N33" s="36"/>
      <c r="S33" s="43" t="s">
        <v>37</v>
      </c>
      <c r="BH33" s="5"/>
      <c r="BI33" s="8"/>
      <c r="BJ33" s="40"/>
      <c r="BM33" s="4"/>
    </row>
    <row r="34" spans="1:76" s="32" customFormat="1" ht="15.75" x14ac:dyDescent="0.25">
      <c r="A34" s="36"/>
      <c r="C34" s="33"/>
      <c r="D34" s="33"/>
      <c r="Q34" s="1397" t="s">
        <v>25</v>
      </c>
      <c r="R34" s="1397"/>
      <c r="S34" s="1397"/>
      <c r="T34" s="1397"/>
      <c r="U34" s="1397"/>
      <c r="V34" s="1398"/>
      <c r="W34" s="1398"/>
      <c r="X34" s="1398"/>
      <c r="BH34" s="5"/>
      <c r="BI34" s="8"/>
      <c r="BJ34" s="40"/>
      <c r="BM34" s="4"/>
    </row>
    <row r="35" spans="1:76" s="319" customFormat="1" ht="15" x14ac:dyDescent="0.2">
      <c r="A35" s="624"/>
      <c r="C35" s="621"/>
      <c r="D35" s="622"/>
      <c r="E35" s="626" t="s">
        <v>277</v>
      </c>
      <c r="F35" s="621"/>
      <c r="G35" s="375" t="s">
        <v>616</v>
      </c>
      <c r="H35" s="625"/>
      <c r="K35" s="621"/>
      <c r="L35" s="621"/>
      <c r="O35" s="32"/>
      <c r="P35" s="44" t="s">
        <v>39</v>
      </c>
      <c r="Q35" s="1425"/>
      <c r="R35" s="1426"/>
      <c r="S35" s="1426"/>
      <c r="T35" s="1426"/>
      <c r="U35" s="1426"/>
      <c r="V35" s="1426"/>
      <c r="W35" s="1426"/>
      <c r="X35" s="1426"/>
      <c r="Y35" s="1426"/>
      <c r="BM35" s="59"/>
    </row>
    <row r="36" spans="1:76" s="319" customFormat="1" ht="15" x14ac:dyDescent="0.2">
      <c r="A36" s="624"/>
      <c r="C36" s="626" t="s">
        <v>277</v>
      </c>
      <c r="D36" s="627"/>
      <c r="E36" s="628"/>
      <c r="F36" s="628"/>
      <c r="G36" s="628"/>
      <c r="H36" s="628"/>
      <c r="I36" s="628"/>
      <c r="J36" s="629"/>
      <c r="K36" s="621"/>
      <c r="L36" s="621"/>
      <c r="M36" s="621"/>
      <c r="N36" s="621"/>
      <c r="O36" s="32"/>
      <c r="P36" s="46"/>
      <c r="Q36" s="1399"/>
      <c r="R36" s="1399"/>
      <c r="S36" s="1399"/>
      <c r="T36" s="1399"/>
      <c r="U36" s="1399"/>
      <c r="V36" s="1399"/>
      <c r="W36" s="1399"/>
      <c r="X36" s="1399"/>
      <c r="Y36" s="1399"/>
      <c r="BA36" s="716" t="s">
        <v>661</v>
      </c>
      <c r="BB36" s="607" t="s">
        <v>614</v>
      </c>
      <c r="BC36" s="48" t="s">
        <v>42</v>
      </c>
      <c r="BD36" s="48" t="s">
        <v>43</v>
      </c>
      <c r="BE36" s="48" t="s">
        <v>44</v>
      </c>
      <c r="BF36" s="48" t="s">
        <v>45</v>
      </c>
      <c r="BG36" s="48" t="s">
        <v>46</v>
      </c>
      <c r="BH36" s="48" t="s">
        <v>47</v>
      </c>
      <c r="BI36" s="48" t="s">
        <v>48</v>
      </c>
      <c r="BJ36" s="48" t="s">
        <v>47</v>
      </c>
      <c r="BK36" s="48" t="s">
        <v>49</v>
      </c>
      <c r="BL36" s="48" t="s">
        <v>50</v>
      </c>
      <c r="BM36" s="48" t="s">
        <v>50</v>
      </c>
      <c r="BN36" s="607" t="s">
        <v>51</v>
      </c>
      <c r="BO36" s="621"/>
      <c r="BP36" s="621"/>
      <c r="BQ36" s="621"/>
      <c r="BX36" s="48" t="s">
        <v>890</v>
      </c>
    </row>
    <row r="37" spans="1:76" s="319" customFormat="1" ht="15" x14ac:dyDescent="0.2">
      <c r="A37" s="630"/>
      <c r="C37" s="319" t="s">
        <v>649</v>
      </c>
      <c r="D37" s="631"/>
      <c r="E37" s="632"/>
      <c r="F37" s="632"/>
      <c r="G37" s="632"/>
      <c r="H37" s="632"/>
      <c r="I37" s="632"/>
      <c r="J37" s="693"/>
      <c r="K37" s="621"/>
      <c r="L37" s="621"/>
      <c r="M37" s="621"/>
      <c r="N37" s="621"/>
      <c r="O37" s="32"/>
      <c r="P37" s="46"/>
      <c r="Q37" s="1399"/>
      <c r="R37" s="1399"/>
      <c r="S37" s="1399"/>
      <c r="T37" s="1399"/>
      <c r="U37" s="1399"/>
      <c r="V37" s="1399"/>
      <c r="W37" s="1399"/>
      <c r="X37" s="1399"/>
      <c r="Y37" s="1399"/>
      <c r="BA37" s="604" t="str">
        <f ca="1">OFFSET(BA37,$BD$37,0)</f>
        <v>Custom</v>
      </c>
      <c r="BB37" s="722" t="str">
        <f ca="1">""&amp;OFFSET(BB37,$BD$37,0)</f>
        <v>4.5" Rectangular</v>
      </c>
      <c r="BC37" s="604" t="str">
        <f ca="1">OFFSET(BC37,$BD$37,0)</f>
        <v>Custom PCB P/N:</v>
      </c>
      <c r="BD37" s="50">
        <f>VLOOKUP(E29,BA38:BD42,4,0)</f>
        <v>3</v>
      </c>
      <c r="BE37" s="49">
        <f ca="1">OFFSET(BE37,$BD$37,0)</f>
        <v>0</v>
      </c>
      <c r="BF37" s="49">
        <f ca="1">OFFSET(BF37,$BD$37,0)</f>
        <v>0</v>
      </c>
      <c r="BG37" s="49">
        <f ca="1">OFFSET(BG37,$BD$37,0)</f>
        <v>0.125</v>
      </c>
      <c r="BH37" s="491" t="str">
        <f ca="1">CHAR(34)&amp;" ["&amp;FIXED(BG37*25.4,1)&amp;"mm]"</f>
        <v>" [3.2mm]</v>
      </c>
      <c r="BI37" s="49">
        <f ca="1">OFFSET(BI37,$BD$37,0)</f>
        <v>0</v>
      </c>
      <c r="BJ37" s="491" t="str">
        <f ca="1">CHAR(34)&amp;" ["&amp;FIXED(BI37*25.4,1)&amp;"mm]"</f>
        <v>" [0.0mm]</v>
      </c>
      <c r="BK37" s="49">
        <f ca="1">OFFSET(BK37,$BD$37,0)*(BE37=0)</f>
        <v>0</v>
      </c>
      <c r="BL37" s="49">
        <f ca="1">OFFSET(BL37,$BD$37,0)</f>
        <v>0</v>
      </c>
      <c r="BM37" s="49">
        <f ca="1">OFFSET(BM37,$BD$37,0)</f>
        <v>0</v>
      </c>
      <c r="BN37" s="51" t="str">
        <f t="shared" ref="BN37:BW37" ca="1" si="0">IF(OFFSET(BN37,$BD$37,0)&lt;&gt;"",OFFSET(BN37,$BD$37,0),"")</f>
        <v>SMA</v>
      </c>
      <c r="BO37" s="51" t="str">
        <f t="shared" ca="1" si="0"/>
        <v>MXP</v>
      </c>
      <c r="BP37" s="51" t="str">
        <f t="shared" ca="1" si="0"/>
        <v>UHD</v>
      </c>
      <c r="BQ37" s="51" t="str">
        <f t="shared" ca="1" si="0"/>
        <v>K-Std</v>
      </c>
      <c r="BR37" s="51" t="str">
        <f t="shared" ca="1" si="0"/>
        <v>K-HS</v>
      </c>
      <c r="BS37" s="51" t="str">
        <f t="shared" ca="1" si="0"/>
        <v>V-HS</v>
      </c>
      <c r="BT37" s="51" t="str">
        <f t="shared" ca="1" si="0"/>
        <v>1.85mm</v>
      </c>
      <c r="BU37" s="51" t="str">
        <f t="shared" ca="1" si="0"/>
        <v>1mm</v>
      </c>
      <c r="BV37" s="51" t="str">
        <f t="shared" ca="1" si="0"/>
        <v>Other</v>
      </c>
      <c r="BW37" s="51" t="str">
        <f t="shared" ca="1" si="0"/>
        <v/>
      </c>
      <c r="BX37" s="49">
        <f ca="1">IF(BD37=2,OFFSET(BX37,$BD$37,0),Chart!BJ35)</f>
        <v>88</v>
      </c>
    </row>
    <row r="38" spans="1:76" s="319" customFormat="1" ht="15" x14ac:dyDescent="0.2">
      <c r="A38" s="624"/>
      <c r="C38" s="633" t="s">
        <v>278</v>
      </c>
      <c r="D38" s="622"/>
      <c r="E38" s="633" t="s">
        <v>278</v>
      </c>
      <c r="F38" s="621"/>
      <c r="G38" s="375" t="s">
        <v>617</v>
      </c>
      <c r="H38" s="622"/>
      <c r="J38" s="622"/>
      <c r="K38" s="621"/>
      <c r="L38" s="621"/>
      <c r="M38" s="621"/>
      <c r="N38" s="621"/>
      <c r="O38" s="32"/>
      <c r="BA38" s="602" t="s">
        <v>226</v>
      </c>
      <c r="BB38" s="723"/>
      <c r="BC38" s="618" t="s">
        <v>52</v>
      </c>
      <c r="BD38" s="375">
        <v>1</v>
      </c>
      <c r="BE38" s="52"/>
      <c r="BF38" s="52"/>
      <c r="BG38" s="52"/>
      <c r="BH38" s="52"/>
      <c r="BI38" s="52"/>
      <c r="BJ38" s="52"/>
      <c r="BK38" s="52"/>
      <c r="BL38" s="52"/>
      <c r="BM38" s="621"/>
      <c r="BN38" s="53" t="s">
        <v>36</v>
      </c>
      <c r="BO38" s="53"/>
      <c r="BP38" s="53"/>
      <c r="BQ38" s="53"/>
      <c r="BR38" s="54"/>
      <c r="BS38" s="54"/>
      <c r="BT38" s="54"/>
      <c r="BU38" s="54"/>
      <c r="BV38" s="54"/>
      <c r="BW38" s="54"/>
    </row>
    <row r="39" spans="1:76" ht="15" x14ac:dyDescent="0.2">
      <c r="A39" s="29"/>
      <c r="B39" s="1"/>
      <c r="C39" s="1"/>
      <c r="D39" s="1"/>
      <c r="E39" s="1" t="str">
        <f>F32&amp;CHAR(34)</f>
        <v>0.125"</v>
      </c>
      <c r="F39" s="1"/>
      <c r="I39" s="34"/>
      <c r="J39" s="34"/>
      <c r="K39" s="34"/>
      <c r="L39" s="34"/>
      <c r="M39" s="34"/>
      <c r="N39" s="34"/>
      <c r="O39" s="32"/>
      <c r="BA39" s="602" t="s">
        <v>611</v>
      </c>
      <c r="BB39" s="724" t="str">
        <f ca="1">'PCB Config'!$BA$6</f>
        <v/>
      </c>
      <c r="BC39" s="368" t="s">
        <v>53</v>
      </c>
      <c r="BD39" s="42">
        <v>2</v>
      </c>
      <c r="BE39" s="55">
        <f>IF(BD37=2,'PCB Config'!BE6,0)</f>
        <v>0</v>
      </c>
      <c r="BF39" s="55">
        <f>IF(BD37=2,'PCB Config'!BF6,0)</f>
        <v>0</v>
      </c>
      <c r="BG39" s="55">
        <f ca="1">'PCB Config'!BG6</f>
        <v>0</v>
      </c>
      <c r="BH39" s="55"/>
      <c r="BI39" s="55">
        <f ca="1">'PCB Config'!BK6</f>
        <v>0</v>
      </c>
      <c r="BJ39" s="55"/>
      <c r="BK39" s="55">
        <f ca="1">'PCB Config'!BM6</f>
        <v>0</v>
      </c>
      <c r="BL39" s="55">
        <f ca="1">'PCB Config'!BD6</f>
        <v>0</v>
      </c>
      <c r="BM39" s="34"/>
      <c r="BN39" s="53" t="str">
        <f ca="1">'PCB Config'!BW6</f>
        <v/>
      </c>
      <c r="BO39" s="53" t="str">
        <f ca="1">'PCB Config'!BX6</f>
        <v/>
      </c>
      <c r="BP39" s="53" t="str">
        <f ca="1">'PCB Config'!BY6</f>
        <v/>
      </c>
      <c r="BQ39" s="53" t="str">
        <f ca="1">'PCB Config'!BZ6</f>
        <v/>
      </c>
      <c r="BR39" s="53" t="str">
        <f ca="1">'PCB Config'!CA6</f>
        <v/>
      </c>
      <c r="BS39" s="53" t="str">
        <f ca="1">'PCB Config'!CB6</f>
        <v/>
      </c>
      <c r="BT39" s="53" t="str">
        <f ca="1">'PCB Config'!CC6</f>
        <v/>
      </c>
      <c r="BU39" s="53" t="str">
        <f ca="1">'PCB Config'!CD6</f>
        <v/>
      </c>
      <c r="BV39" s="53" t="str">
        <f ca="1">'PCB Config'!CE6</f>
        <v/>
      </c>
      <c r="BW39" s="53" t="str">
        <f ca="1">'PCB Config'!CF6</f>
        <v/>
      </c>
      <c r="BX39" s="53">
        <f ca="1">'PCB Config'!CG6</f>
        <v>0</v>
      </c>
    </row>
    <row r="40" spans="1:76" x14ac:dyDescent="0.2">
      <c r="A40" s="29"/>
      <c r="B40" s="1"/>
      <c r="H40" s="1"/>
      <c r="I40" s="1"/>
      <c r="Y40" s="1"/>
      <c r="BA40" s="602" t="s">
        <v>54</v>
      </c>
      <c r="BB40" s="724" t="str">
        <f ca="1">'PCB Custom'!$BA$7</f>
        <v>4.5" Rectangular</v>
      </c>
      <c r="BC40" s="368" t="s">
        <v>55</v>
      </c>
      <c r="BD40" s="42">
        <v>3</v>
      </c>
      <c r="BE40" s="52">
        <f ca="1">'PCB Custom'!$BJ$7</f>
        <v>0</v>
      </c>
      <c r="BF40" s="52">
        <f ca="1">'PCB Custom'!$BK$7</f>
        <v>0</v>
      </c>
      <c r="BG40" s="721">
        <f ca="1">'PCB Custom'!$BD$7</f>
        <v>0.125</v>
      </c>
      <c r="BH40" s="52"/>
      <c r="BI40" s="56">
        <f ca="1">'PCB Custom'!BL7</f>
        <v>0</v>
      </c>
      <c r="BJ40" s="55"/>
      <c r="BK40" s="52">
        <f ca="1">'PCB Custom'!BM7</f>
        <v>0</v>
      </c>
      <c r="BL40" s="52"/>
      <c r="BM40" s="34"/>
      <c r="BN40" s="53" t="str">
        <f ca="1">'PCB Custom'!BP7</f>
        <v>SMA</v>
      </c>
      <c r="BO40" s="53" t="str">
        <f ca="1">'PCB Custom'!BQ7</f>
        <v>MXP</v>
      </c>
      <c r="BP40" s="53" t="str">
        <f ca="1">'PCB Custom'!BR7</f>
        <v>UHD</v>
      </c>
      <c r="BQ40" s="53" t="str">
        <f ca="1">'PCB Custom'!BS7</f>
        <v>K-Std</v>
      </c>
      <c r="BR40" s="53" t="str">
        <f ca="1">'PCB Custom'!BT7</f>
        <v>K-HS</v>
      </c>
      <c r="BS40" s="53" t="str">
        <f ca="1">'PCB Custom'!BU7</f>
        <v>V-HS</v>
      </c>
      <c r="BT40" s="53" t="str">
        <f ca="1">'PCB Custom'!BV7</f>
        <v>1.85mm</v>
      </c>
      <c r="BU40" s="53" t="str">
        <f ca="1">'PCB Custom'!BW7</f>
        <v>1mm</v>
      </c>
      <c r="BV40" s="53" t="str">
        <f ca="1">'PCB Custom'!BX7</f>
        <v>Other</v>
      </c>
      <c r="BW40" s="53" t="str">
        <f ca="1">'PCB Custom'!BY7</f>
        <v/>
      </c>
    </row>
    <row r="41" spans="1:76" x14ac:dyDescent="0.2">
      <c r="A41" s="29"/>
      <c r="B41" s="1"/>
      <c r="C41" s="1"/>
      <c r="D41" s="1"/>
      <c r="E41" s="1"/>
      <c r="F41" s="1"/>
      <c r="G41" s="1"/>
      <c r="H41" s="1"/>
      <c r="I41" s="1"/>
      <c r="Y41" s="1"/>
      <c r="BA41" s="602" t="s">
        <v>612</v>
      </c>
      <c r="BB41" s="724"/>
      <c r="BC41" s="368" t="s">
        <v>56</v>
      </c>
      <c r="BD41" s="42">
        <v>4</v>
      </c>
      <c r="BE41" s="55" t="e">
        <f ca="1">(BJ27&lt;&gt;0)+0</f>
        <v>#VALUE!</v>
      </c>
      <c r="BF41" s="56" t="e">
        <f ca="1">BJ27</f>
        <v>#VALUE!</v>
      </c>
      <c r="BG41" s="56">
        <f>IF(H32="(mm)",FIXED(F32/25.4,3),F32)</f>
        <v>0.125</v>
      </c>
      <c r="BH41" s="52"/>
      <c r="BI41" s="52" t="e">
        <f ca="1">IF(BE41=1,0.125,IF(H32="(mm)",FIXED(F32/25.4,3),F32))</f>
        <v>#VALUE!</v>
      </c>
      <c r="BJ41" s="55"/>
      <c r="BK41" s="52">
        <f>IF(F33="Yes",0.062,0)</f>
        <v>0</v>
      </c>
      <c r="BL41" s="52"/>
      <c r="BM41" s="34"/>
      <c r="BN41" s="53" t="s">
        <v>36</v>
      </c>
      <c r="BO41" s="53"/>
      <c r="BP41" s="53"/>
      <c r="BQ41" s="53"/>
      <c r="BR41" s="54"/>
      <c r="BS41" s="54"/>
      <c r="BT41" s="54"/>
      <c r="BU41" s="54"/>
      <c r="BV41" s="54"/>
      <c r="BW41" s="54"/>
    </row>
    <row r="42" spans="1:76" x14ac:dyDescent="0.2">
      <c r="A42" s="57"/>
      <c r="B42" s="57"/>
      <c r="D42" s="58"/>
      <c r="E42" s="57"/>
      <c r="F42" s="57"/>
      <c r="G42" s="57"/>
      <c r="H42" s="57"/>
      <c r="I42" s="57"/>
      <c r="BA42" s="602" t="s">
        <v>610</v>
      </c>
      <c r="BB42" s="724"/>
      <c r="BC42" s="368" t="str">
        <f>IF(T25="Yes","Cust. Supplied PCB","Customer Designed")</f>
        <v>Customer Designed</v>
      </c>
      <c r="BD42" s="42">
        <v>5</v>
      </c>
      <c r="BE42" s="55"/>
      <c r="BF42" s="52"/>
      <c r="BG42" s="56">
        <f>BI42</f>
        <v>0.125</v>
      </c>
      <c r="BH42" s="52"/>
      <c r="BI42" s="56">
        <f>IF(H32="(mm)",FIXED(F32/25.4,3),F32)</f>
        <v>0.125</v>
      </c>
      <c r="BJ42" s="55"/>
      <c r="BK42" s="52">
        <v>0</v>
      </c>
      <c r="BL42" s="52"/>
      <c r="BM42" s="34"/>
      <c r="BN42" s="53" t="s">
        <v>36</v>
      </c>
      <c r="BO42" s="53"/>
      <c r="BP42" s="53"/>
      <c r="BQ42" s="53"/>
      <c r="BR42" s="54"/>
      <c r="BS42" s="54"/>
      <c r="BT42" s="54"/>
      <c r="BU42" s="54"/>
      <c r="BV42" s="54"/>
      <c r="BW42" s="54"/>
    </row>
    <row r="43" spans="1:76" x14ac:dyDescent="0.2">
      <c r="A43" s="57"/>
      <c r="B43" s="57"/>
      <c r="C43" s="57"/>
      <c r="D43" s="57"/>
      <c r="E43" s="57"/>
      <c r="F43" s="57"/>
      <c r="G43" s="57"/>
      <c r="H43" s="57"/>
      <c r="I43" s="57"/>
      <c r="BB43"/>
      <c r="BC43" s="5"/>
      <c r="BE43" s="3"/>
      <c r="BH43" s="4"/>
      <c r="BM43" s="5"/>
      <c r="BN43" s="59"/>
      <c r="BO43" s="59"/>
      <c r="BP43" s="59"/>
      <c r="BQ43" s="59"/>
      <c r="BR43" s="59"/>
      <c r="BS43" s="59"/>
      <c r="BT43" s="59"/>
    </row>
    <row r="44" spans="1:76" x14ac:dyDescent="0.2">
      <c r="A44" s="57"/>
      <c r="B44" s="57"/>
      <c r="C44" s="57"/>
      <c r="D44" s="57"/>
      <c r="E44" s="57"/>
      <c r="F44" s="57"/>
      <c r="G44" s="57"/>
      <c r="H44" s="57"/>
      <c r="I44" s="57"/>
      <c r="J44" s="57"/>
      <c r="K44" s="57"/>
      <c r="L44" s="57"/>
      <c r="M44" s="57"/>
      <c r="N44" s="57"/>
      <c r="O44" s="57"/>
    </row>
    <row r="45" spans="1:76" x14ac:dyDescent="0.2">
      <c r="A45" s="57"/>
      <c r="B45" s="57"/>
      <c r="C45" s="57"/>
      <c r="D45" s="57"/>
      <c r="E45" s="57"/>
      <c r="F45" s="57"/>
      <c r="G45" s="57"/>
      <c r="H45" s="57"/>
      <c r="I45" s="57"/>
      <c r="BB45" s="4"/>
    </row>
    <row r="46" spans="1:76" x14ac:dyDescent="0.2">
      <c r="A46" s="57"/>
      <c r="B46" s="57"/>
      <c r="C46" s="57"/>
      <c r="D46" s="57"/>
      <c r="E46" s="57"/>
      <c r="F46" s="57"/>
      <c r="G46" s="57"/>
      <c r="H46" s="57"/>
      <c r="I46" s="57"/>
      <c r="BB46" s="60"/>
    </row>
    <row r="47" spans="1:76" x14ac:dyDescent="0.2">
      <c r="A47" s="57"/>
      <c r="B47" s="57"/>
      <c r="C47" s="57"/>
      <c r="D47" s="57"/>
      <c r="E47" s="57"/>
      <c r="F47" s="57"/>
      <c r="G47" s="57"/>
      <c r="H47" s="57"/>
      <c r="I47" s="57"/>
      <c r="Y47" s="57"/>
      <c r="BB47" s="25" t="s">
        <v>657</v>
      </c>
      <c r="BC47" s="769"/>
      <c r="BD47" s="769"/>
    </row>
    <row r="48" spans="1:76" x14ac:dyDescent="0.2">
      <c r="A48" s="57"/>
      <c r="B48" s="57" t="s">
        <v>57</v>
      </c>
      <c r="C48" s="57"/>
      <c r="D48" s="57"/>
      <c r="E48" s="57"/>
      <c r="F48" s="57"/>
      <c r="G48" s="57"/>
      <c r="H48" s="57"/>
      <c r="I48" s="57"/>
      <c r="J48" s="57"/>
      <c r="K48" s="57"/>
      <c r="L48" s="57"/>
      <c r="M48" s="57"/>
      <c r="N48" s="57"/>
      <c r="O48" s="57"/>
      <c r="P48" s="57"/>
      <c r="Y48" s="57"/>
      <c r="BA48" s="708"/>
      <c r="BB48" s="770"/>
      <c r="BC48" s="771"/>
      <c r="BD48" s="771"/>
      <c r="BE48" s="709"/>
      <c r="BF48" s="709"/>
      <c r="BG48" s="710"/>
    </row>
    <row r="49" spans="1:59" x14ac:dyDescent="0.2">
      <c r="A49" s="57"/>
      <c r="B49" s="57" t="s">
        <v>58</v>
      </c>
      <c r="C49" s="57"/>
      <c r="D49" s="57"/>
      <c r="E49" s="57"/>
      <c r="F49" s="57"/>
      <c r="G49" s="57"/>
      <c r="H49" s="57"/>
      <c r="I49" s="57"/>
      <c r="J49" s="57"/>
      <c r="K49" s="57"/>
      <c r="L49" s="57"/>
      <c r="M49" s="57"/>
      <c r="N49" s="57"/>
      <c r="O49" s="57"/>
      <c r="P49" s="57"/>
      <c r="Y49" s="57"/>
      <c r="BA49" s="711" t="s">
        <v>637</v>
      </c>
      <c r="BB49" s="695"/>
      <c r="BC49" s="1403" t="s">
        <v>502</v>
      </c>
      <c r="BD49" s="1403"/>
      <c r="BE49" s="1403" t="s">
        <v>635</v>
      </c>
      <c r="BF49" s="1404"/>
      <c r="BG49" s="712"/>
    </row>
    <row r="50" spans="1:59" x14ac:dyDescent="0.2">
      <c r="A50" s="57"/>
      <c r="B50" s="57" t="s">
        <v>59</v>
      </c>
      <c r="C50" s="57"/>
      <c r="D50" s="57"/>
      <c r="E50" s="57"/>
      <c r="F50" s="57"/>
      <c r="G50" s="57"/>
      <c r="H50" s="57"/>
      <c r="I50" s="57"/>
      <c r="J50" s="57"/>
      <c r="K50" s="57"/>
      <c r="L50" s="57"/>
      <c r="M50" s="57"/>
      <c r="N50" s="57"/>
      <c r="O50" s="57"/>
      <c r="P50" s="57"/>
      <c r="Y50" s="57"/>
      <c r="BA50" s="711"/>
      <c r="BB50" s="679" t="s">
        <v>634</v>
      </c>
      <c r="BC50" s="680" t="s">
        <v>532</v>
      </c>
      <c r="BD50" s="680" t="s">
        <v>41</v>
      </c>
      <c r="BE50" s="680" t="s">
        <v>532</v>
      </c>
      <c r="BF50" s="681" t="s">
        <v>41</v>
      </c>
      <c r="BG50" s="712"/>
    </row>
    <row r="51" spans="1:59" x14ac:dyDescent="0.2">
      <c r="A51" s="57"/>
      <c r="B51" s="57"/>
      <c r="C51" s="57"/>
      <c r="D51" s="57"/>
      <c r="E51" s="57"/>
      <c r="F51" s="57"/>
      <c r="G51" s="57"/>
      <c r="H51" s="57"/>
      <c r="I51" s="57"/>
      <c r="J51" s="57"/>
      <c r="K51" s="57"/>
      <c r="L51" s="57"/>
      <c r="M51" s="57"/>
      <c r="N51" s="57"/>
      <c r="O51" s="57"/>
      <c r="P51" s="57"/>
      <c r="Q51" s="57"/>
      <c r="R51" s="61"/>
      <c r="S51" s="61"/>
      <c r="T51" s="61"/>
      <c r="U51" s="61"/>
      <c r="V51" s="11"/>
      <c r="W51" s="61"/>
      <c r="X51" s="61"/>
      <c r="Y51" s="61"/>
      <c r="BA51" s="711"/>
      <c r="BB51" s="682" t="s">
        <v>504</v>
      </c>
      <c r="BC51" s="683">
        <f ca="1">OR(Test_SParam_Obj="Core Only",Test_SParam_Obj="Core/Board")*(Pinlist_RF_total&gt;0)*(Test_SParam_Freq="Every Article")*Pinlist_RF_total</f>
        <v>0</v>
      </c>
      <c r="BD51" s="683">
        <f ca="1">OR(Test_SParam_Obj="PCB Only",Test_SParam_Obj="Core/Board")*(Pinlist_RF_total&gt;0)*(Test_SParam_Freq="Every Article")*Pinlist_RF_total</f>
        <v>0</v>
      </c>
      <c r="BE51" s="683">
        <v>0</v>
      </c>
      <c r="BF51" s="684">
        <v>0</v>
      </c>
      <c r="BG51" s="712"/>
    </row>
    <row r="52" spans="1:59" x14ac:dyDescent="0.2">
      <c r="A52" s="6"/>
      <c r="B52" s="57" t="s">
        <v>60</v>
      </c>
      <c r="C52" s="57"/>
      <c r="D52" s="57"/>
      <c r="E52" s="1392">
        <f ca="1">TODAY()</f>
        <v>42339</v>
      </c>
      <c r="F52" s="1393"/>
      <c r="G52" s="57" t="s">
        <v>61</v>
      </c>
      <c r="H52" s="57"/>
      <c r="I52" s="57"/>
      <c r="J52" s="57"/>
      <c r="K52" s="57"/>
      <c r="L52" s="57"/>
      <c r="M52" s="57"/>
      <c r="N52" s="57"/>
      <c r="O52" s="57"/>
      <c r="P52" s="57"/>
      <c r="Q52" s="6"/>
      <c r="R52" s="11"/>
      <c r="S52" s="11"/>
      <c r="T52" s="11"/>
      <c r="U52" s="11"/>
      <c r="V52" s="11"/>
      <c r="W52" s="11"/>
      <c r="X52" s="11"/>
      <c r="Y52" s="11"/>
      <c r="BA52" s="711"/>
      <c r="BB52" s="577" t="s">
        <v>631</v>
      </c>
      <c r="BC52" s="683">
        <f ca="1">OR(Test_RTime_Obj="Core Only",Test_RTime_Obj="Core/Board")*(Pinlist_RF_total&gt;0)*(Test_RTime_Freq="Every Article")*Pinlist_RF_total</f>
        <v>0</v>
      </c>
      <c r="BD52" s="683">
        <f ca="1">OR(Test_RTime_Obj="PCB Only",Test_RTime_Obj="Core/Board")*(Pinlist_RF_total&gt;0)*(Test_RTime_Freq="Every Article")*Pinlist_RF_total</f>
        <v>0</v>
      </c>
      <c r="BE52" s="683">
        <f ca="1">OR(Test_RTime_Obj="Core Only",Test_RTime_Obj="Core/Board")*(Pinlist_RF_total&gt;0)*(Test_RTime_Freq="First Article Only")*Pinlist_RF_total</f>
        <v>0</v>
      </c>
      <c r="BF52" s="684">
        <f ca="1">OR(Test_RTime_Obj="PCB Only",Test_RTime_Obj="Core/Board")*(Pinlist_RF_total&gt;0)*(Test_RTime_Freq="First Article Only")*Pinlist_RF_total</f>
        <v>0</v>
      </c>
      <c r="BG52" s="712"/>
    </row>
    <row r="53" spans="1:59" x14ac:dyDescent="0.2">
      <c r="C53" s="116" t="s">
        <v>856</v>
      </c>
      <c r="D53" s="1217" t="s">
        <v>857</v>
      </c>
      <c r="E53" s="57"/>
      <c r="F53" s="57"/>
      <c r="G53" s="57"/>
      <c r="H53" s="57"/>
      <c r="I53" s="57"/>
      <c r="J53" s="57"/>
      <c r="K53" s="57"/>
      <c r="L53" s="57"/>
      <c r="M53" s="61"/>
      <c r="N53" s="61"/>
      <c r="O53" s="57"/>
      <c r="P53" s="57"/>
      <c r="Q53" s="6"/>
      <c r="R53" s="11"/>
      <c r="S53" s="11"/>
      <c r="T53" s="11"/>
      <c r="U53" s="11"/>
      <c r="V53" s="11"/>
      <c r="W53" s="11"/>
      <c r="X53" s="11"/>
      <c r="Y53" s="11"/>
      <c r="BA53" s="711"/>
      <c r="BB53" s="577" t="s">
        <v>632</v>
      </c>
      <c r="BC53" s="683">
        <f ca="1">OR(Test_LM_Obj="Core Only",Test_LM_Obj="Core/Board")*(Pinlist_RF_total&gt;0)*(Test_LM_Freq="Every Article")*Pinlist_RF_total</f>
        <v>0</v>
      </c>
      <c r="BD53" s="683">
        <f ca="1">OR(Test_LM_Obj="PCB Only",Test_LM_Obj="Core/Board")*(Pinlist_RF_total&gt;0)*(Test_LM_Freq="Every Article")*Pinlist_RF_total</f>
        <v>0</v>
      </c>
      <c r="BE53" s="683">
        <f ca="1">OR(Test_LM_Obj="Core Only",Test_LM_Obj="Core/Board")*(Pinlist_RF_total&gt;0)*(Test_LM_Freq="First Article Only")*Pinlist_RF_total</f>
        <v>0</v>
      </c>
      <c r="BF53" s="684">
        <f ca="1">OR(Test_LM_Obj="PCB Only",Test_LM_Obj="Core/Board")*(Pinlist_RF_total&gt;0)*(Test_LM_Freq="First Article Only")*Pinlist_RF_total</f>
        <v>0</v>
      </c>
      <c r="BG53" s="712"/>
    </row>
    <row r="54" spans="1:59" x14ac:dyDescent="0.2">
      <c r="C54" s="6"/>
      <c r="D54" s="6"/>
      <c r="E54" s="6"/>
      <c r="F54" s="6"/>
      <c r="G54" s="6"/>
      <c r="H54" s="6"/>
      <c r="I54" s="6"/>
      <c r="J54" s="6"/>
      <c r="K54" s="6"/>
      <c r="L54" s="6"/>
      <c r="M54" s="6"/>
      <c r="N54" s="6"/>
      <c r="O54" s="5"/>
      <c r="P54" s="5"/>
      <c r="Q54" s="5"/>
      <c r="U54" s="11"/>
      <c r="V54" s="11"/>
      <c r="W54" s="11"/>
      <c r="X54" s="11"/>
      <c r="Y54" s="11"/>
      <c r="BA54" s="711"/>
      <c r="BB54" s="685" t="s">
        <v>633</v>
      </c>
      <c r="BC54" s="686">
        <f ca="1">OR(Test_Imp_Obj="Core Only",Test_Imp_Obj="Core/Board")*(Pinlist_RF_total&gt;0)*(Test_Imp_Freq="Every Article")*Pinlist_RF_total</f>
        <v>0</v>
      </c>
      <c r="BD54" s="686">
        <f ca="1">OR(Test_Imp_Obj="PCB Only",Test_Imp_Obj="Core/Board")*(Pinlist_RF_total&gt;0)*(Test_Imp_Freq="Every Article")*Pinlist_RF_total</f>
        <v>0</v>
      </c>
      <c r="BE54" s="686">
        <f ca="1">OR(Test_Imp_Obj="Core Only",Test_Imp_Obj="Core/Board")*(Pinlist_RF_total&gt;0)*(Test_Imp_Freq="First Article Only")*Pinlist_RF_total</f>
        <v>0</v>
      </c>
      <c r="BF54" s="687">
        <f ca="1">OR(Test_Imp_Obj="PCB Only",Test_Imp_Obj="Core/Board")*(Pinlist_RF_total&gt;0)*(Test_Imp_Freq="First Article Only")*Pinlist_RF_total</f>
        <v>0</v>
      </c>
      <c r="BG54" s="712"/>
    </row>
    <row r="55" spans="1:59" x14ac:dyDescent="0.2">
      <c r="C55" s="6"/>
      <c r="D55" s="6"/>
      <c r="E55" s="6"/>
      <c r="F55" s="6"/>
      <c r="G55" s="6"/>
      <c r="H55" s="6"/>
      <c r="I55" s="6"/>
      <c r="J55" s="6"/>
      <c r="K55" s="6"/>
      <c r="L55" s="6"/>
      <c r="M55" s="6"/>
      <c r="N55" s="6"/>
      <c r="O55" s="5"/>
      <c r="P55" s="5"/>
      <c r="Q55" s="5"/>
      <c r="U55" s="11"/>
      <c r="V55" s="11"/>
      <c r="W55" s="11"/>
      <c r="X55" s="11"/>
      <c r="Y55" s="11"/>
      <c r="BA55" s="711"/>
      <c r="BB55" s="707"/>
      <c r="BC55" s="707"/>
      <c r="BD55" s="707"/>
      <c r="BE55" s="707"/>
      <c r="BF55" s="707"/>
      <c r="BG55" s="712"/>
    </row>
    <row r="56" spans="1:59" x14ac:dyDescent="0.2">
      <c r="C56" s="6"/>
      <c r="D56" s="6"/>
      <c r="E56" s="6"/>
      <c r="F56" s="6"/>
      <c r="G56" s="6"/>
      <c r="H56" s="6"/>
      <c r="I56" s="6"/>
      <c r="J56" s="6"/>
      <c r="K56" s="6"/>
      <c r="L56" s="6"/>
      <c r="M56" s="6"/>
      <c r="N56" s="6"/>
      <c r="O56" s="5"/>
      <c r="P56" s="5"/>
      <c r="Q56" s="5"/>
      <c r="U56" s="11"/>
      <c r="V56" s="11"/>
      <c r="W56" s="11"/>
      <c r="X56" s="11"/>
      <c r="Y56" s="11"/>
      <c r="BA56" s="713"/>
      <c r="BB56" s="569"/>
      <c r="BC56" s="714"/>
      <c r="BD56" s="714"/>
      <c r="BE56" s="567"/>
      <c r="BF56" s="567"/>
      <c r="BG56" s="712"/>
    </row>
    <row r="57" spans="1:59" x14ac:dyDescent="0.2">
      <c r="O57" s="5"/>
      <c r="P57" s="5"/>
      <c r="Q57" s="5"/>
      <c r="U57" s="11"/>
      <c r="V57" s="11"/>
      <c r="W57" s="11"/>
      <c r="X57" s="11"/>
      <c r="Y57" s="11"/>
      <c r="BA57" s="711" t="s">
        <v>658</v>
      </c>
      <c r="BB57" s="695" t="s">
        <v>654</v>
      </c>
      <c r="BC57" s="704" t="s">
        <v>639</v>
      </c>
      <c r="BD57" s="696"/>
      <c r="BE57" s="696"/>
      <c r="BF57" s="697"/>
      <c r="BG57" s="712"/>
    </row>
    <row r="58" spans="1:59" x14ac:dyDescent="0.2">
      <c r="O58" s="5"/>
      <c r="P58" s="5"/>
      <c r="Q58" s="5"/>
      <c r="U58" s="11"/>
      <c r="V58" s="11"/>
      <c r="W58" s="11"/>
      <c r="X58" s="11"/>
      <c r="Y58" s="11"/>
      <c r="BA58" s="711"/>
      <c r="BB58" s="705" t="str">
        <f>""&amp;E16</f>
        <v/>
      </c>
      <c r="BC58" s="702" t="s">
        <v>655</v>
      </c>
      <c r="BD58" s="698" t="str">
        <f>""&amp;F9</f>
        <v/>
      </c>
      <c r="BE58" s="707"/>
      <c r="BF58" s="699"/>
      <c r="BG58" s="712"/>
    </row>
    <row r="59" spans="1:59" x14ac:dyDescent="0.2">
      <c r="O59" s="5"/>
      <c r="P59" s="5"/>
      <c r="Q59" s="5"/>
      <c r="U59" s="11"/>
      <c r="V59" s="11"/>
      <c r="W59" s="11"/>
      <c r="X59" s="11"/>
      <c r="Y59" s="11"/>
      <c r="BA59" s="711"/>
      <c r="BB59" s="705" t="str">
        <f>""&amp;E17</f>
        <v/>
      </c>
      <c r="BC59" s="703" t="s">
        <v>15</v>
      </c>
      <c r="BD59" s="707" t="str">
        <f>""&amp;F11</f>
        <v/>
      </c>
      <c r="BE59" s="707"/>
      <c r="BF59" s="699"/>
      <c r="BG59" s="712"/>
    </row>
    <row r="60" spans="1:59" x14ac:dyDescent="0.2">
      <c r="O60" s="5"/>
      <c r="P60" s="5"/>
      <c r="Q60" s="5"/>
      <c r="U60" s="11"/>
      <c r="V60" s="11"/>
      <c r="W60" s="11"/>
      <c r="X60" s="11"/>
      <c r="Y60" s="11"/>
      <c r="BA60" s="711"/>
      <c r="BB60" s="705" t="str">
        <f>""&amp;E18</f>
        <v/>
      </c>
      <c r="BC60" s="702" t="s">
        <v>17</v>
      </c>
      <c r="BD60" s="707" t="str">
        <f>""&amp;F12</f>
        <v/>
      </c>
      <c r="BE60" s="707"/>
      <c r="BF60" s="699"/>
      <c r="BG60" s="712"/>
    </row>
    <row r="61" spans="1:59" x14ac:dyDescent="0.2">
      <c r="O61" s="5"/>
      <c r="P61" s="5"/>
      <c r="Q61" s="5"/>
      <c r="U61" s="11"/>
      <c r="V61" s="11"/>
      <c r="W61" s="11"/>
      <c r="X61" s="11"/>
      <c r="Y61" s="11"/>
      <c r="BA61" s="711"/>
      <c r="BB61" s="705" t="str">
        <f>""&amp;E19</f>
        <v/>
      </c>
      <c r="BC61" s="702" t="s">
        <v>656</v>
      </c>
      <c r="BD61" s="698" t="str">
        <f>""&amp;S19</f>
        <v/>
      </c>
      <c r="BE61" s="707"/>
      <c r="BF61" s="699"/>
      <c r="BG61" s="712"/>
    </row>
    <row r="62" spans="1:59" x14ac:dyDescent="0.2">
      <c r="O62" s="5"/>
      <c r="P62" s="5"/>
      <c r="Q62" s="5"/>
      <c r="U62" s="11"/>
      <c r="V62" s="11"/>
      <c r="W62" s="11"/>
      <c r="X62" s="11"/>
      <c r="Y62" s="11"/>
      <c r="BA62" s="711"/>
      <c r="BB62" s="706" t="str">
        <f>""&amp;E20</f>
        <v/>
      </c>
      <c r="BC62" s="700"/>
      <c r="BD62" s="700"/>
      <c r="BE62" s="700"/>
      <c r="BF62" s="701"/>
      <c r="BG62" s="712"/>
    </row>
    <row r="63" spans="1:59" x14ac:dyDescent="0.2">
      <c r="O63" s="5"/>
      <c r="P63" s="5"/>
      <c r="Q63" s="5"/>
      <c r="U63" s="11"/>
      <c r="V63" s="11"/>
      <c r="W63" s="11"/>
      <c r="X63" s="11"/>
      <c r="Y63" s="11"/>
      <c r="BA63" s="711" t="s">
        <v>653</v>
      </c>
      <c r="BB63" s="702"/>
      <c r="BC63" s="698"/>
      <c r="BD63" s="707"/>
      <c r="BE63" s="707"/>
      <c r="BF63" s="707"/>
      <c r="BG63" s="712"/>
    </row>
    <row r="64" spans="1:59" x14ac:dyDescent="0.2">
      <c r="O64" s="6"/>
      <c r="P64" s="6"/>
      <c r="Q64" s="6"/>
      <c r="R64" s="11"/>
      <c r="S64" s="11"/>
      <c r="T64" s="11"/>
      <c r="U64" s="11"/>
      <c r="V64" s="11"/>
      <c r="W64" s="11"/>
      <c r="X64" s="11"/>
      <c r="Y64" s="11"/>
      <c r="BA64" s="711"/>
      <c r="BB64" s="616"/>
      <c r="BC64" s="698"/>
      <c r="BD64" s="680" t="s">
        <v>280</v>
      </c>
      <c r="BE64" s="707" t="b">
        <f>LEN(BC65)&gt;0</f>
        <v>1</v>
      </c>
      <c r="BF64" s="707"/>
      <c r="BG64" s="712"/>
    </row>
    <row r="65" spans="1:61" x14ac:dyDescent="0.2">
      <c r="O65" s="6"/>
      <c r="P65" s="6"/>
      <c r="Q65" s="6"/>
      <c r="R65" s="11"/>
      <c r="S65" s="11"/>
      <c r="T65" s="11"/>
      <c r="U65" s="11"/>
      <c r="V65" s="11"/>
      <c r="W65" s="11"/>
      <c r="X65" s="11"/>
      <c r="Y65" s="11"/>
      <c r="BA65" s="711" t="s">
        <v>640</v>
      </c>
      <c r="BB65" s="688" t="s">
        <v>638</v>
      </c>
      <c r="BC65" s="689" t="str">
        <f>IF(E26="Pyramid Core",IF(ISNUMBER(FIND(" ",coreSize)),LEFT(coreSize,FIND(" ",coreSize)-1),coreSize),"")</f>
        <v>RFC</v>
      </c>
      <c r="BD65" s="696"/>
      <c r="BE65" s="697"/>
      <c r="BF65" s="707"/>
      <c r="BG65" s="712"/>
    </row>
    <row r="66" spans="1:61" x14ac:dyDescent="0.2">
      <c r="O66" s="5"/>
      <c r="P66" s="6"/>
      <c r="Q66" s="6"/>
      <c r="R66" s="11"/>
      <c r="S66" s="11"/>
      <c r="T66" s="11"/>
      <c r="U66" s="11"/>
      <c r="V66" s="11"/>
      <c r="W66" s="11"/>
      <c r="X66" s="11"/>
      <c r="Y66" s="11"/>
      <c r="BA66" s="711"/>
      <c r="BB66" s="685" t="s">
        <v>636</v>
      </c>
      <c r="BC66" s="690" t="str">
        <f ca="1">IF(BE64,"CORE,"&amp;BC65&amp;","&amp;DUT!T1&amp;",x"&amp;siteQty&amp;IF(Pinlist_RF40+Pinlist_RF80&gt;0,"mW",""),"")</f>
        <v>CORE,RFC,,x1</v>
      </c>
      <c r="BD66" s="700"/>
      <c r="BE66" s="701"/>
      <c r="BF66" s="707"/>
      <c r="BG66" s="712"/>
    </row>
    <row r="67" spans="1:61" x14ac:dyDescent="0.2">
      <c r="O67" s="5"/>
      <c r="P67" s="6"/>
      <c r="Q67" s="6"/>
      <c r="R67" s="11"/>
      <c r="S67" s="11"/>
      <c r="T67" s="11"/>
      <c r="U67" s="11"/>
      <c r="V67" s="11"/>
      <c r="W67" s="11"/>
      <c r="X67" s="11"/>
      <c r="Y67" s="11"/>
      <c r="BA67" s="711"/>
      <c r="BB67" s="707"/>
      <c r="BC67" s="707"/>
      <c r="BD67" s="707"/>
      <c r="BE67" s="707"/>
      <c r="BF67" s="707"/>
      <c r="BG67" s="712"/>
    </row>
    <row r="68" spans="1:61" x14ac:dyDescent="0.2">
      <c r="O68" s="5"/>
      <c r="P68" s="6"/>
      <c r="Q68" s="6"/>
      <c r="R68" s="11"/>
      <c r="S68" s="11"/>
      <c r="T68" s="11"/>
      <c r="U68" s="11"/>
      <c r="V68" s="11"/>
      <c r="W68" s="11"/>
      <c r="X68" s="11"/>
      <c r="Y68" s="11"/>
      <c r="BA68" s="711"/>
      <c r="BB68" s="707"/>
      <c r="BC68" s="698"/>
      <c r="BD68" s="707"/>
      <c r="BE68" s="707"/>
      <c r="BF68" s="707"/>
      <c r="BG68" s="712"/>
    </row>
    <row r="69" spans="1:61" x14ac:dyDescent="0.2">
      <c r="O69" s="5"/>
      <c r="P69" s="6"/>
      <c r="Q69" s="6"/>
      <c r="R69" s="11"/>
      <c r="S69" s="11"/>
      <c r="T69" s="11"/>
      <c r="U69" s="11"/>
      <c r="V69" s="11"/>
      <c r="W69" s="11"/>
      <c r="X69" s="11"/>
      <c r="Y69" s="11"/>
      <c r="BA69" s="711"/>
      <c r="BB69" s="616"/>
      <c r="BC69" s="707"/>
      <c r="BD69" s="680" t="s">
        <v>280</v>
      </c>
      <c r="BE69" s="707" t="b">
        <f>LEN(BC70)&gt;0</f>
        <v>0</v>
      </c>
      <c r="BF69" s="707"/>
      <c r="BG69" s="712"/>
    </row>
    <row r="70" spans="1:61" x14ac:dyDescent="0.2">
      <c r="C70" s="6"/>
      <c r="D70" s="6"/>
      <c r="E70" s="6"/>
      <c r="F70" s="6"/>
      <c r="G70" s="6"/>
      <c r="H70" s="5"/>
      <c r="I70" s="5"/>
      <c r="J70" s="6"/>
      <c r="K70" s="6"/>
      <c r="L70" s="6"/>
      <c r="M70" s="6"/>
      <c r="N70" s="6"/>
      <c r="O70" s="5"/>
      <c r="P70" s="6"/>
      <c r="Q70" s="6"/>
      <c r="R70" s="11"/>
      <c r="S70" s="11"/>
      <c r="T70" s="11"/>
      <c r="U70" s="11"/>
      <c r="V70" s="11"/>
      <c r="W70" s="11"/>
      <c r="X70" s="11"/>
      <c r="Y70" s="11"/>
      <c r="BA70" s="711" t="s">
        <v>659</v>
      </c>
      <c r="BB70" s="688" t="s">
        <v>641</v>
      </c>
      <c r="BC70" s="689" t="str">
        <f>IF(E29="Configured",'PCB Config'!F6,"")</f>
        <v/>
      </c>
      <c r="BD70" s="696"/>
      <c r="BE70" s="697"/>
      <c r="BF70" s="707"/>
      <c r="BG70" s="712"/>
    </row>
    <row r="71" spans="1:61" x14ac:dyDescent="0.2">
      <c r="C71" s="6"/>
      <c r="D71" s="6"/>
      <c r="E71" s="6"/>
      <c r="F71" s="6"/>
      <c r="G71" s="6"/>
      <c r="H71" s="5"/>
      <c r="I71" s="5"/>
      <c r="J71" s="6"/>
      <c r="K71" s="6"/>
      <c r="L71" s="6"/>
      <c r="M71" s="6"/>
      <c r="N71" s="6"/>
      <c r="O71" s="5"/>
      <c r="P71" s="6"/>
      <c r="Q71" s="6"/>
      <c r="R71" s="11"/>
      <c r="S71" s="11"/>
      <c r="T71" s="11"/>
      <c r="U71" s="11"/>
      <c r="V71" s="11"/>
      <c r="W71" s="11"/>
      <c r="X71" s="11"/>
      <c r="Y71" s="11"/>
      <c r="BA71" s="711"/>
      <c r="BB71" s="577" t="s">
        <v>636</v>
      </c>
      <c r="BC71" s="707" t="str">
        <f>IF(BE69,"PBA,"&amp;BC70&amp;","&amp;DUT!T1&amp;",x"&amp;siteQty&amp;IF(Pinlist_RF40+Pinlist_RF80&gt;0,"mW",""),"")</f>
        <v/>
      </c>
      <c r="BD71" s="707"/>
      <c r="BE71" s="699"/>
      <c r="BF71" s="707"/>
      <c r="BG71" s="712"/>
    </row>
    <row r="72" spans="1:61" x14ac:dyDescent="0.2">
      <c r="C72" s="6"/>
      <c r="D72" s="6"/>
      <c r="E72" s="6"/>
      <c r="F72" s="6"/>
      <c r="G72" s="6"/>
      <c r="H72" s="5"/>
      <c r="I72" s="5"/>
      <c r="J72" s="6"/>
      <c r="K72" s="6"/>
      <c r="L72" s="6"/>
      <c r="M72" s="6"/>
      <c r="N72" s="6"/>
      <c r="O72" s="5"/>
      <c r="P72" s="6"/>
      <c r="Q72" s="6"/>
      <c r="R72" s="11"/>
      <c r="S72" s="11"/>
      <c r="T72" s="11"/>
      <c r="U72" s="11"/>
      <c r="V72" s="62"/>
      <c r="W72" s="11"/>
      <c r="X72" s="11"/>
      <c r="Y72" s="11"/>
      <c r="BA72" s="711"/>
      <c r="BB72" s="691" t="s">
        <v>642</v>
      </c>
      <c r="BC72" s="567" t="s">
        <v>643</v>
      </c>
      <c r="BD72" s="3" t="s">
        <v>663</v>
      </c>
      <c r="BE72" s="725"/>
      <c r="BF72" s="707"/>
      <c r="BG72" s="712"/>
      <c r="BI72" s="569"/>
    </row>
    <row r="73" spans="1:61" x14ac:dyDescent="0.2">
      <c r="A73" s="6"/>
      <c r="B73" s="5"/>
      <c r="C73" s="5"/>
      <c r="D73" s="5"/>
      <c r="E73" s="5"/>
      <c r="F73" s="6"/>
      <c r="G73" s="6"/>
      <c r="H73" s="5"/>
      <c r="I73" s="5"/>
      <c r="J73" s="6"/>
      <c r="K73" s="6"/>
      <c r="L73" s="6"/>
      <c r="M73" s="6"/>
      <c r="N73" s="6"/>
      <c r="O73" s="6"/>
      <c r="P73" s="6"/>
      <c r="Q73" s="6"/>
      <c r="R73" s="11"/>
      <c r="S73" s="62"/>
      <c r="T73" s="62"/>
      <c r="U73" s="62"/>
      <c r="V73" s="62"/>
      <c r="W73" s="62"/>
      <c r="X73" s="62"/>
      <c r="Y73" s="11"/>
      <c r="BA73" s="711"/>
      <c r="BB73" s="577" t="s">
        <v>628</v>
      </c>
      <c r="BC73" s="683">
        <f ca="1">IF(ISNUMBER(BD73),BD73,0)*$BE$69</f>
        <v>0</v>
      </c>
      <c r="BD73" s="683" t="e">
        <f ca="1">HLOOKUP(BB73,'PCB Config'!$E$26:$L$27,2,0)*$BE$69</f>
        <v>#N/A</v>
      </c>
      <c r="BE73" s="684"/>
      <c r="BF73" s="707"/>
      <c r="BG73" s="712"/>
    </row>
    <row r="74" spans="1:61" x14ac:dyDescent="0.2">
      <c r="A74" s="6"/>
      <c r="B74" s="5"/>
      <c r="C74" s="5"/>
      <c r="D74" s="5"/>
      <c r="E74" s="5"/>
      <c r="F74" s="5"/>
      <c r="G74" s="5"/>
      <c r="H74" s="5"/>
      <c r="I74" s="5"/>
      <c r="J74" s="5"/>
      <c r="K74" s="5"/>
      <c r="L74" s="5"/>
      <c r="M74" s="5"/>
      <c r="N74" s="5"/>
      <c r="O74" s="5"/>
      <c r="P74" s="5"/>
      <c r="Q74" s="5"/>
      <c r="R74" s="62"/>
      <c r="S74" s="62"/>
      <c r="T74" s="62"/>
      <c r="U74" s="62"/>
      <c r="V74" s="62"/>
      <c r="W74" s="62"/>
      <c r="X74" s="62"/>
      <c r="Y74" s="62"/>
      <c r="BA74" s="711"/>
      <c r="BB74" s="577" t="s">
        <v>629</v>
      </c>
      <c r="BC74" s="683">
        <f ca="1">IF(ISNUMBER(BD74),BD74,0)*$BE$69</f>
        <v>0</v>
      </c>
      <c r="BD74" s="683" t="e">
        <f ca="1">HLOOKUP(BB74,'PCB Config'!$E$26:$L$27,2,0)*$BE$69</f>
        <v>#N/A</v>
      </c>
      <c r="BE74" s="684"/>
      <c r="BF74" s="707"/>
      <c r="BG74" s="712"/>
    </row>
    <row r="75" spans="1:61" x14ac:dyDescent="0.2">
      <c r="A75" s="5"/>
      <c r="B75" s="5"/>
      <c r="C75" s="5"/>
      <c r="D75" s="5"/>
      <c r="E75" s="5"/>
      <c r="F75" s="5"/>
      <c r="G75" s="5"/>
      <c r="H75" s="5"/>
      <c r="I75" s="6"/>
      <c r="J75" s="5"/>
      <c r="K75" s="5"/>
      <c r="L75" s="5"/>
      <c r="M75" s="5"/>
      <c r="N75" s="5"/>
      <c r="O75" s="5"/>
      <c r="P75" s="5"/>
      <c r="Q75" s="5"/>
      <c r="R75" s="62"/>
      <c r="S75" s="62"/>
      <c r="T75" s="62"/>
      <c r="U75" s="62"/>
      <c r="W75" s="62"/>
      <c r="X75" s="62"/>
      <c r="Y75" s="62"/>
      <c r="BA75" s="711"/>
      <c r="BB75" s="577" t="s">
        <v>630</v>
      </c>
      <c r="BC75" s="683">
        <f ca="1">IF(ISNUMBER(BD75),BD75,0)*$BE$69</f>
        <v>0</v>
      </c>
      <c r="BD75" s="683" t="e">
        <f ca="1">HLOOKUP(BB75,'PCB Config'!$E$26:$L$27,2,0)*$BE$69</f>
        <v>#N/A</v>
      </c>
      <c r="BE75" s="684"/>
      <c r="BF75" s="707"/>
      <c r="BG75" s="712"/>
    </row>
    <row r="76" spans="1:61" x14ac:dyDescent="0.2">
      <c r="A76" s="5"/>
      <c r="B76" s="5"/>
      <c r="C76" s="5"/>
      <c r="D76" s="5"/>
      <c r="E76" s="5"/>
      <c r="F76" s="5"/>
      <c r="G76" s="5"/>
      <c r="H76" s="5"/>
      <c r="I76" s="5"/>
      <c r="J76" s="5"/>
      <c r="K76" s="5"/>
      <c r="L76" s="5"/>
      <c r="M76" s="5"/>
      <c r="N76" s="5"/>
      <c r="O76" s="5"/>
      <c r="P76" s="5"/>
      <c r="Q76" s="5"/>
      <c r="BA76" s="711"/>
      <c r="BB76" s="577" t="s">
        <v>329</v>
      </c>
      <c r="BC76" s="683">
        <f ca="1">IF(ISNUMBER(BD76),BD76,0)*$BE$69</f>
        <v>0</v>
      </c>
      <c r="BD76" s="683" t="e">
        <f ca="1">HLOOKUP(BB76,'PCB Config'!$E$26:$L$27,2,0)*$BE$69</f>
        <v>#N/A</v>
      </c>
      <c r="BE76" s="684"/>
      <c r="BF76" s="707"/>
      <c r="BG76" s="712"/>
    </row>
    <row r="77" spans="1:61" x14ac:dyDescent="0.2">
      <c r="A77" s="5"/>
      <c r="B77" s="5"/>
      <c r="C77" s="5"/>
      <c r="D77" s="5"/>
      <c r="E77" s="5"/>
      <c r="F77" s="5"/>
      <c r="G77" s="5"/>
      <c r="H77" s="5"/>
      <c r="I77" s="5"/>
      <c r="J77" s="5"/>
      <c r="K77" s="5"/>
      <c r="L77" s="5"/>
      <c r="M77" s="5"/>
      <c r="N77" s="5"/>
      <c r="O77" s="5"/>
      <c r="P77" s="5"/>
      <c r="Q77" s="5"/>
      <c r="BA77" s="711"/>
      <c r="BB77" s="577" t="s">
        <v>646</v>
      </c>
      <c r="BC77" s="683">
        <f>('PCB Config'!F20="Flush Mount")+0</f>
        <v>1</v>
      </c>
      <c r="BD77" s="707"/>
      <c r="BE77" s="699"/>
      <c r="BF77" s="707"/>
      <c r="BG77" s="712"/>
    </row>
    <row r="78" spans="1:61" x14ac:dyDescent="0.2">
      <c r="A78" s="5"/>
      <c r="B78" s="5"/>
      <c r="C78" s="5"/>
      <c r="D78" s="5"/>
      <c r="E78" s="5"/>
      <c r="F78" s="5"/>
      <c r="G78" s="5"/>
      <c r="H78" s="5"/>
      <c r="I78" s="5"/>
      <c r="J78" s="5"/>
      <c r="K78" s="5"/>
      <c r="L78" s="5"/>
      <c r="M78" s="5"/>
      <c r="N78" s="5"/>
      <c r="O78" s="5"/>
      <c r="P78" s="5"/>
      <c r="Q78" s="5"/>
      <c r="BA78" s="711"/>
      <c r="BB78" s="685" t="s">
        <v>647</v>
      </c>
      <c r="BC78" s="686">
        <f>('PCB Config'!G19="Yes")+0</f>
        <v>0</v>
      </c>
      <c r="BD78" s="700"/>
      <c r="BE78" s="701"/>
      <c r="BF78" s="707"/>
      <c r="BG78" s="712"/>
    </row>
    <row r="79" spans="1:61" x14ac:dyDescent="0.2">
      <c r="A79" s="5"/>
      <c r="B79" s="5"/>
      <c r="C79" s="5"/>
      <c r="D79" s="5"/>
      <c r="E79" s="5"/>
      <c r="F79" s="5"/>
      <c r="G79" s="5"/>
      <c r="H79" s="5"/>
      <c r="I79" s="5"/>
      <c r="J79" s="5"/>
      <c r="K79" s="5"/>
      <c r="L79" s="5"/>
      <c r="M79" s="5"/>
      <c r="N79" s="5"/>
      <c r="O79" s="5"/>
      <c r="P79" s="5"/>
      <c r="Q79" s="5"/>
      <c r="BA79" s="711"/>
      <c r="BB79" s="707"/>
      <c r="BC79" s="707"/>
      <c r="BD79" s="707"/>
      <c r="BE79" s="707"/>
      <c r="BF79" s="707"/>
      <c r="BG79" s="712"/>
    </row>
    <row r="80" spans="1:61" x14ac:dyDescent="0.2">
      <c r="A80" s="5"/>
      <c r="B80" s="5"/>
      <c r="C80" s="5"/>
      <c r="D80" s="5"/>
      <c r="E80" s="5"/>
      <c r="F80" s="5"/>
      <c r="G80" s="5"/>
      <c r="H80" s="5"/>
      <c r="I80" s="5"/>
      <c r="J80" s="5"/>
      <c r="K80" s="5"/>
      <c r="L80" s="5"/>
      <c r="M80" s="5"/>
      <c r="N80" s="5"/>
      <c r="O80" s="5"/>
      <c r="P80" s="5"/>
      <c r="Q80" s="5"/>
      <c r="BA80" s="711"/>
      <c r="BB80" s="616"/>
      <c r="BC80" s="698"/>
      <c r="BD80" s="680" t="s">
        <v>280</v>
      </c>
      <c r="BE80" s="707" t="b">
        <f>(T27="Yes")</f>
        <v>0</v>
      </c>
      <c r="BF80" s="707"/>
      <c r="BG80" s="712"/>
    </row>
    <row r="81" spans="53:59" x14ac:dyDescent="0.2">
      <c r="BA81" s="711" t="s">
        <v>644</v>
      </c>
      <c r="BB81" s="688" t="s">
        <v>645</v>
      </c>
      <c r="BC81" s="689" t="str">
        <f>IF(BE64,BC65,'Accel Fxtr'!G6)</f>
        <v>RFC</v>
      </c>
      <c r="BD81" s="696"/>
      <c r="BE81" s="697"/>
      <c r="BF81" s="707"/>
      <c r="BG81" s="712"/>
    </row>
    <row r="82" spans="53:59" x14ac:dyDescent="0.2">
      <c r="BA82" s="713"/>
      <c r="BB82" s="685" t="s">
        <v>636</v>
      </c>
      <c r="BC82" s="690" t="str">
        <f>IF(BE80,"Accel,"&amp;BC81&amp;","&amp;DUT!T1&amp;",x"&amp;siteQty,"")</f>
        <v/>
      </c>
      <c r="BD82" s="700"/>
      <c r="BE82" s="701"/>
      <c r="BF82" s="707"/>
      <c r="BG82" s="712"/>
    </row>
    <row r="83" spans="53:59" x14ac:dyDescent="0.2">
      <c r="BA83" s="1279"/>
      <c r="BG83" s="1278"/>
    </row>
    <row r="84" spans="53:59" x14ac:dyDescent="0.2">
      <c r="BA84" s="1277" t="s">
        <v>902</v>
      </c>
      <c r="BB84" s="1274"/>
      <c r="BC84" s="1274"/>
      <c r="BD84" s="1285" t="s">
        <v>903</v>
      </c>
      <c r="BE84" s="1276" t="b">
        <f ca="1">OR(SUMIF(DUT!R28:S75,"&gt;5000"),(SUMIF(Chart!BR5:BR63,"P*",Chart!BU5:BU63)&lt;&gt;COUNTA(DUT!R28:S75)))</f>
        <v>0</v>
      </c>
      <c r="BF84" s="1274"/>
      <c r="BG84" s="1278"/>
    </row>
    <row r="85" spans="53:59" x14ac:dyDescent="0.2">
      <c r="BA85" s="1279"/>
      <c r="BB85" s="1274"/>
      <c r="BC85" s="1274"/>
      <c r="BD85" s="1274"/>
      <c r="BE85" s="1274"/>
      <c r="BF85" s="1274"/>
      <c r="BG85" s="1278"/>
    </row>
    <row r="86" spans="53:59" x14ac:dyDescent="0.2">
      <c r="BA86" s="1279"/>
      <c r="BB86" s="1274"/>
      <c r="BC86" s="1274"/>
      <c r="BD86" s="1274"/>
      <c r="BE86" s="1274"/>
      <c r="BF86" s="1274"/>
      <c r="BG86" s="1278"/>
    </row>
    <row r="87" spans="53:59" x14ac:dyDescent="0.2">
      <c r="BA87" s="1279"/>
      <c r="BB87" s="1274"/>
      <c r="BC87" s="1274"/>
      <c r="BD87" s="1274"/>
      <c r="BE87" s="1274"/>
      <c r="BF87" s="1274"/>
      <c r="BG87" s="1278"/>
    </row>
    <row r="88" spans="53:59" x14ac:dyDescent="0.2">
      <c r="BA88" s="1280"/>
      <c r="BB88" s="1281"/>
      <c r="BC88" s="1282"/>
      <c r="BD88" s="1282"/>
      <c r="BE88" s="1283"/>
      <c r="BF88" s="1283"/>
      <c r="BG88" s="1284"/>
    </row>
    <row r="89" spans="53:59" x14ac:dyDescent="0.2">
      <c r="BA89" s="1275"/>
      <c r="BB89" s="1275"/>
      <c r="BC89" s="1275"/>
      <c r="BD89" s="1275"/>
      <c r="BE89" s="1275"/>
      <c r="BF89" s="1275"/>
      <c r="BG89" s="1275"/>
    </row>
  </sheetData>
  <sheetProtection password="CC3C" sheet="1" objects="1" scenarios="1" formatCells="0" selectLockedCells="1"/>
  <sortState ref="BI4:BI18">
    <sortCondition ref="BI4"/>
  </sortState>
  <mergeCells count="40">
    <mergeCell ref="U4:X4"/>
    <mergeCell ref="U5:X5"/>
    <mergeCell ref="U6:X6"/>
    <mergeCell ref="U2:X2"/>
    <mergeCell ref="U3:X3"/>
    <mergeCell ref="F13:L13"/>
    <mergeCell ref="E16:L16"/>
    <mergeCell ref="S10:Y10"/>
    <mergeCell ref="S11:Y11"/>
    <mergeCell ref="S12:Y12"/>
    <mergeCell ref="BE49:BF49"/>
    <mergeCell ref="E29:I29"/>
    <mergeCell ref="F31:H31"/>
    <mergeCell ref="BB18:BF18"/>
    <mergeCell ref="BB19:BF19"/>
    <mergeCell ref="BB20:BF20"/>
    <mergeCell ref="E21:L21"/>
    <mergeCell ref="E30:I30"/>
    <mergeCell ref="E26:I26"/>
    <mergeCell ref="Q35:Y35"/>
    <mergeCell ref="E20:L20"/>
    <mergeCell ref="BC49:BD49"/>
    <mergeCell ref="E18:L18"/>
    <mergeCell ref="E19:L19"/>
    <mergeCell ref="E17:L17"/>
    <mergeCell ref="E52:F52"/>
    <mergeCell ref="V25:Y25"/>
    <mergeCell ref="V27:Y27"/>
    <mergeCell ref="Q34:X34"/>
    <mergeCell ref="Q36:Y36"/>
    <mergeCell ref="Q37:Y37"/>
    <mergeCell ref="F32:G32"/>
    <mergeCell ref="F33:G33"/>
    <mergeCell ref="V29:Y29"/>
    <mergeCell ref="F9:L9"/>
    <mergeCell ref="F10:L10"/>
    <mergeCell ref="F11:L11"/>
    <mergeCell ref="F12:L12"/>
    <mergeCell ref="BC11:BD11"/>
    <mergeCell ref="S9:Y9"/>
  </mergeCells>
  <phoneticPr fontId="118" type="noConversion"/>
  <conditionalFormatting sqref="P36:Y37 P35:Q35">
    <cfRule type="expression" dxfId="230" priority="34" stopIfTrue="1">
      <formula>$Q$34&lt;&gt;$BB$20</formula>
    </cfRule>
  </conditionalFormatting>
  <conditionalFormatting sqref="V26:Y27">
    <cfRule type="expression" dxfId="229" priority="26" stopIfTrue="1">
      <formula>$T$27="No"</formula>
    </cfRule>
  </conditionalFormatting>
  <conditionalFormatting sqref="V24:Y25">
    <cfRule type="expression" dxfId="228" priority="25" stopIfTrue="1">
      <formula>Integration="No"</formula>
    </cfRule>
  </conditionalFormatting>
  <conditionalFormatting sqref="T25">
    <cfRule type="expression" dxfId="227" priority="51" stopIfTrue="1">
      <formula>($BC$13=FALSE)</formula>
    </cfRule>
  </conditionalFormatting>
  <conditionalFormatting sqref="U3:X3">
    <cfRule type="expression" dxfId="226" priority="54" stopIfTrue="1">
      <formula>AND($BD$37=4,ISBLANK($U$3))</formula>
    </cfRule>
  </conditionalFormatting>
  <conditionalFormatting sqref="Q26">
    <cfRule type="expression" dxfId="225" priority="56" stopIfTrue="1">
      <formula>AND($T$25="Yes",$BD$37=5)</formula>
    </cfRule>
  </conditionalFormatting>
  <conditionalFormatting sqref="E32:H32">
    <cfRule type="expression" dxfId="224" priority="57" stopIfTrue="1">
      <formula>$BD$37&lt;4</formula>
    </cfRule>
  </conditionalFormatting>
  <conditionalFormatting sqref="L33:M33">
    <cfRule type="expression" dxfId="223" priority="58" stopIfTrue="1">
      <formula>$BD$37&lt;&gt;3</formula>
    </cfRule>
  </conditionalFormatting>
  <conditionalFormatting sqref="E31:H31">
    <cfRule type="expression" dxfId="222" priority="61" stopIfTrue="1">
      <formula>$BD$37&lt;&gt;4</formula>
    </cfRule>
  </conditionalFormatting>
  <conditionalFormatting sqref="J26:K26">
    <cfRule type="expression" dxfId="221" priority="19" stopIfTrue="1">
      <formula>$BD$27&lt;&gt;2</formula>
    </cfRule>
  </conditionalFormatting>
  <conditionalFormatting sqref="J29:K29">
    <cfRule type="expression" dxfId="220" priority="16" stopIfTrue="1">
      <formula>$BB$37=""</formula>
    </cfRule>
  </conditionalFormatting>
  <conditionalFormatting sqref="C35:J39">
    <cfRule type="expression" dxfId="219" priority="8" stopIfTrue="1">
      <formula>OR(OR($F$33="No",$BD$37&lt;4),$BK$27&lt;&gt;1)</formula>
    </cfRule>
  </conditionalFormatting>
  <conditionalFormatting sqref="S25">
    <cfRule type="expression" dxfId="218" priority="7" stopIfTrue="1">
      <formula>($BC$13=FALSE)</formula>
    </cfRule>
  </conditionalFormatting>
  <conditionalFormatting sqref="U2:X2">
    <cfRule type="expression" dxfId="217" priority="6" stopIfTrue="1">
      <formula>AND($BD$27=3,ISBLANK($U$2))</formula>
    </cfRule>
  </conditionalFormatting>
  <conditionalFormatting sqref="A33:K33">
    <cfRule type="expression" dxfId="216" priority="5" stopIfTrue="1">
      <formula>OR($BD$37&lt;&gt;4,$BK$27&lt;&gt;1)</formula>
    </cfRule>
  </conditionalFormatting>
  <conditionalFormatting sqref="D30:I30">
    <cfRule type="expression" dxfId="215" priority="4" stopIfTrue="1">
      <formula>$BD$37&lt;&gt;5</formula>
    </cfRule>
  </conditionalFormatting>
  <conditionalFormatting sqref="V29:Y29">
    <cfRule type="expression" dxfId="214" priority="2" stopIfTrue="1">
      <formula>$T$29="No"</formula>
    </cfRule>
  </conditionalFormatting>
  <conditionalFormatting sqref="V28:Y28">
    <cfRule type="expression" dxfId="213" priority="1" stopIfTrue="1">
      <formula>$T$29="No"</formula>
    </cfRule>
  </conditionalFormatting>
  <dataValidations count="10">
    <dataValidation type="list" allowBlank="1" showInputMessage="1" showErrorMessage="1" errorTitle="Input Error!" error="Please select from drop down list" sqref="F33:G33">
      <formula1>"No,Yes"</formula1>
    </dataValidation>
    <dataValidation type="decimal" allowBlank="1" showInputMessage="1" showErrorMessage="1" errorTitle="Input Error!" error="Requires value in inches from 0 to 0.250 max" sqref="F32:G32">
      <formula1>0</formula1>
      <formula2>10</formula2>
    </dataValidation>
    <dataValidation type="list" allowBlank="1" showInputMessage="1" showErrorMessage="1" errorTitle="Input Error" error="Please select from list" sqref="F31:H31">
      <formula1>$BI$28:$BI$32</formula1>
    </dataValidation>
    <dataValidation type="list" allowBlank="1" showInputMessage="1" showErrorMessage="1" errorTitle="Input Error" error="Please select from list" sqref="E29:I29">
      <formula1>$BA$38:$BA$42</formula1>
    </dataValidation>
    <dataValidation type="list" allowBlank="1" showInputMessage="1" showErrorMessage="1" errorTitle="Input Error" error="Please select from list" sqref="E26:I26">
      <formula1>$BA$28:$BA$30</formula1>
    </dataValidation>
    <dataValidation type="list" allowBlank="1" showInputMessage="1" showErrorMessage="1" sqref="T27 T25 T29">
      <formula1>"No,Yes"</formula1>
    </dataValidation>
    <dataValidation type="list" errorStyle="information" allowBlank="1" showInputMessage="1" showErrorMessage="1" errorTitle="Please choose one from list." error="Please choose one from list." sqref="Q34:U34">
      <formula1>$BB$18:$BB$20</formula1>
    </dataValidation>
    <dataValidation type="list" allowBlank="1" showErrorMessage="1" errorTitle="Input Error!" error="Please select from list" sqref="H32">
      <formula1>"(Inch),(mm)"</formula1>
    </dataValidation>
    <dataValidation type="list" errorStyle="information" allowBlank="1" showInputMessage="1" showErrorMessage="1" errorTitle="Please choose one from list." error="Please choose one from list." sqref="U5:X5">
      <formula1>$BF$4:$BF$11</formula1>
    </dataValidation>
    <dataValidation type="list" errorStyle="information" allowBlank="1" showInputMessage="1" showErrorMessage="1" errorTitle="Please choose one from list." error="Please choose one from list." sqref="U6:X6">
      <formula1>$BI$4:$BI$17</formula1>
    </dataValidation>
  </dataValidations>
  <hyperlinks>
    <hyperlink ref="D53" r:id="rId1"/>
  </hyperlinks>
  <pageMargins left="0.75" right="0.75" top="1" bottom="1" header="0.5" footer="0.5"/>
  <pageSetup scale="84" orientation="portrait" horizontalDpi="4294967292" r:id="rId2"/>
  <headerFooter alignWithMargins="0">
    <oddFooter>&amp;LCQS# 730-02-0001
Rev C&amp;C&amp;8&amp;F&amp;R&amp;8Print Date: &amp;D
Time: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sheetPr>
  <dimension ref="A1:BZ70"/>
  <sheetViews>
    <sheetView showGridLines="0" showRowColHeaders="0" showZeros="0" zoomScale="85" zoomScaleNormal="85" workbookViewId="0">
      <selection activeCell="G6" sqref="G6:H6"/>
    </sheetView>
  </sheetViews>
  <sheetFormatPr defaultColWidth="8.85546875" defaultRowHeight="12.75" x14ac:dyDescent="0.2"/>
  <cols>
    <col min="1" max="1" width="1.7109375" style="57" customWidth="1"/>
    <col min="2" max="15" width="3.7109375" style="57" customWidth="1"/>
    <col min="16" max="21" width="3.7109375" style="66" customWidth="1"/>
    <col min="22" max="24" width="3.7109375" style="57" customWidth="1"/>
    <col min="25" max="25" width="1.7109375" style="301" customWidth="1"/>
    <col min="26" max="26" width="3.7109375" style="301" customWidth="1"/>
    <col min="27" max="52" width="8.85546875" style="57" customWidth="1"/>
    <col min="53" max="53" width="15.42578125" style="57" hidden="1" customWidth="1"/>
    <col min="54" max="55" width="5.7109375" style="57" hidden="1" customWidth="1"/>
    <col min="56" max="78" width="8.85546875" style="57" hidden="1" customWidth="1"/>
    <col min="79" max="16384" width="8.85546875" style="57"/>
  </cols>
  <sheetData>
    <row r="1" spans="1:58" s="66" customFormat="1" ht="13.5" thickBot="1" x14ac:dyDescent="0.25">
      <c r="A1" s="211"/>
      <c r="B1" s="300" t="str">
        <f>'Cover Page'!B4</f>
        <v xml:space="preserve"> Production Probes Design Capture Order Form</v>
      </c>
      <c r="C1" s="213"/>
      <c r="D1" s="213"/>
      <c r="E1" s="213"/>
      <c r="F1" s="213"/>
      <c r="G1" s="213"/>
      <c r="H1" s="213"/>
      <c r="I1" s="214"/>
      <c r="J1" s="214"/>
      <c r="K1" s="214"/>
      <c r="L1" s="214"/>
      <c r="M1" s="211"/>
      <c r="N1" s="838"/>
      <c r="O1" s="839"/>
      <c r="P1" s="873"/>
      <c r="Q1" s="874"/>
      <c r="R1" s="874"/>
      <c r="S1" s="873" t="s">
        <v>229</v>
      </c>
      <c r="T1" s="1298" t="str">
        <f>'Cover Page'!S19</f>
        <v/>
      </c>
      <c r="U1" s="876"/>
      <c r="V1" s="845"/>
      <c r="W1" s="845"/>
      <c r="X1" s="845"/>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B1" s="240"/>
      <c r="BC1" s="57"/>
    </row>
    <row r="2" spans="1:58" s="66" customFormat="1" ht="13.5" thickBot="1" x14ac:dyDescent="0.25">
      <c r="A2" s="211"/>
      <c r="B2" s="300" t="str">
        <f>'Cover Page'!B5</f>
        <v xml:space="preserve"> CQS-03-031-0001  R1.71</v>
      </c>
      <c r="C2" s="213"/>
      <c r="D2" s="213"/>
      <c r="E2" s="213"/>
      <c r="F2" s="213"/>
      <c r="G2" s="213"/>
      <c r="H2" s="213"/>
      <c r="I2" s="214"/>
      <c r="J2" s="214"/>
      <c r="K2" s="214"/>
      <c r="L2" s="214"/>
      <c r="M2" s="211"/>
      <c r="N2" s="838"/>
      <c r="O2" s="839"/>
      <c r="P2" s="877"/>
      <c r="Q2" s="874"/>
      <c r="R2" s="874"/>
      <c r="S2" s="873" t="str">
        <f ca="1">'Cover Page'!T2</f>
        <v>Core P/N:</v>
      </c>
      <c r="T2" s="894" t="str">
        <f>IF(ISBLANK('Cover Page'!U2),"",'Cover Page'!U2)</f>
        <v/>
      </c>
      <c r="U2" s="895"/>
      <c r="V2" s="896"/>
      <c r="W2" s="896"/>
      <c r="X2" s="896"/>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2" t="s">
        <v>1</v>
      </c>
      <c r="BB2" s="71"/>
      <c r="BC2" s="57"/>
    </row>
    <row r="3" spans="1:58" s="66" customFormat="1" ht="15.75" x14ac:dyDescent="0.25">
      <c r="A3" s="211"/>
      <c r="B3" s="212" t="s">
        <v>989</v>
      </c>
      <c r="C3" s="213"/>
      <c r="D3" s="213"/>
      <c r="E3" s="213"/>
      <c r="F3" s="213"/>
      <c r="G3" s="213"/>
      <c r="H3" s="213"/>
      <c r="I3" s="214"/>
      <c r="J3" s="214"/>
      <c r="K3" s="214"/>
      <c r="L3" s="214"/>
      <c r="M3" s="211"/>
      <c r="N3" s="838"/>
      <c r="O3" s="851"/>
      <c r="P3" s="877"/>
      <c r="Q3" s="874"/>
      <c r="R3" s="874"/>
      <c r="S3" s="873" t="str">
        <f ca="1">'Cover Page'!T3</f>
        <v>Custom PCB P/N:</v>
      </c>
      <c r="T3" s="894" t="str">
        <f>IF(ISBLANK('Cover Page'!U3),"",'Cover Page'!U3)</f>
        <v/>
      </c>
      <c r="U3" s="895"/>
      <c r="V3" s="896"/>
      <c r="W3" s="896"/>
      <c r="X3" s="896"/>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130" t="s">
        <v>462</v>
      </c>
      <c r="BB3" s="72">
        <f>IF('Cover Page'!T27="Yes",IF('Cover Page'!E26="Pyramid Core",2*ISNUMBER(BC7),2),0)</f>
        <v>0</v>
      </c>
      <c r="BC3" s="57" t="s">
        <v>463</v>
      </c>
    </row>
    <row r="4" spans="1:58" s="66" customFormat="1" x14ac:dyDescent="0.2">
      <c r="A4" s="211"/>
      <c r="B4" s="300"/>
      <c r="C4" s="213"/>
      <c r="D4" s="213"/>
      <c r="E4" s="213"/>
      <c r="F4" s="213"/>
      <c r="G4" s="213"/>
      <c r="H4" s="213"/>
      <c r="I4" s="214"/>
      <c r="J4" s="214"/>
      <c r="K4" s="214"/>
      <c r="L4" s="214"/>
      <c r="M4" s="211"/>
      <c r="N4" s="838"/>
      <c r="O4" s="851"/>
      <c r="P4" s="877"/>
      <c r="Q4" s="874"/>
      <c r="R4" s="874"/>
      <c r="S4" s="873" t="s">
        <v>33</v>
      </c>
      <c r="T4" s="894" t="str">
        <f>IF(ISBLANK('Cover Page'!V27),"",'Cover Page'!V27)</f>
        <v/>
      </c>
      <c r="U4" s="895"/>
      <c r="V4" s="896"/>
      <c r="W4" s="896"/>
      <c r="X4" s="896"/>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116" t="s">
        <v>358</v>
      </c>
      <c r="BB4" s="72">
        <f>'Cover Page'!BD27</f>
        <v>2</v>
      </c>
      <c r="BC4" s="66" t="s">
        <v>359</v>
      </c>
    </row>
    <row r="5" spans="1:58" s="66" customFormat="1" ht="12.75" customHeight="1" x14ac:dyDescent="0.25">
      <c r="A5" s="211"/>
      <c r="B5" s="302"/>
      <c r="C5" s="211"/>
      <c r="D5" s="211"/>
      <c r="E5" s="211"/>
      <c r="F5" s="303"/>
      <c r="G5" s="211"/>
      <c r="H5" s="211"/>
      <c r="I5" s="211"/>
      <c r="J5" s="211"/>
      <c r="K5" s="211"/>
      <c r="L5" s="216" t="str">
        <f>DUT!$K$5</f>
        <v>THIS PAGE IS NOT IN USE BASED ON COVER PAGE SELECTIONS</v>
      </c>
      <c r="M5" s="211"/>
      <c r="N5" s="211"/>
      <c r="O5" s="211"/>
      <c r="P5" s="211"/>
      <c r="Q5" s="217"/>
      <c r="R5" s="217"/>
      <c r="S5" s="217"/>
      <c r="T5" s="217"/>
      <c r="U5" s="217"/>
      <c r="V5" s="217"/>
      <c r="W5" s="217"/>
      <c r="X5" s="217"/>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row>
    <row r="6" spans="1:58" s="309" customFormat="1" ht="15.75" x14ac:dyDescent="0.25">
      <c r="B6" s="66"/>
      <c r="C6" s="66"/>
      <c r="D6" s="66"/>
      <c r="E6" s="66"/>
      <c r="F6" s="455" t="s">
        <v>464</v>
      </c>
      <c r="G6" s="1746" t="s">
        <v>465</v>
      </c>
      <c r="H6" s="1501"/>
      <c r="J6" s="310"/>
      <c r="K6" s="311"/>
      <c r="O6" s="312"/>
      <c r="Q6" s="312"/>
      <c r="S6" s="313"/>
      <c r="U6" s="312"/>
      <c r="V6" s="312"/>
      <c r="W6" s="312"/>
      <c r="X6" s="312"/>
      <c r="Y6" s="301"/>
      <c r="Z6" s="301"/>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765" t="s">
        <v>466</v>
      </c>
      <c r="BB6" s="748" t="s">
        <v>43</v>
      </c>
      <c r="BC6" s="748" t="s">
        <v>867</v>
      </c>
      <c r="BD6" s="748" t="s">
        <v>467</v>
      </c>
      <c r="BE6" s="66"/>
      <c r="BF6" s="66"/>
    </row>
    <row r="7" spans="1:58" s="66" customFormat="1" ht="12.75" customHeight="1" x14ac:dyDescent="0.2">
      <c r="L7" s="458" t="str">
        <f>IF(AND(G20="Yes",BB4&lt;&gt;1),"***This product must use a separate DesCap***","")</f>
        <v/>
      </c>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84" t="str">
        <f ca="1">OFFSET(BA7,$BC$7,0)</f>
        <v>RFC</v>
      </c>
      <c r="BB7" s="750">
        <f ca="1">IF(BB4=2,OFFSET(BB7,BC7,0))</f>
        <v>2</v>
      </c>
      <c r="BC7" s="750">
        <f ca="1">IF(BB4=2,MATCH(Core!BB20,BB8:BB13,0),MATCH(G6,BA8:BA13,0))</f>
        <v>1</v>
      </c>
      <c r="BD7" s="316">
        <f ca="1">OFFSET(BD7,$BC$7,0)</f>
        <v>6.2E-2</v>
      </c>
      <c r="BE7" s="316" t="str">
        <f ca="1">OFFSET(BE7,$BC$7,0)</f>
        <v>" [1.6mm]</v>
      </c>
      <c r="BF7" s="316" t="str">
        <f ca="1">OFFSET(BF7,$BC$7,0)</f>
        <v>1.24 x 1.24" [31.5 x 31.5mm]</v>
      </c>
    </row>
    <row r="8" spans="1:58" s="66" customFormat="1" ht="12.75" customHeight="1" thickBot="1" x14ac:dyDescent="0.25">
      <c r="B8" s="325" t="s">
        <v>313</v>
      </c>
      <c r="D8" s="43"/>
      <c r="E8" s="130"/>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83" t="s">
        <v>465</v>
      </c>
      <c r="BB8" s="318">
        <v>2</v>
      </c>
      <c r="BC8" s="318">
        <v>1</v>
      </c>
      <c r="BD8" s="766">
        <v>6.2E-2</v>
      </c>
      <c r="BE8" s="66" t="str">
        <f t="shared" ref="BE8" si="0">CHAR(34)&amp;" ["&amp;FIXED(BD8*25.4,1)&amp;"mm]"</f>
        <v>" [1.6mm]</v>
      </c>
      <c r="BF8" s="66" t="s">
        <v>468</v>
      </c>
    </row>
    <row r="9" spans="1:58" s="66" customFormat="1" ht="12.75" customHeight="1" x14ac:dyDescent="0.2">
      <c r="B9" s="425"/>
      <c r="C9" s="426"/>
      <c r="D9" s="426"/>
      <c r="E9" s="426"/>
      <c r="F9" s="426"/>
      <c r="G9" s="426"/>
      <c r="H9" s="426"/>
      <c r="I9" s="426"/>
      <c r="J9" s="426"/>
      <c r="K9" s="426"/>
      <c r="L9" s="426"/>
      <c r="M9" s="426"/>
      <c r="N9" s="426"/>
      <c r="O9" s="426"/>
      <c r="P9" s="426"/>
      <c r="Q9" s="426"/>
      <c r="R9" s="426"/>
      <c r="S9" s="426"/>
      <c r="T9" s="426"/>
      <c r="U9" s="426"/>
      <c r="V9" s="426"/>
      <c r="W9" s="426"/>
      <c r="X9" s="427"/>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83" t="s">
        <v>473</v>
      </c>
      <c r="BB9" s="318">
        <v>5</v>
      </c>
      <c r="BC9" s="318">
        <v>2</v>
      </c>
      <c r="BD9" s="766">
        <v>6.2E-2</v>
      </c>
      <c r="BE9" s="66" t="str">
        <f>CHAR(34)&amp;" ["&amp;FIXED(BD9*25.4,1)&amp;"mm]"</f>
        <v>" [1.6mm]</v>
      </c>
      <c r="BF9" s="66" t="s">
        <v>474</v>
      </c>
    </row>
    <row r="10" spans="1:58" s="66" customFormat="1" ht="12.75" customHeight="1" x14ac:dyDescent="0.2">
      <c r="B10" s="428"/>
      <c r="C10" s="451" t="s">
        <v>469</v>
      </c>
      <c r="D10" s="430"/>
      <c r="E10" s="451"/>
      <c r="F10" s="446" t="str">
        <f ca="1">BA7&amp;"x"&amp;BOM!K2</f>
        <v>RFCx1</v>
      </c>
      <c r="G10" s="430"/>
      <c r="H10" s="430"/>
      <c r="I10" s="430"/>
      <c r="J10" s="430"/>
      <c r="K10" s="430"/>
      <c r="L10" s="430"/>
      <c r="M10" s="430"/>
      <c r="N10" s="430"/>
      <c r="O10" s="430"/>
      <c r="P10" s="452" t="s">
        <v>470</v>
      </c>
      <c r="Q10" s="430"/>
      <c r="R10" s="422"/>
      <c r="S10" s="430"/>
      <c r="T10" s="430"/>
      <c r="U10" s="430"/>
      <c r="V10" s="430"/>
      <c r="W10" s="430"/>
      <c r="X10" s="43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83" t="s">
        <v>477</v>
      </c>
      <c r="BB10" s="318">
        <v>6</v>
      </c>
      <c r="BC10" s="318">
        <v>3</v>
      </c>
      <c r="BD10" s="766">
        <v>6.2E-2</v>
      </c>
      <c r="BE10" s="66" t="str">
        <f>CHAR(34)&amp;" ["&amp;FIXED(BD10*25.4,1)&amp;"mm]"</f>
        <v>" [1.6mm]</v>
      </c>
      <c r="BF10" s="66" t="s">
        <v>478</v>
      </c>
    </row>
    <row r="11" spans="1:58" s="66" customFormat="1" ht="12.75" customHeight="1" x14ac:dyDescent="0.2">
      <c r="B11" s="428"/>
      <c r="C11" s="451" t="s">
        <v>471</v>
      </c>
      <c r="D11" s="430"/>
      <c r="E11" s="429"/>
      <c r="F11" s="446" t="str">
        <f ca="1">BF7&amp;" *"</f>
        <v>1.24 x 1.24" [31.5 x 31.5mm] *</v>
      </c>
      <c r="G11" s="422"/>
      <c r="H11" s="453"/>
      <c r="I11" s="430"/>
      <c r="J11" s="422"/>
      <c r="K11" s="430"/>
      <c r="L11" s="430"/>
      <c r="M11" s="430"/>
      <c r="N11" s="430"/>
      <c r="O11" s="430"/>
      <c r="P11" s="452" t="s">
        <v>472</v>
      </c>
      <c r="Q11" s="430"/>
      <c r="R11" s="422"/>
      <c r="S11" s="430"/>
      <c r="T11" s="430"/>
      <c r="U11" s="430"/>
      <c r="V11" s="430"/>
      <c r="W11" s="430"/>
      <c r="X11" s="43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83" t="s">
        <v>481</v>
      </c>
      <c r="BB11" s="318">
        <v>7</v>
      </c>
      <c r="BC11" s="318">
        <v>4</v>
      </c>
      <c r="BD11" s="766">
        <v>9.2999999999999999E-2</v>
      </c>
      <c r="BE11" s="66" t="str">
        <f>CHAR(34)&amp;" ["&amp;FIXED(BD11*25.4,1)&amp;"mm]"</f>
        <v>" [2.4mm]</v>
      </c>
      <c r="BF11" s="66" t="s">
        <v>482</v>
      </c>
    </row>
    <row r="12" spans="1:58" s="66" customFormat="1" ht="12.75" customHeight="1" x14ac:dyDescent="0.2">
      <c r="B12" s="428"/>
      <c r="C12" s="451" t="s">
        <v>475</v>
      </c>
      <c r="D12" s="430"/>
      <c r="E12" s="454"/>
      <c r="F12" s="429"/>
      <c r="G12" s="446" t="str">
        <f ca="1">BD7&amp;BE7</f>
        <v>0.062" [1.6mm]</v>
      </c>
      <c r="H12" s="430"/>
      <c r="I12" s="430"/>
      <c r="J12" s="430"/>
      <c r="K12" s="430"/>
      <c r="L12" s="430"/>
      <c r="M12" s="430"/>
      <c r="N12" s="430"/>
      <c r="O12" s="430"/>
      <c r="P12" s="452" t="s">
        <v>476</v>
      </c>
      <c r="Q12" s="430"/>
      <c r="R12" s="422"/>
      <c r="S12" s="430"/>
      <c r="T12" s="430"/>
      <c r="U12" s="430"/>
      <c r="V12" s="430"/>
      <c r="W12" s="430"/>
      <c r="X12" s="43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83" t="s">
        <v>276</v>
      </c>
      <c r="BB12" s="318">
        <v>8</v>
      </c>
      <c r="BC12" s="318">
        <v>5</v>
      </c>
      <c r="BD12" s="766">
        <v>9.2999999999999999E-2</v>
      </c>
      <c r="BE12" s="66" t="str">
        <f>CHAR(34)&amp;" ["&amp;FIXED(BD12*25.4,1)&amp;"mm]"</f>
        <v>" [2.4mm]</v>
      </c>
      <c r="BF12" s="66" t="s">
        <v>482</v>
      </c>
    </row>
    <row r="13" spans="1:58" s="66" customFormat="1" ht="12.75" customHeight="1" x14ac:dyDescent="0.2">
      <c r="B13" s="428"/>
      <c r="C13" s="447" t="s">
        <v>479</v>
      </c>
      <c r="D13" s="430"/>
      <c r="E13" s="430"/>
      <c r="F13" s="430"/>
      <c r="G13" s="430"/>
      <c r="H13" s="453"/>
      <c r="I13" s="430"/>
      <c r="J13" s="430"/>
      <c r="K13" s="430"/>
      <c r="L13" s="430"/>
      <c r="M13" s="430"/>
      <c r="N13" s="430"/>
      <c r="O13" s="430"/>
      <c r="P13" s="452" t="s">
        <v>480</v>
      </c>
      <c r="Q13" s="430"/>
      <c r="R13" s="430"/>
      <c r="S13" s="430"/>
      <c r="T13" s="430"/>
      <c r="U13" s="430"/>
      <c r="V13" s="430"/>
      <c r="W13" s="430"/>
      <c r="X13" s="43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83" t="s">
        <v>846</v>
      </c>
      <c r="BB13" s="318">
        <v>9</v>
      </c>
      <c r="BC13" s="318">
        <v>6</v>
      </c>
      <c r="BD13" s="766">
        <v>0.125</v>
      </c>
      <c r="BE13" s="1220" t="str">
        <f>CHAR(34)&amp;" ["&amp;FIXED(BD13*25.4,1)&amp;"mm]"</f>
        <v>" [3.2mm]</v>
      </c>
      <c r="BF13" s="1220" t="s">
        <v>869</v>
      </c>
    </row>
    <row r="14" spans="1:58" s="66" customFormat="1" ht="12.75" customHeight="1" x14ac:dyDescent="0.2">
      <c r="B14" s="428"/>
      <c r="C14" s="447" t="s">
        <v>483</v>
      </c>
      <c r="D14" s="452"/>
      <c r="E14" s="430"/>
      <c r="F14" s="430"/>
      <c r="G14" s="430"/>
      <c r="H14" s="453"/>
      <c r="I14" s="430"/>
      <c r="J14" s="422"/>
      <c r="K14" s="430"/>
      <c r="L14" s="430"/>
      <c r="M14" s="430"/>
      <c r="N14" s="430"/>
      <c r="O14" s="430"/>
      <c r="P14" s="430"/>
      <c r="Q14" s="430"/>
      <c r="R14" s="430"/>
      <c r="S14" s="430"/>
      <c r="T14" s="430"/>
      <c r="U14" s="430"/>
      <c r="V14" s="430"/>
      <c r="W14" s="430"/>
      <c r="X14" s="43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row>
    <row r="15" spans="1:58" s="66" customFormat="1" ht="12.75" customHeight="1" thickBot="1" x14ac:dyDescent="0.25">
      <c r="B15" s="432"/>
      <c r="C15" s="433"/>
      <c r="D15" s="433"/>
      <c r="E15" s="433"/>
      <c r="F15" s="433"/>
      <c r="G15" s="433"/>
      <c r="H15" s="433"/>
      <c r="I15" s="433"/>
      <c r="J15" s="433"/>
      <c r="K15" s="433"/>
      <c r="L15" s="433"/>
      <c r="M15" s="433"/>
      <c r="N15" s="433"/>
      <c r="O15" s="433"/>
      <c r="P15" s="433"/>
      <c r="Q15" s="433"/>
      <c r="R15" s="433"/>
      <c r="S15" s="433"/>
      <c r="T15" s="433"/>
      <c r="U15" s="433"/>
      <c r="V15" s="433"/>
      <c r="W15" s="433"/>
      <c r="X15" s="434"/>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17"/>
      <c r="BB15" s="318"/>
      <c r="BC15" s="766"/>
    </row>
    <row r="16" spans="1:58" s="66" customFormat="1" ht="12.75" customHeight="1" x14ac:dyDescent="0.2">
      <c r="A16" s="57"/>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17"/>
      <c r="BB16" s="385" t="s">
        <v>484</v>
      </c>
      <c r="BC16" s="766"/>
    </row>
    <row r="17" spans="1:56" s="66" customFormat="1" ht="12.75" customHeight="1" x14ac:dyDescent="0.25">
      <c r="A17" s="57"/>
      <c r="G17" s="1169" t="str">
        <f>IF(pitchMinX&lt;400,"*** Pad pitch is less than .4mm ***","")</f>
        <v>*** Pad pitch is less than .4mm ***</v>
      </c>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98"/>
      <c r="BB17" s="98"/>
      <c r="BC17" s="98"/>
    </row>
    <row r="18" spans="1:56" s="66" customFormat="1" ht="12.75" customHeight="1" thickBot="1" x14ac:dyDescent="0.25">
      <c r="A18" s="57"/>
      <c r="B18" s="325" t="s">
        <v>485</v>
      </c>
      <c r="C18" s="57"/>
      <c r="D18" s="57"/>
      <c r="E18" s="57"/>
      <c r="F18" s="57"/>
      <c r="G18" s="57"/>
      <c r="H18" s="57"/>
      <c r="I18" s="57"/>
      <c r="J18" s="57"/>
      <c r="K18" s="57"/>
      <c r="L18" s="57"/>
      <c r="M18" s="57"/>
      <c r="N18" s="57"/>
      <c r="O18" s="57"/>
      <c r="V18" s="57"/>
      <c r="W18" s="57"/>
      <c r="X18" s="57"/>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57"/>
      <c r="BB18" s="57"/>
      <c r="BC18" s="57"/>
      <c r="BD18" s="57"/>
    </row>
    <row r="19" spans="1:56" s="66" customFormat="1" ht="12.75" customHeight="1" x14ac:dyDescent="0.2">
      <c r="A19" s="57"/>
      <c r="B19" s="773" t="s">
        <v>671</v>
      </c>
      <c r="C19" s="386"/>
      <c r="D19" s="386"/>
      <c r="E19" s="387"/>
      <c r="F19" s="386"/>
      <c r="G19" s="387"/>
      <c r="H19" s="386"/>
      <c r="I19" s="386"/>
      <c r="J19" s="386"/>
      <c r="K19" s="386"/>
      <c r="L19" s="386"/>
      <c r="M19" s="386"/>
      <c r="N19" s="386"/>
      <c r="O19" s="386"/>
      <c r="P19" s="386"/>
      <c r="Q19" s="386"/>
      <c r="R19" s="386"/>
      <c r="S19" s="386"/>
      <c r="T19" s="386"/>
      <c r="U19" s="387"/>
      <c r="V19" s="388"/>
      <c r="W19" s="388"/>
      <c r="X19" s="389"/>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57"/>
      <c r="BB19" s="57"/>
      <c r="BC19" s="57"/>
      <c r="BD19" s="57"/>
    </row>
    <row r="20" spans="1:56" s="66" customFormat="1" ht="12.75" customHeight="1" x14ac:dyDescent="0.2">
      <c r="A20" s="57"/>
      <c r="B20" s="390"/>
      <c r="C20" s="360"/>
      <c r="D20" s="360"/>
      <c r="E20" s="360"/>
      <c r="F20" s="244" t="s">
        <v>486</v>
      </c>
      <c r="G20" s="1801" t="s">
        <v>31</v>
      </c>
      <c r="H20" s="1802"/>
      <c r="I20" s="360"/>
      <c r="L20" s="360"/>
      <c r="M20" s="360"/>
      <c r="N20" s="360"/>
      <c r="O20" s="360"/>
      <c r="P20" s="244" t="s">
        <v>487</v>
      </c>
      <c r="Q20" s="1397"/>
      <c r="R20" s="1759"/>
      <c r="S20" s="1759"/>
      <c r="T20" s="1759"/>
      <c r="U20" s="1759"/>
      <c r="V20" s="1759"/>
      <c r="W20" s="1759"/>
      <c r="X20" s="39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57"/>
      <c r="BB20" s="57"/>
      <c r="BC20" s="57"/>
      <c r="BD20" s="57"/>
    </row>
    <row r="21" spans="1:56" s="66" customFormat="1" ht="12.75" customHeight="1" x14ac:dyDescent="0.2">
      <c r="A21" s="57"/>
      <c r="B21" s="390"/>
      <c r="D21" s="360"/>
      <c r="E21" s="360"/>
      <c r="F21" s="120"/>
      <c r="G21" s="172"/>
      <c r="H21" s="172"/>
      <c r="I21" s="392"/>
      <c r="K21" s="360"/>
      <c r="N21" s="393"/>
      <c r="O21" s="394"/>
      <c r="P21" s="244" t="s">
        <v>338</v>
      </c>
      <c r="Q21" s="1803"/>
      <c r="R21" s="1793"/>
      <c r="S21" s="1793"/>
      <c r="T21" s="394"/>
      <c r="U21" s="394"/>
      <c r="V21" s="394"/>
      <c r="W21" s="394"/>
      <c r="X21" s="39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57"/>
      <c r="BB21" s="57"/>
      <c r="BC21" s="57"/>
      <c r="BD21" s="57"/>
    </row>
    <row r="22" spans="1:56" s="66" customFormat="1" ht="12.75" customHeight="1" x14ac:dyDescent="0.2">
      <c r="A22" s="57"/>
      <c r="B22" s="390"/>
      <c r="C22" s="392"/>
      <c r="D22" s="392"/>
      <c r="E22" s="392"/>
      <c r="F22" s="244" t="s">
        <v>488</v>
      </c>
      <c r="G22" s="1804" t="s">
        <v>654</v>
      </c>
      <c r="H22" s="1501"/>
      <c r="I22" s="1501"/>
      <c r="J22" s="392"/>
      <c r="K22" s="392"/>
      <c r="L22" s="392"/>
      <c r="M22" s="392"/>
      <c r="N22" s="120"/>
      <c r="O22" s="172"/>
      <c r="P22" s="172"/>
      <c r="Q22" s="392"/>
      <c r="R22" s="392"/>
      <c r="S22" s="394"/>
      <c r="T22" s="394"/>
      <c r="U22" s="120"/>
      <c r="V22" s="172"/>
      <c r="W22" s="172"/>
      <c r="X22" s="39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57"/>
      <c r="BB22" s="57"/>
      <c r="BC22" s="57"/>
      <c r="BD22" s="57"/>
    </row>
    <row r="23" spans="1:56" ht="12.75" customHeight="1" x14ac:dyDescent="0.2">
      <c r="B23" s="390"/>
      <c r="C23" s="395" t="s">
        <v>489</v>
      </c>
      <c r="D23" s="360"/>
      <c r="E23" s="360"/>
      <c r="F23" s="360"/>
      <c r="G23" s="360"/>
      <c r="H23" s="360"/>
      <c r="I23" s="360"/>
      <c r="J23" s="360"/>
      <c r="K23" s="360"/>
      <c r="L23" s="360"/>
      <c r="M23" s="360"/>
      <c r="N23" s="360"/>
      <c r="O23" s="360"/>
      <c r="P23" s="360"/>
      <c r="Q23" s="360"/>
      <c r="R23" s="360"/>
      <c r="S23" s="360"/>
      <c r="T23" s="360"/>
      <c r="U23" s="360"/>
      <c r="V23" s="360"/>
      <c r="W23" s="360"/>
      <c r="X23" s="391"/>
    </row>
    <row r="24" spans="1:56" ht="12.75" customHeight="1" thickBot="1" x14ac:dyDescent="0.25">
      <c r="B24" s="396"/>
      <c r="C24" s="397"/>
      <c r="D24" s="397"/>
      <c r="E24" s="397"/>
      <c r="F24" s="397"/>
      <c r="G24" s="397"/>
      <c r="H24" s="397"/>
      <c r="I24" s="397"/>
      <c r="J24" s="397"/>
      <c r="K24" s="397"/>
      <c r="L24" s="397"/>
      <c r="M24" s="397"/>
      <c r="N24" s="397"/>
      <c r="O24" s="397"/>
      <c r="P24" s="397"/>
      <c r="Q24" s="397"/>
      <c r="R24" s="397"/>
      <c r="S24" s="397"/>
      <c r="T24" s="397"/>
      <c r="U24" s="397"/>
      <c r="V24" s="397"/>
      <c r="W24" s="397"/>
      <c r="X24" s="398"/>
    </row>
    <row r="25" spans="1:56" ht="12.75" customHeight="1" x14ac:dyDescent="0.2"/>
    <row r="26" spans="1:56" ht="12.75" customHeight="1" x14ac:dyDescent="0.2"/>
    <row r="27" spans="1:56" ht="12.75" customHeight="1" x14ac:dyDescent="0.2"/>
    <row r="28" spans="1:56" ht="12.75" customHeight="1" x14ac:dyDescent="0.2"/>
    <row r="29" spans="1:56" ht="12.75" customHeight="1" x14ac:dyDescent="0.2"/>
    <row r="30" spans="1:56" ht="12.75" customHeight="1" x14ac:dyDescent="0.2"/>
    <row r="31" spans="1:56" ht="12.75" customHeight="1" x14ac:dyDescent="0.2"/>
    <row r="32" spans="1:56" ht="12.75" customHeight="1" x14ac:dyDescent="0.2">
      <c r="B32" s="356" t="s">
        <v>490</v>
      </c>
      <c r="C32" s="357"/>
      <c r="D32" s="67"/>
      <c r="E32" s="67"/>
      <c r="F32" s="67"/>
      <c r="G32" s="67"/>
      <c r="H32" s="67"/>
      <c r="I32" s="67"/>
      <c r="J32" s="67"/>
      <c r="K32" s="67"/>
      <c r="L32" s="67"/>
      <c r="M32" s="67"/>
      <c r="N32" s="67"/>
      <c r="O32" s="67"/>
      <c r="P32" s="67"/>
      <c r="Q32" s="67"/>
      <c r="R32" s="67"/>
      <c r="S32" s="67"/>
      <c r="T32" s="67"/>
      <c r="U32" s="67"/>
      <c r="V32" s="67"/>
      <c r="W32" s="67"/>
      <c r="X32" s="67"/>
    </row>
    <row r="33" spans="1:55" ht="27.95" customHeight="1" x14ac:dyDescent="0.2">
      <c r="B33" s="726">
        <v>1</v>
      </c>
      <c r="C33" s="1648"/>
      <c r="D33" s="1705"/>
      <c r="E33" s="1705"/>
      <c r="F33" s="1705"/>
      <c r="G33" s="1705"/>
      <c r="H33" s="1705"/>
      <c r="I33" s="1705"/>
      <c r="J33" s="1705"/>
      <c r="K33" s="1705"/>
      <c r="L33" s="1705"/>
      <c r="M33" s="1705"/>
      <c r="N33" s="1705"/>
      <c r="O33" s="1705"/>
      <c r="P33" s="1705"/>
      <c r="Q33" s="1705"/>
      <c r="R33" s="1705"/>
      <c r="S33" s="1705"/>
      <c r="T33" s="1705"/>
      <c r="U33" s="1705"/>
      <c r="V33" s="1705"/>
      <c r="W33" s="1705"/>
      <c r="X33" s="1706"/>
    </row>
    <row r="34" spans="1:55" ht="27.95" customHeight="1" x14ac:dyDescent="0.2">
      <c r="B34" s="297">
        <f>B33+1</f>
        <v>2</v>
      </c>
      <c r="C34" s="1648"/>
      <c r="D34" s="1705"/>
      <c r="E34" s="1705"/>
      <c r="F34" s="1705"/>
      <c r="G34" s="1705"/>
      <c r="H34" s="1705"/>
      <c r="I34" s="1705"/>
      <c r="J34" s="1705"/>
      <c r="K34" s="1705"/>
      <c r="L34" s="1705"/>
      <c r="M34" s="1705"/>
      <c r="N34" s="1705"/>
      <c r="O34" s="1705"/>
      <c r="P34" s="1705"/>
      <c r="Q34" s="1705"/>
      <c r="R34" s="1705"/>
      <c r="S34" s="1705"/>
      <c r="T34" s="1705"/>
      <c r="U34" s="1705"/>
      <c r="V34" s="1705"/>
      <c r="W34" s="1705"/>
      <c r="X34" s="1706"/>
    </row>
    <row r="35" spans="1:55" ht="27.95" customHeight="1" x14ac:dyDescent="0.2">
      <c r="B35" s="297">
        <f t="shared" ref="B35:B52" si="1">B34+1</f>
        <v>3</v>
      </c>
      <c r="C35" s="1648"/>
      <c r="D35" s="1705"/>
      <c r="E35" s="1705"/>
      <c r="F35" s="1705"/>
      <c r="G35" s="1705"/>
      <c r="H35" s="1705"/>
      <c r="I35" s="1705"/>
      <c r="J35" s="1705"/>
      <c r="K35" s="1705"/>
      <c r="L35" s="1705"/>
      <c r="M35" s="1705"/>
      <c r="N35" s="1705"/>
      <c r="O35" s="1705"/>
      <c r="P35" s="1705"/>
      <c r="Q35" s="1705"/>
      <c r="R35" s="1705"/>
      <c r="S35" s="1705"/>
      <c r="T35" s="1705"/>
      <c r="U35" s="1705"/>
      <c r="V35" s="1705"/>
      <c r="W35" s="1705"/>
      <c r="X35" s="1706"/>
      <c r="Y35" s="67"/>
    </row>
    <row r="36" spans="1:55" ht="27.95" customHeight="1" x14ac:dyDescent="0.2">
      <c r="B36" s="297">
        <f t="shared" si="1"/>
        <v>4</v>
      </c>
      <c r="C36" s="1648"/>
      <c r="D36" s="1705"/>
      <c r="E36" s="1705"/>
      <c r="F36" s="1705"/>
      <c r="G36" s="1705"/>
      <c r="H36" s="1705"/>
      <c r="I36" s="1705"/>
      <c r="J36" s="1705"/>
      <c r="K36" s="1705"/>
      <c r="L36" s="1705"/>
      <c r="M36" s="1705"/>
      <c r="N36" s="1705"/>
      <c r="O36" s="1705"/>
      <c r="P36" s="1705"/>
      <c r="Q36" s="1705"/>
      <c r="R36" s="1705"/>
      <c r="S36" s="1705"/>
      <c r="T36" s="1705"/>
      <c r="U36" s="1705"/>
      <c r="V36" s="1705"/>
      <c r="W36" s="1705"/>
      <c r="X36" s="1706"/>
    </row>
    <row r="37" spans="1:55" ht="27.95" customHeight="1" x14ac:dyDescent="0.2">
      <c r="B37" s="297">
        <f t="shared" si="1"/>
        <v>5</v>
      </c>
      <c r="C37" s="1648"/>
      <c r="D37" s="1705"/>
      <c r="E37" s="1705"/>
      <c r="F37" s="1705"/>
      <c r="G37" s="1705"/>
      <c r="H37" s="1705"/>
      <c r="I37" s="1705"/>
      <c r="J37" s="1705"/>
      <c r="K37" s="1705"/>
      <c r="L37" s="1705"/>
      <c r="M37" s="1705"/>
      <c r="N37" s="1705"/>
      <c r="O37" s="1705"/>
      <c r="P37" s="1705"/>
      <c r="Q37" s="1705"/>
      <c r="R37" s="1705"/>
      <c r="S37" s="1705"/>
      <c r="T37" s="1705"/>
      <c r="U37" s="1705"/>
      <c r="V37" s="1705"/>
      <c r="W37" s="1705"/>
      <c r="X37" s="1706"/>
      <c r="BC37" s="6"/>
    </row>
    <row r="38" spans="1:55" ht="27.95" customHeight="1" x14ac:dyDescent="0.2">
      <c r="B38" s="297">
        <f t="shared" si="1"/>
        <v>6</v>
      </c>
      <c r="C38" s="1648"/>
      <c r="D38" s="1705"/>
      <c r="E38" s="1705"/>
      <c r="F38" s="1705"/>
      <c r="G38" s="1705"/>
      <c r="H38" s="1705"/>
      <c r="I38" s="1705"/>
      <c r="J38" s="1705"/>
      <c r="K38" s="1705"/>
      <c r="L38" s="1705"/>
      <c r="M38" s="1705"/>
      <c r="N38" s="1705"/>
      <c r="O38" s="1705"/>
      <c r="P38" s="1705"/>
      <c r="Q38" s="1705"/>
      <c r="R38" s="1705"/>
      <c r="S38" s="1705"/>
      <c r="T38" s="1705"/>
      <c r="U38" s="1705"/>
      <c r="V38" s="1705"/>
      <c r="W38" s="1705"/>
      <c r="X38" s="1706"/>
      <c r="BC38" s="6"/>
    </row>
    <row r="39" spans="1:55" ht="27.95" customHeight="1" x14ac:dyDescent="0.2">
      <c r="B39" s="297">
        <f t="shared" si="1"/>
        <v>7</v>
      </c>
      <c r="C39" s="1648"/>
      <c r="D39" s="1705"/>
      <c r="E39" s="1705"/>
      <c r="F39" s="1705"/>
      <c r="G39" s="1705"/>
      <c r="H39" s="1705"/>
      <c r="I39" s="1705"/>
      <c r="J39" s="1705"/>
      <c r="K39" s="1705"/>
      <c r="L39" s="1705"/>
      <c r="M39" s="1705"/>
      <c r="N39" s="1705"/>
      <c r="O39" s="1705"/>
      <c r="P39" s="1705"/>
      <c r="Q39" s="1705"/>
      <c r="R39" s="1705"/>
      <c r="S39" s="1705"/>
      <c r="T39" s="1705"/>
      <c r="U39" s="1705"/>
      <c r="V39" s="1705"/>
      <c r="W39" s="1705"/>
      <c r="X39" s="1706"/>
      <c r="BC39" s="6"/>
    </row>
    <row r="40" spans="1:55" ht="27.95" customHeight="1" x14ac:dyDescent="0.2">
      <c r="B40" s="297">
        <f t="shared" si="1"/>
        <v>8</v>
      </c>
      <c r="C40" s="1648"/>
      <c r="D40" s="1705"/>
      <c r="E40" s="1705"/>
      <c r="F40" s="1705"/>
      <c r="G40" s="1705"/>
      <c r="H40" s="1705"/>
      <c r="I40" s="1705"/>
      <c r="J40" s="1705"/>
      <c r="K40" s="1705"/>
      <c r="L40" s="1705"/>
      <c r="M40" s="1705"/>
      <c r="N40" s="1705"/>
      <c r="O40" s="1705"/>
      <c r="P40" s="1705"/>
      <c r="Q40" s="1705"/>
      <c r="R40" s="1705"/>
      <c r="S40" s="1705"/>
      <c r="T40" s="1705"/>
      <c r="U40" s="1705"/>
      <c r="V40" s="1705"/>
      <c r="W40" s="1705"/>
      <c r="X40" s="1706"/>
      <c r="BC40" s="6"/>
    </row>
    <row r="41" spans="1:55" ht="27.95" customHeight="1" x14ac:dyDescent="0.2">
      <c r="B41" s="297">
        <f t="shared" si="1"/>
        <v>9</v>
      </c>
      <c r="C41" s="1648"/>
      <c r="D41" s="1705"/>
      <c r="E41" s="1705"/>
      <c r="F41" s="1705"/>
      <c r="G41" s="1705"/>
      <c r="H41" s="1705"/>
      <c r="I41" s="1705"/>
      <c r="J41" s="1705"/>
      <c r="K41" s="1705"/>
      <c r="L41" s="1705"/>
      <c r="M41" s="1705"/>
      <c r="N41" s="1705"/>
      <c r="O41" s="1705"/>
      <c r="P41" s="1705"/>
      <c r="Q41" s="1705"/>
      <c r="R41" s="1705"/>
      <c r="S41" s="1705"/>
      <c r="T41" s="1705"/>
      <c r="U41" s="1705"/>
      <c r="V41" s="1705"/>
      <c r="W41" s="1705"/>
      <c r="X41" s="1706"/>
      <c r="BC41" s="6"/>
    </row>
    <row r="42" spans="1:55" ht="27.95" customHeight="1" x14ac:dyDescent="0.2">
      <c r="B42" s="297">
        <f t="shared" si="1"/>
        <v>10</v>
      </c>
      <c r="C42" s="1648"/>
      <c r="D42" s="1705"/>
      <c r="E42" s="1705"/>
      <c r="F42" s="1705"/>
      <c r="G42" s="1705"/>
      <c r="H42" s="1705"/>
      <c r="I42" s="1705"/>
      <c r="J42" s="1705"/>
      <c r="K42" s="1705"/>
      <c r="L42" s="1705"/>
      <c r="M42" s="1705"/>
      <c r="N42" s="1705"/>
      <c r="O42" s="1705"/>
      <c r="P42" s="1705"/>
      <c r="Q42" s="1705"/>
      <c r="R42" s="1705"/>
      <c r="S42" s="1705"/>
      <c r="T42" s="1705"/>
      <c r="U42" s="1705"/>
      <c r="V42" s="1705"/>
      <c r="W42" s="1705"/>
      <c r="X42" s="1706"/>
      <c r="BC42" s="6"/>
    </row>
    <row r="43" spans="1:55" ht="27.95" customHeight="1" x14ac:dyDescent="0.2">
      <c r="B43" s="297">
        <f t="shared" si="1"/>
        <v>11</v>
      </c>
      <c r="C43" s="1648"/>
      <c r="D43" s="1705"/>
      <c r="E43" s="1705"/>
      <c r="F43" s="1705"/>
      <c r="G43" s="1705"/>
      <c r="H43" s="1705"/>
      <c r="I43" s="1705"/>
      <c r="J43" s="1705"/>
      <c r="K43" s="1705"/>
      <c r="L43" s="1705"/>
      <c r="M43" s="1705"/>
      <c r="N43" s="1705"/>
      <c r="O43" s="1705"/>
      <c r="P43" s="1705"/>
      <c r="Q43" s="1705"/>
      <c r="R43" s="1705"/>
      <c r="S43" s="1705"/>
      <c r="T43" s="1705"/>
      <c r="U43" s="1705"/>
      <c r="V43" s="1705"/>
      <c r="W43" s="1705"/>
      <c r="X43" s="1706"/>
      <c r="BC43" s="6"/>
    </row>
    <row r="44" spans="1:55" ht="27.95" customHeight="1" x14ac:dyDescent="0.2">
      <c r="B44" s="297">
        <f t="shared" si="1"/>
        <v>12</v>
      </c>
      <c r="C44" s="1648"/>
      <c r="D44" s="1705"/>
      <c r="E44" s="1705"/>
      <c r="F44" s="1705"/>
      <c r="G44" s="1705"/>
      <c r="H44" s="1705"/>
      <c r="I44" s="1705"/>
      <c r="J44" s="1705"/>
      <c r="K44" s="1705"/>
      <c r="L44" s="1705"/>
      <c r="M44" s="1705"/>
      <c r="N44" s="1705"/>
      <c r="O44" s="1705"/>
      <c r="P44" s="1705"/>
      <c r="Q44" s="1705"/>
      <c r="R44" s="1705"/>
      <c r="S44" s="1705"/>
      <c r="T44" s="1705"/>
      <c r="U44" s="1705"/>
      <c r="V44" s="1705"/>
      <c r="W44" s="1705"/>
      <c r="X44" s="1706"/>
      <c r="BC44" s="6"/>
    </row>
    <row r="45" spans="1:55" ht="27.95" customHeight="1" x14ac:dyDescent="0.2">
      <c r="B45" s="297">
        <f t="shared" si="1"/>
        <v>13</v>
      </c>
      <c r="C45" s="1648"/>
      <c r="D45" s="1705"/>
      <c r="E45" s="1705"/>
      <c r="F45" s="1705"/>
      <c r="G45" s="1705"/>
      <c r="H45" s="1705"/>
      <c r="I45" s="1705"/>
      <c r="J45" s="1705"/>
      <c r="K45" s="1705"/>
      <c r="L45" s="1705"/>
      <c r="M45" s="1705"/>
      <c r="N45" s="1705"/>
      <c r="O45" s="1705"/>
      <c r="P45" s="1705"/>
      <c r="Q45" s="1705"/>
      <c r="R45" s="1705"/>
      <c r="S45" s="1705"/>
      <c r="T45" s="1705"/>
      <c r="U45" s="1705"/>
      <c r="V45" s="1705"/>
      <c r="W45" s="1705"/>
      <c r="X45" s="1706"/>
      <c r="BC45" s="6"/>
    </row>
    <row r="46" spans="1:55" ht="27.95" customHeight="1" x14ac:dyDescent="0.2">
      <c r="B46" s="297">
        <f t="shared" si="1"/>
        <v>14</v>
      </c>
      <c r="C46" s="1648"/>
      <c r="D46" s="1705"/>
      <c r="E46" s="1705"/>
      <c r="F46" s="1705"/>
      <c r="G46" s="1705"/>
      <c r="H46" s="1705"/>
      <c r="I46" s="1705"/>
      <c r="J46" s="1705"/>
      <c r="K46" s="1705"/>
      <c r="L46" s="1705"/>
      <c r="M46" s="1705"/>
      <c r="N46" s="1705"/>
      <c r="O46" s="1705"/>
      <c r="P46" s="1705"/>
      <c r="Q46" s="1705"/>
      <c r="R46" s="1705"/>
      <c r="S46" s="1705"/>
      <c r="T46" s="1705"/>
      <c r="U46" s="1705"/>
      <c r="V46" s="1705"/>
      <c r="W46" s="1705"/>
      <c r="X46" s="1706"/>
      <c r="BC46" s="6"/>
    </row>
    <row r="47" spans="1:55" ht="27.95" customHeight="1" x14ac:dyDescent="0.2">
      <c r="B47" s="297">
        <f t="shared" si="1"/>
        <v>15</v>
      </c>
      <c r="C47" s="1648"/>
      <c r="D47" s="1705"/>
      <c r="E47" s="1705"/>
      <c r="F47" s="1705"/>
      <c r="G47" s="1705"/>
      <c r="H47" s="1705"/>
      <c r="I47" s="1705"/>
      <c r="J47" s="1705"/>
      <c r="K47" s="1705"/>
      <c r="L47" s="1705"/>
      <c r="M47" s="1705"/>
      <c r="N47" s="1705"/>
      <c r="O47" s="1705"/>
      <c r="P47" s="1705"/>
      <c r="Q47" s="1705"/>
      <c r="R47" s="1705"/>
      <c r="S47" s="1705"/>
      <c r="T47" s="1705"/>
      <c r="U47" s="1705"/>
      <c r="V47" s="1705"/>
      <c r="W47" s="1705"/>
      <c r="X47" s="1706"/>
      <c r="BC47" s="6"/>
    </row>
    <row r="48" spans="1:55" s="6" customFormat="1" ht="27.95" customHeight="1" x14ac:dyDescent="0.2">
      <c r="A48" s="57"/>
      <c r="B48" s="297">
        <f t="shared" si="1"/>
        <v>16</v>
      </c>
      <c r="C48" s="1648"/>
      <c r="D48" s="1705"/>
      <c r="E48" s="1705"/>
      <c r="F48" s="1705"/>
      <c r="G48" s="1705"/>
      <c r="H48" s="1705"/>
      <c r="I48" s="1705"/>
      <c r="J48" s="1705"/>
      <c r="K48" s="1705"/>
      <c r="L48" s="1705"/>
      <c r="M48" s="1705"/>
      <c r="N48" s="1705"/>
      <c r="O48" s="1705"/>
      <c r="P48" s="1705"/>
      <c r="Q48" s="1705"/>
      <c r="R48" s="1705"/>
      <c r="S48" s="1705"/>
      <c r="T48" s="1705"/>
      <c r="U48" s="1705"/>
      <c r="V48" s="1705"/>
      <c r="W48" s="1705"/>
      <c r="X48" s="1706"/>
      <c r="Z48" s="301"/>
    </row>
    <row r="49" spans="1:55" s="6" customFormat="1" ht="27.95" customHeight="1" x14ac:dyDescent="0.2">
      <c r="A49" s="57"/>
      <c r="B49" s="297">
        <f t="shared" si="1"/>
        <v>17</v>
      </c>
      <c r="C49" s="1648"/>
      <c r="D49" s="1705"/>
      <c r="E49" s="1705"/>
      <c r="F49" s="1705"/>
      <c r="G49" s="1705"/>
      <c r="H49" s="1705"/>
      <c r="I49" s="1705"/>
      <c r="J49" s="1705"/>
      <c r="K49" s="1705"/>
      <c r="L49" s="1705"/>
      <c r="M49" s="1705"/>
      <c r="N49" s="1705"/>
      <c r="O49" s="1705"/>
      <c r="P49" s="1705"/>
      <c r="Q49" s="1705"/>
      <c r="R49" s="1705"/>
      <c r="S49" s="1705"/>
      <c r="T49" s="1705"/>
      <c r="U49" s="1705"/>
      <c r="V49" s="1705"/>
      <c r="W49" s="1705"/>
      <c r="X49" s="1706"/>
      <c r="Z49" s="360"/>
    </row>
    <row r="50" spans="1:55" s="6" customFormat="1" ht="27.95" customHeight="1" x14ac:dyDescent="0.2">
      <c r="A50" s="57"/>
      <c r="B50" s="297">
        <f t="shared" si="1"/>
        <v>18</v>
      </c>
      <c r="C50" s="1648"/>
      <c r="D50" s="1705"/>
      <c r="E50" s="1705"/>
      <c r="F50" s="1705"/>
      <c r="G50" s="1705"/>
      <c r="H50" s="1705"/>
      <c r="I50" s="1705"/>
      <c r="J50" s="1705"/>
      <c r="K50" s="1705"/>
      <c r="L50" s="1705"/>
      <c r="M50" s="1705"/>
      <c r="N50" s="1705"/>
      <c r="O50" s="1705"/>
      <c r="P50" s="1705"/>
      <c r="Q50" s="1705"/>
      <c r="R50" s="1705"/>
      <c r="S50" s="1705"/>
      <c r="T50" s="1705"/>
      <c r="U50" s="1705"/>
      <c r="V50" s="1705"/>
      <c r="W50" s="1705"/>
      <c r="X50" s="1706"/>
      <c r="Z50" s="301"/>
    </row>
    <row r="51" spans="1:55" s="6" customFormat="1" ht="27.95" customHeight="1" x14ac:dyDescent="0.2">
      <c r="A51" s="57"/>
      <c r="B51" s="297">
        <f t="shared" si="1"/>
        <v>19</v>
      </c>
      <c r="C51" s="1648"/>
      <c r="D51" s="1705"/>
      <c r="E51" s="1705"/>
      <c r="F51" s="1705"/>
      <c r="G51" s="1705"/>
      <c r="H51" s="1705"/>
      <c r="I51" s="1705"/>
      <c r="J51" s="1705"/>
      <c r="K51" s="1705"/>
      <c r="L51" s="1705"/>
      <c r="M51" s="1705"/>
      <c r="N51" s="1705"/>
      <c r="O51" s="1705"/>
      <c r="P51" s="1705"/>
      <c r="Q51" s="1705"/>
      <c r="R51" s="1705"/>
      <c r="S51" s="1705"/>
      <c r="T51" s="1705"/>
      <c r="U51" s="1705"/>
      <c r="V51" s="1705"/>
      <c r="W51" s="1705"/>
      <c r="X51" s="1706"/>
      <c r="Z51" s="301"/>
    </row>
    <row r="52" spans="1:55" s="6" customFormat="1" ht="27.95" customHeight="1" x14ac:dyDescent="0.2">
      <c r="A52" s="57"/>
      <c r="B52" s="297">
        <f t="shared" si="1"/>
        <v>20</v>
      </c>
      <c r="C52" s="1648"/>
      <c r="D52" s="1705"/>
      <c r="E52" s="1705"/>
      <c r="F52" s="1705"/>
      <c r="G52" s="1705"/>
      <c r="H52" s="1705"/>
      <c r="I52" s="1705"/>
      <c r="J52" s="1705"/>
      <c r="K52" s="1705"/>
      <c r="L52" s="1705"/>
      <c r="M52" s="1705"/>
      <c r="N52" s="1705"/>
      <c r="O52" s="1705"/>
      <c r="P52" s="1705"/>
      <c r="Q52" s="1705"/>
      <c r="R52" s="1705"/>
      <c r="S52" s="1705"/>
      <c r="T52" s="1705"/>
      <c r="U52" s="1705"/>
      <c r="V52" s="1705"/>
      <c r="W52" s="1705"/>
      <c r="X52" s="1706"/>
      <c r="Z52" s="301"/>
    </row>
    <row r="53" spans="1:55" s="6" customFormat="1" ht="12.75" customHeight="1" x14ac:dyDescent="0.2">
      <c r="A53" s="57"/>
      <c r="Z53" s="301"/>
    </row>
    <row r="54" spans="1:55" s="6" customFormat="1" ht="12.75" customHeight="1" x14ac:dyDescent="0.2">
      <c r="A54" s="57"/>
      <c r="Z54" s="301"/>
    </row>
    <row r="55" spans="1:55" s="6" customFormat="1" ht="12.75" customHeight="1" x14ac:dyDescent="0.2">
      <c r="A55" s="57"/>
      <c r="Z55" s="301"/>
    </row>
    <row r="56" spans="1:55" s="6" customFormat="1" ht="12.75" customHeight="1" x14ac:dyDescent="0.2">
      <c r="A56" s="57"/>
      <c r="B56" s="57"/>
      <c r="C56" s="57"/>
      <c r="D56" s="57"/>
      <c r="E56" s="57"/>
      <c r="F56" s="57"/>
      <c r="G56" s="57"/>
      <c r="H56" s="57"/>
      <c r="I56" s="57"/>
      <c r="J56" s="57"/>
      <c r="K56" s="57"/>
      <c r="L56" s="57"/>
      <c r="M56" s="57"/>
      <c r="N56" s="57"/>
      <c r="O56" s="57"/>
      <c r="P56" s="66"/>
      <c r="Q56" s="66"/>
      <c r="R56" s="66"/>
      <c r="S56" s="66"/>
      <c r="T56" s="66"/>
      <c r="U56" s="66"/>
      <c r="V56" s="57"/>
      <c r="W56" s="57"/>
      <c r="X56" s="57"/>
      <c r="Y56" s="301"/>
      <c r="Z56" s="301"/>
    </row>
    <row r="57" spans="1:55" s="6" customFormat="1" ht="12.75" customHeight="1" x14ac:dyDescent="0.2">
      <c r="A57" s="57"/>
      <c r="Y57" s="301"/>
      <c r="Z57" s="301"/>
    </row>
    <row r="58" spans="1:55" s="6" customFormat="1" ht="12.75" customHeight="1" x14ac:dyDescent="0.2">
      <c r="A58" s="57"/>
      <c r="Y58" s="360"/>
      <c r="Z58" s="301"/>
    </row>
    <row r="59" spans="1:55" s="6" customFormat="1" ht="12.75" customHeight="1" x14ac:dyDescent="0.2">
      <c r="A59" s="57"/>
      <c r="Y59" s="301"/>
      <c r="Z59" s="301"/>
    </row>
    <row r="60" spans="1:55" s="6" customFormat="1" ht="12.75" customHeight="1" x14ac:dyDescent="0.2">
      <c r="A60" s="57"/>
      <c r="Y60" s="301"/>
      <c r="Z60" s="301"/>
      <c r="BC60" s="57"/>
    </row>
    <row r="61" spans="1:55" s="6" customFormat="1" ht="12.75" customHeight="1" x14ac:dyDescent="0.2">
      <c r="A61" s="57"/>
      <c r="Y61" s="301"/>
      <c r="Z61" s="301"/>
      <c r="BC61" s="57"/>
    </row>
    <row r="62" spans="1:55" s="6" customFormat="1" ht="12.75" customHeight="1" x14ac:dyDescent="0.2">
      <c r="A62" s="57"/>
      <c r="Y62" s="301"/>
      <c r="Z62" s="301"/>
      <c r="BC62" s="57"/>
    </row>
    <row r="63" spans="1:55" s="6" customFormat="1" ht="12.75" customHeight="1" x14ac:dyDescent="0.2">
      <c r="A63" s="57"/>
      <c r="Y63" s="301"/>
      <c r="Z63" s="301"/>
      <c r="BC63" s="57"/>
    </row>
    <row r="64" spans="1:55" s="6" customFormat="1" ht="12.75" customHeight="1" x14ac:dyDescent="0.2">
      <c r="A64" s="57"/>
      <c r="Y64" s="301"/>
      <c r="Z64" s="301"/>
      <c r="BC64" s="57"/>
    </row>
    <row r="65" spans="1:55" s="6" customFormat="1" ht="12.75" customHeight="1" x14ac:dyDescent="0.2">
      <c r="A65" s="57"/>
      <c r="Y65" s="301"/>
      <c r="Z65" s="301"/>
      <c r="BC65" s="57"/>
    </row>
    <row r="66" spans="1:55" s="6" customFormat="1" ht="12.75" customHeight="1" x14ac:dyDescent="0.2">
      <c r="A66" s="57"/>
      <c r="Y66" s="301"/>
      <c r="Z66" s="301"/>
      <c r="BC66" s="57"/>
    </row>
    <row r="67" spans="1:55" s="6" customFormat="1" ht="12.75" customHeight="1" x14ac:dyDescent="0.2">
      <c r="A67" s="57"/>
      <c r="Y67" s="301"/>
      <c r="Z67" s="301"/>
      <c r="BC67" s="57"/>
    </row>
    <row r="68" spans="1:55" s="6" customFormat="1" ht="12.75" customHeight="1" x14ac:dyDescent="0.2">
      <c r="A68" s="57"/>
      <c r="Y68" s="301"/>
      <c r="Z68" s="301"/>
      <c r="BC68" s="57"/>
    </row>
    <row r="69" spans="1:55" s="6" customFormat="1" ht="12.75" customHeight="1" x14ac:dyDescent="0.2">
      <c r="A69" s="57"/>
      <c r="Y69" s="301"/>
      <c r="Z69" s="301"/>
      <c r="BC69" s="57"/>
    </row>
    <row r="70" spans="1:55" s="6" customFormat="1" ht="12.75" customHeight="1" x14ac:dyDescent="0.2">
      <c r="A70" s="57"/>
      <c r="Y70" s="301"/>
      <c r="Z70" s="301"/>
      <c r="BC70" s="57"/>
    </row>
  </sheetData>
  <sheetProtection password="CC3C" sheet="1" objects="1" scenarios="1" formatCells="0" selectLockedCells="1"/>
  <mergeCells count="25">
    <mergeCell ref="C40:X40"/>
    <mergeCell ref="C41:X41"/>
    <mergeCell ref="C42:X42"/>
    <mergeCell ref="C33:X33"/>
    <mergeCell ref="G6:H6"/>
    <mergeCell ref="G20:H20"/>
    <mergeCell ref="Q20:W20"/>
    <mergeCell ref="Q21:S21"/>
    <mergeCell ref="G22:I22"/>
    <mergeCell ref="C34:X34"/>
    <mergeCell ref="C35:X35"/>
    <mergeCell ref="C36:X36"/>
    <mergeCell ref="C37:X37"/>
    <mergeCell ref="C38:X38"/>
    <mergeCell ref="C39:X39"/>
    <mergeCell ref="C43:X43"/>
    <mergeCell ref="C44:X44"/>
    <mergeCell ref="C52:X52"/>
    <mergeCell ref="C46:X46"/>
    <mergeCell ref="C47:X47"/>
    <mergeCell ref="C48:X48"/>
    <mergeCell ref="C49:X49"/>
    <mergeCell ref="C50:X50"/>
    <mergeCell ref="C51:X51"/>
    <mergeCell ref="C45:X45"/>
  </mergeCells>
  <phoneticPr fontId="118" type="noConversion"/>
  <conditionalFormatting sqref="B8:X18 B25:X52 B19:J22">
    <cfRule type="expression" dxfId="13" priority="6" stopIfTrue="1">
      <formula>$BB$3&lt;&gt;2</formula>
    </cfRule>
  </conditionalFormatting>
  <conditionalFormatting sqref="L5">
    <cfRule type="expression" dxfId="12" priority="14" stopIfTrue="1">
      <formula>$BB$3&lt;&gt;2</formula>
    </cfRule>
  </conditionalFormatting>
  <conditionalFormatting sqref="B6:H6">
    <cfRule type="expression" dxfId="11" priority="9" stopIfTrue="1">
      <formula>$BB$3&lt;&gt;2</formula>
    </cfRule>
    <cfRule type="expression" dxfId="10" priority="13" stopIfTrue="1">
      <formula>$BB$4=2</formula>
    </cfRule>
  </conditionalFormatting>
  <conditionalFormatting sqref="K20:W21">
    <cfRule type="expression" dxfId="9" priority="8" stopIfTrue="1">
      <formula>$BB$3&lt;&gt;2</formula>
    </cfRule>
    <cfRule type="expression" dxfId="8" priority="10" stopIfTrue="1">
      <formula>$G$20="No"</formula>
    </cfRule>
  </conditionalFormatting>
  <conditionalFormatting sqref="C23">
    <cfRule type="expression" dxfId="7" priority="2" stopIfTrue="1">
      <formula>$BB$3&lt;&gt;2</formula>
    </cfRule>
    <cfRule type="expression" dxfId="6" priority="7" stopIfTrue="1">
      <formula>$G$22&lt;&gt;"CMI"</formula>
    </cfRule>
  </conditionalFormatting>
  <conditionalFormatting sqref="L7">
    <cfRule type="expression" dxfId="5" priority="1" stopIfTrue="1">
      <formula>$BB$3&lt;&gt;2</formula>
    </cfRule>
  </conditionalFormatting>
  <dataValidations count="5">
    <dataValidation type="list" allowBlank="1" showInputMessage="1" showErrorMessage="1" sqref="G22:I22">
      <formula1>"CMI,Customer"</formula1>
    </dataValidation>
    <dataValidation type="list" allowBlank="1" showInputMessage="1" showErrorMessage="1" errorTitle="Input Error!" error="Please select from list" sqref="H19">
      <formula1>$BC$24:$BC$26</formula1>
    </dataValidation>
    <dataValidation type="list" allowBlank="1" showInputMessage="1" showErrorMessage="1" errorTitle="Input Error!" error="Please select from list" sqref="G20">
      <formula1>"No,Yes"</formula1>
    </dataValidation>
    <dataValidation type="list" allowBlank="1" showInputMessage="1" showErrorMessage="1" errorTitle="Input Error!" error="Please enter Yes or No" sqref="V19:W19">
      <formula1>"No,Yes"</formula1>
    </dataValidation>
    <dataValidation type="list" allowBlank="1" showInputMessage="1" showErrorMessage="1" errorTitle="Input Error!" error="Please select from list" sqref="G6:H6">
      <formula1>$BA$8:$BA$13</formula1>
    </dataValidation>
  </dataValidations>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BZ79"/>
  <sheetViews>
    <sheetView showGridLines="0" showRowColHeaders="0" showZeros="0" zoomScaleNormal="100" workbookViewId="0">
      <selection activeCell="J17" sqref="J17:M17"/>
    </sheetView>
  </sheetViews>
  <sheetFormatPr defaultColWidth="8.85546875" defaultRowHeight="12.75" x14ac:dyDescent="0.2"/>
  <cols>
    <col min="1" max="1" width="1.28515625" style="407" customWidth="1"/>
    <col min="2" max="2" width="3.5703125" style="211" customWidth="1"/>
    <col min="3" max="25" width="4.28515625" style="211" customWidth="1"/>
    <col min="26" max="26" width="4.140625" style="211" customWidth="1"/>
    <col min="27" max="52" width="8.85546875" style="211" customWidth="1"/>
    <col min="53" max="56" width="8.85546875" style="211" hidden="1" customWidth="1"/>
    <col min="57" max="57" width="15.140625" style="211" hidden="1" customWidth="1"/>
    <col min="58" max="78" width="8.85546875" style="211" hidden="1" customWidth="1"/>
    <col min="79" max="16384" width="8.85546875" style="211"/>
  </cols>
  <sheetData>
    <row r="1" spans="1:58" x14ac:dyDescent="0.2">
      <c r="A1" s="211"/>
      <c r="B1" s="300" t="str">
        <f>'Cover Page'!B4</f>
        <v xml:space="preserve"> Production Probes Design Capture Order Form</v>
      </c>
      <c r="C1" s="213"/>
      <c r="D1" s="213"/>
      <c r="E1" s="213"/>
      <c r="F1" s="213"/>
      <c r="G1" s="213"/>
      <c r="H1" s="213"/>
      <c r="I1" s="214"/>
      <c r="J1" s="214"/>
      <c r="K1" s="214"/>
      <c r="L1" s="214"/>
      <c r="N1" s="838"/>
      <c r="O1" s="839"/>
      <c r="P1" s="874"/>
      <c r="Q1" s="873" t="s">
        <v>229</v>
      </c>
      <c r="R1" s="875" t="str">
        <f>'Cover Page'!S19</f>
        <v/>
      </c>
      <c r="S1" s="876"/>
      <c r="T1" s="845"/>
      <c r="U1" s="845"/>
      <c r="V1" s="845"/>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B1" s="399"/>
      <c r="BC1" s="232"/>
    </row>
    <row r="2" spans="1:58" x14ac:dyDescent="0.2">
      <c r="A2" s="211"/>
      <c r="B2" s="300" t="str">
        <f>'Cover Page'!B5</f>
        <v xml:space="preserve"> CQS-03-031-0001  R1.71</v>
      </c>
      <c r="C2" s="213"/>
      <c r="D2" s="213"/>
      <c r="E2" s="213"/>
      <c r="F2" s="213"/>
      <c r="G2" s="213"/>
      <c r="H2" s="213"/>
      <c r="I2" s="214"/>
      <c r="J2" s="214"/>
      <c r="K2" s="214"/>
      <c r="L2" s="214"/>
      <c r="N2" s="838"/>
      <c r="O2" s="839"/>
      <c r="P2" s="874"/>
      <c r="Q2" s="873" t="str">
        <f ca="1">'Cover Page'!T2</f>
        <v>Core P/N:</v>
      </c>
      <c r="R2" s="894" t="str">
        <f>IF(ISBLANK('Cover Page'!U2),"",'Cover Page'!U2)</f>
        <v/>
      </c>
      <c r="S2" s="895"/>
      <c r="T2" s="896"/>
      <c r="U2" s="896"/>
      <c r="V2" s="89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400">
        <f ca="1">IF('Cover Page'!BD27=2,Core!BB20,IF('Cover Page'!BD37=3,'PCB Custom'!BD42,IF('Cover Page'!BD37=2,'PCB Config'!BC6,0)))</f>
        <v>2</v>
      </c>
      <c r="BB2" s="401" t="s">
        <v>491</v>
      </c>
      <c r="BC2" s="232"/>
      <c r="BE2" s="211" t="s">
        <v>982</v>
      </c>
    </row>
    <row r="3" spans="1:58" ht="15.75" x14ac:dyDescent="0.25">
      <c r="A3" s="211"/>
      <c r="B3" s="212" t="s">
        <v>990</v>
      </c>
      <c r="C3" s="213"/>
      <c r="D3" s="213"/>
      <c r="E3" s="213"/>
      <c r="F3" s="213"/>
      <c r="G3" s="213"/>
      <c r="H3" s="213"/>
      <c r="I3" s="214"/>
      <c r="J3" s="214"/>
      <c r="K3" s="214"/>
      <c r="L3" s="214"/>
      <c r="N3" s="838"/>
      <c r="O3" s="851"/>
      <c r="P3" s="874"/>
      <c r="Q3" s="873" t="str">
        <f ca="1">'Cover Page'!T3</f>
        <v>Custom PCB P/N:</v>
      </c>
      <c r="R3" s="894" t="str">
        <f>IF(ISBLANK('Cover Page'!U3),"",'Cover Page'!U3)</f>
        <v/>
      </c>
      <c r="S3" s="895"/>
      <c r="T3" s="896"/>
      <c r="U3" s="896"/>
      <c r="V3" s="89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402">
        <f ca="1">IF(BA4,0,Pinlist_RF_total)</f>
        <v>0</v>
      </c>
      <c r="BB3" s="211" t="s">
        <v>492</v>
      </c>
      <c r="BC3" s="232"/>
      <c r="BE3" s="403" t="str">
        <f>IF('Cover Page'!BD27=2,"Core Only","")</f>
        <v>Core Only</v>
      </c>
      <c r="BF3" s="404"/>
    </row>
    <row r="4" spans="1:58" x14ac:dyDescent="0.2">
      <c r="A4" s="211"/>
      <c r="B4" s="300"/>
      <c r="C4" s="213"/>
      <c r="D4" s="213"/>
      <c r="E4" s="213"/>
      <c r="F4" s="213"/>
      <c r="G4" s="213"/>
      <c r="H4" s="213"/>
      <c r="I4" s="214"/>
      <c r="J4" s="214"/>
      <c r="K4" s="214"/>
      <c r="L4" s="214"/>
      <c r="N4" s="250"/>
      <c r="O4" s="250"/>
      <c r="P4" s="250"/>
      <c r="Q4" s="250"/>
      <c r="R4" s="250"/>
      <c r="S4" s="250"/>
      <c r="T4" s="250"/>
      <c r="U4" s="250"/>
      <c r="V4" s="250"/>
      <c r="W4" s="250"/>
      <c r="X4" s="250"/>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400" t="b">
        <f ca="1">(Core!BJ20="P")</f>
        <v>0</v>
      </c>
      <c r="BB4" s="211" t="s">
        <v>493</v>
      </c>
      <c r="BE4" s="405" t="str">
        <f>IF('Cover Page'!BD37&gt;1,"PCB Only","")</f>
        <v>PCB Only</v>
      </c>
      <c r="BF4" s="406"/>
    </row>
    <row r="5" spans="1:58" x14ac:dyDescent="0.2">
      <c r="B5" s="250"/>
      <c r="C5" s="408"/>
      <c r="D5" s="250"/>
      <c r="E5" s="250"/>
      <c r="F5" s="250"/>
      <c r="G5" s="250"/>
      <c r="H5" s="250"/>
      <c r="I5" s="250"/>
      <c r="J5" s="250"/>
      <c r="K5" s="250"/>
      <c r="L5" s="250"/>
      <c r="M5" s="250"/>
      <c r="N5" s="250"/>
      <c r="O5" s="250"/>
      <c r="P5" s="250"/>
      <c r="Q5" s="250"/>
      <c r="R5" s="250"/>
      <c r="S5" s="250"/>
      <c r="T5" s="250"/>
      <c r="U5" s="250"/>
      <c r="V5" s="250"/>
      <c r="W5" s="250"/>
      <c r="X5" s="250"/>
      <c r="BE5" s="409" t="str">
        <f>IF('Cover Page'!T25="Yes","Core/Board","")</f>
        <v/>
      </c>
      <c r="BF5" s="410"/>
    </row>
    <row r="6" spans="1:58" x14ac:dyDescent="0.2">
      <c r="B6" s="250"/>
      <c r="C6" s="408"/>
      <c r="D6" s="250"/>
      <c r="E6" s="411" t="str">
        <f ca="1">"*** This DesCap contains "&amp;BA3&amp;" RF lines ***"</f>
        <v>*** This DesCap contains 0 RF lines ***</v>
      </c>
      <c r="F6" s="250"/>
      <c r="G6" s="250"/>
      <c r="H6" s="250"/>
      <c r="I6" s="250"/>
      <c r="J6" s="250"/>
      <c r="K6" s="250"/>
      <c r="L6" s="250"/>
      <c r="M6" s="250"/>
      <c r="N6" s="694" t="str">
        <f ca="1">""&amp;Pinlist!D4</f>
        <v/>
      </c>
      <c r="O6" s="250"/>
      <c r="P6" s="250"/>
      <c r="Q6" s="250"/>
      <c r="R6" s="250"/>
      <c r="S6" s="250"/>
      <c r="T6" s="250"/>
      <c r="U6" s="250"/>
      <c r="V6" s="250"/>
      <c r="W6" s="250"/>
      <c r="X6" s="250"/>
      <c r="BA6" s="400">
        <f>IF('PCB Config'!BB3=2,'PCB Config'!BB6,0)</f>
        <v>0</v>
      </c>
      <c r="BB6" s="211" t="s">
        <v>494</v>
      </c>
    </row>
    <row r="7" spans="1:58" x14ac:dyDescent="0.2">
      <c r="B7" s="250"/>
      <c r="C7" s="408"/>
      <c r="D7" s="250"/>
      <c r="F7" s="250"/>
      <c r="G7" s="250"/>
      <c r="H7" s="250"/>
      <c r="I7" s="250"/>
      <c r="J7" s="250"/>
      <c r="K7" s="250"/>
      <c r="L7" s="250"/>
      <c r="M7" s="250"/>
      <c r="N7" s="250"/>
      <c r="O7" s="250"/>
      <c r="P7" s="250"/>
      <c r="Q7" s="250"/>
      <c r="R7" s="250"/>
      <c r="S7" s="250"/>
      <c r="T7" s="250"/>
      <c r="U7" s="250"/>
      <c r="V7" s="250"/>
      <c r="W7" s="250"/>
      <c r="X7" s="250"/>
      <c r="BA7" s="400">
        <f ca="1">IF(BA8,0,SUM('PCB Config'!E27:L27))</f>
        <v>0</v>
      </c>
      <c r="BB7" s="211" t="s">
        <v>495</v>
      </c>
      <c r="BE7" s="211" t="str">
        <f>IF(LEN(BE5)=0,IF(LEN(BE3)=0,BE4,BE3),BE5)</f>
        <v>Core Only</v>
      </c>
    </row>
    <row r="8" spans="1:58" ht="15" thickBot="1" x14ac:dyDescent="0.25">
      <c r="B8" s="250"/>
      <c r="C8" s="412" t="s">
        <v>496</v>
      </c>
      <c r="D8" s="250"/>
      <c r="E8" s="250"/>
      <c r="F8" s="250"/>
      <c r="G8" s="250"/>
      <c r="H8" s="250"/>
      <c r="I8" s="250"/>
      <c r="J8" s="250"/>
      <c r="K8" s="250"/>
      <c r="L8" s="250"/>
      <c r="M8" s="250"/>
      <c r="N8" s="250"/>
      <c r="O8" s="250"/>
      <c r="P8" s="250"/>
      <c r="Q8" s="250"/>
      <c r="R8" s="250"/>
      <c r="S8" s="250"/>
      <c r="T8" s="250"/>
      <c r="U8" s="250"/>
      <c r="V8" s="250"/>
      <c r="W8" s="250"/>
      <c r="X8" s="250"/>
      <c r="BA8" s="400" t="b">
        <f ca="1">IF(BA6&gt;0,OFFSET('PCB Config'!BI6,'Test Notes'!BA6,0)="DC Parametric")</f>
        <v>0</v>
      </c>
      <c r="BB8" s="211" t="s">
        <v>497</v>
      </c>
    </row>
    <row r="9" spans="1:58" ht="13.5" thickBot="1" x14ac:dyDescent="0.25">
      <c r="B9" s="250"/>
      <c r="D9" s="1838" t="s">
        <v>498</v>
      </c>
      <c r="E9" s="1839"/>
      <c r="F9" s="1839"/>
      <c r="G9" s="1839"/>
      <c r="H9" s="1839"/>
      <c r="I9" s="1839"/>
      <c r="J9" s="1821" t="s">
        <v>499</v>
      </c>
      <c r="K9" s="1822"/>
      <c r="L9" s="1822"/>
      <c r="M9" s="1823"/>
      <c r="N9" s="1821" t="s">
        <v>500</v>
      </c>
      <c r="O9" s="1822"/>
      <c r="P9" s="1823"/>
      <c r="R9" s="1837"/>
      <c r="S9" s="1840"/>
      <c r="T9" s="1840"/>
      <c r="U9" s="1840"/>
      <c r="V9" s="1840"/>
      <c r="X9" s="250"/>
      <c r="BA9" s="400"/>
    </row>
    <row r="10" spans="1:58" x14ac:dyDescent="0.2">
      <c r="B10" s="250"/>
      <c r="D10" s="1833" t="s">
        <v>501</v>
      </c>
      <c r="E10" s="1833"/>
      <c r="F10" s="1833"/>
      <c r="G10" s="1833"/>
      <c r="H10" s="1833"/>
      <c r="I10" s="1833"/>
      <c r="J10" s="1827" t="s">
        <v>502</v>
      </c>
      <c r="K10" s="1828"/>
      <c r="L10" s="1828"/>
      <c r="M10" s="1829"/>
      <c r="N10" s="1834" t="s">
        <v>503</v>
      </c>
      <c r="O10" s="1835"/>
      <c r="P10" s="1836"/>
      <c r="R10" s="1837"/>
      <c r="S10" s="1837"/>
      <c r="T10" s="1837"/>
      <c r="U10" s="1837"/>
      <c r="V10" s="1837"/>
      <c r="X10" s="250"/>
      <c r="BA10" s="400"/>
    </row>
    <row r="11" spans="1:58" x14ac:dyDescent="0.2">
      <c r="B11" s="250"/>
      <c r="D11" s="1817" t="s">
        <v>504</v>
      </c>
      <c r="E11" s="1817"/>
      <c r="F11" s="1817"/>
      <c r="G11" s="1817"/>
      <c r="H11" s="1817"/>
      <c r="I11" s="1817"/>
      <c r="J11" s="1827" t="s">
        <v>505</v>
      </c>
      <c r="K11" s="1828"/>
      <c r="L11" s="1828"/>
      <c r="M11" s="1829"/>
      <c r="N11" s="1830" t="str">
        <f>$BE$7</f>
        <v>Core Only</v>
      </c>
      <c r="O11" s="1831"/>
      <c r="P11" s="1832"/>
      <c r="W11" s="250"/>
      <c r="X11" s="250"/>
      <c r="BA11" s="400">
        <f ca="1">IF(BA12,0,SUM('PCB Custom'!F27:S27))</f>
        <v>0</v>
      </c>
      <c r="BB11" s="211" t="s">
        <v>506</v>
      </c>
    </row>
    <row r="12" spans="1:58" x14ac:dyDescent="0.2">
      <c r="B12" s="250"/>
      <c r="D12" s="1833" t="s">
        <v>507</v>
      </c>
      <c r="E12" s="1833"/>
      <c r="F12" s="1833"/>
      <c r="G12" s="1833"/>
      <c r="H12" s="1833"/>
      <c r="I12" s="1833"/>
      <c r="J12" s="1827" t="s">
        <v>502</v>
      </c>
      <c r="K12" s="1828"/>
      <c r="L12" s="1828"/>
      <c r="M12" s="1829"/>
      <c r="N12" s="1830" t="str">
        <f>$BE$7</f>
        <v>Core Only</v>
      </c>
      <c r="O12" s="1831"/>
      <c r="P12" s="1832"/>
      <c r="W12" s="250"/>
      <c r="X12" s="250"/>
      <c r="BA12" s="400" t="b">
        <f ca="1">IF('PCB Custom'!BB3=3,'PCB Custom'!BO7="P",0)</f>
        <v>0</v>
      </c>
      <c r="BB12" s="211" t="s">
        <v>508</v>
      </c>
    </row>
    <row r="13" spans="1:58" x14ac:dyDescent="0.2">
      <c r="B13" s="250"/>
      <c r="C13" s="408"/>
      <c r="D13" s="250"/>
      <c r="E13" s="250"/>
      <c r="F13" s="250"/>
      <c r="G13" s="250"/>
      <c r="H13" s="250"/>
      <c r="I13" s="250"/>
      <c r="J13" s="250"/>
      <c r="K13" s="250"/>
      <c r="L13" s="250"/>
      <c r="M13" s="250"/>
      <c r="N13" s="250"/>
      <c r="O13" s="250"/>
      <c r="P13" s="250"/>
      <c r="Q13" s="250"/>
      <c r="R13" s="250"/>
      <c r="S13" s="250"/>
      <c r="T13" s="250"/>
      <c r="U13" s="250"/>
      <c r="V13" s="250"/>
      <c r="W13" s="250"/>
      <c r="X13" s="250"/>
    </row>
    <row r="14" spans="1:58" x14ac:dyDescent="0.2">
      <c r="BA14" s="211">
        <f ca="1">BA4+BA8+BA12</f>
        <v>0</v>
      </c>
      <c r="BB14" s="211" t="s">
        <v>509</v>
      </c>
    </row>
    <row r="15" spans="1:58" ht="15.75" thickBot="1" x14ac:dyDescent="0.3">
      <c r="B15" s="413"/>
      <c r="C15" s="412" t="s">
        <v>510</v>
      </c>
      <c r="D15" s="217"/>
      <c r="E15" s="256"/>
      <c r="F15" s="217"/>
      <c r="G15" s="217"/>
      <c r="H15" s="217"/>
      <c r="I15" s="414"/>
      <c r="J15" s="217"/>
      <c r="K15" s="217"/>
      <c r="L15" s="217"/>
      <c r="M15" s="217"/>
      <c r="N15" s="217"/>
      <c r="O15" s="217"/>
      <c r="BA15" s="211">
        <f ca="1">BA3+BA7+BA11</f>
        <v>0</v>
      </c>
      <c r="BB15" s="211" t="s">
        <v>166</v>
      </c>
    </row>
    <row r="16" spans="1:58" ht="15.75" thickBot="1" x14ac:dyDescent="0.3">
      <c r="C16" s="413"/>
      <c r="D16" s="1818" t="s">
        <v>511</v>
      </c>
      <c r="E16" s="1819"/>
      <c r="F16" s="1819"/>
      <c r="G16" s="1819"/>
      <c r="H16" s="1819"/>
      <c r="I16" s="1820"/>
      <c r="J16" s="1821" t="s">
        <v>499</v>
      </c>
      <c r="K16" s="1822"/>
      <c r="L16" s="1822"/>
      <c r="M16" s="1823"/>
      <c r="N16" s="1821" t="s">
        <v>500</v>
      </c>
      <c r="O16" s="1822"/>
      <c r="P16" s="1823"/>
    </row>
    <row r="17" spans="1:22" ht="15" x14ac:dyDescent="0.25">
      <c r="B17" s="413"/>
      <c r="C17" s="412"/>
      <c r="D17" s="1808" t="s">
        <v>504</v>
      </c>
      <c r="E17" s="1809"/>
      <c r="F17" s="1809"/>
      <c r="G17" s="1809"/>
      <c r="H17" s="1809"/>
      <c r="I17" s="1810"/>
      <c r="J17" s="1811"/>
      <c r="K17" s="1812"/>
      <c r="L17" s="1812"/>
      <c r="M17" s="1813"/>
      <c r="N17" s="1824"/>
      <c r="O17" s="1825"/>
      <c r="P17" s="1826"/>
    </row>
    <row r="18" spans="1:22" ht="15" x14ac:dyDescent="0.25">
      <c r="C18" s="413"/>
      <c r="D18" s="1808" t="s">
        <v>512</v>
      </c>
      <c r="E18" s="1809"/>
      <c r="F18" s="1809"/>
      <c r="G18" s="1809"/>
      <c r="H18" s="1809"/>
      <c r="I18" s="1810"/>
      <c r="J18" s="1811"/>
      <c r="K18" s="1812"/>
      <c r="L18" s="1812"/>
      <c r="M18" s="1813"/>
      <c r="N18" s="1814"/>
      <c r="O18" s="1815"/>
      <c r="P18" s="1816"/>
    </row>
    <row r="19" spans="1:22" ht="15" x14ac:dyDescent="0.25">
      <c r="B19" s="413"/>
      <c r="C19" s="412"/>
      <c r="D19" s="1808" t="s">
        <v>513</v>
      </c>
      <c r="E19" s="1809"/>
      <c r="F19" s="1809"/>
      <c r="G19" s="1809"/>
      <c r="H19" s="1809"/>
      <c r="I19" s="1810"/>
      <c r="J19" s="1811"/>
      <c r="K19" s="1812"/>
      <c r="L19" s="1812"/>
      <c r="M19" s="1813"/>
      <c r="N19" s="1814"/>
      <c r="O19" s="1815"/>
      <c r="P19" s="1816"/>
    </row>
    <row r="20" spans="1:22" ht="15" x14ac:dyDescent="0.25">
      <c r="B20" s="413"/>
      <c r="C20" s="412"/>
      <c r="D20" s="1817" t="s">
        <v>514</v>
      </c>
      <c r="E20" s="1817"/>
      <c r="F20" s="1817"/>
      <c r="G20" s="1817"/>
      <c r="H20" s="1817"/>
      <c r="I20" s="1817"/>
      <c r="J20" s="1811"/>
      <c r="K20" s="1812"/>
      <c r="L20" s="1812"/>
      <c r="M20" s="1813"/>
      <c r="N20" s="1814"/>
      <c r="O20" s="1815"/>
      <c r="P20" s="1816"/>
    </row>
    <row r="21" spans="1:22" ht="15" x14ac:dyDescent="0.25">
      <c r="B21" s="413"/>
      <c r="C21" s="412"/>
      <c r="D21" s="211" t="s">
        <v>515</v>
      </c>
    </row>
    <row r="23" spans="1:22" ht="15.75" x14ac:dyDescent="0.2">
      <c r="A23" s="415" t="s">
        <v>570</v>
      </c>
    </row>
    <row r="24" spans="1:22" ht="27.95" customHeight="1" x14ac:dyDescent="0.2">
      <c r="A24" s="400"/>
      <c r="B24" s="767">
        <v>1</v>
      </c>
      <c r="C24" s="1805"/>
      <c r="D24" s="1806"/>
      <c r="E24" s="1806"/>
      <c r="F24" s="1806"/>
      <c r="G24" s="1806"/>
      <c r="H24" s="1806"/>
      <c r="I24" s="1806"/>
      <c r="J24" s="1806"/>
      <c r="K24" s="1806"/>
      <c r="L24" s="1806"/>
      <c r="M24" s="1806"/>
      <c r="N24" s="1806"/>
      <c r="O24" s="1806"/>
      <c r="P24" s="1806"/>
      <c r="Q24" s="1806"/>
      <c r="R24" s="1806"/>
      <c r="S24" s="1806"/>
      <c r="T24" s="1806"/>
      <c r="U24" s="1806"/>
      <c r="V24" s="1807"/>
    </row>
    <row r="25" spans="1:22" ht="27.95" customHeight="1" x14ac:dyDescent="0.2">
      <c r="A25" s="400"/>
      <c r="B25" s="416">
        <f>B24+1</f>
        <v>2</v>
      </c>
      <c r="C25" s="1805"/>
      <c r="D25" s="1806"/>
      <c r="E25" s="1806"/>
      <c r="F25" s="1806"/>
      <c r="G25" s="1806"/>
      <c r="H25" s="1806"/>
      <c r="I25" s="1806"/>
      <c r="J25" s="1806"/>
      <c r="K25" s="1806"/>
      <c r="L25" s="1806"/>
      <c r="M25" s="1806"/>
      <c r="N25" s="1806"/>
      <c r="O25" s="1806"/>
      <c r="P25" s="1806"/>
      <c r="Q25" s="1806"/>
      <c r="R25" s="1806"/>
      <c r="S25" s="1806"/>
      <c r="T25" s="1806"/>
      <c r="U25" s="1806"/>
      <c r="V25" s="1807"/>
    </row>
    <row r="26" spans="1:22" ht="27.95" customHeight="1" x14ac:dyDescent="0.2">
      <c r="A26" s="400"/>
      <c r="B26" s="416">
        <f t="shared" ref="B26:B43" si="0">B25+1</f>
        <v>3</v>
      </c>
      <c r="C26" s="1805"/>
      <c r="D26" s="1806"/>
      <c r="E26" s="1806"/>
      <c r="F26" s="1806"/>
      <c r="G26" s="1806"/>
      <c r="H26" s="1806"/>
      <c r="I26" s="1806"/>
      <c r="J26" s="1806"/>
      <c r="K26" s="1806"/>
      <c r="L26" s="1806"/>
      <c r="M26" s="1806"/>
      <c r="N26" s="1806"/>
      <c r="O26" s="1806"/>
      <c r="P26" s="1806"/>
      <c r="Q26" s="1806"/>
      <c r="R26" s="1806"/>
      <c r="S26" s="1806"/>
      <c r="T26" s="1806"/>
      <c r="U26" s="1806"/>
      <c r="V26" s="1807"/>
    </row>
    <row r="27" spans="1:22" ht="27.95" customHeight="1" x14ac:dyDescent="0.2">
      <c r="A27" s="400"/>
      <c r="B27" s="416">
        <f t="shared" si="0"/>
        <v>4</v>
      </c>
      <c r="C27" s="1805"/>
      <c r="D27" s="1806"/>
      <c r="E27" s="1806"/>
      <c r="F27" s="1806"/>
      <c r="G27" s="1806"/>
      <c r="H27" s="1806"/>
      <c r="I27" s="1806"/>
      <c r="J27" s="1806"/>
      <c r="K27" s="1806"/>
      <c r="L27" s="1806"/>
      <c r="M27" s="1806"/>
      <c r="N27" s="1806"/>
      <c r="O27" s="1806"/>
      <c r="P27" s="1806"/>
      <c r="Q27" s="1806"/>
      <c r="R27" s="1806"/>
      <c r="S27" s="1806"/>
      <c r="T27" s="1806"/>
      <c r="U27" s="1806"/>
      <c r="V27" s="1807"/>
    </row>
    <row r="28" spans="1:22" ht="27.95" customHeight="1" x14ac:dyDescent="0.2">
      <c r="A28" s="400"/>
      <c r="B28" s="416">
        <f t="shared" si="0"/>
        <v>5</v>
      </c>
      <c r="C28" s="1805"/>
      <c r="D28" s="1806"/>
      <c r="E28" s="1806"/>
      <c r="F28" s="1806"/>
      <c r="G28" s="1806"/>
      <c r="H28" s="1806"/>
      <c r="I28" s="1806"/>
      <c r="J28" s="1806"/>
      <c r="K28" s="1806"/>
      <c r="L28" s="1806"/>
      <c r="M28" s="1806"/>
      <c r="N28" s="1806"/>
      <c r="O28" s="1806"/>
      <c r="P28" s="1806"/>
      <c r="Q28" s="1806"/>
      <c r="R28" s="1806"/>
      <c r="S28" s="1806"/>
      <c r="T28" s="1806"/>
      <c r="U28" s="1806"/>
      <c r="V28" s="1807"/>
    </row>
    <row r="29" spans="1:22" ht="27.95" customHeight="1" x14ac:dyDescent="0.2">
      <c r="A29" s="400"/>
      <c r="B29" s="416">
        <f t="shared" si="0"/>
        <v>6</v>
      </c>
      <c r="C29" s="1805"/>
      <c r="D29" s="1806"/>
      <c r="E29" s="1806"/>
      <c r="F29" s="1806"/>
      <c r="G29" s="1806"/>
      <c r="H29" s="1806"/>
      <c r="I29" s="1806"/>
      <c r="J29" s="1806"/>
      <c r="K29" s="1806"/>
      <c r="L29" s="1806"/>
      <c r="M29" s="1806"/>
      <c r="N29" s="1806"/>
      <c r="O29" s="1806"/>
      <c r="P29" s="1806"/>
      <c r="Q29" s="1806"/>
      <c r="R29" s="1806"/>
      <c r="S29" s="1806"/>
      <c r="T29" s="1806"/>
      <c r="U29" s="1806"/>
      <c r="V29" s="1807"/>
    </row>
    <row r="30" spans="1:22" ht="27.95" customHeight="1" x14ac:dyDescent="0.2">
      <c r="A30" s="400"/>
      <c r="B30" s="416">
        <f t="shared" si="0"/>
        <v>7</v>
      </c>
      <c r="C30" s="1805"/>
      <c r="D30" s="1806"/>
      <c r="E30" s="1806"/>
      <c r="F30" s="1806"/>
      <c r="G30" s="1806"/>
      <c r="H30" s="1806"/>
      <c r="I30" s="1806"/>
      <c r="J30" s="1806"/>
      <c r="K30" s="1806"/>
      <c r="L30" s="1806"/>
      <c r="M30" s="1806"/>
      <c r="N30" s="1806"/>
      <c r="O30" s="1806"/>
      <c r="P30" s="1806"/>
      <c r="Q30" s="1806"/>
      <c r="R30" s="1806"/>
      <c r="S30" s="1806"/>
      <c r="T30" s="1806"/>
      <c r="U30" s="1806"/>
      <c r="V30" s="1807"/>
    </row>
    <row r="31" spans="1:22" ht="27.95" customHeight="1" x14ac:dyDescent="0.2">
      <c r="A31" s="400"/>
      <c r="B31" s="416">
        <f t="shared" si="0"/>
        <v>8</v>
      </c>
      <c r="C31" s="1805"/>
      <c r="D31" s="1806"/>
      <c r="E31" s="1806"/>
      <c r="F31" s="1806"/>
      <c r="G31" s="1806"/>
      <c r="H31" s="1806"/>
      <c r="I31" s="1806"/>
      <c r="J31" s="1806"/>
      <c r="K31" s="1806"/>
      <c r="L31" s="1806"/>
      <c r="M31" s="1806"/>
      <c r="N31" s="1806"/>
      <c r="O31" s="1806"/>
      <c r="P31" s="1806"/>
      <c r="Q31" s="1806"/>
      <c r="R31" s="1806"/>
      <c r="S31" s="1806"/>
      <c r="T31" s="1806"/>
      <c r="U31" s="1806"/>
      <c r="V31" s="1807"/>
    </row>
    <row r="32" spans="1:22" ht="27.95" customHeight="1" x14ac:dyDescent="0.2">
      <c r="A32" s="400"/>
      <c r="B32" s="416">
        <f t="shared" si="0"/>
        <v>9</v>
      </c>
      <c r="C32" s="1805"/>
      <c r="D32" s="1806"/>
      <c r="E32" s="1806"/>
      <c r="F32" s="1806"/>
      <c r="G32" s="1806"/>
      <c r="H32" s="1806"/>
      <c r="I32" s="1806"/>
      <c r="J32" s="1806"/>
      <c r="K32" s="1806"/>
      <c r="L32" s="1806"/>
      <c r="M32" s="1806"/>
      <c r="N32" s="1806"/>
      <c r="O32" s="1806"/>
      <c r="P32" s="1806"/>
      <c r="Q32" s="1806"/>
      <c r="R32" s="1806"/>
      <c r="S32" s="1806"/>
      <c r="T32" s="1806"/>
      <c r="U32" s="1806"/>
      <c r="V32" s="1807"/>
    </row>
    <row r="33" spans="1:22" ht="27.95" customHeight="1" x14ac:dyDescent="0.2">
      <c r="A33" s="400"/>
      <c r="B33" s="416">
        <f t="shared" si="0"/>
        <v>10</v>
      </c>
      <c r="C33" s="1805"/>
      <c r="D33" s="1806"/>
      <c r="E33" s="1806"/>
      <c r="F33" s="1806"/>
      <c r="G33" s="1806"/>
      <c r="H33" s="1806"/>
      <c r="I33" s="1806"/>
      <c r="J33" s="1806"/>
      <c r="K33" s="1806"/>
      <c r="L33" s="1806"/>
      <c r="M33" s="1806"/>
      <c r="N33" s="1806"/>
      <c r="O33" s="1806"/>
      <c r="P33" s="1806"/>
      <c r="Q33" s="1806"/>
      <c r="R33" s="1806"/>
      <c r="S33" s="1806"/>
      <c r="T33" s="1806"/>
      <c r="U33" s="1806"/>
      <c r="V33" s="1807"/>
    </row>
    <row r="34" spans="1:22" ht="27.95" customHeight="1" x14ac:dyDescent="0.2">
      <c r="A34" s="400"/>
      <c r="B34" s="416">
        <f t="shared" si="0"/>
        <v>11</v>
      </c>
      <c r="C34" s="1805"/>
      <c r="D34" s="1806"/>
      <c r="E34" s="1806"/>
      <c r="F34" s="1806"/>
      <c r="G34" s="1806"/>
      <c r="H34" s="1806"/>
      <c r="I34" s="1806"/>
      <c r="J34" s="1806"/>
      <c r="K34" s="1806"/>
      <c r="L34" s="1806"/>
      <c r="M34" s="1806"/>
      <c r="N34" s="1806"/>
      <c r="O34" s="1806"/>
      <c r="P34" s="1806"/>
      <c r="Q34" s="1806"/>
      <c r="R34" s="1806"/>
      <c r="S34" s="1806"/>
      <c r="T34" s="1806"/>
      <c r="U34" s="1806"/>
      <c r="V34" s="1807"/>
    </row>
    <row r="35" spans="1:22" ht="27.95" customHeight="1" x14ac:dyDescent="0.2">
      <c r="A35" s="400"/>
      <c r="B35" s="416">
        <f t="shared" si="0"/>
        <v>12</v>
      </c>
      <c r="C35" s="1805"/>
      <c r="D35" s="1806"/>
      <c r="E35" s="1806"/>
      <c r="F35" s="1806"/>
      <c r="G35" s="1806"/>
      <c r="H35" s="1806"/>
      <c r="I35" s="1806"/>
      <c r="J35" s="1806"/>
      <c r="K35" s="1806"/>
      <c r="L35" s="1806"/>
      <c r="M35" s="1806"/>
      <c r="N35" s="1806"/>
      <c r="O35" s="1806"/>
      <c r="P35" s="1806"/>
      <c r="Q35" s="1806"/>
      <c r="R35" s="1806"/>
      <c r="S35" s="1806"/>
      <c r="T35" s="1806"/>
      <c r="U35" s="1806"/>
      <c r="V35" s="1807"/>
    </row>
    <row r="36" spans="1:22" ht="27.95" customHeight="1" x14ac:dyDescent="0.2">
      <c r="A36" s="400"/>
      <c r="B36" s="416">
        <f t="shared" si="0"/>
        <v>13</v>
      </c>
      <c r="C36" s="1805"/>
      <c r="D36" s="1806"/>
      <c r="E36" s="1806"/>
      <c r="F36" s="1806"/>
      <c r="G36" s="1806"/>
      <c r="H36" s="1806"/>
      <c r="I36" s="1806"/>
      <c r="J36" s="1806"/>
      <c r="K36" s="1806"/>
      <c r="L36" s="1806"/>
      <c r="M36" s="1806"/>
      <c r="N36" s="1806"/>
      <c r="O36" s="1806"/>
      <c r="P36" s="1806"/>
      <c r="Q36" s="1806"/>
      <c r="R36" s="1806"/>
      <c r="S36" s="1806"/>
      <c r="T36" s="1806"/>
      <c r="U36" s="1806"/>
      <c r="V36" s="1807"/>
    </row>
    <row r="37" spans="1:22" s="401" customFormat="1" ht="27.95" customHeight="1" x14ac:dyDescent="0.25">
      <c r="A37" s="417"/>
      <c r="B37" s="416">
        <f t="shared" si="0"/>
        <v>14</v>
      </c>
      <c r="C37" s="1805"/>
      <c r="D37" s="1806"/>
      <c r="E37" s="1806"/>
      <c r="F37" s="1806"/>
      <c r="G37" s="1806"/>
      <c r="H37" s="1806"/>
      <c r="I37" s="1806"/>
      <c r="J37" s="1806"/>
      <c r="K37" s="1806"/>
      <c r="L37" s="1806"/>
      <c r="M37" s="1806"/>
      <c r="N37" s="1806"/>
      <c r="O37" s="1806"/>
      <c r="P37" s="1806"/>
      <c r="Q37" s="1806"/>
      <c r="R37" s="1806"/>
      <c r="S37" s="1806"/>
      <c r="T37" s="1806"/>
      <c r="U37" s="1806"/>
      <c r="V37" s="1807"/>
    </row>
    <row r="38" spans="1:22" s="401" customFormat="1" ht="27.95" customHeight="1" x14ac:dyDescent="0.2">
      <c r="B38" s="416">
        <f t="shared" si="0"/>
        <v>15</v>
      </c>
      <c r="C38" s="1805"/>
      <c r="D38" s="1806"/>
      <c r="E38" s="1806"/>
      <c r="F38" s="1806"/>
      <c r="G38" s="1806"/>
      <c r="H38" s="1806"/>
      <c r="I38" s="1806"/>
      <c r="J38" s="1806"/>
      <c r="K38" s="1806"/>
      <c r="L38" s="1806"/>
      <c r="M38" s="1806"/>
      <c r="N38" s="1806"/>
      <c r="O38" s="1806"/>
      <c r="P38" s="1806"/>
      <c r="Q38" s="1806"/>
      <c r="R38" s="1806"/>
      <c r="S38" s="1806"/>
      <c r="T38" s="1806"/>
      <c r="U38" s="1806"/>
      <c r="V38" s="1807"/>
    </row>
    <row r="39" spans="1:22" s="401" customFormat="1" ht="27.95" customHeight="1" x14ac:dyDescent="0.2">
      <c r="B39" s="416">
        <f t="shared" si="0"/>
        <v>16</v>
      </c>
      <c r="C39" s="1805"/>
      <c r="D39" s="1806"/>
      <c r="E39" s="1806"/>
      <c r="F39" s="1806"/>
      <c r="G39" s="1806"/>
      <c r="H39" s="1806"/>
      <c r="I39" s="1806"/>
      <c r="J39" s="1806"/>
      <c r="K39" s="1806"/>
      <c r="L39" s="1806"/>
      <c r="M39" s="1806"/>
      <c r="N39" s="1806"/>
      <c r="O39" s="1806"/>
      <c r="P39" s="1806"/>
      <c r="Q39" s="1806"/>
      <c r="R39" s="1806"/>
      <c r="S39" s="1806"/>
      <c r="T39" s="1806"/>
      <c r="U39" s="1806"/>
      <c r="V39" s="1807"/>
    </row>
    <row r="40" spans="1:22" s="401" customFormat="1" ht="27.95" customHeight="1" x14ac:dyDescent="0.2">
      <c r="B40" s="416">
        <f t="shared" si="0"/>
        <v>17</v>
      </c>
      <c r="C40" s="1805"/>
      <c r="D40" s="1806"/>
      <c r="E40" s="1806"/>
      <c r="F40" s="1806"/>
      <c r="G40" s="1806"/>
      <c r="H40" s="1806"/>
      <c r="I40" s="1806"/>
      <c r="J40" s="1806"/>
      <c r="K40" s="1806"/>
      <c r="L40" s="1806"/>
      <c r="M40" s="1806"/>
      <c r="N40" s="1806"/>
      <c r="O40" s="1806"/>
      <c r="P40" s="1806"/>
      <c r="Q40" s="1806"/>
      <c r="R40" s="1806"/>
      <c r="S40" s="1806"/>
      <c r="T40" s="1806"/>
      <c r="U40" s="1806"/>
      <c r="V40" s="1807"/>
    </row>
    <row r="41" spans="1:22" s="401" customFormat="1" ht="27.95" customHeight="1" x14ac:dyDescent="0.2">
      <c r="B41" s="416">
        <f t="shared" si="0"/>
        <v>18</v>
      </c>
      <c r="C41" s="1805"/>
      <c r="D41" s="1806"/>
      <c r="E41" s="1806"/>
      <c r="F41" s="1806"/>
      <c r="G41" s="1806"/>
      <c r="H41" s="1806"/>
      <c r="I41" s="1806"/>
      <c r="J41" s="1806"/>
      <c r="K41" s="1806"/>
      <c r="L41" s="1806"/>
      <c r="M41" s="1806"/>
      <c r="N41" s="1806"/>
      <c r="O41" s="1806"/>
      <c r="P41" s="1806"/>
      <c r="Q41" s="1806"/>
      <c r="R41" s="1806"/>
      <c r="S41" s="1806"/>
      <c r="T41" s="1806"/>
      <c r="U41" s="1806"/>
      <c r="V41" s="1807"/>
    </row>
    <row r="42" spans="1:22" s="401" customFormat="1" ht="27.95" customHeight="1" x14ac:dyDescent="0.2">
      <c r="B42" s="416">
        <f t="shared" si="0"/>
        <v>19</v>
      </c>
      <c r="C42" s="1805"/>
      <c r="D42" s="1806"/>
      <c r="E42" s="1806"/>
      <c r="F42" s="1806"/>
      <c r="G42" s="1806"/>
      <c r="H42" s="1806"/>
      <c r="I42" s="1806"/>
      <c r="J42" s="1806"/>
      <c r="K42" s="1806"/>
      <c r="L42" s="1806"/>
      <c r="M42" s="1806"/>
      <c r="N42" s="1806"/>
      <c r="O42" s="1806"/>
      <c r="P42" s="1806"/>
      <c r="Q42" s="1806"/>
      <c r="R42" s="1806"/>
      <c r="S42" s="1806"/>
      <c r="T42" s="1806"/>
      <c r="U42" s="1806"/>
      <c r="V42" s="1807"/>
    </row>
    <row r="43" spans="1:22" s="401" customFormat="1" ht="27.95" customHeight="1" x14ac:dyDescent="0.2">
      <c r="B43" s="416">
        <f t="shared" si="0"/>
        <v>20</v>
      </c>
      <c r="C43" s="1805"/>
      <c r="D43" s="1806"/>
      <c r="E43" s="1806"/>
      <c r="F43" s="1806"/>
      <c r="G43" s="1806"/>
      <c r="H43" s="1806"/>
      <c r="I43" s="1806"/>
      <c r="J43" s="1806"/>
      <c r="K43" s="1806"/>
      <c r="L43" s="1806"/>
      <c r="M43" s="1806"/>
      <c r="N43" s="1806"/>
      <c r="O43" s="1806"/>
      <c r="P43" s="1806"/>
      <c r="Q43" s="1806"/>
      <c r="R43" s="1806"/>
      <c r="S43" s="1806"/>
      <c r="T43" s="1806"/>
      <c r="U43" s="1806"/>
      <c r="V43" s="1807"/>
    </row>
    <row r="44" spans="1:22" s="401" customFormat="1" x14ac:dyDescent="0.2"/>
    <row r="45" spans="1:22" s="401" customFormat="1" x14ac:dyDescent="0.2"/>
    <row r="46" spans="1:22" s="401" customFormat="1" x14ac:dyDescent="0.2"/>
    <row r="47" spans="1:22" s="401" customFormat="1" x14ac:dyDescent="0.2"/>
    <row r="48" spans="1:22" s="401" customFormat="1" x14ac:dyDescent="0.2"/>
    <row r="49" spans="1:1" s="401" customFormat="1" x14ac:dyDescent="0.2"/>
    <row r="50" spans="1:1" x14ac:dyDescent="0.2">
      <c r="A50" s="400"/>
    </row>
    <row r="51" spans="1:1" x14ac:dyDescent="0.2">
      <c r="A51" s="400"/>
    </row>
    <row r="52" spans="1:1" x14ac:dyDescent="0.2">
      <c r="A52" s="400"/>
    </row>
    <row r="53" spans="1:1" x14ac:dyDescent="0.2">
      <c r="A53" s="400"/>
    </row>
    <row r="54" spans="1:1" x14ac:dyDescent="0.2">
      <c r="A54" s="400"/>
    </row>
    <row r="55" spans="1:1" x14ac:dyDescent="0.2">
      <c r="A55" s="400"/>
    </row>
    <row r="56" spans="1:1" x14ac:dyDescent="0.2">
      <c r="A56" s="400"/>
    </row>
    <row r="57" spans="1:1" x14ac:dyDescent="0.2">
      <c r="A57" s="400"/>
    </row>
    <row r="58" spans="1:1" x14ac:dyDescent="0.2">
      <c r="A58" s="400"/>
    </row>
    <row r="59" spans="1:1" x14ac:dyDescent="0.2">
      <c r="A59" s="400"/>
    </row>
    <row r="60" spans="1:1" x14ac:dyDescent="0.2">
      <c r="A60" s="400"/>
    </row>
    <row r="61" spans="1:1" x14ac:dyDescent="0.2">
      <c r="A61" s="400"/>
    </row>
    <row r="62" spans="1:1" x14ac:dyDescent="0.2">
      <c r="A62" s="400"/>
    </row>
    <row r="63" spans="1:1" x14ac:dyDescent="0.2">
      <c r="A63" s="400"/>
    </row>
    <row r="64" spans="1:1" x14ac:dyDescent="0.2">
      <c r="A64" s="400"/>
    </row>
    <row r="65" spans="1:1" x14ac:dyDescent="0.2">
      <c r="A65" s="400"/>
    </row>
    <row r="66" spans="1:1" x14ac:dyDescent="0.2">
      <c r="A66" s="400"/>
    </row>
    <row r="67" spans="1:1" x14ac:dyDescent="0.2">
      <c r="A67" s="400"/>
    </row>
    <row r="68" spans="1:1" x14ac:dyDescent="0.2">
      <c r="A68" s="400"/>
    </row>
    <row r="69" spans="1:1" x14ac:dyDescent="0.2">
      <c r="A69" s="400"/>
    </row>
    <row r="70" spans="1:1" x14ac:dyDescent="0.2">
      <c r="A70" s="400"/>
    </row>
    <row r="71" spans="1:1" x14ac:dyDescent="0.2">
      <c r="A71" s="400"/>
    </row>
    <row r="72" spans="1:1" x14ac:dyDescent="0.2">
      <c r="A72" s="400"/>
    </row>
    <row r="73" spans="1:1" x14ac:dyDescent="0.2">
      <c r="A73" s="400"/>
    </row>
    <row r="74" spans="1:1" x14ac:dyDescent="0.2">
      <c r="A74" s="400"/>
    </row>
    <row r="75" spans="1:1" x14ac:dyDescent="0.2">
      <c r="A75" s="400"/>
    </row>
    <row r="76" spans="1:1" x14ac:dyDescent="0.2">
      <c r="A76" s="400"/>
    </row>
    <row r="77" spans="1:1" x14ac:dyDescent="0.2">
      <c r="A77" s="400"/>
    </row>
    <row r="78" spans="1:1" x14ac:dyDescent="0.2">
      <c r="A78" s="400"/>
    </row>
    <row r="79" spans="1:1" x14ac:dyDescent="0.2">
      <c r="A79" s="400"/>
    </row>
  </sheetData>
  <sheetProtection password="CC3C" sheet="1" objects="1" scenarios="1" formatCells="0" selectLockedCells="1"/>
  <mergeCells count="49">
    <mergeCell ref="D10:I10"/>
    <mergeCell ref="J10:M10"/>
    <mergeCell ref="N10:P10"/>
    <mergeCell ref="R10:V10"/>
    <mergeCell ref="D9:I9"/>
    <mergeCell ref="J9:M9"/>
    <mergeCell ref="N9:P9"/>
    <mergeCell ref="R9:V9"/>
    <mergeCell ref="D11:I11"/>
    <mergeCell ref="J11:M11"/>
    <mergeCell ref="N11:P11"/>
    <mergeCell ref="D12:I12"/>
    <mergeCell ref="J12:M12"/>
    <mergeCell ref="N12:P12"/>
    <mergeCell ref="D16:I16"/>
    <mergeCell ref="J16:M16"/>
    <mergeCell ref="N16:P16"/>
    <mergeCell ref="D17:I17"/>
    <mergeCell ref="J17:M17"/>
    <mergeCell ref="N17:P17"/>
    <mergeCell ref="C26:V26"/>
    <mergeCell ref="D18:I18"/>
    <mergeCell ref="J18:M18"/>
    <mergeCell ref="N18:P18"/>
    <mergeCell ref="D19:I19"/>
    <mergeCell ref="J19:M19"/>
    <mergeCell ref="N19:P19"/>
    <mergeCell ref="D20:I20"/>
    <mergeCell ref="J20:M20"/>
    <mergeCell ref="N20:P20"/>
    <mergeCell ref="C24:V24"/>
    <mergeCell ref="C25:V25"/>
    <mergeCell ref="C38:V38"/>
    <mergeCell ref="C27:V27"/>
    <mergeCell ref="C28:V28"/>
    <mergeCell ref="C29:V29"/>
    <mergeCell ref="C30:V30"/>
    <mergeCell ref="C31:V31"/>
    <mergeCell ref="C32:V32"/>
    <mergeCell ref="C33:V33"/>
    <mergeCell ref="C34:V34"/>
    <mergeCell ref="C35:V35"/>
    <mergeCell ref="C36:V36"/>
    <mergeCell ref="C37:V37"/>
    <mergeCell ref="C43:V43"/>
    <mergeCell ref="C39:V39"/>
    <mergeCell ref="C40:V40"/>
    <mergeCell ref="C41:V41"/>
    <mergeCell ref="C42:V42"/>
  </mergeCells>
  <phoneticPr fontId="118" type="noConversion"/>
  <conditionalFormatting sqref="D12:N12">
    <cfRule type="expression" dxfId="4" priority="6" stopIfTrue="1">
      <formula>$BA$14=0</formula>
    </cfRule>
  </conditionalFormatting>
  <conditionalFormatting sqref="D10:N10">
    <cfRule type="expression" dxfId="3" priority="4" stopIfTrue="1">
      <formula>($BA$2=0)</formula>
    </cfRule>
  </conditionalFormatting>
  <conditionalFormatting sqref="D17:P20">
    <cfRule type="expression" dxfId="2" priority="2" stopIfTrue="1">
      <formula>OR($BA$15=0,$BA$14&lt;&gt;0)</formula>
    </cfRule>
  </conditionalFormatting>
  <conditionalFormatting sqref="D11:P11">
    <cfRule type="expression" dxfId="1" priority="1" stopIfTrue="1">
      <formula>OR($BA$15=0,$BA$14&lt;&gt;0)</formula>
    </cfRule>
    <cfRule type="expression" dxfId="0" priority="5" stopIfTrue="1">
      <formula>AND($N$17=$N$11,$J$17="Every Article")</formula>
    </cfRule>
  </conditionalFormatting>
  <dataValidations count="3">
    <dataValidation type="list" allowBlank="1" showInputMessage="1" showErrorMessage="1" sqref="J18:M20">
      <formula1>"N/A,First Article Only,Every Article"</formula1>
    </dataValidation>
    <dataValidation type="list" allowBlank="1" showInputMessage="1" showErrorMessage="1" sqref="J17:M17">
      <formula1>"N/A,Every Article"</formula1>
    </dataValidation>
    <dataValidation type="list" allowBlank="1" showInputMessage="1" showErrorMessage="1" sqref="N17:P20">
      <formula1>$BE$3:$BE$5</formula1>
    </dataValidation>
  </dataValidations>
  <pageMargins left="0.75" right="0.75" top="1" bottom="1" header="0.5" footer="0.5"/>
  <pageSetup orientation="portrait" horizontalDpi="4294967292" r:id="rId1"/>
  <headerFooter alignWithMargins="0">
    <oddFooter>&amp;L&amp;8PPD DesCap 730-02-0001
Rev B&amp;C&amp;8&amp;F&amp;R&amp;8Print Date: &amp;D
Time: &amp;T</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6"/>
  <sheetViews>
    <sheetView workbookViewId="0">
      <selection activeCell="E9" sqref="E9"/>
    </sheetView>
  </sheetViews>
  <sheetFormatPr defaultRowHeight="12.75" x14ac:dyDescent="0.2"/>
  <cols>
    <col min="1" max="2" width="11.7109375" style="505" customWidth="1"/>
    <col min="3" max="3" width="6.7109375" style="505" customWidth="1"/>
    <col min="4" max="5" width="8.28515625" style="505" customWidth="1"/>
    <col min="6" max="6" width="8.7109375" style="505" customWidth="1"/>
    <col min="7" max="7" width="82.28515625" style="505" customWidth="1"/>
    <col min="8" max="8" width="8.28515625" style="505" customWidth="1"/>
    <col min="9" max="9" width="5.7109375" style="505" customWidth="1"/>
    <col min="10" max="19" width="9.140625" style="505"/>
    <col min="20" max="20" width="8.85546875" style="505" bestFit="1" customWidth="1"/>
    <col min="21" max="21" width="10.5703125" style="505" bestFit="1" customWidth="1"/>
    <col min="22" max="16384" width="9.140625" style="505"/>
  </cols>
  <sheetData>
    <row r="1" spans="1:21" ht="15.75" x14ac:dyDescent="0.25">
      <c r="A1" s="938" t="s">
        <v>608</v>
      </c>
      <c r="B1" s="1252"/>
      <c r="C1" s="1252"/>
      <c r="D1" s="1252"/>
      <c r="E1" s="1252"/>
      <c r="K1" s="827" t="s">
        <v>706</v>
      </c>
      <c r="L1" s="827" t="s">
        <v>707</v>
      </c>
      <c r="M1" s="827" t="s">
        <v>708</v>
      </c>
      <c r="N1" s="827" t="s">
        <v>709</v>
      </c>
      <c r="O1" s="827" t="s">
        <v>710</v>
      </c>
      <c r="P1" s="827" t="s">
        <v>711</v>
      </c>
      <c r="Q1" s="827" t="s">
        <v>712</v>
      </c>
      <c r="R1" s="827" t="s">
        <v>713</v>
      </c>
      <c r="S1" s="827" t="s">
        <v>714</v>
      </c>
      <c r="T1" s="1270" t="s">
        <v>886</v>
      </c>
      <c r="U1" s="1270" t="s">
        <v>887</v>
      </c>
    </row>
    <row r="2" spans="1:21" x14ac:dyDescent="0.2">
      <c r="K2" s="826">
        <f>IF(OR(DUT!G18="No",DUT!BD20=TRUE),1,DUT!L18)</f>
        <v>1</v>
      </c>
      <c r="L2" s="826">
        <f>IF(DUT!BC13=1,"No",DUT!L15)</f>
        <v>0</v>
      </c>
      <c r="M2" s="826">
        <f>IF(DUT!H22="Room Temp",37,DUT!N22)</f>
        <v>0</v>
      </c>
      <c r="N2" s="826">
        <f>IF(DUT!H22="Room Temp",37,DUT!R22)</f>
        <v>0</v>
      </c>
      <c r="O2" s="826">
        <f>IF(AND(DUT!G14="Yes",DUT!BC13=0),DUT!N14,DUT!G12)</f>
        <v>0</v>
      </c>
      <c r="P2" s="826">
        <f>IF(AND(DUT!G14="Yes",DUT!BC13=0),DUT!Q14,DUT!J12)</f>
        <v>0</v>
      </c>
      <c r="Q2" s="826">
        <f ca="1">Chart!BM27</f>
        <v>0</v>
      </c>
      <c r="R2" s="826">
        <f>Pinlist!P5+Pinlist!R5-Pinlist_TFIF-Pinlist_TFIT-Pinlist_TFIP</f>
        <v>0</v>
      </c>
      <c r="S2" s="828" t="str">
        <f>IF(Pinlist!C3&gt;1,"Yes","No")</f>
        <v>No</v>
      </c>
      <c r="T2" s="1262" t="e">
        <f>VLOOKUP(DUT!$G$9,DUT!$BA$5:$BB$12,2,0)</f>
        <v>#N/A</v>
      </c>
      <c r="U2" s="1263">
        <f ca="1">IF(Core!$CE$20,Core!$I$16,"No")</f>
        <v>0</v>
      </c>
    </row>
    <row r="4" spans="1:21" s="246" customFormat="1" x14ac:dyDescent="0.2">
      <c r="A4" s="246" t="s">
        <v>720</v>
      </c>
    </row>
    <row r="5" spans="1:21" s="246" customFormat="1" x14ac:dyDescent="0.2">
      <c r="A5" s="246" t="s">
        <v>528</v>
      </c>
      <c r="B5" s="246" t="s">
        <v>715</v>
      </c>
      <c r="C5" s="246" t="s">
        <v>160</v>
      </c>
      <c r="D5" s="246" t="s">
        <v>158</v>
      </c>
      <c r="E5" s="246" t="s">
        <v>716</v>
      </c>
      <c r="F5" s="246" t="s">
        <v>575</v>
      </c>
      <c r="G5" s="246" t="s">
        <v>717</v>
      </c>
      <c r="H5" s="246" t="s">
        <v>718</v>
      </c>
      <c r="J5" s="246" t="s">
        <v>719</v>
      </c>
    </row>
    <row r="6" spans="1:21" s="246" customFormat="1" x14ac:dyDescent="0.2">
      <c r="A6" s="246" t="s">
        <v>721</v>
      </c>
    </row>
  </sheetData>
  <sheetProtection formatCells="0" formatColumns="0" formatRows="0" insertRows="0" deleteRows="0"/>
  <phoneticPr fontId="118" type="noConversion"/>
  <dataValidations count="2">
    <dataValidation type="list" allowBlank="1" showInputMessage="1" showErrorMessage="1" error="Only the following component types are allowed: &quot;CAP&quot;, &quot;RES&quot;, &quot;IND&quot;, &quot;TFI&quot;, &quot;OPEN&quot;, and &quot;SHORT&quot;" promptTitle="Please select component type. " sqref="C5">
      <formula1>"CAP,RES,IND,TFI,OPEN,SHORT"</formula1>
    </dataValidation>
    <dataValidation type="list" allowBlank="1" showInputMessage="1" showErrorMessage="1" error="Only the following values are allowed: TRUE and FALSE" sqref="H5">
      <formula1>"TRUE,FALSE"</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G812"/>
  <sheetViews>
    <sheetView showGridLines="0" workbookViewId="0">
      <selection activeCell="I13" sqref="I13"/>
    </sheetView>
  </sheetViews>
  <sheetFormatPr defaultColWidth="8.85546875" defaultRowHeight="12.75" x14ac:dyDescent="0.2"/>
  <cols>
    <col min="1" max="2" width="3.42578125" style="942" customWidth="1"/>
    <col min="3" max="3" width="4.140625" style="942" customWidth="1"/>
    <col min="4" max="4" width="7.42578125" style="942" bestFit="1" customWidth="1"/>
    <col min="5" max="5" width="6.7109375" style="942" customWidth="1"/>
    <col min="6" max="6" width="6.5703125" style="942" customWidth="1"/>
    <col min="7" max="7" width="11" style="942" customWidth="1"/>
    <col min="8" max="8" width="13.5703125" style="942" bestFit="1" customWidth="1"/>
    <col min="9" max="9" width="10" style="979" bestFit="1" customWidth="1"/>
    <col min="10" max="10" width="10" style="979" customWidth="1"/>
    <col min="11" max="11" width="9.28515625" style="942" bestFit="1" customWidth="1"/>
    <col min="12" max="12" width="8.42578125" style="942" customWidth="1"/>
    <col min="13" max="13" width="11" style="942" bestFit="1" customWidth="1"/>
    <col min="14" max="14" width="8.7109375" style="942" bestFit="1" customWidth="1"/>
    <col min="15" max="15" width="8.42578125" style="942" bestFit="1" customWidth="1"/>
    <col min="16" max="17" width="8.7109375" style="942" customWidth="1"/>
    <col min="18" max="18" width="8.28515625" style="942" customWidth="1"/>
    <col min="19" max="19" width="12.85546875" style="942" customWidth="1"/>
    <col min="20" max="22" width="9.42578125" style="942" customWidth="1"/>
    <col min="23" max="23" width="7.7109375" style="942" bestFit="1" customWidth="1"/>
    <col min="24" max="24" width="9.28515625" style="980" bestFit="1" customWidth="1"/>
    <col min="25" max="25" width="9.85546875" style="942" bestFit="1" customWidth="1"/>
    <col min="26" max="26" width="9" style="942" bestFit="1" customWidth="1"/>
    <col min="27" max="27" width="8.5703125" style="980" bestFit="1" customWidth="1"/>
    <col min="28" max="28" width="5.28515625" style="942" bestFit="1" customWidth="1"/>
    <col min="29" max="29" width="9.42578125" style="942" bestFit="1" customWidth="1"/>
    <col min="30" max="30" width="6.42578125" style="942" bestFit="1" customWidth="1"/>
    <col min="31" max="31" width="5.140625" style="942" bestFit="1" customWidth="1"/>
    <col min="32" max="32" width="10.5703125" style="942" customWidth="1"/>
    <col min="33" max="33" width="31.5703125" style="942" bestFit="1" customWidth="1"/>
    <col min="34" max="258" width="8.85546875" style="942"/>
    <col min="259" max="260" width="3.42578125" style="942" customWidth="1"/>
    <col min="261" max="261" width="4.140625" style="942" customWidth="1"/>
    <col min="262" max="262" width="6.7109375" style="942" customWidth="1"/>
    <col min="263" max="263" width="6.5703125" style="942" customWidth="1"/>
    <col min="264" max="264" width="11" style="942" customWidth="1"/>
    <col min="265" max="265" width="9.140625" style="942" bestFit="1" customWidth="1"/>
    <col min="266" max="266" width="10" style="942" bestFit="1" customWidth="1"/>
    <col min="267" max="267" width="9.28515625" style="942" bestFit="1" customWidth="1"/>
    <col min="268" max="268" width="8.42578125" style="942" customWidth="1"/>
    <col min="269" max="269" width="11" style="942" bestFit="1" customWidth="1"/>
    <col min="270" max="270" width="8.7109375" style="942" bestFit="1" customWidth="1"/>
    <col min="271" max="271" width="8.42578125" style="942" bestFit="1" customWidth="1"/>
    <col min="272" max="273" width="8.7109375" style="942" customWidth="1"/>
    <col min="274" max="274" width="8.28515625" style="942" customWidth="1"/>
    <col min="275" max="275" width="12.85546875" style="942" customWidth="1"/>
    <col min="276" max="278" width="9.42578125" style="942" customWidth="1"/>
    <col min="279" max="279" width="7.7109375" style="942" bestFit="1" customWidth="1"/>
    <col min="280" max="280" width="9.28515625" style="942" bestFit="1" customWidth="1"/>
    <col min="281" max="281" width="9.85546875" style="942" bestFit="1" customWidth="1"/>
    <col min="282" max="282" width="9" style="942" bestFit="1" customWidth="1"/>
    <col min="283" max="283" width="8.5703125" style="942" bestFit="1" customWidth="1"/>
    <col min="284" max="284" width="5.28515625" style="942" bestFit="1" customWidth="1"/>
    <col min="285" max="285" width="9.42578125" style="942" bestFit="1" customWidth="1"/>
    <col min="286" max="286" width="6.42578125" style="942" bestFit="1" customWidth="1"/>
    <col min="287" max="287" width="5.140625" style="942" bestFit="1" customWidth="1"/>
    <col min="288" max="288" width="10.5703125" style="942" customWidth="1"/>
    <col min="289" max="289" width="31.5703125" style="942" bestFit="1" customWidth="1"/>
    <col min="290" max="514" width="8.85546875" style="942"/>
    <col min="515" max="516" width="3.42578125" style="942" customWidth="1"/>
    <col min="517" max="517" width="4.140625" style="942" customWidth="1"/>
    <col min="518" max="518" width="6.7109375" style="942" customWidth="1"/>
    <col min="519" max="519" width="6.5703125" style="942" customWidth="1"/>
    <col min="520" max="520" width="11" style="942" customWidth="1"/>
    <col min="521" max="521" width="9.140625" style="942" bestFit="1" customWidth="1"/>
    <col min="522" max="522" width="10" style="942" bestFit="1" customWidth="1"/>
    <col min="523" max="523" width="9.28515625" style="942" bestFit="1" customWidth="1"/>
    <col min="524" max="524" width="8.42578125" style="942" customWidth="1"/>
    <col min="525" max="525" width="11" style="942" bestFit="1" customWidth="1"/>
    <col min="526" max="526" width="8.7109375" style="942" bestFit="1" customWidth="1"/>
    <col min="527" max="527" width="8.42578125" style="942" bestFit="1" customWidth="1"/>
    <col min="528" max="529" width="8.7109375" style="942" customWidth="1"/>
    <col min="530" max="530" width="8.28515625" style="942" customWidth="1"/>
    <col min="531" max="531" width="12.85546875" style="942" customWidth="1"/>
    <col min="532" max="534" width="9.42578125" style="942" customWidth="1"/>
    <col min="535" max="535" width="7.7109375" style="942" bestFit="1" customWidth="1"/>
    <col min="536" max="536" width="9.28515625" style="942" bestFit="1" customWidth="1"/>
    <col min="537" max="537" width="9.85546875" style="942" bestFit="1" customWidth="1"/>
    <col min="538" max="538" width="9" style="942" bestFit="1" customWidth="1"/>
    <col min="539" max="539" width="8.5703125" style="942" bestFit="1" customWidth="1"/>
    <col min="540" max="540" width="5.28515625" style="942" bestFit="1" customWidth="1"/>
    <col min="541" max="541" width="9.42578125" style="942" bestFit="1" customWidth="1"/>
    <col min="542" max="542" width="6.42578125" style="942" bestFit="1" customWidth="1"/>
    <col min="543" max="543" width="5.140625" style="942" bestFit="1" customWidth="1"/>
    <col min="544" max="544" width="10.5703125" style="942" customWidth="1"/>
    <col min="545" max="545" width="31.5703125" style="942" bestFit="1" customWidth="1"/>
    <col min="546" max="770" width="8.85546875" style="942"/>
    <col min="771" max="772" width="3.42578125" style="942" customWidth="1"/>
    <col min="773" max="773" width="4.140625" style="942" customWidth="1"/>
    <col min="774" max="774" width="6.7109375" style="942" customWidth="1"/>
    <col min="775" max="775" width="6.5703125" style="942" customWidth="1"/>
    <col min="776" max="776" width="11" style="942" customWidth="1"/>
    <col min="777" max="777" width="9.140625" style="942" bestFit="1" customWidth="1"/>
    <col min="778" max="778" width="10" style="942" bestFit="1" customWidth="1"/>
    <col min="779" max="779" width="9.28515625" style="942" bestFit="1" customWidth="1"/>
    <col min="780" max="780" width="8.42578125" style="942" customWidth="1"/>
    <col min="781" max="781" width="11" style="942" bestFit="1" customWidth="1"/>
    <col min="782" max="782" width="8.7109375" style="942" bestFit="1" customWidth="1"/>
    <col min="783" max="783" width="8.42578125" style="942" bestFit="1" customWidth="1"/>
    <col min="784" max="785" width="8.7109375" style="942" customWidth="1"/>
    <col min="786" max="786" width="8.28515625" style="942" customWidth="1"/>
    <col min="787" max="787" width="12.85546875" style="942" customWidth="1"/>
    <col min="788" max="790" width="9.42578125" style="942" customWidth="1"/>
    <col min="791" max="791" width="7.7109375" style="942" bestFit="1" customWidth="1"/>
    <col min="792" max="792" width="9.28515625" style="942" bestFit="1" customWidth="1"/>
    <col min="793" max="793" width="9.85546875" style="942" bestFit="1" customWidth="1"/>
    <col min="794" max="794" width="9" style="942" bestFit="1" customWidth="1"/>
    <col min="795" max="795" width="8.5703125" style="942" bestFit="1" customWidth="1"/>
    <col min="796" max="796" width="5.28515625" style="942" bestFit="1" customWidth="1"/>
    <col min="797" max="797" width="9.42578125" style="942" bestFit="1" customWidth="1"/>
    <col min="798" max="798" width="6.42578125" style="942" bestFit="1" customWidth="1"/>
    <col min="799" max="799" width="5.140625" style="942" bestFit="1" customWidth="1"/>
    <col min="800" max="800" width="10.5703125" style="942" customWidth="1"/>
    <col min="801" max="801" width="31.5703125" style="942" bestFit="1" customWidth="1"/>
    <col min="802" max="1026" width="8.85546875" style="942"/>
    <col min="1027" max="1028" width="3.42578125" style="942" customWidth="1"/>
    <col min="1029" max="1029" width="4.140625" style="942" customWidth="1"/>
    <col min="1030" max="1030" width="6.7109375" style="942" customWidth="1"/>
    <col min="1031" max="1031" width="6.5703125" style="942" customWidth="1"/>
    <col min="1032" max="1032" width="11" style="942" customWidth="1"/>
    <col min="1033" max="1033" width="9.140625" style="942" bestFit="1" customWidth="1"/>
    <col min="1034" max="1034" width="10" style="942" bestFit="1" customWidth="1"/>
    <col min="1035" max="1035" width="9.28515625" style="942" bestFit="1" customWidth="1"/>
    <col min="1036" max="1036" width="8.42578125" style="942" customWidth="1"/>
    <col min="1037" max="1037" width="11" style="942" bestFit="1" customWidth="1"/>
    <col min="1038" max="1038" width="8.7109375" style="942" bestFit="1" customWidth="1"/>
    <col min="1039" max="1039" width="8.42578125" style="942" bestFit="1" customWidth="1"/>
    <col min="1040" max="1041" width="8.7109375" style="942" customWidth="1"/>
    <col min="1042" max="1042" width="8.28515625" style="942" customWidth="1"/>
    <col min="1043" max="1043" width="12.85546875" style="942" customWidth="1"/>
    <col min="1044" max="1046" width="9.42578125" style="942" customWidth="1"/>
    <col min="1047" max="1047" width="7.7109375" style="942" bestFit="1" customWidth="1"/>
    <col min="1048" max="1048" width="9.28515625" style="942" bestFit="1" customWidth="1"/>
    <col min="1049" max="1049" width="9.85546875" style="942" bestFit="1" customWidth="1"/>
    <col min="1050" max="1050" width="9" style="942" bestFit="1" customWidth="1"/>
    <col min="1051" max="1051" width="8.5703125" style="942" bestFit="1" customWidth="1"/>
    <col min="1052" max="1052" width="5.28515625" style="942" bestFit="1" customWidth="1"/>
    <col min="1053" max="1053" width="9.42578125" style="942" bestFit="1" customWidth="1"/>
    <col min="1054" max="1054" width="6.42578125" style="942" bestFit="1" customWidth="1"/>
    <col min="1055" max="1055" width="5.140625" style="942" bestFit="1" customWidth="1"/>
    <col min="1056" max="1056" width="10.5703125" style="942" customWidth="1"/>
    <col min="1057" max="1057" width="31.5703125" style="942" bestFit="1" customWidth="1"/>
    <col min="1058" max="1282" width="8.85546875" style="942"/>
    <col min="1283" max="1284" width="3.42578125" style="942" customWidth="1"/>
    <col min="1285" max="1285" width="4.140625" style="942" customWidth="1"/>
    <col min="1286" max="1286" width="6.7109375" style="942" customWidth="1"/>
    <col min="1287" max="1287" width="6.5703125" style="942" customWidth="1"/>
    <col min="1288" max="1288" width="11" style="942" customWidth="1"/>
    <col min="1289" max="1289" width="9.140625" style="942" bestFit="1" customWidth="1"/>
    <col min="1290" max="1290" width="10" style="942" bestFit="1" customWidth="1"/>
    <col min="1291" max="1291" width="9.28515625" style="942" bestFit="1" customWidth="1"/>
    <col min="1292" max="1292" width="8.42578125" style="942" customWidth="1"/>
    <col min="1293" max="1293" width="11" style="942" bestFit="1" customWidth="1"/>
    <col min="1294" max="1294" width="8.7109375" style="942" bestFit="1" customWidth="1"/>
    <col min="1295" max="1295" width="8.42578125" style="942" bestFit="1" customWidth="1"/>
    <col min="1296" max="1297" width="8.7109375" style="942" customWidth="1"/>
    <col min="1298" max="1298" width="8.28515625" style="942" customWidth="1"/>
    <col min="1299" max="1299" width="12.85546875" style="942" customWidth="1"/>
    <col min="1300" max="1302" width="9.42578125" style="942" customWidth="1"/>
    <col min="1303" max="1303" width="7.7109375" style="942" bestFit="1" customWidth="1"/>
    <col min="1304" max="1304" width="9.28515625" style="942" bestFit="1" customWidth="1"/>
    <col min="1305" max="1305" width="9.85546875" style="942" bestFit="1" customWidth="1"/>
    <col min="1306" max="1306" width="9" style="942" bestFit="1" customWidth="1"/>
    <col min="1307" max="1307" width="8.5703125" style="942" bestFit="1" customWidth="1"/>
    <col min="1308" max="1308" width="5.28515625" style="942" bestFit="1" customWidth="1"/>
    <col min="1309" max="1309" width="9.42578125" style="942" bestFit="1" customWidth="1"/>
    <col min="1310" max="1310" width="6.42578125" style="942" bestFit="1" customWidth="1"/>
    <col min="1311" max="1311" width="5.140625" style="942" bestFit="1" customWidth="1"/>
    <col min="1312" max="1312" width="10.5703125" style="942" customWidth="1"/>
    <col min="1313" max="1313" width="31.5703125" style="942" bestFit="1" customWidth="1"/>
    <col min="1314" max="1538" width="8.85546875" style="942"/>
    <col min="1539" max="1540" width="3.42578125" style="942" customWidth="1"/>
    <col min="1541" max="1541" width="4.140625" style="942" customWidth="1"/>
    <col min="1542" max="1542" width="6.7109375" style="942" customWidth="1"/>
    <col min="1543" max="1543" width="6.5703125" style="942" customWidth="1"/>
    <col min="1544" max="1544" width="11" style="942" customWidth="1"/>
    <col min="1545" max="1545" width="9.140625" style="942" bestFit="1" customWidth="1"/>
    <col min="1546" max="1546" width="10" style="942" bestFit="1" customWidth="1"/>
    <col min="1547" max="1547" width="9.28515625" style="942" bestFit="1" customWidth="1"/>
    <col min="1548" max="1548" width="8.42578125" style="942" customWidth="1"/>
    <col min="1549" max="1549" width="11" style="942" bestFit="1" customWidth="1"/>
    <col min="1550" max="1550" width="8.7109375" style="942" bestFit="1" customWidth="1"/>
    <col min="1551" max="1551" width="8.42578125" style="942" bestFit="1" customWidth="1"/>
    <col min="1552" max="1553" width="8.7109375" style="942" customWidth="1"/>
    <col min="1554" max="1554" width="8.28515625" style="942" customWidth="1"/>
    <col min="1555" max="1555" width="12.85546875" style="942" customWidth="1"/>
    <col min="1556" max="1558" width="9.42578125" style="942" customWidth="1"/>
    <col min="1559" max="1559" width="7.7109375" style="942" bestFit="1" customWidth="1"/>
    <col min="1560" max="1560" width="9.28515625" style="942" bestFit="1" customWidth="1"/>
    <col min="1561" max="1561" width="9.85546875" style="942" bestFit="1" customWidth="1"/>
    <col min="1562" max="1562" width="9" style="942" bestFit="1" customWidth="1"/>
    <col min="1563" max="1563" width="8.5703125" style="942" bestFit="1" customWidth="1"/>
    <col min="1564" max="1564" width="5.28515625" style="942" bestFit="1" customWidth="1"/>
    <col min="1565" max="1565" width="9.42578125" style="942" bestFit="1" customWidth="1"/>
    <col min="1566" max="1566" width="6.42578125" style="942" bestFit="1" customWidth="1"/>
    <col min="1567" max="1567" width="5.140625" style="942" bestFit="1" customWidth="1"/>
    <col min="1568" max="1568" width="10.5703125" style="942" customWidth="1"/>
    <col min="1569" max="1569" width="31.5703125" style="942" bestFit="1" customWidth="1"/>
    <col min="1570" max="1794" width="8.85546875" style="942"/>
    <col min="1795" max="1796" width="3.42578125" style="942" customWidth="1"/>
    <col min="1797" max="1797" width="4.140625" style="942" customWidth="1"/>
    <col min="1798" max="1798" width="6.7109375" style="942" customWidth="1"/>
    <col min="1799" max="1799" width="6.5703125" style="942" customWidth="1"/>
    <col min="1800" max="1800" width="11" style="942" customWidth="1"/>
    <col min="1801" max="1801" width="9.140625" style="942" bestFit="1" customWidth="1"/>
    <col min="1802" max="1802" width="10" style="942" bestFit="1" customWidth="1"/>
    <col min="1803" max="1803" width="9.28515625" style="942" bestFit="1" customWidth="1"/>
    <col min="1804" max="1804" width="8.42578125" style="942" customWidth="1"/>
    <col min="1805" max="1805" width="11" style="942" bestFit="1" customWidth="1"/>
    <col min="1806" max="1806" width="8.7109375" style="942" bestFit="1" customWidth="1"/>
    <col min="1807" max="1807" width="8.42578125" style="942" bestFit="1" customWidth="1"/>
    <col min="1808" max="1809" width="8.7109375" style="942" customWidth="1"/>
    <col min="1810" max="1810" width="8.28515625" style="942" customWidth="1"/>
    <col min="1811" max="1811" width="12.85546875" style="942" customWidth="1"/>
    <col min="1812" max="1814" width="9.42578125" style="942" customWidth="1"/>
    <col min="1815" max="1815" width="7.7109375" style="942" bestFit="1" customWidth="1"/>
    <col min="1816" max="1816" width="9.28515625" style="942" bestFit="1" customWidth="1"/>
    <col min="1817" max="1817" width="9.85546875" style="942" bestFit="1" customWidth="1"/>
    <col min="1818" max="1818" width="9" style="942" bestFit="1" customWidth="1"/>
    <col min="1819" max="1819" width="8.5703125" style="942" bestFit="1" customWidth="1"/>
    <col min="1820" max="1820" width="5.28515625" style="942" bestFit="1" customWidth="1"/>
    <col min="1821" max="1821" width="9.42578125" style="942" bestFit="1" customWidth="1"/>
    <col min="1822" max="1822" width="6.42578125" style="942" bestFit="1" customWidth="1"/>
    <col min="1823" max="1823" width="5.140625" style="942" bestFit="1" customWidth="1"/>
    <col min="1824" max="1824" width="10.5703125" style="942" customWidth="1"/>
    <col min="1825" max="1825" width="31.5703125" style="942" bestFit="1" customWidth="1"/>
    <col min="1826" max="2050" width="8.85546875" style="942"/>
    <col min="2051" max="2052" width="3.42578125" style="942" customWidth="1"/>
    <col min="2053" max="2053" width="4.140625" style="942" customWidth="1"/>
    <col min="2054" max="2054" width="6.7109375" style="942" customWidth="1"/>
    <col min="2055" max="2055" width="6.5703125" style="942" customWidth="1"/>
    <col min="2056" max="2056" width="11" style="942" customWidth="1"/>
    <col min="2057" max="2057" width="9.140625" style="942" bestFit="1" customWidth="1"/>
    <col min="2058" max="2058" width="10" style="942" bestFit="1" customWidth="1"/>
    <col min="2059" max="2059" width="9.28515625" style="942" bestFit="1" customWidth="1"/>
    <col min="2060" max="2060" width="8.42578125" style="942" customWidth="1"/>
    <col min="2061" max="2061" width="11" style="942" bestFit="1" customWidth="1"/>
    <col min="2062" max="2062" width="8.7109375" style="942" bestFit="1" customWidth="1"/>
    <col min="2063" max="2063" width="8.42578125" style="942" bestFit="1" customWidth="1"/>
    <col min="2064" max="2065" width="8.7109375" style="942" customWidth="1"/>
    <col min="2066" max="2066" width="8.28515625" style="942" customWidth="1"/>
    <col min="2067" max="2067" width="12.85546875" style="942" customWidth="1"/>
    <col min="2068" max="2070" width="9.42578125" style="942" customWidth="1"/>
    <col min="2071" max="2071" width="7.7109375" style="942" bestFit="1" customWidth="1"/>
    <col min="2072" max="2072" width="9.28515625" style="942" bestFit="1" customWidth="1"/>
    <col min="2073" max="2073" width="9.85546875" style="942" bestFit="1" customWidth="1"/>
    <col min="2074" max="2074" width="9" style="942" bestFit="1" customWidth="1"/>
    <col min="2075" max="2075" width="8.5703125" style="942" bestFit="1" customWidth="1"/>
    <col min="2076" max="2076" width="5.28515625" style="942" bestFit="1" customWidth="1"/>
    <col min="2077" max="2077" width="9.42578125" style="942" bestFit="1" customWidth="1"/>
    <col min="2078" max="2078" width="6.42578125" style="942" bestFit="1" customWidth="1"/>
    <col min="2079" max="2079" width="5.140625" style="942" bestFit="1" customWidth="1"/>
    <col min="2080" max="2080" width="10.5703125" style="942" customWidth="1"/>
    <col min="2081" max="2081" width="31.5703125" style="942" bestFit="1" customWidth="1"/>
    <col min="2082" max="2306" width="8.85546875" style="942"/>
    <col min="2307" max="2308" width="3.42578125" style="942" customWidth="1"/>
    <col min="2309" max="2309" width="4.140625" style="942" customWidth="1"/>
    <col min="2310" max="2310" width="6.7109375" style="942" customWidth="1"/>
    <col min="2311" max="2311" width="6.5703125" style="942" customWidth="1"/>
    <col min="2312" max="2312" width="11" style="942" customWidth="1"/>
    <col min="2313" max="2313" width="9.140625" style="942" bestFit="1" customWidth="1"/>
    <col min="2314" max="2314" width="10" style="942" bestFit="1" customWidth="1"/>
    <col min="2315" max="2315" width="9.28515625" style="942" bestFit="1" customWidth="1"/>
    <col min="2316" max="2316" width="8.42578125" style="942" customWidth="1"/>
    <col min="2317" max="2317" width="11" style="942" bestFit="1" customWidth="1"/>
    <col min="2318" max="2318" width="8.7109375" style="942" bestFit="1" customWidth="1"/>
    <col min="2319" max="2319" width="8.42578125" style="942" bestFit="1" customWidth="1"/>
    <col min="2320" max="2321" width="8.7109375" style="942" customWidth="1"/>
    <col min="2322" max="2322" width="8.28515625" style="942" customWidth="1"/>
    <col min="2323" max="2323" width="12.85546875" style="942" customWidth="1"/>
    <col min="2324" max="2326" width="9.42578125" style="942" customWidth="1"/>
    <col min="2327" max="2327" width="7.7109375" style="942" bestFit="1" customWidth="1"/>
    <col min="2328" max="2328" width="9.28515625" style="942" bestFit="1" customWidth="1"/>
    <col min="2329" max="2329" width="9.85546875" style="942" bestFit="1" customWidth="1"/>
    <col min="2330" max="2330" width="9" style="942" bestFit="1" customWidth="1"/>
    <col min="2331" max="2331" width="8.5703125" style="942" bestFit="1" customWidth="1"/>
    <col min="2332" max="2332" width="5.28515625" style="942" bestFit="1" customWidth="1"/>
    <col min="2333" max="2333" width="9.42578125" style="942" bestFit="1" customWidth="1"/>
    <col min="2334" max="2334" width="6.42578125" style="942" bestFit="1" customWidth="1"/>
    <col min="2335" max="2335" width="5.140625" style="942" bestFit="1" customWidth="1"/>
    <col min="2336" max="2336" width="10.5703125" style="942" customWidth="1"/>
    <col min="2337" max="2337" width="31.5703125" style="942" bestFit="1" customWidth="1"/>
    <col min="2338" max="2562" width="8.85546875" style="942"/>
    <col min="2563" max="2564" width="3.42578125" style="942" customWidth="1"/>
    <col min="2565" max="2565" width="4.140625" style="942" customWidth="1"/>
    <col min="2566" max="2566" width="6.7109375" style="942" customWidth="1"/>
    <col min="2567" max="2567" width="6.5703125" style="942" customWidth="1"/>
    <col min="2568" max="2568" width="11" style="942" customWidth="1"/>
    <col min="2569" max="2569" width="9.140625" style="942" bestFit="1" customWidth="1"/>
    <col min="2570" max="2570" width="10" style="942" bestFit="1" customWidth="1"/>
    <col min="2571" max="2571" width="9.28515625" style="942" bestFit="1" customWidth="1"/>
    <col min="2572" max="2572" width="8.42578125" style="942" customWidth="1"/>
    <col min="2573" max="2573" width="11" style="942" bestFit="1" customWidth="1"/>
    <col min="2574" max="2574" width="8.7109375" style="942" bestFit="1" customWidth="1"/>
    <col min="2575" max="2575" width="8.42578125" style="942" bestFit="1" customWidth="1"/>
    <col min="2576" max="2577" width="8.7109375" style="942" customWidth="1"/>
    <col min="2578" max="2578" width="8.28515625" style="942" customWidth="1"/>
    <col min="2579" max="2579" width="12.85546875" style="942" customWidth="1"/>
    <col min="2580" max="2582" width="9.42578125" style="942" customWidth="1"/>
    <col min="2583" max="2583" width="7.7109375" style="942" bestFit="1" customWidth="1"/>
    <col min="2584" max="2584" width="9.28515625" style="942" bestFit="1" customWidth="1"/>
    <col min="2585" max="2585" width="9.85546875" style="942" bestFit="1" customWidth="1"/>
    <col min="2586" max="2586" width="9" style="942" bestFit="1" customWidth="1"/>
    <col min="2587" max="2587" width="8.5703125" style="942" bestFit="1" customWidth="1"/>
    <col min="2588" max="2588" width="5.28515625" style="942" bestFit="1" customWidth="1"/>
    <col min="2589" max="2589" width="9.42578125" style="942" bestFit="1" customWidth="1"/>
    <col min="2590" max="2590" width="6.42578125" style="942" bestFit="1" customWidth="1"/>
    <col min="2591" max="2591" width="5.140625" style="942" bestFit="1" customWidth="1"/>
    <col min="2592" max="2592" width="10.5703125" style="942" customWidth="1"/>
    <col min="2593" max="2593" width="31.5703125" style="942" bestFit="1" customWidth="1"/>
    <col min="2594" max="2818" width="8.85546875" style="942"/>
    <col min="2819" max="2820" width="3.42578125" style="942" customWidth="1"/>
    <col min="2821" max="2821" width="4.140625" style="942" customWidth="1"/>
    <col min="2822" max="2822" width="6.7109375" style="942" customWidth="1"/>
    <col min="2823" max="2823" width="6.5703125" style="942" customWidth="1"/>
    <col min="2824" max="2824" width="11" style="942" customWidth="1"/>
    <col min="2825" max="2825" width="9.140625" style="942" bestFit="1" customWidth="1"/>
    <col min="2826" max="2826" width="10" style="942" bestFit="1" customWidth="1"/>
    <col min="2827" max="2827" width="9.28515625" style="942" bestFit="1" customWidth="1"/>
    <col min="2828" max="2828" width="8.42578125" style="942" customWidth="1"/>
    <col min="2829" max="2829" width="11" style="942" bestFit="1" customWidth="1"/>
    <col min="2830" max="2830" width="8.7109375" style="942" bestFit="1" customWidth="1"/>
    <col min="2831" max="2831" width="8.42578125" style="942" bestFit="1" customWidth="1"/>
    <col min="2832" max="2833" width="8.7109375" style="942" customWidth="1"/>
    <col min="2834" max="2834" width="8.28515625" style="942" customWidth="1"/>
    <col min="2835" max="2835" width="12.85546875" style="942" customWidth="1"/>
    <col min="2836" max="2838" width="9.42578125" style="942" customWidth="1"/>
    <col min="2839" max="2839" width="7.7109375" style="942" bestFit="1" customWidth="1"/>
    <col min="2840" max="2840" width="9.28515625" style="942" bestFit="1" customWidth="1"/>
    <col min="2841" max="2841" width="9.85546875" style="942" bestFit="1" customWidth="1"/>
    <col min="2842" max="2842" width="9" style="942" bestFit="1" customWidth="1"/>
    <col min="2843" max="2843" width="8.5703125" style="942" bestFit="1" customWidth="1"/>
    <col min="2844" max="2844" width="5.28515625" style="942" bestFit="1" customWidth="1"/>
    <col min="2845" max="2845" width="9.42578125" style="942" bestFit="1" customWidth="1"/>
    <col min="2846" max="2846" width="6.42578125" style="942" bestFit="1" customWidth="1"/>
    <col min="2847" max="2847" width="5.140625" style="942" bestFit="1" customWidth="1"/>
    <col min="2848" max="2848" width="10.5703125" style="942" customWidth="1"/>
    <col min="2849" max="2849" width="31.5703125" style="942" bestFit="1" customWidth="1"/>
    <col min="2850" max="3074" width="8.85546875" style="942"/>
    <col min="3075" max="3076" width="3.42578125" style="942" customWidth="1"/>
    <col min="3077" max="3077" width="4.140625" style="942" customWidth="1"/>
    <col min="3078" max="3078" width="6.7109375" style="942" customWidth="1"/>
    <col min="3079" max="3079" width="6.5703125" style="942" customWidth="1"/>
    <col min="3080" max="3080" width="11" style="942" customWidth="1"/>
    <col min="3081" max="3081" width="9.140625" style="942" bestFit="1" customWidth="1"/>
    <col min="3082" max="3082" width="10" style="942" bestFit="1" customWidth="1"/>
    <col min="3083" max="3083" width="9.28515625" style="942" bestFit="1" customWidth="1"/>
    <col min="3084" max="3084" width="8.42578125" style="942" customWidth="1"/>
    <col min="3085" max="3085" width="11" style="942" bestFit="1" customWidth="1"/>
    <col min="3086" max="3086" width="8.7109375" style="942" bestFit="1" customWidth="1"/>
    <col min="3087" max="3087" width="8.42578125" style="942" bestFit="1" customWidth="1"/>
    <col min="3088" max="3089" width="8.7109375" style="942" customWidth="1"/>
    <col min="3090" max="3090" width="8.28515625" style="942" customWidth="1"/>
    <col min="3091" max="3091" width="12.85546875" style="942" customWidth="1"/>
    <col min="3092" max="3094" width="9.42578125" style="942" customWidth="1"/>
    <col min="3095" max="3095" width="7.7109375" style="942" bestFit="1" customWidth="1"/>
    <col min="3096" max="3096" width="9.28515625" style="942" bestFit="1" customWidth="1"/>
    <col min="3097" max="3097" width="9.85546875" style="942" bestFit="1" customWidth="1"/>
    <col min="3098" max="3098" width="9" style="942" bestFit="1" customWidth="1"/>
    <col min="3099" max="3099" width="8.5703125" style="942" bestFit="1" customWidth="1"/>
    <col min="3100" max="3100" width="5.28515625" style="942" bestFit="1" customWidth="1"/>
    <col min="3101" max="3101" width="9.42578125" style="942" bestFit="1" customWidth="1"/>
    <col min="3102" max="3102" width="6.42578125" style="942" bestFit="1" customWidth="1"/>
    <col min="3103" max="3103" width="5.140625" style="942" bestFit="1" customWidth="1"/>
    <col min="3104" max="3104" width="10.5703125" style="942" customWidth="1"/>
    <col min="3105" max="3105" width="31.5703125" style="942" bestFit="1" customWidth="1"/>
    <col min="3106" max="3330" width="8.85546875" style="942"/>
    <col min="3331" max="3332" width="3.42578125" style="942" customWidth="1"/>
    <col min="3333" max="3333" width="4.140625" style="942" customWidth="1"/>
    <col min="3334" max="3334" width="6.7109375" style="942" customWidth="1"/>
    <col min="3335" max="3335" width="6.5703125" style="942" customWidth="1"/>
    <col min="3336" max="3336" width="11" style="942" customWidth="1"/>
    <col min="3337" max="3337" width="9.140625" style="942" bestFit="1" customWidth="1"/>
    <col min="3338" max="3338" width="10" style="942" bestFit="1" customWidth="1"/>
    <col min="3339" max="3339" width="9.28515625" style="942" bestFit="1" customWidth="1"/>
    <col min="3340" max="3340" width="8.42578125" style="942" customWidth="1"/>
    <col min="3341" max="3341" width="11" style="942" bestFit="1" customWidth="1"/>
    <col min="3342" max="3342" width="8.7109375" style="942" bestFit="1" customWidth="1"/>
    <col min="3343" max="3343" width="8.42578125" style="942" bestFit="1" customWidth="1"/>
    <col min="3344" max="3345" width="8.7109375" style="942" customWidth="1"/>
    <col min="3346" max="3346" width="8.28515625" style="942" customWidth="1"/>
    <col min="3347" max="3347" width="12.85546875" style="942" customWidth="1"/>
    <col min="3348" max="3350" width="9.42578125" style="942" customWidth="1"/>
    <col min="3351" max="3351" width="7.7109375" style="942" bestFit="1" customWidth="1"/>
    <col min="3352" max="3352" width="9.28515625" style="942" bestFit="1" customWidth="1"/>
    <col min="3353" max="3353" width="9.85546875" style="942" bestFit="1" customWidth="1"/>
    <col min="3354" max="3354" width="9" style="942" bestFit="1" customWidth="1"/>
    <col min="3355" max="3355" width="8.5703125" style="942" bestFit="1" customWidth="1"/>
    <col min="3356" max="3356" width="5.28515625" style="942" bestFit="1" customWidth="1"/>
    <col min="3357" max="3357" width="9.42578125" style="942" bestFit="1" customWidth="1"/>
    <col min="3358" max="3358" width="6.42578125" style="942" bestFit="1" customWidth="1"/>
    <col min="3359" max="3359" width="5.140625" style="942" bestFit="1" customWidth="1"/>
    <col min="3360" max="3360" width="10.5703125" style="942" customWidth="1"/>
    <col min="3361" max="3361" width="31.5703125" style="942" bestFit="1" customWidth="1"/>
    <col min="3362" max="3586" width="8.85546875" style="942"/>
    <col min="3587" max="3588" width="3.42578125" style="942" customWidth="1"/>
    <col min="3589" max="3589" width="4.140625" style="942" customWidth="1"/>
    <col min="3590" max="3590" width="6.7109375" style="942" customWidth="1"/>
    <col min="3591" max="3591" width="6.5703125" style="942" customWidth="1"/>
    <col min="3592" max="3592" width="11" style="942" customWidth="1"/>
    <col min="3593" max="3593" width="9.140625" style="942" bestFit="1" customWidth="1"/>
    <col min="3594" max="3594" width="10" style="942" bestFit="1" customWidth="1"/>
    <col min="3595" max="3595" width="9.28515625" style="942" bestFit="1" customWidth="1"/>
    <col min="3596" max="3596" width="8.42578125" style="942" customWidth="1"/>
    <col min="3597" max="3597" width="11" style="942" bestFit="1" customWidth="1"/>
    <col min="3598" max="3598" width="8.7109375" style="942" bestFit="1" customWidth="1"/>
    <col min="3599" max="3599" width="8.42578125" style="942" bestFit="1" customWidth="1"/>
    <col min="3600" max="3601" width="8.7109375" style="942" customWidth="1"/>
    <col min="3602" max="3602" width="8.28515625" style="942" customWidth="1"/>
    <col min="3603" max="3603" width="12.85546875" style="942" customWidth="1"/>
    <col min="3604" max="3606" width="9.42578125" style="942" customWidth="1"/>
    <col min="3607" max="3607" width="7.7109375" style="942" bestFit="1" customWidth="1"/>
    <col min="3608" max="3608" width="9.28515625" style="942" bestFit="1" customWidth="1"/>
    <col min="3609" max="3609" width="9.85546875" style="942" bestFit="1" customWidth="1"/>
    <col min="3610" max="3610" width="9" style="942" bestFit="1" customWidth="1"/>
    <col min="3611" max="3611" width="8.5703125" style="942" bestFit="1" customWidth="1"/>
    <col min="3612" max="3612" width="5.28515625" style="942" bestFit="1" customWidth="1"/>
    <col min="3613" max="3613" width="9.42578125" style="942" bestFit="1" customWidth="1"/>
    <col min="3614" max="3614" width="6.42578125" style="942" bestFit="1" customWidth="1"/>
    <col min="3615" max="3615" width="5.140625" style="942" bestFit="1" customWidth="1"/>
    <col min="3616" max="3616" width="10.5703125" style="942" customWidth="1"/>
    <col min="3617" max="3617" width="31.5703125" style="942" bestFit="1" customWidth="1"/>
    <col min="3618" max="3842" width="8.85546875" style="942"/>
    <col min="3843" max="3844" width="3.42578125" style="942" customWidth="1"/>
    <col min="3845" max="3845" width="4.140625" style="942" customWidth="1"/>
    <col min="3846" max="3846" width="6.7109375" style="942" customWidth="1"/>
    <col min="3847" max="3847" width="6.5703125" style="942" customWidth="1"/>
    <col min="3848" max="3848" width="11" style="942" customWidth="1"/>
    <col min="3849" max="3849" width="9.140625" style="942" bestFit="1" customWidth="1"/>
    <col min="3850" max="3850" width="10" style="942" bestFit="1" customWidth="1"/>
    <col min="3851" max="3851" width="9.28515625" style="942" bestFit="1" customWidth="1"/>
    <col min="3852" max="3852" width="8.42578125" style="942" customWidth="1"/>
    <col min="3853" max="3853" width="11" style="942" bestFit="1" customWidth="1"/>
    <col min="3854" max="3854" width="8.7109375" style="942" bestFit="1" customWidth="1"/>
    <col min="3855" max="3855" width="8.42578125" style="942" bestFit="1" customWidth="1"/>
    <col min="3856" max="3857" width="8.7109375" style="942" customWidth="1"/>
    <col min="3858" max="3858" width="8.28515625" style="942" customWidth="1"/>
    <col min="3859" max="3859" width="12.85546875" style="942" customWidth="1"/>
    <col min="3860" max="3862" width="9.42578125" style="942" customWidth="1"/>
    <col min="3863" max="3863" width="7.7109375" style="942" bestFit="1" customWidth="1"/>
    <col min="3864" max="3864" width="9.28515625" style="942" bestFit="1" customWidth="1"/>
    <col min="3865" max="3865" width="9.85546875" style="942" bestFit="1" customWidth="1"/>
    <col min="3866" max="3866" width="9" style="942" bestFit="1" customWidth="1"/>
    <col min="3867" max="3867" width="8.5703125" style="942" bestFit="1" customWidth="1"/>
    <col min="3868" max="3868" width="5.28515625" style="942" bestFit="1" customWidth="1"/>
    <col min="3869" max="3869" width="9.42578125" style="942" bestFit="1" customWidth="1"/>
    <col min="3870" max="3870" width="6.42578125" style="942" bestFit="1" customWidth="1"/>
    <col min="3871" max="3871" width="5.140625" style="942" bestFit="1" customWidth="1"/>
    <col min="3872" max="3872" width="10.5703125" style="942" customWidth="1"/>
    <col min="3873" max="3873" width="31.5703125" style="942" bestFit="1" customWidth="1"/>
    <col min="3874" max="4098" width="8.85546875" style="942"/>
    <col min="4099" max="4100" width="3.42578125" style="942" customWidth="1"/>
    <col min="4101" max="4101" width="4.140625" style="942" customWidth="1"/>
    <col min="4102" max="4102" width="6.7109375" style="942" customWidth="1"/>
    <col min="4103" max="4103" width="6.5703125" style="942" customWidth="1"/>
    <col min="4104" max="4104" width="11" style="942" customWidth="1"/>
    <col min="4105" max="4105" width="9.140625" style="942" bestFit="1" customWidth="1"/>
    <col min="4106" max="4106" width="10" style="942" bestFit="1" customWidth="1"/>
    <col min="4107" max="4107" width="9.28515625" style="942" bestFit="1" customWidth="1"/>
    <col min="4108" max="4108" width="8.42578125" style="942" customWidth="1"/>
    <col min="4109" max="4109" width="11" style="942" bestFit="1" customWidth="1"/>
    <col min="4110" max="4110" width="8.7109375" style="942" bestFit="1" customWidth="1"/>
    <col min="4111" max="4111" width="8.42578125" style="942" bestFit="1" customWidth="1"/>
    <col min="4112" max="4113" width="8.7109375" style="942" customWidth="1"/>
    <col min="4114" max="4114" width="8.28515625" style="942" customWidth="1"/>
    <col min="4115" max="4115" width="12.85546875" style="942" customWidth="1"/>
    <col min="4116" max="4118" width="9.42578125" style="942" customWidth="1"/>
    <col min="4119" max="4119" width="7.7109375" style="942" bestFit="1" customWidth="1"/>
    <col min="4120" max="4120" width="9.28515625" style="942" bestFit="1" customWidth="1"/>
    <col min="4121" max="4121" width="9.85546875" style="942" bestFit="1" customWidth="1"/>
    <col min="4122" max="4122" width="9" style="942" bestFit="1" customWidth="1"/>
    <col min="4123" max="4123" width="8.5703125" style="942" bestFit="1" customWidth="1"/>
    <col min="4124" max="4124" width="5.28515625" style="942" bestFit="1" customWidth="1"/>
    <col min="4125" max="4125" width="9.42578125" style="942" bestFit="1" customWidth="1"/>
    <col min="4126" max="4126" width="6.42578125" style="942" bestFit="1" customWidth="1"/>
    <col min="4127" max="4127" width="5.140625" style="942" bestFit="1" customWidth="1"/>
    <col min="4128" max="4128" width="10.5703125" style="942" customWidth="1"/>
    <col min="4129" max="4129" width="31.5703125" style="942" bestFit="1" customWidth="1"/>
    <col min="4130" max="4354" width="8.85546875" style="942"/>
    <col min="4355" max="4356" width="3.42578125" style="942" customWidth="1"/>
    <col min="4357" max="4357" width="4.140625" style="942" customWidth="1"/>
    <col min="4358" max="4358" width="6.7109375" style="942" customWidth="1"/>
    <col min="4359" max="4359" width="6.5703125" style="942" customWidth="1"/>
    <col min="4360" max="4360" width="11" style="942" customWidth="1"/>
    <col min="4361" max="4361" width="9.140625" style="942" bestFit="1" customWidth="1"/>
    <col min="4362" max="4362" width="10" style="942" bestFit="1" customWidth="1"/>
    <col min="4363" max="4363" width="9.28515625" style="942" bestFit="1" customWidth="1"/>
    <col min="4364" max="4364" width="8.42578125" style="942" customWidth="1"/>
    <col min="4365" max="4365" width="11" style="942" bestFit="1" customWidth="1"/>
    <col min="4366" max="4366" width="8.7109375" style="942" bestFit="1" customWidth="1"/>
    <col min="4367" max="4367" width="8.42578125" style="942" bestFit="1" customWidth="1"/>
    <col min="4368" max="4369" width="8.7109375" style="942" customWidth="1"/>
    <col min="4370" max="4370" width="8.28515625" style="942" customWidth="1"/>
    <col min="4371" max="4371" width="12.85546875" style="942" customWidth="1"/>
    <col min="4372" max="4374" width="9.42578125" style="942" customWidth="1"/>
    <col min="4375" max="4375" width="7.7109375" style="942" bestFit="1" customWidth="1"/>
    <col min="4376" max="4376" width="9.28515625" style="942" bestFit="1" customWidth="1"/>
    <col min="4377" max="4377" width="9.85546875" style="942" bestFit="1" customWidth="1"/>
    <col min="4378" max="4378" width="9" style="942" bestFit="1" customWidth="1"/>
    <col min="4379" max="4379" width="8.5703125" style="942" bestFit="1" customWidth="1"/>
    <col min="4380" max="4380" width="5.28515625" style="942" bestFit="1" customWidth="1"/>
    <col min="4381" max="4381" width="9.42578125" style="942" bestFit="1" customWidth="1"/>
    <col min="4382" max="4382" width="6.42578125" style="942" bestFit="1" customWidth="1"/>
    <col min="4383" max="4383" width="5.140625" style="942" bestFit="1" customWidth="1"/>
    <col min="4384" max="4384" width="10.5703125" style="942" customWidth="1"/>
    <col min="4385" max="4385" width="31.5703125" style="942" bestFit="1" customWidth="1"/>
    <col min="4386" max="4610" width="8.85546875" style="942"/>
    <col min="4611" max="4612" width="3.42578125" style="942" customWidth="1"/>
    <col min="4613" max="4613" width="4.140625" style="942" customWidth="1"/>
    <col min="4614" max="4614" width="6.7109375" style="942" customWidth="1"/>
    <col min="4615" max="4615" width="6.5703125" style="942" customWidth="1"/>
    <col min="4616" max="4616" width="11" style="942" customWidth="1"/>
    <col min="4617" max="4617" width="9.140625" style="942" bestFit="1" customWidth="1"/>
    <col min="4618" max="4618" width="10" style="942" bestFit="1" customWidth="1"/>
    <col min="4619" max="4619" width="9.28515625" style="942" bestFit="1" customWidth="1"/>
    <col min="4620" max="4620" width="8.42578125" style="942" customWidth="1"/>
    <col min="4621" max="4621" width="11" style="942" bestFit="1" customWidth="1"/>
    <col min="4622" max="4622" width="8.7109375" style="942" bestFit="1" customWidth="1"/>
    <col min="4623" max="4623" width="8.42578125" style="942" bestFit="1" customWidth="1"/>
    <col min="4624" max="4625" width="8.7109375" style="942" customWidth="1"/>
    <col min="4626" max="4626" width="8.28515625" style="942" customWidth="1"/>
    <col min="4627" max="4627" width="12.85546875" style="942" customWidth="1"/>
    <col min="4628" max="4630" width="9.42578125" style="942" customWidth="1"/>
    <col min="4631" max="4631" width="7.7109375" style="942" bestFit="1" customWidth="1"/>
    <col min="4632" max="4632" width="9.28515625" style="942" bestFit="1" customWidth="1"/>
    <col min="4633" max="4633" width="9.85546875" style="942" bestFit="1" customWidth="1"/>
    <col min="4634" max="4634" width="9" style="942" bestFit="1" customWidth="1"/>
    <col min="4635" max="4635" width="8.5703125" style="942" bestFit="1" customWidth="1"/>
    <col min="4636" max="4636" width="5.28515625" style="942" bestFit="1" customWidth="1"/>
    <col min="4637" max="4637" width="9.42578125" style="942" bestFit="1" customWidth="1"/>
    <col min="4638" max="4638" width="6.42578125" style="942" bestFit="1" customWidth="1"/>
    <col min="4639" max="4639" width="5.140625" style="942" bestFit="1" customWidth="1"/>
    <col min="4640" max="4640" width="10.5703125" style="942" customWidth="1"/>
    <col min="4641" max="4641" width="31.5703125" style="942" bestFit="1" customWidth="1"/>
    <col min="4642" max="4866" width="8.85546875" style="942"/>
    <col min="4867" max="4868" width="3.42578125" style="942" customWidth="1"/>
    <col min="4869" max="4869" width="4.140625" style="942" customWidth="1"/>
    <col min="4870" max="4870" width="6.7109375" style="942" customWidth="1"/>
    <col min="4871" max="4871" width="6.5703125" style="942" customWidth="1"/>
    <col min="4872" max="4872" width="11" style="942" customWidth="1"/>
    <col min="4873" max="4873" width="9.140625" style="942" bestFit="1" customWidth="1"/>
    <col min="4874" max="4874" width="10" style="942" bestFit="1" customWidth="1"/>
    <col min="4875" max="4875" width="9.28515625" style="942" bestFit="1" customWidth="1"/>
    <col min="4876" max="4876" width="8.42578125" style="942" customWidth="1"/>
    <col min="4877" max="4877" width="11" style="942" bestFit="1" customWidth="1"/>
    <col min="4878" max="4878" width="8.7109375" style="942" bestFit="1" customWidth="1"/>
    <col min="4879" max="4879" width="8.42578125" style="942" bestFit="1" customWidth="1"/>
    <col min="4880" max="4881" width="8.7109375" style="942" customWidth="1"/>
    <col min="4882" max="4882" width="8.28515625" style="942" customWidth="1"/>
    <col min="4883" max="4883" width="12.85546875" style="942" customWidth="1"/>
    <col min="4884" max="4886" width="9.42578125" style="942" customWidth="1"/>
    <col min="4887" max="4887" width="7.7109375" style="942" bestFit="1" customWidth="1"/>
    <col min="4888" max="4888" width="9.28515625" style="942" bestFit="1" customWidth="1"/>
    <col min="4889" max="4889" width="9.85546875" style="942" bestFit="1" customWidth="1"/>
    <col min="4890" max="4890" width="9" style="942" bestFit="1" customWidth="1"/>
    <col min="4891" max="4891" width="8.5703125" style="942" bestFit="1" customWidth="1"/>
    <col min="4892" max="4892" width="5.28515625" style="942" bestFit="1" customWidth="1"/>
    <col min="4893" max="4893" width="9.42578125" style="942" bestFit="1" customWidth="1"/>
    <col min="4894" max="4894" width="6.42578125" style="942" bestFit="1" customWidth="1"/>
    <col min="4895" max="4895" width="5.140625" style="942" bestFit="1" customWidth="1"/>
    <col min="4896" max="4896" width="10.5703125" style="942" customWidth="1"/>
    <col min="4897" max="4897" width="31.5703125" style="942" bestFit="1" customWidth="1"/>
    <col min="4898" max="5122" width="8.85546875" style="942"/>
    <col min="5123" max="5124" width="3.42578125" style="942" customWidth="1"/>
    <col min="5125" max="5125" width="4.140625" style="942" customWidth="1"/>
    <col min="5126" max="5126" width="6.7109375" style="942" customWidth="1"/>
    <col min="5127" max="5127" width="6.5703125" style="942" customWidth="1"/>
    <col min="5128" max="5128" width="11" style="942" customWidth="1"/>
    <col min="5129" max="5129" width="9.140625" style="942" bestFit="1" customWidth="1"/>
    <col min="5130" max="5130" width="10" style="942" bestFit="1" customWidth="1"/>
    <col min="5131" max="5131" width="9.28515625" style="942" bestFit="1" customWidth="1"/>
    <col min="5132" max="5132" width="8.42578125" style="942" customWidth="1"/>
    <col min="5133" max="5133" width="11" style="942" bestFit="1" customWidth="1"/>
    <col min="5134" max="5134" width="8.7109375" style="942" bestFit="1" customWidth="1"/>
    <col min="5135" max="5135" width="8.42578125" style="942" bestFit="1" customWidth="1"/>
    <col min="5136" max="5137" width="8.7109375" style="942" customWidth="1"/>
    <col min="5138" max="5138" width="8.28515625" style="942" customWidth="1"/>
    <col min="5139" max="5139" width="12.85546875" style="942" customWidth="1"/>
    <col min="5140" max="5142" width="9.42578125" style="942" customWidth="1"/>
    <col min="5143" max="5143" width="7.7109375" style="942" bestFit="1" customWidth="1"/>
    <col min="5144" max="5144" width="9.28515625" style="942" bestFit="1" customWidth="1"/>
    <col min="5145" max="5145" width="9.85546875" style="942" bestFit="1" customWidth="1"/>
    <col min="5146" max="5146" width="9" style="942" bestFit="1" customWidth="1"/>
    <col min="5147" max="5147" width="8.5703125" style="942" bestFit="1" customWidth="1"/>
    <col min="5148" max="5148" width="5.28515625" style="942" bestFit="1" customWidth="1"/>
    <col min="5149" max="5149" width="9.42578125" style="942" bestFit="1" customWidth="1"/>
    <col min="5150" max="5150" width="6.42578125" style="942" bestFit="1" customWidth="1"/>
    <col min="5151" max="5151" width="5.140625" style="942" bestFit="1" customWidth="1"/>
    <col min="5152" max="5152" width="10.5703125" style="942" customWidth="1"/>
    <col min="5153" max="5153" width="31.5703125" style="942" bestFit="1" customWidth="1"/>
    <col min="5154" max="5378" width="8.85546875" style="942"/>
    <col min="5379" max="5380" width="3.42578125" style="942" customWidth="1"/>
    <col min="5381" max="5381" width="4.140625" style="942" customWidth="1"/>
    <col min="5382" max="5382" width="6.7109375" style="942" customWidth="1"/>
    <col min="5383" max="5383" width="6.5703125" style="942" customWidth="1"/>
    <col min="5384" max="5384" width="11" style="942" customWidth="1"/>
    <col min="5385" max="5385" width="9.140625" style="942" bestFit="1" customWidth="1"/>
    <col min="5386" max="5386" width="10" style="942" bestFit="1" customWidth="1"/>
    <col min="5387" max="5387" width="9.28515625" style="942" bestFit="1" customWidth="1"/>
    <col min="5388" max="5388" width="8.42578125" style="942" customWidth="1"/>
    <col min="5389" max="5389" width="11" style="942" bestFit="1" customWidth="1"/>
    <col min="5390" max="5390" width="8.7109375" style="942" bestFit="1" customWidth="1"/>
    <col min="5391" max="5391" width="8.42578125" style="942" bestFit="1" customWidth="1"/>
    <col min="5392" max="5393" width="8.7109375" style="942" customWidth="1"/>
    <col min="5394" max="5394" width="8.28515625" style="942" customWidth="1"/>
    <col min="5395" max="5395" width="12.85546875" style="942" customWidth="1"/>
    <col min="5396" max="5398" width="9.42578125" style="942" customWidth="1"/>
    <col min="5399" max="5399" width="7.7109375" style="942" bestFit="1" customWidth="1"/>
    <col min="5400" max="5400" width="9.28515625" style="942" bestFit="1" customWidth="1"/>
    <col min="5401" max="5401" width="9.85546875" style="942" bestFit="1" customWidth="1"/>
    <col min="5402" max="5402" width="9" style="942" bestFit="1" customWidth="1"/>
    <col min="5403" max="5403" width="8.5703125" style="942" bestFit="1" customWidth="1"/>
    <col min="5404" max="5404" width="5.28515625" style="942" bestFit="1" customWidth="1"/>
    <col min="5405" max="5405" width="9.42578125" style="942" bestFit="1" customWidth="1"/>
    <col min="5406" max="5406" width="6.42578125" style="942" bestFit="1" customWidth="1"/>
    <col min="5407" max="5407" width="5.140625" style="942" bestFit="1" customWidth="1"/>
    <col min="5408" max="5408" width="10.5703125" style="942" customWidth="1"/>
    <col min="5409" max="5409" width="31.5703125" style="942" bestFit="1" customWidth="1"/>
    <col min="5410" max="5634" width="8.85546875" style="942"/>
    <col min="5635" max="5636" width="3.42578125" style="942" customWidth="1"/>
    <col min="5637" max="5637" width="4.140625" style="942" customWidth="1"/>
    <col min="5638" max="5638" width="6.7109375" style="942" customWidth="1"/>
    <col min="5639" max="5639" width="6.5703125" style="942" customWidth="1"/>
    <col min="5640" max="5640" width="11" style="942" customWidth="1"/>
    <col min="5641" max="5641" width="9.140625" style="942" bestFit="1" customWidth="1"/>
    <col min="5642" max="5642" width="10" style="942" bestFit="1" customWidth="1"/>
    <col min="5643" max="5643" width="9.28515625" style="942" bestFit="1" customWidth="1"/>
    <col min="5644" max="5644" width="8.42578125" style="942" customWidth="1"/>
    <col min="5645" max="5645" width="11" style="942" bestFit="1" customWidth="1"/>
    <col min="5646" max="5646" width="8.7109375" style="942" bestFit="1" customWidth="1"/>
    <col min="5647" max="5647" width="8.42578125" style="942" bestFit="1" customWidth="1"/>
    <col min="5648" max="5649" width="8.7109375" style="942" customWidth="1"/>
    <col min="5650" max="5650" width="8.28515625" style="942" customWidth="1"/>
    <col min="5651" max="5651" width="12.85546875" style="942" customWidth="1"/>
    <col min="5652" max="5654" width="9.42578125" style="942" customWidth="1"/>
    <col min="5655" max="5655" width="7.7109375" style="942" bestFit="1" customWidth="1"/>
    <col min="5656" max="5656" width="9.28515625" style="942" bestFit="1" customWidth="1"/>
    <col min="5657" max="5657" width="9.85546875" style="942" bestFit="1" customWidth="1"/>
    <col min="5658" max="5658" width="9" style="942" bestFit="1" customWidth="1"/>
    <col min="5659" max="5659" width="8.5703125" style="942" bestFit="1" customWidth="1"/>
    <col min="5660" max="5660" width="5.28515625" style="942" bestFit="1" customWidth="1"/>
    <col min="5661" max="5661" width="9.42578125" style="942" bestFit="1" customWidth="1"/>
    <col min="5662" max="5662" width="6.42578125" style="942" bestFit="1" customWidth="1"/>
    <col min="5663" max="5663" width="5.140625" style="942" bestFit="1" customWidth="1"/>
    <col min="5664" max="5664" width="10.5703125" style="942" customWidth="1"/>
    <col min="5665" max="5665" width="31.5703125" style="942" bestFit="1" customWidth="1"/>
    <col min="5666" max="5890" width="8.85546875" style="942"/>
    <col min="5891" max="5892" width="3.42578125" style="942" customWidth="1"/>
    <col min="5893" max="5893" width="4.140625" style="942" customWidth="1"/>
    <col min="5894" max="5894" width="6.7109375" style="942" customWidth="1"/>
    <col min="5895" max="5895" width="6.5703125" style="942" customWidth="1"/>
    <col min="5896" max="5896" width="11" style="942" customWidth="1"/>
    <col min="5897" max="5897" width="9.140625" style="942" bestFit="1" customWidth="1"/>
    <col min="5898" max="5898" width="10" style="942" bestFit="1" customWidth="1"/>
    <col min="5899" max="5899" width="9.28515625" style="942" bestFit="1" customWidth="1"/>
    <col min="5900" max="5900" width="8.42578125" style="942" customWidth="1"/>
    <col min="5901" max="5901" width="11" style="942" bestFit="1" customWidth="1"/>
    <col min="5902" max="5902" width="8.7109375" style="942" bestFit="1" customWidth="1"/>
    <col min="5903" max="5903" width="8.42578125" style="942" bestFit="1" customWidth="1"/>
    <col min="5904" max="5905" width="8.7109375" style="942" customWidth="1"/>
    <col min="5906" max="5906" width="8.28515625" style="942" customWidth="1"/>
    <col min="5907" max="5907" width="12.85546875" style="942" customWidth="1"/>
    <col min="5908" max="5910" width="9.42578125" style="942" customWidth="1"/>
    <col min="5911" max="5911" width="7.7109375" style="942" bestFit="1" customWidth="1"/>
    <col min="5912" max="5912" width="9.28515625" style="942" bestFit="1" customWidth="1"/>
    <col min="5913" max="5913" width="9.85546875" style="942" bestFit="1" customWidth="1"/>
    <col min="5914" max="5914" width="9" style="942" bestFit="1" customWidth="1"/>
    <col min="5915" max="5915" width="8.5703125" style="942" bestFit="1" customWidth="1"/>
    <col min="5916" max="5916" width="5.28515625" style="942" bestFit="1" customWidth="1"/>
    <col min="5917" max="5917" width="9.42578125" style="942" bestFit="1" customWidth="1"/>
    <col min="5918" max="5918" width="6.42578125" style="942" bestFit="1" customWidth="1"/>
    <col min="5919" max="5919" width="5.140625" style="942" bestFit="1" customWidth="1"/>
    <col min="5920" max="5920" width="10.5703125" style="942" customWidth="1"/>
    <col min="5921" max="5921" width="31.5703125" style="942" bestFit="1" customWidth="1"/>
    <col min="5922" max="6146" width="8.85546875" style="942"/>
    <col min="6147" max="6148" width="3.42578125" style="942" customWidth="1"/>
    <col min="6149" max="6149" width="4.140625" style="942" customWidth="1"/>
    <col min="6150" max="6150" width="6.7109375" style="942" customWidth="1"/>
    <col min="6151" max="6151" width="6.5703125" style="942" customWidth="1"/>
    <col min="6152" max="6152" width="11" style="942" customWidth="1"/>
    <col min="6153" max="6153" width="9.140625" style="942" bestFit="1" customWidth="1"/>
    <col min="6154" max="6154" width="10" style="942" bestFit="1" customWidth="1"/>
    <col min="6155" max="6155" width="9.28515625" style="942" bestFit="1" customWidth="1"/>
    <col min="6156" max="6156" width="8.42578125" style="942" customWidth="1"/>
    <col min="6157" max="6157" width="11" style="942" bestFit="1" customWidth="1"/>
    <col min="6158" max="6158" width="8.7109375" style="942" bestFit="1" customWidth="1"/>
    <col min="6159" max="6159" width="8.42578125" style="942" bestFit="1" customWidth="1"/>
    <col min="6160" max="6161" width="8.7109375" style="942" customWidth="1"/>
    <col min="6162" max="6162" width="8.28515625" style="942" customWidth="1"/>
    <col min="6163" max="6163" width="12.85546875" style="942" customWidth="1"/>
    <col min="6164" max="6166" width="9.42578125" style="942" customWidth="1"/>
    <col min="6167" max="6167" width="7.7109375" style="942" bestFit="1" customWidth="1"/>
    <col min="6168" max="6168" width="9.28515625" style="942" bestFit="1" customWidth="1"/>
    <col min="6169" max="6169" width="9.85546875" style="942" bestFit="1" customWidth="1"/>
    <col min="6170" max="6170" width="9" style="942" bestFit="1" customWidth="1"/>
    <col min="6171" max="6171" width="8.5703125" style="942" bestFit="1" customWidth="1"/>
    <col min="6172" max="6172" width="5.28515625" style="942" bestFit="1" customWidth="1"/>
    <col min="6173" max="6173" width="9.42578125" style="942" bestFit="1" customWidth="1"/>
    <col min="6174" max="6174" width="6.42578125" style="942" bestFit="1" customWidth="1"/>
    <col min="6175" max="6175" width="5.140625" style="942" bestFit="1" customWidth="1"/>
    <col min="6176" max="6176" width="10.5703125" style="942" customWidth="1"/>
    <col min="6177" max="6177" width="31.5703125" style="942" bestFit="1" customWidth="1"/>
    <col min="6178" max="6402" width="8.85546875" style="942"/>
    <col min="6403" max="6404" width="3.42578125" style="942" customWidth="1"/>
    <col min="6405" max="6405" width="4.140625" style="942" customWidth="1"/>
    <col min="6406" max="6406" width="6.7109375" style="942" customWidth="1"/>
    <col min="6407" max="6407" width="6.5703125" style="942" customWidth="1"/>
    <col min="6408" max="6408" width="11" style="942" customWidth="1"/>
    <col min="6409" max="6409" width="9.140625" style="942" bestFit="1" customWidth="1"/>
    <col min="6410" max="6410" width="10" style="942" bestFit="1" customWidth="1"/>
    <col min="6411" max="6411" width="9.28515625" style="942" bestFit="1" customWidth="1"/>
    <col min="6412" max="6412" width="8.42578125" style="942" customWidth="1"/>
    <col min="6413" max="6413" width="11" style="942" bestFit="1" customWidth="1"/>
    <col min="6414" max="6414" width="8.7109375" style="942" bestFit="1" customWidth="1"/>
    <col min="6415" max="6415" width="8.42578125" style="942" bestFit="1" customWidth="1"/>
    <col min="6416" max="6417" width="8.7109375" style="942" customWidth="1"/>
    <col min="6418" max="6418" width="8.28515625" style="942" customWidth="1"/>
    <col min="6419" max="6419" width="12.85546875" style="942" customWidth="1"/>
    <col min="6420" max="6422" width="9.42578125" style="942" customWidth="1"/>
    <col min="6423" max="6423" width="7.7109375" style="942" bestFit="1" customWidth="1"/>
    <col min="6424" max="6424" width="9.28515625" style="942" bestFit="1" customWidth="1"/>
    <col min="6425" max="6425" width="9.85546875" style="942" bestFit="1" customWidth="1"/>
    <col min="6426" max="6426" width="9" style="942" bestFit="1" customWidth="1"/>
    <col min="6427" max="6427" width="8.5703125" style="942" bestFit="1" customWidth="1"/>
    <col min="6428" max="6428" width="5.28515625" style="942" bestFit="1" customWidth="1"/>
    <col min="6429" max="6429" width="9.42578125" style="942" bestFit="1" customWidth="1"/>
    <col min="6430" max="6430" width="6.42578125" style="942" bestFit="1" customWidth="1"/>
    <col min="6431" max="6431" width="5.140625" style="942" bestFit="1" customWidth="1"/>
    <col min="6432" max="6432" width="10.5703125" style="942" customWidth="1"/>
    <col min="6433" max="6433" width="31.5703125" style="942" bestFit="1" customWidth="1"/>
    <col min="6434" max="6658" width="8.85546875" style="942"/>
    <col min="6659" max="6660" width="3.42578125" style="942" customWidth="1"/>
    <col min="6661" max="6661" width="4.140625" style="942" customWidth="1"/>
    <col min="6662" max="6662" width="6.7109375" style="942" customWidth="1"/>
    <col min="6663" max="6663" width="6.5703125" style="942" customWidth="1"/>
    <col min="6664" max="6664" width="11" style="942" customWidth="1"/>
    <col min="6665" max="6665" width="9.140625" style="942" bestFit="1" customWidth="1"/>
    <col min="6666" max="6666" width="10" style="942" bestFit="1" customWidth="1"/>
    <col min="6667" max="6667" width="9.28515625" style="942" bestFit="1" customWidth="1"/>
    <col min="6668" max="6668" width="8.42578125" style="942" customWidth="1"/>
    <col min="6669" max="6669" width="11" style="942" bestFit="1" customWidth="1"/>
    <col min="6670" max="6670" width="8.7109375" style="942" bestFit="1" customWidth="1"/>
    <col min="6671" max="6671" width="8.42578125" style="942" bestFit="1" customWidth="1"/>
    <col min="6672" max="6673" width="8.7109375" style="942" customWidth="1"/>
    <col min="6674" max="6674" width="8.28515625" style="942" customWidth="1"/>
    <col min="6675" max="6675" width="12.85546875" style="942" customWidth="1"/>
    <col min="6676" max="6678" width="9.42578125" style="942" customWidth="1"/>
    <col min="6679" max="6679" width="7.7109375" style="942" bestFit="1" customWidth="1"/>
    <col min="6680" max="6680" width="9.28515625" style="942" bestFit="1" customWidth="1"/>
    <col min="6681" max="6681" width="9.85546875" style="942" bestFit="1" customWidth="1"/>
    <col min="6682" max="6682" width="9" style="942" bestFit="1" customWidth="1"/>
    <col min="6683" max="6683" width="8.5703125" style="942" bestFit="1" customWidth="1"/>
    <col min="6684" max="6684" width="5.28515625" style="942" bestFit="1" customWidth="1"/>
    <col min="6685" max="6685" width="9.42578125" style="942" bestFit="1" customWidth="1"/>
    <col min="6686" max="6686" width="6.42578125" style="942" bestFit="1" customWidth="1"/>
    <col min="6687" max="6687" width="5.140625" style="942" bestFit="1" customWidth="1"/>
    <col min="6688" max="6688" width="10.5703125" style="942" customWidth="1"/>
    <col min="6689" max="6689" width="31.5703125" style="942" bestFit="1" customWidth="1"/>
    <col min="6690" max="6914" width="8.85546875" style="942"/>
    <col min="6915" max="6916" width="3.42578125" style="942" customWidth="1"/>
    <col min="6917" max="6917" width="4.140625" style="942" customWidth="1"/>
    <col min="6918" max="6918" width="6.7109375" style="942" customWidth="1"/>
    <col min="6919" max="6919" width="6.5703125" style="942" customWidth="1"/>
    <col min="6920" max="6920" width="11" style="942" customWidth="1"/>
    <col min="6921" max="6921" width="9.140625" style="942" bestFit="1" customWidth="1"/>
    <col min="6922" max="6922" width="10" style="942" bestFit="1" customWidth="1"/>
    <col min="6923" max="6923" width="9.28515625" style="942" bestFit="1" customWidth="1"/>
    <col min="6924" max="6924" width="8.42578125" style="942" customWidth="1"/>
    <col min="6925" max="6925" width="11" style="942" bestFit="1" customWidth="1"/>
    <col min="6926" max="6926" width="8.7109375" style="942" bestFit="1" customWidth="1"/>
    <col min="6927" max="6927" width="8.42578125" style="942" bestFit="1" customWidth="1"/>
    <col min="6928" max="6929" width="8.7109375" style="942" customWidth="1"/>
    <col min="6930" max="6930" width="8.28515625" style="942" customWidth="1"/>
    <col min="6931" max="6931" width="12.85546875" style="942" customWidth="1"/>
    <col min="6932" max="6934" width="9.42578125" style="942" customWidth="1"/>
    <col min="6935" max="6935" width="7.7109375" style="942" bestFit="1" customWidth="1"/>
    <col min="6936" max="6936" width="9.28515625" style="942" bestFit="1" customWidth="1"/>
    <col min="6937" max="6937" width="9.85546875" style="942" bestFit="1" customWidth="1"/>
    <col min="6938" max="6938" width="9" style="942" bestFit="1" customWidth="1"/>
    <col min="6939" max="6939" width="8.5703125" style="942" bestFit="1" customWidth="1"/>
    <col min="6940" max="6940" width="5.28515625" style="942" bestFit="1" customWidth="1"/>
    <col min="6941" max="6941" width="9.42578125" style="942" bestFit="1" customWidth="1"/>
    <col min="6942" max="6942" width="6.42578125" style="942" bestFit="1" customWidth="1"/>
    <col min="6943" max="6943" width="5.140625" style="942" bestFit="1" customWidth="1"/>
    <col min="6944" max="6944" width="10.5703125" style="942" customWidth="1"/>
    <col min="6945" max="6945" width="31.5703125" style="942" bestFit="1" customWidth="1"/>
    <col min="6946" max="7170" width="8.85546875" style="942"/>
    <col min="7171" max="7172" width="3.42578125" style="942" customWidth="1"/>
    <col min="7173" max="7173" width="4.140625" style="942" customWidth="1"/>
    <col min="7174" max="7174" width="6.7109375" style="942" customWidth="1"/>
    <col min="7175" max="7175" width="6.5703125" style="942" customWidth="1"/>
    <col min="7176" max="7176" width="11" style="942" customWidth="1"/>
    <col min="7177" max="7177" width="9.140625" style="942" bestFit="1" customWidth="1"/>
    <col min="7178" max="7178" width="10" style="942" bestFit="1" customWidth="1"/>
    <col min="7179" max="7179" width="9.28515625" style="942" bestFit="1" customWidth="1"/>
    <col min="7180" max="7180" width="8.42578125" style="942" customWidth="1"/>
    <col min="7181" max="7181" width="11" style="942" bestFit="1" customWidth="1"/>
    <col min="7182" max="7182" width="8.7109375" style="942" bestFit="1" customWidth="1"/>
    <col min="7183" max="7183" width="8.42578125" style="942" bestFit="1" customWidth="1"/>
    <col min="7184" max="7185" width="8.7109375" style="942" customWidth="1"/>
    <col min="7186" max="7186" width="8.28515625" style="942" customWidth="1"/>
    <col min="7187" max="7187" width="12.85546875" style="942" customWidth="1"/>
    <col min="7188" max="7190" width="9.42578125" style="942" customWidth="1"/>
    <col min="7191" max="7191" width="7.7109375" style="942" bestFit="1" customWidth="1"/>
    <col min="7192" max="7192" width="9.28515625" style="942" bestFit="1" customWidth="1"/>
    <col min="7193" max="7193" width="9.85546875" style="942" bestFit="1" customWidth="1"/>
    <col min="7194" max="7194" width="9" style="942" bestFit="1" customWidth="1"/>
    <col min="7195" max="7195" width="8.5703125" style="942" bestFit="1" customWidth="1"/>
    <col min="7196" max="7196" width="5.28515625" style="942" bestFit="1" customWidth="1"/>
    <col min="7197" max="7197" width="9.42578125" style="942" bestFit="1" customWidth="1"/>
    <col min="7198" max="7198" width="6.42578125" style="942" bestFit="1" customWidth="1"/>
    <col min="7199" max="7199" width="5.140625" style="942" bestFit="1" customWidth="1"/>
    <col min="7200" max="7200" width="10.5703125" style="942" customWidth="1"/>
    <col min="7201" max="7201" width="31.5703125" style="942" bestFit="1" customWidth="1"/>
    <col min="7202" max="7426" width="8.85546875" style="942"/>
    <col min="7427" max="7428" width="3.42578125" style="942" customWidth="1"/>
    <col min="7429" max="7429" width="4.140625" style="942" customWidth="1"/>
    <col min="7430" max="7430" width="6.7109375" style="942" customWidth="1"/>
    <col min="7431" max="7431" width="6.5703125" style="942" customWidth="1"/>
    <col min="7432" max="7432" width="11" style="942" customWidth="1"/>
    <col min="7433" max="7433" width="9.140625" style="942" bestFit="1" customWidth="1"/>
    <col min="7434" max="7434" width="10" style="942" bestFit="1" customWidth="1"/>
    <col min="7435" max="7435" width="9.28515625" style="942" bestFit="1" customWidth="1"/>
    <col min="7436" max="7436" width="8.42578125" style="942" customWidth="1"/>
    <col min="7437" max="7437" width="11" style="942" bestFit="1" customWidth="1"/>
    <col min="7438" max="7438" width="8.7109375" style="942" bestFit="1" customWidth="1"/>
    <col min="7439" max="7439" width="8.42578125" style="942" bestFit="1" customWidth="1"/>
    <col min="7440" max="7441" width="8.7109375" style="942" customWidth="1"/>
    <col min="7442" max="7442" width="8.28515625" style="942" customWidth="1"/>
    <col min="7443" max="7443" width="12.85546875" style="942" customWidth="1"/>
    <col min="7444" max="7446" width="9.42578125" style="942" customWidth="1"/>
    <col min="7447" max="7447" width="7.7109375" style="942" bestFit="1" customWidth="1"/>
    <col min="7448" max="7448" width="9.28515625" style="942" bestFit="1" customWidth="1"/>
    <col min="7449" max="7449" width="9.85546875" style="942" bestFit="1" customWidth="1"/>
    <col min="7450" max="7450" width="9" style="942" bestFit="1" customWidth="1"/>
    <col min="7451" max="7451" width="8.5703125" style="942" bestFit="1" customWidth="1"/>
    <col min="7452" max="7452" width="5.28515625" style="942" bestFit="1" customWidth="1"/>
    <col min="7453" max="7453" width="9.42578125" style="942" bestFit="1" customWidth="1"/>
    <col min="7454" max="7454" width="6.42578125" style="942" bestFit="1" customWidth="1"/>
    <col min="7455" max="7455" width="5.140625" style="942" bestFit="1" customWidth="1"/>
    <col min="7456" max="7456" width="10.5703125" style="942" customWidth="1"/>
    <col min="7457" max="7457" width="31.5703125" style="942" bestFit="1" customWidth="1"/>
    <col min="7458" max="7682" width="8.85546875" style="942"/>
    <col min="7683" max="7684" width="3.42578125" style="942" customWidth="1"/>
    <col min="7685" max="7685" width="4.140625" style="942" customWidth="1"/>
    <col min="7686" max="7686" width="6.7109375" style="942" customWidth="1"/>
    <col min="7687" max="7687" width="6.5703125" style="942" customWidth="1"/>
    <col min="7688" max="7688" width="11" style="942" customWidth="1"/>
    <col min="7689" max="7689" width="9.140625" style="942" bestFit="1" customWidth="1"/>
    <col min="7690" max="7690" width="10" style="942" bestFit="1" customWidth="1"/>
    <col min="7691" max="7691" width="9.28515625" style="942" bestFit="1" customWidth="1"/>
    <col min="7692" max="7692" width="8.42578125" style="942" customWidth="1"/>
    <col min="7693" max="7693" width="11" style="942" bestFit="1" customWidth="1"/>
    <col min="7694" max="7694" width="8.7109375" style="942" bestFit="1" customWidth="1"/>
    <col min="7695" max="7695" width="8.42578125" style="942" bestFit="1" customWidth="1"/>
    <col min="7696" max="7697" width="8.7109375" style="942" customWidth="1"/>
    <col min="7698" max="7698" width="8.28515625" style="942" customWidth="1"/>
    <col min="7699" max="7699" width="12.85546875" style="942" customWidth="1"/>
    <col min="7700" max="7702" width="9.42578125" style="942" customWidth="1"/>
    <col min="7703" max="7703" width="7.7109375" style="942" bestFit="1" customWidth="1"/>
    <col min="7704" max="7704" width="9.28515625" style="942" bestFit="1" customWidth="1"/>
    <col min="7705" max="7705" width="9.85546875" style="942" bestFit="1" customWidth="1"/>
    <col min="7706" max="7706" width="9" style="942" bestFit="1" customWidth="1"/>
    <col min="7707" max="7707" width="8.5703125" style="942" bestFit="1" customWidth="1"/>
    <col min="7708" max="7708" width="5.28515625" style="942" bestFit="1" customWidth="1"/>
    <col min="7709" max="7709" width="9.42578125" style="942" bestFit="1" customWidth="1"/>
    <col min="7710" max="7710" width="6.42578125" style="942" bestFit="1" customWidth="1"/>
    <col min="7711" max="7711" width="5.140625" style="942" bestFit="1" customWidth="1"/>
    <col min="7712" max="7712" width="10.5703125" style="942" customWidth="1"/>
    <col min="7713" max="7713" width="31.5703125" style="942" bestFit="1" customWidth="1"/>
    <col min="7714" max="7938" width="8.85546875" style="942"/>
    <col min="7939" max="7940" width="3.42578125" style="942" customWidth="1"/>
    <col min="7941" max="7941" width="4.140625" style="942" customWidth="1"/>
    <col min="7942" max="7942" width="6.7109375" style="942" customWidth="1"/>
    <col min="7943" max="7943" width="6.5703125" style="942" customWidth="1"/>
    <col min="7944" max="7944" width="11" style="942" customWidth="1"/>
    <col min="7945" max="7945" width="9.140625" style="942" bestFit="1" customWidth="1"/>
    <col min="7946" max="7946" width="10" style="942" bestFit="1" customWidth="1"/>
    <col min="7947" max="7947" width="9.28515625" style="942" bestFit="1" customWidth="1"/>
    <col min="7948" max="7948" width="8.42578125" style="942" customWidth="1"/>
    <col min="7949" max="7949" width="11" style="942" bestFit="1" customWidth="1"/>
    <col min="7950" max="7950" width="8.7109375" style="942" bestFit="1" customWidth="1"/>
    <col min="7951" max="7951" width="8.42578125" style="942" bestFit="1" customWidth="1"/>
    <col min="7952" max="7953" width="8.7109375" style="942" customWidth="1"/>
    <col min="7954" max="7954" width="8.28515625" style="942" customWidth="1"/>
    <col min="7955" max="7955" width="12.85546875" style="942" customWidth="1"/>
    <col min="7956" max="7958" width="9.42578125" style="942" customWidth="1"/>
    <col min="7959" max="7959" width="7.7109375" style="942" bestFit="1" customWidth="1"/>
    <col min="7960" max="7960" width="9.28515625" style="942" bestFit="1" customWidth="1"/>
    <col min="7961" max="7961" width="9.85546875" style="942" bestFit="1" customWidth="1"/>
    <col min="7962" max="7962" width="9" style="942" bestFit="1" customWidth="1"/>
    <col min="7963" max="7963" width="8.5703125" style="942" bestFit="1" customWidth="1"/>
    <col min="7964" max="7964" width="5.28515625" style="942" bestFit="1" customWidth="1"/>
    <col min="7965" max="7965" width="9.42578125" style="942" bestFit="1" customWidth="1"/>
    <col min="7966" max="7966" width="6.42578125" style="942" bestFit="1" customWidth="1"/>
    <col min="7967" max="7967" width="5.140625" style="942" bestFit="1" customWidth="1"/>
    <col min="7968" max="7968" width="10.5703125" style="942" customWidth="1"/>
    <col min="7969" max="7969" width="31.5703125" style="942" bestFit="1" customWidth="1"/>
    <col min="7970" max="8194" width="8.85546875" style="942"/>
    <col min="8195" max="8196" width="3.42578125" style="942" customWidth="1"/>
    <col min="8197" max="8197" width="4.140625" style="942" customWidth="1"/>
    <col min="8198" max="8198" width="6.7109375" style="942" customWidth="1"/>
    <col min="8199" max="8199" width="6.5703125" style="942" customWidth="1"/>
    <col min="8200" max="8200" width="11" style="942" customWidth="1"/>
    <col min="8201" max="8201" width="9.140625" style="942" bestFit="1" customWidth="1"/>
    <col min="8202" max="8202" width="10" style="942" bestFit="1" customWidth="1"/>
    <col min="8203" max="8203" width="9.28515625" style="942" bestFit="1" customWidth="1"/>
    <col min="8204" max="8204" width="8.42578125" style="942" customWidth="1"/>
    <col min="8205" max="8205" width="11" style="942" bestFit="1" customWidth="1"/>
    <col min="8206" max="8206" width="8.7109375" style="942" bestFit="1" customWidth="1"/>
    <col min="8207" max="8207" width="8.42578125" style="942" bestFit="1" customWidth="1"/>
    <col min="8208" max="8209" width="8.7109375" style="942" customWidth="1"/>
    <col min="8210" max="8210" width="8.28515625" style="942" customWidth="1"/>
    <col min="8211" max="8211" width="12.85546875" style="942" customWidth="1"/>
    <col min="8212" max="8214" width="9.42578125" style="942" customWidth="1"/>
    <col min="8215" max="8215" width="7.7109375" style="942" bestFit="1" customWidth="1"/>
    <col min="8216" max="8216" width="9.28515625" style="942" bestFit="1" customWidth="1"/>
    <col min="8217" max="8217" width="9.85546875" style="942" bestFit="1" customWidth="1"/>
    <col min="8218" max="8218" width="9" style="942" bestFit="1" customWidth="1"/>
    <col min="8219" max="8219" width="8.5703125" style="942" bestFit="1" customWidth="1"/>
    <col min="8220" max="8220" width="5.28515625" style="942" bestFit="1" customWidth="1"/>
    <col min="8221" max="8221" width="9.42578125" style="942" bestFit="1" customWidth="1"/>
    <col min="8222" max="8222" width="6.42578125" style="942" bestFit="1" customWidth="1"/>
    <col min="8223" max="8223" width="5.140625" style="942" bestFit="1" customWidth="1"/>
    <col min="8224" max="8224" width="10.5703125" style="942" customWidth="1"/>
    <col min="8225" max="8225" width="31.5703125" style="942" bestFit="1" customWidth="1"/>
    <col min="8226" max="8450" width="8.85546875" style="942"/>
    <col min="8451" max="8452" width="3.42578125" style="942" customWidth="1"/>
    <col min="8453" max="8453" width="4.140625" style="942" customWidth="1"/>
    <col min="8454" max="8454" width="6.7109375" style="942" customWidth="1"/>
    <col min="8455" max="8455" width="6.5703125" style="942" customWidth="1"/>
    <col min="8456" max="8456" width="11" style="942" customWidth="1"/>
    <col min="8457" max="8457" width="9.140625" style="942" bestFit="1" customWidth="1"/>
    <col min="8458" max="8458" width="10" style="942" bestFit="1" customWidth="1"/>
    <col min="8459" max="8459" width="9.28515625" style="942" bestFit="1" customWidth="1"/>
    <col min="8460" max="8460" width="8.42578125" style="942" customWidth="1"/>
    <col min="8461" max="8461" width="11" style="942" bestFit="1" customWidth="1"/>
    <col min="8462" max="8462" width="8.7109375" style="942" bestFit="1" customWidth="1"/>
    <col min="8463" max="8463" width="8.42578125" style="942" bestFit="1" customWidth="1"/>
    <col min="8464" max="8465" width="8.7109375" style="942" customWidth="1"/>
    <col min="8466" max="8466" width="8.28515625" style="942" customWidth="1"/>
    <col min="8467" max="8467" width="12.85546875" style="942" customWidth="1"/>
    <col min="8468" max="8470" width="9.42578125" style="942" customWidth="1"/>
    <col min="8471" max="8471" width="7.7109375" style="942" bestFit="1" customWidth="1"/>
    <col min="8472" max="8472" width="9.28515625" style="942" bestFit="1" customWidth="1"/>
    <col min="8473" max="8473" width="9.85546875" style="942" bestFit="1" customWidth="1"/>
    <col min="8474" max="8474" width="9" style="942" bestFit="1" customWidth="1"/>
    <col min="8475" max="8475" width="8.5703125" style="942" bestFit="1" customWidth="1"/>
    <col min="8476" max="8476" width="5.28515625" style="942" bestFit="1" customWidth="1"/>
    <col min="8477" max="8477" width="9.42578125" style="942" bestFit="1" customWidth="1"/>
    <col min="8478" max="8478" width="6.42578125" style="942" bestFit="1" customWidth="1"/>
    <col min="8479" max="8479" width="5.140625" style="942" bestFit="1" customWidth="1"/>
    <col min="8480" max="8480" width="10.5703125" style="942" customWidth="1"/>
    <col min="8481" max="8481" width="31.5703125" style="942" bestFit="1" customWidth="1"/>
    <col min="8482" max="8706" width="8.85546875" style="942"/>
    <col min="8707" max="8708" width="3.42578125" style="942" customWidth="1"/>
    <col min="8709" max="8709" width="4.140625" style="942" customWidth="1"/>
    <col min="8710" max="8710" width="6.7109375" style="942" customWidth="1"/>
    <col min="8711" max="8711" width="6.5703125" style="942" customWidth="1"/>
    <col min="8712" max="8712" width="11" style="942" customWidth="1"/>
    <col min="8713" max="8713" width="9.140625" style="942" bestFit="1" customWidth="1"/>
    <col min="8714" max="8714" width="10" style="942" bestFit="1" customWidth="1"/>
    <col min="8715" max="8715" width="9.28515625" style="942" bestFit="1" customWidth="1"/>
    <col min="8716" max="8716" width="8.42578125" style="942" customWidth="1"/>
    <col min="8717" max="8717" width="11" style="942" bestFit="1" customWidth="1"/>
    <col min="8718" max="8718" width="8.7109375" style="942" bestFit="1" customWidth="1"/>
    <col min="8719" max="8719" width="8.42578125" style="942" bestFit="1" customWidth="1"/>
    <col min="8720" max="8721" width="8.7109375" style="942" customWidth="1"/>
    <col min="8722" max="8722" width="8.28515625" style="942" customWidth="1"/>
    <col min="8723" max="8723" width="12.85546875" style="942" customWidth="1"/>
    <col min="8724" max="8726" width="9.42578125" style="942" customWidth="1"/>
    <col min="8727" max="8727" width="7.7109375" style="942" bestFit="1" customWidth="1"/>
    <col min="8728" max="8728" width="9.28515625" style="942" bestFit="1" customWidth="1"/>
    <col min="8729" max="8729" width="9.85546875" style="942" bestFit="1" customWidth="1"/>
    <col min="8730" max="8730" width="9" style="942" bestFit="1" customWidth="1"/>
    <col min="8731" max="8731" width="8.5703125" style="942" bestFit="1" customWidth="1"/>
    <col min="8732" max="8732" width="5.28515625" style="942" bestFit="1" customWidth="1"/>
    <col min="8733" max="8733" width="9.42578125" style="942" bestFit="1" customWidth="1"/>
    <col min="8734" max="8734" width="6.42578125" style="942" bestFit="1" customWidth="1"/>
    <col min="8735" max="8735" width="5.140625" style="942" bestFit="1" customWidth="1"/>
    <col min="8736" max="8736" width="10.5703125" style="942" customWidth="1"/>
    <col min="8737" max="8737" width="31.5703125" style="942" bestFit="1" customWidth="1"/>
    <col min="8738" max="8962" width="8.85546875" style="942"/>
    <col min="8963" max="8964" width="3.42578125" style="942" customWidth="1"/>
    <col min="8965" max="8965" width="4.140625" style="942" customWidth="1"/>
    <col min="8966" max="8966" width="6.7109375" style="942" customWidth="1"/>
    <col min="8967" max="8967" width="6.5703125" style="942" customWidth="1"/>
    <col min="8968" max="8968" width="11" style="942" customWidth="1"/>
    <col min="8969" max="8969" width="9.140625" style="942" bestFit="1" customWidth="1"/>
    <col min="8970" max="8970" width="10" style="942" bestFit="1" customWidth="1"/>
    <col min="8971" max="8971" width="9.28515625" style="942" bestFit="1" customWidth="1"/>
    <col min="8972" max="8972" width="8.42578125" style="942" customWidth="1"/>
    <col min="8973" max="8973" width="11" style="942" bestFit="1" customWidth="1"/>
    <col min="8974" max="8974" width="8.7109375" style="942" bestFit="1" customWidth="1"/>
    <col min="8975" max="8975" width="8.42578125" style="942" bestFit="1" customWidth="1"/>
    <col min="8976" max="8977" width="8.7109375" style="942" customWidth="1"/>
    <col min="8978" max="8978" width="8.28515625" style="942" customWidth="1"/>
    <col min="8979" max="8979" width="12.85546875" style="942" customWidth="1"/>
    <col min="8980" max="8982" width="9.42578125" style="942" customWidth="1"/>
    <col min="8983" max="8983" width="7.7109375" style="942" bestFit="1" customWidth="1"/>
    <col min="8984" max="8984" width="9.28515625" style="942" bestFit="1" customWidth="1"/>
    <col min="8985" max="8985" width="9.85546875" style="942" bestFit="1" customWidth="1"/>
    <col min="8986" max="8986" width="9" style="942" bestFit="1" customWidth="1"/>
    <col min="8987" max="8987" width="8.5703125" style="942" bestFit="1" customWidth="1"/>
    <col min="8988" max="8988" width="5.28515625" style="942" bestFit="1" customWidth="1"/>
    <col min="8989" max="8989" width="9.42578125" style="942" bestFit="1" customWidth="1"/>
    <col min="8990" max="8990" width="6.42578125" style="942" bestFit="1" customWidth="1"/>
    <col min="8991" max="8991" width="5.140625" style="942" bestFit="1" customWidth="1"/>
    <col min="8992" max="8992" width="10.5703125" style="942" customWidth="1"/>
    <col min="8993" max="8993" width="31.5703125" style="942" bestFit="1" customWidth="1"/>
    <col min="8994" max="9218" width="8.85546875" style="942"/>
    <col min="9219" max="9220" width="3.42578125" style="942" customWidth="1"/>
    <col min="9221" max="9221" width="4.140625" style="942" customWidth="1"/>
    <col min="9222" max="9222" width="6.7109375" style="942" customWidth="1"/>
    <col min="9223" max="9223" width="6.5703125" style="942" customWidth="1"/>
    <col min="9224" max="9224" width="11" style="942" customWidth="1"/>
    <col min="9225" max="9225" width="9.140625" style="942" bestFit="1" customWidth="1"/>
    <col min="9226" max="9226" width="10" style="942" bestFit="1" customWidth="1"/>
    <col min="9227" max="9227" width="9.28515625" style="942" bestFit="1" customWidth="1"/>
    <col min="9228" max="9228" width="8.42578125" style="942" customWidth="1"/>
    <col min="9229" max="9229" width="11" style="942" bestFit="1" customWidth="1"/>
    <col min="9230" max="9230" width="8.7109375" style="942" bestFit="1" customWidth="1"/>
    <col min="9231" max="9231" width="8.42578125" style="942" bestFit="1" customWidth="1"/>
    <col min="9232" max="9233" width="8.7109375" style="942" customWidth="1"/>
    <col min="9234" max="9234" width="8.28515625" style="942" customWidth="1"/>
    <col min="9235" max="9235" width="12.85546875" style="942" customWidth="1"/>
    <col min="9236" max="9238" width="9.42578125" style="942" customWidth="1"/>
    <col min="9239" max="9239" width="7.7109375" style="942" bestFit="1" customWidth="1"/>
    <col min="9240" max="9240" width="9.28515625" style="942" bestFit="1" customWidth="1"/>
    <col min="9241" max="9241" width="9.85546875" style="942" bestFit="1" customWidth="1"/>
    <col min="9242" max="9242" width="9" style="942" bestFit="1" customWidth="1"/>
    <col min="9243" max="9243" width="8.5703125" style="942" bestFit="1" customWidth="1"/>
    <col min="9244" max="9244" width="5.28515625" style="942" bestFit="1" customWidth="1"/>
    <col min="9245" max="9245" width="9.42578125" style="942" bestFit="1" customWidth="1"/>
    <col min="9246" max="9246" width="6.42578125" style="942" bestFit="1" customWidth="1"/>
    <col min="9247" max="9247" width="5.140625" style="942" bestFit="1" customWidth="1"/>
    <col min="9248" max="9248" width="10.5703125" style="942" customWidth="1"/>
    <col min="9249" max="9249" width="31.5703125" style="942" bestFit="1" customWidth="1"/>
    <col min="9250" max="9474" width="8.85546875" style="942"/>
    <col min="9475" max="9476" width="3.42578125" style="942" customWidth="1"/>
    <col min="9477" max="9477" width="4.140625" style="942" customWidth="1"/>
    <col min="9478" max="9478" width="6.7109375" style="942" customWidth="1"/>
    <col min="9479" max="9479" width="6.5703125" style="942" customWidth="1"/>
    <col min="9480" max="9480" width="11" style="942" customWidth="1"/>
    <col min="9481" max="9481" width="9.140625" style="942" bestFit="1" customWidth="1"/>
    <col min="9482" max="9482" width="10" style="942" bestFit="1" customWidth="1"/>
    <col min="9483" max="9483" width="9.28515625" style="942" bestFit="1" customWidth="1"/>
    <col min="9484" max="9484" width="8.42578125" style="942" customWidth="1"/>
    <col min="9485" max="9485" width="11" style="942" bestFit="1" customWidth="1"/>
    <col min="9486" max="9486" width="8.7109375" style="942" bestFit="1" customWidth="1"/>
    <col min="9487" max="9487" width="8.42578125" style="942" bestFit="1" customWidth="1"/>
    <col min="9488" max="9489" width="8.7109375" style="942" customWidth="1"/>
    <col min="9490" max="9490" width="8.28515625" style="942" customWidth="1"/>
    <col min="9491" max="9491" width="12.85546875" style="942" customWidth="1"/>
    <col min="9492" max="9494" width="9.42578125" style="942" customWidth="1"/>
    <col min="9495" max="9495" width="7.7109375" style="942" bestFit="1" customWidth="1"/>
    <col min="9496" max="9496" width="9.28515625" style="942" bestFit="1" customWidth="1"/>
    <col min="9497" max="9497" width="9.85546875" style="942" bestFit="1" customWidth="1"/>
    <col min="9498" max="9498" width="9" style="942" bestFit="1" customWidth="1"/>
    <col min="9499" max="9499" width="8.5703125" style="942" bestFit="1" customWidth="1"/>
    <col min="9500" max="9500" width="5.28515625" style="942" bestFit="1" customWidth="1"/>
    <col min="9501" max="9501" width="9.42578125" style="942" bestFit="1" customWidth="1"/>
    <col min="9502" max="9502" width="6.42578125" style="942" bestFit="1" customWidth="1"/>
    <col min="9503" max="9503" width="5.140625" style="942" bestFit="1" customWidth="1"/>
    <col min="9504" max="9504" width="10.5703125" style="942" customWidth="1"/>
    <col min="9505" max="9505" width="31.5703125" style="942" bestFit="1" customWidth="1"/>
    <col min="9506" max="9730" width="8.85546875" style="942"/>
    <col min="9731" max="9732" width="3.42578125" style="942" customWidth="1"/>
    <col min="9733" max="9733" width="4.140625" style="942" customWidth="1"/>
    <col min="9734" max="9734" width="6.7109375" style="942" customWidth="1"/>
    <col min="9735" max="9735" width="6.5703125" style="942" customWidth="1"/>
    <col min="9736" max="9736" width="11" style="942" customWidth="1"/>
    <col min="9737" max="9737" width="9.140625" style="942" bestFit="1" customWidth="1"/>
    <col min="9738" max="9738" width="10" style="942" bestFit="1" customWidth="1"/>
    <col min="9739" max="9739" width="9.28515625" style="942" bestFit="1" customWidth="1"/>
    <col min="9740" max="9740" width="8.42578125" style="942" customWidth="1"/>
    <col min="9741" max="9741" width="11" style="942" bestFit="1" customWidth="1"/>
    <col min="9742" max="9742" width="8.7109375" style="942" bestFit="1" customWidth="1"/>
    <col min="9743" max="9743" width="8.42578125" style="942" bestFit="1" customWidth="1"/>
    <col min="9744" max="9745" width="8.7109375" style="942" customWidth="1"/>
    <col min="9746" max="9746" width="8.28515625" style="942" customWidth="1"/>
    <col min="9747" max="9747" width="12.85546875" style="942" customWidth="1"/>
    <col min="9748" max="9750" width="9.42578125" style="942" customWidth="1"/>
    <col min="9751" max="9751" width="7.7109375" style="942" bestFit="1" customWidth="1"/>
    <col min="9752" max="9752" width="9.28515625" style="942" bestFit="1" customWidth="1"/>
    <col min="9753" max="9753" width="9.85546875" style="942" bestFit="1" customWidth="1"/>
    <col min="9754" max="9754" width="9" style="942" bestFit="1" customWidth="1"/>
    <col min="9755" max="9755" width="8.5703125" style="942" bestFit="1" customWidth="1"/>
    <col min="9756" max="9756" width="5.28515625" style="942" bestFit="1" customWidth="1"/>
    <col min="9757" max="9757" width="9.42578125" style="942" bestFit="1" customWidth="1"/>
    <col min="9758" max="9758" width="6.42578125" style="942" bestFit="1" customWidth="1"/>
    <col min="9759" max="9759" width="5.140625" style="942" bestFit="1" customWidth="1"/>
    <col min="9760" max="9760" width="10.5703125" style="942" customWidth="1"/>
    <col min="9761" max="9761" width="31.5703125" style="942" bestFit="1" customWidth="1"/>
    <col min="9762" max="9986" width="8.85546875" style="942"/>
    <col min="9987" max="9988" width="3.42578125" style="942" customWidth="1"/>
    <col min="9989" max="9989" width="4.140625" style="942" customWidth="1"/>
    <col min="9990" max="9990" width="6.7109375" style="942" customWidth="1"/>
    <col min="9991" max="9991" width="6.5703125" style="942" customWidth="1"/>
    <col min="9992" max="9992" width="11" style="942" customWidth="1"/>
    <col min="9993" max="9993" width="9.140625" style="942" bestFit="1" customWidth="1"/>
    <col min="9994" max="9994" width="10" style="942" bestFit="1" customWidth="1"/>
    <col min="9995" max="9995" width="9.28515625" style="942" bestFit="1" customWidth="1"/>
    <col min="9996" max="9996" width="8.42578125" style="942" customWidth="1"/>
    <col min="9997" max="9997" width="11" style="942" bestFit="1" customWidth="1"/>
    <col min="9998" max="9998" width="8.7109375" style="942" bestFit="1" customWidth="1"/>
    <col min="9999" max="9999" width="8.42578125" style="942" bestFit="1" customWidth="1"/>
    <col min="10000" max="10001" width="8.7109375" style="942" customWidth="1"/>
    <col min="10002" max="10002" width="8.28515625" style="942" customWidth="1"/>
    <col min="10003" max="10003" width="12.85546875" style="942" customWidth="1"/>
    <col min="10004" max="10006" width="9.42578125" style="942" customWidth="1"/>
    <col min="10007" max="10007" width="7.7109375" style="942" bestFit="1" customWidth="1"/>
    <col min="10008" max="10008" width="9.28515625" style="942" bestFit="1" customWidth="1"/>
    <col min="10009" max="10009" width="9.85546875" style="942" bestFit="1" customWidth="1"/>
    <col min="10010" max="10010" width="9" style="942" bestFit="1" customWidth="1"/>
    <col min="10011" max="10011" width="8.5703125" style="942" bestFit="1" customWidth="1"/>
    <col min="10012" max="10012" width="5.28515625" style="942" bestFit="1" customWidth="1"/>
    <col min="10013" max="10013" width="9.42578125" style="942" bestFit="1" customWidth="1"/>
    <col min="10014" max="10014" width="6.42578125" style="942" bestFit="1" customWidth="1"/>
    <col min="10015" max="10015" width="5.140625" style="942" bestFit="1" customWidth="1"/>
    <col min="10016" max="10016" width="10.5703125" style="942" customWidth="1"/>
    <col min="10017" max="10017" width="31.5703125" style="942" bestFit="1" customWidth="1"/>
    <col min="10018" max="10242" width="8.85546875" style="942"/>
    <col min="10243" max="10244" width="3.42578125" style="942" customWidth="1"/>
    <col min="10245" max="10245" width="4.140625" style="942" customWidth="1"/>
    <col min="10246" max="10246" width="6.7109375" style="942" customWidth="1"/>
    <col min="10247" max="10247" width="6.5703125" style="942" customWidth="1"/>
    <col min="10248" max="10248" width="11" style="942" customWidth="1"/>
    <col min="10249" max="10249" width="9.140625" style="942" bestFit="1" customWidth="1"/>
    <col min="10250" max="10250" width="10" style="942" bestFit="1" customWidth="1"/>
    <col min="10251" max="10251" width="9.28515625" style="942" bestFit="1" customWidth="1"/>
    <col min="10252" max="10252" width="8.42578125" style="942" customWidth="1"/>
    <col min="10253" max="10253" width="11" style="942" bestFit="1" customWidth="1"/>
    <col min="10254" max="10254" width="8.7109375" style="942" bestFit="1" customWidth="1"/>
    <col min="10255" max="10255" width="8.42578125" style="942" bestFit="1" customWidth="1"/>
    <col min="10256" max="10257" width="8.7109375" style="942" customWidth="1"/>
    <col min="10258" max="10258" width="8.28515625" style="942" customWidth="1"/>
    <col min="10259" max="10259" width="12.85546875" style="942" customWidth="1"/>
    <col min="10260" max="10262" width="9.42578125" style="942" customWidth="1"/>
    <col min="10263" max="10263" width="7.7109375" style="942" bestFit="1" customWidth="1"/>
    <col min="10264" max="10264" width="9.28515625" style="942" bestFit="1" customWidth="1"/>
    <col min="10265" max="10265" width="9.85546875" style="942" bestFit="1" customWidth="1"/>
    <col min="10266" max="10266" width="9" style="942" bestFit="1" customWidth="1"/>
    <col min="10267" max="10267" width="8.5703125" style="942" bestFit="1" customWidth="1"/>
    <col min="10268" max="10268" width="5.28515625" style="942" bestFit="1" customWidth="1"/>
    <col min="10269" max="10269" width="9.42578125" style="942" bestFit="1" customWidth="1"/>
    <col min="10270" max="10270" width="6.42578125" style="942" bestFit="1" customWidth="1"/>
    <col min="10271" max="10271" width="5.140625" style="942" bestFit="1" customWidth="1"/>
    <col min="10272" max="10272" width="10.5703125" style="942" customWidth="1"/>
    <col min="10273" max="10273" width="31.5703125" style="942" bestFit="1" customWidth="1"/>
    <col min="10274" max="10498" width="8.85546875" style="942"/>
    <col min="10499" max="10500" width="3.42578125" style="942" customWidth="1"/>
    <col min="10501" max="10501" width="4.140625" style="942" customWidth="1"/>
    <col min="10502" max="10502" width="6.7109375" style="942" customWidth="1"/>
    <col min="10503" max="10503" width="6.5703125" style="942" customWidth="1"/>
    <col min="10504" max="10504" width="11" style="942" customWidth="1"/>
    <col min="10505" max="10505" width="9.140625" style="942" bestFit="1" customWidth="1"/>
    <col min="10506" max="10506" width="10" style="942" bestFit="1" customWidth="1"/>
    <col min="10507" max="10507" width="9.28515625" style="942" bestFit="1" customWidth="1"/>
    <col min="10508" max="10508" width="8.42578125" style="942" customWidth="1"/>
    <col min="10509" max="10509" width="11" style="942" bestFit="1" customWidth="1"/>
    <col min="10510" max="10510" width="8.7109375" style="942" bestFit="1" customWidth="1"/>
    <col min="10511" max="10511" width="8.42578125" style="942" bestFit="1" customWidth="1"/>
    <col min="10512" max="10513" width="8.7109375" style="942" customWidth="1"/>
    <col min="10514" max="10514" width="8.28515625" style="942" customWidth="1"/>
    <col min="10515" max="10515" width="12.85546875" style="942" customWidth="1"/>
    <col min="10516" max="10518" width="9.42578125" style="942" customWidth="1"/>
    <col min="10519" max="10519" width="7.7109375" style="942" bestFit="1" customWidth="1"/>
    <col min="10520" max="10520" width="9.28515625" style="942" bestFit="1" customWidth="1"/>
    <col min="10521" max="10521" width="9.85546875" style="942" bestFit="1" customWidth="1"/>
    <col min="10522" max="10522" width="9" style="942" bestFit="1" customWidth="1"/>
    <col min="10523" max="10523" width="8.5703125" style="942" bestFit="1" customWidth="1"/>
    <col min="10524" max="10524" width="5.28515625" style="942" bestFit="1" customWidth="1"/>
    <col min="10525" max="10525" width="9.42578125" style="942" bestFit="1" customWidth="1"/>
    <col min="10526" max="10526" width="6.42578125" style="942" bestFit="1" customWidth="1"/>
    <col min="10527" max="10527" width="5.140625" style="942" bestFit="1" customWidth="1"/>
    <col min="10528" max="10528" width="10.5703125" style="942" customWidth="1"/>
    <col min="10529" max="10529" width="31.5703125" style="942" bestFit="1" customWidth="1"/>
    <col min="10530" max="10754" width="8.85546875" style="942"/>
    <col min="10755" max="10756" width="3.42578125" style="942" customWidth="1"/>
    <col min="10757" max="10757" width="4.140625" style="942" customWidth="1"/>
    <col min="10758" max="10758" width="6.7109375" style="942" customWidth="1"/>
    <col min="10759" max="10759" width="6.5703125" style="942" customWidth="1"/>
    <col min="10760" max="10760" width="11" style="942" customWidth="1"/>
    <col min="10761" max="10761" width="9.140625" style="942" bestFit="1" customWidth="1"/>
    <col min="10762" max="10762" width="10" style="942" bestFit="1" customWidth="1"/>
    <col min="10763" max="10763" width="9.28515625" style="942" bestFit="1" customWidth="1"/>
    <col min="10764" max="10764" width="8.42578125" style="942" customWidth="1"/>
    <col min="10765" max="10765" width="11" style="942" bestFit="1" customWidth="1"/>
    <col min="10766" max="10766" width="8.7109375" style="942" bestFit="1" customWidth="1"/>
    <col min="10767" max="10767" width="8.42578125" style="942" bestFit="1" customWidth="1"/>
    <col min="10768" max="10769" width="8.7109375" style="942" customWidth="1"/>
    <col min="10770" max="10770" width="8.28515625" style="942" customWidth="1"/>
    <col min="10771" max="10771" width="12.85546875" style="942" customWidth="1"/>
    <col min="10772" max="10774" width="9.42578125" style="942" customWidth="1"/>
    <col min="10775" max="10775" width="7.7109375" style="942" bestFit="1" customWidth="1"/>
    <col min="10776" max="10776" width="9.28515625" style="942" bestFit="1" customWidth="1"/>
    <col min="10777" max="10777" width="9.85546875" style="942" bestFit="1" customWidth="1"/>
    <col min="10778" max="10778" width="9" style="942" bestFit="1" customWidth="1"/>
    <col min="10779" max="10779" width="8.5703125" style="942" bestFit="1" customWidth="1"/>
    <col min="10780" max="10780" width="5.28515625" style="942" bestFit="1" customWidth="1"/>
    <col min="10781" max="10781" width="9.42578125" style="942" bestFit="1" customWidth="1"/>
    <col min="10782" max="10782" width="6.42578125" style="942" bestFit="1" customWidth="1"/>
    <col min="10783" max="10783" width="5.140625" style="942" bestFit="1" customWidth="1"/>
    <col min="10784" max="10784" width="10.5703125" style="942" customWidth="1"/>
    <col min="10785" max="10785" width="31.5703125" style="942" bestFit="1" customWidth="1"/>
    <col min="10786" max="11010" width="8.85546875" style="942"/>
    <col min="11011" max="11012" width="3.42578125" style="942" customWidth="1"/>
    <col min="11013" max="11013" width="4.140625" style="942" customWidth="1"/>
    <col min="11014" max="11014" width="6.7109375" style="942" customWidth="1"/>
    <col min="11015" max="11015" width="6.5703125" style="942" customWidth="1"/>
    <col min="11016" max="11016" width="11" style="942" customWidth="1"/>
    <col min="11017" max="11017" width="9.140625" style="942" bestFit="1" customWidth="1"/>
    <col min="11018" max="11018" width="10" style="942" bestFit="1" customWidth="1"/>
    <col min="11019" max="11019" width="9.28515625" style="942" bestFit="1" customWidth="1"/>
    <col min="11020" max="11020" width="8.42578125" style="942" customWidth="1"/>
    <col min="11021" max="11021" width="11" style="942" bestFit="1" customWidth="1"/>
    <col min="11022" max="11022" width="8.7109375" style="942" bestFit="1" customWidth="1"/>
    <col min="11023" max="11023" width="8.42578125" style="942" bestFit="1" customWidth="1"/>
    <col min="11024" max="11025" width="8.7109375" style="942" customWidth="1"/>
    <col min="11026" max="11026" width="8.28515625" style="942" customWidth="1"/>
    <col min="11027" max="11027" width="12.85546875" style="942" customWidth="1"/>
    <col min="11028" max="11030" width="9.42578125" style="942" customWidth="1"/>
    <col min="11031" max="11031" width="7.7109375" style="942" bestFit="1" customWidth="1"/>
    <col min="11032" max="11032" width="9.28515625" style="942" bestFit="1" customWidth="1"/>
    <col min="11033" max="11033" width="9.85546875" style="942" bestFit="1" customWidth="1"/>
    <col min="11034" max="11034" width="9" style="942" bestFit="1" customWidth="1"/>
    <col min="11035" max="11035" width="8.5703125" style="942" bestFit="1" customWidth="1"/>
    <col min="11036" max="11036" width="5.28515625" style="942" bestFit="1" customWidth="1"/>
    <col min="11037" max="11037" width="9.42578125" style="942" bestFit="1" customWidth="1"/>
    <col min="11038" max="11038" width="6.42578125" style="942" bestFit="1" customWidth="1"/>
    <col min="11039" max="11039" width="5.140625" style="942" bestFit="1" customWidth="1"/>
    <col min="11040" max="11040" width="10.5703125" style="942" customWidth="1"/>
    <col min="11041" max="11041" width="31.5703125" style="942" bestFit="1" customWidth="1"/>
    <col min="11042" max="11266" width="8.85546875" style="942"/>
    <col min="11267" max="11268" width="3.42578125" style="942" customWidth="1"/>
    <col min="11269" max="11269" width="4.140625" style="942" customWidth="1"/>
    <col min="11270" max="11270" width="6.7109375" style="942" customWidth="1"/>
    <col min="11271" max="11271" width="6.5703125" style="942" customWidth="1"/>
    <col min="11272" max="11272" width="11" style="942" customWidth="1"/>
    <col min="11273" max="11273" width="9.140625" style="942" bestFit="1" customWidth="1"/>
    <col min="11274" max="11274" width="10" style="942" bestFit="1" customWidth="1"/>
    <col min="11275" max="11275" width="9.28515625" style="942" bestFit="1" customWidth="1"/>
    <col min="11276" max="11276" width="8.42578125" style="942" customWidth="1"/>
    <col min="11277" max="11277" width="11" style="942" bestFit="1" customWidth="1"/>
    <col min="11278" max="11278" width="8.7109375" style="942" bestFit="1" customWidth="1"/>
    <col min="11279" max="11279" width="8.42578125" style="942" bestFit="1" customWidth="1"/>
    <col min="11280" max="11281" width="8.7109375" style="942" customWidth="1"/>
    <col min="11282" max="11282" width="8.28515625" style="942" customWidth="1"/>
    <col min="11283" max="11283" width="12.85546875" style="942" customWidth="1"/>
    <col min="11284" max="11286" width="9.42578125" style="942" customWidth="1"/>
    <col min="11287" max="11287" width="7.7109375" style="942" bestFit="1" customWidth="1"/>
    <col min="11288" max="11288" width="9.28515625" style="942" bestFit="1" customWidth="1"/>
    <col min="11289" max="11289" width="9.85546875" style="942" bestFit="1" customWidth="1"/>
    <col min="11290" max="11290" width="9" style="942" bestFit="1" customWidth="1"/>
    <col min="11291" max="11291" width="8.5703125" style="942" bestFit="1" customWidth="1"/>
    <col min="11292" max="11292" width="5.28515625" style="942" bestFit="1" customWidth="1"/>
    <col min="11293" max="11293" width="9.42578125" style="942" bestFit="1" customWidth="1"/>
    <col min="11294" max="11294" width="6.42578125" style="942" bestFit="1" customWidth="1"/>
    <col min="11295" max="11295" width="5.140625" style="942" bestFit="1" customWidth="1"/>
    <col min="11296" max="11296" width="10.5703125" style="942" customWidth="1"/>
    <col min="11297" max="11297" width="31.5703125" style="942" bestFit="1" customWidth="1"/>
    <col min="11298" max="11522" width="8.85546875" style="942"/>
    <col min="11523" max="11524" width="3.42578125" style="942" customWidth="1"/>
    <col min="11525" max="11525" width="4.140625" style="942" customWidth="1"/>
    <col min="11526" max="11526" width="6.7109375" style="942" customWidth="1"/>
    <col min="11527" max="11527" width="6.5703125" style="942" customWidth="1"/>
    <col min="11528" max="11528" width="11" style="942" customWidth="1"/>
    <col min="11529" max="11529" width="9.140625" style="942" bestFit="1" customWidth="1"/>
    <col min="11530" max="11530" width="10" style="942" bestFit="1" customWidth="1"/>
    <col min="11531" max="11531" width="9.28515625" style="942" bestFit="1" customWidth="1"/>
    <col min="11532" max="11532" width="8.42578125" style="942" customWidth="1"/>
    <col min="11533" max="11533" width="11" style="942" bestFit="1" customWidth="1"/>
    <col min="11534" max="11534" width="8.7109375" style="942" bestFit="1" customWidth="1"/>
    <col min="11535" max="11535" width="8.42578125" style="942" bestFit="1" customWidth="1"/>
    <col min="11536" max="11537" width="8.7109375" style="942" customWidth="1"/>
    <col min="11538" max="11538" width="8.28515625" style="942" customWidth="1"/>
    <col min="11539" max="11539" width="12.85546875" style="942" customWidth="1"/>
    <col min="11540" max="11542" width="9.42578125" style="942" customWidth="1"/>
    <col min="11543" max="11543" width="7.7109375" style="942" bestFit="1" customWidth="1"/>
    <col min="11544" max="11544" width="9.28515625" style="942" bestFit="1" customWidth="1"/>
    <col min="11545" max="11545" width="9.85546875" style="942" bestFit="1" customWidth="1"/>
    <col min="11546" max="11546" width="9" style="942" bestFit="1" customWidth="1"/>
    <col min="11547" max="11547" width="8.5703125" style="942" bestFit="1" customWidth="1"/>
    <col min="11548" max="11548" width="5.28515625" style="942" bestFit="1" customWidth="1"/>
    <col min="11549" max="11549" width="9.42578125" style="942" bestFit="1" customWidth="1"/>
    <col min="11550" max="11550" width="6.42578125" style="942" bestFit="1" customWidth="1"/>
    <col min="11551" max="11551" width="5.140625" style="942" bestFit="1" customWidth="1"/>
    <col min="11552" max="11552" width="10.5703125" style="942" customWidth="1"/>
    <col min="11553" max="11553" width="31.5703125" style="942" bestFit="1" customWidth="1"/>
    <col min="11554" max="11778" width="8.85546875" style="942"/>
    <col min="11779" max="11780" width="3.42578125" style="942" customWidth="1"/>
    <col min="11781" max="11781" width="4.140625" style="942" customWidth="1"/>
    <col min="11782" max="11782" width="6.7109375" style="942" customWidth="1"/>
    <col min="11783" max="11783" width="6.5703125" style="942" customWidth="1"/>
    <col min="11784" max="11784" width="11" style="942" customWidth="1"/>
    <col min="11785" max="11785" width="9.140625" style="942" bestFit="1" customWidth="1"/>
    <col min="11786" max="11786" width="10" style="942" bestFit="1" customWidth="1"/>
    <col min="11787" max="11787" width="9.28515625" style="942" bestFit="1" customWidth="1"/>
    <col min="11788" max="11788" width="8.42578125" style="942" customWidth="1"/>
    <col min="11789" max="11789" width="11" style="942" bestFit="1" customWidth="1"/>
    <col min="11790" max="11790" width="8.7109375" style="942" bestFit="1" customWidth="1"/>
    <col min="11791" max="11791" width="8.42578125" style="942" bestFit="1" customWidth="1"/>
    <col min="11792" max="11793" width="8.7109375" style="942" customWidth="1"/>
    <col min="11794" max="11794" width="8.28515625" style="942" customWidth="1"/>
    <col min="11795" max="11795" width="12.85546875" style="942" customWidth="1"/>
    <col min="11796" max="11798" width="9.42578125" style="942" customWidth="1"/>
    <col min="11799" max="11799" width="7.7109375" style="942" bestFit="1" customWidth="1"/>
    <col min="11800" max="11800" width="9.28515625" style="942" bestFit="1" customWidth="1"/>
    <col min="11801" max="11801" width="9.85546875" style="942" bestFit="1" customWidth="1"/>
    <col min="11802" max="11802" width="9" style="942" bestFit="1" customWidth="1"/>
    <col min="11803" max="11803" width="8.5703125" style="942" bestFit="1" customWidth="1"/>
    <col min="11804" max="11804" width="5.28515625" style="942" bestFit="1" customWidth="1"/>
    <col min="11805" max="11805" width="9.42578125" style="942" bestFit="1" customWidth="1"/>
    <col min="11806" max="11806" width="6.42578125" style="942" bestFit="1" customWidth="1"/>
    <col min="11807" max="11807" width="5.140625" style="942" bestFit="1" customWidth="1"/>
    <col min="11808" max="11808" width="10.5703125" style="942" customWidth="1"/>
    <col min="11809" max="11809" width="31.5703125" style="942" bestFit="1" customWidth="1"/>
    <col min="11810" max="12034" width="8.85546875" style="942"/>
    <col min="12035" max="12036" width="3.42578125" style="942" customWidth="1"/>
    <col min="12037" max="12037" width="4.140625" style="942" customWidth="1"/>
    <col min="12038" max="12038" width="6.7109375" style="942" customWidth="1"/>
    <col min="12039" max="12039" width="6.5703125" style="942" customWidth="1"/>
    <col min="12040" max="12040" width="11" style="942" customWidth="1"/>
    <col min="12041" max="12041" width="9.140625" style="942" bestFit="1" customWidth="1"/>
    <col min="12042" max="12042" width="10" style="942" bestFit="1" customWidth="1"/>
    <col min="12043" max="12043" width="9.28515625" style="942" bestFit="1" customWidth="1"/>
    <col min="12044" max="12044" width="8.42578125" style="942" customWidth="1"/>
    <col min="12045" max="12045" width="11" style="942" bestFit="1" customWidth="1"/>
    <col min="12046" max="12046" width="8.7109375" style="942" bestFit="1" customWidth="1"/>
    <col min="12047" max="12047" width="8.42578125" style="942" bestFit="1" customWidth="1"/>
    <col min="12048" max="12049" width="8.7109375" style="942" customWidth="1"/>
    <col min="12050" max="12050" width="8.28515625" style="942" customWidth="1"/>
    <col min="12051" max="12051" width="12.85546875" style="942" customWidth="1"/>
    <col min="12052" max="12054" width="9.42578125" style="942" customWidth="1"/>
    <col min="12055" max="12055" width="7.7109375" style="942" bestFit="1" customWidth="1"/>
    <col min="12056" max="12056" width="9.28515625" style="942" bestFit="1" customWidth="1"/>
    <col min="12057" max="12057" width="9.85546875" style="942" bestFit="1" customWidth="1"/>
    <col min="12058" max="12058" width="9" style="942" bestFit="1" customWidth="1"/>
    <col min="12059" max="12059" width="8.5703125" style="942" bestFit="1" customWidth="1"/>
    <col min="12060" max="12060" width="5.28515625" style="942" bestFit="1" customWidth="1"/>
    <col min="12061" max="12061" width="9.42578125" style="942" bestFit="1" customWidth="1"/>
    <col min="12062" max="12062" width="6.42578125" style="942" bestFit="1" customWidth="1"/>
    <col min="12063" max="12063" width="5.140625" style="942" bestFit="1" customWidth="1"/>
    <col min="12064" max="12064" width="10.5703125" style="942" customWidth="1"/>
    <col min="12065" max="12065" width="31.5703125" style="942" bestFit="1" customWidth="1"/>
    <col min="12066" max="12290" width="8.85546875" style="942"/>
    <col min="12291" max="12292" width="3.42578125" style="942" customWidth="1"/>
    <col min="12293" max="12293" width="4.140625" style="942" customWidth="1"/>
    <col min="12294" max="12294" width="6.7109375" style="942" customWidth="1"/>
    <col min="12295" max="12295" width="6.5703125" style="942" customWidth="1"/>
    <col min="12296" max="12296" width="11" style="942" customWidth="1"/>
    <col min="12297" max="12297" width="9.140625" style="942" bestFit="1" customWidth="1"/>
    <col min="12298" max="12298" width="10" style="942" bestFit="1" customWidth="1"/>
    <col min="12299" max="12299" width="9.28515625" style="942" bestFit="1" customWidth="1"/>
    <col min="12300" max="12300" width="8.42578125" style="942" customWidth="1"/>
    <col min="12301" max="12301" width="11" style="942" bestFit="1" customWidth="1"/>
    <col min="12302" max="12302" width="8.7109375" style="942" bestFit="1" customWidth="1"/>
    <col min="12303" max="12303" width="8.42578125" style="942" bestFit="1" customWidth="1"/>
    <col min="12304" max="12305" width="8.7109375" style="942" customWidth="1"/>
    <col min="12306" max="12306" width="8.28515625" style="942" customWidth="1"/>
    <col min="12307" max="12307" width="12.85546875" style="942" customWidth="1"/>
    <col min="12308" max="12310" width="9.42578125" style="942" customWidth="1"/>
    <col min="12311" max="12311" width="7.7109375" style="942" bestFit="1" customWidth="1"/>
    <col min="12312" max="12312" width="9.28515625" style="942" bestFit="1" customWidth="1"/>
    <col min="12313" max="12313" width="9.85546875" style="942" bestFit="1" customWidth="1"/>
    <col min="12314" max="12314" width="9" style="942" bestFit="1" customWidth="1"/>
    <col min="12315" max="12315" width="8.5703125" style="942" bestFit="1" customWidth="1"/>
    <col min="12316" max="12316" width="5.28515625" style="942" bestFit="1" customWidth="1"/>
    <col min="12317" max="12317" width="9.42578125" style="942" bestFit="1" customWidth="1"/>
    <col min="12318" max="12318" width="6.42578125" style="942" bestFit="1" customWidth="1"/>
    <col min="12319" max="12319" width="5.140625" style="942" bestFit="1" customWidth="1"/>
    <col min="12320" max="12320" width="10.5703125" style="942" customWidth="1"/>
    <col min="12321" max="12321" width="31.5703125" style="942" bestFit="1" customWidth="1"/>
    <col min="12322" max="12546" width="8.85546875" style="942"/>
    <col min="12547" max="12548" width="3.42578125" style="942" customWidth="1"/>
    <col min="12549" max="12549" width="4.140625" style="942" customWidth="1"/>
    <col min="12550" max="12550" width="6.7109375" style="942" customWidth="1"/>
    <col min="12551" max="12551" width="6.5703125" style="942" customWidth="1"/>
    <col min="12552" max="12552" width="11" style="942" customWidth="1"/>
    <col min="12553" max="12553" width="9.140625" style="942" bestFit="1" customWidth="1"/>
    <col min="12554" max="12554" width="10" style="942" bestFit="1" customWidth="1"/>
    <col min="12555" max="12555" width="9.28515625" style="942" bestFit="1" customWidth="1"/>
    <col min="12556" max="12556" width="8.42578125" style="942" customWidth="1"/>
    <col min="12557" max="12557" width="11" style="942" bestFit="1" customWidth="1"/>
    <col min="12558" max="12558" width="8.7109375" style="942" bestFit="1" customWidth="1"/>
    <col min="12559" max="12559" width="8.42578125" style="942" bestFit="1" customWidth="1"/>
    <col min="12560" max="12561" width="8.7109375" style="942" customWidth="1"/>
    <col min="12562" max="12562" width="8.28515625" style="942" customWidth="1"/>
    <col min="12563" max="12563" width="12.85546875" style="942" customWidth="1"/>
    <col min="12564" max="12566" width="9.42578125" style="942" customWidth="1"/>
    <col min="12567" max="12567" width="7.7109375" style="942" bestFit="1" customWidth="1"/>
    <col min="12568" max="12568" width="9.28515625" style="942" bestFit="1" customWidth="1"/>
    <col min="12569" max="12569" width="9.85546875" style="942" bestFit="1" customWidth="1"/>
    <col min="12570" max="12570" width="9" style="942" bestFit="1" customWidth="1"/>
    <col min="12571" max="12571" width="8.5703125" style="942" bestFit="1" customWidth="1"/>
    <col min="12572" max="12572" width="5.28515625" style="942" bestFit="1" customWidth="1"/>
    <col min="12573" max="12573" width="9.42578125" style="942" bestFit="1" customWidth="1"/>
    <col min="12574" max="12574" width="6.42578125" style="942" bestFit="1" customWidth="1"/>
    <col min="12575" max="12575" width="5.140625" style="942" bestFit="1" customWidth="1"/>
    <col min="12576" max="12576" width="10.5703125" style="942" customWidth="1"/>
    <col min="12577" max="12577" width="31.5703125" style="942" bestFit="1" customWidth="1"/>
    <col min="12578" max="12802" width="8.85546875" style="942"/>
    <col min="12803" max="12804" width="3.42578125" style="942" customWidth="1"/>
    <col min="12805" max="12805" width="4.140625" style="942" customWidth="1"/>
    <col min="12806" max="12806" width="6.7109375" style="942" customWidth="1"/>
    <col min="12807" max="12807" width="6.5703125" style="942" customWidth="1"/>
    <col min="12808" max="12808" width="11" style="942" customWidth="1"/>
    <col min="12809" max="12809" width="9.140625" style="942" bestFit="1" customWidth="1"/>
    <col min="12810" max="12810" width="10" style="942" bestFit="1" customWidth="1"/>
    <col min="12811" max="12811" width="9.28515625" style="942" bestFit="1" customWidth="1"/>
    <col min="12812" max="12812" width="8.42578125" style="942" customWidth="1"/>
    <col min="12813" max="12813" width="11" style="942" bestFit="1" customWidth="1"/>
    <col min="12814" max="12814" width="8.7109375" style="942" bestFit="1" customWidth="1"/>
    <col min="12815" max="12815" width="8.42578125" style="942" bestFit="1" customWidth="1"/>
    <col min="12816" max="12817" width="8.7109375" style="942" customWidth="1"/>
    <col min="12818" max="12818" width="8.28515625" style="942" customWidth="1"/>
    <col min="12819" max="12819" width="12.85546875" style="942" customWidth="1"/>
    <col min="12820" max="12822" width="9.42578125" style="942" customWidth="1"/>
    <col min="12823" max="12823" width="7.7109375" style="942" bestFit="1" customWidth="1"/>
    <col min="12824" max="12824" width="9.28515625" style="942" bestFit="1" customWidth="1"/>
    <col min="12825" max="12825" width="9.85546875" style="942" bestFit="1" customWidth="1"/>
    <col min="12826" max="12826" width="9" style="942" bestFit="1" customWidth="1"/>
    <col min="12827" max="12827" width="8.5703125" style="942" bestFit="1" customWidth="1"/>
    <col min="12828" max="12828" width="5.28515625" style="942" bestFit="1" customWidth="1"/>
    <col min="12829" max="12829" width="9.42578125" style="942" bestFit="1" customWidth="1"/>
    <col min="12830" max="12830" width="6.42578125" style="942" bestFit="1" customWidth="1"/>
    <col min="12831" max="12831" width="5.140625" style="942" bestFit="1" customWidth="1"/>
    <col min="12832" max="12832" width="10.5703125" style="942" customWidth="1"/>
    <col min="12833" max="12833" width="31.5703125" style="942" bestFit="1" customWidth="1"/>
    <col min="12834" max="13058" width="8.85546875" style="942"/>
    <col min="13059" max="13060" width="3.42578125" style="942" customWidth="1"/>
    <col min="13061" max="13061" width="4.140625" style="942" customWidth="1"/>
    <col min="13062" max="13062" width="6.7109375" style="942" customWidth="1"/>
    <col min="13063" max="13063" width="6.5703125" style="942" customWidth="1"/>
    <col min="13064" max="13064" width="11" style="942" customWidth="1"/>
    <col min="13065" max="13065" width="9.140625" style="942" bestFit="1" customWidth="1"/>
    <col min="13066" max="13066" width="10" style="942" bestFit="1" customWidth="1"/>
    <col min="13067" max="13067" width="9.28515625" style="942" bestFit="1" customWidth="1"/>
    <col min="13068" max="13068" width="8.42578125" style="942" customWidth="1"/>
    <col min="13069" max="13069" width="11" style="942" bestFit="1" customWidth="1"/>
    <col min="13070" max="13070" width="8.7109375" style="942" bestFit="1" customWidth="1"/>
    <col min="13071" max="13071" width="8.42578125" style="942" bestFit="1" customWidth="1"/>
    <col min="13072" max="13073" width="8.7109375" style="942" customWidth="1"/>
    <col min="13074" max="13074" width="8.28515625" style="942" customWidth="1"/>
    <col min="13075" max="13075" width="12.85546875" style="942" customWidth="1"/>
    <col min="13076" max="13078" width="9.42578125" style="942" customWidth="1"/>
    <col min="13079" max="13079" width="7.7109375" style="942" bestFit="1" customWidth="1"/>
    <col min="13080" max="13080" width="9.28515625" style="942" bestFit="1" customWidth="1"/>
    <col min="13081" max="13081" width="9.85546875" style="942" bestFit="1" customWidth="1"/>
    <col min="13082" max="13082" width="9" style="942" bestFit="1" customWidth="1"/>
    <col min="13083" max="13083" width="8.5703125" style="942" bestFit="1" customWidth="1"/>
    <col min="13084" max="13084" width="5.28515625" style="942" bestFit="1" customWidth="1"/>
    <col min="13085" max="13085" width="9.42578125" style="942" bestFit="1" customWidth="1"/>
    <col min="13086" max="13086" width="6.42578125" style="942" bestFit="1" customWidth="1"/>
    <col min="13087" max="13087" width="5.140625" style="942" bestFit="1" customWidth="1"/>
    <col min="13088" max="13088" width="10.5703125" style="942" customWidth="1"/>
    <col min="13089" max="13089" width="31.5703125" style="942" bestFit="1" customWidth="1"/>
    <col min="13090" max="13314" width="8.85546875" style="942"/>
    <col min="13315" max="13316" width="3.42578125" style="942" customWidth="1"/>
    <col min="13317" max="13317" width="4.140625" style="942" customWidth="1"/>
    <col min="13318" max="13318" width="6.7109375" style="942" customWidth="1"/>
    <col min="13319" max="13319" width="6.5703125" style="942" customWidth="1"/>
    <col min="13320" max="13320" width="11" style="942" customWidth="1"/>
    <col min="13321" max="13321" width="9.140625" style="942" bestFit="1" customWidth="1"/>
    <col min="13322" max="13322" width="10" style="942" bestFit="1" customWidth="1"/>
    <col min="13323" max="13323" width="9.28515625" style="942" bestFit="1" customWidth="1"/>
    <col min="13324" max="13324" width="8.42578125" style="942" customWidth="1"/>
    <col min="13325" max="13325" width="11" style="942" bestFit="1" customWidth="1"/>
    <col min="13326" max="13326" width="8.7109375" style="942" bestFit="1" customWidth="1"/>
    <col min="13327" max="13327" width="8.42578125" style="942" bestFit="1" customWidth="1"/>
    <col min="13328" max="13329" width="8.7109375" style="942" customWidth="1"/>
    <col min="13330" max="13330" width="8.28515625" style="942" customWidth="1"/>
    <col min="13331" max="13331" width="12.85546875" style="942" customWidth="1"/>
    <col min="13332" max="13334" width="9.42578125" style="942" customWidth="1"/>
    <col min="13335" max="13335" width="7.7109375" style="942" bestFit="1" customWidth="1"/>
    <col min="13336" max="13336" width="9.28515625" style="942" bestFit="1" customWidth="1"/>
    <col min="13337" max="13337" width="9.85546875" style="942" bestFit="1" customWidth="1"/>
    <col min="13338" max="13338" width="9" style="942" bestFit="1" customWidth="1"/>
    <col min="13339" max="13339" width="8.5703125" style="942" bestFit="1" customWidth="1"/>
    <col min="13340" max="13340" width="5.28515625" style="942" bestFit="1" customWidth="1"/>
    <col min="13341" max="13341" width="9.42578125" style="942" bestFit="1" customWidth="1"/>
    <col min="13342" max="13342" width="6.42578125" style="942" bestFit="1" customWidth="1"/>
    <col min="13343" max="13343" width="5.140625" style="942" bestFit="1" customWidth="1"/>
    <col min="13344" max="13344" width="10.5703125" style="942" customWidth="1"/>
    <col min="13345" max="13345" width="31.5703125" style="942" bestFit="1" customWidth="1"/>
    <col min="13346" max="13570" width="8.85546875" style="942"/>
    <col min="13571" max="13572" width="3.42578125" style="942" customWidth="1"/>
    <col min="13573" max="13573" width="4.140625" style="942" customWidth="1"/>
    <col min="13574" max="13574" width="6.7109375" style="942" customWidth="1"/>
    <col min="13575" max="13575" width="6.5703125" style="942" customWidth="1"/>
    <col min="13576" max="13576" width="11" style="942" customWidth="1"/>
    <col min="13577" max="13577" width="9.140625" style="942" bestFit="1" customWidth="1"/>
    <col min="13578" max="13578" width="10" style="942" bestFit="1" customWidth="1"/>
    <col min="13579" max="13579" width="9.28515625" style="942" bestFit="1" customWidth="1"/>
    <col min="13580" max="13580" width="8.42578125" style="942" customWidth="1"/>
    <col min="13581" max="13581" width="11" style="942" bestFit="1" customWidth="1"/>
    <col min="13582" max="13582" width="8.7109375" style="942" bestFit="1" customWidth="1"/>
    <col min="13583" max="13583" width="8.42578125" style="942" bestFit="1" customWidth="1"/>
    <col min="13584" max="13585" width="8.7109375" style="942" customWidth="1"/>
    <col min="13586" max="13586" width="8.28515625" style="942" customWidth="1"/>
    <col min="13587" max="13587" width="12.85546875" style="942" customWidth="1"/>
    <col min="13588" max="13590" width="9.42578125" style="942" customWidth="1"/>
    <col min="13591" max="13591" width="7.7109375" style="942" bestFit="1" customWidth="1"/>
    <col min="13592" max="13592" width="9.28515625" style="942" bestFit="1" customWidth="1"/>
    <col min="13593" max="13593" width="9.85546875" style="942" bestFit="1" customWidth="1"/>
    <col min="13594" max="13594" width="9" style="942" bestFit="1" customWidth="1"/>
    <col min="13595" max="13595" width="8.5703125" style="942" bestFit="1" customWidth="1"/>
    <col min="13596" max="13596" width="5.28515625" style="942" bestFit="1" customWidth="1"/>
    <col min="13597" max="13597" width="9.42578125" style="942" bestFit="1" customWidth="1"/>
    <col min="13598" max="13598" width="6.42578125" style="942" bestFit="1" customWidth="1"/>
    <col min="13599" max="13599" width="5.140625" style="942" bestFit="1" customWidth="1"/>
    <col min="13600" max="13600" width="10.5703125" style="942" customWidth="1"/>
    <col min="13601" max="13601" width="31.5703125" style="942" bestFit="1" customWidth="1"/>
    <col min="13602" max="13826" width="8.85546875" style="942"/>
    <col min="13827" max="13828" width="3.42578125" style="942" customWidth="1"/>
    <col min="13829" max="13829" width="4.140625" style="942" customWidth="1"/>
    <col min="13830" max="13830" width="6.7109375" style="942" customWidth="1"/>
    <col min="13831" max="13831" width="6.5703125" style="942" customWidth="1"/>
    <col min="13832" max="13832" width="11" style="942" customWidth="1"/>
    <col min="13833" max="13833" width="9.140625" style="942" bestFit="1" customWidth="1"/>
    <col min="13834" max="13834" width="10" style="942" bestFit="1" customWidth="1"/>
    <col min="13835" max="13835" width="9.28515625" style="942" bestFit="1" customWidth="1"/>
    <col min="13836" max="13836" width="8.42578125" style="942" customWidth="1"/>
    <col min="13837" max="13837" width="11" style="942" bestFit="1" customWidth="1"/>
    <col min="13838" max="13838" width="8.7109375" style="942" bestFit="1" customWidth="1"/>
    <col min="13839" max="13839" width="8.42578125" style="942" bestFit="1" customWidth="1"/>
    <col min="13840" max="13841" width="8.7109375" style="942" customWidth="1"/>
    <col min="13842" max="13842" width="8.28515625" style="942" customWidth="1"/>
    <col min="13843" max="13843" width="12.85546875" style="942" customWidth="1"/>
    <col min="13844" max="13846" width="9.42578125" style="942" customWidth="1"/>
    <col min="13847" max="13847" width="7.7109375" style="942" bestFit="1" customWidth="1"/>
    <col min="13848" max="13848" width="9.28515625" style="942" bestFit="1" customWidth="1"/>
    <col min="13849" max="13849" width="9.85546875" style="942" bestFit="1" customWidth="1"/>
    <col min="13850" max="13850" width="9" style="942" bestFit="1" customWidth="1"/>
    <col min="13851" max="13851" width="8.5703125" style="942" bestFit="1" customWidth="1"/>
    <col min="13852" max="13852" width="5.28515625" style="942" bestFit="1" customWidth="1"/>
    <col min="13853" max="13853" width="9.42578125" style="942" bestFit="1" customWidth="1"/>
    <col min="13854" max="13854" width="6.42578125" style="942" bestFit="1" customWidth="1"/>
    <col min="13855" max="13855" width="5.140625" style="942" bestFit="1" customWidth="1"/>
    <col min="13856" max="13856" width="10.5703125" style="942" customWidth="1"/>
    <col min="13857" max="13857" width="31.5703125" style="942" bestFit="1" customWidth="1"/>
    <col min="13858" max="14082" width="8.85546875" style="942"/>
    <col min="14083" max="14084" width="3.42578125" style="942" customWidth="1"/>
    <col min="14085" max="14085" width="4.140625" style="942" customWidth="1"/>
    <col min="14086" max="14086" width="6.7109375" style="942" customWidth="1"/>
    <col min="14087" max="14087" width="6.5703125" style="942" customWidth="1"/>
    <col min="14088" max="14088" width="11" style="942" customWidth="1"/>
    <col min="14089" max="14089" width="9.140625" style="942" bestFit="1" customWidth="1"/>
    <col min="14090" max="14090" width="10" style="942" bestFit="1" customWidth="1"/>
    <col min="14091" max="14091" width="9.28515625" style="942" bestFit="1" customWidth="1"/>
    <col min="14092" max="14092" width="8.42578125" style="942" customWidth="1"/>
    <col min="14093" max="14093" width="11" style="942" bestFit="1" customWidth="1"/>
    <col min="14094" max="14094" width="8.7109375" style="942" bestFit="1" customWidth="1"/>
    <col min="14095" max="14095" width="8.42578125" style="942" bestFit="1" customWidth="1"/>
    <col min="14096" max="14097" width="8.7109375" style="942" customWidth="1"/>
    <col min="14098" max="14098" width="8.28515625" style="942" customWidth="1"/>
    <col min="14099" max="14099" width="12.85546875" style="942" customWidth="1"/>
    <col min="14100" max="14102" width="9.42578125" style="942" customWidth="1"/>
    <col min="14103" max="14103" width="7.7109375" style="942" bestFit="1" customWidth="1"/>
    <col min="14104" max="14104" width="9.28515625" style="942" bestFit="1" customWidth="1"/>
    <col min="14105" max="14105" width="9.85546875" style="942" bestFit="1" customWidth="1"/>
    <col min="14106" max="14106" width="9" style="942" bestFit="1" customWidth="1"/>
    <col min="14107" max="14107" width="8.5703125" style="942" bestFit="1" customWidth="1"/>
    <col min="14108" max="14108" width="5.28515625" style="942" bestFit="1" customWidth="1"/>
    <col min="14109" max="14109" width="9.42578125" style="942" bestFit="1" customWidth="1"/>
    <col min="14110" max="14110" width="6.42578125" style="942" bestFit="1" customWidth="1"/>
    <col min="14111" max="14111" width="5.140625" style="942" bestFit="1" customWidth="1"/>
    <col min="14112" max="14112" width="10.5703125" style="942" customWidth="1"/>
    <col min="14113" max="14113" width="31.5703125" style="942" bestFit="1" customWidth="1"/>
    <col min="14114" max="14338" width="8.85546875" style="942"/>
    <col min="14339" max="14340" width="3.42578125" style="942" customWidth="1"/>
    <col min="14341" max="14341" width="4.140625" style="942" customWidth="1"/>
    <col min="14342" max="14342" width="6.7109375" style="942" customWidth="1"/>
    <col min="14343" max="14343" width="6.5703125" style="942" customWidth="1"/>
    <col min="14344" max="14344" width="11" style="942" customWidth="1"/>
    <col min="14345" max="14345" width="9.140625" style="942" bestFit="1" customWidth="1"/>
    <col min="14346" max="14346" width="10" style="942" bestFit="1" customWidth="1"/>
    <col min="14347" max="14347" width="9.28515625" style="942" bestFit="1" customWidth="1"/>
    <col min="14348" max="14348" width="8.42578125" style="942" customWidth="1"/>
    <col min="14349" max="14349" width="11" style="942" bestFit="1" customWidth="1"/>
    <col min="14350" max="14350" width="8.7109375" style="942" bestFit="1" customWidth="1"/>
    <col min="14351" max="14351" width="8.42578125" style="942" bestFit="1" customWidth="1"/>
    <col min="14352" max="14353" width="8.7109375" style="942" customWidth="1"/>
    <col min="14354" max="14354" width="8.28515625" style="942" customWidth="1"/>
    <col min="14355" max="14355" width="12.85546875" style="942" customWidth="1"/>
    <col min="14356" max="14358" width="9.42578125" style="942" customWidth="1"/>
    <col min="14359" max="14359" width="7.7109375" style="942" bestFit="1" customWidth="1"/>
    <col min="14360" max="14360" width="9.28515625" style="942" bestFit="1" customWidth="1"/>
    <col min="14361" max="14361" width="9.85546875" style="942" bestFit="1" customWidth="1"/>
    <col min="14362" max="14362" width="9" style="942" bestFit="1" customWidth="1"/>
    <col min="14363" max="14363" width="8.5703125" style="942" bestFit="1" customWidth="1"/>
    <col min="14364" max="14364" width="5.28515625" style="942" bestFit="1" customWidth="1"/>
    <col min="14365" max="14365" width="9.42578125" style="942" bestFit="1" customWidth="1"/>
    <col min="14366" max="14366" width="6.42578125" style="942" bestFit="1" customWidth="1"/>
    <col min="14367" max="14367" width="5.140625" style="942" bestFit="1" customWidth="1"/>
    <col min="14368" max="14368" width="10.5703125" style="942" customWidth="1"/>
    <col min="14369" max="14369" width="31.5703125" style="942" bestFit="1" customWidth="1"/>
    <col min="14370" max="14594" width="8.85546875" style="942"/>
    <col min="14595" max="14596" width="3.42578125" style="942" customWidth="1"/>
    <col min="14597" max="14597" width="4.140625" style="942" customWidth="1"/>
    <col min="14598" max="14598" width="6.7109375" style="942" customWidth="1"/>
    <col min="14599" max="14599" width="6.5703125" style="942" customWidth="1"/>
    <col min="14600" max="14600" width="11" style="942" customWidth="1"/>
    <col min="14601" max="14601" width="9.140625" style="942" bestFit="1" customWidth="1"/>
    <col min="14602" max="14602" width="10" style="942" bestFit="1" customWidth="1"/>
    <col min="14603" max="14603" width="9.28515625" style="942" bestFit="1" customWidth="1"/>
    <col min="14604" max="14604" width="8.42578125" style="942" customWidth="1"/>
    <col min="14605" max="14605" width="11" style="942" bestFit="1" customWidth="1"/>
    <col min="14606" max="14606" width="8.7109375" style="942" bestFit="1" customWidth="1"/>
    <col min="14607" max="14607" width="8.42578125" style="942" bestFit="1" customWidth="1"/>
    <col min="14608" max="14609" width="8.7109375" style="942" customWidth="1"/>
    <col min="14610" max="14610" width="8.28515625" style="942" customWidth="1"/>
    <col min="14611" max="14611" width="12.85546875" style="942" customWidth="1"/>
    <col min="14612" max="14614" width="9.42578125" style="942" customWidth="1"/>
    <col min="14615" max="14615" width="7.7109375" style="942" bestFit="1" customWidth="1"/>
    <col min="14616" max="14616" width="9.28515625" style="942" bestFit="1" customWidth="1"/>
    <col min="14617" max="14617" width="9.85546875" style="942" bestFit="1" customWidth="1"/>
    <col min="14618" max="14618" width="9" style="942" bestFit="1" customWidth="1"/>
    <col min="14619" max="14619" width="8.5703125" style="942" bestFit="1" customWidth="1"/>
    <col min="14620" max="14620" width="5.28515625" style="942" bestFit="1" customWidth="1"/>
    <col min="14621" max="14621" width="9.42578125" style="942" bestFit="1" customWidth="1"/>
    <col min="14622" max="14622" width="6.42578125" style="942" bestFit="1" customWidth="1"/>
    <col min="14623" max="14623" width="5.140625" style="942" bestFit="1" customWidth="1"/>
    <col min="14624" max="14624" width="10.5703125" style="942" customWidth="1"/>
    <col min="14625" max="14625" width="31.5703125" style="942" bestFit="1" customWidth="1"/>
    <col min="14626" max="14850" width="8.85546875" style="942"/>
    <col min="14851" max="14852" width="3.42578125" style="942" customWidth="1"/>
    <col min="14853" max="14853" width="4.140625" style="942" customWidth="1"/>
    <col min="14854" max="14854" width="6.7109375" style="942" customWidth="1"/>
    <col min="14855" max="14855" width="6.5703125" style="942" customWidth="1"/>
    <col min="14856" max="14856" width="11" style="942" customWidth="1"/>
    <col min="14857" max="14857" width="9.140625" style="942" bestFit="1" customWidth="1"/>
    <col min="14858" max="14858" width="10" style="942" bestFit="1" customWidth="1"/>
    <col min="14859" max="14859" width="9.28515625" style="942" bestFit="1" customWidth="1"/>
    <col min="14860" max="14860" width="8.42578125" style="942" customWidth="1"/>
    <col min="14861" max="14861" width="11" style="942" bestFit="1" customWidth="1"/>
    <col min="14862" max="14862" width="8.7109375" style="942" bestFit="1" customWidth="1"/>
    <col min="14863" max="14863" width="8.42578125" style="942" bestFit="1" customWidth="1"/>
    <col min="14864" max="14865" width="8.7109375" style="942" customWidth="1"/>
    <col min="14866" max="14866" width="8.28515625" style="942" customWidth="1"/>
    <col min="14867" max="14867" width="12.85546875" style="942" customWidth="1"/>
    <col min="14868" max="14870" width="9.42578125" style="942" customWidth="1"/>
    <col min="14871" max="14871" width="7.7109375" style="942" bestFit="1" customWidth="1"/>
    <col min="14872" max="14872" width="9.28515625" style="942" bestFit="1" customWidth="1"/>
    <col min="14873" max="14873" width="9.85546875" style="942" bestFit="1" customWidth="1"/>
    <col min="14874" max="14874" width="9" style="942" bestFit="1" customWidth="1"/>
    <col min="14875" max="14875" width="8.5703125" style="942" bestFit="1" customWidth="1"/>
    <col min="14876" max="14876" width="5.28515625" style="942" bestFit="1" customWidth="1"/>
    <col min="14877" max="14877" width="9.42578125" style="942" bestFit="1" customWidth="1"/>
    <col min="14878" max="14878" width="6.42578125" style="942" bestFit="1" customWidth="1"/>
    <col min="14879" max="14879" width="5.140625" style="942" bestFit="1" customWidth="1"/>
    <col min="14880" max="14880" width="10.5703125" style="942" customWidth="1"/>
    <col min="14881" max="14881" width="31.5703125" style="942" bestFit="1" customWidth="1"/>
    <col min="14882" max="15106" width="8.85546875" style="942"/>
    <col min="15107" max="15108" width="3.42578125" style="942" customWidth="1"/>
    <col min="15109" max="15109" width="4.140625" style="942" customWidth="1"/>
    <col min="15110" max="15110" width="6.7109375" style="942" customWidth="1"/>
    <col min="15111" max="15111" width="6.5703125" style="942" customWidth="1"/>
    <col min="15112" max="15112" width="11" style="942" customWidth="1"/>
    <col min="15113" max="15113" width="9.140625" style="942" bestFit="1" customWidth="1"/>
    <col min="15114" max="15114" width="10" style="942" bestFit="1" customWidth="1"/>
    <col min="15115" max="15115" width="9.28515625" style="942" bestFit="1" customWidth="1"/>
    <col min="15116" max="15116" width="8.42578125" style="942" customWidth="1"/>
    <col min="15117" max="15117" width="11" style="942" bestFit="1" customWidth="1"/>
    <col min="15118" max="15118" width="8.7109375" style="942" bestFit="1" customWidth="1"/>
    <col min="15119" max="15119" width="8.42578125" style="942" bestFit="1" customWidth="1"/>
    <col min="15120" max="15121" width="8.7109375" style="942" customWidth="1"/>
    <col min="15122" max="15122" width="8.28515625" style="942" customWidth="1"/>
    <col min="15123" max="15123" width="12.85546875" style="942" customWidth="1"/>
    <col min="15124" max="15126" width="9.42578125" style="942" customWidth="1"/>
    <col min="15127" max="15127" width="7.7109375" style="942" bestFit="1" customWidth="1"/>
    <col min="15128" max="15128" width="9.28515625" style="942" bestFit="1" customWidth="1"/>
    <col min="15129" max="15129" width="9.85546875" style="942" bestFit="1" customWidth="1"/>
    <col min="15130" max="15130" width="9" style="942" bestFit="1" customWidth="1"/>
    <col min="15131" max="15131" width="8.5703125" style="942" bestFit="1" customWidth="1"/>
    <col min="15132" max="15132" width="5.28515625" style="942" bestFit="1" customWidth="1"/>
    <col min="15133" max="15133" width="9.42578125" style="942" bestFit="1" customWidth="1"/>
    <col min="15134" max="15134" width="6.42578125" style="942" bestFit="1" customWidth="1"/>
    <col min="15135" max="15135" width="5.140625" style="942" bestFit="1" customWidth="1"/>
    <col min="15136" max="15136" width="10.5703125" style="942" customWidth="1"/>
    <col min="15137" max="15137" width="31.5703125" style="942" bestFit="1" customWidth="1"/>
    <col min="15138" max="15362" width="8.85546875" style="942"/>
    <col min="15363" max="15364" width="3.42578125" style="942" customWidth="1"/>
    <col min="15365" max="15365" width="4.140625" style="942" customWidth="1"/>
    <col min="15366" max="15366" width="6.7109375" style="942" customWidth="1"/>
    <col min="15367" max="15367" width="6.5703125" style="942" customWidth="1"/>
    <col min="15368" max="15368" width="11" style="942" customWidth="1"/>
    <col min="15369" max="15369" width="9.140625" style="942" bestFit="1" customWidth="1"/>
    <col min="15370" max="15370" width="10" style="942" bestFit="1" customWidth="1"/>
    <col min="15371" max="15371" width="9.28515625" style="942" bestFit="1" customWidth="1"/>
    <col min="15372" max="15372" width="8.42578125" style="942" customWidth="1"/>
    <col min="15373" max="15373" width="11" style="942" bestFit="1" customWidth="1"/>
    <col min="15374" max="15374" width="8.7109375" style="942" bestFit="1" customWidth="1"/>
    <col min="15375" max="15375" width="8.42578125" style="942" bestFit="1" customWidth="1"/>
    <col min="15376" max="15377" width="8.7109375" style="942" customWidth="1"/>
    <col min="15378" max="15378" width="8.28515625" style="942" customWidth="1"/>
    <col min="15379" max="15379" width="12.85546875" style="942" customWidth="1"/>
    <col min="15380" max="15382" width="9.42578125" style="942" customWidth="1"/>
    <col min="15383" max="15383" width="7.7109375" style="942" bestFit="1" customWidth="1"/>
    <col min="15384" max="15384" width="9.28515625" style="942" bestFit="1" customWidth="1"/>
    <col min="15385" max="15385" width="9.85546875" style="942" bestFit="1" customWidth="1"/>
    <col min="15386" max="15386" width="9" style="942" bestFit="1" customWidth="1"/>
    <col min="15387" max="15387" width="8.5703125" style="942" bestFit="1" customWidth="1"/>
    <col min="15388" max="15388" width="5.28515625" style="942" bestFit="1" customWidth="1"/>
    <col min="15389" max="15389" width="9.42578125" style="942" bestFit="1" customWidth="1"/>
    <col min="15390" max="15390" width="6.42578125" style="942" bestFit="1" customWidth="1"/>
    <col min="15391" max="15391" width="5.140625" style="942" bestFit="1" customWidth="1"/>
    <col min="15392" max="15392" width="10.5703125" style="942" customWidth="1"/>
    <col min="15393" max="15393" width="31.5703125" style="942" bestFit="1" customWidth="1"/>
    <col min="15394" max="15618" width="8.85546875" style="942"/>
    <col min="15619" max="15620" width="3.42578125" style="942" customWidth="1"/>
    <col min="15621" max="15621" width="4.140625" style="942" customWidth="1"/>
    <col min="15622" max="15622" width="6.7109375" style="942" customWidth="1"/>
    <col min="15623" max="15623" width="6.5703125" style="942" customWidth="1"/>
    <col min="15624" max="15624" width="11" style="942" customWidth="1"/>
    <col min="15625" max="15625" width="9.140625" style="942" bestFit="1" customWidth="1"/>
    <col min="15626" max="15626" width="10" style="942" bestFit="1" customWidth="1"/>
    <col min="15627" max="15627" width="9.28515625" style="942" bestFit="1" customWidth="1"/>
    <col min="15628" max="15628" width="8.42578125" style="942" customWidth="1"/>
    <col min="15629" max="15629" width="11" style="942" bestFit="1" customWidth="1"/>
    <col min="15630" max="15630" width="8.7109375" style="942" bestFit="1" customWidth="1"/>
    <col min="15631" max="15631" width="8.42578125" style="942" bestFit="1" customWidth="1"/>
    <col min="15632" max="15633" width="8.7109375" style="942" customWidth="1"/>
    <col min="15634" max="15634" width="8.28515625" style="942" customWidth="1"/>
    <col min="15635" max="15635" width="12.85546875" style="942" customWidth="1"/>
    <col min="15636" max="15638" width="9.42578125" style="942" customWidth="1"/>
    <col min="15639" max="15639" width="7.7109375" style="942" bestFit="1" customWidth="1"/>
    <col min="15640" max="15640" width="9.28515625" style="942" bestFit="1" customWidth="1"/>
    <col min="15641" max="15641" width="9.85546875" style="942" bestFit="1" customWidth="1"/>
    <col min="15642" max="15642" width="9" style="942" bestFit="1" customWidth="1"/>
    <col min="15643" max="15643" width="8.5703125" style="942" bestFit="1" customWidth="1"/>
    <col min="15644" max="15644" width="5.28515625" style="942" bestFit="1" customWidth="1"/>
    <col min="15645" max="15645" width="9.42578125" style="942" bestFit="1" customWidth="1"/>
    <col min="15646" max="15646" width="6.42578125" style="942" bestFit="1" customWidth="1"/>
    <col min="15647" max="15647" width="5.140625" style="942" bestFit="1" customWidth="1"/>
    <col min="15648" max="15648" width="10.5703125" style="942" customWidth="1"/>
    <col min="15649" max="15649" width="31.5703125" style="942" bestFit="1" customWidth="1"/>
    <col min="15650" max="15874" width="8.85546875" style="942"/>
    <col min="15875" max="15876" width="3.42578125" style="942" customWidth="1"/>
    <col min="15877" max="15877" width="4.140625" style="942" customWidth="1"/>
    <col min="15878" max="15878" width="6.7109375" style="942" customWidth="1"/>
    <col min="15879" max="15879" width="6.5703125" style="942" customWidth="1"/>
    <col min="15880" max="15880" width="11" style="942" customWidth="1"/>
    <col min="15881" max="15881" width="9.140625" style="942" bestFit="1" customWidth="1"/>
    <col min="15882" max="15882" width="10" style="942" bestFit="1" customWidth="1"/>
    <col min="15883" max="15883" width="9.28515625" style="942" bestFit="1" customWidth="1"/>
    <col min="15884" max="15884" width="8.42578125" style="942" customWidth="1"/>
    <col min="15885" max="15885" width="11" style="942" bestFit="1" customWidth="1"/>
    <col min="15886" max="15886" width="8.7109375" style="942" bestFit="1" customWidth="1"/>
    <col min="15887" max="15887" width="8.42578125" style="942" bestFit="1" customWidth="1"/>
    <col min="15888" max="15889" width="8.7109375" style="942" customWidth="1"/>
    <col min="15890" max="15890" width="8.28515625" style="942" customWidth="1"/>
    <col min="15891" max="15891" width="12.85546875" style="942" customWidth="1"/>
    <col min="15892" max="15894" width="9.42578125" style="942" customWidth="1"/>
    <col min="15895" max="15895" width="7.7109375" style="942" bestFit="1" customWidth="1"/>
    <col min="15896" max="15896" width="9.28515625" style="942" bestFit="1" customWidth="1"/>
    <col min="15897" max="15897" width="9.85546875" style="942" bestFit="1" customWidth="1"/>
    <col min="15898" max="15898" width="9" style="942" bestFit="1" customWidth="1"/>
    <col min="15899" max="15899" width="8.5703125" style="942" bestFit="1" customWidth="1"/>
    <col min="15900" max="15900" width="5.28515625" style="942" bestFit="1" customWidth="1"/>
    <col min="15901" max="15901" width="9.42578125" style="942" bestFit="1" customWidth="1"/>
    <col min="15902" max="15902" width="6.42578125" style="942" bestFit="1" customWidth="1"/>
    <col min="15903" max="15903" width="5.140625" style="942" bestFit="1" customWidth="1"/>
    <col min="15904" max="15904" width="10.5703125" style="942" customWidth="1"/>
    <col min="15905" max="15905" width="31.5703125" style="942" bestFit="1" customWidth="1"/>
    <col min="15906" max="16130" width="8.85546875" style="942"/>
    <col min="16131" max="16132" width="3.42578125" style="942" customWidth="1"/>
    <col min="16133" max="16133" width="4.140625" style="942" customWidth="1"/>
    <col min="16134" max="16134" width="6.7109375" style="942" customWidth="1"/>
    <col min="16135" max="16135" width="6.5703125" style="942" customWidth="1"/>
    <col min="16136" max="16136" width="11" style="942" customWidth="1"/>
    <col min="16137" max="16137" width="9.140625" style="942" bestFit="1" customWidth="1"/>
    <col min="16138" max="16138" width="10" style="942" bestFit="1" customWidth="1"/>
    <col min="16139" max="16139" width="9.28515625" style="942" bestFit="1" customWidth="1"/>
    <col min="16140" max="16140" width="8.42578125" style="942" customWidth="1"/>
    <col min="16141" max="16141" width="11" style="942" bestFit="1" customWidth="1"/>
    <col min="16142" max="16142" width="8.7109375" style="942" bestFit="1" customWidth="1"/>
    <col min="16143" max="16143" width="8.42578125" style="942" bestFit="1" customWidth="1"/>
    <col min="16144" max="16145" width="8.7109375" style="942" customWidth="1"/>
    <col min="16146" max="16146" width="8.28515625" style="942" customWidth="1"/>
    <col min="16147" max="16147" width="12.85546875" style="942" customWidth="1"/>
    <col min="16148" max="16150" width="9.42578125" style="942" customWidth="1"/>
    <col min="16151" max="16151" width="7.7109375" style="942" bestFit="1" customWidth="1"/>
    <col min="16152" max="16152" width="9.28515625" style="942" bestFit="1" customWidth="1"/>
    <col min="16153" max="16153" width="9.85546875" style="942" bestFit="1" customWidth="1"/>
    <col min="16154" max="16154" width="9" style="942" bestFit="1" customWidth="1"/>
    <col min="16155" max="16155" width="8.5703125" style="942" bestFit="1" customWidth="1"/>
    <col min="16156" max="16156" width="5.28515625" style="942" bestFit="1" customWidth="1"/>
    <col min="16157" max="16157" width="9.42578125" style="942" bestFit="1" customWidth="1"/>
    <col min="16158" max="16158" width="6.42578125" style="942" bestFit="1" customWidth="1"/>
    <col min="16159" max="16159" width="5.140625" style="942" bestFit="1" customWidth="1"/>
    <col min="16160" max="16160" width="10.5703125" style="942" customWidth="1"/>
    <col min="16161" max="16161" width="31.5703125" style="942" bestFit="1" customWidth="1"/>
    <col min="16162" max="16384" width="8.85546875" style="942"/>
  </cols>
  <sheetData>
    <row r="1" spans="1:33" ht="15.75" x14ac:dyDescent="0.25">
      <c r="A1" s="938" t="s">
        <v>967</v>
      </c>
      <c r="B1" s="938"/>
      <c r="C1" s="939"/>
      <c r="D1" s="939"/>
      <c r="E1" s="940"/>
      <c r="F1" s="940"/>
      <c r="G1" s="940"/>
      <c r="H1" s="940"/>
      <c r="I1" s="940"/>
      <c r="J1" s="941"/>
      <c r="K1" s="941"/>
      <c r="X1" s="942"/>
      <c r="AA1" s="942"/>
      <c r="AD1" s="943"/>
      <c r="AE1" s="943"/>
      <c r="AF1" s="943"/>
      <c r="AG1" s="943"/>
    </row>
    <row r="2" spans="1:33" x14ac:dyDescent="0.2">
      <c r="C2" s="944"/>
      <c r="D2" s="944"/>
      <c r="E2" s="944"/>
      <c r="F2" s="944"/>
      <c r="G2" s="944"/>
      <c r="H2" s="944"/>
      <c r="I2" s="944"/>
      <c r="J2" s="944"/>
      <c r="K2" s="944"/>
      <c r="L2" s="944"/>
      <c r="O2" s="944"/>
      <c r="X2" s="942"/>
      <c r="AA2" s="942"/>
      <c r="AD2" s="945"/>
      <c r="AE2" s="945"/>
      <c r="AF2" s="945"/>
      <c r="AG2" s="945"/>
    </row>
    <row r="3" spans="1:33" x14ac:dyDescent="0.2">
      <c r="A3" s="1355" t="s">
        <v>968</v>
      </c>
      <c r="B3" s="1355"/>
      <c r="C3" s="1356"/>
      <c r="D3" s="1356"/>
      <c r="E3" s="1356"/>
      <c r="F3" s="1356"/>
      <c r="G3" s="944"/>
      <c r="H3" s="944"/>
      <c r="I3" s="944"/>
      <c r="J3" s="944"/>
      <c r="K3" s="944"/>
      <c r="L3" s="944"/>
      <c r="M3" s="944"/>
      <c r="N3" s="944"/>
      <c r="O3" s="944"/>
      <c r="P3" s="944"/>
      <c r="Q3" s="944"/>
      <c r="R3" s="944"/>
      <c r="S3" s="944"/>
      <c r="T3" s="944"/>
      <c r="U3" s="944"/>
      <c r="V3" s="944"/>
      <c r="W3" s="944"/>
      <c r="X3" s="944"/>
      <c r="Y3" s="944"/>
      <c r="Z3" s="946"/>
      <c r="AA3" s="946"/>
      <c r="AB3" s="946"/>
      <c r="AC3" s="947"/>
      <c r="AD3" s="945"/>
      <c r="AE3" s="945"/>
      <c r="AF3" s="945"/>
      <c r="AG3" s="945"/>
    </row>
    <row r="4" spans="1:33" ht="13.5" thickBot="1" x14ac:dyDescent="0.25">
      <c r="C4" s="944"/>
      <c r="D4" s="944"/>
      <c r="E4" s="944"/>
      <c r="F4" s="944"/>
      <c r="G4" s="944"/>
      <c r="H4" s="944"/>
      <c r="I4" s="944"/>
      <c r="J4" s="944"/>
      <c r="K4" s="944"/>
      <c r="L4" s="944"/>
      <c r="M4" s="944"/>
      <c r="N4" s="944"/>
      <c r="O4" s="944"/>
      <c r="P4" s="944"/>
      <c r="Q4" s="944"/>
      <c r="R4" s="944"/>
      <c r="S4" s="944"/>
      <c r="T4" s="944"/>
      <c r="U4" s="944"/>
      <c r="V4" s="944"/>
      <c r="W4" s="944"/>
      <c r="X4" s="944"/>
      <c r="Y4" s="944"/>
      <c r="Z4" s="946"/>
      <c r="AA4" s="946"/>
      <c r="AB4" s="946"/>
      <c r="AC4" s="947"/>
      <c r="AD4" s="945"/>
      <c r="AE4" s="945"/>
      <c r="AF4" s="945"/>
      <c r="AG4" s="945"/>
    </row>
    <row r="5" spans="1:33" ht="13.5" thickBot="1" x14ac:dyDescent="0.25">
      <c r="B5" s="948" t="s">
        <v>726</v>
      </c>
      <c r="C5" s="948" t="s">
        <v>516</v>
      </c>
      <c r="D5" s="1352" t="s">
        <v>965</v>
      </c>
      <c r="E5" s="1846" t="s">
        <v>146</v>
      </c>
      <c r="F5" s="1847"/>
      <c r="G5" s="948" t="s">
        <v>517</v>
      </c>
      <c r="H5" s="1357" t="s">
        <v>969</v>
      </c>
      <c r="I5" s="948" t="s">
        <v>518</v>
      </c>
      <c r="J5" s="1294"/>
      <c r="K5" s="949" t="s">
        <v>727</v>
      </c>
      <c r="L5" s="949" t="s">
        <v>728</v>
      </c>
      <c r="M5" s="949" t="s">
        <v>729</v>
      </c>
      <c r="N5" s="948" t="s">
        <v>520</v>
      </c>
      <c r="O5" s="948" t="s">
        <v>730</v>
      </c>
      <c r="P5" s="948" t="s">
        <v>731</v>
      </c>
      <c r="Q5" s="948" t="s">
        <v>732</v>
      </c>
      <c r="R5" s="1848" t="s">
        <v>521</v>
      </c>
      <c r="S5" s="1848"/>
      <c r="T5" s="948" t="s">
        <v>730</v>
      </c>
      <c r="U5" s="948" t="s">
        <v>730</v>
      </c>
      <c r="V5" s="948" t="s">
        <v>730</v>
      </c>
      <c r="W5" s="1357" t="s">
        <v>522</v>
      </c>
      <c r="X5" s="950" t="s">
        <v>733</v>
      </c>
      <c r="Y5" s="951" t="s">
        <v>734</v>
      </c>
      <c r="Z5" s="951" t="s">
        <v>735</v>
      </c>
      <c r="AA5" s="952" t="s">
        <v>736</v>
      </c>
      <c r="AB5" s="1841" t="s">
        <v>521</v>
      </c>
      <c r="AC5" s="1842"/>
      <c r="AD5" s="948" t="s">
        <v>523</v>
      </c>
      <c r="AE5" s="948" t="s">
        <v>524</v>
      </c>
      <c r="AF5" s="948" t="s">
        <v>914</v>
      </c>
      <c r="AG5" s="953" t="s">
        <v>525</v>
      </c>
    </row>
    <row r="6" spans="1:33" x14ac:dyDescent="0.2">
      <c r="B6" s="954" t="s">
        <v>184</v>
      </c>
      <c r="C6" s="954" t="s">
        <v>517</v>
      </c>
      <c r="D6" s="1353" t="s">
        <v>966</v>
      </c>
      <c r="E6" s="955" t="s">
        <v>526</v>
      </c>
      <c r="F6" s="956" t="s">
        <v>527</v>
      </c>
      <c r="G6" s="954" t="s">
        <v>528</v>
      </c>
      <c r="H6" s="1360" t="s">
        <v>970</v>
      </c>
      <c r="I6" s="954" t="s">
        <v>529</v>
      </c>
      <c r="J6" s="954" t="s">
        <v>912</v>
      </c>
      <c r="K6" s="948" t="s">
        <v>519</v>
      </c>
      <c r="L6" s="948" t="s">
        <v>737</v>
      </c>
      <c r="M6" s="948" t="s">
        <v>738</v>
      </c>
      <c r="N6" s="954" t="s">
        <v>530</v>
      </c>
      <c r="O6" s="954" t="s">
        <v>528</v>
      </c>
      <c r="P6" s="954" t="s">
        <v>739</v>
      </c>
      <c r="Q6" s="954" t="s">
        <v>740</v>
      </c>
      <c r="R6" s="1843" t="s">
        <v>531</v>
      </c>
      <c r="S6" s="1843"/>
      <c r="T6" s="957" t="s">
        <v>741</v>
      </c>
      <c r="U6" s="957" t="s">
        <v>741</v>
      </c>
      <c r="V6" s="957" t="s">
        <v>742</v>
      </c>
      <c r="W6" s="1358" t="s">
        <v>532</v>
      </c>
      <c r="X6" s="957" t="s">
        <v>743</v>
      </c>
      <c r="Y6" s="957" t="s">
        <v>744</v>
      </c>
      <c r="Z6" s="957" t="s">
        <v>745</v>
      </c>
      <c r="AA6" s="957" t="s">
        <v>84</v>
      </c>
      <c r="AB6" s="1844" t="s">
        <v>534</v>
      </c>
      <c r="AC6" s="1845"/>
      <c r="AD6" s="957" t="s">
        <v>535</v>
      </c>
      <c r="AE6" s="957" t="s">
        <v>160</v>
      </c>
      <c r="AF6" s="957" t="s">
        <v>915</v>
      </c>
      <c r="AG6" s="958" t="s">
        <v>537</v>
      </c>
    </row>
    <row r="7" spans="1:33" ht="13.5" thickBot="1" x14ac:dyDescent="0.25">
      <c r="B7" s="959"/>
      <c r="C7" s="959" t="s">
        <v>538</v>
      </c>
      <c r="D7" s="1354"/>
      <c r="E7" s="960" t="s">
        <v>162</v>
      </c>
      <c r="F7" s="961" t="s">
        <v>163</v>
      </c>
      <c r="G7" s="959"/>
      <c r="H7" s="1361" t="s">
        <v>971</v>
      </c>
      <c r="I7" s="959" t="s">
        <v>539</v>
      </c>
      <c r="J7" s="959" t="s">
        <v>750</v>
      </c>
      <c r="K7" s="959" t="s">
        <v>746</v>
      </c>
      <c r="L7" s="959" t="s">
        <v>747</v>
      </c>
      <c r="M7" s="959" t="s">
        <v>748</v>
      </c>
      <c r="N7" s="959" t="s">
        <v>540</v>
      </c>
      <c r="O7" s="959"/>
      <c r="P7" s="959" t="s">
        <v>695</v>
      </c>
      <c r="Q7" s="959" t="s">
        <v>536</v>
      </c>
      <c r="R7" s="962" t="s">
        <v>158</v>
      </c>
      <c r="S7" s="962" t="s">
        <v>541</v>
      </c>
      <c r="T7" s="962" t="s">
        <v>227</v>
      </c>
      <c r="U7" s="962" t="s">
        <v>749</v>
      </c>
      <c r="V7" s="962"/>
      <c r="W7" s="1359" t="s">
        <v>542</v>
      </c>
      <c r="X7" s="962" t="s">
        <v>750</v>
      </c>
      <c r="Y7" s="962" t="s">
        <v>751</v>
      </c>
      <c r="Z7" s="962" t="s">
        <v>751</v>
      </c>
      <c r="AA7" s="962" t="s">
        <v>533</v>
      </c>
      <c r="AB7" s="963" t="s">
        <v>158</v>
      </c>
      <c r="AC7" s="964" t="s">
        <v>541</v>
      </c>
      <c r="AD7" s="962"/>
      <c r="AE7" s="962"/>
      <c r="AF7" s="962" t="s">
        <v>916</v>
      </c>
      <c r="AG7" s="965" t="s">
        <v>543</v>
      </c>
    </row>
    <row r="8" spans="1:33" ht="6" customHeight="1" x14ac:dyDescent="0.2">
      <c r="C8" s="966"/>
      <c r="D8" s="966"/>
      <c r="E8" s="967"/>
      <c r="F8" s="968"/>
      <c r="G8" s="968"/>
      <c r="H8" s="968"/>
      <c r="I8" s="967"/>
      <c r="J8" s="967"/>
      <c r="K8" s="967"/>
      <c r="L8" s="967"/>
      <c r="M8" s="967"/>
      <c r="N8" s="967"/>
      <c r="O8" s="968"/>
      <c r="P8" s="967"/>
      <c r="Q8" s="967"/>
      <c r="R8" s="967"/>
      <c r="S8" s="967"/>
      <c r="T8" s="967"/>
      <c r="U8" s="967"/>
      <c r="V8" s="967"/>
      <c r="W8" s="967"/>
      <c r="X8" s="967"/>
      <c r="Y8" s="944"/>
      <c r="Z8" s="944"/>
      <c r="AA8" s="944"/>
      <c r="AB8" s="944"/>
      <c r="AC8" s="944"/>
      <c r="AD8" s="944"/>
      <c r="AE8" s="944"/>
      <c r="AF8" s="944"/>
      <c r="AG8" s="944"/>
    </row>
    <row r="9" spans="1:33" s="139" customFormat="1" ht="12.75" customHeight="1" x14ac:dyDescent="0.2">
      <c r="A9" s="969" t="s">
        <v>691</v>
      </c>
      <c r="B9" s="969"/>
      <c r="C9" s="970"/>
      <c r="D9" s="970"/>
      <c r="E9" s="968"/>
      <c r="F9" s="968"/>
      <c r="G9" s="967"/>
      <c r="H9" s="967"/>
      <c r="I9" s="967"/>
      <c r="J9" s="967"/>
      <c r="K9" s="967"/>
      <c r="L9" s="967"/>
      <c r="M9" s="967"/>
      <c r="N9" s="967"/>
      <c r="O9" s="967"/>
      <c r="P9" s="944"/>
      <c r="Q9" s="944"/>
      <c r="R9" s="944"/>
      <c r="S9" s="944"/>
      <c r="T9" s="944"/>
      <c r="U9" s="944"/>
      <c r="V9" s="944"/>
      <c r="W9" s="944"/>
      <c r="X9" s="944"/>
      <c r="Y9" s="944"/>
      <c r="Z9" s="944"/>
      <c r="AA9" s="944"/>
      <c r="AB9" s="943"/>
    </row>
    <row r="10" spans="1:33" s="139" customFormat="1" ht="12.75" customHeight="1" x14ac:dyDescent="0.2">
      <c r="A10" s="971" t="s">
        <v>692</v>
      </c>
      <c r="B10" s="141" t="s">
        <v>752</v>
      </c>
      <c r="C10" s="141" t="s">
        <v>693</v>
      </c>
      <c r="D10" s="1172"/>
      <c r="E10" s="142" t="s">
        <v>80</v>
      </c>
      <c r="F10" s="981" t="s">
        <v>694</v>
      </c>
      <c r="G10" s="981" t="s">
        <v>695</v>
      </c>
      <c r="H10" s="982"/>
      <c r="I10" s="982" t="s">
        <v>697</v>
      </c>
      <c r="J10" s="982"/>
      <c r="K10" s="141"/>
      <c r="L10" s="141"/>
      <c r="M10" s="141"/>
      <c r="N10" s="141"/>
      <c r="O10" s="418" t="s">
        <v>696</v>
      </c>
      <c r="P10" s="982" t="s">
        <v>698</v>
      </c>
      <c r="Q10" s="141" t="s">
        <v>699</v>
      </c>
      <c r="R10" s="141" t="s">
        <v>700</v>
      </c>
      <c r="S10" s="141" t="s">
        <v>701</v>
      </c>
      <c r="T10" s="141" t="s">
        <v>702</v>
      </c>
      <c r="U10" s="982" t="s">
        <v>703</v>
      </c>
      <c r="V10" s="982" t="s">
        <v>704</v>
      </c>
      <c r="W10" s="982" t="s">
        <v>705</v>
      </c>
      <c r="X10" s="141"/>
      <c r="Y10" s="141"/>
      <c r="Z10" s="145"/>
      <c r="AA10" s="145"/>
      <c r="AB10" s="974"/>
      <c r="AC10" s="145"/>
      <c r="AD10" s="145"/>
      <c r="AE10" s="145"/>
      <c r="AF10" s="145"/>
      <c r="AG10" s="145"/>
    </row>
    <row r="11" spans="1:33" s="139" customFormat="1" ht="12.75" customHeight="1" x14ac:dyDescent="0.2">
      <c r="A11" s="971">
        <v>1</v>
      </c>
      <c r="B11" s="145"/>
      <c r="C11" s="145"/>
      <c r="D11" s="145"/>
      <c r="E11" s="142"/>
      <c r="F11" s="972"/>
      <c r="G11" s="972"/>
      <c r="H11" s="973"/>
      <c r="I11" s="973"/>
      <c r="J11" s="973"/>
      <c r="K11" s="145"/>
      <c r="L11" s="145"/>
      <c r="M11" s="145"/>
      <c r="N11" s="145"/>
      <c r="O11" s="974"/>
      <c r="P11" s="973"/>
      <c r="Q11" s="145"/>
      <c r="R11" s="145"/>
      <c r="S11" s="145"/>
      <c r="T11" s="145"/>
      <c r="U11" s="973"/>
      <c r="V11" s="973"/>
      <c r="W11" s="973"/>
      <c r="X11" s="145"/>
      <c r="Y11" s="145"/>
      <c r="Z11" s="145"/>
      <c r="AA11" s="145"/>
      <c r="AB11" s="974"/>
      <c r="AC11" s="145"/>
      <c r="AD11" s="145"/>
      <c r="AE11" s="145"/>
      <c r="AF11" s="145"/>
      <c r="AG11" s="145"/>
    </row>
    <row r="12" spans="1:33" s="139" customFormat="1" x14ac:dyDescent="0.2">
      <c r="A12" s="971">
        <v>2</v>
      </c>
      <c r="B12" s="145"/>
      <c r="C12" s="142"/>
      <c r="D12" s="1173"/>
      <c r="E12" s="972"/>
      <c r="F12" s="972"/>
      <c r="G12" s="973"/>
      <c r="H12" s="973"/>
      <c r="I12" s="145"/>
      <c r="J12" s="145"/>
      <c r="K12" s="145"/>
      <c r="L12" s="145"/>
      <c r="M12" s="145"/>
      <c r="N12" s="974"/>
      <c r="O12" s="973"/>
      <c r="P12" s="145"/>
      <c r="Q12" s="145"/>
      <c r="R12" s="145"/>
      <c r="S12" s="145"/>
      <c r="T12" s="973"/>
      <c r="U12" s="973"/>
      <c r="V12" s="973"/>
      <c r="W12" s="145"/>
      <c r="X12" s="145"/>
      <c r="Y12" s="145"/>
      <c r="Z12" s="145"/>
      <c r="AA12" s="974"/>
      <c r="AB12" s="145"/>
      <c r="AC12" s="145"/>
      <c r="AD12" s="145"/>
      <c r="AE12" s="145"/>
      <c r="AF12" s="145"/>
      <c r="AG12" s="145"/>
    </row>
    <row r="13" spans="1:33" s="139" customFormat="1" x14ac:dyDescent="0.2">
      <c r="A13" s="971">
        <v>3</v>
      </c>
      <c r="B13" s="145"/>
      <c r="C13" s="142"/>
      <c r="D13" s="1173"/>
      <c r="E13" s="972"/>
      <c r="F13" s="972"/>
      <c r="G13" s="973"/>
      <c r="H13" s="973"/>
      <c r="I13" s="145"/>
      <c r="J13" s="145"/>
      <c r="K13" s="145"/>
      <c r="L13" s="145"/>
      <c r="M13" s="145"/>
      <c r="N13" s="974"/>
      <c r="O13" s="973"/>
      <c r="P13" s="145"/>
      <c r="Q13" s="145"/>
      <c r="R13" s="145"/>
      <c r="S13" s="145"/>
      <c r="T13" s="145"/>
      <c r="U13" s="145"/>
      <c r="V13" s="145"/>
      <c r="W13" s="145"/>
      <c r="X13" s="145"/>
      <c r="Y13" s="145"/>
      <c r="Z13" s="145"/>
      <c r="AA13" s="974"/>
      <c r="AB13" s="145"/>
      <c r="AC13" s="145"/>
      <c r="AD13" s="145"/>
      <c r="AE13" s="145"/>
      <c r="AF13" s="145"/>
      <c r="AG13" s="145"/>
    </row>
    <row r="14" spans="1:33" s="139" customFormat="1" x14ac:dyDescent="0.2">
      <c r="A14" s="971">
        <v>4</v>
      </c>
      <c r="B14" s="145"/>
      <c r="C14" s="142"/>
      <c r="D14" s="1173"/>
      <c r="E14" s="972"/>
      <c r="F14" s="972"/>
      <c r="G14" s="973"/>
      <c r="H14" s="973"/>
      <c r="I14" s="145"/>
      <c r="J14" s="145"/>
      <c r="K14" s="145"/>
      <c r="L14" s="145"/>
      <c r="M14" s="145"/>
      <c r="N14" s="974"/>
      <c r="O14" s="973"/>
      <c r="P14" s="145"/>
      <c r="Q14" s="145"/>
      <c r="R14" s="145"/>
      <c r="S14" s="145"/>
      <c r="T14" s="973"/>
      <c r="U14" s="973"/>
      <c r="V14" s="973"/>
      <c r="W14" s="145"/>
      <c r="X14" s="145"/>
      <c r="Y14" s="145"/>
      <c r="Z14" s="145"/>
      <c r="AA14" s="974"/>
      <c r="AB14" s="145"/>
      <c r="AC14" s="145"/>
      <c r="AD14" s="145"/>
      <c r="AE14" s="145"/>
      <c r="AF14" s="145"/>
      <c r="AG14" s="145"/>
    </row>
    <row r="15" spans="1:33" s="139" customFormat="1" x14ac:dyDescent="0.2">
      <c r="A15" s="971">
        <v>5</v>
      </c>
      <c r="B15" s="145"/>
      <c r="C15" s="142"/>
      <c r="D15" s="1173"/>
      <c r="E15" s="972"/>
      <c r="F15" s="972"/>
      <c r="G15" s="973"/>
      <c r="H15" s="973"/>
      <c r="I15" s="145"/>
      <c r="J15" s="145"/>
      <c r="K15" s="145"/>
      <c r="L15" s="145"/>
      <c r="M15" s="145"/>
      <c r="N15" s="974"/>
      <c r="O15" s="973"/>
      <c r="P15" s="145"/>
      <c r="Q15" s="145"/>
      <c r="R15" s="145"/>
      <c r="S15" s="145"/>
      <c r="T15" s="145"/>
      <c r="U15" s="145"/>
      <c r="V15" s="145"/>
      <c r="W15" s="145"/>
      <c r="X15" s="145"/>
      <c r="Y15" s="145"/>
      <c r="Z15" s="145"/>
      <c r="AA15" s="974"/>
      <c r="AB15" s="145"/>
      <c r="AC15" s="145"/>
      <c r="AD15" s="145"/>
      <c r="AE15" s="145"/>
      <c r="AF15" s="145"/>
      <c r="AG15" s="145"/>
    </row>
    <row r="16" spans="1:33" s="139" customFormat="1" x14ac:dyDescent="0.2">
      <c r="A16" s="971">
        <v>6</v>
      </c>
      <c r="B16" s="145"/>
      <c r="C16" s="142"/>
      <c r="D16" s="1173"/>
      <c r="E16" s="972"/>
      <c r="F16" s="972"/>
      <c r="G16" s="419"/>
      <c r="H16" s="419"/>
      <c r="I16" s="145"/>
      <c r="J16" s="145"/>
      <c r="K16" s="145"/>
      <c r="L16" s="145"/>
      <c r="M16" s="145"/>
      <c r="N16" s="974"/>
      <c r="O16" s="419"/>
      <c r="P16" s="145"/>
      <c r="Q16" s="145"/>
      <c r="R16" s="145"/>
      <c r="S16" s="145"/>
      <c r="T16" s="145"/>
      <c r="U16" s="145"/>
      <c r="V16" s="145"/>
      <c r="W16" s="145"/>
      <c r="X16" s="145"/>
      <c r="Y16" s="145"/>
      <c r="Z16" s="145"/>
      <c r="AA16" s="974"/>
      <c r="AB16" s="145"/>
      <c r="AC16" s="145"/>
      <c r="AD16" s="145"/>
      <c r="AE16" s="145"/>
      <c r="AF16" s="145"/>
      <c r="AG16" s="145"/>
    </row>
    <row r="17" spans="1:33" s="139" customFormat="1" x14ac:dyDescent="0.2">
      <c r="A17" s="971">
        <v>7</v>
      </c>
      <c r="B17" s="145"/>
      <c r="C17" s="142"/>
      <c r="D17" s="1173"/>
      <c r="E17" s="972"/>
      <c r="F17" s="972"/>
      <c r="G17" s="973"/>
      <c r="H17" s="973"/>
      <c r="I17" s="145"/>
      <c r="J17" s="145"/>
      <c r="K17" s="145"/>
      <c r="L17" s="145"/>
      <c r="M17" s="145"/>
      <c r="N17" s="974"/>
      <c r="O17" s="973"/>
      <c r="P17" s="145"/>
      <c r="Q17" s="145"/>
      <c r="R17" s="145"/>
      <c r="S17" s="145"/>
      <c r="T17" s="145"/>
      <c r="U17" s="145"/>
      <c r="V17" s="145"/>
      <c r="W17" s="145"/>
      <c r="X17" s="145"/>
      <c r="Y17" s="145"/>
      <c r="Z17" s="145"/>
      <c r="AA17" s="974"/>
      <c r="AB17" s="145"/>
      <c r="AC17" s="145"/>
      <c r="AD17" s="145"/>
      <c r="AE17" s="145"/>
      <c r="AF17" s="145"/>
      <c r="AG17" s="145"/>
    </row>
    <row r="18" spans="1:33" s="139" customFormat="1" x14ac:dyDescent="0.2">
      <c r="A18" s="971">
        <v>8</v>
      </c>
      <c r="B18" s="145"/>
      <c r="C18" s="142"/>
      <c r="D18" s="1173"/>
      <c r="E18" s="975"/>
      <c r="F18" s="975"/>
      <c r="G18" s="419"/>
      <c r="H18" s="973"/>
      <c r="I18" s="145"/>
      <c r="J18" s="145"/>
      <c r="K18" s="145"/>
      <c r="L18" s="145"/>
      <c r="M18" s="145"/>
      <c r="N18" s="974"/>
      <c r="O18" s="973"/>
      <c r="P18" s="145"/>
      <c r="Q18" s="145"/>
      <c r="R18" s="145"/>
      <c r="S18" s="145"/>
      <c r="T18" s="145"/>
      <c r="U18" s="145"/>
      <c r="V18" s="145"/>
      <c r="W18" s="145"/>
      <c r="X18" s="145"/>
      <c r="Y18" s="145"/>
      <c r="Z18" s="145"/>
      <c r="AA18" s="974"/>
      <c r="AB18" s="145"/>
      <c r="AC18" s="145"/>
      <c r="AD18" s="145"/>
      <c r="AE18" s="145"/>
      <c r="AF18" s="145"/>
      <c r="AG18" s="145"/>
    </row>
    <row r="19" spans="1:33" s="139" customFormat="1" x14ac:dyDescent="0.2">
      <c r="A19" s="971">
        <v>9</v>
      </c>
      <c r="B19" s="145"/>
      <c r="C19" s="142"/>
      <c r="D19" s="1173"/>
      <c r="E19" s="975"/>
      <c r="F19" s="975"/>
      <c r="G19" s="419"/>
      <c r="H19" s="419"/>
      <c r="I19" s="145"/>
      <c r="J19" s="145"/>
      <c r="K19" s="145"/>
      <c r="L19" s="145"/>
      <c r="M19" s="145"/>
      <c r="N19" s="974"/>
      <c r="O19" s="419"/>
      <c r="P19" s="145"/>
      <c r="Q19" s="145"/>
      <c r="R19" s="145"/>
      <c r="S19" s="145"/>
      <c r="T19" s="145"/>
      <c r="U19" s="145"/>
      <c r="V19" s="145"/>
      <c r="W19" s="145"/>
      <c r="X19" s="145"/>
      <c r="Y19" s="145"/>
      <c r="Z19" s="145"/>
      <c r="AA19" s="974"/>
      <c r="AB19" s="145"/>
      <c r="AC19" s="145"/>
      <c r="AD19" s="145"/>
      <c r="AE19" s="145"/>
      <c r="AF19" s="145"/>
      <c r="AG19" s="145"/>
    </row>
    <row r="20" spans="1:33" s="139" customFormat="1" x14ac:dyDescent="0.2">
      <c r="A20" s="971">
        <v>10</v>
      </c>
      <c r="B20" s="145"/>
      <c r="C20" s="142"/>
      <c r="D20" s="1173"/>
      <c r="E20" s="975"/>
      <c r="F20" s="975"/>
      <c r="G20" s="419"/>
      <c r="H20" s="419"/>
      <c r="I20" s="145"/>
      <c r="J20" s="145"/>
      <c r="K20" s="145"/>
      <c r="L20" s="145"/>
      <c r="M20" s="145"/>
      <c r="N20" s="974"/>
      <c r="O20" s="419"/>
      <c r="P20" s="145"/>
      <c r="Q20" s="145"/>
      <c r="R20" s="145"/>
      <c r="S20" s="145"/>
      <c r="T20" s="145"/>
      <c r="U20" s="145"/>
      <c r="V20" s="145"/>
      <c r="W20" s="145"/>
      <c r="X20" s="145"/>
      <c r="Y20" s="145"/>
      <c r="Z20" s="145"/>
      <c r="AA20" s="974"/>
      <c r="AB20" s="145"/>
      <c r="AC20" s="145"/>
      <c r="AD20" s="145"/>
      <c r="AE20" s="145"/>
      <c r="AF20" s="145"/>
      <c r="AG20" s="145"/>
    </row>
    <row r="21" spans="1:33" s="139" customFormat="1" x14ac:dyDescent="0.2">
      <c r="A21" s="971">
        <v>11</v>
      </c>
      <c r="B21" s="145"/>
      <c r="C21" s="142"/>
      <c r="D21" s="1173"/>
      <c r="E21" s="975"/>
      <c r="F21" s="975"/>
      <c r="G21" s="419"/>
      <c r="H21" s="419"/>
      <c r="I21" s="145"/>
      <c r="J21" s="145"/>
      <c r="K21" s="145"/>
      <c r="L21" s="145"/>
      <c r="M21" s="145"/>
      <c r="N21" s="974"/>
      <c r="O21" s="419"/>
      <c r="P21" s="145"/>
      <c r="Q21" s="145"/>
      <c r="R21" s="145"/>
      <c r="S21" s="145"/>
      <c r="T21" s="145"/>
      <c r="U21" s="145"/>
      <c r="V21" s="145"/>
      <c r="W21" s="145"/>
      <c r="X21" s="145"/>
      <c r="Y21" s="145"/>
      <c r="Z21" s="145"/>
      <c r="AA21" s="974"/>
      <c r="AB21" s="145"/>
      <c r="AC21" s="145"/>
      <c r="AD21" s="145"/>
      <c r="AE21" s="145"/>
      <c r="AF21" s="145"/>
      <c r="AG21" s="145"/>
    </row>
    <row r="22" spans="1:33" s="139" customFormat="1" x14ac:dyDescent="0.2">
      <c r="A22" s="971">
        <v>12</v>
      </c>
      <c r="B22" s="145"/>
      <c r="C22" s="142"/>
      <c r="D22" s="1173"/>
      <c r="E22" s="975"/>
      <c r="F22" s="975"/>
      <c r="G22" s="419"/>
      <c r="H22" s="419"/>
      <c r="I22" s="145"/>
      <c r="J22" s="145"/>
      <c r="K22" s="145"/>
      <c r="L22" s="145"/>
      <c r="M22" s="145"/>
      <c r="N22" s="974"/>
      <c r="O22" s="419"/>
      <c r="P22" s="145"/>
      <c r="Q22" s="145"/>
      <c r="R22" s="145"/>
      <c r="S22" s="145"/>
      <c r="T22" s="145"/>
      <c r="U22" s="145"/>
      <c r="V22" s="145"/>
      <c r="W22" s="145"/>
      <c r="X22" s="145"/>
      <c r="Y22" s="145"/>
      <c r="Z22" s="145"/>
      <c r="AA22" s="974"/>
      <c r="AB22" s="145"/>
      <c r="AC22" s="145"/>
      <c r="AD22" s="145"/>
      <c r="AE22" s="145"/>
      <c r="AF22" s="145"/>
      <c r="AG22" s="145"/>
    </row>
    <row r="23" spans="1:33" s="139" customFormat="1" x14ac:dyDescent="0.2">
      <c r="A23" s="971">
        <v>13</v>
      </c>
      <c r="B23" s="145"/>
      <c r="C23" s="142"/>
      <c r="D23" s="1173"/>
      <c r="E23" s="975"/>
      <c r="F23" s="975"/>
      <c r="G23" s="419"/>
      <c r="H23" s="419"/>
      <c r="I23" s="145"/>
      <c r="J23" s="145"/>
      <c r="K23" s="145"/>
      <c r="L23" s="145"/>
      <c r="M23" s="145"/>
      <c r="N23" s="974"/>
      <c r="O23" s="419"/>
      <c r="P23" s="145"/>
      <c r="Q23" s="145"/>
      <c r="R23" s="145"/>
      <c r="S23" s="145"/>
      <c r="T23" s="145"/>
      <c r="U23" s="145"/>
      <c r="V23" s="145"/>
      <c r="W23" s="145"/>
      <c r="X23" s="145"/>
      <c r="Y23" s="145"/>
      <c r="Z23" s="145"/>
      <c r="AA23" s="974"/>
      <c r="AB23" s="145"/>
      <c r="AC23" s="145"/>
      <c r="AD23" s="145"/>
      <c r="AE23" s="145"/>
      <c r="AF23" s="145"/>
      <c r="AG23" s="145"/>
    </row>
    <row r="24" spans="1:33" s="139" customFormat="1" x14ac:dyDescent="0.2">
      <c r="A24" s="971">
        <v>14</v>
      </c>
      <c r="B24" s="145"/>
      <c r="C24" s="142"/>
      <c r="D24" s="1173"/>
      <c r="E24" s="975"/>
      <c r="F24" s="975"/>
      <c r="G24" s="419"/>
      <c r="H24" s="419"/>
      <c r="I24" s="145"/>
      <c r="J24" s="145"/>
      <c r="K24" s="145"/>
      <c r="L24" s="145"/>
      <c r="M24" s="145"/>
      <c r="N24" s="974"/>
      <c r="O24" s="419"/>
      <c r="P24" s="145"/>
      <c r="Q24" s="145"/>
      <c r="R24" s="145"/>
      <c r="S24" s="145"/>
      <c r="T24" s="145"/>
      <c r="U24" s="145"/>
      <c r="V24" s="145"/>
      <c r="W24" s="145"/>
      <c r="X24" s="145"/>
      <c r="Y24" s="145"/>
      <c r="Z24" s="145"/>
      <c r="AA24" s="974"/>
      <c r="AB24" s="145"/>
      <c r="AC24" s="145"/>
      <c r="AD24" s="145"/>
      <c r="AE24" s="145"/>
      <c r="AF24" s="145"/>
      <c r="AG24" s="145"/>
    </row>
    <row r="25" spans="1:33" s="139" customFormat="1" x14ac:dyDescent="0.2">
      <c r="A25" s="971">
        <v>15</v>
      </c>
      <c r="B25" s="145"/>
      <c r="C25" s="142"/>
      <c r="D25" s="1173"/>
      <c r="E25" s="975"/>
      <c r="F25" s="975"/>
      <c r="G25" s="419"/>
      <c r="H25" s="973"/>
      <c r="I25" s="145"/>
      <c r="J25" s="145"/>
      <c r="K25" s="145"/>
      <c r="L25" s="145"/>
      <c r="M25" s="145"/>
      <c r="N25" s="974"/>
      <c r="O25" s="973"/>
      <c r="P25" s="145"/>
      <c r="Q25" s="145"/>
      <c r="R25" s="145"/>
      <c r="S25" s="145"/>
      <c r="T25" s="145"/>
      <c r="U25" s="145"/>
      <c r="V25" s="145"/>
      <c r="W25" s="145"/>
      <c r="X25" s="145"/>
      <c r="Y25" s="145"/>
      <c r="Z25" s="145"/>
      <c r="AA25" s="974"/>
      <c r="AB25" s="145"/>
      <c r="AC25" s="145"/>
      <c r="AD25" s="145"/>
      <c r="AE25" s="145"/>
      <c r="AF25" s="145"/>
      <c r="AG25" s="145"/>
    </row>
    <row r="26" spans="1:33" s="139" customFormat="1" x14ac:dyDescent="0.2">
      <c r="A26" s="971">
        <v>16</v>
      </c>
      <c r="B26" s="145"/>
      <c r="C26" s="142"/>
      <c r="D26" s="1173"/>
      <c r="E26" s="975"/>
      <c r="F26" s="975"/>
      <c r="G26" s="419"/>
      <c r="H26" s="419"/>
      <c r="I26" s="145"/>
      <c r="J26" s="145"/>
      <c r="K26" s="145"/>
      <c r="L26" s="145"/>
      <c r="M26" s="145"/>
      <c r="N26" s="974"/>
      <c r="O26" s="419"/>
      <c r="P26" s="145"/>
      <c r="Q26" s="145"/>
      <c r="R26" s="145"/>
      <c r="S26" s="145"/>
      <c r="T26" s="145"/>
      <c r="U26" s="145"/>
      <c r="V26" s="145"/>
      <c r="W26" s="145"/>
      <c r="X26" s="145"/>
      <c r="Y26" s="145"/>
      <c r="Z26" s="145"/>
      <c r="AA26" s="974"/>
      <c r="AB26" s="145"/>
      <c r="AC26" s="145"/>
      <c r="AD26" s="145"/>
      <c r="AE26" s="145"/>
      <c r="AF26" s="145"/>
      <c r="AG26" s="145"/>
    </row>
    <row r="27" spans="1:33" s="139" customFormat="1" x14ac:dyDescent="0.2">
      <c r="A27" s="971">
        <v>17</v>
      </c>
      <c r="B27" s="145"/>
      <c r="C27" s="142"/>
      <c r="D27" s="1173"/>
      <c r="E27" s="975"/>
      <c r="F27" s="975"/>
      <c r="G27" s="419"/>
      <c r="H27" s="973"/>
      <c r="I27" s="145"/>
      <c r="J27" s="145"/>
      <c r="K27" s="145"/>
      <c r="L27" s="145"/>
      <c r="M27" s="145"/>
      <c r="N27" s="974"/>
      <c r="O27" s="973"/>
      <c r="P27" s="145"/>
      <c r="Q27" s="145"/>
      <c r="R27" s="145"/>
      <c r="S27" s="145"/>
      <c r="T27" s="145"/>
      <c r="U27" s="145"/>
      <c r="V27" s="145"/>
      <c r="W27" s="145"/>
      <c r="X27" s="145"/>
      <c r="Y27" s="145"/>
      <c r="Z27" s="145"/>
      <c r="AA27" s="974"/>
      <c r="AB27" s="145"/>
      <c r="AC27" s="145"/>
      <c r="AD27" s="145"/>
      <c r="AE27" s="145"/>
      <c r="AF27" s="145"/>
      <c r="AG27" s="145"/>
    </row>
    <row r="28" spans="1:33" s="139" customFormat="1" x14ac:dyDescent="0.2">
      <c r="A28" s="419" t="s">
        <v>753</v>
      </c>
      <c r="B28" s="145"/>
      <c r="C28" s="142"/>
      <c r="D28" s="1173"/>
      <c r="E28" s="975"/>
      <c r="F28" s="975"/>
      <c r="G28" s="419"/>
      <c r="H28" s="419"/>
      <c r="I28" s="145"/>
      <c r="J28" s="145"/>
      <c r="K28" s="145"/>
      <c r="L28" s="145"/>
      <c r="M28" s="145"/>
      <c r="N28" s="974"/>
      <c r="O28" s="419"/>
      <c r="P28" s="145"/>
      <c r="Q28" s="145"/>
      <c r="R28" s="145"/>
      <c r="S28" s="145"/>
      <c r="T28" s="145"/>
      <c r="U28" s="145"/>
      <c r="V28" s="145"/>
      <c r="W28" s="145"/>
      <c r="X28" s="145"/>
      <c r="Y28" s="145"/>
      <c r="Z28" s="145"/>
      <c r="AA28" s="974"/>
      <c r="AB28" s="145"/>
      <c r="AC28" s="145"/>
      <c r="AD28" s="145"/>
      <c r="AE28" s="145"/>
      <c r="AF28" s="145"/>
      <c r="AG28" s="145"/>
    </row>
    <row r="29" spans="1:33" s="139" customFormat="1" x14ac:dyDescent="0.2">
      <c r="A29" s="145"/>
      <c r="B29" s="145"/>
      <c r="C29" s="142"/>
      <c r="D29" s="1173"/>
      <c r="E29" s="975"/>
      <c r="F29" s="975"/>
      <c r="G29" s="419"/>
      <c r="H29" s="419"/>
      <c r="I29" s="145"/>
      <c r="J29" s="145"/>
      <c r="K29" s="145"/>
      <c r="L29" s="145"/>
      <c r="M29" s="145"/>
      <c r="N29" s="974"/>
      <c r="O29" s="419"/>
      <c r="P29" s="145"/>
      <c r="Q29" s="145"/>
      <c r="R29" s="145"/>
      <c r="S29" s="145"/>
      <c r="T29" s="145"/>
      <c r="U29" s="145"/>
      <c r="V29" s="145"/>
      <c r="W29" s="145"/>
      <c r="X29" s="145"/>
      <c r="Y29" s="145"/>
      <c r="Z29" s="145"/>
      <c r="AA29" s="974"/>
      <c r="AB29" s="145"/>
      <c r="AC29" s="145"/>
      <c r="AD29" s="145"/>
      <c r="AE29" s="145"/>
      <c r="AF29" s="145"/>
      <c r="AG29" s="145"/>
    </row>
    <row r="30" spans="1:33" s="139" customFormat="1" x14ac:dyDescent="0.2">
      <c r="A30" s="145"/>
      <c r="B30" s="145"/>
      <c r="C30" s="142"/>
      <c r="D30" s="1173"/>
      <c r="E30" s="975"/>
      <c r="F30" s="975"/>
      <c r="G30" s="419"/>
      <c r="H30" s="419"/>
      <c r="I30" s="145"/>
      <c r="J30" s="145"/>
      <c r="K30" s="145"/>
      <c r="L30" s="145"/>
      <c r="M30" s="145"/>
      <c r="N30" s="974"/>
      <c r="O30" s="419"/>
      <c r="P30" s="145"/>
      <c r="Q30" s="145"/>
      <c r="R30" s="145"/>
      <c r="S30" s="145"/>
      <c r="T30" s="145"/>
      <c r="U30" s="145"/>
      <c r="V30" s="145"/>
      <c r="W30" s="145"/>
      <c r="X30" s="145"/>
      <c r="Y30" s="145"/>
      <c r="Z30" s="145"/>
      <c r="AA30" s="974"/>
      <c r="AB30" s="145"/>
      <c r="AC30" s="145"/>
      <c r="AD30" s="145"/>
      <c r="AE30" s="145"/>
      <c r="AF30" s="145"/>
      <c r="AG30" s="145"/>
    </row>
    <row r="31" spans="1:33" s="139" customFormat="1" x14ac:dyDescent="0.2">
      <c r="A31" s="145"/>
      <c r="B31" s="145"/>
      <c r="C31" s="142"/>
      <c r="D31" s="1173"/>
      <c r="E31" s="975"/>
      <c r="F31" s="975"/>
      <c r="G31" s="419"/>
      <c r="H31" s="419"/>
      <c r="I31" s="145"/>
      <c r="J31" s="145"/>
      <c r="K31" s="145"/>
      <c r="L31" s="145"/>
      <c r="M31" s="145"/>
      <c r="N31" s="974"/>
      <c r="O31" s="419"/>
      <c r="P31" s="145"/>
      <c r="Q31" s="145"/>
      <c r="R31" s="145"/>
      <c r="S31" s="145"/>
      <c r="T31" s="145"/>
      <c r="U31" s="145"/>
      <c r="V31" s="145"/>
      <c r="W31" s="145"/>
      <c r="X31" s="145"/>
      <c r="Y31" s="145"/>
      <c r="Z31" s="145"/>
      <c r="AA31" s="974"/>
      <c r="AB31" s="145"/>
      <c r="AC31" s="145"/>
      <c r="AD31" s="145"/>
      <c r="AE31" s="145"/>
      <c r="AF31" s="145"/>
      <c r="AG31" s="145"/>
    </row>
    <row r="32" spans="1:33" s="139" customFormat="1" x14ac:dyDescent="0.2">
      <c r="A32" s="145"/>
      <c r="B32" s="145"/>
      <c r="C32" s="142"/>
      <c r="D32" s="1173"/>
      <c r="E32" s="975"/>
      <c r="F32" s="975"/>
      <c r="G32" s="419"/>
      <c r="H32" s="973"/>
      <c r="I32" s="145"/>
      <c r="J32" s="145"/>
      <c r="K32" s="145"/>
      <c r="L32" s="145"/>
      <c r="M32" s="145"/>
      <c r="N32" s="974"/>
      <c r="O32" s="973"/>
      <c r="P32" s="145"/>
      <c r="Q32" s="145"/>
      <c r="R32" s="145"/>
      <c r="S32" s="145"/>
      <c r="T32" s="145"/>
      <c r="U32" s="145"/>
      <c r="V32" s="145"/>
      <c r="W32" s="145"/>
      <c r="X32" s="145"/>
      <c r="Y32" s="145"/>
      <c r="Z32" s="145"/>
      <c r="AA32" s="974"/>
      <c r="AB32" s="145"/>
      <c r="AC32" s="145"/>
      <c r="AD32" s="145"/>
      <c r="AE32" s="145"/>
      <c r="AF32" s="145"/>
      <c r="AG32" s="145"/>
    </row>
    <row r="33" spans="1:33" s="139" customFormat="1" x14ac:dyDescent="0.2">
      <c r="B33" s="145"/>
      <c r="C33" s="142"/>
      <c r="D33" s="1173"/>
      <c r="E33" s="975"/>
      <c r="F33" s="975"/>
      <c r="G33" s="419"/>
      <c r="H33" s="419"/>
      <c r="I33" s="145"/>
      <c r="J33" s="145"/>
      <c r="K33" s="145"/>
      <c r="L33" s="145"/>
      <c r="M33" s="145"/>
      <c r="N33" s="974"/>
      <c r="O33" s="419"/>
      <c r="P33" s="145"/>
      <c r="Q33" s="145"/>
      <c r="R33" s="145"/>
      <c r="S33" s="145"/>
      <c r="T33" s="145"/>
      <c r="U33" s="145"/>
      <c r="V33" s="145"/>
      <c r="W33" s="145"/>
      <c r="X33" s="145"/>
      <c r="Y33" s="145"/>
      <c r="Z33" s="145"/>
      <c r="AA33" s="974"/>
      <c r="AB33" s="145"/>
      <c r="AC33" s="145"/>
      <c r="AD33" s="145"/>
      <c r="AE33" s="145"/>
      <c r="AF33" s="145"/>
      <c r="AG33" s="145"/>
    </row>
    <row r="34" spans="1:33" s="139" customFormat="1" x14ac:dyDescent="0.2">
      <c r="A34" s="145"/>
      <c r="B34" s="145"/>
      <c r="C34" s="142"/>
      <c r="D34" s="1173"/>
      <c r="E34" s="975"/>
      <c r="F34" s="975"/>
      <c r="G34" s="419"/>
      <c r="H34" s="419"/>
      <c r="I34" s="145"/>
      <c r="J34" s="145"/>
      <c r="K34" s="145"/>
      <c r="L34" s="145"/>
      <c r="M34" s="145"/>
      <c r="N34" s="974"/>
      <c r="O34" s="419"/>
      <c r="P34" s="145"/>
      <c r="Q34" s="145"/>
      <c r="R34" s="145"/>
      <c r="S34" s="145"/>
      <c r="T34" s="145"/>
      <c r="U34" s="145"/>
      <c r="V34" s="145"/>
      <c r="W34" s="145"/>
      <c r="X34" s="145"/>
      <c r="Y34" s="145"/>
      <c r="Z34" s="145"/>
      <c r="AA34" s="974"/>
      <c r="AB34" s="145"/>
      <c r="AC34" s="145"/>
      <c r="AD34" s="145"/>
      <c r="AE34" s="145"/>
      <c r="AF34" s="145"/>
      <c r="AG34" s="145"/>
    </row>
    <row r="35" spans="1:33" s="139" customFormat="1" x14ac:dyDescent="0.2">
      <c r="A35" s="145"/>
      <c r="B35" s="145"/>
      <c r="C35" s="142"/>
      <c r="D35" s="1173"/>
      <c r="E35" s="972"/>
      <c r="F35" s="972"/>
      <c r="G35" s="973"/>
      <c r="H35" s="973"/>
      <c r="I35" s="145"/>
      <c r="J35" s="145"/>
      <c r="K35" s="976"/>
      <c r="L35" s="145"/>
      <c r="M35" s="145"/>
      <c r="N35" s="974"/>
      <c r="O35" s="973"/>
      <c r="P35" s="145"/>
      <c r="Q35" s="145"/>
      <c r="R35" s="145"/>
      <c r="S35" s="145"/>
      <c r="T35" s="145"/>
      <c r="U35" s="145"/>
      <c r="V35" s="145"/>
      <c r="W35" s="145"/>
      <c r="X35" s="145"/>
      <c r="Y35" s="145"/>
      <c r="Z35" s="145"/>
      <c r="AA35" s="974"/>
      <c r="AB35" s="145"/>
      <c r="AC35" s="145"/>
      <c r="AD35" s="145"/>
      <c r="AE35" s="145"/>
      <c r="AF35" s="145"/>
      <c r="AG35" s="145"/>
    </row>
    <row r="36" spans="1:33" s="139" customFormat="1" x14ac:dyDescent="0.2">
      <c r="A36" s="145"/>
      <c r="B36" s="145"/>
      <c r="C36" s="142"/>
      <c r="D36" s="1173"/>
      <c r="E36" s="972"/>
      <c r="F36" s="972"/>
      <c r="G36" s="973"/>
      <c r="H36" s="973"/>
      <c r="I36" s="145"/>
      <c r="J36" s="145"/>
      <c r="K36" s="145"/>
      <c r="L36" s="145"/>
      <c r="M36" s="145"/>
      <c r="N36" s="974"/>
      <c r="O36" s="973"/>
      <c r="P36" s="145"/>
      <c r="Q36" s="145"/>
      <c r="R36" s="145"/>
      <c r="S36" s="145"/>
      <c r="T36" s="145"/>
      <c r="U36" s="145"/>
      <c r="V36" s="145"/>
      <c r="W36" s="145"/>
      <c r="X36" s="145"/>
      <c r="Y36" s="145"/>
      <c r="Z36" s="145"/>
      <c r="AA36" s="974"/>
      <c r="AB36" s="145"/>
      <c r="AC36" s="145"/>
      <c r="AD36" s="145"/>
      <c r="AE36" s="145"/>
      <c r="AF36" s="145"/>
      <c r="AG36" s="145"/>
    </row>
    <row r="37" spans="1:33" s="139" customFormat="1" x14ac:dyDescent="0.2">
      <c r="A37" s="145"/>
      <c r="B37" s="145"/>
      <c r="C37" s="142"/>
      <c r="D37" s="1173"/>
      <c r="E37" s="972"/>
      <c r="F37" s="972"/>
      <c r="G37" s="973"/>
      <c r="H37" s="973"/>
      <c r="I37" s="145"/>
      <c r="J37" s="145"/>
      <c r="K37" s="145"/>
      <c r="L37" s="145"/>
      <c r="M37" s="145"/>
      <c r="N37" s="974"/>
      <c r="O37" s="973"/>
      <c r="P37" s="145"/>
      <c r="Q37" s="145"/>
      <c r="R37" s="145"/>
      <c r="S37" s="145"/>
      <c r="T37" s="145"/>
      <c r="U37" s="145"/>
      <c r="V37" s="145"/>
      <c r="W37" s="145"/>
      <c r="X37" s="145"/>
      <c r="Y37" s="145"/>
      <c r="Z37" s="145"/>
      <c r="AA37" s="974"/>
      <c r="AB37" s="145"/>
      <c r="AC37" s="145"/>
      <c r="AD37" s="145"/>
      <c r="AE37" s="145"/>
      <c r="AF37" s="145"/>
      <c r="AG37" s="145"/>
    </row>
    <row r="38" spans="1:33" s="139" customFormat="1" x14ac:dyDescent="0.2">
      <c r="A38" s="145"/>
      <c r="B38" s="145"/>
      <c r="C38" s="142"/>
      <c r="D38" s="1173"/>
      <c r="E38" s="972"/>
      <c r="F38" s="972"/>
      <c r="G38" s="973"/>
      <c r="H38" s="973"/>
      <c r="I38" s="145"/>
      <c r="J38" s="145"/>
      <c r="K38" s="145"/>
      <c r="L38" s="145"/>
      <c r="M38" s="145"/>
      <c r="N38" s="974"/>
      <c r="O38" s="973"/>
      <c r="P38" s="145"/>
      <c r="Q38" s="145"/>
      <c r="R38" s="145"/>
      <c r="S38" s="145"/>
      <c r="T38" s="145"/>
      <c r="U38" s="145"/>
      <c r="V38" s="145"/>
      <c r="W38" s="145"/>
      <c r="X38" s="145"/>
      <c r="Y38" s="145"/>
      <c r="Z38" s="145"/>
      <c r="AA38" s="974"/>
      <c r="AB38" s="145"/>
      <c r="AC38" s="145"/>
      <c r="AD38" s="145"/>
      <c r="AE38" s="145"/>
      <c r="AF38" s="145"/>
      <c r="AG38" s="145"/>
    </row>
    <row r="39" spans="1:33" s="139" customFormat="1" x14ac:dyDescent="0.2">
      <c r="A39" s="145"/>
      <c r="B39" s="145"/>
      <c r="C39" s="142"/>
      <c r="D39" s="1173"/>
      <c r="E39" s="972"/>
      <c r="F39" s="972"/>
      <c r="G39" s="419"/>
      <c r="H39" s="419"/>
      <c r="I39" s="145"/>
      <c r="J39" s="145"/>
      <c r="K39" s="145"/>
      <c r="L39" s="145"/>
      <c r="M39" s="145"/>
      <c r="N39" s="974"/>
      <c r="O39" s="419"/>
      <c r="P39" s="145"/>
      <c r="Q39" s="145"/>
      <c r="R39" s="145"/>
      <c r="S39" s="145"/>
      <c r="T39" s="145"/>
      <c r="U39" s="145"/>
      <c r="V39" s="145"/>
      <c r="W39" s="145"/>
      <c r="X39" s="145"/>
      <c r="Y39" s="145"/>
      <c r="Z39" s="145"/>
      <c r="AA39" s="974"/>
      <c r="AB39" s="145"/>
      <c r="AC39" s="145"/>
      <c r="AD39" s="145"/>
      <c r="AE39" s="145"/>
      <c r="AF39" s="145"/>
      <c r="AG39" s="145"/>
    </row>
    <row r="40" spans="1:33" s="139" customFormat="1" x14ac:dyDescent="0.2">
      <c r="A40" s="145"/>
      <c r="B40" s="145"/>
      <c r="C40" s="142"/>
      <c r="D40" s="1173"/>
      <c r="E40" s="972"/>
      <c r="F40" s="972"/>
      <c r="G40" s="973"/>
      <c r="H40" s="973"/>
      <c r="I40" s="145"/>
      <c r="J40" s="145"/>
      <c r="K40" s="145"/>
      <c r="L40" s="145"/>
      <c r="M40" s="145"/>
      <c r="N40" s="974"/>
      <c r="O40" s="973"/>
      <c r="P40" s="145"/>
      <c r="Q40" s="145"/>
      <c r="R40" s="145"/>
      <c r="S40" s="145"/>
      <c r="T40" s="145"/>
      <c r="U40" s="145"/>
      <c r="V40" s="145"/>
      <c r="W40" s="145"/>
      <c r="X40" s="145"/>
      <c r="Y40" s="145"/>
      <c r="Z40" s="145"/>
      <c r="AA40" s="974"/>
      <c r="AB40" s="145"/>
      <c r="AC40" s="145"/>
      <c r="AD40" s="145"/>
      <c r="AE40" s="145"/>
      <c r="AF40" s="145"/>
      <c r="AG40" s="145"/>
    </row>
    <row r="41" spans="1:33" s="139" customFormat="1" x14ac:dyDescent="0.2">
      <c r="A41" s="145"/>
      <c r="B41" s="145"/>
      <c r="C41" s="142"/>
      <c r="D41" s="1173"/>
      <c r="E41" s="975"/>
      <c r="F41" s="975"/>
      <c r="G41" s="419"/>
      <c r="H41" s="973"/>
      <c r="I41" s="145"/>
      <c r="J41" s="145"/>
      <c r="K41" s="145"/>
      <c r="L41" s="145"/>
      <c r="M41" s="145"/>
      <c r="N41" s="974"/>
      <c r="O41" s="973"/>
      <c r="P41" s="145"/>
      <c r="Q41" s="145"/>
      <c r="R41" s="145"/>
      <c r="S41" s="145"/>
      <c r="T41" s="145"/>
      <c r="U41" s="145"/>
      <c r="V41" s="145"/>
      <c r="W41" s="145"/>
      <c r="X41" s="145"/>
      <c r="Y41" s="145"/>
      <c r="Z41" s="145"/>
      <c r="AA41" s="974"/>
      <c r="AB41" s="145"/>
      <c r="AC41" s="145"/>
      <c r="AD41" s="145"/>
      <c r="AE41" s="145"/>
      <c r="AF41" s="145"/>
      <c r="AG41" s="145"/>
    </row>
    <row r="42" spans="1:33" s="139" customFormat="1" x14ac:dyDescent="0.2">
      <c r="A42" s="145"/>
      <c r="B42" s="145"/>
      <c r="C42" s="142"/>
      <c r="D42" s="1173"/>
      <c r="E42" s="975"/>
      <c r="F42" s="975"/>
      <c r="G42" s="419"/>
      <c r="H42" s="419"/>
      <c r="I42" s="145"/>
      <c r="J42" s="145"/>
      <c r="K42" s="145"/>
      <c r="L42" s="145"/>
      <c r="M42" s="145"/>
      <c r="N42" s="974"/>
      <c r="O42" s="419"/>
      <c r="P42" s="145"/>
      <c r="Q42" s="145"/>
      <c r="R42" s="145"/>
      <c r="S42" s="145"/>
      <c r="T42" s="145"/>
      <c r="U42" s="145"/>
      <c r="V42" s="145"/>
      <c r="W42" s="145"/>
      <c r="X42" s="145"/>
      <c r="Y42" s="145"/>
      <c r="Z42" s="145"/>
      <c r="AA42" s="974"/>
      <c r="AB42" s="145"/>
      <c r="AC42" s="145"/>
      <c r="AD42" s="145"/>
      <c r="AE42" s="145"/>
      <c r="AF42" s="145"/>
      <c r="AG42" s="145"/>
    </row>
    <row r="43" spans="1:33" s="139" customFormat="1" x14ac:dyDescent="0.2">
      <c r="A43" s="145"/>
      <c r="B43" s="145"/>
      <c r="C43" s="142"/>
      <c r="D43" s="1173"/>
      <c r="E43" s="975"/>
      <c r="F43" s="975"/>
      <c r="G43" s="419"/>
      <c r="H43" s="419"/>
      <c r="I43" s="145"/>
      <c r="J43" s="145"/>
      <c r="K43" s="145"/>
      <c r="L43" s="145"/>
      <c r="M43" s="145"/>
      <c r="N43" s="974"/>
      <c r="O43" s="419"/>
      <c r="P43" s="145"/>
      <c r="Q43" s="145"/>
      <c r="R43" s="145"/>
      <c r="S43" s="145"/>
      <c r="T43" s="145"/>
      <c r="U43" s="145"/>
      <c r="V43" s="145"/>
      <c r="W43" s="145"/>
      <c r="X43" s="145"/>
      <c r="Y43" s="145"/>
      <c r="Z43" s="145"/>
      <c r="AA43" s="974"/>
      <c r="AB43" s="145"/>
      <c r="AC43" s="145"/>
      <c r="AD43" s="145"/>
      <c r="AE43" s="145"/>
      <c r="AF43" s="145"/>
      <c r="AG43" s="145"/>
    </row>
    <row r="44" spans="1:33" s="139" customFormat="1" x14ac:dyDescent="0.2">
      <c r="A44" s="145"/>
      <c r="B44" s="145"/>
      <c r="C44" s="142"/>
      <c r="D44" s="1173"/>
      <c r="E44" s="975"/>
      <c r="F44" s="975"/>
      <c r="G44" s="419"/>
      <c r="H44" s="419"/>
      <c r="I44" s="145"/>
      <c r="J44" s="145"/>
      <c r="K44" s="145"/>
      <c r="L44" s="145"/>
      <c r="M44" s="145"/>
      <c r="N44" s="974"/>
      <c r="O44" s="419"/>
      <c r="P44" s="145"/>
      <c r="Q44" s="145"/>
      <c r="R44" s="145"/>
      <c r="S44" s="145"/>
      <c r="T44" s="145"/>
      <c r="U44" s="145"/>
      <c r="V44" s="145"/>
      <c r="W44" s="145"/>
      <c r="X44" s="145"/>
      <c r="Y44" s="145"/>
      <c r="Z44" s="145"/>
      <c r="AA44" s="974"/>
      <c r="AB44" s="145"/>
      <c r="AC44" s="145"/>
      <c r="AD44" s="145"/>
      <c r="AE44" s="145"/>
      <c r="AF44" s="145"/>
      <c r="AG44" s="145"/>
    </row>
    <row r="45" spans="1:33" s="139" customFormat="1" x14ac:dyDescent="0.2">
      <c r="A45" s="145"/>
      <c r="B45" s="145"/>
      <c r="C45" s="142"/>
      <c r="D45" s="1173"/>
      <c r="E45" s="975"/>
      <c r="F45" s="975"/>
      <c r="G45" s="419"/>
      <c r="H45" s="419"/>
      <c r="I45" s="145"/>
      <c r="J45" s="145"/>
      <c r="K45" s="145"/>
      <c r="L45" s="145"/>
      <c r="M45" s="145"/>
      <c r="N45" s="974"/>
      <c r="O45" s="419"/>
      <c r="P45" s="145"/>
      <c r="Q45" s="145"/>
      <c r="R45" s="145"/>
      <c r="S45" s="145"/>
      <c r="T45" s="145"/>
      <c r="U45" s="145"/>
      <c r="V45" s="145"/>
      <c r="W45" s="145"/>
      <c r="X45" s="145"/>
      <c r="Y45" s="145"/>
      <c r="Z45" s="145"/>
      <c r="AA45" s="974"/>
      <c r="AB45" s="145"/>
      <c r="AC45" s="145"/>
      <c r="AD45" s="145"/>
      <c r="AE45" s="145"/>
      <c r="AF45" s="145"/>
      <c r="AG45" s="145"/>
    </row>
    <row r="46" spans="1:33" s="139" customFormat="1" x14ac:dyDescent="0.2">
      <c r="A46" s="145"/>
      <c r="B46" s="145"/>
      <c r="C46" s="142"/>
      <c r="D46" s="1173"/>
      <c r="E46" s="975"/>
      <c r="F46" s="975"/>
      <c r="G46" s="419"/>
      <c r="H46" s="419"/>
      <c r="I46" s="145"/>
      <c r="J46" s="145"/>
      <c r="K46" s="145"/>
      <c r="L46" s="145"/>
      <c r="M46" s="145"/>
      <c r="N46" s="974"/>
      <c r="O46" s="419"/>
      <c r="P46" s="145"/>
      <c r="Q46" s="145"/>
      <c r="R46" s="145"/>
      <c r="S46" s="145"/>
      <c r="T46" s="145"/>
      <c r="U46" s="145"/>
      <c r="V46" s="145"/>
      <c r="W46" s="145"/>
      <c r="X46" s="145"/>
      <c r="Y46" s="145"/>
      <c r="Z46" s="145"/>
      <c r="AA46" s="974"/>
      <c r="AB46" s="145"/>
      <c r="AC46" s="145"/>
      <c r="AD46" s="145"/>
      <c r="AE46" s="145"/>
      <c r="AF46" s="145"/>
      <c r="AG46" s="145"/>
    </row>
    <row r="47" spans="1:33" s="139" customFormat="1" x14ac:dyDescent="0.2">
      <c r="A47" s="145"/>
      <c r="B47" s="145"/>
      <c r="C47" s="142"/>
      <c r="D47" s="1173"/>
      <c r="E47" s="975"/>
      <c r="F47" s="975"/>
      <c r="G47" s="419"/>
      <c r="H47" s="419"/>
      <c r="I47" s="145"/>
      <c r="J47" s="145"/>
      <c r="K47" s="145"/>
      <c r="L47" s="145"/>
      <c r="M47" s="145"/>
      <c r="N47" s="974"/>
      <c r="O47" s="419"/>
      <c r="P47" s="145"/>
      <c r="Q47" s="145"/>
      <c r="R47" s="145"/>
      <c r="S47" s="145"/>
      <c r="T47" s="145"/>
      <c r="U47" s="145"/>
      <c r="V47" s="145"/>
      <c r="W47" s="145"/>
      <c r="X47" s="145"/>
      <c r="Y47" s="145"/>
      <c r="Z47" s="145"/>
      <c r="AA47" s="974"/>
      <c r="AB47" s="145"/>
      <c r="AC47" s="145"/>
      <c r="AD47" s="145"/>
      <c r="AE47" s="145"/>
      <c r="AF47" s="145"/>
      <c r="AG47" s="145"/>
    </row>
    <row r="48" spans="1:33" s="139" customFormat="1" x14ac:dyDescent="0.2">
      <c r="A48" s="145"/>
      <c r="B48" s="145"/>
      <c r="C48" s="142"/>
      <c r="D48" s="1173"/>
      <c r="E48" s="975"/>
      <c r="F48" s="975"/>
      <c r="G48" s="419"/>
      <c r="H48" s="973"/>
      <c r="I48" s="145"/>
      <c r="J48" s="145"/>
      <c r="K48" s="145"/>
      <c r="L48" s="145"/>
      <c r="M48" s="145"/>
      <c r="N48" s="974"/>
      <c r="O48" s="973"/>
      <c r="P48" s="145"/>
      <c r="Q48" s="145"/>
      <c r="R48" s="145"/>
      <c r="S48" s="145"/>
      <c r="T48" s="145"/>
      <c r="U48" s="145"/>
      <c r="V48" s="145"/>
      <c r="W48" s="145"/>
      <c r="X48" s="145"/>
      <c r="Y48" s="145"/>
      <c r="Z48" s="145"/>
      <c r="AA48" s="974"/>
      <c r="AB48" s="145"/>
      <c r="AC48" s="145"/>
      <c r="AD48" s="145"/>
      <c r="AE48" s="145"/>
      <c r="AF48" s="145"/>
      <c r="AG48" s="145"/>
    </row>
    <row r="49" spans="1:33" s="139" customFormat="1" x14ac:dyDescent="0.2">
      <c r="A49" s="145"/>
      <c r="B49" s="145"/>
      <c r="C49" s="142"/>
      <c r="D49" s="1173"/>
      <c r="E49" s="975"/>
      <c r="F49" s="975"/>
      <c r="G49" s="419"/>
      <c r="H49" s="419"/>
      <c r="I49" s="145"/>
      <c r="J49" s="145"/>
      <c r="K49" s="145"/>
      <c r="L49" s="145"/>
      <c r="M49" s="145"/>
      <c r="N49" s="974"/>
      <c r="O49" s="419"/>
      <c r="P49" s="145"/>
      <c r="Q49" s="145"/>
      <c r="R49" s="145"/>
      <c r="S49" s="145"/>
      <c r="T49" s="145"/>
      <c r="U49" s="145"/>
      <c r="V49" s="145"/>
      <c r="W49" s="145"/>
      <c r="X49" s="145"/>
      <c r="Y49" s="145"/>
      <c r="Z49" s="145"/>
      <c r="AA49" s="974"/>
      <c r="AB49" s="145"/>
      <c r="AC49" s="145"/>
      <c r="AD49" s="145"/>
      <c r="AE49" s="145"/>
      <c r="AF49" s="145"/>
      <c r="AG49" s="145"/>
    </row>
    <row r="50" spans="1:33" s="139" customFormat="1" x14ac:dyDescent="0.2">
      <c r="A50" s="145"/>
      <c r="B50" s="145"/>
      <c r="C50" s="142"/>
      <c r="D50" s="1173"/>
      <c r="E50" s="975"/>
      <c r="F50" s="975"/>
      <c r="G50" s="419"/>
      <c r="H50" s="973"/>
      <c r="I50" s="145"/>
      <c r="J50" s="145"/>
      <c r="K50" s="145"/>
      <c r="L50" s="145"/>
      <c r="M50" s="145"/>
      <c r="N50" s="974"/>
      <c r="O50" s="973"/>
      <c r="P50" s="145"/>
      <c r="Q50" s="145"/>
      <c r="R50" s="145"/>
      <c r="S50" s="145"/>
      <c r="T50" s="145"/>
      <c r="U50" s="145"/>
      <c r="V50" s="145"/>
      <c r="W50" s="145"/>
      <c r="X50" s="145"/>
      <c r="Y50" s="145"/>
      <c r="Z50" s="145"/>
      <c r="AA50" s="974"/>
      <c r="AB50" s="145"/>
      <c r="AC50" s="145"/>
      <c r="AD50" s="145"/>
      <c r="AE50" s="145"/>
      <c r="AF50" s="145"/>
      <c r="AG50" s="145"/>
    </row>
    <row r="51" spans="1:33" s="139" customFormat="1" x14ac:dyDescent="0.2">
      <c r="A51" s="145"/>
      <c r="B51" s="145"/>
      <c r="C51" s="142"/>
      <c r="D51" s="1173"/>
      <c r="E51" s="975"/>
      <c r="F51" s="975"/>
      <c r="G51" s="419"/>
      <c r="H51" s="419"/>
      <c r="I51" s="145"/>
      <c r="J51" s="145"/>
      <c r="K51" s="145"/>
      <c r="L51" s="145"/>
      <c r="M51" s="145"/>
      <c r="N51" s="974"/>
      <c r="O51" s="419"/>
      <c r="P51" s="145"/>
      <c r="Q51" s="145"/>
      <c r="R51" s="145"/>
      <c r="S51" s="145"/>
      <c r="T51" s="145"/>
      <c r="U51" s="145"/>
      <c r="V51" s="145"/>
      <c r="W51" s="145"/>
      <c r="X51" s="145"/>
      <c r="Y51" s="145"/>
      <c r="Z51" s="145"/>
      <c r="AA51" s="974"/>
      <c r="AB51" s="145"/>
      <c r="AC51" s="145"/>
      <c r="AD51" s="145"/>
      <c r="AE51" s="145"/>
      <c r="AF51" s="145"/>
      <c r="AG51" s="145"/>
    </row>
    <row r="52" spans="1:33" s="139" customFormat="1" x14ac:dyDescent="0.2">
      <c r="A52" s="145"/>
      <c r="B52" s="145"/>
      <c r="C52" s="142"/>
      <c r="D52" s="1173"/>
      <c r="E52" s="975"/>
      <c r="F52" s="975"/>
      <c r="G52" s="419"/>
      <c r="H52" s="419"/>
      <c r="I52" s="145"/>
      <c r="J52" s="145"/>
      <c r="K52" s="145"/>
      <c r="L52" s="145"/>
      <c r="M52" s="145"/>
      <c r="N52" s="974"/>
      <c r="O52" s="419"/>
      <c r="P52" s="145"/>
      <c r="Q52" s="145"/>
      <c r="R52" s="145"/>
      <c r="S52" s="145"/>
      <c r="T52" s="145"/>
      <c r="U52" s="145"/>
      <c r="V52" s="145"/>
      <c r="W52" s="145"/>
      <c r="X52" s="145"/>
      <c r="Y52" s="145"/>
      <c r="Z52" s="145"/>
      <c r="AA52" s="974"/>
      <c r="AB52" s="145"/>
      <c r="AC52" s="145"/>
      <c r="AD52" s="145"/>
      <c r="AE52" s="145"/>
      <c r="AF52" s="145"/>
      <c r="AG52" s="145"/>
    </row>
    <row r="53" spans="1:33" s="139" customFormat="1" x14ac:dyDescent="0.2">
      <c r="A53" s="145"/>
      <c r="B53" s="145"/>
      <c r="C53" s="142"/>
      <c r="D53" s="1173"/>
      <c r="E53" s="975"/>
      <c r="F53" s="975"/>
      <c r="G53" s="419"/>
      <c r="H53" s="419"/>
      <c r="I53" s="145"/>
      <c r="J53" s="145"/>
      <c r="K53" s="145"/>
      <c r="L53" s="145"/>
      <c r="M53" s="145"/>
      <c r="N53" s="974"/>
      <c r="O53" s="419"/>
      <c r="P53" s="145"/>
      <c r="Q53" s="145"/>
      <c r="R53" s="145"/>
      <c r="S53" s="145"/>
      <c r="T53" s="145"/>
      <c r="U53" s="145"/>
      <c r="V53" s="145"/>
      <c r="W53" s="145"/>
      <c r="X53" s="145"/>
      <c r="Y53" s="145"/>
      <c r="Z53" s="145"/>
      <c r="AA53" s="974"/>
      <c r="AB53" s="145"/>
      <c r="AC53" s="145"/>
      <c r="AD53" s="145"/>
      <c r="AE53" s="145"/>
      <c r="AF53" s="145"/>
      <c r="AG53" s="145"/>
    </row>
    <row r="54" spans="1:33" s="139" customFormat="1" x14ac:dyDescent="0.2">
      <c r="A54" s="145"/>
      <c r="B54" s="145"/>
      <c r="C54" s="142"/>
      <c r="D54" s="1173"/>
      <c r="E54" s="975"/>
      <c r="F54" s="975"/>
      <c r="G54" s="419"/>
      <c r="H54" s="419"/>
      <c r="I54" s="145"/>
      <c r="J54" s="145"/>
      <c r="K54" s="145"/>
      <c r="L54" s="145"/>
      <c r="M54" s="145"/>
      <c r="N54" s="974"/>
      <c r="O54" s="419"/>
      <c r="P54" s="145"/>
      <c r="Q54" s="145"/>
      <c r="R54" s="145"/>
      <c r="S54" s="145"/>
      <c r="T54" s="145"/>
      <c r="U54" s="145"/>
      <c r="V54" s="145"/>
      <c r="W54" s="145"/>
      <c r="X54" s="145"/>
      <c r="Y54" s="145"/>
      <c r="Z54" s="145"/>
      <c r="AA54" s="974"/>
      <c r="AB54" s="145"/>
      <c r="AC54" s="145"/>
      <c r="AD54" s="145"/>
      <c r="AE54" s="145"/>
      <c r="AF54" s="145"/>
      <c r="AG54" s="145"/>
    </row>
    <row r="55" spans="1:33" s="139" customFormat="1" x14ac:dyDescent="0.2">
      <c r="A55" s="145"/>
      <c r="B55" s="145"/>
      <c r="C55" s="142"/>
      <c r="D55" s="1173"/>
      <c r="E55" s="975"/>
      <c r="F55" s="975"/>
      <c r="G55" s="419"/>
      <c r="H55" s="973"/>
      <c r="I55" s="145"/>
      <c r="J55" s="145"/>
      <c r="K55" s="145"/>
      <c r="L55" s="145"/>
      <c r="M55" s="145"/>
      <c r="N55" s="974"/>
      <c r="O55" s="973"/>
      <c r="P55" s="145"/>
      <c r="Q55" s="145"/>
      <c r="R55" s="145"/>
      <c r="S55" s="145"/>
      <c r="T55" s="145"/>
      <c r="U55" s="145"/>
      <c r="V55" s="145"/>
      <c r="W55" s="145"/>
      <c r="X55" s="145"/>
      <c r="Y55" s="145"/>
      <c r="Z55" s="145"/>
      <c r="AA55" s="974"/>
      <c r="AB55" s="145"/>
      <c r="AC55" s="145"/>
      <c r="AD55" s="145"/>
      <c r="AE55" s="145"/>
      <c r="AF55" s="145"/>
      <c r="AG55" s="145"/>
    </row>
    <row r="56" spans="1:33" s="139" customFormat="1" x14ac:dyDescent="0.2">
      <c r="A56" s="145"/>
      <c r="B56" s="145"/>
      <c r="C56" s="142"/>
      <c r="D56" s="1173"/>
      <c r="E56" s="975"/>
      <c r="F56" s="975"/>
      <c r="G56" s="419"/>
      <c r="H56" s="419"/>
      <c r="I56" s="145"/>
      <c r="J56" s="145"/>
      <c r="K56" s="145"/>
      <c r="L56" s="145"/>
      <c r="M56" s="145"/>
      <c r="N56" s="974"/>
      <c r="O56" s="419"/>
      <c r="P56" s="145"/>
      <c r="Q56" s="145"/>
      <c r="R56" s="145"/>
      <c r="S56" s="145"/>
      <c r="T56" s="145"/>
      <c r="U56" s="145"/>
      <c r="V56" s="145"/>
      <c r="W56" s="145"/>
      <c r="X56" s="145"/>
      <c r="Y56" s="145"/>
      <c r="Z56" s="145"/>
      <c r="AA56" s="974"/>
      <c r="AB56" s="145"/>
      <c r="AC56" s="145"/>
      <c r="AD56" s="145"/>
      <c r="AE56" s="145"/>
      <c r="AF56" s="145"/>
      <c r="AG56" s="145"/>
    </row>
    <row r="57" spans="1:33" s="139" customFormat="1" x14ac:dyDescent="0.2">
      <c r="A57" s="145"/>
      <c r="B57" s="145"/>
      <c r="C57" s="142"/>
      <c r="D57" s="1173"/>
      <c r="E57" s="975"/>
      <c r="F57" s="975"/>
      <c r="G57" s="419"/>
      <c r="H57" s="419"/>
      <c r="I57" s="145"/>
      <c r="J57" s="145"/>
      <c r="K57" s="145"/>
      <c r="L57" s="145"/>
      <c r="M57" s="145"/>
      <c r="N57" s="974"/>
      <c r="O57" s="419"/>
      <c r="P57" s="145"/>
      <c r="Q57" s="145"/>
      <c r="R57" s="145"/>
      <c r="S57" s="145"/>
      <c r="T57" s="145"/>
      <c r="U57" s="145"/>
      <c r="V57" s="145"/>
      <c r="W57" s="145"/>
      <c r="X57" s="145"/>
      <c r="Y57" s="145"/>
      <c r="Z57" s="145"/>
      <c r="AA57" s="974"/>
      <c r="AB57" s="145"/>
      <c r="AC57" s="145"/>
      <c r="AD57" s="145"/>
      <c r="AE57" s="145"/>
      <c r="AF57" s="145"/>
      <c r="AG57" s="145"/>
    </row>
    <row r="58" spans="1:33" s="139" customFormat="1" x14ac:dyDescent="0.2">
      <c r="A58" s="419"/>
      <c r="B58" s="145"/>
      <c r="C58" s="142"/>
      <c r="D58" s="1173"/>
      <c r="E58" s="975"/>
      <c r="F58" s="975"/>
      <c r="G58" s="419"/>
      <c r="H58" s="419"/>
      <c r="I58" s="145"/>
      <c r="J58" s="145"/>
      <c r="K58" s="145"/>
      <c r="L58" s="145"/>
      <c r="M58" s="145"/>
      <c r="N58" s="974"/>
      <c r="O58" s="419"/>
      <c r="P58" s="145"/>
      <c r="Q58" s="145"/>
      <c r="R58" s="145"/>
      <c r="S58" s="145"/>
      <c r="T58" s="145"/>
      <c r="U58" s="145"/>
      <c r="V58" s="145"/>
      <c r="W58" s="145"/>
      <c r="X58" s="145"/>
      <c r="Y58" s="145"/>
      <c r="Z58" s="145"/>
      <c r="AA58" s="974"/>
      <c r="AB58" s="145"/>
      <c r="AC58" s="145"/>
      <c r="AD58" s="145"/>
      <c r="AE58" s="145"/>
      <c r="AF58" s="145"/>
      <c r="AG58" s="145"/>
    </row>
    <row r="59" spans="1:33" s="139" customFormat="1" x14ac:dyDescent="0.2">
      <c r="A59" s="145"/>
      <c r="B59" s="145"/>
      <c r="C59" s="145"/>
      <c r="D59" s="145"/>
      <c r="E59" s="145"/>
      <c r="F59" s="145"/>
      <c r="G59" s="141"/>
      <c r="H59" s="145"/>
      <c r="I59" s="145"/>
      <c r="J59" s="145"/>
      <c r="K59" s="145"/>
      <c r="L59" s="145"/>
      <c r="M59" s="145"/>
      <c r="N59" s="974"/>
      <c r="O59" s="145"/>
      <c r="P59" s="145"/>
      <c r="Q59" s="145"/>
      <c r="R59" s="145"/>
      <c r="S59" s="145"/>
      <c r="T59" s="145"/>
      <c r="U59" s="145"/>
      <c r="V59" s="145"/>
      <c r="W59" s="145"/>
      <c r="X59" s="145"/>
      <c r="Y59" s="145"/>
      <c r="Z59" s="145"/>
      <c r="AA59" s="974"/>
      <c r="AB59" s="145"/>
      <c r="AC59" s="145"/>
      <c r="AD59" s="145"/>
      <c r="AE59" s="145"/>
      <c r="AF59" s="145"/>
      <c r="AG59" s="145"/>
    </row>
    <row r="60" spans="1:33" s="139" customFormat="1" x14ac:dyDescent="0.2">
      <c r="A60" s="145"/>
      <c r="B60" s="145"/>
      <c r="C60" s="145"/>
      <c r="D60" s="145"/>
      <c r="E60" s="145"/>
      <c r="F60" s="145"/>
      <c r="G60" s="141"/>
      <c r="H60" s="145"/>
      <c r="I60" s="145"/>
      <c r="J60" s="145"/>
      <c r="K60" s="145"/>
      <c r="L60" s="145"/>
      <c r="M60" s="145"/>
      <c r="N60" s="974"/>
      <c r="O60" s="145"/>
      <c r="P60" s="145"/>
      <c r="Q60" s="145"/>
      <c r="R60" s="145"/>
      <c r="S60" s="145"/>
      <c r="T60" s="145"/>
      <c r="U60" s="145"/>
      <c r="V60" s="145"/>
      <c r="W60" s="145"/>
      <c r="X60" s="145"/>
      <c r="Y60" s="145"/>
      <c r="Z60" s="145"/>
      <c r="AA60" s="974"/>
      <c r="AB60" s="145"/>
      <c r="AC60" s="145"/>
      <c r="AD60" s="145"/>
      <c r="AE60" s="145"/>
      <c r="AF60" s="145"/>
      <c r="AG60" s="145"/>
    </row>
    <row r="61" spans="1:33" s="139" customFormat="1" x14ac:dyDescent="0.2">
      <c r="A61" s="145"/>
      <c r="B61" s="145"/>
      <c r="C61" s="145"/>
      <c r="D61" s="145"/>
      <c r="E61" s="145"/>
      <c r="F61" s="145"/>
      <c r="G61" s="141"/>
      <c r="H61" s="145"/>
      <c r="I61" s="145"/>
      <c r="J61" s="145"/>
      <c r="K61" s="145"/>
      <c r="L61" s="145"/>
      <c r="M61" s="145"/>
      <c r="N61" s="974"/>
      <c r="O61" s="145"/>
      <c r="P61" s="145"/>
      <c r="Q61" s="145"/>
      <c r="R61" s="145"/>
      <c r="S61" s="145"/>
      <c r="T61" s="145"/>
      <c r="U61" s="145"/>
      <c r="V61" s="145"/>
      <c r="W61" s="145"/>
      <c r="X61" s="145"/>
      <c r="Y61" s="145"/>
      <c r="Z61" s="145"/>
      <c r="AA61" s="974"/>
      <c r="AB61" s="145"/>
      <c r="AC61" s="145"/>
      <c r="AD61" s="145"/>
      <c r="AE61" s="145"/>
      <c r="AF61" s="145"/>
      <c r="AG61" s="145"/>
    </row>
    <row r="62" spans="1:33" s="139" customFormat="1" x14ac:dyDescent="0.2">
      <c r="A62" s="145"/>
      <c r="B62" s="145"/>
      <c r="C62" s="145"/>
      <c r="D62" s="145"/>
      <c r="E62" s="145"/>
      <c r="F62" s="145"/>
      <c r="G62" s="141"/>
      <c r="H62" s="145"/>
      <c r="I62" s="145"/>
      <c r="J62" s="145"/>
      <c r="K62" s="145"/>
      <c r="L62" s="145"/>
      <c r="M62" s="145"/>
      <c r="N62" s="974"/>
      <c r="O62" s="145"/>
      <c r="P62" s="145"/>
      <c r="Q62" s="145"/>
      <c r="R62" s="145"/>
      <c r="S62" s="145"/>
      <c r="T62" s="145"/>
      <c r="U62" s="145"/>
      <c r="V62" s="145"/>
      <c r="W62" s="145"/>
      <c r="X62" s="145"/>
      <c r="Y62" s="145"/>
      <c r="Z62" s="145"/>
      <c r="AA62" s="974"/>
      <c r="AB62" s="145"/>
      <c r="AC62" s="145"/>
      <c r="AD62" s="145"/>
      <c r="AE62" s="145"/>
      <c r="AF62" s="145"/>
      <c r="AG62" s="145"/>
    </row>
    <row r="63" spans="1:33" s="139" customFormat="1" x14ac:dyDescent="0.2">
      <c r="A63" s="145"/>
      <c r="B63" s="145"/>
      <c r="C63" s="145"/>
      <c r="D63" s="145"/>
      <c r="E63" s="145"/>
      <c r="F63" s="145"/>
      <c r="G63" s="141"/>
      <c r="H63" s="145"/>
      <c r="I63" s="145"/>
      <c r="J63" s="145"/>
      <c r="K63" s="145"/>
      <c r="L63" s="145"/>
      <c r="M63" s="145"/>
      <c r="N63" s="974"/>
      <c r="O63" s="145"/>
      <c r="P63" s="145"/>
      <c r="Q63" s="145"/>
      <c r="R63" s="145"/>
      <c r="S63" s="145"/>
      <c r="T63" s="145"/>
      <c r="U63" s="145"/>
      <c r="V63" s="145"/>
      <c r="W63" s="145"/>
      <c r="X63" s="145"/>
      <c r="Y63" s="145"/>
      <c r="Z63" s="145"/>
      <c r="AA63" s="974"/>
      <c r="AB63" s="145"/>
      <c r="AC63" s="145"/>
      <c r="AD63" s="145"/>
      <c r="AE63" s="145"/>
      <c r="AF63" s="145"/>
      <c r="AG63" s="145"/>
    </row>
    <row r="64" spans="1:33" s="139" customFormat="1" x14ac:dyDescent="0.2">
      <c r="A64" s="145"/>
      <c r="B64" s="145"/>
      <c r="C64" s="145"/>
      <c r="D64" s="145"/>
      <c r="E64" s="145"/>
      <c r="F64" s="145"/>
      <c r="G64" s="141"/>
      <c r="H64" s="145"/>
      <c r="I64" s="145"/>
      <c r="J64" s="145"/>
      <c r="K64" s="145"/>
      <c r="L64" s="145"/>
      <c r="M64" s="145"/>
      <c r="N64" s="974"/>
      <c r="O64" s="145"/>
      <c r="P64" s="145"/>
      <c r="Q64" s="145"/>
      <c r="R64" s="145"/>
      <c r="S64" s="145"/>
      <c r="T64" s="145"/>
      <c r="U64" s="145"/>
      <c r="V64" s="145"/>
      <c r="W64" s="145"/>
      <c r="X64" s="145"/>
      <c r="Y64" s="145"/>
      <c r="Z64" s="145"/>
      <c r="AA64" s="974"/>
      <c r="AB64" s="145"/>
      <c r="AC64" s="145"/>
      <c r="AD64" s="145"/>
      <c r="AE64" s="145"/>
      <c r="AF64" s="145"/>
      <c r="AG64" s="145"/>
    </row>
    <row r="65" spans="1:33" s="139" customFormat="1" x14ac:dyDescent="0.2">
      <c r="A65" s="145"/>
      <c r="B65" s="145"/>
      <c r="C65" s="145"/>
      <c r="D65" s="145"/>
      <c r="E65" s="145"/>
      <c r="F65" s="145"/>
      <c r="G65" s="141"/>
      <c r="H65" s="145"/>
      <c r="I65" s="145"/>
      <c r="J65" s="145"/>
      <c r="K65" s="145"/>
      <c r="L65" s="145"/>
      <c r="M65" s="145"/>
      <c r="N65" s="974"/>
      <c r="O65" s="145"/>
      <c r="P65" s="145"/>
      <c r="Q65" s="145"/>
      <c r="R65" s="145"/>
      <c r="S65" s="145"/>
      <c r="T65" s="145"/>
      <c r="U65" s="145"/>
      <c r="V65" s="145"/>
      <c r="W65" s="145"/>
      <c r="X65" s="145"/>
      <c r="Y65" s="145"/>
      <c r="Z65" s="145"/>
      <c r="AA65" s="974"/>
      <c r="AB65" s="145"/>
      <c r="AC65" s="145"/>
      <c r="AD65" s="145"/>
      <c r="AE65" s="145"/>
      <c r="AF65" s="145"/>
      <c r="AG65" s="145"/>
    </row>
    <row r="66" spans="1:33" s="139" customFormat="1" x14ac:dyDescent="0.2">
      <c r="A66" s="145"/>
      <c r="B66" s="145"/>
      <c r="C66" s="145"/>
      <c r="D66" s="145"/>
      <c r="E66" s="145"/>
      <c r="F66" s="145"/>
      <c r="G66" s="141"/>
      <c r="H66" s="145"/>
      <c r="I66" s="145"/>
      <c r="J66" s="145"/>
      <c r="K66" s="145"/>
      <c r="L66" s="145"/>
      <c r="M66" s="145"/>
      <c r="N66" s="974"/>
      <c r="O66" s="145"/>
      <c r="P66" s="145"/>
      <c r="Q66" s="145"/>
      <c r="R66" s="145"/>
      <c r="S66" s="145"/>
      <c r="T66" s="145"/>
      <c r="U66" s="145"/>
      <c r="V66" s="145"/>
      <c r="W66" s="145"/>
      <c r="X66" s="145"/>
      <c r="Y66" s="145"/>
      <c r="Z66" s="145"/>
      <c r="AA66" s="974"/>
      <c r="AB66" s="145"/>
      <c r="AC66" s="145"/>
      <c r="AD66" s="145"/>
      <c r="AE66" s="145"/>
      <c r="AF66" s="145"/>
      <c r="AG66" s="145"/>
    </row>
    <row r="67" spans="1:33" s="139" customFormat="1" x14ac:dyDescent="0.2">
      <c r="A67" s="145"/>
      <c r="B67" s="145"/>
      <c r="C67" s="145"/>
      <c r="D67" s="145"/>
      <c r="E67" s="145"/>
      <c r="F67" s="145"/>
      <c r="G67" s="141"/>
      <c r="H67" s="145"/>
      <c r="I67" s="145"/>
      <c r="J67" s="145"/>
      <c r="K67" s="145"/>
      <c r="L67" s="145"/>
      <c r="M67" s="145"/>
      <c r="N67" s="974"/>
      <c r="O67" s="145"/>
      <c r="P67" s="145"/>
      <c r="Q67" s="145"/>
      <c r="R67" s="145"/>
      <c r="S67" s="145"/>
      <c r="T67" s="145"/>
      <c r="U67" s="145"/>
      <c r="V67" s="145"/>
      <c r="W67" s="145"/>
      <c r="X67" s="145"/>
      <c r="Y67" s="145"/>
      <c r="Z67" s="145"/>
      <c r="AA67" s="974"/>
      <c r="AB67" s="145"/>
      <c r="AC67" s="145"/>
      <c r="AD67" s="145"/>
      <c r="AE67" s="145"/>
      <c r="AF67" s="145"/>
      <c r="AG67" s="145"/>
    </row>
    <row r="68" spans="1:33" s="139" customFormat="1" x14ac:dyDescent="0.2">
      <c r="A68" s="145"/>
      <c r="B68" s="145"/>
      <c r="C68" s="145"/>
      <c r="D68" s="145"/>
      <c r="E68" s="145"/>
      <c r="F68" s="145"/>
      <c r="G68" s="141"/>
      <c r="H68" s="145"/>
      <c r="I68" s="145"/>
      <c r="J68" s="145"/>
      <c r="K68" s="145"/>
      <c r="L68" s="145"/>
      <c r="M68" s="145"/>
      <c r="N68" s="974"/>
      <c r="O68" s="145"/>
      <c r="P68" s="145"/>
      <c r="Q68" s="145"/>
      <c r="R68" s="145"/>
      <c r="S68" s="145"/>
      <c r="T68" s="145"/>
      <c r="U68" s="145"/>
      <c r="V68" s="145"/>
      <c r="W68" s="145"/>
      <c r="X68" s="145"/>
      <c r="Y68" s="145"/>
      <c r="Z68" s="145"/>
      <c r="AA68" s="974"/>
      <c r="AB68" s="145"/>
      <c r="AC68" s="145"/>
      <c r="AD68" s="145"/>
      <c r="AE68" s="145"/>
      <c r="AF68" s="145"/>
      <c r="AG68" s="145"/>
    </row>
    <row r="69" spans="1:33" x14ac:dyDescent="0.2">
      <c r="A69" s="977"/>
      <c r="B69" s="977"/>
      <c r="C69" s="977"/>
      <c r="D69" s="977"/>
      <c r="E69" s="977"/>
      <c r="F69" s="977"/>
      <c r="G69" s="977"/>
      <c r="H69" s="977"/>
      <c r="I69" s="145"/>
      <c r="J69" s="145"/>
      <c r="K69" s="977"/>
      <c r="L69" s="977"/>
      <c r="M69" s="977"/>
      <c r="N69" s="977"/>
      <c r="O69" s="977"/>
      <c r="P69" s="977"/>
      <c r="Q69" s="977"/>
      <c r="R69" s="977"/>
      <c r="S69" s="977"/>
      <c r="T69" s="977"/>
      <c r="U69" s="977"/>
      <c r="V69" s="977"/>
      <c r="W69" s="977"/>
      <c r="X69" s="978"/>
      <c r="Y69" s="977"/>
      <c r="Z69" s="977"/>
      <c r="AA69" s="978"/>
      <c r="AB69" s="977"/>
      <c r="AC69" s="977"/>
      <c r="AD69" s="977"/>
      <c r="AE69" s="977"/>
      <c r="AF69" s="977"/>
      <c r="AG69" s="977"/>
    </row>
    <row r="70" spans="1:33" x14ac:dyDescent="0.2">
      <c r="A70" s="977"/>
      <c r="B70" s="977"/>
      <c r="C70" s="977"/>
      <c r="D70" s="977"/>
      <c r="E70" s="977"/>
      <c r="F70" s="977"/>
      <c r="G70" s="977"/>
      <c r="H70" s="977"/>
      <c r="I70" s="145"/>
      <c r="J70" s="145"/>
      <c r="K70" s="977"/>
      <c r="L70" s="977"/>
      <c r="M70" s="977"/>
      <c r="N70" s="977"/>
      <c r="O70" s="977"/>
      <c r="P70" s="977"/>
      <c r="Q70" s="977"/>
      <c r="R70" s="977"/>
      <c r="S70" s="977"/>
      <c r="T70" s="977"/>
      <c r="U70" s="977"/>
      <c r="V70" s="977"/>
      <c r="W70" s="977"/>
      <c r="X70" s="978"/>
      <c r="Y70" s="977"/>
      <c r="Z70" s="977"/>
      <c r="AA70" s="978"/>
      <c r="AB70" s="977"/>
      <c r="AC70" s="977"/>
      <c r="AD70" s="977"/>
      <c r="AE70" s="977"/>
      <c r="AF70" s="977"/>
      <c r="AG70" s="977"/>
    </row>
    <row r="71" spans="1:33" x14ac:dyDescent="0.2">
      <c r="A71" s="977"/>
      <c r="B71" s="977"/>
      <c r="C71" s="977"/>
      <c r="D71" s="977"/>
      <c r="E71" s="977"/>
      <c r="F71" s="977"/>
      <c r="G71" s="977"/>
      <c r="H71" s="977"/>
      <c r="I71" s="145"/>
      <c r="J71" s="145"/>
      <c r="K71" s="977"/>
      <c r="L71" s="977"/>
      <c r="M71" s="977"/>
      <c r="N71" s="977"/>
      <c r="O71" s="977"/>
      <c r="P71" s="977"/>
      <c r="Q71" s="977"/>
      <c r="R71" s="977"/>
      <c r="S71" s="977"/>
      <c r="T71" s="977"/>
      <c r="U71" s="977"/>
      <c r="V71" s="977"/>
      <c r="W71" s="977"/>
      <c r="X71" s="978"/>
      <c r="Y71" s="977"/>
      <c r="Z71" s="977"/>
      <c r="AA71" s="978"/>
      <c r="AB71" s="977"/>
      <c r="AC71" s="977"/>
      <c r="AD71" s="977"/>
      <c r="AE71" s="977"/>
      <c r="AF71" s="977"/>
      <c r="AG71" s="977"/>
    </row>
    <row r="72" spans="1:33" x14ac:dyDescent="0.2">
      <c r="A72" s="977"/>
      <c r="B72" s="977"/>
      <c r="C72" s="977"/>
      <c r="D72" s="977"/>
      <c r="E72" s="977"/>
      <c r="F72" s="977"/>
      <c r="G72" s="977"/>
      <c r="H72" s="977"/>
      <c r="I72" s="145"/>
      <c r="J72" s="145"/>
      <c r="K72" s="977"/>
      <c r="L72" s="977"/>
      <c r="M72" s="977"/>
      <c r="N72" s="977"/>
      <c r="O72" s="977"/>
      <c r="P72" s="977"/>
      <c r="Q72" s="977"/>
      <c r="R72" s="977"/>
      <c r="S72" s="977"/>
      <c r="T72" s="977"/>
      <c r="U72" s="977"/>
      <c r="V72" s="977"/>
      <c r="W72" s="977"/>
      <c r="X72" s="978"/>
      <c r="Y72" s="977"/>
      <c r="Z72" s="977"/>
      <c r="AA72" s="978"/>
      <c r="AB72" s="977"/>
      <c r="AC72" s="977"/>
      <c r="AD72" s="977"/>
      <c r="AE72" s="977"/>
      <c r="AF72" s="977"/>
      <c r="AG72" s="977"/>
    </row>
    <row r="73" spans="1:33" x14ac:dyDescent="0.2">
      <c r="A73" s="977"/>
      <c r="B73" s="977"/>
      <c r="C73" s="977"/>
      <c r="D73" s="977"/>
      <c r="E73" s="977"/>
      <c r="F73" s="977"/>
      <c r="G73" s="977"/>
      <c r="H73" s="977"/>
      <c r="I73" s="145"/>
      <c r="J73" s="145"/>
      <c r="K73" s="977"/>
      <c r="L73" s="977"/>
      <c r="M73" s="977"/>
      <c r="N73" s="977"/>
      <c r="O73" s="977"/>
      <c r="P73" s="977"/>
      <c r="Q73" s="977"/>
      <c r="R73" s="977"/>
      <c r="S73" s="977"/>
      <c r="T73" s="977"/>
      <c r="U73" s="977"/>
      <c r="V73" s="977"/>
      <c r="W73" s="977"/>
      <c r="X73" s="978"/>
      <c r="Y73" s="977"/>
      <c r="Z73" s="977"/>
      <c r="AA73" s="978"/>
      <c r="AB73" s="977"/>
      <c r="AC73" s="977"/>
      <c r="AD73" s="977"/>
      <c r="AE73" s="977"/>
      <c r="AF73" s="977"/>
      <c r="AG73" s="977"/>
    </row>
    <row r="74" spans="1:33" x14ac:dyDescent="0.2">
      <c r="A74" s="977"/>
      <c r="B74" s="977"/>
      <c r="C74" s="977"/>
      <c r="D74" s="977"/>
      <c r="E74" s="977"/>
      <c r="F74" s="977"/>
      <c r="G74" s="977"/>
      <c r="H74" s="977"/>
      <c r="I74" s="145"/>
      <c r="J74" s="145"/>
      <c r="K74" s="977"/>
      <c r="L74" s="977"/>
      <c r="M74" s="977"/>
      <c r="N74" s="977"/>
      <c r="O74" s="977"/>
      <c r="P74" s="977"/>
      <c r="Q74" s="977"/>
      <c r="R74" s="977"/>
      <c r="S74" s="977"/>
      <c r="T74" s="977"/>
      <c r="U74" s="977"/>
      <c r="V74" s="977"/>
      <c r="W74" s="977"/>
      <c r="X74" s="978"/>
      <c r="Y74" s="977"/>
      <c r="Z74" s="977"/>
      <c r="AA74" s="978"/>
      <c r="AB74" s="977"/>
      <c r="AC74" s="977"/>
      <c r="AD74" s="977"/>
      <c r="AE74" s="977"/>
      <c r="AF74" s="977"/>
      <c r="AG74" s="977"/>
    </row>
    <row r="75" spans="1:33" x14ac:dyDescent="0.2">
      <c r="A75" s="977"/>
      <c r="B75" s="977"/>
      <c r="C75" s="977"/>
      <c r="D75" s="977"/>
      <c r="E75" s="977"/>
      <c r="F75" s="977"/>
      <c r="G75" s="977"/>
      <c r="H75" s="977"/>
      <c r="I75" s="145"/>
      <c r="J75" s="145"/>
      <c r="K75" s="977"/>
      <c r="L75" s="977"/>
      <c r="M75" s="977"/>
      <c r="N75" s="977"/>
      <c r="O75" s="977"/>
      <c r="P75" s="977"/>
      <c r="Q75" s="977"/>
      <c r="R75" s="977"/>
      <c r="S75" s="977"/>
      <c r="T75" s="977"/>
      <c r="U75" s="977"/>
      <c r="V75" s="977"/>
      <c r="W75" s="977"/>
      <c r="X75" s="978"/>
      <c r="Y75" s="977"/>
      <c r="Z75" s="977"/>
      <c r="AA75" s="978"/>
      <c r="AB75" s="977"/>
      <c r="AC75" s="977"/>
      <c r="AD75" s="977"/>
      <c r="AE75" s="977"/>
      <c r="AF75" s="977"/>
      <c r="AG75" s="977"/>
    </row>
    <row r="76" spans="1:33" x14ac:dyDescent="0.2">
      <c r="A76" s="977"/>
      <c r="B76" s="977"/>
      <c r="C76" s="977"/>
      <c r="D76" s="977"/>
      <c r="E76" s="977"/>
      <c r="F76" s="977"/>
      <c r="G76" s="977"/>
      <c r="H76" s="977"/>
      <c r="I76" s="145"/>
      <c r="J76" s="145"/>
      <c r="K76" s="977"/>
      <c r="L76" s="977"/>
      <c r="M76" s="977"/>
      <c r="N76" s="977"/>
      <c r="O76" s="977"/>
      <c r="P76" s="977"/>
      <c r="Q76" s="977"/>
      <c r="R76" s="977"/>
      <c r="S76" s="977"/>
      <c r="T76" s="977"/>
      <c r="U76" s="977"/>
      <c r="V76" s="977"/>
      <c r="W76" s="977"/>
      <c r="X76" s="978"/>
      <c r="Y76" s="977"/>
      <c r="Z76" s="977"/>
      <c r="AA76" s="978"/>
      <c r="AB76" s="977"/>
      <c r="AC76" s="977"/>
      <c r="AD76" s="977"/>
      <c r="AE76" s="977"/>
      <c r="AF76" s="977"/>
      <c r="AG76" s="977"/>
    </row>
    <row r="77" spans="1:33" x14ac:dyDescent="0.2">
      <c r="A77" s="977"/>
      <c r="B77" s="977"/>
      <c r="C77" s="977"/>
      <c r="D77" s="977"/>
      <c r="E77" s="977"/>
      <c r="F77" s="977"/>
      <c r="G77" s="977"/>
      <c r="H77" s="977"/>
      <c r="I77" s="145"/>
      <c r="J77" s="145"/>
      <c r="K77" s="977"/>
      <c r="L77" s="977"/>
      <c r="M77" s="977"/>
      <c r="N77" s="977"/>
      <c r="O77" s="977"/>
      <c r="P77" s="977"/>
      <c r="Q77" s="977"/>
      <c r="R77" s="977"/>
      <c r="S77" s="977"/>
      <c r="T77" s="977"/>
      <c r="U77" s="977"/>
      <c r="V77" s="977"/>
      <c r="W77" s="977"/>
      <c r="X77" s="978"/>
      <c r="Y77" s="977"/>
      <c r="Z77" s="977"/>
      <c r="AA77" s="978"/>
      <c r="AB77" s="977"/>
      <c r="AC77" s="977"/>
      <c r="AD77" s="977"/>
      <c r="AE77" s="977"/>
      <c r="AF77" s="977"/>
      <c r="AG77" s="977"/>
    </row>
    <row r="78" spans="1:33" x14ac:dyDescent="0.2">
      <c r="A78" s="977"/>
      <c r="B78" s="977"/>
      <c r="C78" s="977"/>
      <c r="D78" s="977"/>
      <c r="E78" s="977"/>
      <c r="F78" s="977"/>
      <c r="G78" s="977"/>
      <c r="H78" s="977"/>
      <c r="I78" s="145"/>
      <c r="J78" s="145"/>
      <c r="K78" s="977"/>
      <c r="L78" s="977"/>
      <c r="M78" s="977"/>
      <c r="N78" s="977"/>
      <c r="O78" s="977"/>
      <c r="P78" s="977"/>
      <c r="Q78" s="977"/>
      <c r="R78" s="977"/>
      <c r="S78" s="977"/>
      <c r="T78" s="977"/>
      <c r="U78" s="977"/>
      <c r="V78" s="977"/>
      <c r="W78" s="977"/>
      <c r="X78" s="978"/>
      <c r="Y78" s="977"/>
      <c r="Z78" s="977"/>
      <c r="AA78" s="978"/>
      <c r="AB78" s="977"/>
      <c r="AC78" s="977"/>
      <c r="AD78" s="977"/>
      <c r="AE78" s="977"/>
      <c r="AF78" s="977"/>
      <c r="AG78" s="977"/>
    </row>
    <row r="79" spans="1:33" x14ac:dyDescent="0.2">
      <c r="A79" s="977"/>
      <c r="B79" s="977"/>
      <c r="C79" s="977"/>
      <c r="D79" s="977"/>
      <c r="E79" s="977"/>
      <c r="F79" s="977"/>
      <c r="G79" s="977"/>
      <c r="H79" s="977"/>
      <c r="I79" s="145"/>
      <c r="J79" s="145"/>
      <c r="K79" s="977"/>
      <c r="L79" s="977"/>
      <c r="M79" s="977"/>
      <c r="N79" s="977"/>
      <c r="O79" s="977"/>
      <c r="P79" s="977"/>
      <c r="Q79" s="977"/>
      <c r="R79" s="977"/>
      <c r="S79" s="977"/>
      <c r="T79" s="977"/>
      <c r="U79" s="977"/>
      <c r="V79" s="977"/>
      <c r="W79" s="977"/>
      <c r="X79" s="978"/>
      <c r="Y79" s="977"/>
      <c r="Z79" s="977"/>
      <c r="AA79" s="978"/>
      <c r="AB79" s="977"/>
      <c r="AC79" s="977"/>
      <c r="AD79" s="977"/>
      <c r="AE79" s="977"/>
      <c r="AF79" s="977"/>
      <c r="AG79" s="977"/>
    </row>
    <row r="80" spans="1:33" x14ac:dyDescent="0.2">
      <c r="A80" s="977"/>
      <c r="B80" s="977"/>
      <c r="C80" s="977"/>
      <c r="D80" s="977"/>
      <c r="E80" s="977"/>
      <c r="F80" s="977"/>
      <c r="G80" s="977"/>
      <c r="H80" s="977"/>
      <c r="I80" s="145"/>
      <c r="J80" s="145"/>
      <c r="K80" s="977"/>
      <c r="L80" s="977"/>
      <c r="M80" s="977"/>
      <c r="N80" s="977"/>
      <c r="O80" s="977"/>
      <c r="P80" s="977"/>
      <c r="Q80" s="977"/>
      <c r="R80" s="977"/>
      <c r="S80" s="977"/>
      <c r="T80" s="977"/>
      <c r="U80" s="977"/>
      <c r="V80" s="977"/>
      <c r="W80" s="977"/>
      <c r="X80" s="978"/>
      <c r="Y80" s="977"/>
      <c r="Z80" s="977"/>
      <c r="AA80" s="978"/>
      <c r="AB80" s="977"/>
      <c r="AC80" s="977"/>
      <c r="AD80" s="977"/>
      <c r="AE80" s="977"/>
      <c r="AF80" s="977"/>
      <c r="AG80" s="977"/>
    </row>
    <row r="81" spans="1:33" x14ac:dyDescent="0.2">
      <c r="A81" s="977"/>
      <c r="B81" s="977"/>
      <c r="C81" s="977"/>
      <c r="D81" s="977"/>
      <c r="E81" s="977"/>
      <c r="F81" s="977"/>
      <c r="G81" s="977"/>
      <c r="H81" s="977"/>
      <c r="I81" s="145"/>
      <c r="J81" s="145"/>
      <c r="K81" s="977"/>
      <c r="L81" s="977"/>
      <c r="M81" s="977"/>
      <c r="N81" s="977"/>
      <c r="O81" s="977"/>
      <c r="P81" s="977"/>
      <c r="Q81" s="977"/>
      <c r="R81" s="977"/>
      <c r="S81" s="977"/>
      <c r="T81" s="977"/>
      <c r="U81" s="977"/>
      <c r="V81" s="977"/>
      <c r="W81" s="977"/>
      <c r="X81" s="978"/>
      <c r="Y81" s="977"/>
      <c r="Z81" s="977"/>
      <c r="AA81" s="978"/>
      <c r="AB81" s="977"/>
      <c r="AC81" s="977"/>
      <c r="AD81" s="977"/>
      <c r="AE81" s="977"/>
      <c r="AF81" s="977"/>
      <c r="AG81" s="977"/>
    </row>
    <row r="82" spans="1:33" x14ac:dyDescent="0.2">
      <c r="A82" s="977"/>
      <c r="B82" s="977"/>
      <c r="C82" s="977"/>
      <c r="D82" s="977"/>
      <c r="E82" s="977"/>
      <c r="F82" s="977"/>
      <c r="G82" s="977"/>
      <c r="H82" s="977"/>
      <c r="I82" s="145"/>
      <c r="J82" s="145"/>
      <c r="K82" s="977"/>
      <c r="L82" s="977"/>
      <c r="M82" s="977"/>
      <c r="N82" s="977"/>
      <c r="O82" s="977"/>
      <c r="P82" s="977"/>
      <c r="Q82" s="977"/>
      <c r="R82" s="977"/>
      <c r="S82" s="977"/>
      <c r="T82" s="977"/>
      <c r="U82" s="977"/>
      <c r="V82" s="977"/>
      <c r="W82" s="977"/>
      <c r="X82" s="978"/>
      <c r="Y82" s="977"/>
      <c r="Z82" s="977"/>
      <c r="AA82" s="978"/>
      <c r="AB82" s="977"/>
      <c r="AC82" s="977"/>
      <c r="AD82" s="977"/>
      <c r="AE82" s="977"/>
      <c r="AF82" s="977"/>
      <c r="AG82" s="977"/>
    </row>
    <row r="83" spans="1:33" x14ac:dyDescent="0.2">
      <c r="A83" s="977"/>
      <c r="B83" s="977"/>
      <c r="C83" s="977"/>
      <c r="D83" s="977"/>
      <c r="E83" s="977"/>
      <c r="F83" s="977"/>
      <c r="G83" s="977"/>
      <c r="H83" s="977"/>
      <c r="I83" s="145"/>
      <c r="J83" s="145"/>
      <c r="K83" s="977"/>
      <c r="L83" s="977"/>
      <c r="M83" s="977"/>
      <c r="N83" s="977"/>
      <c r="O83" s="977"/>
      <c r="P83" s="977"/>
      <c r="Q83" s="977"/>
      <c r="R83" s="977"/>
      <c r="S83" s="977"/>
      <c r="T83" s="977"/>
      <c r="U83" s="977"/>
      <c r="V83" s="977"/>
      <c r="W83" s="977"/>
      <c r="X83" s="978"/>
      <c r="Y83" s="977"/>
      <c r="Z83" s="977"/>
      <c r="AA83" s="978"/>
      <c r="AB83" s="977"/>
      <c r="AC83" s="977"/>
      <c r="AD83" s="977"/>
      <c r="AE83" s="977"/>
      <c r="AF83" s="977"/>
      <c r="AG83" s="977"/>
    </row>
    <row r="84" spans="1:33" x14ac:dyDescent="0.2">
      <c r="A84" s="977"/>
      <c r="B84" s="977"/>
      <c r="C84" s="977"/>
      <c r="D84" s="977"/>
      <c r="E84" s="977"/>
      <c r="F84" s="977"/>
      <c r="G84" s="977"/>
      <c r="H84" s="977"/>
      <c r="I84" s="145"/>
      <c r="J84" s="145"/>
      <c r="K84" s="977"/>
      <c r="L84" s="977"/>
      <c r="M84" s="977"/>
      <c r="N84" s="977"/>
      <c r="O84" s="977"/>
      <c r="P84" s="977"/>
      <c r="Q84" s="977"/>
      <c r="R84" s="977"/>
      <c r="S84" s="977"/>
      <c r="T84" s="977"/>
      <c r="U84" s="977"/>
      <c r="V84" s="977"/>
      <c r="W84" s="977"/>
      <c r="X84" s="978"/>
      <c r="Y84" s="977"/>
      <c r="Z84" s="977"/>
      <c r="AA84" s="978"/>
      <c r="AB84" s="977"/>
      <c r="AC84" s="977"/>
      <c r="AD84" s="977"/>
      <c r="AE84" s="977"/>
      <c r="AF84" s="977"/>
      <c r="AG84" s="977"/>
    </row>
    <row r="85" spans="1:33" x14ac:dyDescent="0.2">
      <c r="A85" s="977"/>
      <c r="B85" s="977"/>
      <c r="C85" s="977"/>
      <c r="D85" s="977"/>
      <c r="E85" s="977"/>
      <c r="F85" s="977"/>
      <c r="G85" s="977"/>
      <c r="H85" s="977"/>
      <c r="I85" s="145"/>
      <c r="J85" s="145"/>
      <c r="K85" s="977"/>
      <c r="L85" s="977"/>
      <c r="M85" s="977"/>
      <c r="N85" s="977"/>
      <c r="O85" s="977"/>
      <c r="P85" s="977"/>
      <c r="Q85" s="977"/>
      <c r="R85" s="977"/>
      <c r="S85" s="977"/>
      <c r="T85" s="977"/>
      <c r="U85" s="977"/>
      <c r="V85" s="977"/>
      <c r="W85" s="977"/>
      <c r="X85" s="978"/>
      <c r="Y85" s="977"/>
      <c r="Z85" s="977"/>
      <c r="AA85" s="978"/>
      <c r="AB85" s="977"/>
      <c r="AC85" s="977"/>
      <c r="AD85" s="977"/>
      <c r="AE85" s="977"/>
      <c r="AF85" s="977"/>
      <c r="AG85" s="977"/>
    </row>
    <row r="86" spans="1:33" x14ac:dyDescent="0.2">
      <c r="A86" s="977"/>
      <c r="B86" s="977"/>
      <c r="C86" s="977"/>
      <c r="D86" s="977"/>
      <c r="E86" s="977"/>
      <c r="F86" s="977"/>
      <c r="G86" s="977"/>
      <c r="H86" s="977"/>
      <c r="I86" s="145"/>
      <c r="J86" s="145"/>
      <c r="K86" s="977"/>
      <c r="L86" s="977"/>
      <c r="M86" s="977"/>
      <c r="N86" s="977"/>
      <c r="O86" s="977"/>
      <c r="P86" s="977"/>
      <c r="Q86" s="977"/>
      <c r="R86" s="977"/>
      <c r="S86" s="977"/>
      <c r="T86" s="977"/>
      <c r="U86" s="977"/>
      <c r="V86" s="977"/>
      <c r="W86" s="977"/>
      <c r="X86" s="978"/>
      <c r="Y86" s="977"/>
      <c r="Z86" s="977"/>
      <c r="AA86" s="978"/>
      <c r="AB86" s="977"/>
      <c r="AC86" s="977"/>
      <c r="AD86" s="977"/>
      <c r="AE86" s="977"/>
      <c r="AF86" s="977"/>
      <c r="AG86" s="977"/>
    </row>
    <row r="87" spans="1:33" x14ac:dyDescent="0.2">
      <c r="A87" s="977"/>
      <c r="B87" s="977"/>
      <c r="C87" s="977"/>
      <c r="D87" s="977"/>
      <c r="E87" s="977"/>
      <c r="F87" s="977"/>
      <c r="G87" s="977"/>
      <c r="H87" s="977"/>
      <c r="I87" s="145"/>
      <c r="J87" s="145"/>
      <c r="K87" s="977"/>
      <c r="L87" s="977"/>
      <c r="M87" s="977"/>
      <c r="N87" s="977"/>
      <c r="O87" s="977"/>
      <c r="P87" s="977"/>
      <c r="Q87" s="977"/>
      <c r="R87" s="977"/>
      <c r="S87" s="977"/>
      <c r="T87" s="977"/>
      <c r="U87" s="977"/>
      <c r="V87" s="977"/>
      <c r="W87" s="977"/>
      <c r="X87" s="978"/>
      <c r="Y87" s="977"/>
      <c r="Z87" s="977"/>
      <c r="AA87" s="978"/>
      <c r="AB87" s="977"/>
      <c r="AC87" s="977"/>
      <c r="AD87" s="977"/>
      <c r="AE87" s="977"/>
      <c r="AF87" s="977"/>
      <c r="AG87" s="977"/>
    </row>
    <row r="88" spans="1:33" x14ac:dyDescent="0.2">
      <c r="A88" s="977"/>
      <c r="B88" s="977"/>
      <c r="C88" s="977"/>
      <c r="D88" s="977"/>
      <c r="E88" s="977"/>
      <c r="F88" s="977"/>
      <c r="G88" s="977"/>
      <c r="H88" s="977"/>
      <c r="I88" s="145"/>
      <c r="J88" s="145"/>
      <c r="K88" s="977"/>
      <c r="L88" s="977"/>
      <c r="M88" s="977"/>
      <c r="N88" s="977"/>
      <c r="O88" s="977"/>
      <c r="P88" s="977"/>
      <c r="Q88" s="977"/>
      <c r="R88" s="977"/>
      <c r="S88" s="977"/>
      <c r="T88" s="977"/>
      <c r="U88" s="977"/>
      <c r="V88" s="977"/>
      <c r="W88" s="977"/>
      <c r="X88" s="978"/>
      <c r="Y88" s="977"/>
      <c r="Z88" s="977"/>
      <c r="AA88" s="978"/>
      <c r="AB88" s="977"/>
      <c r="AC88" s="977"/>
      <c r="AD88" s="977"/>
      <c r="AE88" s="977"/>
      <c r="AF88" s="977"/>
      <c r="AG88" s="977"/>
    </row>
    <row r="89" spans="1:33" x14ac:dyDescent="0.2">
      <c r="A89" s="977"/>
      <c r="B89" s="977"/>
      <c r="C89" s="977"/>
      <c r="D89" s="977"/>
      <c r="E89" s="977"/>
      <c r="F89" s="977"/>
      <c r="G89" s="977"/>
      <c r="H89" s="977"/>
      <c r="I89" s="145"/>
      <c r="J89" s="145"/>
      <c r="K89" s="977"/>
      <c r="L89" s="977"/>
      <c r="M89" s="977"/>
      <c r="N89" s="977"/>
      <c r="O89" s="977"/>
      <c r="P89" s="977"/>
      <c r="Q89" s="977"/>
      <c r="R89" s="977"/>
      <c r="S89" s="977"/>
      <c r="T89" s="977"/>
      <c r="U89" s="977"/>
      <c r="V89" s="977"/>
      <c r="W89" s="977"/>
      <c r="X89" s="978"/>
      <c r="Y89" s="977"/>
      <c r="Z89" s="977"/>
      <c r="AA89" s="978"/>
      <c r="AB89" s="977"/>
      <c r="AC89" s="977"/>
      <c r="AD89" s="977"/>
      <c r="AE89" s="977"/>
      <c r="AF89" s="977"/>
      <c r="AG89" s="977"/>
    </row>
    <row r="90" spans="1:33" x14ac:dyDescent="0.2">
      <c r="A90" s="977"/>
      <c r="B90" s="977"/>
      <c r="C90" s="977"/>
      <c r="D90" s="977"/>
      <c r="E90" s="977"/>
      <c r="F90" s="977"/>
      <c r="G90" s="977"/>
      <c r="H90" s="977"/>
      <c r="I90" s="145"/>
      <c r="J90" s="145"/>
      <c r="K90" s="977"/>
      <c r="L90" s="977"/>
      <c r="M90" s="977"/>
      <c r="N90" s="977"/>
      <c r="O90" s="977"/>
      <c r="P90" s="977"/>
      <c r="Q90" s="977"/>
      <c r="R90" s="977"/>
      <c r="S90" s="977"/>
      <c r="T90" s="977"/>
      <c r="U90" s="977"/>
      <c r="V90" s="977"/>
      <c r="W90" s="977"/>
      <c r="X90" s="978"/>
      <c r="Y90" s="977"/>
      <c r="Z90" s="977"/>
      <c r="AA90" s="978"/>
      <c r="AB90" s="977"/>
      <c r="AC90" s="977"/>
      <c r="AD90" s="977"/>
      <c r="AE90" s="977"/>
      <c r="AF90" s="977"/>
      <c r="AG90" s="977"/>
    </row>
    <row r="91" spans="1:33" x14ac:dyDescent="0.2">
      <c r="A91" s="977"/>
      <c r="B91" s="977"/>
      <c r="C91" s="977"/>
      <c r="D91" s="977"/>
      <c r="E91" s="977"/>
      <c r="F91" s="977"/>
      <c r="G91" s="977"/>
      <c r="H91" s="977"/>
      <c r="I91" s="145"/>
      <c r="J91" s="145"/>
      <c r="K91" s="977"/>
      <c r="L91" s="977"/>
      <c r="M91" s="977"/>
      <c r="N91" s="977"/>
      <c r="O91" s="977"/>
      <c r="P91" s="977"/>
      <c r="Q91" s="977"/>
      <c r="R91" s="977"/>
      <c r="S91" s="977"/>
      <c r="T91" s="977"/>
      <c r="U91" s="977"/>
      <c r="V91" s="977"/>
      <c r="W91" s="977"/>
      <c r="X91" s="978"/>
      <c r="Y91" s="977"/>
      <c r="Z91" s="977"/>
      <c r="AA91" s="978"/>
      <c r="AB91" s="977"/>
      <c r="AC91" s="977"/>
      <c r="AD91" s="977"/>
      <c r="AE91" s="977"/>
      <c r="AF91" s="977"/>
      <c r="AG91" s="977"/>
    </row>
    <row r="92" spans="1:33" x14ac:dyDescent="0.2">
      <c r="A92" s="977"/>
      <c r="B92" s="977"/>
      <c r="C92" s="977"/>
      <c r="D92" s="977"/>
      <c r="E92" s="977"/>
      <c r="F92" s="977"/>
      <c r="G92" s="977"/>
      <c r="H92" s="977"/>
      <c r="I92" s="145"/>
      <c r="J92" s="145"/>
      <c r="K92" s="977"/>
      <c r="L92" s="977"/>
      <c r="M92" s="977"/>
      <c r="N92" s="977"/>
      <c r="O92" s="977"/>
      <c r="P92" s="977"/>
      <c r="Q92" s="977"/>
      <c r="R92" s="977"/>
      <c r="S92" s="977"/>
      <c r="T92" s="977"/>
      <c r="U92" s="977"/>
      <c r="V92" s="977"/>
      <c r="W92" s="977"/>
      <c r="X92" s="978"/>
      <c r="Y92" s="977"/>
      <c r="Z92" s="977"/>
      <c r="AA92" s="978"/>
      <c r="AB92" s="977"/>
      <c r="AC92" s="977"/>
      <c r="AD92" s="977"/>
      <c r="AE92" s="977"/>
      <c r="AF92" s="977"/>
      <c r="AG92" s="977"/>
    </row>
    <row r="93" spans="1:33" x14ac:dyDescent="0.2">
      <c r="A93" s="977"/>
      <c r="B93" s="977"/>
      <c r="C93" s="977"/>
      <c r="D93" s="977"/>
      <c r="E93" s="977"/>
      <c r="F93" s="977"/>
      <c r="G93" s="977"/>
      <c r="H93" s="977"/>
      <c r="I93" s="145"/>
      <c r="J93" s="145"/>
      <c r="K93" s="977"/>
      <c r="L93" s="977"/>
      <c r="M93" s="977"/>
      <c r="N93" s="977"/>
      <c r="O93" s="977"/>
      <c r="P93" s="977"/>
      <c r="Q93" s="977"/>
      <c r="R93" s="977"/>
      <c r="S93" s="977"/>
      <c r="T93" s="977"/>
      <c r="U93" s="977"/>
      <c r="V93" s="977"/>
      <c r="W93" s="977"/>
      <c r="X93" s="978"/>
      <c r="Y93" s="977"/>
      <c r="Z93" s="977"/>
      <c r="AA93" s="978"/>
      <c r="AB93" s="977"/>
      <c r="AC93" s="977"/>
      <c r="AD93" s="977"/>
      <c r="AE93" s="977"/>
      <c r="AF93" s="977"/>
      <c r="AG93" s="977"/>
    </row>
    <row r="94" spans="1:33" x14ac:dyDescent="0.2">
      <c r="A94" s="977"/>
      <c r="B94" s="977"/>
      <c r="C94" s="977"/>
      <c r="D94" s="977"/>
      <c r="E94" s="977"/>
      <c r="F94" s="977"/>
      <c r="G94" s="977"/>
      <c r="H94" s="977"/>
      <c r="I94" s="145"/>
      <c r="J94" s="145"/>
      <c r="K94" s="977"/>
      <c r="L94" s="977"/>
      <c r="M94" s="977"/>
      <c r="N94" s="977"/>
      <c r="O94" s="977"/>
      <c r="P94" s="977"/>
      <c r="Q94" s="977"/>
      <c r="R94" s="977"/>
      <c r="S94" s="977"/>
      <c r="T94" s="977"/>
      <c r="U94" s="977"/>
      <c r="V94" s="977"/>
      <c r="W94" s="977"/>
      <c r="X94" s="978"/>
      <c r="Y94" s="977"/>
      <c r="Z94" s="977"/>
      <c r="AA94" s="978"/>
      <c r="AB94" s="977"/>
      <c r="AC94" s="977"/>
      <c r="AD94" s="977"/>
      <c r="AE94" s="977"/>
      <c r="AF94" s="977"/>
      <c r="AG94" s="977"/>
    </row>
    <row r="95" spans="1:33" x14ac:dyDescent="0.2">
      <c r="A95" s="977"/>
      <c r="B95" s="977"/>
      <c r="C95" s="977"/>
      <c r="D95" s="977"/>
      <c r="E95" s="977"/>
      <c r="F95" s="977"/>
      <c r="G95" s="977"/>
      <c r="H95" s="977"/>
      <c r="I95" s="145"/>
      <c r="J95" s="145"/>
      <c r="K95" s="977"/>
      <c r="L95" s="977"/>
      <c r="M95" s="977"/>
      <c r="N95" s="977"/>
      <c r="O95" s="977"/>
      <c r="P95" s="977"/>
      <c r="Q95" s="977"/>
      <c r="R95" s="977"/>
      <c r="S95" s="977"/>
      <c r="T95" s="977"/>
      <c r="U95" s="977"/>
      <c r="V95" s="977"/>
      <c r="W95" s="977"/>
      <c r="X95" s="978"/>
      <c r="Y95" s="977"/>
      <c r="Z95" s="977"/>
      <c r="AA95" s="978"/>
      <c r="AB95" s="977"/>
      <c r="AC95" s="977"/>
      <c r="AD95" s="977"/>
      <c r="AE95" s="977"/>
      <c r="AF95" s="977"/>
      <c r="AG95" s="977"/>
    </row>
    <row r="96" spans="1:33" x14ac:dyDescent="0.2">
      <c r="A96" s="977"/>
      <c r="B96" s="977"/>
      <c r="C96" s="977"/>
      <c r="D96" s="977"/>
      <c r="E96" s="977"/>
      <c r="F96" s="977"/>
      <c r="G96" s="977"/>
      <c r="H96" s="977"/>
      <c r="I96" s="145"/>
      <c r="J96" s="145"/>
      <c r="K96" s="977"/>
      <c r="L96" s="977"/>
      <c r="M96" s="977"/>
      <c r="N96" s="977"/>
      <c r="O96" s="977"/>
      <c r="P96" s="977"/>
      <c r="Q96" s="977"/>
      <c r="R96" s="977"/>
      <c r="S96" s="977"/>
      <c r="T96" s="977"/>
      <c r="U96" s="977"/>
      <c r="V96" s="977"/>
      <c r="W96" s="977"/>
      <c r="X96" s="978"/>
      <c r="Y96" s="977"/>
      <c r="Z96" s="977"/>
      <c r="AA96" s="978"/>
      <c r="AB96" s="977"/>
      <c r="AC96" s="977"/>
      <c r="AD96" s="977"/>
      <c r="AE96" s="977"/>
      <c r="AF96" s="977"/>
      <c r="AG96" s="977"/>
    </row>
    <row r="97" spans="1:33" x14ac:dyDescent="0.2">
      <c r="A97" s="977"/>
      <c r="B97" s="977"/>
      <c r="C97" s="977"/>
      <c r="D97" s="977"/>
      <c r="E97" s="977"/>
      <c r="F97" s="977"/>
      <c r="G97" s="977"/>
      <c r="H97" s="977"/>
      <c r="I97" s="145"/>
      <c r="J97" s="145"/>
      <c r="K97" s="977"/>
      <c r="L97" s="977"/>
      <c r="M97" s="977"/>
      <c r="N97" s="977"/>
      <c r="O97" s="977"/>
      <c r="P97" s="977"/>
      <c r="Q97" s="977"/>
      <c r="R97" s="977"/>
      <c r="S97" s="977"/>
      <c r="T97" s="977"/>
      <c r="U97" s="977"/>
      <c r="V97" s="977"/>
      <c r="W97" s="977"/>
      <c r="X97" s="978"/>
      <c r="Y97" s="977"/>
      <c r="Z97" s="977"/>
      <c r="AA97" s="978"/>
      <c r="AB97" s="977"/>
      <c r="AC97" s="977"/>
      <c r="AD97" s="977"/>
      <c r="AE97" s="977"/>
      <c r="AF97" s="977"/>
      <c r="AG97" s="977"/>
    </row>
    <row r="98" spans="1:33" x14ac:dyDescent="0.2">
      <c r="A98" s="977"/>
      <c r="B98" s="977"/>
      <c r="C98" s="977"/>
      <c r="D98" s="977"/>
      <c r="E98" s="977"/>
      <c r="F98" s="977"/>
      <c r="G98" s="977"/>
      <c r="H98" s="977"/>
      <c r="I98" s="145"/>
      <c r="J98" s="145"/>
      <c r="K98" s="977"/>
      <c r="L98" s="977"/>
      <c r="M98" s="977"/>
      <c r="N98" s="977"/>
      <c r="O98" s="977"/>
      <c r="P98" s="977"/>
      <c r="Q98" s="977"/>
      <c r="R98" s="977"/>
      <c r="S98" s="977"/>
      <c r="T98" s="977"/>
      <c r="U98" s="977"/>
      <c r="V98" s="977"/>
      <c r="W98" s="977"/>
      <c r="X98" s="978"/>
      <c r="Y98" s="977"/>
      <c r="Z98" s="977"/>
      <c r="AA98" s="978"/>
      <c r="AB98" s="977"/>
      <c r="AC98" s="977"/>
      <c r="AD98" s="977"/>
      <c r="AE98" s="977"/>
      <c r="AF98" s="977"/>
      <c r="AG98" s="977"/>
    </row>
    <row r="99" spans="1:33" x14ac:dyDescent="0.2">
      <c r="A99" s="977"/>
      <c r="B99" s="977"/>
      <c r="C99" s="977"/>
      <c r="D99" s="977"/>
      <c r="E99" s="977"/>
      <c r="F99" s="977"/>
      <c r="G99" s="977"/>
      <c r="H99" s="977"/>
      <c r="I99" s="145"/>
      <c r="J99" s="145"/>
      <c r="K99" s="977"/>
      <c r="L99" s="977"/>
      <c r="M99" s="977"/>
      <c r="N99" s="977"/>
      <c r="O99" s="977"/>
      <c r="P99" s="977"/>
      <c r="Q99" s="977"/>
      <c r="R99" s="977"/>
      <c r="S99" s="977"/>
      <c r="T99" s="977"/>
      <c r="U99" s="977"/>
      <c r="V99" s="977"/>
      <c r="W99" s="977"/>
      <c r="X99" s="978"/>
      <c r="Y99" s="977"/>
      <c r="Z99" s="977"/>
      <c r="AA99" s="978"/>
      <c r="AB99" s="977"/>
      <c r="AC99" s="977"/>
      <c r="AD99" s="977"/>
      <c r="AE99" s="977"/>
      <c r="AF99" s="977"/>
      <c r="AG99" s="977"/>
    </row>
    <row r="100" spans="1:33" x14ac:dyDescent="0.2">
      <c r="A100" s="977"/>
      <c r="B100" s="977"/>
      <c r="C100" s="977"/>
      <c r="D100" s="977"/>
      <c r="E100" s="977"/>
      <c r="F100" s="977"/>
      <c r="G100" s="977"/>
      <c r="H100" s="977"/>
      <c r="I100" s="145"/>
      <c r="J100" s="145"/>
      <c r="K100" s="977"/>
      <c r="L100" s="977"/>
      <c r="M100" s="977"/>
      <c r="N100" s="977"/>
      <c r="O100" s="977"/>
      <c r="P100" s="977"/>
      <c r="Q100" s="977"/>
      <c r="R100" s="977"/>
      <c r="S100" s="977"/>
      <c r="T100" s="977"/>
      <c r="U100" s="977"/>
      <c r="V100" s="977"/>
      <c r="W100" s="977"/>
      <c r="X100" s="978"/>
      <c r="Y100" s="977"/>
      <c r="Z100" s="977"/>
      <c r="AA100" s="978"/>
      <c r="AB100" s="977"/>
      <c r="AC100" s="977"/>
      <c r="AD100" s="977"/>
      <c r="AE100" s="977"/>
      <c r="AF100" s="977"/>
      <c r="AG100" s="977"/>
    </row>
    <row r="101" spans="1:33" x14ac:dyDescent="0.2">
      <c r="A101" s="977"/>
      <c r="B101" s="977"/>
      <c r="C101" s="977"/>
      <c r="D101" s="977"/>
      <c r="E101" s="977"/>
      <c r="F101" s="977"/>
      <c r="G101" s="977"/>
      <c r="H101" s="977"/>
      <c r="I101" s="145"/>
      <c r="J101" s="145"/>
      <c r="K101" s="977"/>
      <c r="L101" s="977"/>
      <c r="M101" s="977"/>
      <c r="N101" s="977"/>
      <c r="O101" s="977"/>
      <c r="P101" s="977"/>
      <c r="Q101" s="977"/>
      <c r="R101" s="977"/>
      <c r="S101" s="977"/>
      <c r="T101" s="977"/>
      <c r="U101" s="977"/>
      <c r="V101" s="977"/>
      <c r="W101" s="977"/>
      <c r="X101" s="978"/>
      <c r="Y101" s="977"/>
      <c r="Z101" s="977"/>
      <c r="AA101" s="978"/>
      <c r="AB101" s="977"/>
      <c r="AC101" s="977"/>
      <c r="AD101" s="977"/>
      <c r="AE101" s="977"/>
      <c r="AF101" s="977"/>
      <c r="AG101" s="977"/>
    </row>
    <row r="102" spans="1:33" x14ac:dyDescent="0.2">
      <c r="A102" s="977"/>
      <c r="B102" s="977"/>
      <c r="C102" s="977"/>
      <c r="D102" s="977"/>
      <c r="E102" s="977"/>
      <c r="F102" s="977"/>
      <c r="G102" s="977"/>
      <c r="H102" s="977"/>
      <c r="I102" s="145"/>
      <c r="J102" s="145"/>
      <c r="K102" s="977"/>
      <c r="L102" s="977"/>
      <c r="M102" s="977"/>
      <c r="N102" s="977"/>
      <c r="O102" s="977"/>
      <c r="P102" s="977"/>
      <c r="Q102" s="977"/>
      <c r="R102" s="977"/>
      <c r="S102" s="977"/>
      <c r="T102" s="977"/>
      <c r="U102" s="977"/>
      <c r="V102" s="977"/>
      <c r="W102" s="977"/>
      <c r="X102" s="978"/>
      <c r="Y102" s="977"/>
      <c r="Z102" s="977"/>
      <c r="AA102" s="978"/>
      <c r="AB102" s="977"/>
      <c r="AC102" s="977"/>
      <c r="AD102" s="977"/>
      <c r="AE102" s="977"/>
      <c r="AF102" s="977"/>
      <c r="AG102" s="977"/>
    </row>
    <row r="103" spans="1:33" x14ac:dyDescent="0.2">
      <c r="A103" s="977"/>
      <c r="B103" s="977"/>
      <c r="C103" s="977"/>
      <c r="D103" s="977"/>
      <c r="E103" s="977"/>
      <c r="F103" s="977"/>
      <c r="G103" s="977"/>
      <c r="H103" s="977"/>
      <c r="I103" s="145"/>
      <c r="J103" s="145"/>
      <c r="K103" s="977"/>
      <c r="L103" s="977"/>
      <c r="M103" s="977"/>
      <c r="N103" s="977"/>
      <c r="O103" s="977"/>
      <c r="P103" s="977"/>
      <c r="Q103" s="977"/>
      <c r="R103" s="977"/>
      <c r="S103" s="977"/>
      <c r="T103" s="977"/>
      <c r="U103" s="977"/>
      <c r="V103" s="977"/>
      <c r="W103" s="977"/>
      <c r="X103" s="978"/>
      <c r="Y103" s="977"/>
      <c r="Z103" s="977"/>
      <c r="AA103" s="978"/>
      <c r="AB103" s="977"/>
      <c r="AC103" s="977"/>
      <c r="AD103" s="977"/>
      <c r="AE103" s="977"/>
      <c r="AF103" s="977"/>
      <c r="AG103" s="977"/>
    </row>
    <row r="104" spans="1:33" x14ac:dyDescent="0.2">
      <c r="A104" s="977"/>
      <c r="B104" s="977"/>
      <c r="C104" s="977"/>
      <c r="D104" s="977"/>
      <c r="E104" s="977"/>
      <c r="F104" s="977"/>
      <c r="G104" s="977"/>
      <c r="H104" s="977"/>
      <c r="I104" s="145"/>
      <c r="J104" s="145"/>
      <c r="K104" s="977"/>
      <c r="L104" s="977"/>
      <c r="M104" s="977"/>
      <c r="N104" s="977"/>
      <c r="O104" s="977"/>
      <c r="P104" s="977"/>
      <c r="Q104" s="977"/>
      <c r="R104" s="977"/>
      <c r="S104" s="977"/>
      <c r="T104" s="977"/>
      <c r="U104" s="977"/>
      <c r="V104" s="977"/>
      <c r="W104" s="977"/>
      <c r="X104" s="978"/>
      <c r="Y104" s="977"/>
      <c r="Z104" s="977"/>
      <c r="AA104" s="978"/>
      <c r="AB104" s="977"/>
      <c r="AC104" s="977"/>
      <c r="AD104" s="977"/>
      <c r="AE104" s="977"/>
      <c r="AF104" s="977"/>
      <c r="AG104" s="977"/>
    </row>
    <row r="105" spans="1:33" x14ac:dyDescent="0.2">
      <c r="A105" s="977"/>
      <c r="B105" s="977"/>
      <c r="C105" s="977"/>
      <c r="D105" s="977"/>
      <c r="E105" s="977"/>
      <c r="F105" s="977"/>
      <c r="G105" s="977"/>
      <c r="H105" s="977"/>
      <c r="I105" s="145"/>
      <c r="J105" s="145"/>
      <c r="K105" s="977"/>
      <c r="L105" s="977"/>
      <c r="M105" s="977"/>
      <c r="N105" s="977"/>
      <c r="O105" s="977"/>
      <c r="P105" s="977"/>
      <c r="Q105" s="977"/>
      <c r="R105" s="977"/>
      <c r="S105" s="977"/>
      <c r="T105" s="977"/>
      <c r="U105" s="977"/>
      <c r="V105" s="977"/>
      <c r="W105" s="977"/>
      <c r="X105" s="978"/>
      <c r="Y105" s="977"/>
      <c r="Z105" s="977"/>
      <c r="AA105" s="978"/>
      <c r="AB105" s="977"/>
      <c r="AC105" s="977"/>
      <c r="AD105" s="977"/>
      <c r="AE105" s="977"/>
      <c r="AF105" s="977"/>
      <c r="AG105" s="977"/>
    </row>
    <row r="106" spans="1:33" x14ac:dyDescent="0.2">
      <c r="A106" s="977"/>
      <c r="B106" s="977"/>
      <c r="C106" s="977"/>
      <c r="D106" s="977"/>
      <c r="E106" s="977"/>
      <c r="F106" s="977"/>
      <c r="G106" s="977"/>
      <c r="H106" s="977"/>
      <c r="I106" s="145"/>
      <c r="J106" s="145"/>
      <c r="K106" s="977"/>
      <c r="L106" s="977"/>
      <c r="M106" s="977"/>
      <c r="N106" s="977"/>
      <c r="O106" s="977"/>
      <c r="P106" s="977"/>
      <c r="Q106" s="977"/>
      <c r="R106" s="977"/>
      <c r="S106" s="977"/>
      <c r="T106" s="977"/>
      <c r="U106" s="977"/>
      <c r="V106" s="977"/>
      <c r="W106" s="977"/>
      <c r="X106" s="978"/>
      <c r="Y106" s="977"/>
      <c r="Z106" s="977"/>
      <c r="AA106" s="978"/>
      <c r="AB106" s="977"/>
      <c r="AC106" s="977"/>
      <c r="AD106" s="977"/>
      <c r="AE106" s="977"/>
      <c r="AF106" s="977"/>
      <c r="AG106" s="977"/>
    </row>
    <row r="107" spans="1:33" x14ac:dyDescent="0.2">
      <c r="A107" s="977"/>
      <c r="B107" s="977"/>
      <c r="C107" s="977"/>
      <c r="D107" s="977"/>
      <c r="E107" s="977"/>
      <c r="F107" s="977"/>
      <c r="G107" s="977"/>
      <c r="H107" s="977"/>
      <c r="I107" s="145"/>
      <c r="J107" s="145"/>
      <c r="K107" s="977"/>
      <c r="L107" s="977"/>
      <c r="M107" s="977"/>
      <c r="N107" s="977"/>
      <c r="O107" s="977"/>
      <c r="P107" s="977"/>
      <c r="Q107" s="977"/>
      <c r="R107" s="977"/>
      <c r="S107" s="977"/>
      <c r="T107" s="977"/>
      <c r="U107" s="977"/>
      <c r="V107" s="977"/>
      <c r="W107" s="977"/>
      <c r="X107" s="978"/>
      <c r="Y107" s="977"/>
      <c r="Z107" s="977"/>
      <c r="AA107" s="978"/>
      <c r="AB107" s="977"/>
      <c r="AC107" s="977"/>
      <c r="AD107" s="977"/>
      <c r="AE107" s="977"/>
      <c r="AF107" s="977"/>
      <c r="AG107" s="977"/>
    </row>
    <row r="108" spans="1:33" x14ac:dyDescent="0.2">
      <c r="A108" s="977"/>
      <c r="B108" s="977"/>
      <c r="C108" s="977"/>
      <c r="D108" s="977"/>
      <c r="E108" s="977"/>
      <c r="F108" s="977"/>
      <c r="G108" s="977"/>
      <c r="H108" s="977"/>
      <c r="I108" s="145"/>
      <c r="J108" s="145"/>
      <c r="K108" s="977"/>
      <c r="L108" s="977"/>
      <c r="M108" s="977"/>
      <c r="N108" s="977"/>
      <c r="O108" s="977"/>
      <c r="P108" s="977"/>
      <c r="Q108" s="977"/>
      <c r="R108" s="977"/>
      <c r="S108" s="977"/>
      <c r="T108" s="977"/>
      <c r="U108" s="977"/>
      <c r="V108" s="977"/>
      <c r="W108" s="977"/>
      <c r="X108" s="978"/>
      <c r="Y108" s="977"/>
      <c r="Z108" s="977"/>
      <c r="AA108" s="978"/>
      <c r="AB108" s="977"/>
      <c r="AC108" s="977"/>
      <c r="AD108" s="977"/>
      <c r="AE108" s="977"/>
      <c r="AF108" s="977"/>
      <c r="AG108" s="977"/>
    </row>
    <row r="109" spans="1:33" x14ac:dyDescent="0.2">
      <c r="A109" s="977"/>
      <c r="B109" s="977"/>
      <c r="C109" s="977"/>
      <c r="D109" s="977"/>
      <c r="E109" s="977"/>
      <c r="F109" s="977"/>
      <c r="G109" s="977"/>
      <c r="H109" s="977"/>
      <c r="I109" s="145"/>
      <c r="J109" s="145"/>
      <c r="K109" s="977"/>
      <c r="L109" s="977"/>
      <c r="M109" s="977"/>
      <c r="N109" s="977"/>
      <c r="O109" s="977"/>
      <c r="P109" s="977"/>
      <c r="Q109" s="977"/>
      <c r="R109" s="977"/>
      <c r="S109" s="977"/>
      <c r="T109" s="977"/>
      <c r="U109" s="977"/>
      <c r="V109" s="977"/>
      <c r="W109" s="977"/>
      <c r="X109" s="978"/>
      <c r="Y109" s="977"/>
      <c r="Z109" s="977"/>
      <c r="AA109" s="978"/>
      <c r="AB109" s="977"/>
      <c r="AC109" s="977"/>
      <c r="AD109" s="977"/>
      <c r="AE109" s="977"/>
      <c r="AF109" s="977"/>
      <c r="AG109" s="977"/>
    </row>
    <row r="110" spans="1:33" x14ac:dyDescent="0.2">
      <c r="A110" s="977"/>
      <c r="B110" s="977"/>
      <c r="C110" s="977"/>
      <c r="D110" s="977"/>
      <c r="E110" s="977"/>
      <c r="F110" s="977"/>
      <c r="G110" s="977"/>
      <c r="H110" s="977"/>
      <c r="I110" s="145"/>
      <c r="J110" s="145"/>
      <c r="K110" s="977"/>
      <c r="L110" s="977"/>
      <c r="M110" s="977"/>
      <c r="N110" s="977"/>
      <c r="O110" s="977"/>
      <c r="P110" s="977"/>
      <c r="Q110" s="977"/>
      <c r="R110" s="977"/>
      <c r="S110" s="977"/>
      <c r="T110" s="977"/>
      <c r="U110" s="977"/>
      <c r="V110" s="977"/>
      <c r="W110" s="977"/>
      <c r="X110" s="978"/>
      <c r="Y110" s="977"/>
      <c r="Z110" s="977"/>
      <c r="AA110" s="978"/>
      <c r="AB110" s="977"/>
      <c r="AC110" s="977"/>
      <c r="AD110" s="977"/>
      <c r="AE110" s="977"/>
      <c r="AF110" s="977"/>
      <c r="AG110" s="977"/>
    </row>
    <row r="111" spans="1:33" x14ac:dyDescent="0.2">
      <c r="A111" s="977"/>
      <c r="B111" s="977"/>
      <c r="C111" s="977"/>
      <c r="D111" s="977"/>
      <c r="E111" s="977"/>
      <c r="F111" s="977"/>
      <c r="G111" s="977"/>
      <c r="H111" s="977"/>
      <c r="I111" s="145"/>
      <c r="J111" s="145"/>
      <c r="K111" s="977"/>
      <c r="L111" s="977"/>
      <c r="M111" s="977"/>
      <c r="N111" s="977"/>
      <c r="O111" s="977"/>
      <c r="P111" s="977"/>
      <c r="Q111" s="977"/>
      <c r="R111" s="977"/>
      <c r="S111" s="977"/>
      <c r="T111" s="977"/>
      <c r="U111" s="977"/>
      <c r="V111" s="977"/>
      <c r="W111" s="977"/>
      <c r="X111" s="978"/>
      <c r="Y111" s="977"/>
      <c r="Z111" s="977"/>
      <c r="AA111" s="978"/>
      <c r="AB111" s="977"/>
      <c r="AC111" s="977"/>
      <c r="AD111" s="977"/>
      <c r="AE111" s="977"/>
      <c r="AF111" s="977"/>
      <c r="AG111" s="977"/>
    </row>
    <row r="112" spans="1:33" x14ac:dyDescent="0.2">
      <c r="A112" s="977"/>
      <c r="B112" s="977"/>
      <c r="C112" s="977"/>
      <c r="D112" s="977"/>
      <c r="E112" s="977"/>
      <c r="F112" s="977"/>
      <c r="G112" s="977"/>
      <c r="H112" s="977"/>
      <c r="I112" s="145"/>
      <c r="J112" s="145"/>
      <c r="K112" s="977"/>
      <c r="L112" s="977"/>
      <c r="M112" s="977"/>
      <c r="N112" s="977"/>
      <c r="O112" s="977"/>
      <c r="P112" s="977"/>
      <c r="Q112" s="977"/>
      <c r="R112" s="977"/>
      <c r="S112" s="977"/>
      <c r="T112" s="977"/>
      <c r="U112" s="977"/>
      <c r="V112" s="977"/>
      <c r="W112" s="977"/>
      <c r="X112" s="978"/>
      <c r="Y112" s="977"/>
      <c r="Z112" s="977"/>
      <c r="AA112" s="978"/>
      <c r="AB112" s="977"/>
      <c r="AC112" s="977"/>
      <c r="AD112" s="977"/>
      <c r="AE112" s="977"/>
      <c r="AF112" s="977"/>
      <c r="AG112" s="977"/>
    </row>
    <row r="113" spans="1:33" x14ac:dyDescent="0.2">
      <c r="A113" s="977"/>
      <c r="B113" s="977"/>
      <c r="C113" s="977"/>
      <c r="D113" s="977"/>
      <c r="E113" s="977"/>
      <c r="F113" s="977"/>
      <c r="G113" s="977"/>
      <c r="H113" s="977"/>
      <c r="I113" s="145"/>
      <c r="J113" s="145"/>
      <c r="K113" s="977"/>
      <c r="L113" s="977"/>
      <c r="M113" s="977"/>
      <c r="N113" s="977"/>
      <c r="O113" s="977"/>
      <c r="P113" s="977"/>
      <c r="Q113" s="977"/>
      <c r="R113" s="977"/>
      <c r="S113" s="977"/>
      <c r="T113" s="977"/>
      <c r="U113" s="977"/>
      <c r="V113" s="977"/>
      <c r="W113" s="977"/>
      <c r="X113" s="978"/>
      <c r="Y113" s="977"/>
      <c r="Z113" s="977"/>
      <c r="AA113" s="978"/>
      <c r="AB113" s="977"/>
      <c r="AC113" s="977"/>
      <c r="AD113" s="977"/>
      <c r="AE113" s="977"/>
      <c r="AF113" s="977"/>
      <c r="AG113" s="977"/>
    </row>
    <row r="114" spans="1:33" x14ac:dyDescent="0.2">
      <c r="A114" s="977"/>
      <c r="B114" s="977"/>
      <c r="C114" s="977"/>
      <c r="D114" s="977"/>
      <c r="E114" s="977"/>
      <c r="F114" s="977"/>
      <c r="G114" s="977"/>
      <c r="H114" s="977"/>
      <c r="I114" s="145"/>
      <c r="J114" s="145"/>
      <c r="K114" s="977"/>
      <c r="L114" s="977"/>
      <c r="M114" s="977"/>
      <c r="N114" s="977"/>
      <c r="O114" s="977"/>
      <c r="P114" s="977"/>
      <c r="Q114" s="977"/>
      <c r="R114" s="977"/>
      <c r="S114" s="977"/>
      <c r="T114" s="977"/>
      <c r="U114" s="977"/>
      <c r="V114" s="977"/>
      <c r="W114" s="977"/>
      <c r="X114" s="978"/>
      <c r="Y114" s="977"/>
      <c r="Z114" s="977"/>
      <c r="AA114" s="978"/>
      <c r="AB114" s="977"/>
      <c r="AC114" s="977"/>
      <c r="AD114" s="977"/>
      <c r="AE114" s="977"/>
      <c r="AF114" s="977"/>
      <c r="AG114" s="977"/>
    </row>
    <row r="115" spans="1:33" x14ac:dyDescent="0.2">
      <c r="A115" s="977"/>
      <c r="B115" s="977"/>
      <c r="C115" s="977"/>
      <c r="D115" s="977"/>
      <c r="E115" s="977"/>
      <c r="F115" s="977"/>
      <c r="G115" s="977"/>
      <c r="H115" s="977"/>
      <c r="I115" s="145"/>
      <c r="J115" s="145"/>
      <c r="K115" s="977"/>
      <c r="L115" s="977"/>
      <c r="M115" s="977"/>
      <c r="N115" s="977"/>
      <c r="O115" s="977"/>
      <c r="P115" s="977"/>
      <c r="Q115" s="977"/>
      <c r="R115" s="977"/>
      <c r="S115" s="977"/>
      <c r="T115" s="977"/>
      <c r="U115" s="977"/>
      <c r="V115" s="977"/>
      <c r="W115" s="977"/>
      <c r="X115" s="978"/>
      <c r="Y115" s="977"/>
      <c r="Z115" s="977"/>
      <c r="AA115" s="978"/>
      <c r="AB115" s="977"/>
      <c r="AC115" s="977"/>
      <c r="AD115" s="977"/>
      <c r="AE115" s="977"/>
      <c r="AF115" s="977"/>
      <c r="AG115" s="977"/>
    </row>
    <row r="116" spans="1:33" x14ac:dyDescent="0.2">
      <c r="A116" s="977"/>
      <c r="B116" s="977"/>
      <c r="C116" s="977"/>
      <c r="D116" s="977"/>
      <c r="E116" s="977"/>
      <c r="F116" s="977"/>
      <c r="G116" s="977"/>
      <c r="H116" s="977"/>
      <c r="I116" s="145"/>
      <c r="J116" s="145"/>
      <c r="K116" s="977"/>
      <c r="L116" s="977"/>
      <c r="M116" s="977"/>
      <c r="N116" s="977"/>
      <c r="O116" s="977"/>
      <c r="P116" s="977"/>
      <c r="Q116" s="977"/>
      <c r="R116" s="977"/>
      <c r="S116" s="977"/>
      <c r="T116" s="977"/>
      <c r="U116" s="977"/>
      <c r="V116" s="977"/>
      <c r="W116" s="977"/>
      <c r="X116" s="978"/>
      <c r="Y116" s="977"/>
      <c r="Z116" s="977"/>
      <c r="AA116" s="978"/>
      <c r="AB116" s="977"/>
      <c r="AC116" s="977"/>
      <c r="AD116" s="977"/>
      <c r="AE116" s="977"/>
      <c r="AF116" s="977"/>
      <c r="AG116" s="977"/>
    </row>
    <row r="117" spans="1:33" x14ac:dyDescent="0.2">
      <c r="A117" s="977"/>
      <c r="B117" s="977"/>
      <c r="C117" s="977"/>
      <c r="D117" s="977"/>
      <c r="E117" s="977"/>
      <c r="F117" s="977"/>
      <c r="G117" s="977"/>
      <c r="H117" s="977"/>
      <c r="I117" s="145"/>
      <c r="J117" s="145"/>
      <c r="K117" s="977"/>
      <c r="L117" s="977"/>
      <c r="M117" s="977"/>
      <c r="N117" s="977"/>
      <c r="O117" s="977"/>
      <c r="P117" s="977"/>
      <c r="Q117" s="977"/>
      <c r="R117" s="977"/>
      <c r="S117" s="977"/>
      <c r="T117" s="977"/>
      <c r="U117" s="977"/>
      <c r="V117" s="977"/>
      <c r="W117" s="977"/>
      <c r="X117" s="978"/>
      <c r="Y117" s="977"/>
      <c r="Z117" s="977"/>
      <c r="AA117" s="978"/>
      <c r="AB117" s="977"/>
      <c r="AC117" s="977"/>
      <c r="AD117" s="977"/>
      <c r="AE117" s="977"/>
      <c r="AF117" s="977"/>
      <c r="AG117" s="977"/>
    </row>
    <row r="118" spans="1:33" x14ac:dyDescent="0.2">
      <c r="A118" s="977"/>
      <c r="B118" s="977"/>
      <c r="C118" s="977"/>
      <c r="D118" s="977"/>
      <c r="E118" s="977"/>
      <c r="F118" s="977"/>
      <c r="G118" s="977"/>
      <c r="H118" s="977"/>
      <c r="I118" s="145"/>
      <c r="J118" s="145"/>
      <c r="K118" s="977"/>
      <c r="L118" s="977"/>
      <c r="M118" s="977"/>
      <c r="N118" s="977"/>
      <c r="O118" s="977"/>
      <c r="P118" s="977"/>
      <c r="Q118" s="977"/>
      <c r="R118" s="977"/>
      <c r="S118" s="977"/>
      <c r="T118" s="977"/>
      <c r="U118" s="977"/>
      <c r="V118" s="977"/>
      <c r="W118" s="977"/>
      <c r="X118" s="978"/>
      <c r="Y118" s="977"/>
      <c r="Z118" s="977"/>
      <c r="AA118" s="978"/>
      <c r="AB118" s="977"/>
      <c r="AC118" s="977"/>
      <c r="AD118" s="977"/>
      <c r="AE118" s="977"/>
      <c r="AF118" s="977"/>
      <c r="AG118" s="977"/>
    </row>
    <row r="119" spans="1:33" x14ac:dyDescent="0.2">
      <c r="A119" s="977"/>
      <c r="B119" s="977"/>
      <c r="C119" s="977"/>
      <c r="D119" s="977"/>
      <c r="E119" s="977"/>
      <c r="F119" s="977"/>
      <c r="G119" s="977"/>
      <c r="H119" s="977"/>
      <c r="I119" s="145"/>
      <c r="J119" s="145"/>
      <c r="K119" s="977"/>
      <c r="L119" s="977"/>
      <c r="M119" s="977"/>
      <c r="N119" s="977"/>
      <c r="O119" s="977"/>
      <c r="P119" s="977"/>
      <c r="Q119" s="977"/>
      <c r="R119" s="977"/>
      <c r="S119" s="977"/>
      <c r="T119" s="977"/>
      <c r="U119" s="977"/>
      <c r="V119" s="977"/>
      <c r="W119" s="977"/>
      <c r="X119" s="978"/>
      <c r="Y119" s="977"/>
      <c r="Z119" s="977"/>
      <c r="AA119" s="978"/>
      <c r="AB119" s="977"/>
      <c r="AC119" s="977"/>
      <c r="AD119" s="977"/>
      <c r="AE119" s="977"/>
      <c r="AF119" s="977"/>
      <c r="AG119" s="977"/>
    </row>
    <row r="120" spans="1:33" x14ac:dyDescent="0.2">
      <c r="A120" s="977"/>
      <c r="B120" s="977"/>
      <c r="C120" s="977"/>
      <c r="D120" s="977"/>
      <c r="E120" s="977"/>
      <c r="F120" s="977"/>
      <c r="G120" s="977"/>
      <c r="H120" s="977"/>
      <c r="I120" s="145"/>
      <c r="J120" s="145"/>
      <c r="K120" s="977"/>
      <c r="L120" s="977"/>
      <c r="M120" s="977"/>
      <c r="N120" s="977"/>
      <c r="O120" s="977"/>
      <c r="P120" s="977"/>
      <c r="Q120" s="977"/>
      <c r="R120" s="977"/>
      <c r="S120" s="977"/>
      <c r="T120" s="977"/>
      <c r="U120" s="977"/>
      <c r="V120" s="977"/>
      <c r="W120" s="977"/>
      <c r="X120" s="978"/>
      <c r="Y120" s="977"/>
      <c r="Z120" s="977"/>
      <c r="AA120" s="978"/>
      <c r="AB120" s="977"/>
      <c r="AC120" s="977"/>
      <c r="AD120" s="977"/>
      <c r="AE120" s="977"/>
      <c r="AF120" s="977"/>
      <c r="AG120" s="977"/>
    </row>
    <row r="121" spans="1:33" x14ac:dyDescent="0.2">
      <c r="A121" s="977"/>
      <c r="B121" s="977"/>
      <c r="C121" s="977"/>
      <c r="D121" s="977"/>
      <c r="E121" s="977"/>
      <c r="F121" s="977"/>
      <c r="G121" s="977"/>
      <c r="H121" s="977"/>
      <c r="I121" s="145"/>
      <c r="J121" s="145"/>
      <c r="K121" s="977"/>
      <c r="L121" s="977"/>
      <c r="M121" s="977"/>
      <c r="N121" s="977"/>
      <c r="O121" s="977"/>
      <c r="P121" s="977"/>
      <c r="Q121" s="977"/>
      <c r="R121" s="977"/>
      <c r="S121" s="977"/>
      <c r="T121" s="977"/>
      <c r="U121" s="977"/>
      <c r="V121" s="977"/>
      <c r="W121" s="977"/>
      <c r="X121" s="978"/>
      <c r="Y121" s="977"/>
      <c r="Z121" s="977"/>
      <c r="AA121" s="978"/>
      <c r="AB121" s="977"/>
      <c r="AC121" s="977"/>
      <c r="AD121" s="977"/>
      <c r="AE121" s="977"/>
      <c r="AF121" s="977"/>
      <c r="AG121" s="977"/>
    </row>
    <row r="122" spans="1:33" x14ac:dyDescent="0.2">
      <c r="A122" s="977"/>
      <c r="B122" s="977"/>
      <c r="C122" s="977"/>
      <c r="D122" s="977"/>
      <c r="E122" s="977"/>
      <c r="F122" s="977"/>
      <c r="G122" s="977"/>
      <c r="H122" s="977"/>
      <c r="I122" s="145"/>
      <c r="J122" s="145"/>
      <c r="K122" s="977"/>
      <c r="L122" s="977"/>
      <c r="M122" s="977"/>
      <c r="N122" s="977"/>
      <c r="O122" s="977"/>
      <c r="P122" s="977"/>
      <c r="Q122" s="977"/>
      <c r="R122" s="977"/>
      <c r="S122" s="977"/>
      <c r="T122" s="977"/>
      <c r="U122" s="977"/>
      <c r="V122" s="977"/>
      <c r="W122" s="977"/>
      <c r="X122" s="978"/>
      <c r="Y122" s="977"/>
      <c r="Z122" s="977"/>
      <c r="AA122" s="978"/>
      <c r="AB122" s="977"/>
      <c r="AC122" s="977"/>
      <c r="AD122" s="977"/>
      <c r="AE122" s="977"/>
      <c r="AF122" s="977"/>
      <c r="AG122" s="977"/>
    </row>
    <row r="123" spans="1:33" x14ac:dyDescent="0.2">
      <c r="A123" s="977"/>
      <c r="B123" s="977"/>
      <c r="C123" s="977"/>
      <c r="D123" s="977"/>
      <c r="E123" s="977"/>
      <c r="F123" s="977"/>
      <c r="G123" s="977"/>
      <c r="H123" s="977"/>
      <c r="I123" s="145"/>
      <c r="J123" s="145"/>
      <c r="K123" s="977"/>
      <c r="L123" s="977"/>
      <c r="M123" s="977"/>
      <c r="N123" s="977"/>
      <c r="O123" s="977"/>
      <c r="P123" s="977"/>
      <c r="Q123" s="977"/>
      <c r="R123" s="977"/>
      <c r="S123" s="977"/>
      <c r="T123" s="977"/>
      <c r="U123" s="977"/>
      <c r="V123" s="977"/>
      <c r="W123" s="977"/>
      <c r="X123" s="978"/>
      <c r="Y123" s="977"/>
      <c r="Z123" s="977"/>
      <c r="AA123" s="978"/>
      <c r="AB123" s="977"/>
      <c r="AC123" s="977"/>
      <c r="AD123" s="977"/>
      <c r="AE123" s="977"/>
      <c r="AF123" s="977"/>
      <c r="AG123" s="977"/>
    </row>
    <row r="124" spans="1:33" x14ac:dyDescent="0.2">
      <c r="A124" s="977"/>
      <c r="B124" s="977"/>
      <c r="C124" s="977"/>
      <c r="D124" s="977"/>
      <c r="E124" s="977"/>
      <c r="F124" s="977"/>
      <c r="G124" s="977"/>
      <c r="H124" s="977"/>
      <c r="I124" s="145"/>
      <c r="J124" s="145"/>
      <c r="K124" s="977"/>
      <c r="L124" s="977"/>
      <c r="M124" s="977"/>
      <c r="N124" s="977"/>
      <c r="O124" s="977"/>
      <c r="P124" s="977"/>
      <c r="Q124" s="977"/>
      <c r="R124" s="977"/>
      <c r="S124" s="977"/>
      <c r="T124" s="977"/>
      <c r="U124" s="977"/>
      <c r="V124" s="977"/>
      <c r="W124" s="977"/>
      <c r="X124" s="978"/>
      <c r="Y124" s="977"/>
      <c r="Z124" s="977"/>
      <c r="AA124" s="978"/>
      <c r="AB124" s="977"/>
      <c r="AC124" s="977"/>
      <c r="AD124" s="977"/>
      <c r="AE124" s="977"/>
      <c r="AF124" s="977"/>
      <c r="AG124" s="977"/>
    </row>
    <row r="125" spans="1:33" x14ac:dyDescent="0.2">
      <c r="A125" s="977"/>
      <c r="B125" s="977"/>
      <c r="C125" s="977"/>
      <c r="D125" s="977"/>
      <c r="E125" s="977"/>
      <c r="F125" s="977"/>
      <c r="G125" s="977"/>
      <c r="H125" s="977"/>
      <c r="I125" s="145"/>
      <c r="J125" s="145"/>
      <c r="K125" s="977"/>
      <c r="L125" s="977"/>
      <c r="M125" s="977"/>
      <c r="N125" s="977"/>
      <c r="O125" s="977"/>
      <c r="P125" s="977"/>
      <c r="Q125" s="977"/>
      <c r="R125" s="977"/>
      <c r="S125" s="977"/>
      <c r="T125" s="977"/>
      <c r="U125" s="977"/>
      <c r="V125" s="977"/>
      <c r="W125" s="977"/>
      <c r="X125" s="978"/>
      <c r="Y125" s="977"/>
      <c r="Z125" s="977"/>
      <c r="AA125" s="978"/>
      <c r="AB125" s="977"/>
      <c r="AC125" s="977"/>
      <c r="AD125" s="977"/>
      <c r="AE125" s="977"/>
      <c r="AF125" s="977"/>
      <c r="AG125" s="977"/>
    </row>
    <row r="126" spans="1:33" x14ac:dyDescent="0.2">
      <c r="A126" s="977"/>
      <c r="B126" s="977"/>
      <c r="C126" s="977"/>
      <c r="D126" s="977"/>
      <c r="E126" s="977"/>
      <c r="F126" s="977"/>
      <c r="G126" s="977"/>
      <c r="H126" s="977"/>
      <c r="I126" s="145"/>
      <c r="J126" s="145"/>
      <c r="K126" s="977"/>
      <c r="L126" s="977"/>
      <c r="M126" s="977"/>
      <c r="N126" s="977"/>
      <c r="O126" s="977"/>
      <c r="P126" s="977"/>
      <c r="Q126" s="977"/>
      <c r="R126" s="977"/>
      <c r="S126" s="977"/>
      <c r="T126" s="977"/>
      <c r="U126" s="977"/>
      <c r="V126" s="977"/>
      <c r="W126" s="977"/>
      <c r="X126" s="978"/>
      <c r="Y126" s="977"/>
      <c r="Z126" s="977"/>
      <c r="AA126" s="978"/>
      <c r="AB126" s="977"/>
      <c r="AC126" s="977"/>
      <c r="AD126" s="977"/>
      <c r="AE126" s="977"/>
      <c r="AF126" s="977"/>
      <c r="AG126" s="977"/>
    </row>
    <row r="127" spans="1:33" x14ac:dyDescent="0.2">
      <c r="A127" s="977"/>
      <c r="B127" s="977"/>
      <c r="C127" s="977"/>
      <c r="D127" s="977"/>
      <c r="E127" s="977"/>
      <c r="F127" s="977"/>
      <c r="G127" s="977"/>
      <c r="H127" s="977"/>
      <c r="I127" s="145"/>
      <c r="J127" s="145"/>
      <c r="K127" s="977"/>
      <c r="L127" s="977"/>
      <c r="M127" s="977"/>
      <c r="N127" s="977"/>
      <c r="O127" s="977"/>
      <c r="P127" s="977"/>
      <c r="Q127" s="977"/>
      <c r="R127" s="977"/>
      <c r="S127" s="977"/>
      <c r="T127" s="977"/>
      <c r="U127" s="977"/>
      <c r="V127" s="977"/>
      <c r="W127" s="977"/>
      <c r="X127" s="978"/>
      <c r="Y127" s="977"/>
      <c r="Z127" s="977"/>
      <c r="AA127" s="978"/>
      <c r="AB127" s="977"/>
      <c r="AC127" s="977"/>
      <c r="AD127" s="977"/>
      <c r="AE127" s="977"/>
      <c r="AF127" s="977"/>
      <c r="AG127" s="977"/>
    </row>
    <row r="128" spans="1:33" x14ac:dyDescent="0.2">
      <c r="A128" s="977"/>
      <c r="B128" s="977"/>
      <c r="C128" s="977"/>
      <c r="D128" s="977"/>
      <c r="E128" s="977"/>
      <c r="F128" s="977"/>
      <c r="G128" s="977"/>
      <c r="H128" s="977"/>
      <c r="I128" s="145"/>
      <c r="J128" s="145"/>
      <c r="K128" s="977"/>
      <c r="L128" s="977"/>
      <c r="M128" s="977"/>
      <c r="N128" s="977"/>
      <c r="O128" s="977"/>
      <c r="P128" s="977"/>
      <c r="Q128" s="977"/>
      <c r="R128" s="977"/>
      <c r="S128" s="977"/>
      <c r="T128" s="977"/>
      <c r="U128" s="977"/>
      <c r="V128" s="977"/>
      <c r="W128" s="977"/>
      <c r="X128" s="978"/>
      <c r="Y128" s="977"/>
      <c r="Z128" s="977"/>
      <c r="AA128" s="978"/>
      <c r="AB128" s="977"/>
      <c r="AC128" s="977"/>
      <c r="AD128" s="977"/>
      <c r="AE128" s="977"/>
      <c r="AF128" s="977"/>
      <c r="AG128" s="977"/>
    </row>
    <row r="129" spans="1:33" x14ac:dyDescent="0.2">
      <c r="A129" s="977"/>
      <c r="B129" s="977"/>
      <c r="C129" s="977"/>
      <c r="D129" s="977"/>
      <c r="E129" s="977"/>
      <c r="F129" s="977"/>
      <c r="G129" s="977"/>
      <c r="H129" s="977"/>
      <c r="I129" s="145"/>
      <c r="J129" s="145"/>
      <c r="K129" s="977"/>
      <c r="L129" s="977"/>
      <c r="M129" s="977"/>
      <c r="N129" s="977"/>
      <c r="O129" s="977"/>
      <c r="P129" s="977"/>
      <c r="Q129" s="977"/>
      <c r="R129" s="977"/>
      <c r="S129" s="977"/>
      <c r="T129" s="977"/>
      <c r="U129" s="977"/>
      <c r="V129" s="977"/>
      <c r="W129" s="977"/>
      <c r="X129" s="978"/>
      <c r="Y129" s="977"/>
      <c r="Z129" s="977"/>
      <c r="AA129" s="978"/>
      <c r="AB129" s="977"/>
      <c r="AC129" s="977"/>
      <c r="AD129" s="977"/>
      <c r="AE129" s="977"/>
      <c r="AF129" s="977"/>
      <c r="AG129" s="977"/>
    </row>
    <row r="130" spans="1:33" x14ac:dyDescent="0.2">
      <c r="A130" s="977"/>
      <c r="B130" s="977"/>
      <c r="C130" s="977"/>
      <c r="D130" s="977"/>
      <c r="E130" s="977"/>
      <c r="F130" s="977"/>
      <c r="G130" s="977"/>
      <c r="H130" s="977"/>
      <c r="I130" s="145"/>
      <c r="J130" s="145"/>
      <c r="K130" s="977"/>
      <c r="L130" s="977"/>
      <c r="M130" s="977"/>
      <c r="N130" s="977"/>
      <c r="O130" s="977"/>
      <c r="P130" s="977"/>
      <c r="Q130" s="977"/>
      <c r="R130" s="977"/>
      <c r="S130" s="977"/>
      <c r="T130" s="977"/>
      <c r="U130" s="977"/>
      <c r="V130" s="977"/>
      <c r="W130" s="977"/>
      <c r="X130" s="978"/>
      <c r="Y130" s="977"/>
      <c r="Z130" s="977"/>
      <c r="AA130" s="978"/>
      <c r="AB130" s="977"/>
      <c r="AC130" s="977"/>
      <c r="AD130" s="977"/>
      <c r="AE130" s="977"/>
      <c r="AF130" s="977"/>
      <c r="AG130" s="977"/>
    </row>
    <row r="131" spans="1:33" x14ac:dyDescent="0.2">
      <c r="A131" s="977"/>
      <c r="B131" s="977"/>
      <c r="C131" s="977"/>
      <c r="D131" s="977"/>
      <c r="E131" s="977"/>
      <c r="F131" s="977"/>
      <c r="G131" s="977"/>
      <c r="H131" s="977"/>
      <c r="I131" s="145"/>
      <c r="J131" s="145"/>
      <c r="K131" s="977"/>
      <c r="L131" s="977"/>
      <c r="M131" s="977"/>
      <c r="N131" s="977"/>
      <c r="O131" s="977"/>
      <c r="P131" s="977"/>
      <c r="Q131" s="977"/>
      <c r="R131" s="977"/>
      <c r="S131" s="977"/>
      <c r="T131" s="977"/>
      <c r="U131" s="977"/>
      <c r="V131" s="977"/>
      <c r="W131" s="977"/>
      <c r="X131" s="978"/>
      <c r="Y131" s="977"/>
      <c r="Z131" s="977"/>
      <c r="AA131" s="978"/>
      <c r="AB131" s="977"/>
      <c r="AC131" s="977"/>
      <c r="AD131" s="977"/>
      <c r="AE131" s="977"/>
      <c r="AF131" s="977"/>
      <c r="AG131" s="977"/>
    </row>
    <row r="132" spans="1:33" x14ac:dyDescent="0.2">
      <c r="A132" s="977"/>
      <c r="B132" s="977"/>
      <c r="C132" s="977"/>
      <c r="D132" s="977"/>
      <c r="E132" s="977"/>
      <c r="F132" s="977"/>
      <c r="G132" s="977"/>
      <c r="H132" s="977"/>
      <c r="I132" s="145"/>
      <c r="J132" s="145"/>
      <c r="K132" s="977"/>
      <c r="L132" s="977"/>
      <c r="M132" s="977"/>
      <c r="N132" s="977"/>
      <c r="O132" s="977"/>
      <c r="P132" s="977"/>
      <c r="Q132" s="977"/>
      <c r="R132" s="977"/>
      <c r="S132" s="977"/>
      <c r="T132" s="977"/>
      <c r="U132" s="977"/>
      <c r="V132" s="977"/>
      <c r="W132" s="977"/>
      <c r="X132" s="978"/>
      <c r="Y132" s="977"/>
      <c r="Z132" s="977"/>
      <c r="AA132" s="978"/>
      <c r="AB132" s="977"/>
      <c r="AC132" s="977"/>
      <c r="AD132" s="977"/>
      <c r="AE132" s="977"/>
      <c r="AF132" s="977"/>
      <c r="AG132" s="977"/>
    </row>
    <row r="133" spans="1:33" x14ac:dyDescent="0.2">
      <c r="A133" s="977"/>
      <c r="B133" s="977"/>
      <c r="C133" s="977"/>
      <c r="D133" s="977"/>
      <c r="E133" s="977"/>
      <c r="F133" s="977"/>
      <c r="G133" s="977"/>
      <c r="H133" s="977"/>
      <c r="I133" s="145"/>
      <c r="J133" s="145"/>
      <c r="K133" s="977"/>
      <c r="L133" s="977"/>
      <c r="M133" s="977"/>
      <c r="N133" s="977"/>
      <c r="O133" s="977"/>
      <c r="P133" s="977"/>
      <c r="Q133" s="977"/>
      <c r="R133" s="977"/>
      <c r="S133" s="977"/>
      <c r="T133" s="977"/>
      <c r="U133" s="977"/>
      <c r="V133" s="977"/>
      <c r="W133" s="977"/>
      <c r="X133" s="978"/>
      <c r="Y133" s="977"/>
      <c r="Z133" s="977"/>
      <c r="AA133" s="978"/>
      <c r="AB133" s="977"/>
      <c r="AC133" s="977"/>
      <c r="AD133" s="977"/>
      <c r="AE133" s="977"/>
      <c r="AF133" s="977"/>
      <c r="AG133" s="977"/>
    </row>
    <row r="134" spans="1:33" x14ac:dyDescent="0.2">
      <c r="A134" s="977"/>
      <c r="B134" s="977"/>
      <c r="C134" s="977"/>
      <c r="D134" s="977"/>
      <c r="E134" s="977"/>
      <c r="F134" s="977"/>
      <c r="G134" s="977"/>
      <c r="H134" s="977"/>
      <c r="I134" s="145"/>
      <c r="J134" s="145"/>
      <c r="K134" s="977"/>
      <c r="L134" s="977"/>
      <c r="M134" s="977"/>
      <c r="N134" s="977"/>
      <c r="O134" s="977"/>
      <c r="P134" s="977"/>
      <c r="Q134" s="977"/>
      <c r="R134" s="977"/>
      <c r="S134" s="977"/>
      <c r="T134" s="977"/>
      <c r="U134" s="977"/>
      <c r="V134" s="977"/>
      <c r="W134" s="977"/>
      <c r="X134" s="978"/>
      <c r="Y134" s="977"/>
      <c r="Z134" s="977"/>
      <c r="AA134" s="978"/>
      <c r="AB134" s="977"/>
      <c r="AC134" s="977"/>
      <c r="AD134" s="977"/>
      <c r="AE134" s="977"/>
      <c r="AF134" s="977"/>
      <c r="AG134" s="977"/>
    </row>
    <row r="135" spans="1:33" x14ac:dyDescent="0.2">
      <c r="A135" s="977"/>
      <c r="B135" s="977"/>
      <c r="C135" s="977"/>
      <c r="D135" s="977"/>
      <c r="E135" s="977"/>
      <c r="F135" s="977"/>
      <c r="G135" s="977"/>
      <c r="H135" s="977"/>
      <c r="I135" s="145"/>
      <c r="J135" s="145"/>
      <c r="K135" s="977"/>
      <c r="L135" s="977"/>
      <c r="M135" s="977"/>
      <c r="N135" s="977"/>
      <c r="O135" s="977"/>
      <c r="P135" s="977"/>
      <c r="Q135" s="977"/>
      <c r="R135" s="977"/>
      <c r="S135" s="977"/>
      <c r="T135" s="977"/>
      <c r="U135" s="977"/>
      <c r="V135" s="977"/>
      <c r="W135" s="977"/>
      <c r="X135" s="978"/>
      <c r="Y135" s="977"/>
      <c r="Z135" s="977"/>
      <c r="AA135" s="978"/>
      <c r="AB135" s="977"/>
      <c r="AC135" s="977"/>
      <c r="AD135" s="977"/>
      <c r="AE135" s="977"/>
      <c r="AF135" s="977"/>
      <c r="AG135" s="977"/>
    </row>
    <row r="136" spans="1:33" x14ac:dyDescent="0.2">
      <c r="A136" s="977"/>
      <c r="B136" s="977"/>
      <c r="C136" s="977"/>
      <c r="D136" s="977"/>
      <c r="E136" s="977"/>
      <c r="F136" s="977"/>
      <c r="G136" s="977"/>
      <c r="H136" s="977"/>
      <c r="I136" s="145"/>
      <c r="J136" s="145"/>
      <c r="K136" s="977"/>
      <c r="L136" s="977"/>
      <c r="M136" s="977"/>
      <c r="N136" s="977"/>
      <c r="O136" s="977"/>
      <c r="P136" s="977"/>
      <c r="Q136" s="977"/>
      <c r="R136" s="977"/>
      <c r="S136" s="977"/>
      <c r="T136" s="977"/>
      <c r="U136" s="977"/>
      <c r="V136" s="977"/>
      <c r="W136" s="977"/>
      <c r="X136" s="978"/>
      <c r="Y136" s="977"/>
      <c r="Z136" s="977"/>
      <c r="AA136" s="978"/>
      <c r="AB136" s="977"/>
      <c r="AC136" s="977"/>
      <c r="AD136" s="977"/>
      <c r="AE136" s="977"/>
      <c r="AF136" s="977"/>
      <c r="AG136" s="977"/>
    </row>
    <row r="137" spans="1:33" x14ac:dyDescent="0.2">
      <c r="A137" s="977"/>
      <c r="B137" s="977"/>
      <c r="C137" s="977"/>
      <c r="D137" s="977"/>
      <c r="E137" s="977"/>
      <c r="F137" s="977"/>
      <c r="G137" s="977"/>
      <c r="H137" s="977"/>
      <c r="I137" s="145"/>
      <c r="J137" s="145"/>
      <c r="K137" s="977"/>
      <c r="L137" s="977"/>
      <c r="M137" s="977"/>
      <c r="N137" s="977"/>
      <c r="O137" s="977"/>
      <c r="P137" s="977"/>
      <c r="Q137" s="977"/>
      <c r="R137" s="977"/>
      <c r="S137" s="977"/>
      <c r="T137" s="977"/>
      <c r="U137" s="977"/>
      <c r="V137" s="977"/>
      <c r="W137" s="977"/>
      <c r="X137" s="978"/>
      <c r="Y137" s="977"/>
      <c r="Z137" s="977"/>
      <c r="AA137" s="978"/>
      <c r="AB137" s="977"/>
      <c r="AC137" s="977"/>
      <c r="AD137" s="977"/>
      <c r="AE137" s="977"/>
      <c r="AF137" s="977"/>
      <c r="AG137" s="977"/>
    </row>
    <row r="138" spans="1:33" x14ac:dyDescent="0.2">
      <c r="A138" s="977"/>
      <c r="B138" s="977"/>
      <c r="C138" s="977"/>
      <c r="D138" s="977"/>
      <c r="E138" s="977"/>
      <c r="F138" s="977"/>
      <c r="G138" s="977"/>
      <c r="H138" s="977"/>
      <c r="I138" s="145"/>
      <c r="J138" s="145"/>
      <c r="K138" s="977"/>
      <c r="L138" s="977"/>
      <c r="M138" s="977"/>
      <c r="N138" s="977"/>
      <c r="O138" s="977"/>
      <c r="P138" s="977"/>
      <c r="Q138" s="977"/>
      <c r="R138" s="977"/>
      <c r="S138" s="977"/>
      <c r="T138" s="977"/>
      <c r="U138" s="977"/>
      <c r="V138" s="977"/>
      <c r="W138" s="977"/>
      <c r="X138" s="978"/>
      <c r="Y138" s="977"/>
      <c r="Z138" s="977"/>
      <c r="AA138" s="978"/>
      <c r="AB138" s="977"/>
      <c r="AC138" s="977"/>
      <c r="AD138" s="977"/>
      <c r="AE138" s="977"/>
      <c r="AF138" s="977"/>
      <c r="AG138" s="977"/>
    </row>
    <row r="139" spans="1:33" x14ac:dyDescent="0.2">
      <c r="A139" s="977"/>
      <c r="B139" s="977"/>
      <c r="C139" s="977"/>
      <c r="D139" s="977"/>
      <c r="E139" s="977"/>
      <c r="F139" s="977"/>
      <c r="G139" s="977"/>
      <c r="H139" s="977"/>
      <c r="I139" s="145"/>
      <c r="J139" s="145"/>
      <c r="K139" s="977"/>
      <c r="L139" s="977"/>
      <c r="M139" s="977"/>
      <c r="N139" s="977"/>
      <c r="O139" s="977"/>
      <c r="P139" s="977"/>
      <c r="Q139" s="977"/>
      <c r="R139" s="977"/>
      <c r="S139" s="977"/>
      <c r="T139" s="977"/>
      <c r="U139" s="977"/>
      <c r="V139" s="977"/>
      <c r="W139" s="977"/>
      <c r="X139" s="978"/>
      <c r="Y139" s="977"/>
      <c r="Z139" s="977"/>
      <c r="AA139" s="978"/>
      <c r="AB139" s="977"/>
      <c r="AC139" s="977"/>
      <c r="AD139" s="977"/>
      <c r="AE139" s="977"/>
      <c r="AF139" s="977"/>
      <c r="AG139" s="977"/>
    </row>
    <row r="140" spans="1:33" x14ac:dyDescent="0.2">
      <c r="A140" s="977"/>
      <c r="B140" s="977"/>
      <c r="C140" s="977"/>
      <c r="D140" s="977"/>
      <c r="E140" s="977"/>
      <c r="F140" s="977"/>
      <c r="G140" s="977"/>
      <c r="H140" s="977"/>
      <c r="I140" s="145"/>
      <c r="J140" s="145"/>
      <c r="K140" s="977"/>
      <c r="L140" s="977"/>
      <c r="M140" s="977"/>
      <c r="N140" s="977"/>
      <c r="O140" s="977"/>
      <c r="P140" s="977"/>
      <c r="Q140" s="977"/>
      <c r="R140" s="977"/>
      <c r="S140" s="977"/>
      <c r="T140" s="977"/>
      <c r="U140" s="977"/>
      <c r="V140" s="977"/>
      <c r="W140" s="977"/>
      <c r="X140" s="978"/>
      <c r="Y140" s="977"/>
      <c r="Z140" s="977"/>
      <c r="AA140" s="978"/>
      <c r="AB140" s="977"/>
      <c r="AC140" s="977"/>
      <c r="AD140" s="977"/>
      <c r="AE140" s="977"/>
      <c r="AF140" s="977"/>
      <c r="AG140" s="977"/>
    </row>
    <row r="141" spans="1:33" x14ac:dyDescent="0.2">
      <c r="A141" s="977"/>
      <c r="B141" s="977"/>
      <c r="C141" s="977"/>
      <c r="D141" s="977"/>
      <c r="E141" s="977"/>
      <c r="F141" s="977"/>
      <c r="G141" s="977"/>
      <c r="H141" s="977"/>
      <c r="I141" s="145"/>
      <c r="J141" s="145"/>
      <c r="K141" s="977"/>
      <c r="L141" s="977"/>
      <c r="M141" s="977"/>
      <c r="N141" s="977"/>
      <c r="O141" s="977"/>
      <c r="P141" s="977"/>
      <c r="Q141" s="977"/>
      <c r="R141" s="977"/>
      <c r="S141" s="977"/>
      <c r="T141" s="977"/>
      <c r="U141" s="977"/>
      <c r="V141" s="977"/>
      <c r="W141" s="977"/>
      <c r="X141" s="978"/>
      <c r="Y141" s="977"/>
      <c r="Z141" s="977"/>
      <c r="AA141" s="978"/>
      <c r="AB141" s="977"/>
      <c r="AC141" s="977"/>
      <c r="AD141" s="977"/>
      <c r="AE141" s="977"/>
      <c r="AF141" s="977"/>
      <c r="AG141" s="977"/>
    </row>
    <row r="142" spans="1:33" x14ac:dyDescent="0.2">
      <c r="A142" s="977"/>
      <c r="B142" s="977"/>
      <c r="C142" s="977"/>
      <c r="D142" s="977"/>
      <c r="E142" s="977"/>
      <c r="F142" s="977"/>
      <c r="G142" s="977"/>
      <c r="H142" s="977"/>
      <c r="I142" s="145"/>
      <c r="J142" s="145"/>
      <c r="K142" s="977"/>
      <c r="L142" s="977"/>
      <c r="M142" s="977"/>
      <c r="N142" s="977"/>
      <c r="O142" s="977"/>
      <c r="P142" s="977"/>
      <c r="Q142" s="977"/>
      <c r="R142" s="977"/>
      <c r="S142" s="977"/>
      <c r="T142" s="977"/>
      <c r="U142" s="977"/>
      <c r="V142" s="977"/>
      <c r="W142" s="977"/>
      <c r="X142" s="978"/>
      <c r="Y142" s="977"/>
      <c r="Z142" s="977"/>
      <c r="AA142" s="978"/>
      <c r="AB142" s="977"/>
      <c r="AC142" s="977"/>
      <c r="AD142" s="977"/>
      <c r="AE142" s="977"/>
      <c r="AF142" s="977"/>
      <c r="AG142" s="977"/>
    </row>
    <row r="143" spans="1:33" x14ac:dyDescent="0.2">
      <c r="A143" s="977"/>
      <c r="B143" s="977"/>
      <c r="C143" s="977"/>
      <c r="D143" s="977"/>
      <c r="E143" s="977"/>
      <c r="F143" s="977"/>
      <c r="G143" s="977"/>
      <c r="H143" s="977"/>
      <c r="I143" s="145"/>
      <c r="J143" s="145"/>
      <c r="K143" s="977"/>
      <c r="L143" s="977"/>
      <c r="M143" s="977"/>
      <c r="N143" s="977"/>
      <c r="O143" s="977"/>
      <c r="P143" s="977"/>
      <c r="Q143" s="977"/>
      <c r="R143" s="977"/>
      <c r="S143" s="977"/>
      <c r="T143" s="977"/>
      <c r="U143" s="977"/>
      <c r="V143" s="977"/>
      <c r="W143" s="977"/>
      <c r="X143" s="978"/>
      <c r="Y143" s="977"/>
      <c r="Z143" s="977"/>
      <c r="AA143" s="978"/>
      <c r="AB143" s="977"/>
      <c r="AC143" s="977"/>
      <c r="AD143" s="977"/>
      <c r="AE143" s="977"/>
      <c r="AF143" s="977"/>
      <c r="AG143" s="977"/>
    </row>
    <row r="144" spans="1:33" x14ac:dyDescent="0.2">
      <c r="A144" s="977"/>
      <c r="B144" s="977"/>
      <c r="C144" s="977"/>
      <c r="D144" s="977"/>
      <c r="E144" s="977"/>
      <c r="F144" s="977"/>
      <c r="G144" s="977"/>
      <c r="H144" s="977"/>
      <c r="I144" s="145"/>
      <c r="J144" s="145"/>
      <c r="K144" s="977"/>
      <c r="L144" s="977"/>
      <c r="M144" s="977"/>
      <c r="N144" s="977"/>
      <c r="O144" s="977"/>
      <c r="P144" s="977"/>
      <c r="Q144" s="977"/>
      <c r="R144" s="977"/>
      <c r="S144" s="977"/>
      <c r="T144" s="977"/>
      <c r="U144" s="977"/>
      <c r="V144" s="977"/>
      <c r="W144" s="977"/>
      <c r="X144" s="978"/>
      <c r="Y144" s="977"/>
      <c r="Z144" s="977"/>
      <c r="AA144" s="978"/>
      <c r="AB144" s="977"/>
      <c r="AC144" s="977"/>
      <c r="AD144" s="977"/>
      <c r="AE144" s="977"/>
      <c r="AF144" s="977"/>
      <c r="AG144" s="977"/>
    </row>
    <row r="145" spans="1:33" x14ac:dyDescent="0.2">
      <c r="A145" s="977"/>
      <c r="B145" s="977"/>
      <c r="C145" s="977"/>
      <c r="D145" s="977"/>
      <c r="E145" s="977"/>
      <c r="F145" s="977"/>
      <c r="G145" s="977"/>
      <c r="H145" s="977"/>
      <c r="I145" s="145"/>
      <c r="J145" s="145"/>
      <c r="K145" s="977"/>
      <c r="L145" s="977"/>
      <c r="M145" s="977"/>
      <c r="N145" s="977"/>
      <c r="O145" s="977"/>
      <c r="P145" s="977"/>
      <c r="Q145" s="977"/>
      <c r="R145" s="977"/>
      <c r="S145" s="977"/>
      <c r="T145" s="977"/>
      <c r="U145" s="977"/>
      <c r="V145" s="977"/>
      <c r="W145" s="977"/>
      <c r="X145" s="978"/>
      <c r="Y145" s="977"/>
      <c r="Z145" s="977"/>
      <c r="AA145" s="978"/>
      <c r="AB145" s="977"/>
      <c r="AC145" s="977"/>
      <c r="AD145" s="977"/>
      <c r="AE145" s="977"/>
      <c r="AF145" s="977"/>
      <c r="AG145" s="977"/>
    </row>
    <row r="146" spans="1:33" x14ac:dyDescent="0.2">
      <c r="A146" s="977"/>
      <c r="B146" s="977"/>
      <c r="C146" s="977"/>
      <c r="D146" s="977"/>
      <c r="E146" s="977"/>
      <c r="F146" s="977"/>
      <c r="G146" s="977"/>
      <c r="H146" s="977"/>
      <c r="I146" s="145"/>
      <c r="J146" s="145"/>
      <c r="K146" s="977"/>
      <c r="L146" s="977"/>
      <c r="M146" s="977"/>
      <c r="N146" s="977"/>
      <c r="O146" s="977"/>
      <c r="P146" s="977"/>
      <c r="Q146" s="977"/>
      <c r="R146" s="977"/>
      <c r="S146" s="977"/>
      <c r="T146" s="977"/>
      <c r="U146" s="977"/>
      <c r="V146" s="977"/>
      <c r="W146" s="977"/>
      <c r="X146" s="978"/>
      <c r="Y146" s="977"/>
      <c r="Z146" s="977"/>
      <c r="AA146" s="978"/>
      <c r="AB146" s="977"/>
      <c r="AC146" s="977"/>
      <c r="AD146" s="977"/>
      <c r="AE146" s="977"/>
      <c r="AF146" s="977"/>
      <c r="AG146" s="977"/>
    </row>
    <row r="147" spans="1:33" x14ac:dyDescent="0.2">
      <c r="A147" s="977"/>
      <c r="B147" s="977"/>
      <c r="C147" s="977"/>
      <c r="D147" s="977"/>
      <c r="E147" s="977"/>
      <c r="F147" s="977"/>
      <c r="G147" s="977"/>
      <c r="H147" s="977"/>
      <c r="I147" s="145"/>
      <c r="J147" s="145"/>
      <c r="K147" s="977"/>
      <c r="L147" s="977"/>
      <c r="M147" s="977"/>
      <c r="N147" s="977"/>
      <c r="O147" s="977"/>
      <c r="P147" s="977"/>
      <c r="Q147" s="977"/>
      <c r="R147" s="977"/>
      <c r="S147" s="977"/>
      <c r="T147" s="977"/>
      <c r="U147" s="977"/>
      <c r="V147" s="977"/>
      <c r="W147" s="977"/>
      <c r="X147" s="978"/>
      <c r="Y147" s="977"/>
      <c r="Z147" s="977"/>
      <c r="AA147" s="978"/>
      <c r="AB147" s="977"/>
      <c r="AC147" s="977"/>
      <c r="AD147" s="977"/>
      <c r="AE147" s="977"/>
      <c r="AF147" s="977"/>
      <c r="AG147" s="977"/>
    </row>
    <row r="148" spans="1:33" x14ac:dyDescent="0.2">
      <c r="A148" s="977"/>
      <c r="B148" s="977"/>
      <c r="C148" s="977"/>
      <c r="D148" s="977"/>
      <c r="E148" s="977"/>
      <c r="F148" s="977"/>
      <c r="G148" s="977"/>
      <c r="H148" s="977"/>
      <c r="I148" s="145"/>
      <c r="J148" s="145"/>
      <c r="K148" s="977"/>
      <c r="L148" s="977"/>
      <c r="M148" s="977"/>
      <c r="N148" s="977"/>
      <c r="O148" s="977"/>
      <c r="P148" s="977"/>
      <c r="Q148" s="977"/>
      <c r="R148" s="977"/>
      <c r="S148" s="977"/>
      <c r="T148" s="977"/>
      <c r="U148" s="977"/>
      <c r="V148" s="977"/>
      <c r="W148" s="977"/>
      <c r="X148" s="978"/>
      <c r="Y148" s="977"/>
      <c r="Z148" s="977"/>
      <c r="AA148" s="978"/>
      <c r="AB148" s="977"/>
      <c r="AC148" s="977"/>
      <c r="AD148" s="977"/>
      <c r="AE148" s="977"/>
      <c r="AF148" s="977"/>
      <c r="AG148" s="977"/>
    </row>
    <row r="149" spans="1:33" x14ac:dyDescent="0.2">
      <c r="A149" s="977"/>
      <c r="B149" s="977"/>
      <c r="C149" s="977"/>
      <c r="D149" s="977"/>
      <c r="E149" s="977"/>
      <c r="F149" s="977"/>
      <c r="G149" s="977"/>
      <c r="H149" s="977"/>
      <c r="I149" s="145"/>
      <c r="J149" s="145"/>
      <c r="K149" s="977"/>
      <c r="L149" s="977"/>
      <c r="M149" s="977"/>
      <c r="N149" s="977"/>
      <c r="O149" s="977"/>
      <c r="P149" s="977"/>
      <c r="Q149" s="977"/>
      <c r="R149" s="977"/>
      <c r="S149" s="977"/>
      <c r="T149" s="977"/>
      <c r="U149" s="977"/>
      <c r="V149" s="977"/>
      <c r="W149" s="977"/>
      <c r="X149" s="978"/>
      <c r="Y149" s="977"/>
      <c r="Z149" s="977"/>
      <c r="AA149" s="978"/>
      <c r="AB149" s="977"/>
      <c r="AC149" s="977"/>
      <c r="AD149" s="977"/>
      <c r="AE149" s="977"/>
      <c r="AF149" s="977"/>
      <c r="AG149" s="977"/>
    </row>
    <row r="150" spans="1:33" x14ac:dyDescent="0.2">
      <c r="A150" s="977"/>
      <c r="B150" s="977"/>
      <c r="C150" s="977"/>
      <c r="D150" s="977"/>
      <c r="E150" s="977"/>
      <c r="F150" s="977"/>
      <c r="G150" s="977"/>
      <c r="H150" s="977"/>
      <c r="I150" s="145"/>
      <c r="J150" s="145"/>
      <c r="K150" s="977"/>
      <c r="L150" s="977"/>
      <c r="M150" s="977"/>
      <c r="N150" s="977"/>
      <c r="O150" s="977"/>
      <c r="P150" s="977"/>
      <c r="Q150" s="977"/>
      <c r="R150" s="977"/>
      <c r="S150" s="977"/>
      <c r="T150" s="977"/>
      <c r="U150" s="977"/>
      <c r="V150" s="977"/>
      <c r="W150" s="977"/>
      <c r="X150" s="978"/>
      <c r="Y150" s="977"/>
      <c r="Z150" s="977"/>
      <c r="AA150" s="978"/>
      <c r="AB150" s="977"/>
      <c r="AC150" s="977"/>
      <c r="AD150" s="977"/>
      <c r="AE150" s="977"/>
      <c r="AF150" s="977"/>
      <c r="AG150" s="977"/>
    </row>
    <row r="151" spans="1:33" x14ac:dyDescent="0.2">
      <c r="A151" s="977"/>
      <c r="B151" s="977"/>
      <c r="C151" s="977"/>
      <c r="D151" s="977"/>
      <c r="E151" s="977"/>
      <c r="F151" s="977"/>
      <c r="G151" s="977"/>
      <c r="H151" s="977"/>
      <c r="I151" s="145"/>
      <c r="J151" s="145"/>
      <c r="K151" s="977"/>
      <c r="L151" s="977"/>
      <c r="M151" s="977"/>
      <c r="N151" s="977"/>
      <c r="O151" s="977"/>
      <c r="P151" s="977"/>
      <c r="Q151" s="977"/>
      <c r="R151" s="977"/>
      <c r="S151" s="977"/>
      <c r="T151" s="977"/>
      <c r="U151" s="977"/>
      <c r="V151" s="977"/>
      <c r="W151" s="977"/>
      <c r="X151" s="978"/>
      <c r="Y151" s="977"/>
      <c r="Z151" s="977"/>
      <c r="AA151" s="978"/>
      <c r="AB151" s="977"/>
      <c r="AC151" s="977"/>
      <c r="AD151" s="977"/>
      <c r="AE151" s="977"/>
      <c r="AF151" s="977"/>
      <c r="AG151" s="977"/>
    </row>
    <row r="152" spans="1:33" x14ac:dyDescent="0.2">
      <c r="A152" s="977"/>
      <c r="B152" s="977"/>
      <c r="C152" s="977"/>
      <c r="D152" s="977"/>
      <c r="E152" s="977"/>
      <c r="F152" s="977"/>
      <c r="G152" s="977"/>
      <c r="H152" s="977"/>
      <c r="I152" s="145"/>
      <c r="J152" s="145"/>
      <c r="K152" s="977"/>
      <c r="L152" s="977"/>
      <c r="M152" s="977"/>
      <c r="N152" s="977"/>
      <c r="O152" s="977"/>
      <c r="P152" s="977"/>
      <c r="Q152" s="977"/>
      <c r="R152" s="977"/>
      <c r="S152" s="977"/>
      <c r="T152" s="977"/>
      <c r="U152" s="977"/>
      <c r="V152" s="977"/>
      <c r="W152" s="977"/>
      <c r="X152" s="978"/>
      <c r="Y152" s="977"/>
      <c r="Z152" s="977"/>
      <c r="AA152" s="978"/>
      <c r="AB152" s="977"/>
      <c r="AC152" s="977"/>
      <c r="AD152" s="977"/>
      <c r="AE152" s="977"/>
      <c r="AF152" s="977"/>
      <c r="AG152" s="977"/>
    </row>
    <row r="153" spans="1:33" x14ac:dyDescent="0.2">
      <c r="A153" s="977"/>
      <c r="B153" s="977"/>
      <c r="C153" s="977"/>
      <c r="D153" s="977"/>
      <c r="E153" s="977"/>
      <c r="F153" s="977"/>
      <c r="G153" s="977"/>
      <c r="H153" s="977"/>
      <c r="I153" s="145"/>
      <c r="J153" s="145"/>
      <c r="K153" s="977"/>
      <c r="L153" s="977"/>
      <c r="M153" s="977"/>
      <c r="N153" s="977"/>
      <c r="O153" s="977"/>
      <c r="P153" s="977"/>
      <c r="Q153" s="977"/>
      <c r="R153" s="977"/>
      <c r="S153" s="977"/>
      <c r="T153" s="977"/>
      <c r="U153" s="977"/>
      <c r="V153" s="977"/>
      <c r="W153" s="977"/>
      <c r="X153" s="978"/>
      <c r="Y153" s="977"/>
      <c r="Z153" s="977"/>
      <c r="AA153" s="978"/>
      <c r="AB153" s="977"/>
      <c r="AC153" s="977"/>
      <c r="AD153" s="977"/>
      <c r="AE153" s="977"/>
      <c r="AF153" s="977"/>
      <c r="AG153" s="977"/>
    </row>
    <row r="154" spans="1:33" x14ac:dyDescent="0.2">
      <c r="A154" s="977"/>
      <c r="B154" s="977"/>
      <c r="C154" s="977"/>
      <c r="D154" s="977"/>
      <c r="E154" s="977"/>
      <c r="F154" s="977"/>
      <c r="G154" s="977"/>
      <c r="H154" s="977"/>
      <c r="I154" s="145"/>
      <c r="J154" s="145"/>
      <c r="K154" s="977"/>
      <c r="L154" s="977"/>
      <c r="M154" s="977"/>
      <c r="N154" s="977"/>
      <c r="O154" s="977"/>
      <c r="P154" s="977"/>
      <c r="Q154" s="977"/>
      <c r="R154" s="977"/>
      <c r="S154" s="977"/>
      <c r="T154" s="977"/>
      <c r="U154" s="977"/>
      <c r="V154" s="977"/>
      <c r="W154" s="977"/>
      <c r="X154" s="978"/>
      <c r="Y154" s="977"/>
      <c r="Z154" s="977"/>
      <c r="AA154" s="978"/>
      <c r="AB154" s="977"/>
      <c r="AC154" s="977"/>
      <c r="AD154" s="977"/>
      <c r="AE154" s="977"/>
      <c r="AF154" s="977"/>
      <c r="AG154" s="977"/>
    </row>
    <row r="155" spans="1:33" x14ac:dyDescent="0.2">
      <c r="A155" s="977"/>
      <c r="B155" s="977"/>
      <c r="C155" s="977"/>
      <c r="D155" s="977"/>
      <c r="E155" s="977"/>
      <c r="F155" s="977"/>
      <c r="G155" s="977"/>
      <c r="H155" s="977"/>
      <c r="I155" s="145"/>
      <c r="J155" s="145"/>
      <c r="K155" s="977"/>
      <c r="L155" s="977"/>
      <c r="M155" s="977"/>
      <c r="N155" s="977"/>
      <c r="O155" s="977"/>
      <c r="P155" s="977"/>
      <c r="Q155" s="977"/>
      <c r="R155" s="977"/>
      <c r="S155" s="977"/>
      <c r="T155" s="977"/>
      <c r="U155" s="977"/>
      <c r="V155" s="977"/>
      <c r="W155" s="977"/>
      <c r="X155" s="978"/>
      <c r="Y155" s="977"/>
      <c r="Z155" s="977"/>
      <c r="AA155" s="978"/>
      <c r="AB155" s="977"/>
      <c r="AC155" s="977"/>
      <c r="AD155" s="977"/>
      <c r="AE155" s="977"/>
      <c r="AF155" s="977"/>
      <c r="AG155" s="977"/>
    </row>
    <row r="156" spans="1:33" x14ac:dyDescent="0.2">
      <c r="A156" s="977"/>
      <c r="B156" s="977"/>
      <c r="C156" s="977"/>
      <c r="D156" s="977"/>
      <c r="E156" s="977"/>
      <c r="F156" s="977"/>
      <c r="G156" s="977"/>
      <c r="H156" s="977"/>
      <c r="I156" s="145"/>
      <c r="J156" s="145"/>
      <c r="K156" s="977"/>
      <c r="L156" s="977"/>
      <c r="M156" s="977"/>
      <c r="N156" s="977"/>
      <c r="O156" s="977"/>
      <c r="P156" s="977"/>
      <c r="Q156" s="977"/>
      <c r="R156" s="977"/>
      <c r="S156" s="977"/>
      <c r="T156" s="977"/>
      <c r="U156" s="977"/>
      <c r="V156" s="977"/>
      <c r="W156" s="977"/>
      <c r="X156" s="978"/>
      <c r="Y156" s="977"/>
      <c r="Z156" s="977"/>
      <c r="AA156" s="978"/>
      <c r="AB156" s="977"/>
      <c r="AC156" s="977"/>
      <c r="AD156" s="977"/>
      <c r="AE156" s="977"/>
      <c r="AF156" s="977"/>
      <c r="AG156" s="977"/>
    </row>
    <row r="157" spans="1:33" x14ac:dyDescent="0.2">
      <c r="A157" s="977"/>
      <c r="B157" s="977"/>
      <c r="C157" s="977"/>
      <c r="D157" s="977"/>
      <c r="E157" s="977"/>
      <c r="F157" s="977"/>
      <c r="G157" s="977"/>
      <c r="H157" s="977"/>
      <c r="I157" s="145"/>
      <c r="J157" s="145"/>
      <c r="K157" s="977"/>
      <c r="L157" s="977"/>
      <c r="M157" s="977"/>
      <c r="N157" s="977"/>
      <c r="O157" s="977"/>
      <c r="P157" s="977"/>
      <c r="Q157" s="977"/>
      <c r="R157" s="977"/>
      <c r="S157" s="977"/>
      <c r="T157" s="977"/>
      <c r="U157" s="977"/>
      <c r="V157" s="977"/>
      <c r="W157" s="977"/>
      <c r="X157" s="978"/>
      <c r="Y157" s="977"/>
      <c r="Z157" s="977"/>
      <c r="AA157" s="978"/>
      <c r="AB157" s="977"/>
      <c r="AC157" s="977"/>
      <c r="AD157" s="977"/>
      <c r="AE157" s="977"/>
      <c r="AF157" s="977"/>
      <c r="AG157" s="977"/>
    </row>
    <row r="158" spans="1:33" x14ac:dyDescent="0.2">
      <c r="A158" s="977"/>
      <c r="B158" s="977"/>
      <c r="C158" s="977"/>
      <c r="D158" s="977"/>
      <c r="E158" s="977"/>
      <c r="F158" s="977"/>
      <c r="G158" s="977"/>
      <c r="H158" s="977"/>
      <c r="I158" s="145"/>
      <c r="J158" s="145"/>
      <c r="K158" s="977"/>
      <c r="L158" s="977"/>
      <c r="M158" s="977"/>
      <c r="N158" s="977"/>
      <c r="O158" s="977"/>
      <c r="P158" s="977"/>
      <c r="Q158" s="977"/>
      <c r="R158" s="977"/>
      <c r="S158" s="977"/>
      <c r="T158" s="977"/>
      <c r="U158" s="977"/>
      <c r="V158" s="977"/>
      <c r="W158" s="977"/>
      <c r="X158" s="978"/>
      <c r="Y158" s="977"/>
      <c r="Z158" s="977"/>
      <c r="AA158" s="978"/>
      <c r="AB158" s="977"/>
      <c r="AC158" s="977"/>
      <c r="AD158" s="977"/>
      <c r="AE158" s="977"/>
      <c r="AF158" s="977"/>
      <c r="AG158" s="977"/>
    </row>
    <row r="159" spans="1:33" x14ac:dyDescent="0.2">
      <c r="A159" s="977"/>
      <c r="B159" s="977"/>
      <c r="C159" s="977"/>
      <c r="D159" s="977"/>
      <c r="E159" s="977"/>
      <c r="F159" s="977"/>
      <c r="G159" s="977"/>
      <c r="H159" s="977"/>
      <c r="I159" s="145"/>
      <c r="J159" s="145"/>
      <c r="K159" s="977"/>
      <c r="L159" s="977"/>
      <c r="M159" s="977"/>
      <c r="N159" s="977"/>
      <c r="O159" s="977"/>
      <c r="P159" s="977"/>
      <c r="Q159" s="977"/>
      <c r="R159" s="977"/>
      <c r="S159" s="977"/>
      <c r="T159" s="977"/>
      <c r="U159" s="977"/>
      <c r="V159" s="977"/>
      <c r="W159" s="977"/>
      <c r="X159" s="978"/>
      <c r="Y159" s="977"/>
      <c r="Z159" s="977"/>
      <c r="AA159" s="978"/>
      <c r="AB159" s="977"/>
      <c r="AC159" s="977"/>
      <c r="AD159" s="977"/>
      <c r="AE159" s="977"/>
      <c r="AF159" s="977"/>
      <c r="AG159" s="977"/>
    </row>
    <row r="160" spans="1:33" x14ac:dyDescent="0.2">
      <c r="A160" s="977"/>
      <c r="B160" s="977"/>
      <c r="C160" s="977"/>
      <c r="D160" s="977"/>
      <c r="E160" s="977"/>
      <c r="F160" s="977"/>
      <c r="G160" s="977"/>
      <c r="H160" s="977"/>
      <c r="I160" s="145"/>
      <c r="J160" s="145"/>
      <c r="K160" s="977"/>
      <c r="L160" s="977"/>
      <c r="M160" s="977"/>
      <c r="N160" s="977"/>
      <c r="O160" s="977"/>
      <c r="P160" s="977"/>
      <c r="Q160" s="977"/>
      <c r="R160" s="977"/>
      <c r="S160" s="977"/>
      <c r="T160" s="977"/>
      <c r="U160" s="977"/>
      <c r="V160" s="977"/>
      <c r="W160" s="977"/>
      <c r="X160" s="978"/>
      <c r="Y160" s="977"/>
      <c r="Z160" s="977"/>
      <c r="AA160" s="978"/>
      <c r="AB160" s="977"/>
      <c r="AC160" s="977"/>
      <c r="AD160" s="977"/>
      <c r="AE160" s="977"/>
      <c r="AF160" s="977"/>
      <c r="AG160" s="977"/>
    </row>
    <row r="161" spans="1:33" x14ac:dyDescent="0.2">
      <c r="A161" s="977"/>
      <c r="B161" s="977"/>
      <c r="C161" s="977"/>
      <c r="D161" s="977"/>
      <c r="E161" s="977"/>
      <c r="F161" s="977"/>
      <c r="G161" s="977"/>
      <c r="H161" s="977"/>
      <c r="I161" s="145"/>
      <c r="J161" s="145"/>
      <c r="K161" s="977"/>
      <c r="L161" s="977"/>
      <c r="M161" s="977"/>
      <c r="N161" s="977"/>
      <c r="O161" s="977"/>
      <c r="P161" s="977"/>
      <c r="Q161" s="977"/>
      <c r="R161" s="977"/>
      <c r="S161" s="977"/>
      <c r="T161" s="977"/>
      <c r="U161" s="977"/>
      <c r="V161" s="977"/>
      <c r="W161" s="977"/>
      <c r="X161" s="978"/>
      <c r="Y161" s="977"/>
      <c r="Z161" s="977"/>
      <c r="AA161" s="978"/>
      <c r="AB161" s="977"/>
      <c r="AC161" s="977"/>
      <c r="AD161" s="977"/>
      <c r="AE161" s="977"/>
      <c r="AF161" s="977"/>
      <c r="AG161" s="977"/>
    </row>
    <row r="162" spans="1:33" x14ac:dyDescent="0.2">
      <c r="A162" s="977"/>
      <c r="B162" s="977"/>
      <c r="C162" s="977"/>
      <c r="D162" s="977"/>
      <c r="E162" s="977"/>
      <c r="F162" s="977"/>
      <c r="G162" s="977"/>
      <c r="H162" s="977"/>
      <c r="I162" s="145"/>
      <c r="J162" s="145"/>
      <c r="K162" s="977"/>
      <c r="L162" s="977"/>
      <c r="M162" s="977"/>
      <c r="N162" s="977"/>
      <c r="O162" s="977"/>
      <c r="P162" s="977"/>
      <c r="Q162" s="977"/>
      <c r="R162" s="977"/>
      <c r="S162" s="977"/>
      <c r="T162" s="977"/>
      <c r="U162" s="977"/>
      <c r="V162" s="977"/>
      <c r="W162" s="977"/>
      <c r="X162" s="978"/>
      <c r="Y162" s="977"/>
      <c r="Z162" s="977"/>
      <c r="AA162" s="978"/>
      <c r="AB162" s="977"/>
      <c r="AC162" s="977"/>
      <c r="AD162" s="977"/>
      <c r="AE162" s="977"/>
      <c r="AF162" s="977"/>
      <c r="AG162" s="977"/>
    </row>
    <row r="163" spans="1:33" x14ac:dyDescent="0.2">
      <c r="A163" s="977"/>
      <c r="B163" s="977"/>
      <c r="C163" s="977"/>
      <c r="D163" s="977"/>
      <c r="E163" s="977"/>
      <c r="F163" s="977"/>
      <c r="G163" s="977"/>
      <c r="H163" s="977"/>
      <c r="I163" s="145"/>
      <c r="J163" s="145"/>
      <c r="K163" s="977"/>
      <c r="L163" s="977"/>
      <c r="M163" s="977"/>
      <c r="N163" s="977"/>
      <c r="O163" s="977"/>
      <c r="P163" s="977"/>
      <c r="Q163" s="977"/>
      <c r="R163" s="977"/>
      <c r="S163" s="977"/>
      <c r="T163" s="977"/>
      <c r="U163" s="977"/>
      <c r="V163" s="977"/>
      <c r="W163" s="977"/>
      <c r="X163" s="978"/>
      <c r="Y163" s="977"/>
      <c r="Z163" s="977"/>
      <c r="AA163" s="978"/>
      <c r="AB163" s="977"/>
      <c r="AC163" s="977"/>
      <c r="AD163" s="977"/>
      <c r="AE163" s="977"/>
      <c r="AF163" s="977"/>
      <c r="AG163" s="977"/>
    </row>
    <row r="164" spans="1:33" x14ac:dyDescent="0.2">
      <c r="A164" s="977"/>
      <c r="B164" s="977"/>
      <c r="C164" s="977"/>
      <c r="D164" s="977"/>
      <c r="E164" s="977"/>
      <c r="F164" s="977"/>
      <c r="G164" s="977"/>
      <c r="H164" s="977"/>
      <c r="I164" s="145"/>
      <c r="J164" s="145"/>
      <c r="K164" s="977"/>
      <c r="L164" s="977"/>
      <c r="M164" s="977"/>
      <c r="N164" s="977"/>
      <c r="O164" s="977"/>
      <c r="P164" s="977"/>
      <c r="Q164" s="977"/>
      <c r="R164" s="977"/>
      <c r="S164" s="977"/>
      <c r="T164" s="977"/>
      <c r="U164" s="977"/>
      <c r="V164" s="977"/>
      <c r="W164" s="977"/>
      <c r="X164" s="978"/>
      <c r="Y164" s="977"/>
      <c r="Z164" s="977"/>
      <c r="AA164" s="978"/>
      <c r="AB164" s="977"/>
      <c r="AC164" s="977"/>
      <c r="AD164" s="977"/>
      <c r="AE164" s="977"/>
      <c r="AF164" s="977"/>
      <c r="AG164" s="977"/>
    </row>
    <row r="165" spans="1:33" x14ac:dyDescent="0.2">
      <c r="A165" s="977"/>
      <c r="B165" s="977"/>
      <c r="C165" s="977"/>
      <c r="D165" s="977"/>
      <c r="E165" s="977"/>
      <c r="F165" s="977"/>
      <c r="G165" s="977"/>
      <c r="H165" s="977"/>
      <c r="I165" s="145"/>
      <c r="J165" s="145"/>
      <c r="K165" s="977"/>
      <c r="L165" s="977"/>
      <c r="M165" s="977"/>
      <c r="N165" s="977"/>
      <c r="O165" s="977"/>
      <c r="P165" s="977"/>
      <c r="Q165" s="977"/>
      <c r="R165" s="977"/>
      <c r="S165" s="977"/>
      <c r="T165" s="977"/>
      <c r="U165" s="977"/>
      <c r="V165" s="977"/>
      <c r="W165" s="977"/>
      <c r="X165" s="978"/>
      <c r="Y165" s="977"/>
      <c r="Z165" s="977"/>
      <c r="AA165" s="978"/>
      <c r="AB165" s="977"/>
      <c r="AC165" s="977"/>
      <c r="AD165" s="977"/>
      <c r="AE165" s="977"/>
      <c r="AF165" s="977"/>
      <c r="AG165" s="977"/>
    </row>
    <row r="166" spans="1:33" x14ac:dyDescent="0.2">
      <c r="A166" s="977"/>
      <c r="B166" s="977"/>
      <c r="C166" s="977"/>
      <c r="D166" s="977"/>
      <c r="E166" s="977"/>
      <c r="F166" s="977"/>
      <c r="G166" s="977"/>
      <c r="H166" s="977"/>
      <c r="I166" s="145"/>
      <c r="J166" s="145"/>
      <c r="K166" s="977"/>
      <c r="L166" s="977"/>
      <c r="M166" s="977"/>
      <c r="N166" s="977"/>
      <c r="O166" s="977"/>
      <c r="P166" s="977"/>
      <c r="Q166" s="977"/>
      <c r="R166" s="977"/>
      <c r="S166" s="977"/>
      <c r="T166" s="977"/>
      <c r="U166" s="977"/>
      <c r="V166" s="977"/>
      <c r="W166" s="977"/>
      <c r="X166" s="978"/>
      <c r="Y166" s="977"/>
      <c r="Z166" s="977"/>
      <c r="AA166" s="978"/>
      <c r="AB166" s="977"/>
      <c r="AC166" s="977"/>
      <c r="AD166" s="977"/>
      <c r="AE166" s="977"/>
      <c r="AF166" s="977"/>
      <c r="AG166" s="977"/>
    </row>
    <row r="167" spans="1:33" x14ac:dyDescent="0.2">
      <c r="A167" s="977"/>
      <c r="B167" s="977"/>
      <c r="C167" s="977"/>
      <c r="D167" s="977"/>
      <c r="E167" s="977"/>
      <c r="F167" s="977"/>
      <c r="G167" s="977"/>
      <c r="H167" s="977"/>
      <c r="I167" s="145"/>
      <c r="J167" s="145"/>
      <c r="K167" s="977"/>
      <c r="L167" s="977"/>
      <c r="M167" s="977"/>
      <c r="N167" s="977"/>
      <c r="O167" s="977"/>
      <c r="P167" s="977"/>
      <c r="Q167" s="977"/>
      <c r="R167" s="977"/>
      <c r="S167" s="977"/>
      <c r="T167" s="977"/>
      <c r="U167" s="977"/>
      <c r="V167" s="977"/>
      <c r="W167" s="977"/>
      <c r="X167" s="978"/>
      <c r="Y167" s="977"/>
      <c r="Z167" s="977"/>
      <c r="AA167" s="978"/>
      <c r="AB167" s="977"/>
      <c r="AC167" s="977"/>
      <c r="AD167" s="977"/>
      <c r="AE167" s="977"/>
      <c r="AF167" s="977"/>
      <c r="AG167" s="977"/>
    </row>
    <row r="168" spans="1:33" x14ac:dyDescent="0.2">
      <c r="A168" s="977"/>
      <c r="B168" s="977"/>
      <c r="C168" s="977"/>
      <c r="D168" s="977"/>
      <c r="E168" s="977"/>
      <c r="F168" s="977"/>
      <c r="G168" s="977"/>
      <c r="H168" s="977"/>
      <c r="I168" s="145"/>
      <c r="J168" s="145"/>
      <c r="K168" s="977"/>
      <c r="L168" s="977"/>
      <c r="M168" s="977"/>
      <c r="N168" s="977"/>
      <c r="O168" s="977"/>
      <c r="P168" s="977"/>
      <c r="Q168" s="977"/>
      <c r="R168" s="977"/>
      <c r="S168" s="977"/>
      <c r="T168" s="977"/>
      <c r="U168" s="977"/>
      <c r="V168" s="977"/>
      <c r="W168" s="977"/>
      <c r="X168" s="978"/>
      <c r="Y168" s="977"/>
      <c r="Z168" s="977"/>
      <c r="AA168" s="978"/>
      <c r="AB168" s="977"/>
      <c r="AC168" s="977"/>
      <c r="AD168" s="977"/>
      <c r="AE168" s="977"/>
      <c r="AF168" s="977"/>
      <c r="AG168" s="977"/>
    </row>
    <row r="169" spans="1:33" x14ac:dyDescent="0.2">
      <c r="A169" s="977"/>
      <c r="B169" s="977"/>
      <c r="C169" s="977"/>
      <c r="D169" s="977"/>
      <c r="E169" s="977"/>
      <c r="F169" s="977"/>
      <c r="G169" s="977"/>
      <c r="H169" s="977"/>
      <c r="I169" s="145"/>
      <c r="J169" s="145"/>
      <c r="K169" s="977"/>
      <c r="L169" s="977"/>
      <c r="M169" s="977"/>
      <c r="N169" s="977"/>
      <c r="O169" s="977"/>
      <c r="P169" s="977"/>
      <c r="Q169" s="977"/>
      <c r="R169" s="977"/>
      <c r="S169" s="977"/>
      <c r="T169" s="977"/>
      <c r="U169" s="977"/>
      <c r="V169" s="977"/>
      <c r="W169" s="977"/>
      <c r="X169" s="978"/>
      <c r="Y169" s="977"/>
      <c r="Z169" s="977"/>
      <c r="AA169" s="978"/>
      <c r="AB169" s="977"/>
      <c r="AC169" s="977"/>
      <c r="AD169" s="977"/>
      <c r="AE169" s="977"/>
      <c r="AF169" s="977"/>
      <c r="AG169" s="977"/>
    </row>
    <row r="170" spans="1:33" x14ac:dyDescent="0.2">
      <c r="A170" s="977"/>
      <c r="B170" s="977"/>
      <c r="C170" s="977"/>
      <c r="D170" s="977"/>
      <c r="E170" s="977"/>
      <c r="F170" s="977"/>
      <c r="G170" s="977"/>
      <c r="H170" s="977"/>
      <c r="I170" s="145"/>
      <c r="J170" s="145"/>
      <c r="K170" s="977"/>
      <c r="L170" s="977"/>
      <c r="M170" s="977"/>
      <c r="N170" s="977"/>
      <c r="O170" s="977"/>
      <c r="P170" s="977"/>
      <c r="Q170" s="977"/>
      <c r="R170" s="977"/>
      <c r="S170" s="977"/>
      <c r="T170" s="977"/>
      <c r="U170" s="977"/>
      <c r="V170" s="977"/>
      <c r="W170" s="977"/>
      <c r="X170" s="978"/>
      <c r="Y170" s="977"/>
      <c r="Z170" s="977"/>
      <c r="AA170" s="978"/>
      <c r="AB170" s="977"/>
      <c r="AC170" s="977"/>
      <c r="AD170" s="977"/>
      <c r="AE170" s="977"/>
      <c r="AF170" s="977"/>
      <c r="AG170" s="977"/>
    </row>
    <row r="171" spans="1:33" x14ac:dyDescent="0.2">
      <c r="A171" s="977"/>
      <c r="B171" s="977"/>
      <c r="C171" s="977"/>
      <c r="D171" s="977"/>
      <c r="E171" s="977"/>
      <c r="F171" s="977"/>
      <c r="G171" s="977"/>
      <c r="H171" s="977"/>
      <c r="I171" s="145"/>
      <c r="J171" s="145"/>
      <c r="K171" s="977"/>
      <c r="L171" s="977"/>
      <c r="M171" s="977"/>
      <c r="N171" s="977"/>
      <c r="O171" s="977"/>
      <c r="P171" s="977"/>
      <c r="Q171" s="977"/>
      <c r="R171" s="977"/>
      <c r="S171" s="977"/>
      <c r="T171" s="977"/>
      <c r="U171" s="977"/>
      <c r="V171" s="977"/>
      <c r="W171" s="977"/>
      <c r="X171" s="978"/>
      <c r="Y171" s="977"/>
      <c r="Z171" s="977"/>
      <c r="AA171" s="978"/>
      <c r="AB171" s="977"/>
      <c r="AC171" s="977"/>
      <c r="AD171" s="977"/>
      <c r="AE171" s="977"/>
      <c r="AF171" s="977"/>
      <c r="AG171" s="977"/>
    </row>
    <row r="172" spans="1:33" x14ac:dyDescent="0.2">
      <c r="A172" s="977"/>
      <c r="B172" s="977"/>
      <c r="C172" s="977"/>
      <c r="D172" s="977"/>
      <c r="E172" s="977"/>
      <c r="F172" s="977"/>
      <c r="G172" s="977"/>
      <c r="H172" s="977"/>
      <c r="I172" s="145"/>
      <c r="J172" s="145"/>
      <c r="K172" s="977"/>
      <c r="L172" s="977"/>
      <c r="M172" s="977"/>
      <c r="N172" s="977"/>
      <c r="O172" s="977"/>
      <c r="P172" s="977"/>
      <c r="Q172" s="977"/>
      <c r="R172" s="977"/>
      <c r="S172" s="977"/>
      <c r="T172" s="977"/>
      <c r="U172" s="977"/>
      <c r="V172" s="977"/>
      <c r="W172" s="977"/>
      <c r="X172" s="978"/>
      <c r="Y172" s="977"/>
      <c r="Z172" s="977"/>
      <c r="AA172" s="978"/>
      <c r="AB172" s="977"/>
      <c r="AC172" s="977"/>
      <c r="AD172" s="977"/>
      <c r="AE172" s="977"/>
      <c r="AF172" s="977"/>
      <c r="AG172" s="977"/>
    </row>
    <row r="173" spans="1:33" x14ac:dyDescent="0.2">
      <c r="A173" s="977"/>
      <c r="B173" s="977"/>
      <c r="C173" s="977"/>
      <c r="D173" s="977"/>
      <c r="E173" s="977"/>
      <c r="F173" s="977"/>
      <c r="G173" s="977"/>
      <c r="H173" s="977"/>
      <c r="I173" s="145"/>
      <c r="J173" s="145"/>
      <c r="K173" s="977"/>
      <c r="L173" s="977"/>
      <c r="M173" s="977"/>
      <c r="N173" s="977"/>
      <c r="O173" s="977"/>
      <c r="P173" s="977"/>
      <c r="Q173" s="977"/>
      <c r="R173" s="977"/>
      <c r="S173" s="977"/>
      <c r="T173" s="977"/>
      <c r="U173" s="977"/>
      <c r="V173" s="977"/>
      <c r="W173" s="977"/>
      <c r="X173" s="978"/>
      <c r="Y173" s="977"/>
      <c r="Z173" s="977"/>
      <c r="AA173" s="978"/>
      <c r="AB173" s="977"/>
      <c r="AC173" s="977"/>
      <c r="AD173" s="977"/>
      <c r="AE173" s="977"/>
      <c r="AF173" s="977"/>
      <c r="AG173" s="977"/>
    </row>
    <row r="174" spans="1:33" x14ac:dyDescent="0.2">
      <c r="A174" s="977"/>
      <c r="B174" s="977"/>
      <c r="C174" s="977"/>
      <c r="D174" s="977"/>
      <c r="E174" s="977"/>
      <c r="F174" s="977"/>
      <c r="G174" s="977"/>
      <c r="H174" s="977"/>
      <c r="I174" s="145"/>
      <c r="J174" s="145"/>
      <c r="K174" s="977"/>
      <c r="L174" s="977"/>
      <c r="M174" s="977"/>
      <c r="N174" s="977"/>
      <c r="O174" s="977"/>
      <c r="P174" s="977"/>
      <c r="Q174" s="977"/>
      <c r="R174" s="977"/>
      <c r="S174" s="977"/>
      <c r="T174" s="977"/>
      <c r="U174" s="977"/>
      <c r="V174" s="977"/>
      <c r="W174" s="977"/>
      <c r="X174" s="978"/>
      <c r="Y174" s="977"/>
      <c r="Z174" s="977"/>
      <c r="AA174" s="978"/>
      <c r="AB174" s="977"/>
      <c r="AC174" s="977"/>
      <c r="AD174" s="977"/>
      <c r="AE174" s="977"/>
      <c r="AF174" s="977"/>
      <c r="AG174" s="977"/>
    </row>
    <row r="175" spans="1:33" x14ac:dyDescent="0.2">
      <c r="A175" s="977"/>
      <c r="B175" s="977"/>
      <c r="C175" s="977"/>
      <c r="D175" s="977"/>
      <c r="E175" s="977"/>
      <c r="F175" s="977"/>
      <c r="G175" s="977"/>
      <c r="H175" s="977"/>
      <c r="I175" s="145"/>
      <c r="J175" s="145"/>
      <c r="K175" s="977"/>
      <c r="L175" s="977"/>
      <c r="M175" s="977"/>
      <c r="N175" s="977"/>
      <c r="O175" s="977"/>
      <c r="P175" s="977"/>
      <c r="Q175" s="977"/>
      <c r="R175" s="977"/>
      <c r="S175" s="977"/>
      <c r="T175" s="977"/>
      <c r="U175" s="977"/>
      <c r="V175" s="977"/>
      <c r="W175" s="977"/>
      <c r="X175" s="978"/>
      <c r="Y175" s="977"/>
      <c r="Z175" s="977"/>
      <c r="AA175" s="978"/>
      <c r="AB175" s="977"/>
      <c r="AC175" s="977"/>
      <c r="AD175" s="977"/>
      <c r="AE175" s="977"/>
      <c r="AF175" s="977"/>
      <c r="AG175" s="977"/>
    </row>
    <row r="176" spans="1:33" x14ac:dyDescent="0.2">
      <c r="A176" s="977"/>
      <c r="B176" s="977"/>
      <c r="C176" s="977"/>
      <c r="D176" s="977"/>
      <c r="E176" s="977"/>
      <c r="F176" s="977"/>
      <c r="G176" s="977"/>
      <c r="H176" s="977"/>
      <c r="I176" s="145"/>
      <c r="J176" s="145"/>
      <c r="K176" s="977"/>
      <c r="L176" s="977"/>
      <c r="M176" s="977"/>
      <c r="N176" s="977"/>
      <c r="O176" s="977"/>
      <c r="P176" s="977"/>
      <c r="Q176" s="977"/>
      <c r="R176" s="977"/>
      <c r="S176" s="977"/>
      <c r="T176" s="977"/>
      <c r="U176" s="977"/>
      <c r="V176" s="977"/>
      <c r="W176" s="977"/>
      <c r="X176" s="978"/>
      <c r="Y176" s="977"/>
      <c r="Z176" s="977"/>
      <c r="AA176" s="978"/>
      <c r="AB176" s="977"/>
      <c r="AC176" s="977"/>
      <c r="AD176" s="977"/>
      <c r="AE176" s="977"/>
      <c r="AF176" s="977"/>
      <c r="AG176" s="977"/>
    </row>
    <row r="177" spans="1:33" x14ac:dyDescent="0.2">
      <c r="A177" s="977"/>
      <c r="B177" s="977"/>
      <c r="C177" s="977"/>
      <c r="D177" s="977"/>
      <c r="E177" s="977"/>
      <c r="F177" s="977"/>
      <c r="G177" s="977"/>
      <c r="H177" s="977"/>
      <c r="I177" s="145"/>
      <c r="J177" s="145"/>
      <c r="K177" s="977"/>
      <c r="L177" s="977"/>
      <c r="M177" s="977"/>
      <c r="N177" s="977"/>
      <c r="O177" s="977"/>
      <c r="P177" s="977"/>
      <c r="Q177" s="977"/>
      <c r="R177" s="977"/>
      <c r="S177" s="977"/>
      <c r="T177" s="977"/>
      <c r="U177" s="977"/>
      <c r="V177" s="977"/>
      <c r="W177" s="977"/>
      <c r="X177" s="978"/>
      <c r="Y177" s="977"/>
      <c r="Z177" s="977"/>
      <c r="AA177" s="978"/>
      <c r="AB177" s="977"/>
      <c r="AC177" s="977"/>
      <c r="AD177" s="977"/>
      <c r="AE177" s="977"/>
      <c r="AF177" s="977"/>
      <c r="AG177" s="977"/>
    </row>
    <row r="178" spans="1:33" x14ac:dyDescent="0.2">
      <c r="A178" s="977"/>
      <c r="B178" s="977"/>
      <c r="C178" s="977"/>
      <c r="D178" s="977"/>
      <c r="E178" s="977"/>
      <c r="F178" s="977"/>
      <c r="G178" s="977"/>
      <c r="H178" s="977"/>
      <c r="I178" s="145"/>
      <c r="J178" s="145"/>
      <c r="K178" s="977"/>
      <c r="L178" s="977"/>
      <c r="M178" s="977"/>
      <c r="N178" s="977"/>
      <c r="O178" s="977"/>
      <c r="P178" s="977"/>
      <c r="Q178" s="977"/>
      <c r="R178" s="977"/>
      <c r="S178" s="977"/>
      <c r="T178" s="977"/>
      <c r="U178" s="977"/>
      <c r="V178" s="977"/>
      <c r="W178" s="977"/>
      <c r="X178" s="978"/>
      <c r="Y178" s="977"/>
      <c r="Z178" s="977"/>
      <c r="AA178" s="978"/>
      <c r="AB178" s="977"/>
      <c r="AC178" s="977"/>
      <c r="AD178" s="977"/>
      <c r="AE178" s="977"/>
      <c r="AF178" s="977"/>
      <c r="AG178" s="977"/>
    </row>
    <row r="179" spans="1:33" x14ac:dyDescent="0.2">
      <c r="A179" s="977"/>
      <c r="B179" s="977"/>
      <c r="C179" s="977"/>
      <c r="D179" s="977"/>
      <c r="E179" s="977"/>
      <c r="F179" s="977"/>
      <c r="G179" s="977"/>
      <c r="H179" s="977"/>
      <c r="I179" s="145"/>
      <c r="J179" s="145"/>
      <c r="K179" s="977"/>
      <c r="L179" s="977"/>
      <c r="M179" s="977"/>
      <c r="N179" s="977"/>
      <c r="O179" s="977"/>
      <c r="P179" s="977"/>
      <c r="Q179" s="977"/>
      <c r="R179" s="977"/>
      <c r="S179" s="977"/>
      <c r="T179" s="977"/>
      <c r="U179" s="977"/>
      <c r="V179" s="977"/>
      <c r="W179" s="977"/>
      <c r="X179" s="978"/>
      <c r="Y179" s="977"/>
      <c r="Z179" s="977"/>
      <c r="AA179" s="978"/>
      <c r="AB179" s="977"/>
      <c r="AC179" s="977"/>
      <c r="AD179" s="977"/>
      <c r="AE179" s="977"/>
      <c r="AF179" s="977"/>
      <c r="AG179" s="977"/>
    </row>
    <row r="180" spans="1:33" x14ac:dyDescent="0.2">
      <c r="A180" s="977"/>
      <c r="B180" s="977"/>
      <c r="C180" s="977"/>
      <c r="D180" s="977"/>
      <c r="E180" s="977"/>
      <c r="F180" s="977"/>
      <c r="G180" s="977"/>
      <c r="H180" s="977"/>
      <c r="I180" s="145"/>
      <c r="J180" s="145"/>
      <c r="K180" s="977"/>
      <c r="L180" s="977"/>
      <c r="M180" s="977"/>
      <c r="N180" s="977"/>
      <c r="O180" s="977"/>
      <c r="P180" s="977"/>
      <c r="Q180" s="977"/>
      <c r="R180" s="977"/>
      <c r="S180" s="977"/>
      <c r="T180" s="977"/>
      <c r="U180" s="977"/>
      <c r="V180" s="977"/>
      <c r="W180" s="977"/>
      <c r="X180" s="978"/>
      <c r="Y180" s="977"/>
      <c r="Z180" s="977"/>
      <c r="AA180" s="978"/>
      <c r="AB180" s="977"/>
      <c r="AC180" s="977"/>
      <c r="AD180" s="977"/>
      <c r="AE180" s="977"/>
      <c r="AF180" s="977"/>
      <c r="AG180" s="977"/>
    </row>
    <row r="181" spans="1:33" x14ac:dyDescent="0.2">
      <c r="A181" s="977"/>
      <c r="B181" s="977"/>
      <c r="C181" s="977"/>
      <c r="D181" s="977"/>
      <c r="E181" s="977"/>
      <c r="F181" s="977"/>
      <c r="G181" s="977"/>
      <c r="H181" s="977"/>
      <c r="I181" s="145"/>
      <c r="J181" s="145"/>
      <c r="K181" s="977"/>
      <c r="L181" s="977"/>
      <c r="M181" s="977"/>
      <c r="N181" s="977"/>
      <c r="O181" s="977"/>
      <c r="P181" s="977"/>
      <c r="Q181" s="977"/>
      <c r="R181" s="977"/>
      <c r="S181" s="977"/>
      <c r="T181" s="977"/>
      <c r="U181" s="977"/>
      <c r="V181" s="977"/>
      <c r="W181" s="977"/>
      <c r="X181" s="978"/>
      <c r="Y181" s="977"/>
      <c r="Z181" s="977"/>
      <c r="AA181" s="978"/>
      <c r="AB181" s="977"/>
      <c r="AC181" s="977"/>
      <c r="AD181" s="977"/>
      <c r="AE181" s="977"/>
      <c r="AF181" s="977"/>
      <c r="AG181" s="977"/>
    </row>
    <row r="182" spans="1:33" x14ac:dyDescent="0.2">
      <c r="A182" s="977"/>
      <c r="B182" s="977"/>
      <c r="C182" s="977"/>
      <c r="D182" s="977"/>
      <c r="E182" s="977"/>
      <c r="F182" s="977"/>
      <c r="G182" s="977"/>
      <c r="H182" s="977"/>
      <c r="I182" s="145"/>
      <c r="J182" s="145"/>
      <c r="K182" s="977"/>
      <c r="L182" s="977"/>
      <c r="M182" s="977"/>
      <c r="N182" s="977"/>
      <c r="O182" s="977"/>
      <c r="P182" s="977"/>
      <c r="Q182" s="977"/>
      <c r="R182" s="977"/>
      <c r="S182" s="977"/>
      <c r="T182" s="977"/>
      <c r="U182" s="977"/>
      <c r="V182" s="977"/>
      <c r="W182" s="977"/>
      <c r="X182" s="978"/>
      <c r="Y182" s="977"/>
      <c r="Z182" s="977"/>
      <c r="AA182" s="978"/>
      <c r="AB182" s="977"/>
      <c r="AC182" s="977"/>
      <c r="AD182" s="977"/>
      <c r="AE182" s="977"/>
      <c r="AF182" s="977"/>
      <c r="AG182" s="977"/>
    </row>
    <row r="183" spans="1:33" x14ac:dyDescent="0.2">
      <c r="A183" s="977"/>
      <c r="B183" s="977"/>
      <c r="C183" s="977"/>
      <c r="D183" s="977"/>
      <c r="E183" s="977"/>
      <c r="F183" s="977"/>
      <c r="G183" s="977"/>
      <c r="H183" s="977"/>
      <c r="I183" s="145"/>
      <c r="J183" s="145"/>
      <c r="K183" s="977"/>
      <c r="L183" s="977"/>
      <c r="M183" s="977"/>
      <c r="N183" s="977"/>
      <c r="O183" s="977"/>
      <c r="P183" s="977"/>
      <c r="Q183" s="977"/>
      <c r="R183" s="977"/>
      <c r="S183" s="977"/>
      <c r="T183" s="977"/>
      <c r="U183" s="977"/>
      <c r="V183" s="977"/>
      <c r="W183" s="977"/>
      <c r="X183" s="978"/>
      <c r="Y183" s="977"/>
      <c r="Z183" s="977"/>
      <c r="AA183" s="978"/>
      <c r="AB183" s="977"/>
      <c r="AC183" s="977"/>
      <c r="AD183" s="977"/>
      <c r="AE183" s="977"/>
      <c r="AF183" s="977"/>
      <c r="AG183" s="977"/>
    </row>
    <row r="184" spans="1:33" x14ac:dyDescent="0.2">
      <c r="A184" s="977"/>
      <c r="B184" s="977"/>
      <c r="C184" s="977"/>
      <c r="D184" s="977"/>
      <c r="E184" s="977"/>
      <c r="F184" s="977"/>
      <c r="G184" s="977"/>
      <c r="H184" s="977"/>
      <c r="I184" s="145"/>
      <c r="J184" s="145"/>
      <c r="K184" s="977"/>
      <c r="L184" s="977"/>
      <c r="M184" s="977"/>
      <c r="N184" s="977"/>
      <c r="O184" s="977"/>
      <c r="P184" s="977"/>
      <c r="Q184" s="977"/>
      <c r="R184" s="977"/>
      <c r="S184" s="977"/>
      <c r="T184" s="977"/>
      <c r="U184" s="977"/>
      <c r="V184" s="977"/>
      <c r="W184" s="977"/>
      <c r="X184" s="978"/>
      <c r="Y184" s="977"/>
      <c r="Z184" s="977"/>
      <c r="AA184" s="978"/>
      <c r="AB184" s="977"/>
      <c r="AC184" s="977"/>
      <c r="AD184" s="977"/>
      <c r="AE184" s="977"/>
      <c r="AF184" s="977"/>
      <c r="AG184" s="977"/>
    </row>
    <row r="185" spans="1:33" x14ac:dyDescent="0.2">
      <c r="A185" s="977"/>
      <c r="B185" s="977"/>
      <c r="C185" s="977"/>
      <c r="D185" s="977"/>
      <c r="E185" s="977"/>
      <c r="F185" s="977"/>
      <c r="G185" s="977"/>
      <c r="H185" s="977"/>
      <c r="I185" s="145"/>
      <c r="J185" s="145"/>
      <c r="K185" s="977"/>
      <c r="L185" s="977"/>
      <c r="M185" s="977"/>
      <c r="N185" s="977"/>
      <c r="O185" s="977"/>
      <c r="P185" s="977"/>
      <c r="Q185" s="977"/>
      <c r="R185" s="977"/>
      <c r="S185" s="977"/>
      <c r="T185" s="977"/>
      <c r="U185" s="977"/>
      <c r="V185" s="977"/>
      <c r="W185" s="977"/>
      <c r="X185" s="978"/>
      <c r="Y185" s="977"/>
      <c r="Z185" s="977"/>
      <c r="AA185" s="978"/>
      <c r="AB185" s="977"/>
      <c r="AC185" s="977"/>
      <c r="AD185" s="977"/>
      <c r="AE185" s="977"/>
      <c r="AF185" s="977"/>
      <c r="AG185" s="977"/>
    </row>
    <row r="186" spans="1:33" x14ac:dyDescent="0.2">
      <c r="A186" s="977"/>
      <c r="B186" s="977"/>
      <c r="C186" s="977"/>
      <c r="D186" s="977"/>
      <c r="E186" s="977"/>
      <c r="F186" s="977"/>
      <c r="G186" s="977"/>
      <c r="H186" s="977"/>
      <c r="I186" s="145"/>
      <c r="J186" s="145"/>
      <c r="K186" s="977"/>
      <c r="L186" s="977"/>
      <c r="M186" s="977"/>
      <c r="N186" s="977"/>
      <c r="O186" s="977"/>
      <c r="P186" s="977"/>
      <c r="Q186" s="977"/>
      <c r="R186" s="977"/>
      <c r="S186" s="977"/>
      <c r="T186" s="977"/>
      <c r="U186" s="977"/>
      <c r="V186" s="977"/>
      <c r="W186" s="977"/>
      <c r="X186" s="978"/>
      <c r="Y186" s="977"/>
      <c r="Z186" s="977"/>
      <c r="AA186" s="978"/>
      <c r="AB186" s="977"/>
      <c r="AC186" s="977"/>
      <c r="AD186" s="977"/>
      <c r="AE186" s="977"/>
      <c r="AF186" s="977"/>
      <c r="AG186" s="977"/>
    </row>
    <row r="187" spans="1:33" x14ac:dyDescent="0.2">
      <c r="A187" s="977"/>
      <c r="B187" s="977"/>
      <c r="C187" s="977"/>
      <c r="D187" s="977"/>
      <c r="E187" s="977"/>
      <c r="F187" s="977"/>
      <c r="G187" s="977"/>
      <c r="H187" s="977"/>
      <c r="I187" s="145"/>
      <c r="J187" s="145"/>
      <c r="K187" s="977"/>
      <c r="L187" s="977"/>
      <c r="M187" s="977"/>
      <c r="N187" s="977"/>
      <c r="O187" s="977"/>
      <c r="P187" s="977"/>
      <c r="Q187" s="977"/>
      <c r="R187" s="977"/>
      <c r="S187" s="977"/>
      <c r="T187" s="977"/>
      <c r="U187" s="977"/>
      <c r="V187" s="977"/>
      <c r="W187" s="977"/>
      <c r="X187" s="978"/>
      <c r="Y187" s="977"/>
      <c r="Z187" s="977"/>
      <c r="AA187" s="978"/>
      <c r="AB187" s="977"/>
      <c r="AC187" s="977"/>
      <c r="AD187" s="977"/>
      <c r="AE187" s="977"/>
      <c r="AF187" s="977"/>
      <c r="AG187" s="977"/>
    </row>
    <row r="188" spans="1:33" x14ac:dyDescent="0.2">
      <c r="A188" s="977"/>
      <c r="B188" s="977"/>
      <c r="C188" s="977"/>
      <c r="D188" s="977"/>
      <c r="E188" s="977"/>
      <c r="F188" s="977"/>
      <c r="G188" s="977"/>
      <c r="H188" s="977"/>
      <c r="I188" s="145"/>
      <c r="J188" s="145"/>
      <c r="K188" s="977"/>
      <c r="L188" s="977"/>
      <c r="M188" s="977"/>
      <c r="N188" s="977"/>
      <c r="O188" s="977"/>
      <c r="P188" s="977"/>
      <c r="Q188" s="977"/>
      <c r="R188" s="977"/>
      <c r="S188" s="977"/>
      <c r="T188" s="977"/>
      <c r="U188" s="977"/>
      <c r="V188" s="977"/>
      <c r="W188" s="977"/>
      <c r="X188" s="978"/>
      <c r="Y188" s="977"/>
      <c r="Z188" s="977"/>
      <c r="AA188" s="978"/>
      <c r="AB188" s="977"/>
      <c r="AC188" s="977"/>
      <c r="AD188" s="977"/>
      <c r="AE188" s="977"/>
      <c r="AF188" s="977"/>
      <c r="AG188" s="977"/>
    </row>
    <row r="189" spans="1:33" x14ac:dyDescent="0.2">
      <c r="A189" s="977"/>
      <c r="B189" s="977"/>
      <c r="C189" s="977"/>
      <c r="D189" s="977"/>
      <c r="E189" s="977"/>
      <c r="F189" s="977"/>
      <c r="G189" s="977"/>
      <c r="H189" s="977"/>
      <c r="I189" s="145"/>
      <c r="J189" s="145"/>
      <c r="K189" s="977"/>
      <c r="L189" s="977"/>
      <c r="M189" s="977"/>
      <c r="N189" s="977"/>
      <c r="O189" s="977"/>
      <c r="P189" s="977"/>
      <c r="Q189" s="977"/>
      <c r="R189" s="977"/>
      <c r="S189" s="977"/>
      <c r="T189" s="977"/>
      <c r="U189" s="977"/>
      <c r="V189" s="977"/>
      <c r="W189" s="977"/>
      <c r="X189" s="978"/>
      <c r="Y189" s="977"/>
      <c r="Z189" s="977"/>
      <c r="AA189" s="978"/>
      <c r="AB189" s="977"/>
      <c r="AC189" s="977"/>
      <c r="AD189" s="977"/>
      <c r="AE189" s="977"/>
      <c r="AF189" s="977"/>
      <c r="AG189" s="977"/>
    </row>
    <row r="190" spans="1:33" x14ac:dyDescent="0.2">
      <c r="A190" s="977"/>
      <c r="B190" s="977"/>
      <c r="C190" s="977"/>
      <c r="D190" s="977"/>
      <c r="E190" s="977"/>
      <c r="F190" s="977"/>
      <c r="G190" s="977"/>
      <c r="H190" s="977"/>
      <c r="I190" s="145"/>
      <c r="J190" s="145"/>
      <c r="K190" s="977"/>
      <c r="L190" s="977"/>
      <c r="M190" s="977"/>
      <c r="N190" s="977"/>
      <c r="O190" s="977"/>
      <c r="P190" s="977"/>
      <c r="Q190" s="977"/>
      <c r="R190" s="977"/>
      <c r="S190" s="977"/>
      <c r="T190" s="977"/>
      <c r="U190" s="977"/>
      <c r="V190" s="977"/>
      <c r="W190" s="977"/>
      <c r="X190" s="978"/>
      <c r="Y190" s="977"/>
      <c r="Z190" s="977"/>
      <c r="AA190" s="978"/>
      <c r="AB190" s="977"/>
      <c r="AC190" s="977"/>
      <c r="AD190" s="977"/>
      <c r="AE190" s="977"/>
      <c r="AF190" s="977"/>
      <c r="AG190" s="977"/>
    </row>
    <row r="191" spans="1:33" x14ac:dyDescent="0.2">
      <c r="A191" s="977"/>
      <c r="B191" s="977"/>
      <c r="C191" s="977"/>
      <c r="D191" s="977"/>
      <c r="E191" s="977"/>
      <c r="F191" s="977"/>
      <c r="G191" s="977"/>
      <c r="H191" s="977"/>
      <c r="I191" s="145"/>
      <c r="J191" s="145"/>
      <c r="K191" s="977"/>
      <c r="L191" s="977"/>
      <c r="M191" s="977"/>
      <c r="N191" s="977"/>
      <c r="O191" s="977"/>
      <c r="P191" s="977"/>
      <c r="Q191" s="977"/>
      <c r="R191" s="977"/>
      <c r="S191" s="977"/>
      <c r="T191" s="977"/>
      <c r="U191" s="977"/>
      <c r="V191" s="977"/>
      <c r="W191" s="977"/>
      <c r="X191" s="978"/>
      <c r="Y191" s="977"/>
      <c r="Z191" s="977"/>
      <c r="AA191" s="978"/>
      <c r="AB191" s="977"/>
      <c r="AC191" s="977"/>
      <c r="AD191" s="977"/>
      <c r="AE191" s="977"/>
      <c r="AF191" s="977"/>
      <c r="AG191" s="977"/>
    </row>
    <row r="192" spans="1:33" x14ac:dyDescent="0.2">
      <c r="A192" s="977"/>
      <c r="B192" s="977"/>
      <c r="C192" s="977"/>
      <c r="D192" s="977"/>
      <c r="E192" s="977"/>
      <c r="F192" s="977"/>
      <c r="G192" s="977"/>
      <c r="H192" s="977"/>
      <c r="I192" s="145"/>
      <c r="J192" s="145"/>
      <c r="K192" s="977"/>
      <c r="L192" s="977"/>
      <c r="M192" s="977"/>
      <c r="N192" s="977"/>
      <c r="O192" s="977"/>
      <c r="P192" s="977"/>
      <c r="Q192" s="977"/>
      <c r="R192" s="977"/>
      <c r="S192" s="977"/>
      <c r="T192" s="977"/>
      <c r="U192" s="977"/>
      <c r="V192" s="977"/>
      <c r="W192" s="977"/>
      <c r="X192" s="978"/>
      <c r="Y192" s="977"/>
      <c r="Z192" s="977"/>
      <c r="AA192" s="978"/>
      <c r="AB192" s="977"/>
      <c r="AC192" s="977"/>
      <c r="AD192" s="977"/>
      <c r="AE192" s="977"/>
      <c r="AF192" s="977"/>
      <c r="AG192" s="977"/>
    </row>
    <row r="193" spans="1:33" x14ac:dyDescent="0.2">
      <c r="A193" s="977"/>
      <c r="B193" s="977"/>
      <c r="C193" s="977"/>
      <c r="D193" s="977"/>
      <c r="E193" s="977"/>
      <c r="F193" s="977"/>
      <c r="G193" s="977"/>
      <c r="H193" s="977"/>
      <c r="I193" s="145"/>
      <c r="J193" s="145"/>
      <c r="K193" s="977"/>
      <c r="L193" s="977"/>
      <c r="M193" s="977"/>
      <c r="N193" s="977"/>
      <c r="O193" s="977"/>
      <c r="P193" s="977"/>
      <c r="Q193" s="977"/>
      <c r="R193" s="977"/>
      <c r="S193" s="977"/>
      <c r="T193" s="977"/>
      <c r="U193" s="977"/>
      <c r="V193" s="977"/>
      <c r="W193" s="977"/>
      <c r="X193" s="978"/>
      <c r="Y193" s="977"/>
      <c r="Z193" s="977"/>
      <c r="AA193" s="978"/>
      <c r="AB193" s="977"/>
      <c r="AC193" s="977"/>
      <c r="AD193" s="977"/>
      <c r="AE193" s="977"/>
      <c r="AF193" s="977"/>
      <c r="AG193" s="977"/>
    </row>
    <row r="194" spans="1:33" x14ac:dyDescent="0.2">
      <c r="A194" s="977"/>
      <c r="B194" s="977"/>
      <c r="C194" s="977"/>
      <c r="D194" s="977"/>
      <c r="E194" s="977"/>
      <c r="F194" s="977"/>
      <c r="G194" s="977"/>
      <c r="H194" s="977"/>
      <c r="I194" s="145"/>
      <c r="J194" s="145"/>
      <c r="K194" s="977"/>
      <c r="L194" s="977"/>
      <c r="M194" s="977"/>
      <c r="N194" s="977"/>
      <c r="O194" s="977"/>
      <c r="P194" s="977"/>
      <c r="Q194" s="977"/>
      <c r="R194" s="977"/>
      <c r="S194" s="977"/>
      <c r="T194" s="977"/>
      <c r="U194" s="977"/>
      <c r="V194" s="977"/>
      <c r="W194" s="977"/>
      <c r="X194" s="978"/>
      <c r="Y194" s="977"/>
      <c r="Z194" s="977"/>
      <c r="AA194" s="978"/>
      <c r="AB194" s="977"/>
      <c r="AC194" s="977"/>
      <c r="AD194" s="977"/>
      <c r="AE194" s="977"/>
      <c r="AF194" s="977"/>
      <c r="AG194" s="977"/>
    </row>
    <row r="195" spans="1:33" x14ac:dyDescent="0.2">
      <c r="A195" s="977"/>
      <c r="B195" s="977"/>
      <c r="C195" s="977"/>
      <c r="D195" s="977"/>
      <c r="E195" s="977"/>
      <c r="F195" s="977"/>
      <c r="G195" s="977"/>
      <c r="H195" s="977"/>
      <c r="I195" s="145"/>
      <c r="J195" s="145"/>
      <c r="K195" s="977"/>
      <c r="L195" s="977"/>
      <c r="M195" s="977"/>
      <c r="N195" s="977"/>
      <c r="O195" s="977"/>
      <c r="P195" s="977"/>
      <c r="Q195" s="977"/>
      <c r="R195" s="977"/>
      <c r="S195" s="977"/>
      <c r="T195" s="977"/>
      <c r="U195" s="977"/>
      <c r="V195" s="977"/>
      <c r="W195" s="977"/>
      <c r="X195" s="978"/>
      <c r="Y195" s="977"/>
      <c r="Z195" s="977"/>
      <c r="AA195" s="978"/>
      <c r="AB195" s="977"/>
      <c r="AC195" s="977"/>
      <c r="AD195" s="977"/>
      <c r="AE195" s="977"/>
      <c r="AF195" s="977"/>
      <c r="AG195" s="977"/>
    </row>
    <row r="196" spans="1:33" x14ac:dyDescent="0.2">
      <c r="A196" s="977"/>
      <c r="B196" s="977"/>
      <c r="C196" s="977"/>
      <c r="D196" s="977"/>
      <c r="E196" s="977"/>
      <c r="F196" s="977"/>
      <c r="G196" s="977"/>
      <c r="H196" s="977"/>
      <c r="I196" s="145"/>
      <c r="J196" s="145"/>
      <c r="K196" s="977"/>
      <c r="L196" s="977"/>
      <c r="M196" s="977"/>
      <c r="N196" s="977"/>
      <c r="O196" s="977"/>
      <c r="P196" s="977"/>
      <c r="Q196" s="977"/>
      <c r="R196" s="977"/>
      <c r="S196" s="977"/>
      <c r="T196" s="977"/>
      <c r="U196" s="977"/>
      <c r="V196" s="977"/>
      <c r="W196" s="977"/>
      <c r="X196" s="978"/>
      <c r="Y196" s="977"/>
      <c r="Z196" s="977"/>
      <c r="AA196" s="978"/>
      <c r="AB196" s="977"/>
      <c r="AC196" s="977"/>
      <c r="AD196" s="977"/>
      <c r="AE196" s="977"/>
      <c r="AF196" s="977"/>
      <c r="AG196" s="977"/>
    </row>
    <row r="197" spans="1:33" x14ac:dyDescent="0.2">
      <c r="A197" s="977"/>
      <c r="B197" s="977"/>
      <c r="C197" s="977"/>
      <c r="D197" s="977"/>
      <c r="E197" s="977"/>
      <c r="F197" s="977"/>
      <c r="G197" s="977"/>
      <c r="H197" s="977"/>
      <c r="I197" s="145"/>
      <c r="J197" s="145"/>
      <c r="K197" s="977"/>
      <c r="L197" s="977"/>
      <c r="M197" s="977"/>
      <c r="N197" s="977"/>
      <c r="O197" s="977"/>
      <c r="P197" s="977"/>
      <c r="Q197" s="977"/>
      <c r="R197" s="977"/>
      <c r="S197" s="977"/>
      <c r="T197" s="977"/>
      <c r="U197" s="977"/>
      <c r="V197" s="977"/>
      <c r="W197" s="977"/>
      <c r="X197" s="978"/>
      <c r="Y197" s="977"/>
      <c r="Z197" s="977"/>
      <c r="AA197" s="978"/>
      <c r="AB197" s="977"/>
      <c r="AC197" s="977"/>
      <c r="AD197" s="977"/>
      <c r="AE197" s="977"/>
      <c r="AF197" s="977"/>
      <c r="AG197" s="977"/>
    </row>
    <row r="198" spans="1:33" x14ac:dyDescent="0.2">
      <c r="A198" s="977"/>
      <c r="B198" s="977"/>
      <c r="C198" s="977"/>
      <c r="D198" s="977"/>
      <c r="E198" s="977"/>
      <c r="F198" s="977"/>
      <c r="G198" s="977"/>
      <c r="H198" s="977"/>
      <c r="I198" s="145"/>
      <c r="J198" s="145"/>
      <c r="K198" s="977"/>
      <c r="L198" s="977"/>
      <c r="M198" s="977"/>
      <c r="N198" s="977"/>
      <c r="O198" s="977"/>
      <c r="P198" s="977"/>
      <c r="Q198" s="977"/>
      <c r="R198" s="977"/>
      <c r="S198" s="977"/>
      <c r="T198" s="977"/>
      <c r="U198" s="977"/>
      <c r="V198" s="977"/>
      <c r="W198" s="977"/>
      <c r="X198" s="978"/>
      <c r="Y198" s="977"/>
      <c r="Z198" s="977"/>
      <c r="AA198" s="978"/>
      <c r="AB198" s="977"/>
      <c r="AC198" s="977"/>
      <c r="AD198" s="977"/>
      <c r="AE198" s="977"/>
      <c r="AF198" s="977"/>
      <c r="AG198" s="977"/>
    </row>
    <row r="199" spans="1:33" x14ac:dyDescent="0.2">
      <c r="A199" s="977"/>
      <c r="B199" s="977"/>
      <c r="C199" s="977"/>
      <c r="D199" s="977"/>
      <c r="E199" s="977"/>
      <c r="F199" s="977"/>
      <c r="G199" s="977"/>
      <c r="H199" s="977"/>
      <c r="I199" s="145"/>
      <c r="J199" s="145"/>
      <c r="K199" s="977"/>
      <c r="L199" s="977"/>
      <c r="M199" s="977"/>
      <c r="N199" s="977"/>
      <c r="O199" s="977"/>
      <c r="P199" s="977"/>
      <c r="Q199" s="977"/>
      <c r="R199" s="977"/>
      <c r="S199" s="977"/>
      <c r="T199" s="977"/>
      <c r="U199" s="977"/>
      <c r="V199" s="977"/>
      <c r="W199" s="977"/>
      <c r="X199" s="978"/>
      <c r="Y199" s="977"/>
      <c r="Z199" s="977"/>
      <c r="AA199" s="978"/>
      <c r="AB199" s="977"/>
      <c r="AC199" s="977"/>
      <c r="AD199" s="977"/>
      <c r="AE199" s="977"/>
      <c r="AF199" s="977"/>
      <c r="AG199" s="977"/>
    </row>
    <row r="200" spans="1:33" x14ac:dyDescent="0.2">
      <c r="A200" s="977"/>
      <c r="B200" s="977"/>
      <c r="C200" s="977"/>
      <c r="D200" s="977"/>
      <c r="E200" s="977"/>
      <c r="F200" s="977"/>
      <c r="G200" s="977"/>
      <c r="H200" s="977"/>
      <c r="I200" s="145"/>
      <c r="J200" s="145"/>
      <c r="K200" s="977"/>
      <c r="L200" s="977"/>
      <c r="M200" s="977"/>
      <c r="N200" s="977"/>
      <c r="O200" s="977"/>
      <c r="P200" s="977"/>
      <c r="Q200" s="977"/>
      <c r="R200" s="977"/>
      <c r="S200" s="977"/>
      <c r="T200" s="977"/>
      <c r="U200" s="977"/>
      <c r="V200" s="977"/>
      <c r="W200" s="977"/>
      <c r="X200" s="978"/>
      <c r="Y200" s="977"/>
      <c r="Z200" s="977"/>
      <c r="AA200" s="978"/>
      <c r="AB200" s="977"/>
      <c r="AC200" s="977"/>
      <c r="AD200" s="977"/>
      <c r="AE200" s="977"/>
      <c r="AF200" s="977"/>
      <c r="AG200" s="977"/>
    </row>
    <row r="201" spans="1:33" x14ac:dyDescent="0.2">
      <c r="A201" s="977"/>
      <c r="B201" s="977"/>
      <c r="C201" s="977"/>
      <c r="D201" s="977"/>
      <c r="E201" s="977"/>
      <c r="F201" s="977"/>
      <c r="G201" s="977"/>
      <c r="H201" s="977"/>
      <c r="I201" s="145"/>
      <c r="J201" s="145"/>
      <c r="K201" s="977"/>
      <c r="L201" s="977"/>
      <c r="M201" s="977"/>
      <c r="N201" s="977"/>
      <c r="O201" s="977"/>
      <c r="P201" s="977"/>
      <c r="Q201" s="977"/>
      <c r="R201" s="977"/>
      <c r="S201" s="977"/>
      <c r="T201" s="977"/>
      <c r="U201" s="977"/>
      <c r="V201" s="977"/>
      <c r="W201" s="977"/>
      <c r="X201" s="978"/>
      <c r="Y201" s="977"/>
      <c r="Z201" s="977"/>
      <c r="AA201" s="978"/>
      <c r="AB201" s="977"/>
      <c r="AC201" s="977"/>
      <c r="AD201" s="977"/>
      <c r="AE201" s="977"/>
      <c r="AF201" s="977"/>
      <c r="AG201" s="977"/>
    </row>
    <row r="202" spans="1:33" x14ac:dyDescent="0.2">
      <c r="A202" s="977"/>
      <c r="B202" s="977"/>
      <c r="C202" s="977"/>
      <c r="D202" s="977"/>
      <c r="E202" s="977"/>
      <c r="F202" s="977"/>
      <c r="G202" s="977"/>
      <c r="H202" s="977"/>
      <c r="I202" s="145"/>
      <c r="J202" s="145"/>
      <c r="K202" s="977"/>
      <c r="L202" s="977"/>
      <c r="M202" s="977"/>
      <c r="N202" s="977"/>
      <c r="O202" s="977"/>
      <c r="P202" s="977"/>
      <c r="Q202" s="977"/>
      <c r="R202" s="977"/>
      <c r="S202" s="977"/>
      <c r="T202" s="977"/>
      <c r="U202" s="977"/>
      <c r="V202" s="977"/>
      <c r="W202" s="977"/>
      <c r="X202" s="978"/>
      <c r="Y202" s="977"/>
      <c r="Z202" s="977"/>
      <c r="AA202" s="978"/>
      <c r="AB202" s="977"/>
      <c r="AC202" s="977"/>
      <c r="AD202" s="977"/>
      <c r="AE202" s="977"/>
      <c r="AF202" s="977"/>
      <c r="AG202" s="977"/>
    </row>
    <row r="203" spans="1:33" x14ac:dyDescent="0.2">
      <c r="A203" s="977"/>
      <c r="B203" s="977"/>
      <c r="C203" s="977"/>
      <c r="D203" s="977"/>
      <c r="E203" s="977"/>
      <c r="F203" s="977"/>
      <c r="G203" s="977"/>
      <c r="H203" s="977"/>
      <c r="I203" s="145"/>
      <c r="J203" s="145"/>
      <c r="K203" s="977"/>
      <c r="L203" s="977"/>
      <c r="M203" s="977"/>
      <c r="N203" s="977"/>
      <c r="O203" s="977"/>
      <c r="P203" s="977"/>
      <c r="Q203" s="977"/>
      <c r="R203" s="977"/>
      <c r="S203" s="977"/>
      <c r="T203" s="977"/>
      <c r="U203" s="977"/>
      <c r="V203" s="977"/>
      <c r="W203" s="977"/>
      <c r="X203" s="978"/>
      <c r="Y203" s="977"/>
      <c r="Z203" s="977"/>
      <c r="AA203" s="978"/>
      <c r="AB203" s="977"/>
      <c r="AC203" s="977"/>
      <c r="AD203" s="977"/>
      <c r="AE203" s="977"/>
      <c r="AF203" s="977"/>
      <c r="AG203" s="977"/>
    </row>
    <row r="204" spans="1:33" x14ac:dyDescent="0.2">
      <c r="A204" s="977"/>
      <c r="B204" s="977"/>
      <c r="C204" s="977"/>
      <c r="D204" s="977"/>
      <c r="E204" s="977"/>
      <c r="F204" s="977"/>
      <c r="G204" s="977"/>
      <c r="H204" s="977"/>
      <c r="I204" s="145"/>
      <c r="J204" s="145"/>
      <c r="K204" s="977"/>
      <c r="L204" s="977"/>
      <c r="M204" s="977"/>
      <c r="N204" s="977"/>
      <c r="O204" s="977"/>
      <c r="P204" s="977"/>
      <c r="Q204" s="977"/>
      <c r="R204" s="977"/>
      <c r="S204" s="977"/>
      <c r="T204" s="977"/>
      <c r="U204" s="977"/>
      <c r="V204" s="977"/>
      <c r="W204" s="977"/>
      <c r="X204" s="978"/>
      <c r="Y204" s="977"/>
      <c r="Z204" s="977"/>
      <c r="AA204" s="978"/>
      <c r="AB204" s="977"/>
      <c r="AC204" s="977"/>
      <c r="AD204" s="977"/>
      <c r="AE204" s="977"/>
      <c r="AF204" s="977"/>
      <c r="AG204" s="977"/>
    </row>
    <row r="205" spans="1:33" x14ac:dyDescent="0.2">
      <c r="A205" s="977"/>
      <c r="B205" s="977"/>
      <c r="C205" s="977"/>
      <c r="D205" s="977"/>
      <c r="E205" s="977"/>
      <c r="F205" s="977"/>
      <c r="G205" s="977"/>
      <c r="H205" s="977"/>
      <c r="I205" s="145"/>
      <c r="J205" s="145"/>
      <c r="K205" s="977"/>
      <c r="L205" s="977"/>
      <c r="M205" s="977"/>
      <c r="N205" s="977"/>
      <c r="O205" s="977"/>
      <c r="P205" s="977"/>
      <c r="Q205" s="977"/>
      <c r="R205" s="977"/>
      <c r="S205" s="977"/>
      <c r="T205" s="977"/>
      <c r="U205" s="977"/>
      <c r="V205" s="977"/>
      <c r="W205" s="977"/>
      <c r="X205" s="978"/>
      <c r="Y205" s="977"/>
      <c r="Z205" s="977"/>
      <c r="AA205" s="978"/>
      <c r="AB205" s="977"/>
      <c r="AC205" s="977"/>
      <c r="AD205" s="977"/>
      <c r="AE205" s="977"/>
      <c r="AF205" s="977"/>
      <c r="AG205" s="977"/>
    </row>
    <row r="206" spans="1:33" x14ac:dyDescent="0.2">
      <c r="A206" s="977"/>
      <c r="B206" s="977"/>
      <c r="C206" s="977"/>
      <c r="D206" s="977"/>
      <c r="E206" s="977"/>
      <c r="F206" s="977"/>
      <c r="G206" s="977"/>
      <c r="H206" s="977"/>
      <c r="I206" s="145"/>
      <c r="J206" s="145"/>
      <c r="K206" s="977"/>
      <c r="L206" s="977"/>
      <c r="M206" s="977"/>
      <c r="N206" s="977"/>
      <c r="O206" s="977"/>
      <c r="P206" s="977"/>
      <c r="Q206" s="977"/>
      <c r="R206" s="977"/>
      <c r="S206" s="977"/>
      <c r="T206" s="977"/>
      <c r="U206" s="977"/>
      <c r="V206" s="977"/>
      <c r="W206" s="977"/>
      <c r="X206" s="978"/>
      <c r="Y206" s="977"/>
      <c r="Z206" s="977"/>
      <c r="AA206" s="978"/>
      <c r="AB206" s="977"/>
      <c r="AC206" s="977"/>
      <c r="AD206" s="977"/>
      <c r="AE206" s="977"/>
      <c r="AF206" s="977"/>
      <c r="AG206" s="977"/>
    </row>
    <row r="207" spans="1:33" x14ac:dyDescent="0.2">
      <c r="A207" s="977"/>
      <c r="B207" s="977"/>
      <c r="C207" s="977"/>
      <c r="D207" s="977"/>
      <c r="E207" s="977"/>
      <c r="F207" s="977"/>
      <c r="G207" s="977"/>
      <c r="H207" s="977"/>
      <c r="I207" s="145"/>
      <c r="J207" s="145"/>
      <c r="K207" s="977"/>
      <c r="L207" s="977"/>
      <c r="M207" s="977"/>
      <c r="N207" s="977"/>
      <c r="O207" s="977"/>
      <c r="P207" s="977"/>
      <c r="Q207" s="977"/>
      <c r="R207" s="977"/>
      <c r="S207" s="977"/>
      <c r="T207" s="977"/>
      <c r="U207" s="977"/>
      <c r="V207" s="977"/>
      <c r="W207" s="977"/>
      <c r="X207" s="978"/>
      <c r="Y207" s="977"/>
      <c r="Z207" s="977"/>
      <c r="AA207" s="978"/>
      <c r="AB207" s="977"/>
      <c r="AC207" s="977"/>
      <c r="AD207" s="977"/>
      <c r="AE207" s="977"/>
      <c r="AF207" s="977"/>
      <c r="AG207" s="977"/>
    </row>
    <row r="208" spans="1:33" x14ac:dyDescent="0.2">
      <c r="A208" s="977"/>
      <c r="B208" s="977"/>
      <c r="C208" s="977"/>
      <c r="D208" s="977"/>
      <c r="E208" s="977"/>
      <c r="F208" s="977"/>
      <c r="G208" s="977"/>
      <c r="H208" s="977"/>
      <c r="I208" s="145"/>
      <c r="J208" s="145"/>
      <c r="K208" s="977"/>
      <c r="L208" s="977"/>
      <c r="M208" s="977"/>
      <c r="N208" s="977"/>
      <c r="O208" s="977"/>
      <c r="P208" s="977"/>
      <c r="Q208" s="977"/>
      <c r="R208" s="977"/>
      <c r="S208" s="977"/>
      <c r="T208" s="977"/>
      <c r="U208" s="977"/>
      <c r="V208" s="977"/>
      <c r="W208" s="977"/>
      <c r="X208" s="978"/>
      <c r="Y208" s="977"/>
      <c r="Z208" s="977"/>
      <c r="AA208" s="978"/>
      <c r="AB208" s="977"/>
      <c r="AC208" s="977"/>
      <c r="AD208" s="977"/>
      <c r="AE208" s="977"/>
      <c r="AF208" s="977"/>
      <c r="AG208" s="977"/>
    </row>
    <row r="209" spans="1:33" x14ac:dyDescent="0.2">
      <c r="A209" s="977"/>
      <c r="B209" s="977"/>
      <c r="C209" s="977"/>
      <c r="D209" s="977"/>
      <c r="E209" s="977"/>
      <c r="F209" s="977"/>
      <c r="G209" s="977"/>
      <c r="H209" s="977"/>
      <c r="I209" s="145"/>
      <c r="J209" s="145"/>
      <c r="K209" s="977"/>
      <c r="L209" s="977"/>
      <c r="M209" s="977"/>
      <c r="N209" s="977"/>
      <c r="O209" s="977"/>
      <c r="P209" s="977"/>
      <c r="Q209" s="977"/>
      <c r="R209" s="977"/>
      <c r="S209" s="977"/>
      <c r="T209" s="977"/>
      <c r="U209" s="977"/>
      <c r="V209" s="977"/>
      <c r="W209" s="977"/>
      <c r="X209" s="978"/>
      <c r="Y209" s="977"/>
      <c r="Z209" s="977"/>
      <c r="AA209" s="978"/>
      <c r="AB209" s="977"/>
      <c r="AC209" s="977"/>
      <c r="AD209" s="977"/>
      <c r="AE209" s="977"/>
      <c r="AF209" s="977"/>
      <c r="AG209" s="977"/>
    </row>
    <row r="210" spans="1:33" x14ac:dyDescent="0.2">
      <c r="A210" s="977"/>
      <c r="B210" s="977"/>
      <c r="C210" s="977"/>
      <c r="D210" s="977"/>
      <c r="E210" s="977"/>
      <c r="F210" s="977"/>
      <c r="G210" s="977"/>
      <c r="H210" s="977"/>
      <c r="I210" s="145"/>
      <c r="J210" s="145"/>
      <c r="K210" s="977"/>
      <c r="L210" s="977"/>
      <c r="M210" s="977"/>
      <c r="N210" s="977"/>
      <c r="O210" s="977"/>
      <c r="P210" s="977"/>
      <c r="Q210" s="977"/>
      <c r="R210" s="977"/>
      <c r="S210" s="977"/>
      <c r="T210" s="977"/>
      <c r="U210" s="977"/>
      <c r="V210" s="977"/>
      <c r="W210" s="977"/>
      <c r="X210" s="978"/>
      <c r="Y210" s="977"/>
      <c r="Z210" s="977"/>
      <c r="AA210" s="978"/>
      <c r="AB210" s="977"/>
      <c r="AC210" s="977"/>
      <c r="AD210" s="977"/>
      <c r="AE210" s="977"/>
      <c r="AF210" s="977"/>
      <c r="AG210" s="977"/>
    </row>
    <row r="211" spans="1:33" x14ac:dyDescent="0.2">
      <c r="A211" s="977"/>
      <c r="B211" s="977"/>
      <c r="C211" s="977"/>
      <c r="D211" s="977"/>
      <c r="E211" s="977"/>
      <c r="F211" s="977"/>
      <c r="G211" s="977"/>
      <c r="H211" s="977"/>
      <c r="I211" s="145"/>
      <c r="J211" s="145"/>
      <c r="K211" s="977"/>
      <c r="L211" s="977"/>
      <c r="M211" s="977"/>
      <c r="N211" s="977"/>
      <c r="O211" s="977"/>
      <c r="P211" s="977"/>
      <c r="Q211" s="977"/>
      <c r="R211" s="977"/>
      <c r="S211" s="977"/>
      <c r="T211" s="977"/>
      <c r="U211" s="977"/>
      <c r="V211" s="977"/>
      <c r="W211" s="977"/>
      <c r="X211" s="978"/>
      <c r="Y211" s="977"/>
      <c r="Z211" s="977"/>
      <c r="AA211" s="978"/>
      <c r="AB211" s="977"/>
      <c r="AC211" s="977"/>
      <c r="AD211" s="977"/>
      <c r="AE211" s="977"/>
      <c r="AF211" s="977"/>
      <c r="AG211" s="977"/>
    </row>
    <row r="212" spans="1:33" x14ac:dyDescent="0.2">
      <c r="A212" s="977"/>
      <c r="B212" s="977"/>
      <c r="C212" s="977"/>
      <c r="D212" s="977"/>
      <c r="E212" s="977"/>
      <c r="F212" s="977"/>
      <c r="G212" s="977"/>
      <c r="H212" s="977"/>
      <c r="I212" s="145"/>
      <c r="J212" s="145"/>
      <c r="K212" s="977"/>
      <c r="L212" s="977"/>
      <c r="M212" s="977"/>
      <c r="N212" s="977"/>
      <c r="O212" s="977"/>
      <c r="P212" s="977"/>
      <c r="Q212" s="977"/>
      <c r="R212" s="977"/>
      <c r="S212" s="977"/>
      <c r="T212" s="977"/>
      <c r="U212" s="977"/>
      <c r="V212" s="977"/>
      <c r="W212" s="977"/>
      <c r="X212" s="978"/>
      <c r="Y212" s="977"/>
      <c r="Z212" s="977"/>
      <c r="AA212" s="978"/>
      <c r="AB212" s="977"/>
      <c r="AC212" s="977"/>
      <c r="AD212" s="977"/>
      <c r="AE212" s="977"/>
      <c r="AF212" s="977"/>
      <c r="AG212" s="977"/>
    </row>
    <row r="213" spans="1:33" x14ac:dyDescent="0.2">
      <c r="A213" s="977"/>
      <c r="B213" s="977"/>
      <c r="C213" s="977"/>
      <c r="D213" s="977"/>
      <c r="E213" s="977"/>
      <c r="F213" s="977"/>
      <c r="G213" s="977"/>
      <c r="H213" s="977"/>
      <c r="I213" s="145"/>
      <c r="J213" s="145"/>
      <c r="K213" s="977"/>
      <c r="L213" s="977"/>
      <c r="M213" s="977"/>
      <c r="N213" s="977"/>
      <c r="O213" s="977"/>
      <c r="P213" s="977"/>
      <c r="Q213" s="977"/>
      <c r="R213" s="977"/>
      <c r="S213" s="977"/>
      <c r="T213" s="977"/>
      <c r="U213" s="977"/>
      <c r="V213" s="977"/>
      <c r="W213" s="977"/>
      <c r="X213" s="978"/>
      <c r="Y213" s="977"/>
      <c r="Z213" s="977"/>
      <c r="AA213" s="978"/>
      <c r="AB213" s="977"/>
      <c r="AC213" s="977"/>
      <c r="AD213" s="977"/>
      <c r="AE213" s="977"/>
      <c r="AF213" s="977"/>
      <c r="AG213" s="977"/>
    </row>
    <row r="214" spans="1:33" x14ac:dyDescent="0.2">
      <c r="A214" s="977"/>
      <c r="B214" s="977"/>
      <c r="C214" s="977"/>
      <c r="D214" s="977"/>
      <c r="E214" s="977"/>
      <c r="F214" s="977"/>
      <c r="G214" s="977"/>
      <c r="H214" s="977"/>
      <c r="I214" s="145"/>
      <c r="J214" s="145"/>
      <c r="K214" s="977"/>
      <c r="L214" s="977"/>
      <c r="M214" s="977"/>
      <c r="N214" s="977"/>
      <c r="O214" s="977"/>
      <c r="P214" s="977"/>
      <c r="Q214" s="977"/>
      <c r="R214" s="977"/>
      <c r="S214" s="977"/>
      <c r="T214" s="977"/>
      <c r="U214" s="977"/>
      <c r="V214" s="977"/>
      <c r="W214" s="977"/>
      <c r="X214" s="978"/>
      <c r="Y214" s="977"/>
      <c r="Z214" s="977"/>
      <c r="AA214" s="978"/>
      <c r="AB214" s="977"/>
      <c r="AC214" s="977"/>
      <c r="AD214" s="977"/>
      <c r="AE214" s="977"/>
      <c r="AF214" s="977"/>
      <c r="AG214" s="977"/>
    </row>
    <row r="215" spans="1:33" x14ac:dyDescent="0.2">
      <c r="A215" s="977"/>
      <c r="B215" s="977"/>
      <c r="C215" s="977"/>
      <c r="D215" s="977"/>
      <c r="E215" s="977"/>
      <c r="F215" s="977"/>
      <c r="G215" s="977"/>
      <c r="H215" s="977"/>
      <c r="I215" s="145"/>
      <c r="J215" s="145"/>
      <c r="K215" s="977"/>
      <c r="L215" s="977"/>
      <c r="M215" s="977"/>
      <c r="N215" s="977"/>
      <c r="O215" s="977"/>
      <c r="P215" s="977"/>
      <c r="Q215" s="977"/>
      <c r="R215" s="977"/>
      <c r="S215" s="977"/>
      <c r="T215" s="977"/>
      <c r="U215" s="977"/>
      <c r="V215" s="977"/>
      <c r="W215" s="977"/>
      <c r="X215" s="978"/>
      <c r="Y215" s="977"/>
      <c r="Z215" s="977"/>
      <c r="AA215" s="978"/>
      <c r="AB215" s="977"/>
      <c r="AC215" s="977"/>
      <c r="AD215" s="977"/>
      <c r="AE215" s="977"/>
      <c r="AF215" s="977"/>
      <c r="AG215" s="977"/>
    </row>
    <row r="216" spans="1:33" x14ac:dyDescent="0.2">
      <c r="A216" s="977"/>
      <c r="B216" s="977"/>
      <c r="C216" s="977"/>
      <c r="D216" s="977"/>
      <c r="E216" s="977"/>
      <c r="F216" s="977"/>
      <c r="G216" s="977"/>
      <c r="H216" s="977"/>
      <c r="I216" s="145"/>
      <c r="J216" s="145"/>
      <c r="K216" s="977"/>
      <c r="L216" s="977"/>
      <c r="M216" s="977"/>
      <c r="N216" s="977"/>
      <c r="O216" s="977"/>
      <c r="P216" s="977"/>
      <c r="Q216" s="977"/>
      <c r="R216" s="977"/>
      <c r="S216" s="977"/>
      <c r="T216" s="977"/>
      <c r="U216" s="977"/>
      <c r="V216" s="977"/>
      <c r="W216" s="977"/>
      <c r="X216" s="978"/>
      <c r="Y216" s="977"/>
      <c r="Z216" s="977"/>
      <c r="AA216" s="978"/>
      <c r="AB216" s="977"/>
      <c r="AC216" s="977"/>
      <c r="AD216" s="977"/>
      <c r="AE216" s="977"/>
      <c r="AF216" s="977"/>
      <c r="AG216" s="977"/>
    </row>
    <row r="217" spans="1:33" x14ac:dyDescent="0.2">
      <c r="A217" s="977"/>
      <c r="B217" s="977"/>
      <c r="C217" s="977"/>
      <c r="D217" s="977"/>
      <c r="E217" s="977"/>
      <c r="F217" s="977"/>
      <c r="G217" s="977"/>
      <c r="H217" s="977"/>
      <c r="I217" s="145"/>
      <c r="J217" s="145"/>
      <c r="K217" s="977"/>
      <c r="L217" s="977"/>
      <c r="M217" s="977"/>
      <c r="N217" s="977"/>
      <c r="O217" s="977"/>
      <c r="P217" s="977"/>
      <c r="Q217" s="977"/>
      <c r="R217" s="977"/>
      <c r="S217" s="977"/>
      <c r="T217" s="977"/>
      <c r="U217" s="977"/>
      <c r="V217" s="977"/>
      <c r="W217" s="977"/>
      <c r="X217" s="978"/>
      <c r="Y217" s="977"/>
      <c r="Z217" s="977"/>
      <c r="AA217" s="978"/>
      <c r="AB217" s="977"/>
      <c r="AC217" s="977"/>
      <c r="AD217" s="977"/>
      <c r="AE217" s="977"/>
      <c r="AF217" s="977"/>
      <c r="AG217" s="977"/>
    </row>
    <row r="218" spans="1:33" x14ac:dyDescent="0.2">
      <c r="A218" s="977"/>
      <c r="B218" s="977"/>
      <c r="C218" s="977"/>
      <c r="D218" s="977"/>
      <c r="E218" s="977"/>
      <c r="F218" s="977"/>
      <c r="G218" s="977"/>
      <c r="H218" s="977"/>
      <c r="I218" s="145"/>
      <c r="J218" s="145"/>
      <c r="K218" s="977"/>
      <c r="L218" s="977"/>
      <c r="M218" s="977"/>
      <c r="N218" s="977"/>
      <c r="O218" s="977"/>
      <c r="P218" s="977"/>
      <c r="Q218" s="977"/>
      <c r="R218" s="977"/>
      <c r="S218" s="977"/>
      <c r="T218" s="977"/>
      <c r="U218" s="977"/>
      <c r="V218" s="977"/>
      <c r="W218" s="977"/>
      <c r="X218" s="978"/>
      <c r="Y218" s="977"/>
      <c r="Z218" s="977"/>
      <c r="AA218" s="978"/>
      <c r="AB218" s="977"/>
      <c r="AC218" s="977"/>
      <c r="AD218" s="977"/>
      <c r="AE218" s="977"/>
      <c r="AF218" s="977"/>
      <c r="AG218" s="977"/>
    </row>
    <row r="219" spans="1:33" x14ac:dyDescent="0.2">
      <c r="A219" s="977"/>
      <c r="B219" s="977"/>
      <c r="C219" s="977"/>
      <c r="D219" s="977"/>
      <c r="E219" s="977"/>
      <c r="F219" s="977"/>
      <c r="G219" s="977"/>
      <c r="H219" s="977"/>
      <c r="I219" s="145"/>
      <c r="J219" s="145"/>
      <c r="K219" s="977"/>
      <c r="L219" s="977"/>
      <c r="M219" s="977"/>
      <c r="N219" s="977"/>
      <c r="O219" s="977"/>
      <c r="P219" s="977"/>
      <c r="Q219" s="977"/>
      <c r="R219" s="977"/>
      <c r="S219" s="977"/>
      <c r="T219" s="977"/>
      <c r="U219" s="977"/>
      <c r="V219" s="977"/>
      <c r="W219" s="977"/>
      <c r="X219" s="978"/>
      <c r="Y219" s="977"/>
      <c r="Z219" s="977"/>
      <c r="AA219" s="978"/>
      <c r="AB219" s="977"/>
      <c r="AC219" s="977"/>
      <c r="AD219" s="977"/>
      <c r="AE219" s="977"/>
      <c r="AF219" s="977"/>
      <c r="AG219" s="977"/>
    </row>
    <row r="220" spans="1:33" x14ac:dyDescent="0.2">
      <c r="A220" s="977"/>
      <c r="B220" s="977"/>
      <c r="C220" s="977"/>
      <c r="D220" s="977"/>
      <c r="E220" s="977"/>
      <c r="F220" s="977"/>
      <c r="G220" s="977"/>
      <c r="H220" s="977"/>
      <c r="I220" s="145"/>
      <c r="J220" s="145"/>
      <c r="K220" s="977"/>
      <c r="L220" s="977"/>
      <c r="M220" s="977"/>
      <c r="N220" s="977"/>
      <c r="O220" s="977"/>
      <c r="P220" s="977"/>
      <c r="Q220" s="977"/>
      <c r="R220" s="977"/>
      <c r="S220" s="977"/>
      <c r="T220" s="977"/>
      <c r="U220" s="977"/>
      <c r="V220" s="977"/>
      <c r="W220" s="977"/>
      <c r="X220" s="978"/>
      <c r="Y220" s="977"/>
      <c r="Z220" s="977"/>
      <c r="AA220" s="978"/>
      <c r="AB220" s="977"/>
      <c r="AC220" s="977"/>
      <c r="AD220" s="977"/>
      <c r="AE220" s="977"/>
      <c r="AF220" s="977"/>
      <c r="AG220" s="977"/>
    </row>
    <row r="221" spans="1:33" x14ac:dyDescent="0.2">
      <c r="A221" s="977"/>
      <c r="B221" s="977"/>
      <c r="C221" s="977"/>
      <c r="D221" s="977"/>
      <c r="E221" s="977"/>
      <c r="F221" s="977"/>
      <c r="G221" s="977"/>
      <c r="H221" s="977"/>
      <c r="I221" s="145"/>
      <c r="J221" s="145"/>
      <c r="K221" s="977"/>
      <c r="L221" s="977"/>
      <c r="M221" s="977"/>
      <c r="N221" s="977"/>
      <c r="O221" s="977"/>
      <c r="P221" s="977"/>
      <c r="Q221" s="977"/>
      <c r="R221" s="977"/>
      <c r="S221" s="977"/>
      <c r="T221" s="977"/>
      <c r="U221" s="977"/>
      <c r="V221" s="977"/>
      <c r="W221" s="977"/>
      <c r="X221" s="978"/>
      <c r="Y221" s="977"/>
      <c r="Z221" s="977"/>
      <c r="AA221" s="978"/>
      <c r="AB221" s="977"/>
      <c r="AC221" s="977"/>
      <c r="AD221" s="977"/>
      <c r="AE221" s="977"/>
      <c r="AF221" s="977"/>
      <c r="AG221" s="977"/>
    </row>
    <row r="222" spans="1:33" x14ac:dyDescent="0.2">
      <c r="A222" s="977"/>
      <c r="B222" s="977"/>
      <c r="C222" s="977"/>
      <c r="D222" s="977"/>
      <c r="E222" s="977"/>
      <c r="F222" s="977"/>
      <c r="G222" s="977"/>
      <c r="H222" s="977"/>
      <c r="I222" s="145"/>
      <c r="J222" s="145"/>
      <c r="K222" s="977"/>
      <c r="L222" s="977"/>
      <c r="M222" s="977"/>
      <c r="N222" s="977"/>
      <c r="O222" s="977"/>
      <c r="P222" s="977"/>
      <c r="Q222" s="977"/>
      <c r="R222" s="977"/>
      <c r="S222" s="977"/>
      <c r="T222" s="977"/>
      <c r="U222" s="977"/>
      <c r="V222" s="977"/>
      <c r="W222" s="977"/>
      <c r="X222" s="978"/>
      <c r="Y222" s="977"/>
      <c r="Z222" s="977"/>
      <c r="AA222" s="978"/>
      <c r="AB222" s="977"/>
      <c r="AC222" s="977"/>
      <c r="AD222" s="977"/>
      <c r="AE222" s="977"/>
      <c r="AF222" s="977"/>
      <c r="AG222" s="977"/>
    </row>
    <row r="223" spans="1:33" x14ac:dyDescent="0.2">
      <c r="A223" s="977"/>
      <c r="B223" s="977"/>
      <c r="C223" s="977"/>
      <c r="D223" s="977"/>
      <c r="E223" s="977"/>
      <c r="F223" s="977"/>
      <c r="G223" s="977"/>
      <c r="H223" s="977"/>
      <c r="I223" s="145"/>
      <c r="J223" s="145"/>
      <c r="K223" s="977"/>
      <c r="L223" s="977"/>
      <c r="M223" s="977"/>
      <c r="N223" s="977"/>
      <c r="O223" s="977"/>
      <c r="P223" s="977"/>
      <c r="Q223" s="977"/>
      <c r="R223" s="977"/>
      <c r="S223" s="977"/>
      <c r="T223" s="977"/>
      <c r="U223" s="977"/>
      <c r="V223" s="977"/>
      <c r="W223" s="977"/>
      <c r="X223" s="978"/>
      <c r="Y223" s="977"/>
      <c r="Z223" s="977"/>
      <c r="AA223" s="978"/>
      <c r="AB223" s="977"/>
      <c r="AC223" s="977"/>
      <c r="AD223" s="977"/>
      <c r="AE223" s="977"/>
      <c r="AF223" s="977"/>
      <c r="AG223" s="977"/>
    </row>
    <row r="224" spans="1:33" x14ac:dyDescent="0.2">
      <c r="A224" s="977"/>
      <c r="B224" s="977"/>
      <c r="C224" s="977"/>
      <c r="D224" s="977"/>
      <c r="E224" s="977"/>
      <c r="F224" s="977"/>
      <c r="G224" s="977"/>
      <c r="H224" s="977"/>
      <c r="I224" s="145"/>
      <c r="J224" s="145"/>
      <c r="K224" s="977"/>
      <c r="L224" s="977"/>
      <c r="M224" s="977"/>
      <c r="N224" s="977"/>
      <c r="O224" s="977"/>
      <c r="P224" s="977"/>
      <c r="Q224" s="977"/>
      <c r="R224" s="977"/>
      <c r="S224" s="977"/>
      <c r="T224" s="977"/>
      <c r="U224" s="977"/>
      <c r="V224" s="977"/>
      <c r="W224" s="977"/>
      <c r="X224" s="978"/>
      <c r="Y224" s="977"/>
      <c r="Z224" s="977"/>
      <c r="AA224" s="978"/>
      <c r="AB224" s="977"/>
      <c r="AC224" s="977"/>
      <c r="AD224" s="977"/>
      <c r="AE224" s="977"/>
      <c r="AF224" s="977"/>
      <c r="AG224" s="977"/>
    </row>
    <row r="225" spans="1:33" x14ac:dyDescent="0.2">
      <c r="A225" s="977"/>
      <c r="B225" s="977"/>
      <c r="C225" s="977"/>
      <c r="D225" s="977"/>
      <c r="E225" s="977"/>
      <c r="F225" s="977"/>
      <c r="G225" s="977"/>
      <c r="H225" s="977"/>
      <c r="I225" s="145"/>
      <c r="J225" s="145"/>
      <c r="K225" s="977"/>
      <c r="L225" s="977"/>
      <c r="M225" s="977"/>
      <c r="N225" s="977"/>
      <c r="O225" s="977"/>
      <c r="P225" s="977"/>
      <c r="Q225" s="977"/>
      <c r="R225" s="977"/>
      <c r="S225" s="977"/>
      <c r="T225" s="977"/>
      <c r="U225" s="977"/>
      <c r="V225" s="977"/>
      <c r="W225" s="977"/>
      <c r="X225" s="978"/>
      <c r="Y225" s="977"/>
      <c r="Z225" s="977"/>
      <c r="AA225" s="978"/>
      <c r="AB225" s="977"/>
      <c r="AC225" s="977"/>
      <c r="AD225" s="977"/>
      <c r="AE225" s="977"/>
      <c r="AF225" s="977"/>
      <c r="AG225" s="977"/>
    </row>
    <row r="226" spans="1:33" x14ac:dyDescent="0.2">
      <c r="A226" s="977"/>
      <c r="B226" s="977"/>
      <c r="C226" s="977"/>
      <c r="D226" s="977"/>
      <c r="E226" s="977"/>
      <c r="F226" s="977"/>
      <c r="G226" s="977"/>
      <c r="H226" s="977"/>
      <c r="I226" s="145"/>
      <c r="J226" s="145"/>
      <c r="K226" s="977"/>
      <c r="L226" s="977"/>
      <c r="M226" s="977"/>
      <c r="N226" s="977"/>
      <c r="O226" s="977"/>
      <c r="P226" s="977"/>
      <c r="Q226" s="977"/>
      <c r="R226" s="977"/>
      <c r="S226" s="977"/>
      <c r="T226" s="977"/>
      <c r="U226" s="977"/>
      <c r="V226" s="977"/>
      <c r="W226" s="977"/>
      <c r="X226" s="978"/>
      <c r="Y226" s="977"/>
      <c r="Z226" s="977"/>
      <c r="AA226" s="978"/>
      <c r="AB226" s="977"/>
      <c r="AC226" s="977"/>
      <c r="AD226" s="977"/>
      <c r="AE226" s="977"/>
      <c r="AF226" s="977"/>
      <c r="AG226" s="977"/>
    </row>
    <row r="227" spans="1:33" x14ac:dyDescent="0.2">
      <c r="A227" s="977"/>
      <c r="B227" s="977"/>
      <c r="C227" s="977"/>
      <c r="D227" s="977"/>
      <c r="E227" s="977"/>
      <c r="F227" s="977"/>
      <c r="G227" s="977"/>
      <c r="H227" s="977"/>
      <c r="I227" s="145"/>
      <c r="J227" s="145"/>
      <c r="K227" s="977"/>
      <c r="L227" s="977"/>
      <c r="M227" s="977"/>
      <c r="N227" s="977"/>
      <c r="O227" s="977"/>
      <c r="P227" s="977"/>
      <c r="Q227" s="977"/>
      <c r="R227" s="977"/>
      <c r="S227" s="977"/>
      <c r="T227" s="977"/>
      <c r="U227" s="977"/>
      <c r="V227" s="977"/>
      <c r="W227" s="977"/>
      <c r="X227" s="978"/>
      <c r="Y227" s="977"/>
      <c r="Z227" s="977"/>
      <c r="AA227" s="978"/>
      <c r="AB227" s="977"/>
      <c r="AC227" s="977"/>
      <c r="AD227" s="977"/>
      <c r="AE227" s="977"/>
      <c r="AF227" s="977"/>
      <c r="AG227" s="977"/>
    </row>
    <row r="228" spans="1:33" x14ac:dyDescent="0.2">
      <c r="A228" s="977"/>
      <c r="B228" s="977"/>
      <c r="C228" s="977"/>
      <c r="D228" s="977"/>
      <c r="E228" s="977"/>
      <c r="F228" s="977"/>
      <c r="G228" s="977"/>
      <c r="H228" s="977"/>
      <c r="I228" s="145"/>
      <c r="J228" s="145"/>
      <c r="K228" s="977"/>
      <c r="L228" s="977"/>
      <c r="M228" s="977"/>
      <c r="N228" s="977"/>
      <c r="O228" s="977"/>
      <c r="P228" s="977"/>
      <c r="Q228" s="977"/>
      <c r="R228" s="977"/>
      <c r="S228" s="977"/>
      <c r="T228" s="977"/>
      <c r="U228" s="977"/>
      <c r="V228" s="977"/>
      <c r="W228" s="977"/>
      <c r="X228" s="978"/>
      <c r="Y228" s="977"/>
      <c r="Z228" s="977"/>
      <c r="AA228" s="978"/>
      <c r="AB228" s="977"/>
      <c r="AC228" s="977"/>
      <c r="AD228" s="977"/>
      <c r="AE228" s="977"/>
      <c r="AF228" s="977"/>
      <c r="AG228" s="977"/>
    </row>
    <row r="229" spans="1:33" x14ac:dyDescent="0.2">
      <c r="A229" s="977"/>
      <c r="B229" s="977"/>
      <c r="C229" s="977"/>
      <c r="D229" s="977"/>
      <c r="E229" s="977"/>
      <c r="F229" s="977"/>
      <c r="G229" s="977"/>
      <c r="H229" s="977"/>
      <c r="I229" s="145"/>
      <c r="J229" s="145"/>
      <c r="K229" s="977"/>
      <c r="L229" s="977"/>
      <c r="M229" s="977"/>
      <c r="N229" s="977"/>
      <c r="O229" s="977"/>
      <c r="P229" s="977"/>
      <c r="Q229" s="977"/>
      <c r="R229" s="977"/>
      <c r="S229" s="977"/>
      <c r="T229" s="977"/>
      <c r="U229" s="977"/>
      <c r="V229" s="977"/>
      <c r="W229" s="977"/>
      <c r="X229" s="978"/>
      <c r="Y229" s="977"/>
      <c r="Z229" s="977"/>
      <c r="AA229" s="978"/>
      <c r="AB229" s="977"/>
      <c r="AC229" s="977"/>
      <c r="AD229" s="977"/>
      <c r="AE229" s="977"/>
      <c r="AF229" s="977"/>
      <c r="AG229" s="977"/>
    </row>
    <row r="230" spans="1:33" x14ac:dyDescent="0.2">
      <c r="A230" s="977"/>
      <c r="B230" s="977"/>
      <c r="C230" s="977"/>
      <c r="D230" s="977"/>
      <c r="E230" s="977"/>
      <c r="F230" s="977"/>
      <c r="G230" s="977"/>
      <c r="H230" s="977"/>
      <c r="I230" s="145"/>
      <c r="J230" s="145"/>
      <c r="K230" s="977"/>
      <c r="L230" s="977"/>
      <c r="M230" s="977"/>
      <c r="N230" s="977"/>
      <c r="O230" s="977"/>
      <c r="P230" s="977"/>
      <c r="Q230" s="977"/>
      <c r="R230" s="977"/>
      <c r="S230" s="977"/>
      <c r="T230" s="977"/>
      <c r="U230" s="977"/>
      <c r="V230" s="977"/>
      <c r="W230" s="977"/>
      <c r="X230" s="978"/>
      <c r="Y230" s="977"/>
      <c r="Z230" s="977"/>
      <c r="AA230" s="978"/>
      <c r="AB230" s="977"/>
      <c r="AC230" s="977"/>
      <c r="AD230" s="977"/>
      <c r="AE230" s="977"/>
      <c r="AF230" s="977"/>
      <c r="AG230" s="977"/>
    </row>
    <row r="231" spans="1:33" x14ac:dyDescent="0.2">
      <c r="A231" s="977"/>
      <c r="B231" s="977"/>
      <c r="C231" s="977"/>
      <c r="D231" s="977"/>
      <c r="E231" s="977"/>
      <c r="F231" s="977"/>
      <c r="G231" s="977"/>
      <c r="H231" s="977"/>
      <c r="I231" s="145"/>
      <c r="J231" s="145"/>
      <c r="K231" s="977"/>
      <c r="L231" s="977"/>
      <c r="M231" s="977"/>
      <c r="N231" s="977"/>
      <c r="O231" s="977"/>
      <c r="P231" s="977"/>
      <c r="Q231" s="977"/>
      <c r="R231" s="977"/>
      <c r="S231" s="977"/>
      <c r="T231" s="977"/>
      <c r="U231" s="977"/>
      <c r="V231" s="977"/>
      <c r="W231" s="977"/>
      <c r="X231" s="978"/>
      <c r="Y231" s="977"/>
      <c r="Z231" s="977"/>
      <c r="AA231" s="978"/>
      <c r="AB231" s="977"/>
      <c r="AC231" s="977"/>
      <c r="AD231" s="977"/>
      <c r="AE231" s="977"/>
      <c r="AF231" s="977"/>
      <c r="AG231" s="977"/>
    </row>
    <row r="232" spans="1:33" x14ac:dyDescent="0.2">
      <c r="A232" s="977"/>
      <c r="B232" s="977"/>
      <c r="C232" s="977"/>
      <c r="D232" s="977"/>
      <c r="E232" s="977"/>
      <c r="F232" s="977"/>
      <c r="G232" s="977"/>
      <c r="H232" s="977"/>
      <c r="I232" s="145"/>
      <c r="J232" s="145"/>
      <c r="K232" s="977"/>
      <c r="L232" s="977"/>
      <c r="M232" s="977"/>
      <c r="N232" s="977"/>
      <c r="O232" s="977"/>
      <c r="P232" s="977"/>
      <c r="Q232" s="977"/>
      <c r="R232" s="977"/>
      <c r="S232" s="977"/>
      <c r="T232" s="977"/>
      <c r="U232" s="977"/>
      <c r="V232" s="977"/>
      <c r="W232" s="977"/>
      <c r="X232" s="978"/>
      <c r="Y232" s="977"/>
      <c r="Z232" s="977"/>
      <c r="AA232" s="978"/>
      <c r="AB232" s="977"/>
      <c r="AC232" s="977"/>
      <c r="AD232" s="977"/>
      <c r="AE232" s="977"/>
      <c r="AF232" s="977"/>
      <c r="AG232" s="977"/>
    </row>
    <row r="233" spans="1:33" x14ac:dyDescent="0.2">
      <c r="A233" s="977"/>
      <c r="B233" s="977"/>
      <c r="C233" s="977"/>
      <c r="D233" s="977"/>
      <c r="E233" s="977"/>
      <c r="F233" s="977"/>
      <c r="G233" s="977"/>
      <c r="H233" s="977"/>
      <c r="I233" s="145"/>
      <c r="J233" s="145"/>
      <c r="K233" s="977"/>
      <c r="L233" s="977"/>
      <c r="M233" s="977"/>
      <c r="N233" s="977"/>
      <c r="O233" s="977"/>
      <c r="P233" s="977"/>
      <c r="Q233" s="977"/>
      <c r="R233" s="977"/>
      <c r="S233" s="977"/>
      <c r="T233" s="977"/>
      <c r="U233" s="977"/>
      <c r="V233" s="977"/>
      <c r="W233" s="977"/>
      <c r="X233" s="978"/>
      <c r="Y233" s="977"/>
      <c r="Z233" s="977"/>
      <c r="AA233" s="978"/>
      <c r="AB233" s="977"/>
      <c r="AC233" s="977"/>
      <c r="AD233" s="977"/>
      <c r="AE233" s="977"/>
      <c r="AF233" s="977"/>
      <c r="AG233" s="977"/>
    </row>
    <row r="234" spans="1:33" x14ac:dyDescent="0.2">
      <c r="A234" s="977"/>
      <c r="B234" s="977"/>
      <c r="C234" s="977"/>
      <c r="D234" s="977"/>
      <c r="E234" s="977"/>
      <c r="F234" s="977"/>
      <c r="G234" s="977"/>
      <c r="H234" s="977"/>
      <c r="I234" s="145"/>
      <c r="J234" s="145"/>
      <c r="K234" s="977"/>
      <c r="L234" s="977"/>
      <c r="M234" s="977"/>
      <c r="N234" s="977"/>
      <c r="O234" s="977"/>
      <c r="P234" s="977"/>
      <c r="Q234" s="977"/>
      <c r="R234" s="977"/>
      <c r="S234" s="977"/>
      <c r="T234" s="977"/>
      <c r="U234" s="977"/>
      <c r="V234" s="977"/>
      <c r="W234" s="977"/>
      <c r="X234" s="978"/>
      <c r="Y234" s="977"/>
      <c r="Z234" s="977"/>
      <c r="AA234" s="978"/>
      <c r="AB234" s="977"/>
      <c r="AC234" s="977"/>
      <c r="AD234" s="977"/>
      <c r="AE234" s="977"/>
      <c r="AF234" s="977"/>
      <c r="AG234" s="977"/>
    </row>
    <row r="235" spans="1:33" x14ac:dyDescent="0.2">
      <c r="A235" s="977"/>
      <c r="B235" s="977"/>
      <c r="C235" s="977"/>
      <c r="D235" s="977"/>
      <c r="E235" s="977"/>
      <c r="F235" s="977"/>
      <c r="G235" s="977"/>
      <c r="H235" s="977"/>
      <c r="I235" s="145"/>
      <c r="J235" s="145"/>
      <c r="K235" s="977"/>
      <c r="L235" s="977"/>
      <c r="M235" s="977"/>
      <c r="N235" s="977"/>
      <c r="O235" s="977"/>
      <c r="P235" s="977"/>
      <c r="Q235" s="977"/>
      <c r="R235" s="977"/>
      <c r="S235" s="977"/>
      <c r="T235" s="977"/>
      <c r="U235" s="977"/>
      <c r="V235" s="977"/>
      <c r="W235" s="977"/>
      <c r="X235" s="978"/>
      <c r="Y235" s="977"/>
      <c r="Z235" s="977"/>
      <c r="AA235" s="978"/>
      <c r="AB235" s="977"/>
      <c r="AC235" s="977"/>
      <c r="AD235" s="977"/>
      <c r="AE235" s="977"/>
      <c r="AF235" s="977"/>
      <c r="AG235" s="977"/>
    </row>
    <row r="236" spans="1:33" x14ac:dyDescent="0.2">
      <c r="A236" s="977"/>
      <c r="B236" s="977"/>
      <c r="C236" s="977"/>
      <c r="D236" s="977"/>
      <c r="E236" s="977"/>
      <c r="F236" s="977"/>
      <c r="G236" s="977"/>
      <c r="H236" s="977"/>
      <c r="I236" s="145"/>
      <c r="J236" s="145"/>
      <c r="K236" s="977"/>
      <c r="L236" s="977"/>
      <c r="M236" s="977"/>
      <c r="N236" s="977"/>
      <c r="O236" s="977"/>
      <c r="P236" s="977"/>
      <c r="Q236" s="977"/>
      <c r="R236" s="977"/>
      <c r="S236" s="977"/>
      <c r="T236" s="977"/>
      <c r="U236" s="977"/>
      <c r="V236" s="977"/>
      <c r="W236" s="977"/>
      <c r="X236" s="978"/>
      <c r="Y236" s="977"/>
      <c r="Z236" s="977"/>
      <c r="AA236" s="978"/>
      <c r="AB236" s="977"/>
      <c r="AC236" s="977"/>
      <c r="AD236" s="977"/>
      <c r="AE236" s="977"/>
      <c r="AF236" s="977"/>
      <c r="AG236" s="977"/>
    </row>
    <row r="237" spans="1:33" x14ac:dyDescent="0.2">
      <c r="A237" s="977"/>
      <c r="B237" s="977"/>
      <c r="C237" s="977"/>
      <c r="D237" s="977"/>
      <c r="E237" s="977"/>
      <c r="F237" s="977"/>
      <c r="G237" s="977"/>
      <c r="H237" s="977"/>
      <c r="I237" s="145"/>
      <c r="J237" s="145"/>
      <c r="K237" s="977"/>
      <c r="L237" s="977"/>
      <c r="M237" s="977"/>
      <c r="N237" s="977"/>
      <c r="O237" s="977"/>
      <c r="P237" s="977"/>
      <c r="Q237" s="977"/>
      <c r="R237" s="977"/>
      <c r="S237" s="977"/>
      <c r="T237" s="977"/>
      <c r="U237" s="977"/>
      <c r="V237" s="977"/>
      <c r="W237" s="977"/>
      <c r="X237" s="978"/>
      <c r="Y237" s="977"/>
      <c r="Z237" s="977"/>
      <c r="AA237" s="978"/>
      <c r="AB237" s="977"/>
      <c r="AC237" s="977"/>
      <c r="AD237" s="977"/>
      <c r="AE237" s="977"/>
      <c r="AF237" s="977"/>
      <c r="AG237" s="977"/>
    </row>
    <row r="238" spans="1:33" x14ac:dyDescent="0.2">
      <c r="A238" s="977"/>
      <c r="B238" s="977"/>
      <c r="C238" s="977"/>
      <c r="D238" s="977"/>
      <c r="E238" s="977"/>
      <c r="F238" s="977"/>
      <c r="G238" s="977"/>
      <c r="H238" s="977"/>
      <c r="I238" s="145"/>
      <c r="J238" s="145"/>
      <c r="K238" s="977"/>
      <c r="L238" s="977"/>
      <c r="M238" s="977"/>
      <c r="N238" s="977"/>
      <c r="O238" s="977"/>
      <c r="P238" s="977"/>
      <c r="Q238" s="977"/>
      <c r="R238" s="977"/>
      <c r="S238" s="977"/>
      <c r="T238" s="977"/>
      <c r="U238" s="977"/>
      <c r="V238" s="977"/>
      <c r="W238" s="977"/>
      <c r="X238" s="978"/>
      <c r="Y238" s="977"/>
      <c r="Z238" s="977"/>
      <c r="AA238" s="978"/>
      <c r="AB238" s="977"/>
      <c r="AC238" s="977"/>
      <c r="AD238" s="977"/>
      <c r="AE238" s="977"/>
      <c r="AF238" s="977"/>
      <c r="AG238" s="977"/>
    </row>
    <row r="239" spans="1:33" x14ac:dyDescent="0.2">
      <c r="A239" s="977"/>
      <c r="B239" s="977"/>
      <c r="C239" s="977"/>
      <c r="D239" s="977"/>
      <c r="E239" s="977"/>
      <c r="F239" s="977"/>
      <c r="G239" s="977"/>
      <c r="H239" s="977"/>
      <c r="I239" s="145"/>
      <c r="J239" s="145"/>
      <c r="K239" s="977"/>
      <c r="L239" s="977"/>
      <c r="M239" s="977"/>
      <c r="N239" s="977"/>
      <c r="O239" s="977"/>
      <c r="P239" s="977"/>
      <c r="Q239" s="977"/>
      <c r="R239" s="977"/>
      <c r="S239" s="977"/>
      <c r="T239" s="977"/>
      <c r="U239" s="977"/>
      <c r="V239" s="977"/>
      <c r="W239" s="977"/>
      <c r="X239" s="978"/>
      <c r="Y239" s="977"/>
      <c r="Z239" s="977"/>
      <c r="AA239" s="978"/>
      <c r="AB239" s="977"/>
      <c r="AC239" s="977"/>
      <c r="AD239" s="977"/>
      <c r="AE239" s="977"/>
      <c r="AF239" s="977"/>
      <c r="AG239" s="977"/>
    </row>
    <row r="240" spans="1:33" x14ac:dyDescent="0.2">
      <c r="A240" s="977"/>
      <c r="B240" s="977"/>
      <c r="C240" s="977"/>
      <c r="D240" s="977"/>
      <c r="E240" s="977"/>
      <c r="F240" s="977"/>
      <c r="G240" s="977"/>
      <c r="H240" s="977"/>
      <c r="I240" s="145"/>
      <c r="J240" s="145"/>
      <c r="K240" s="977"/>
      <c r="L240" s="977"/>
      <c r="M240" s="977"/>
      <c r="N240" s="977"/>
      <c r="O240" s="977"/>
      <c r="P240" s="977"/>
      <c r="Q240" s="977"/>
      <c r="R240" s="977"/>
      <c r="S240" s="977"/>
      <c r="T240" s="977"/>
      <c r="U240" s="977"/>
      <c r="V240" s="977"/>
      <c r="W240" s="977"/>
      <c r="X240" s="978"/>
      <c r="Y240" s="977"/>
      <c r="Z240" s="977"/>
      <c r="AA240" s="978"/>
      <c r="AB240" s="977"/>
      <c r="AC240" s="977"/>
      <c r="AD240" s="977"/>
      <c r="AE240" s="977"/>
      <c r="AF240" s="977"/>
      <c r="AG240" s="977"/>
    </row>
    <row r="241" spans="1:33" x14ac:dyDescent="0.2">
      <c r="A241" s="977"/>
      <c r="B241" s="977"/>
      <c r="C241" s="977"/>
      <c r="D241" s="977"/>
      <c r="E241" s="977"/>
      <c r="F241" s="977"/>
      <c r="G241" s="977"/>
      <c r="H241" s="977"/>
      <c r="I241" s="145"/>
      <c r="J241" s="145"/>
      <c r="K241" s="977"/>
      <c r="L241" s="977"/>
      <c r="M241" s="977"/>
      <c r="N241" s="977"/>
      <c r="O241" s="977"/>
      <c r="P241" s="977"/>
      <c r="Q241" s="977"/>
      <c r="R241" s="977"/>
      <c r="S241" s="977"/>
      <c r="T241" s="977"/>
      <c r="U241" s="977"/>
      <c r="V241" s="977"/>
      <c r="W241" s="977"/>
      <c r="X241" s="978"/>
      <c r="Y241" s="977"/>
      <c r="Z241" s="977"/>
      <c r="AA241" s="978"/>
      <c r="AB241" s="977"/>
      <c r="AC241" s="977"/>
      <c r="AD241" s="977"/>
      <c r="AE241" s="977"/>
      <c r="AF241" s="977"/>
      <c r="AG241" s="977"/>
    </row>
    <row r="242" spans="1:33" x14ac:dyDescent="0.2">
      <c r="A242" s="977"/>
      <c r="B242" s="977"/>
      <c r="C242" s="977"/>
      <c r="D242" s="977"/>
      <c r="E242" s="977"/>
      <c r="F242" s="977"/>
      <c r="G242" s="977"/>
      <c r="H242" s="977"/>
      <c r="I242" s="145"/>
      <c r="J242" s="145"/>
      <c r="K242" s="977"/>
      <c r="L242" s="977"/>
      <c r="M242" s="977"/>
      <c r="N242" s="977"/>
      <c r="O242" s="977"/>
      <c r="P242" s="977"/>
      <c r="Q242" s="977"/>
      <c r="R242" s="977"/>
      <c r="S242" s="977"/>
      <c r="T242" s="977"/>
      <c r="U242" s="977"/>
      <c r="V242" s="977"/>
      <c r="W242" s="977"/>
      <c r="X242" s="978"/>
      <c r="Y242" s="977"/>
      <c r="Z242" s="977"/>
      <c r="AA242" s="978"/>
      <c r="AB242" s="977"/>
      <c r="AC242" s="977"/>
      <c r="AD242" s="977"/>
      <c r="AE242" s="977"/>
      <c r="AF242" s="977"/>
      <c r="AG242" s="977"/>
    </row>
    <row r="243" spans="1:33" x14ac:dyDescent="0.2">
      <c r="A243" s="977"/>
      <c r="B243" s="977"/>
      <c r="C243" s="977"/>
      <c r="D243" s="977"/>
      <c r="E243" s="977"/>
      <c r="F243" s="977"/>
      <c r="G243" s="977"/>
      <c r="H243" s="977"/>
      <c r="I243" s="145"/>
      <c r="J243" s="145"/>
      <c r="K243" s="977"/>
      <c r="L243" s="977"/>
      <c r="M243" s="977"/>
      <c r="N243" s="977"/>
      <c r="O243" s="977"/>
      <c r="P243" s="977"/>
      <c r="Q243" s="977"/>
      <c r="R243" s="977"/>
      <c r="S243" s="977"/>
      <c r="T243" s="977"/>
      <c r="U243" s="977"/>
      <c r="V243" s="977"/>
      <c r="W243" s="977"/>
      <c r="X243" s="978"/>
      <c r="Y243" s="977"/>
      <c r="Z243" s="977"/>
      <c r="AA243" s="978"/>
      <c r="AB243" s="977"/>
      <c r="AC243" s="977"/>
      <c r="AD243" s="977"/>
      <c r="AE243" s="977"/>
      <c r="AF243" s="977"/>
      <c r="AG243" s="977"/>
    </row>
    <row r="244" spans="1:33" x14ac:dyDescent="0.2">
      <c r="A244" s="977"/>
      <c r="B244" s="977"/>
      <c r="C244" s="977"/>
      <c r="D244" s="977"/>
      <c r="E244" s="977"/>
      <c r="F244" s="977"/>
      <c r="G244" s="977"/>
      <c r="H244" s="977"/>
      <c r="I244" s="145"/>
      <c r="J244" s="145"/>
      <c r="K244" s="977"/>
      <c r="L244" s="977"/>
      <c r="M244" s="977"/>
      <c r="N244" s="977"/>
      <c r="O244" s="977"/>
      <c r="P244" s="977"/>
      <c r="Q244" s="977"/>
      <c r="R244" s="977"/>
      <c r="S244" s="977"/>
      <c r="T244" s="977"/>
      <c r="U244" s="977"/>
      <c r="V244" s="977"/>
      <c r="W244" s="977"/>
      <c r="X244" s="978"/>
      <c r="Y244" s="977"/>
      <c r="Z244" s="977"/>
      <c r="AA244" s="978"/>
      <c r="AB244" s="977"/>
      <c r="AC244" s="977"/>
      <c r="AD244" s="977"/>
      <c r="AE244" s="977"/>
      <c r="AF244" s="977"/>
      <c r="AG244" s="977"/>
    </row>
    <row r="245" spans="1:33" x14ac:dyDescent="0.2">
      <c r="A245" s="977"/>
      <c r="B245" s="977"/>
      <c r="C245" s="977"/>
      <c r="D245" s="977"/>
      <c r="E245" s="977"/>
      <c r="F245" s="977"/>
      <c r="G245" s="977"/>
      <c r="H245" s="977"/>
      <c r="I245" s="145"/>
      <c r="J245" s="145"/>
      <c r="K245" s="977"/>
      <c r="L245" s="977"/>
      <c r="M245" s="977"/>
      <c r="N245" s="977"/>
      <c r="O245" s="977"/>
      <c r="P245" s="977"/>
      <c r="Q245" s="977"/>
      <c r="R245" s="977"/>
      <c r="S245" s="977"/>
      <c r="T245" s="977"/>
      <c r="U245" s="977"/>
      <c r="V245" s="977"/>
      <c r="W245" s="977"/>
      <c r="X245" s="978"/>
      <c r="Y245" s="977"/>
      <c r="Z245" s="977"/>
      <c r="AA245" s="978"/>
      <c r="AB245" s="977"/>
      <c r="AC245" s="977"/>
      <c r="AD245" s="977"/>
      <c r="AE245" s="977"/>
      <c r="AF245" s="977"/>
      <c r="AG245" s="977"/>
    </row>
    <row r="246" spans="1:33" x14ac:dyDescent="0.2">
      <c r="A246" s="977"/>
      <c r="B246" s="977"/>
      <c r="C246" s="977"/>
      <c r="D246" s="977"/>
      <c r="E246" s="977"/>
      <c r="F246" s="977"/>
      <c r="G246" s="977"/>
      <c r="H246" s="977"/>
      <c r="I246" s="145"/>
      <c r="J246" s="145"/>
      <c r="K246" s="977"/>
      <c r="L246" s="977"/>
      <c r="M246" s="977"/>
      <c r="N246" s="977"/>
      <c r="O246" s="977"/>
      <c r="P246" s="977"/>
      <c r="Q246" s="977"/>
      <c r="R246" s="977"/>
      <c r="S246" s="977"/>
      <c r="T246" s="977"/>
      <c r="U246" s="977"/>
      <c r="V246" s="977"/>
      <c r="W246" s="977"/>
      <c r="X246" s="978"/>
      <c r="Y246" s="977"/>
      <c r="Z246" s="977"/>
      <c r="AA246" s="978"/>
      <c r="AB246" s="977"/>
      <c r="AC246" s="977"/>
      <c r="AD246" s="977"/>
      <c r="AE246" s="977"/>
      <c r="AF246" s="977"/>
      <c r="AG246" s="977"/>
    </row>
    <row r="247" spans="1:33" x14ac:dyDescent="0.2">
      <c r="A247" s="977"/>
      <c r="B247" s="977"/>
      <c r="C247" s="977"/>
      <c r="D247" s="977"/>
      <c r="E247" s="977"/>
      <c r="F247" s="977"/>
      <c r="G247" s="977"/>
      <c r="H247" s="977"/>
      <c r="I247" s="145"/>
      <c r="J247" s="145"/>
      <c r="K247" s="977"/>
      <c r="L247" s="977"/>
      <c r="M247" s="977"/>
      <c r="N247" s="977"/>
      <c r="O247" s="977"/>
      <c r="P247" s="977"/>
      <c r="Q247" s="977"/>
      <c r="R247" s="977"/>
      <c r="S247" s="977"/>
      <c r="T247" s="977"/>
      <c r="U247" s="977"/>
      <c r="V247" s="977"/>
      <c r="W247" s="977"/>
      <c r="X247" s="978"/>
      <c r="Y247" s="977"/>
      <c r="Z247" s="977"/>
      <c r="AA247" s="978"/>
      <c r="AB247" s="977"/>
      <c r="AC247" s="977"/>
      <c r="AD247" s="977"/>
      <c r="AE247" s="977"/>
      <c r="AF247" s="977"/>
      <c r="AG247" s="977"/>
    </row>
    <row r="248" spans="1:33" x14ac:dyDescent="0.2">
      <c r="A248" s="977"/>
      <c r="B248" s="977"/>
      <c r="C248" s="977"/>
      <c r="D248" s="977"/>
      <c r="E248" s="977"/>
      <c r="F248" s="977"/>
      <c r="G248" s="977"/>
      <c r="H248" s="977"/>
      <c r="I248" s="145"/>
      <c r="J248" s="145"/>
      <c r="K248" s="977"/>
      <c r="L248" s="977"/>
      <c r="M248" s="977"/>
      <c r="N248" s="977"/>
      <c r="O248" s="977"/>
      <c r="P248" s="977"/>
      <c r="Q248" s="977"/>
      <c r="R248" s="977"/>
      <c r="S248" s="977"/>
      <c r="T248" s="977"/>
      <c r="U248" s="977"/>
      <c r="V248" s="977"/>
      <c r="W248" s="977"/>
      <c r="X248" s="978"/>
      <c r="Y248" s="977"/>
      <c r="Z248" s="977"/>
      <c r="AA248" s="978"/>
      <c r="AB248" s="977"/>
      <c r="AC248" s="977"/>
      <c r="AD248" s="977"/>
      <c r="AE248" s="977"/>
      <c r="AF248" s="977"/>
      <c r="AG248" s="977"/>
    </row>
    <row r="249" spans="1:33" x14ac:dyDescent="0.2">
      <c r="A249" s="977"/>
      <c r="B249" s="977"/>
      <c r="C249" s="977"/>
      <c r="D249" s="977"/>
      <c r="E249" s="977"/>
      <c r="F249" s="977"/>
      <c r="G249" s="977"/>
      <c r="H249" s="977"/>
      <c r="I249" s="145"/>
      <c r="J249" s="145"/>
      <c r="K249" s="977"/>
      <c r="L249" s="977"/>
      <c r="M249" s="977"/>
      <c r="N249" s="977"/>
      <c r="O249" s="977"/>
      <c r="P249" s="977"/>
      <c r="Q249" s="977"/>
      <c r="R249" s="977"/>
      <c r="S249" s="977"/>
      <c r="T249" s="977"/>
      <c r="U249" s="977"/>
      <c r="V249" s="977"/>
      <c r="W249" s="977"/>
      <c r="X249" s="978"/>
      <c r="Y249" s="977"/>
      <c r="Z249" s="977"/>
      <c r="AA249" s="978"/>
      <c r="AB249" s="977"/>
      <c r="AC249" s="977"/>
      <c r="AD249" s="977"/>
      <c r="AE249" s="977"/>
      <c r="AF249" s="977"/>
      <c r="AG249" s="977"/>
    </row>
    <row r="250" spans="1:33" x14ac:dyDescent="0.2">
      <c r="A250" s="977"/>
      <c r="B250" s="977"/>
      <c r="C250" s="977"/>
      <c r="D250" s="977"/>
      <c r="E250" s="977"/>
      <c r="F250" s="977"/>
      <c r="G250" s="977"/>
      <c r="H250" s="977"/>
      <c r="I250" s="145"/>
      <c r="J250" s="145"/>
      <c r="K250" s="977"/>
      <c r="L250" s="977"/>
      <c r="M250" s="977"/>
      <c r="N250" s="977"/>
      <c r="O250" s="977"/>
      <c r="P250" s="977"/>
      <c r="Q250" s="977"/>
      <c r="R250" s="977"/>
      <c r="S250" s="977"/>
      <c r="T250" s="977"/>
      <c r="U250" s="977"/>
      <c r="V250" s="977"/>
      <c r="W250" s="977"/>
      <c r="X250" s="978"/>
      <c r="Y250" s="977"/>
      <c r="Z250" s="977"/>
      <c r="AA250" s="978"/>
      <c r="AB250" s="977"/>
      <c r="AC250" s="977"/>
      <c r="AD250" s="977"/>
      <c r="AE250" s="977"/>
      <c r="AF250" s="977"/>
      <c r="AG250" s="977"/>
    </row>
    <row r="251" spans="1:33" x14ac:dyDescent="0.2">
      <c r="A251" s="977"/>
      <c r="B251" s="977"/>
      <c r="C251" s="977"/>
      <c r="D251" s="977"/>
      <c r="E251" s="977"/>
      <c r="F251" s="977"/>
      <c r="G251" s="977"/>
      <c r="H251" s="977"/>
      <c r="I251" s="145"/>
      <c r="J251" s="145"/>
      <c r="K251" s="977"/>
      <c r="L251" s="977"/>
      <c r="M251" s="977"/>
      <c r="N251" s="977"/>
      <c r="O251" s="977"/>
      <c r="P251" s="977"/>
      <c r="Q251" s="977"/>
      <c r="R251" s="977"/>
      <c r="S251" s="977"/>
      <c r="T251" s="977"/>
      <c r="U251" s="977"/>
      <c r="V251" s="977"/>
      <c r="W251" s="977"/>
      <c r="X251" s="978"/>
      <c r="Y251" s="977"/>
      <c r="Z251" s="977"/>
      <c r="AA251" s="978"/>
      <c r="AB251" s="977"/>
      <c r="AC251" s="977"/>
      <c r="AD251" s="977"/>
      <c r="AE251" s="977"/>
      <c r="AF251" s="977"/>
      <c r="AG251" s="977"/>
    </row>
    <row r="252" spans="1:33" x14ac:dyDescent="0.2">
      <c r="A252" s="977"/>
      <c r="B252" s="977"/>
      <c r="C252" s="977"/>
      <c r="D252" s="977"/>
      <c r="E252" s="977"/>
      <c r="F252" s="977"/>
      <c r="G252" s="977"/>
      <c r="H252" s="977"/>
      <c r="I252" s="145"/>
      <c r="J252" s="145"/>
      <c r="K252" s="977"/>
      <c r="L252" s="977"/>
      <c r="M252" s="977"/>
      <c r="N252" s="977"/>
      <c r="O252" s="977"/>
      <c r="P252" s="977"/>
      <c r="Q252" s="977"/>
      <c r="R252" s="977"/>
      <c r="S252" s="977"/>
      <c r="T252" s="977"/>
      <c r="U252" s="977"/>
      <c r="V252" s="977"/>
      <c r="W252" s="977"/>
      <c r="X252" s="978"/>
      <c r="Y252" s="977"/>
      <c r="Z252" s="977"/>
      <c r="AA252" s="978"/>
      <c r="AB252" s="977"/>
      <c r="AC252" s="977"/>
      <c r="AD252" s="977"/>
      <c r="AE252" s="977"/>
      <c r="AF252" s="977"/>
      <c r="AG252" s="977"/>
    </row>
    <row r="253" spans="1:33" x14ac:dyDescent="0.2">
      <c r="A253" s="977"/>
      <c r="B253" s="977"/>
      <c r="C253" s="977"/>
      <c r="D253" s="977"/>
      <c r="E253" s="977"/>
      <c r="F253" s="977"/>
      <c r="G253" s="977"/>
      <c r="H253" s="977"/>
      <c r="I253" s="145"/>
      <c r="J253" s="145"/>
      <c r="K253" s="977"/>
      <c r="L253" s="977"/>
      <c r="M253" s="977"/>
      <c r="N253" s="977"/>
      <c r="O253" s="977"/>
      <c r="P253" s="977"/>
      <c r="Q253" s="977"/>
      <c r="R253" s="977"/>
      <c r="S253" s="977"/>
      <c r="T253" s="977"/>
      <c r="U253" s="977"/>
      <c r="V253" s="977"/>
      <c r="W253" s="977"/>
      <c r="X253" s="978"/>
      <c r="Y253" s="977"/>
      <c r="Z253" s="977"/>
      <c r="AA253" s="978"/>
      <c r="AB253" s="977"/>
      <c r="AC253" s="977"/>
      <c r="AD253" s="977"/>
      <c r="AE253" s="977"/>
      <c r="AF253" s="977"/>
      <c r="AG253" s="977"/>
    </row>
    <row r="254" spans="1:33" x14ac:dyDescent="0.2">
      <c r="A254" s="977"/>
      <c r="B254" s="977"/>
      <c r="C254" s="977"/>
      <c r="D254" s="977"/>
      <c r="E254" s="977"/>
      <c r="F254" s="977"/>
      <c r="G254" s="977"/>
      <c r="H254" s="977"/>
      <c r="I254" s="145"/>
      <c r="J254" s="145"/>
      <c r="K254" s="977"/>
      <c r="L254" s="977"/>
      <c r="M254" s="977"/>
      <c r="N254" s="977"/>
      <c r="O254" s="977"/>
      <c r="P254" s="977"/>
      <c r="Q254" s="977"/>
      <c r="R254" s="977"/>
      <c r="S254" s="977"/>
      <c r="T254" s="977"/>
      <c r="U254" s="977"/>
      <c r="V254" s="977"/>
      <c r="W254" s="977"/>
      <c r="X254" s="978"/>
      <c r="Y254" s="977"/>
      <c r="Z254" s="977"/>
      <c r="AA254" s="978"/>
      <c r="AB254" s="977"/>
      <c r="AC254" s="977"/>
      <c r="AD254" s="977"/>
      <c r="AE254" s="977"/>
      <c r="AF254" s="977"/>
      <c r="AG254" s="977"/>
    </row>
    <row r="255" spans="1:33" x14ac:dyDescent="0.2">
      <c r="A255" s="977"/>
      <c r="B255" s="977"/>
      <c r="C255" s="977"/>
      <c r="D255" s="977"/>
      <c r="E255" s="977"/>
      <c r="F255" s="977"/>
      <c r="G255" s="977"/>
      <c r="H255" s="977"/>
      <c r="I255" s="145"/>
      <c r="J255" s="145"/>
      <c r="K255" s="977"/>
      <c r="L255" s="977"/>
      <c r="M255" s="977"/>
      <c r="N255" s="977"/>
      <c r="O255" s="977"/>
      <c r="P255" s="977"/>
      <c r="Q255" s="977"/>
      <c r="R255" s="977"/>
      <c r="S255" s="977"/>
      <c r="T255" s="977"/>
      <c r="U255" s="977"/>
      <c r="V255" s="977"/>
      <c r="W255" s="977"/>
      <c r="X255" s="978"/>
      <c r="Y255" s="977"/>
      <c r="Z255" s="977"/>
      <c r="AA255" s="978"/>
      <c r="AB255" s="977"/>
      <c r="AC255" s="977"/>
      <c r="AD255" s="977"/>
      <c r="AE255" s="977"/>
      <c r="AF255" s="977"/>
      <c r="AG255" s="977"/>
    </row>
    <row r="256" spans="1:33" x14ac:dyDescent="0.2">
      <c r="A256" s="977"/>
      <c r="B256" s="977"/>
      <c r="C256" s="977"/>
      <c r="D256" s="977"/>
      <c r="E256" s="977"/>
      <c r="F256" s="977"/>
      <c r="G256" s="977"/>
      <c r="H256" s="977"/>
      <c r="I256" s="145"/>
      <c r="J256" s="145"/>
      <c r="K256" s="977"/>
      <c r="L256" s="977"/>
      <c r="M256" s="977"/>
      <c r="N256" s="977"/>
      <c r="O256" s="977"/>
      <c r="P256" s="977"/>
      <c r="Q256" s="977"/>
      <c r="R256" s="977"/>
      <c r="S256" s="977"/>
      <c r="T256" s="977"/>
      <c r="U256" s="977"/>
      <c r="V256" s="977"/>
      <c r="W256" s="977"/>
      <c r="X256" s="978"/>
      <c r="Y256" s="977"/>
      <c r="Z256" s="977"/>
      <c r="AA256" s="978"/>
      <c r="AB256" s="977"/>
      <c r="AC256" s="977"/>
      <c r="AD256" s="977"/>
      <c r="AE256" s="977"/>
      <c r="AF256" s="977"/>
      <c r="AG256" s="977"/>
    </row>
    <row r="257" spans="1:33" x14ac:dyDescent="0.2">
      <c r="A257" s="977"/>
      <c r="B257" s="977"/>
      <c r="C257" s="977"/>
      <c r="D257" s="977"/>
      <c r="E257" s="977"/>
      <c r="F257" s="977"/>
      <c r="G257" s="977"/>
      <c r="H257" s="977"/>
      <c r="I257" s="145"/>
      <c r="J257" s="145"/>
      <c r="K257" s="977"/>
      <c r="L257" s="977"/>
      <c r="M257" s="977"/>
      <c r="N257" s="977"/>
      <c r="O257" s="977"/>
      <c r="P257" s="977"/>
      <c r="Q257" s="977"/>
      <c r="R257" s="977"/>
      <c r="S257" s="977"/>
      <c r="T257" s="977"/>
      <c r="U257" s="977"/>
      <c r="V257" s="977"/>
      <c r="W257" s="977"/>
      <c r="X257" s="978"/>
      <c r="Y257" s="977"/>
      <c r="Z257" s="977"/>
      <c r="AA257" s="978"/>
      <c r="AB257" s="977"/>
      <c r="AC257" s="977"/>
      <c r="AD257" s="977"/>
      <c r="AE257" s="977"/>
      <c r="AF257" s="977"/>
      <c r="AG257" s="977"/>
    </row>
    <row r="258" spans="1:33" x14ac:dyDescent="0.2">
      <c r="A258" s="977"/>
      <c r="B258" s="977"/>
      <c r="C258" s="977"/>
      <c r="D258" s="977"/>
      <c r="E258" s="977"/>
      <c r="F258" s="977"/>
      <c r="G258" s="977"/>
      <c r="H258" s="977"/>
      <c r="I258" s="145"/>
      <c r="J258" s="145"/>
      <c r="K258" s="977"/>
      <c r="L258" s="977"/>
      <c r="M258" s="977"/>
      <c r="N258" s="977"/>
      <c r="O258" s="977"/>
      <c r="P258" s="977"/>
      <c r="Q258" s="977"/>
      <c r="R258" s="977"/>
      <c r="S258" s="977"/>
      <c r="T258" s="977"/>
      <c r="U258" s="977"/>
      <c r="V258" s="977"/>
      <c r="W258" s="977"/>
      <c r="X258" s="978"/>
      <c r="Y258" s="977"/>
      <c r="Z258" s="977"/>
      <c r="AA258" s="978"/>
      <c r="AB258" s="977"/>
      <c r="AC258" s="977"/>
      <c r="AD258" s="977"/>
      <c r="AE258" s="977"/>
      <c r="AF258" s="977"/>
      <c r="AG258" s="977"/>
    </row>
    <row r="259" spans="1:33" x14ac:dyDescent="0.2">
      <c r="A259" s="977"/>
      <c r="B259" s="977"/>
      <c r="C259" s="977"/>
      <c r="D259" s="977"/>
      <c r="E259" s="977"/>
      <c r="F259" s="977"/>
      <c r="G259" s="977"/>
      <c r="H259" s="977"/>
      <c r="I259" s="145"/>
      <c r="J259" s="145"/>
      <c r="K259" s="977"/>
      <c r="L259" s="977"/>
      <c r="M259" s="977"/>
      <c r="N259" s="977"/>
      <c r="O259" s="977"/>
      <c r="P259" s="977"/>
      <c r="Q259" s="977"/>
      <c r="R259" s="977"/>
      <c r="S259" s="977"/>
      <c r="T259" s="977"/>
      <c r="U259" s="977"/>
      <c r="V259" s="977"/>
      <c r="W259" s="977"/>
      <c r="X259" s="978"/>
      <c r="Y259" s="977"/>
      <c r="Z259" s="977"/>
      <c r="AA259" s="978"/>
      <c r="AB259" s="977"/>
      <c r="AC259" s="977"/>
      <c r="AD259" s="977"/>
      <c r="AE259" s="977"/>
      <c r="AF259" s="977"/>
      <c r="AG259" s="977"/>
    </row>
    <row r="260" spans="1:33" x14ac:dyDescent="0.2">
      <c r="A260" s="977"/>
      <c r="B260" s="977"/>
      <c r="C260" s="977"/>
      <c r="D260" s="977"/>
      <c r="E260" s="977"/>
      <c r="F260" s="977"/>
      <c r="G260" s="977"/>
      <c r="H260" s="977"/>
      <c r="I260" s="145"/>
      <c r="J260" s="145"/>
      <c r="K260" s="977"/>
      <c r="L260" s="977"/>
      <c r="M260" s="977"/>
      <c r="N260" s="977"/>
      <c r="O260" s="977"/>
      <c r="P260" s="977"/>
      <c r="Q260" s="977"/>
      <c r="R260" s="977"/>
      <c r="S260" s="977"/>
      <c r="T260" s="977"/>
      <c r="U260" s="977"/>
      <c r="V260" s="977"/>
      <c r="W260" s="977"/>
      <c r="X260" s="978"/>
      <c r="Y260" s="977"/>
      <c r="Z260" s="977"/>
      <c r="AA260" s="978"/>
      <c r="AB260" s="977"/>
      <c r="AC260" s="977"/>
      <c r="AD260" s="977"/>
      <c r="AE260" s="977"/>
      <c r="AF260" s="977"/>
      <c r="AG260" s="977"/>
    </row>
    <row r="261" spans="1:33" x14ac:dyDescent="0.2">
      <c r="A261" s="977"/>
      <c r="B261" s="977"/>
      <c r="C261" s="977"/>
      <c r="D261" s="977"/>
      <c r="E261" s="977"/>
      <c r="F261" s="977"/>
      <c r="G261" s="977"/>
      <c r="H261" s="977"/>
      <c r="I261" s="145"/>
      <c r="J261" s="145"/>
      <c r="K261" s="977"/>
      <c r="L261" s="977"/>
      <c r="M261" s="977"/>
      <c r="N261" s="977"/>
      <c r="O261" s="977"/>
      <c r="P261" s="977"/>
      <c r="Q261" s="977"/>
      <c r="R261" s="977"/>
      <c r="S261" s="977"/>
      <c r="T261" s="977"/>
      <c r="U261" s="977"/>
      <c r="V261" s="977"/>
      <c r="W261" s="977"/>
      <c r="X261" s="978"/>
      <c r="Y261" s="977"/>
      <c r="Z261" s="977"/>
      <c r="AA261" s="978"/>
      <c r="AB261" s="977"/>
      <c r="AC261" s="977"/>
      <c r="AD261" s="977"/>
      <c r="AE261" s="977"/>
      <c r="AF261" s="977"/>
      <c r="AG261" s="977"/>
    </row>
    <row r="262" spans="1:33" x14ac:dyDescent="0.2">
      <c r="A262" s="977"/>
      <c r="B262" s="977"/>
      <c r="C262" s="977"/>
      <c r="D262" s="977"/>
      <c r="E262" s="977"/>
      <c r="F262" s="977"/>
      <c r="G262" s="977"/>
      <c r="H262" s="977"/>
      <c r="I262" s="145"/>
      <c r="J262" s="145"/>
      <c r="K262" s="977"/>
      <c r="L262" s="977"/>
      <c r="M262" s="977"/>
      <c r="N262" s="977"/>
      <c r="O262" s="977"/>
      <c r="P262" s="977"/>
      <c r="Q262" s="977"/>
      <c r="R262" s="977"/>
      <c r="S262" s="977"/>
      <c r="T262" s="977"/>
      <c r="U262" s="977"/>
      <c r="V262" s="977"/>
      <c r="W262" s="977"/>
      <c r="X262" s="978"/>
      <c r="Y262" s="977"/>
      <c r="Z262" s="977"/>
      <c r="AA262" s="978"/>
      <c r="AB262" s="977"/>
      <c r="AC262" s="977"/>
      <c r="AD262" s="977"/>
      <c r="AE262" s="977"/>
      <c r="AF262" s="977"/>
      <c r="AG262" s="977"/>
    </row>
    <row r="263" spans="1:33" x14ac:dyDescent="0.2">
      <c r="A263" s="977"/>
      <c r="B263" s="977"/>
      <c r="C263" s="977"/>
      <c r="D263" s="977"/>
      <c r="E263" s="977"/>
      <c r="F263" s="977"/>
      <c r="G263" s="977"/>
      <c r="H263" s="977"/>
      <c r="I263" s="145"/>
      <c r="J263" s="145"/>
      <c r="K263" s="977"/>
      <c r="L263" s="977"/>
      <c r="M263" s="977"/>
      <c r="N263" s="977"/>
      <c r="O263" s="977"/>
      <c r="P263" s="977"/>
      <c r="Q263" s="977"/>
      <c r="R263" s="977"/>
      <c r="S263" s="977"/>
      <c r="T263" s="977"/>
      <c r="U263" s="977"/>
      <c r="V263" s="977"/>
      <c r="W263" s="977"/>
      <c r="X263" s="978"/>
      <c r="Y263" s="977"/>
      <c r="Z263" s="977"/>
      <c r="AA263" s="978"/>
      <c r="AB263" s="977"/>
      <c r="AC263" s="977"/>
      <c r="AD263" s="977"/>
      <c r="AE263" s="977"/>
      <c r="AF263" s="977"/>
      <c r="AG263" s="977"/>
    </row>
    <row r="264" spans="1:33" x14ac:dyDescent="0.2">
      <c r="A264" s="977"/>
      <c r="B264" s="977"/>
      <c r="C264" s="977"/>
      <c r="D264" s="977"/>
      <c r="E264" s="977"/>
      <c r="F264" s="977"/>
      <c r="G264" s="977"/>
      <c r="H264" s="977"/>
      <c r="I264" s="145"/>
      <c r="J264" s="145"/>
      <c r="K264" s="977"/>
      <c r="L264" s="977"/>
      <c r="M264" s="977"/>
      <c r="N264" s="977"/>
      <c r="O264" s="977"/>
      <c r="P264" s="977"/>
      <c r="Q264" s="977"/>
      <c r="R264" s="977"/>
      <c r="S264" s="977"/>
      <c r="T264" s="977"/>
      <c r="U264" s="977"/>
      <c r="V264" s="977"/>
      <c r="W264" s="977"/>
      <c r="X264" s="978"/>
      <c r="Y264" s="977"/>
      <c r="Z264" s="977"/>
      <c r="AA264" s="978"/>
      <c r="AB264" s="977"/>
      <c r="AC264" s="977"/>
      <c r="AD264" s="977"/>
      <c r="AE264" s="977"/>
      <c r="AF264" s="977"/>
      <c r="AG264" s="977"/>
    </row>
    <row r="265" spans="1:33" x14ac:dyDescent="0.2">
      <c r="A265" s="977"/>
      <c r="B265" s="977"/>
      <c r="C265" s="977"/>
      <c r="D265" s="977"/>
      <c r="E265" s="977"/>
      <c r="F265" s="977"/>
      <c r="G265" s="977"/>
      <c r="H265" s="977"/>
      <c r="I265" s="145"/>
      <c r="J265" s="145"/>
      <c r="K265" s="977"/>
      <c r="L265" s="977"/>
      <c r="M265" s="977"/>
      <c r="N265" s="977"/>
      <c r="O265" s="977"/>
      <c r="P265" s="977"/>
      <c r="Q265" s="977"/>
      <c r="R265" s="977"/>
      <c r="S265" s="977"/>
      <c r="T265" s="977"/>
      <c r="U265" s="977"/>
      <c r="V265" s="977"/>
      <c r="W265" s="977"/>
      <c r="X265" s="978"/>
      <c r="Y265" s="977"/>
      <c r="Z265" s="977"/>
      <c r="AA265" s="978"/>
      <c r="AB265" s="977"/>
      <c r="AC265" s="977"/>
      <c r="AD265" s="977"/>
      <c r="AE265" s="977"/>
      <c r="AF265" s="977"/>
      <c r="AG265" s="977"/>
    </row>
    <row r="266" spans="1:33" x14ac:dyDescent="0.2">
      <c r="A266" s="977"/>
      <c r="B266" s="977"/>
      <c r="C266" s="977"/>
      <c r="D266" s="977"/>
      <c r="E266" s="977"/>
      <c r="F266" s="977"/>
      <c r="G266" s="977"/>
      <c r="H266" s="977"/>
      <c r="I266" s="145"/>
      <c r="J266" s="145"/>
      <c r="K266" s="977"/>
      <c r="L266" s="977"/>
      <c r="M266" s="977"/>
      <c r="N266" s="977"/>
      <c r="O266" s="977"/>
      <c r="P266" s="977"/>
      <c r="Q266" s="977"/>
      <c r="R266" s="977"/>
      <c r="S266" s="977"/>
      <c r="T266" s="977"/>
      <c r="U266" s="977"/>
      <c r="V266" s="977"/>
      <c r="W266" s="977"/>
      <c r="X266" s="978"/>
      <c r="Y266" s="977"/>
      <c r="Z266" s="977"/>
      <c r="AA266" s="978"/>
      <c r="AB266" s="977"/>
      <c r="AC266" s="977"/>
      <c r="AD266" s="977"/>
      <c r="AE266" s="977"/>
      <c r="AF266" s="977"/>
      <c r="AG266" s="977"/>
    </row>
    <row r="267" spans="1:33" x14ac:dyDescent="0.2">
      <c r="A267" s="977"/>
      <c r="B267" s="977"/>
      <c r="C267" s="977"/>
      <c r="D267" s="977"/>
      <c r="E267" s="977"/>
      <c r="F267" s="977"/>
      <c r="G267" s="977"/>
      <c r="H267" s="977"/>
      <c r="I267" s="145"/>
      <c r="J267" s="145"/>
      <c r="K267" s="977"/>
      <c r="L267" s="977"/>
      <c r="M267" s="977"/>
      <c r="N267" s="977"/>
      <c r="O267" s="977"/>
      <c r="P267" s="977"/>
      <c r="Q267" s="977"/>
      <c r="R267" s="977"/>
      <c r="S267" s="977"/>
      <c r="T267" s="977"/>
      <c r="U267" s="977"/>
      <c r="V267" s="977"/>
      <c r="W267" s="977"/>
      <c r="X267" s="978"/>
      <c r="Y267" s="977"/>
      <c r="Z267" s="977"/>
      <c r="AA267" s="978"/>
      <c r="AB267" s="977"/>
      <c r="AC267" s="977"/>
      <c r="AD267" s="977"/>
      <c r="AE267" s="977"/>
      <c r="AF267" s="977"/>
      <c r="AG267" s="977"/>
    </row>
    <row r="268" spans="1:33" x14ac:dyDescent="0.2">
      <c r="A268" s="977"/>
      <c r="B268" s="977"/>
      <c r="C268" s="977"/>
      <c r="D268" s="977"/>
      <c r="E268" s="977"/>
      <c r="F268" s="977"/>
      <c r="G268" s="977"/>
      <c r="H268" s="977"/>
      <c r="I268" s="145"/>
      <c r="J268" s="145"/>
      <c r="K268" s="977"/>
      <c r="L268" s="977"/>
      <c r="M268" s="977"/>
      <c r="N268" s="977"/>
      <c r="O268" s="977"/>
      <c r="P268" s="977"/>
      <c r="Q268" s="977"/>
      <c r="R268" s="977"/>
      <c r="S268" s="977"/>
      <c r="T268" s="977"/>
      <c r="U268" s="977"/>
      <c r="V268" s="977"/>
      <c r="W268" s="977"/>
      <c r="X268" s="978"/>
      <c r="Y268" s="977"/>
      <c r="Z268" s="977"/>
      <c r="AA268" s="978"/>
      <c r="AB268" s="977"/>
      <c r="AC268" s="977"/>
      <c r="AD268" s="977"/>
      <c r="AE268" s="977"/>
      <c r="AF268" s="977"/>
      <c r="AG268" s="977"/>
    </row>
    <row r="269" spans="1:33" x14ac:dyDescent="0.2">
      <c r="A269" s="977"/>
      <c r="B269" s="977"/>
      <c r="C269" s="977"/>
      <c r="D269" s="977"/>
      <c r="E269" s="977"/>
      <c r="F269" s="977"/>
      <c r="G269" s="977"/>
      <c r="H269" s="977"/>
      <c r="I269" s="145"/>
      <c r="J269" s="145"/>
      <c r="K269" s="977"/>
      <c r="L269" s="977"/>
      <c r="M269" s="977"/>
      <c r="N269" s="977"/>
      <c r="O269" s="977"/>
      <c r="P269" s="977"/>
      <c r="Q269" s="977"/>
      <c r="R269" s="977"/>
      <c r="S269" s="977"/>
      <c r="T269" s="977"/>
      <c r="U269" s="977"/>
      <c r="V269" s="977"/>
      <c r="W269" s="977"/>
      <c r="X269" s="978"/>
      <c r="Y269" s="977"/>
      <c r="Z269" s="977"/>
      <c r="AA269" s="978"/>
      <c r="AB269" s="977"/>
      <c r="AC269" s="977"/>
      <c r="AD269" s="977"/>
      <c r="AE269" s="977"/>
      <c r="AF269" s="977"/>
      <c r="AG269" s="977"/>
    </row>
    <row r="270" spans="1:33" x14ac:dyDescent="0.2">
      <c r="A270" s="977"/>
      <c r="B270" s="977"/>
      <c r="C270" s="977"/>
      <c r="D270" s="977"/>
      <c r="E270" s="977"/>
      <c r="F270" s="977"/>
      <c r="G270" s="977"/>
      <c r="H270" s="977"/>
      <c r="I270" s="145"/>
      <c r="J270" s="145"/>
      <c r="K270" s="977"/>
      <c r="L270" s="977"/>
      <c r="M270" s="977"/>
      <c r="N270" s="977"/>
      <c r="O270" s="977"/>
      <c r="P270" s="977"/>
      <c r="Q270" s="977"/>
      <c r="R270" s="977"/>
      <c r="S270" s="977"/>
      <c r="T270" s="977"/>
      <c r="U270" s="977"/>
      <c r="V270" s="977"/>
      <c r="W270" s="977"/>
      <c r="X270" s="978"/>
      <c r="Y270" s="977"/>
      <c r="Z270" s="977"/>
      <c r="AA270" s="978"/>
      <c r="AB270" s="977"/>
      <c r="AC270" s="977"/>
      <c r="AD270" s="977"/>
      <c r="AE270" s="977"/>
      <c r="AF270" s="977"/>
      <c r="AG270" s="977"/>
    </row>
    <row r="271" spans="1:33" x14ac:dyDescent="0.2">
      <c r="A271" s="977"/>
      <c r="B271" s="977"/>
      <c r="C271" s="977"/>
      <c r="D271" s="977"/>
      <c r="E271" s="977"/>
      <c r="F271" s="977"/>
      <c r="G271" s="977"/>
      <c r="H271" s="977"/>
      <c r="I271" s="145"/>
      <c r="J271" s="145"/>
      <c r="K271" s="977"/>
      <c r="L271" s="977"/>
      <c r="M271" s="977"/>
      <c r="N271" s="977"/>
      <c r="O271" s="977"/>
      <c r="P271" s="977"/>
      <c r="Q271" s="977"/>
      <c r="R271" s="977"/>
      <c r="S271" s="977"/>
      <c r="T271" s="977"/>
      <c r="U271" s="977"/>
      <c r="V271" s="977"/>
      <c r="W271" s="977"/>
      <c r="X271" s="978"/>
      <c r="Y271" s="977"/>
      <c r="Z271" s="977"/>
      <c r="AA271" s="978"/>
      <c r="AB271" s="977"/>
      <c r="AC271" s="977"/>
      <c r="AD271" s="977"/>
      <c r="AE271" s="977"/>
      <c r="AF271" s="977"/>
      <c r="AG271" s="977"/>
    </row>
    <row r="272" spans="1:33" x14ac:dyDescent="0.2">
      <c r="A272" s="977"/>
      <c r="B272" s="977"/>
      <c r="C272" s="977"/>
      <c r="D272" s="977"/>
      <c r="E272" s="977"/>
      <c r="F272" s="977"/>
      <c r="G272" s="977"/>
      <c r="H272" s="977"/>
      <c r="I272" s="145"/>
      <c r="J272" s="145"/>
      <c r="K272" s="977"/>
      <c r="L272" s="977"/>
      <c r="M272" s="977"/>
      <c r="N272" s="977"/>
      <c r="O272" s="977"/>
      <c r="P272" s="977"/>
      <c r="Q272" s="977"/>
      <c r="R272" s="977"/>
      <c r="S272" s="977"/>
      <c r="T272" s="977"/>
      <c r="U272" s="977"/>
      <c r="V272" s="977"/>
      <c r="W272" s="977"/>
      <c r="X272" s="978"/>
      <c r="Y272" s="977"/>
      <c r="Z272" s="977"/>
      <c r="AA272" s="978"/>
      <c r="AB272" s="977"/>
      <c r="AC272" s="977"/>
      <c r="AD272" s="977"/>
      <c r="AE272" s="977"/>
      <c r="AF272" s="977"/>
      <c r="AG272" s="977"/>
    </row>
    <row r="273" spans="1:33" x14ac:dyDescent="0.2">
      <c r="A273" s="977"/>
      <c r="B273" s="977"/>
      <c r="C273" s="977"/>
      <c r="D273" s="977"/>
      <c r="E273" s="977"/>
      <c r="F273" s="977"/>
      <c r="G273" s="977"/>
      <c r="H273" s="977"/>
      <c r="I273" s="145"/>
      <c r="J273" s="145"/>
      <c r="K273" s="977"/>
      <c r="L273" s="977"/>
      <c r="M273" s="977"/>
      <c r="N273" s="977"/>
      <c r="O273" s="977"/>
      <c r="P273" s="977"/>
      <c r="Q273" s="977"/>
      <c r="R273" s="977"/>
      <c r="S273" s="977"/>
      <c r="T273" s="977"/>
      <c r="U273" s="977"/>
      <c r="V273" s="977"/>
      <c r="W273" s="977"/>
      <c r="X273" s="978"/>
      <c r="Y273" s="977"/>
      <c r="Z273" s="977"/>
      <c r="AA273" s="978"/>
      <c r="AB273" s="977"/>
      <c r="AC273" s="977"/>
      <c r="AD273" s="977"/>
      <c r="AE273" s="977"/>
      <c r="AF273" s="977"/>
      <c r="AG273" s="977"/>
    </row>
    <row r="274" spans="1:33" x14ac:dyDescent="0.2">
      <c r="A274" s="977"/>
      <c r="B274" s="977"/>
      <c r="C274" s="977"/>
      <c r="D274" s="977"/>
      <c r="E274" s="977"/>
      <c r="F274" s="977"/>
      <c r="G274" s="977"/>
      <c r="H274" s="977"/>
      <c r="I274" s="145"/>
      <c r="J274" s="145"/>
      <c r="K274" s="977"/>
      <c r="L274" s="977"/>
      <c r="M274" s="977"/>
      <c r="N274" s="977"/>
      <c r="O274" s="977"/>
      <c r="P274" s="977"/>
      <c r="Q274" s="977"/>
      <c r="R274" s="977"/>
      <c r="S274" s="977"/>
      <c r="T274" s="977"/>
      <c r="U274" s="977"/>
      <c r="V274" s="977"/>
      <c r="W274" s="977"/>
      <c r="X274" s="978"/>
      <c r="Y274" s="977"/>
      <c r="Z274" s="977"/>
      <c r="AA274" s="978"/>
      <c r="AB274" s="977"/>
      <c r="AC274" s="977"/>
      <c r="AD274" s="977"/>
      <c r="AE274" s="977"/>
      <c r="AF274" s="977"/>
      <c r="AG274" s="977"/>
    </row>
    <row r="275" spans="1:33" x14ac:dyDescent="0.2">
      <c r="A275" s="977"/>
      <c r="B275" s="977"/>
      <c r="C275" s="977"/>
      <c r="D275" s="977"/>
      <c r="E275" s="977"/>
      <c r="F275" s="977"/>
      <c r="G275" s="977"/>
      <c r="H275" s="977"/>
      <c r="I275" s="145"/>
      <c r="J275" s="145"/>
      <c r="K275" s="977"/>
      <c r="L275" s="977"/>
      <c r="M275" s="977"/>
      <c r="N275" s="977"/>
      <c r="O275" s="977"/>
      <c r="P275" s="977"/>
      <c r="Q275" s="977"/>
      <c r="R275" s="977"/>
      <c r="S275" s="977"/>
      <c r="T275" s="977"/>
      <c r="U275" s="977"/>
      <c r="V275" s="977"/>
      <c r="W275" s="977"/>
      <c r="X275" s="978"/>
      <c r="Y275" s="977"/>
      <c r="Z275" s="977"/>
      <c r="AA275" s="978"/>
      <c r="AB275" s="977"/>
      <c r="AC275" s="977"/>
      <c r="AD275" s="977"/>
      <c r="AE275" s="977"/>
      <c r="AF275" s="977"/>
      <c r="AG275" s="977"/>
    </row>
    <row r="276" spans="1:33" x14ac:dyDescent="0.2">
      <c r="A276" s="977"/>
      <c r="B276" s="977"/>
      <c r="C276" s="977"/>
      <c r="D276" s="977"/>
      <c r="E276" s="977"/>
      <c r="F276" s="977"/>
      <c r="G276" s="977"/>
      <c r="H276" s="977"/>
      <c r="I276" s="145"/>
      <c r="J276" s="145"/>
      <c r="K276" s="977"/>
      <c r="L276" s="977"/>
      <c r="M276" s="977"/>
      <c r="N276" s="977"/>
      <c r="O276" s="977"/>
      <c r="P276" s="977"/>
      <c r="Q276" s="977"/>
      <c r="R276" s="977"/>
      <c r="S276" s="977"/>
      <c r="T276" s="977"/>
      <c r="U276" s="977"/>
      <c r="V276" s="977"/>
      <c r="W276" s="977"/>
      <c r="X276" s="978"/>
      <c r="Y276" s="977"/>
      <c r="Z276" s="977"/>
      <c r="AA276" s="978"/>
      <c r="AB276" s="977"/>
      <c r="AC276" s="977"/>
      <c r="AD276" s="977"/>
      <c r="AE276" s="977"/>
      <c r="AF276" s="977"/>
      <c r="AG276" s="977"/>
    </row>
    <row r="277" spans="1:33" x14ac:dyDescent="0.2">
      <c r="A277" s="977"/>
      <c r="B277" s="977"/>
      <c r="C277" s="977"/>
      <c r="D277" s="977"/>
      <c r="E277" s="977"/>
      <c r="F277" s="977"/>
      <c r="G277" s="977"/>
      <c r="H277" s="977"/>
      <c r="I277" s="145"/>
      <c r="J277" s="145"/>
      <c r="K277" s="977"/>
      <c r="L277" s="977"/>
      <c r="M277" s="977"/>
      <c r="N277" s="977"/>
      <c r="O277" s="977"/>
      <c r="P277" s="977"/>
      <c r="Q277" s="977"/>
      <c r="R277" s="977"/>
      <c r="S277" s="977"/>
      <c r="T277" s="977"/>
      <c r="U277" s="977"/>
      <c r="V277" s="977"/>
      <c r="W277" s="977"/>
      <c r="X277" s="978"/>
      <c r="Y277" s="977"/>
      <c r="Z277" s="977"/>
      <c r="AA277" s="978"/>
      <c r="AB277" s="977"/>
      <c r="AC277" s="977"/>
      <c r="AD277" s="977"/>
      <c r="AE277" s="977"/>
      <c r="AF277" s="977"/>
      <c r="AG277" s="977"/>
    </row>
    <row r="278" spans="1:33" x14ac:dyDescent="0.2">
      <c r="A278" s="977"/>
      <c r="B278" s="977"/>
      <c r="C278" s="977"/>
      <c r="D278" s="977"/>
      <c r="E278" s="977"/>
      <c r="F278" s="977"/>
      <c r="G278" s="977"/>
      <c r="H278" s="977"/>
      <c r="I278" s="145"/>
      <c r="J278" s="145"/>
      <c r="K278" s="977"/>
      <c r="L278" s="977"/>
      <c r="M278" s="977"/>
      <c r="N278" s="977"/>
      <c r="O278" s="977"/>
      <c r="P278" s="977"/>
      <c r="Q278" s="977"/>
      <c r="R278" s="977"/>
      <c r="S278" s="977"/>
      <c r="T278" s="977"/>
      <c r="U278" s="977"/>
      <c r="V278" s="977"/>
      <c r="W278" s="977"/>
      <c r="X278" s="978"/>
      <c r="Y278" s="977"/>
      <c r="Z278" s="977"/>
      <c r="AA278" s="978"/>
      <c r="AB278" s="977"/>
      <c r="AC278" s="977"/>
      <c r="AD278" s="977"/>
      <c r="AE278" s="977"/>
      <c r="AF278" s="977"/>
      <c r="AG278" s="977"/>
    </row>
    <row r="279" spans="1:33" x14ac:dyDescent="0.2">
      <c r="A279" s="977"/>
      <c r="B279" s="977"/>
      <c r="C279" s="977"/>
      <c r="D279" s="977"/>
      <c r="E279" s="977"/>
      <c r="F279" s="977"/>
      <c r="G279" s="977"/>
      <c r="H279" s="977"/>
      <c r="I279" s="145"/>
      <c r="J279" s="145"/>
      <c r="K279" s="977"/>
      <c r="L279" s="977"/>
      <c r="M279" s="977"/>
      <c r="N279" s="977"/>
      <c r="O279" s="977"/>
      <c r="P279" s="977"/>
      <c r="Q279" s="977"/>
      <c r="R279" s="977"/>
      <c r="S279" s="977"/>
      <c r="T279" s="977"/>
      <c r="U279" s="977"/>
      <c r="V279" s="977"/>
      <c r="W279" s="977"/>
      <c r="X279" s="978"/>
      <c r="Y279" s="977"/>
      <c r="Z279" s="977"/>
      <c r="AA279" s="978"/>
      <c r="AB279" s="977"/>
      <c r="AC279" s="977"/>
      <c r="AD279" s="977"/>
      <c r="AE279" s="977"/>
      <c r="AF279" s="977"/>
      <c r="AG279" s="977"/>
    </row>
    <row r="280" spans="1:33" x14ac:dyDescent="0.2">
      <c r="A280" s="977"/>
      <c r="B280" s="977"/>
      <c r="C280" s="977"/>
      <c r="D280" s="977"/>
      <c r="E280" s="977"/>
      <c r="F280" s="977"/>
      <c r="G280" s="977"/>
      <c r="H280" s="977"/>
      <c r="I280" s="145"/>
      <c r="J280" s="145"/>
      <c r="K280" s="977"/>
      <c r="L280" s="977"/>
      <c r="M280" s="977"/>
      <c r="N280" s="977"/>
      <c r="O280" s="977"/>
      <c r="P280" s="977"/>
      <c r="Q280" s="977"/>
      <c r="R280" s="977"/>
      <c r="S280" s="977"/>
      <c r="T280" s="977"/>
      <c r="U280" s="977"/>
      <c r="V280" s="977"/>
      <c r="W280" s="977"/>
      <c r="X280" s="978"/>
      <c r="Y280" s="977"/>
      <c r="Z280" s="977"/>
      <c r="AA280" s="978"/>
      <c r="AB280" s="977"/>
      <c r="AC280" s="977"/>
      <c r="AD280" s="977"/>
      <c r="AE280" s="977"/>
      <c r="AF280" s="977"/>
      <c r="AG280" s="977"/>
    </row>
    <row r="281" spans="1:33" x14ac:dyDescent="0.2">
      <c r="A281" s="977"/>
      <c r="B281" s="977"/>
      <c r="C281" s="977"/>
      <c r="D281" s="977"/>
      <c r="E281" s="977"/>
      <c r="F281" s="977"/>
      <c r="G281" s="977"/>
      <c r="H281" s="977"/>
      <c r="I281" s="145"/>
      <c r="J281" s="145"/>
      <c r="K281" s="977"/>
      <c r="L281" s="977"/>
      <c r="M281" s="977"/>
      <c r="N281" s="977"/>
      <c r="O281" s="977"/>
      <c r="P281" s="977"/>
      <c r="Q281" s="977"/>
      <c r="R281" s="977"/>
      <c r="S281" s="977"/>
      <c r="T281" s="977"/>
      <c r="U281" s="977"/>
      <c r="V281" s="977"/>
      <c r="W281" s="977"/>
      <c r="X281" s="978"/>
      <c r="Y281" s="977"/>
      <c r="Z281" s="977"/>
      <c r="AA281" s="978"/>
      <c r="AB281" s="977"/>
      <c r="AC281" s="977"/>
      <c r="AD281" s="977"/>
      <c r="AE281" s="977"/>
      <c r="AF281" s="977"/>
      <c r="AG281" s="977"/>
    </row>
    <row r="282" spans="1:33" x14ac:dyDescent="0.2">
      <c r="A282" s="977"/>
      <c r="B282" s="977"/>
      <c r="C282" s="977"/>
      <c r="D282" s="977"/>
      <c r="E282" s="977"/>
      <c r="F282" s="977"/>
      <c r="G282" s="977"/>
      <c r="H282" s="977"/>
      <c r="I282" s="145"/>
      <c r="J282" s="145"/>
      <c r="K282" s="977"/>
      <c r="L282" s="977"/>
      <c r="M282" s="977"/>
      <c r="N282" s="977"/>
      <c r="O282" s="977"/>
      <c r="P282" s="977"/>
      <c r="Q282" s="977"/>
      <c r="R282" s="977"/>
      <c r="S282" s="977"/>
      <c r="T282" s="977"/>
      <c r="U282" s="977"/>
      <c r="V282" s="977"/>
      <c r="W282" s="977"/>
      <c r="X282" s="978"/>
      <c r="Y282" s="977"/>
      <c r="Z282" s="977"/>
      <c r="AA282" s="978"/>
      <c r="AB282" s="977"/>
      <c r="AC282" s="977"/>
      <c r="AD282" s="977"/>
      <c r="AE282" s="977"/>
      <c r="AF282" s="977"/>
      <c r="AG282" s="977"/>
    </row>
    <row r="283" spans="1:33" x14ac:dyDescent="0.2">
      <c r="A283" s="977"/>
      <c r="B283" s="977"/>
      <c r="C283" s="977"/>
      <c r="D283" s="977"/>
      <c r="E283" s="977"/>
      <c r="F283" s="977"/>
      <c r="G283" s="977"/>
      <c r="H283" s="977"/>
      <c r="I283" s="145"/>
      <c r="J283" s="145"/>
      <c r="K283" s="977"/>
      <c r="L283" s="977"/>
      <c r="M283" s="977"/>
      <c r="N283" s="977"/>
      <c r="O283" s="977"/>
      <c r="P283" s="977"/>
      <c r="Q283" s="977"/>
      <c r="R283" s="977"/>
      <c r="S283" s="977"/>
      <c r="T283" s="977"/>
      <c r="U283" s="977"/>
      <c r="V283" s="977"/>
      <c r="W283" s="977"/>
      <c r="X283" s="978"/>
      <c r="Y283" s="977"/>
      <c r="Z283" s="977"/>
      <c r="AA283" s="978"/>
      <c r="AB283" s="977"/>
      <c r="AC283" s="977"/>
      <c r="AD283" s="977"/>
      <c r="AE283" s="977"/>
      <c r="AF283" s="977"/>
      <c r="AG283" s="977"/>
    </row>
    <row r="284" spans="1:33" x14ac:dyDescent="0.2">
      <c r="A284" s="977"/>
      <c r="B284" s="977"/>
      <c r="C284" s="977"/>
      <c r="D284" s="977"/>
      <c r="E284" s="977"/>
      <c r="F284" s="977"/>
      <c r="G284" s="977"/>
      <c r="H284" s="977"/>
      <c r="I284" s="145"/>
      <c r="J284" s="145"/>
      <c r="K284" s="977"/>
      <c r="L284" s="977"/>
      <c r="M284" s="977"/>
      <c r="N284" s="977"/>
      <c r="O284" s="977"/>
      <c r="P284" s="977"/>
      <c r="Q284" s="977"/>
      <c r="R284" s="977"/>
      <c r="S284" s="977"/>
      <c r="T284" s="977"/>
      <c r="U284" s="977"/>
      <c r="V284" s="977"/>
      <c r="W284" s="977"/>
      <c r="X284" s="978"/>
      <c r="Y284" s="977"/>
      <c r="Z284" s="977"/>
      <c r="AA284" s="978"/>
      <c r="AB284" s="977"/>
      <c r="AC284" s="977"/>
      <c r="AD284" s="977"/>
      <c r="AE284" s="977"/>
      <c r="AF284" s="977"/>
      <c r="AG284" s="977"/>
    </row>
    <row r="285" spans="1:33" x14ac:dyDescent="0.2">
      <c r="A285" s="977"/>
      <c r="B285" s="977"/>
      <c r="C285" s="977"/>
      <c r="D285" s="977"/>
      <c r="E285" s="977"/>
      <c r="F285" s="977"/>
      <c r="G285" s="977"/>
      <c r="H285" s="977"/>
      <c r="I285" s="145"/>
      <c r="J285" s="145"/>
      <c r="K285" s="977"/>
      <c r="L285" s="977"/>
      <c r="M285" s="977"/>
      <c r="N285" s="977"/>
      <c r="O285" s="977"/>
      <c r="P285" s="977"/>
      <c r="Q285" s="977"/>
      <c r="R285" s="977"/>
      <c r="S285" s="977"/>
      <c r="T285" s="977"/>
      <c r="U285" s="977"/>
      <c r="V285" s="977"/>
      <c r="W285" s="977"/>
      <c r="X285" s="978"/>
      <c r="Y285" s="977"/>
      <c r="Z285" s="977"/>
      <c r="AA285" s="978"/>
      <c r="AB285" s="977"/>
      <c r="AC285" s="977"/>
      <c r="AD285" s="977"/>
      <c r="AE285" s="977"/>
      <c r="AF285" s="977"/>
      <c r="AG285" s="977"/>
    </row>
    <row r="286" spans="1:33" x14ac:dyDescent="0.2">
      <c r="A286" s="977"/>
      <c r="B286" s="977"/>
      <c r="C286" s="977"/>
      <c r="D286" s="977"/>
      <c r="E286" s="977"/>
      <c r="F286" s="977"/>
      <c r="G286" s="977"/>
      <c r="H286" s="977"/>
      <c r="I286" s="145"/>
      <c r="J286" s="145"/>
      <c r="K286" s="977"/>
      <c r="L286" s="977"/>
      <c r="M286" s="977"/>
      <c r="N286" s="977"/>
      <c r="O286" s="977"/>
      <c r="P286" s="977"/>
      <c r="Q286" s="977"/>
      <c r="R286" s="977"/>
      <c r="S286" s="977"/>
      <c r="T286" s="977"/>
      <c r="U286" s="977"/>
      <c r="V286" s="977"/>
      <c r="W286" s="977"/>
      <c r="X286" s="978"/>
      <c r="Y286" s="977"/>
      <c r="Z286" s="977"/>
      <c r="AA286" s="978"/>
      <c r="AB286" s="977"/>
      <c r="AC286" s="977"/>
      <c r="AD286" s="977"/>
      <c r="AE286" s="977"/>
      <c r="AF286" s="977"/>
      <c r="AG286" s="977"/>
    </row>
    <row r="287" spans="1:33" x14ac:dyDescent="0.2">
      <c r="A287" s="977"/>
      <c r="B287" s="977"/>
      <c r="C287" s="977"/>
      <c r="D287" s="977"/>
      <c r="E287" s="977"/>
      <c r="F287" s="977"/>
      <c r="G287" s="977"/>
      <c r="H287" s="977"/>
      <c r="I287" s="145"/>
      <c r="J287" s="145"/>
      <c r="K287" s="977"/>
      <c r="L287" s="977"/>
      <c r="M287" s="977"/>
      <c r="N287" s="977"/>
      <c r="O287" s="977"/>
      <c r="P287" s="977"/>
      <c r="Q287" s="977"/>
      <c r="R287" s="977"/>
      <c r="S287" s="977"/>
      <c r="T287" s="977"/>
      <c r="U287" s="977"/>
      <c r="V287" s="977"/>
      <c r="W287" s="977"/>
      <c r="X287" s="978"/>
      <c r="Y287" s="977"/>
      <c r="Z287" s="977"/>
      <c r="AA287" s="978"/>
      <c r="AB287" s="977"/>
      <c r="AC287" s="977"/>
      <c r="AD287" s="977"/>
      <c r="AE287" s="977"/>
      <c r="AF287" s="977"/>
      <c r="AG287" s="977"/>
    </row>
    <row r="288" spans="1:33" x14ac:dyDescent="0.2">
      <c r="A288" s="977"/>
      <c r="B288" s="977"/>
      <c r="C288" s="977"/>
      <c r="D288" s="977"/>
      <c r="E288" s="977"/>
      <c r="F288" s="977"/>
      <c r="G288" s="977"/>
      <c r="H288" s="977"/>
      <c r="I288" s="145"/>
      <c r="J288" s="145"/>
      <c r="K288" s="977"/>
      <c r="L288" s="977"/>
      <c r="M288" s="977"/>
      <c r="N288" s="977"/>
      <c r="O288" s="977"/>
      <c r="P288" s="977"/>
      <c r="Q288" s="977"/>
      <c r="R288" s="977"/>
      <c r="S288" s="977"/>
      <c r="T288" s="977"/>
      <c r="U288" s="977"/>
      <c r="V288" s="977"/>
      <c r="W288" s="977"/>
      <c r="X288" s="978"/>
      <c r="Y288" s="977"/>
      <c r="Z288" s="977"/>
      <c r="AA288" s="978"/>
      <c r="AB288" s="977"/>
      <c r="AC288" s="977"/>
      <c r="AD288" s="977"/>
      <c r="AE288" s="977"/>
      <c r="AF288" s="977"/>
      <c r="AG288" s="977"/>
    </row>
    <row r="289" spans="1:33" x14ac:dyDescent="0.2">
      <c r="A289" s="977"/>
      <c r="B289" s="977"/>
      <c r="C289" s="977"/>
      <c r="D289" s="977"/>
      <c r="E289" s="977"/>
      <c r="F289" s="977"/>
      <c r="G289" s="977"/>
      <c r="H289" s="977"/>
      <c r="I289" s="145"/>
      <c r="J289" s="145"/>
      <c r="K289" s="977"/>
      <c r="L289" s="977"/>
      <c r="M289" s="977"/>
      <c r="N289" s="977"/>
      <c r="O289" s="977"/>
      <c r="P289" s="977"/>
      <c r="Q289" s="977"/>
      <c r="R289" s="977"/>
      <c r="S289" s="977"/>
      <c r="T289" s="977"/>
      <c r="U289" s="977"/>
      <c r="V289" s="977"/>
      <c r="W289" s="977"/>
      <c r="X289" s="978"/>
      <c r="Y289" s="977"/>
      <c r="Z289" s="977"/>
      <c r="AA289" s="978"/>
      <c r="AB289" s="977"/>
      <c r="AC289" s="977"/>
      <c r="AD289" s="977"/>
      <c r="AE289" s="977"/>
      <c r="AF289" s="977"/>
      <c r="AG289" s="977"/>
    </row>
    <row r="290" spans="1:33" x14ac:dyDescent="0.2">
      <c r="A290" s="977"/>
      <c r="B290" s="977"/>
      <c r="C290" s="977"/>
      <c r="D290" s="977"/>
      <c r="E290" s="977"/>
      <c r="F290" s="977"/>
      <c r="G290" s="977"/>
      <c r="H290" s="977"/>
      <c r="I290" s="145"/>
      <c r="J290" s="145"/>
      <c r="K290" s="977"/>
      <c r="L290" s="977"/>
      <c r="M290" s="977"/>
      <c r="N290" s="977"/>
      <c r="O290" s="977"/>
      <c r="P290" s="977"/>
      <c r="Q290" s="977"/>
      <c r="R290" s="977"/>
      <c r="S290" s="977"/>
      <c r="T290" s="977"/>
      <c r="U290" s="977"/>
      <c r="V290" s="977"/>
      <c r="W290" s="977"/>
      <c r="X290" s="978"/>
      <c r="Y290" s="977"/>
      <c r="Z290" s="977"/>
      <c r="AA290" s="978"/>
      <c r="AB290" s="977"/>
      <c r="AC290" s="977"/>
      <c r="AD290" s="977"/>
      <c r="AE290" s="977"/>
      <c r="AF290" s="977"/>
      <c r="AG290" s="977"/>
    </row>
    <row r="291" spans="1:33" x14ac:dyDescent="0.2">
      <c r="A291" s="977"/>
      <c r="B291" s="977"/>
      <c r="C291" s="977"/>
      <c r="D291" s="977"/>
      <c r="E291" s="977"/>
      <c r="F291" s="977"/>
      <c r="G291" s="977"/>
      <c r="H291" s="977"/>
      <c r="I291" s="145"/>
      <c r="J291" s="145"/>
      <c r="K291" s="977"/>
      <c r="L291" s="977"/>
      <c r="M291" s="977"/>
      <c r="N291" s="977"/>
      <c r="O291" s="977"/>
      <c r="P291" s="977"/>
      <c r="Q291" s="977"/>
      <c r="R291" s="977"/>
      <c r="S291" s="977"/>
      <c r="T291" s="977"/>
      <c r="U291" s="977"/>
      <c r="V291" s="977"/>
      <c r="W291" s="977"/>
      <c r="X291" s="978"/>
      <c r="Y291" s="977"/>
      <c r="Z291" s="977"/>
      <c r="AA291" s="978"/>
      <c r="AB291" s="977"/>
      <c r="AC291" s="977"/>
      <c r="AD291" s="977"/>
      <c r="AE291" s="977"/>
      <c r="AF291" s="977"/>
      <c r="AG291" s="977"/>
    </row>
    <row r="292" spans="1:33" x14ac:dyDescent="0.2">
      <c r="A292" s="977"/>
      <c r="B292" s="977"/>
      <c r="C292" s="977"/>
      <c r="D292" s="977"/>
      <c r="E292" s="977"/>
      <c r="F292" s="977"/>
      <c r="G292" s="977"/>
      <c r="H292" s="977"/>
      <c r="I292" s="145"/>
      <c r="J292" s="145"/>
      <c r="K292" s="977"/>
      <c r="L292" s="977"/>
      <c r="M292" s="977"/>
      <c r="N292" s="977"/>
      <c r="O292" s="977"/>
      <c r="P292" s="977"/>
      <c r="Q292" s="977"/>
      <c r="R292" s="977"/>
      <c r="S292" s="977"/>
      <c r="T292" s="977"/>
      <c r="U292" s="977"/>
      <c r="V292" s="977"/>
      <c r="W292" s="977"/>
      <c r="X292" s="978"/>
      <c r="Y292" s="977"/>
      <c r="Z292" s="977"/>
      <c r="AA292" s="978"/>
      <c r="AB292" s="977"/>
      <c r="AC292" s="977"/>
      <c r="AD292" s="977"/>
      <c r="AE292" s="977"/>
      <c r="AF292" s="977"/>
      <c r="AG292" s="977"/>
    </row>
    <row r="293" spans="1:33" x14ac:dyDescent="0.2">
      <c r="A293" s="977"/>
      <c r="B293" s="977"/>
      <c r="C293" s="977"/>
      <c r="D293" s="977"/>
      <c r="E293" s="977"/>
      <c r="F293" s="977"/>
      <c r="G293" s="977"/>
      <c r="H293" s="977"/>
      <c r="I293" s="145"/>
      <c r="J293" s="145"/>
      <c r="K293" s="977"/>
      <c r="L293" s="977"/>
      <c r="M293" s="977"/>
      <c r="N293" s="977"/>
      <c r="O293" s="977"/>
      <c r="P293" s="977"/>
      <c r="Q293" s="977"/>
      <c r="R293" s="977"/>
      <c r="S293" s="977"/>
      <c r="T293" s="977"/>
      <c r="U293" s="977"/>
      <c r="V293" s="977"/>
      <c r="W293" s="977"/>
      <c r="X293" s="978"/>
      <c r="Y293" s="977"/>
      <c r="Z293" s="977"/>
      <c r="AA293" s="978"/>
      <c r="AB293" s="977"/>
      <c r="AC293" s="977"/>
      <c r="AD293" s="977"/>
      <c r="AE293" s="977"/>
      <c r="AF293" s="977"/>
      <c r="AG293" s="977"/>
    </row>
    <row r="294" spans="1:33" x14ac:dyDescent="0.2">
      <c r="A294" s="977"/>
      <c r="B294" s="977"/>
      <c r="C294" s="977"/>
      <c r="D294" s="977"/>
      <c r="E294" s="977"/>
      <c r="F294" s="977"/>
      <c r="G294" s="977"/>
      <c r="H294" s="977"/>
      <c r="I294" s="145"/>
      <c r="J294" s="145"/>
      <c r="K294" s="977"/>
      <c r="L294" s="977"/>
      <c r="M294" s="977"/>
      <c r="N294" s="977"/>
      <c r="O294" s="977"/>
      <c r="P294" s="977"/>
      <c r="Q294" s="977"/>
      <c r="R294" s="977"/>
      <c r="S294" s="977"/>
      <c r="T294" s="977"/>
      <c r="U294" s="977"/>
      <c r="V294" s="977"/>
      <c r="W294" s="977"/>
      <c r="X294" s="978"/>
      <c r="Y294" s="977"/>
      <c r="Z294" s="977"/>
      <c r="AA294" s="978"/>
      <c r="AB294" s="977"/>
      <c r="AC294" s="977"/>
      <c r="AD294" s="977"/>
      <c r="AE294" s="977"/>
      <c r="AF294" s="977"/>
      <c r="AG294" s="977"/>
    </row>
    <row r="295" spans="1:33" x14ac:dyDescent="0.2">
      <c r="A295" s="977"/>
      <c r="B295" s="977"/>
      <c r="C295" s="977"/>
      <c r="D295" s="977"/>
      <c r="E295" s="977"/>
      <c r="F295" s="977"/>
      <c r="G295" s="977"/>
      <c r="H295" s="977"/>
      <c r="I295" s="145"/>
      <c r="J295" s="145"/>
      <c r="K295" s="977"/>
      <c r="L295" s="977"/>
      <c r="M295" s="977"/>
      <c r="N295" s="977"/>
      <c r="O295" s="977"/>
      <c r="P295" s="977"/>
      <c r="Q295" s="977"/>
      <c r="R295" s="977"/>
      <c r="S295" s="977"/>
      <c r="T295" s="977"/>
      <c r="U295" s="977"/>
      <c r="V295" s="977"/>
      <c r="W295" s="977"/>
      <c r="X295" s="978"/>
      <c r="Y295" s="977"/>
      <c r="Z295" s="977"/>
      <c r="AA295" s="978"/>
      <c r="AB295" s="977"/>
      <c r="AC295" s="977"/>
      <c r="AD295" s="977"/>
      <c r="AE295" s="977"/>
      <c r="AF295" s="977"/>
      <c r="AG295" s="977"/>
    </row>
    <row r="296" spans="1:33" x14ac:dyDescent="0.2">
      <c r="A296" s="977"/>
      <c r="B296" s="977"/>
      <c r="C296" s="977"/>
      <c r="D296" s="977"/>
      <c r="E296" s="977"/>
      <c r="F296" s="977"/>
      <c r="G296" s="977"/>
      <c r="H296" s="977"/>
      <c r="I296" s="145"/>
      <c r="J296" s="145"/>
      <c r="K296" s="977"/>
      <c r="L296" s="977"/>
      <c r="M296" s="977"/>
      <c r="N296" s="977"/>
      <c r="O296" s="977"/>
      <c r="P296" s="977"/>
      <c r="Q296" s="977"/>
      <c r="R296" s="977"/>
      <c r="S296" s="977"/>
      <c r="T296" s="977"/>
      <c r="U296" s="977"/>
      <c r="V296" s="977"/>
      <c r="W296" s="977"/>
      <c r="X296" s="978"/>
      <c r="Y296" s="977"/>
      <c r="Z296" s="977"/>
      <c r="AA296" s="978"/>
      <c r="AB296" s="977"/>
      <c r="AC296" s="977"/>
      <c r="AD296" s="977"/>
      <c r="AE296" s="977"/>
      <c r="AF296" s="977"/>
      <c r="AG296" s="977"/>
    </row>
    <row r="297" spans="1:33" x14ac:dyDescent="0.2">
      <c r="A297" s="977"/>
      <c r="B297" s="977"/>
      <c r="C297" s="977"/>
      <c r="D297" s="977"/>
      <c r="E297" s="977"/>
      <c r="F297" s="977"/>
      <c r="G297" s="977"/>
      <c r="H297" s="977"/>
      <c r="I297" s="145"/>
      <c r="J297" s="145"/>
      <c r="K297" s="977"/>
      <c r="L297" s="977"/>
      <c r="M297" s="977"/>
      <c r="N297" s="977"/>
      <c r="O297" s="977"/>
      <c r="P297" s="977"/>
      <c r="Q297" s="977"/>
      <c r="R297" s="977"/>
      <c r="S297" s="977"/>
      <c r="T297" s="977"/>
      <c r="U297" s="977"/>
      <c r="V297" s="977"/>
      <c r="W297" s="977"/>
      <c r="X297" s="978"/>
      <c r="Y297" s="977"/>
      <c r="Z297" s="977"/>
      <c r="AA297" s="978"/>
      <c r="AB297" s="977"/>
      <c r="AC297" s="977"/>
      <c r="AD297" s="977"/>
      <c r="AE297" s="977"/>
      <c r="AF297" s="977"/>
      <c r="AG297" s="977"/>
    </row>
    <row r="298" spans="1:33" x14ac:dyDescent="0.2">
      <c r="A298" s="977"/>
      <c r="B298" s="977"/>
      <c r="C298" s="977"/>
      <c r="D298" s="977"/>
      <c r="E298" s="977"/>
      <c r="F298" s="977"/>
      <c r="G298" s="977"/>
      <c r="H298" s="977"/>
      <c r="I298" s="145"/>
      <c r="J298" s="145"/>
      <c r="K298" s="977"/>
      <c r="L298" s="977"/>
      <c r="M298" s="977"/>
      <c r="N298" s="977"/>
      <c r="O298" s="977"/>
      <c r="P298" s="977"/>
      <c r="Q298" s="977"/>
      <c r="R298" s="977"/>
      <c r="S298" s="977"/>
      <c r="T298" s="977"/>
      <c r="U298" s="977"/>
      <c r="V298" s="977"/>
      <c r="W298" s="977"/>
      <c r="X298" s="978"/>
      <c r="Y298" s="977"/>
      <c r="Z298" s="977"/>
      <c r="AA298" s="978"/>
      <c r="AB298" s="977"/>
      <c r="AC298" s="977"/>
      <c r="AD298" s="977"/>
      <c r="AE298" s="977"/>
      <c r="AF298" s="977"/>
      <c r="AG298" s="977"/>
    </row>
    <row r="299" spans="1:33" x14ac:dyDescent="0.2">
      <c r="A299" s="977"/>
      <c r="B299" s="977"/>
      <c r="C299" s="977"/>
      <c r="D299" s="977"/>
      <c r="E299" s="977"/>
      <c r="F299" s="977"/>
      <c r="G299" s="977"/>
      <c r="H299" s="977"/>
      <c r="I299" s="145"/>
      <c r="J299" s="145"/>
      <c r="K299" s="977"/>
      <c r="L299" s="977"/>
      <c r="M299" s="977"/>
      <c r="N299" s="977"/>
      <c r="O299" s="977"/>
      <c r="P299" s="977"/>
      <c r="Q299" s="977"/>
      <c r="R299" s="977"/>
      <c r="S299" s="977"/>
      <c r="T299" s="977"/>
      <c r="U299" s="977"/>
      <c r="V299" s="977"/>
      <c r="W299" s="977"/>
      <c r="X299" s="978"/>
      <c r="Y299" s="977"/>
      <c r="Z299" s="977"/>
      <c r="AA299" s="978"/>
      <c r="AB299" s="977"/>
      <c r="AC299" s="977"/>
      <c r="AD299" s="977"/>
      <c r="AE299" s="977"/>
      <c r="AF299" s="977"/>
      <c r="AG299" s="977"/>
    </row>
    <row r="300" spans="1:33" x14ac:dyDescent="0.2">
      <c r="A300" s="977"/>
      <c r="B300" s="977"/>
      <c r="C300" s="977"/>
      <c r="D300" s="977"/>
      <c r="E300" s="977"/>
      <c r="F300" s="977"/>
      <c r="G300" s="977"/>
      <c r="H300" s="977"/>
      <c r="I300" s="145"/>
      <c r="J300" s="145"/>
      <c r="K300" s="977"/>
      <c r="L300" s="977"/>
      <c r="M300" s="977"/>
      <c r="N300" s="977"/>
      <c r="O300" s="977"/>
      <c r="P300" s="977"/>
      <c r="Q300" s="977"/>
      <c r="R300" s="977"/>
      <c r="S300" s="977"/>
      <c r="T300" s="977"/>
      <c r="U300" s="977"/>
      <c r="V300" s="977"/>
      <c r="W300" s="977"/>
      <c r="X300" s="978"/>
      <c r="Y300" s="977"/>
      <c r="Z300" s="977"/>
      <c r="AA300" s="978"/>
      <c r="AB300" s="977"/>
      <c r="AC300" s="977"/>
      <c r="AD300" s="977"/>
      <c r="AE300" s="977"/>
      <c r="AF300" s="977"/>
      <c r="AG300" s="977"/>
    </row>
    <row r="301" spans="1:33" x14ac:dyDescent="0.2">
      <c r="A301" s="977"/>
      <c r="B301" s="977"/>
      <c r="C301" s="977"/>
      <c r="D301" s="977"/>
      <c r="E301" s="977"/>
      <c r="F301" s="977"/>
      <c r="G301" s="977"/>
      <c r="H301" s="977"/>
      <c r="I301" s="145"/>
      <c r="J301" s="145"/>
      <c r="K301" s="977"/>
      <c r="L301" s="977"/>
      <c r="M301" s="977"/>
      <c r="N301" s="977"/>
      <c r="O301" s="977"/>
      <c r="P301" s="977"/>
      <c r="Q301" s="977"/>
      <c r="R301" s="977"/>
      <c r="S301" s="977"/>
      <c r="T301" s="977"/>
      <c r="U301" s="977"/>
      <c r="V301" s="977"/>
      <c r="W301" s="977"/>
      <c r="X301" s="978"/>
      <c r="Y301" s="977"/>
      <c r="Z301" s="977"/>
      <c r="AA301" s="978"/>
      <c r="AB301" s="977"/>
      <c r="AC301" s="977"/>
      <c r="AD301" s="977"/>
      <c r="AE301" s="977"/>
      <c r="AF301" s="977"/>
      <c r="AG301" s="977"/>
    </row>
    <row r="302" spans="1:33" x14ac:dyDescent="0.2">
      <c r="A302" s="977"/>
      <c r="B302" s="977"/>
      <c r="C302" s="977"/>
      <c r="D302" s="977"/>
      <c r="E302" s="977"/>
      <c r="F302" s="977"/>
      <c r="G302" s="977"/>
      <c r="H302" s="977"/>
      <c r="I302" s="145"/>
      <c r="J302" s="145"/>
      <c r="K302" s="977"/>
      <c r="L302" s="977"/>
      <c r="M302" s="977"/>
      <c r="N302" s="977"/>
      <c r="O302" s="977"/>
      <c r="P302" s="977"/>
      <c r="Q302" s="977"/>
      <c r="R302" s="977"/>
      <c r="S302" s="977"/>
      <c r="T302" s="977"/>
      <c r="U302" s="977"/>
      <c r="V302" s="977"/>
      <c r="W302" s="977"/>
      <c r="X302" s="978"/>
      <c r="Y302" s="977"/>
      <c r="Z302" s="977"/>
      <c r="AA302" s="978"/>
      <c r="AB302" s="977"/>
      <c r="AC302" s="977"/>
      <c r="AD302" s="977"/>
      <c r="AE302" s="977"/>
      <c r="AF302" s="977"/>
      <c r="AG302" s="977"/>
    </row>
    <row r="303" spans="1:33" x14ac:dyDescent="0.2">
      <c r="A303" s="977"/>
      <c r="B303" s="977"/>
      <c r="C303" s="977"/>
      <c r="D303" s="977"/>
      <c r="E303" s="977"/>
      <c r="F303" s="977"/>
      <c r="G303" s="977"/>
      <c r="H303" s="977"/>
      <c r="I303" s="145"/>
      <c r="J303" s="145"/>
      <c r="K303" s="977"/>
      <c r="L303" s="977"/>
      <c r="M303" s="977"/>
      <c r="N303" s="977"/>
      <c r="O303" s="977"/>
      <c r="P303" s="977"/>
      <c r="Q303" s="977"/>
      <c r="R303" s="977"/>
      <c r="S303" s="977"/>
      <c r="T303" s="977"/>
      <c r="U303" s="977"/>
      <c r="V303" s="977"/>
      <c r="W303" s="977"/>
      <c r="X303" s="978"/>
      <c r="Y303" s="977"/>
      <c r="Z303" s="977"/>
      <c r="AA303" s="978"/>
      <c r="AB303" s="977"/>
      <c r="AC303" s="977"/>
      <c r="AD303" s="977"/>
      <c r="AE303" s="977"/>
      <c r="AF303" s="977"/>
      <c r="AG303" s="977"/>
    </row>
    <row r="304" spans="1:33" x14ac:dyDescent="0.2">
      <c r="A304" s="977"/>
      <c r="B304" s="977"/>
      <c r="C304" s="977"/>
      <c r="D304" s="977"/>
      <c r="E304" s="977"/>
      <c r="F304" s="977"/>
      <c r="G304" s="977"/>
      <c r="H304" s="977"/>
      <c r="I304" s="145"/>
      <c r="J304" s="145"/>
      <c r="K304" s="977"/>
      <c r="L304" s="977"/>
      <c r="M304" s="977"/>
      <c r="N304" s="977"/>
      <c r="O304" s="977"/>
      <c r="P304" s="977"/>
      <c r="Q304" s="977"/>
      <c r="R304" s="977"/>
      <c r="S304" s="977"/>
      <c r="T304" s="977"/>
      <c r="U304" s="977"/>
      <c r="V304" s="977"/>
      <c r="W304" s="977"/>
      <c r="X304" s="978"/>
      <c r="Y304" s="977"/>
      <c r="Z304" s="977"/>
      <c r="AA304" s="978"/>
      <c r="AB304" s="977"/>
      <c r="AC304" s="977"/>
      <c r="AD304" s="977"/>
      <c r="AE304" s="977"/>
      <c r="AF304" s="977"/>
      <c r="AG304" s="977"/>
    </row>
    <row r="305" spans="1:33" x14ac:dyDescent="0.2">
      <c r="A305" s="977"/>
      <c r="B305" s="977"/>
      <c r="C305" s="977"/>
      <c r="D305" s="977"/>
      <c r="E305" s="977"/>
      <c r="F305" s="977"/>
      <c r="G305" s="977"/>
      <c r="H305" s="977"/>
      <c r="I305" s="145"/>
      <c r="J305" s="145"/>
      <c r="K305" s="977"/>
      <c r="L305" s="977"/>
      <c r="M305" s="977"/>
      <c r="N305" s="977"/>
      <c r="O305" s="977"/>
      <c r="P305" s="977"/>
      <c r="Q305" s="977"/>
      <c r="R305" s="977"/>
      <c r="S305" s="977"/>
      <c r="T305" s="977"/>
      <c r="U305" s="977"/>
      <c r="V305" s="977"/>
      <c r="W305" s="977"/>
      <c r="X305" s="978"/>
      <c r="Y305" s="977"/>
      <c r="Z305" s="977"/>
      <c r="AA305" s="978"/>
      <c r="AB305" s="977"/>
      <c r="AC305" s="977"/>
      <c r="AD305" s="977"/>
      <c r="AE305" s="977"/>
      <c r="AF305" s="977"/>
      <c r="AG305" s="977"/>
    </row>
    <row r="306" spans="1:33" x14ac:dyDescent="0.2">
      <c r="A306" s="977"/>
      <c r="B306" s="977"/>
      <c r="C306" s="977"/>
      <c r="D306" s="977"/>
      <c r="E306" s="977"/>
      <c r="F306" s="977"/>
      <c r="G306" s="977"/>
      <c r="H306" s="977"/>
      <c r="I306" s="145"/>
      <c r="J306" s="145"/>
      <c r="K306" s="977"/>
      <c r="L306" s="977"/>
      <c r="M306" s="977"/>
      <c r="N306" s="977"/>
      <c r="O306" s="977"/>
      <c r="P306" s="977"/>
      <c r="Q306" s="977"/>
      <c r="R306" s="977"/>
      <c r="S306" s="977"/>
      <c r="T306" s="977"/>
      <c r="U306" s="977"/>
      <c r="V306" s="977"/>
      <c r="W306" s="977"/>
      <c r="X306" s="978"/>
      <c r="Y306" s="977"/>
      <c r="Z306" s="977"/>
      <c r="AA306" s="978"/>
      <c r="AB306" s="977"/>
      <c r="AC306" s="977"/>
      <c r="AD306" s="977"/>
      <c r="AE306" s="977"/>
      <c r="AF306" s="977"/>
      <c r="AG306" s="977"/>
    </row>
    <row r="307" spans="1:33" x14ac:dyDescent="0.2">
      <c r="A307" s="977"/>
      <c r="B307" s="977"/>
      <c r="C307" s="977"/>
      <c r="D307" s="977"/>
      <c r="E307" s="977"/>
      <c r="F307" s="977"/>
      <c r="G307" s="977"/>
      <c r="H307" s="977"/>
      <c r="I307" s="145"/>
      <c r="J307" s="145"/>
      <c r="K307" s="977"/>
      <c r="L307" s="977"/>
      <c r="M307" s="977"/>
      <c r="N307" s="977"/>
      <c r="O307" s="977"/>
      <c r="P307" s="977"/>
      <c r="Q307" s="977"/>
      <c r="R307" s="977"/>
      <c r="S307" s="977"/>
      <c r="T307" s="977"/>
      <c r="U307" s="977"/>
      <c r="V307" s="977"/>
      <c r="W307" s="977"/>
      <c r="X307" s="978"/>
      <c r="Y307" s="977"/>
      <c r="Z307" s="977"/>
      <c r="AA307" s="978"/>
      <c r="AB307" s="977"/>
      <c r="AC307" s="977"/>
      <c r="AD307" s="977"/>
      <c r="AE307" s="977"/>
      <c r="AF307" s="977"/>
      <c r="AG307" s="977"/>
    </row>
    <row r="308" spans="1:33" x14ac:dyDescent="0.2">
      <c r="A308" s="977"/>
      <c r="B308" s="977"/>
      <c r="C308" s="977"/>
      <c r="D308" s="977"/>
      <c r="E308" s="977"/>
      <c r="F308" s="977"/>
      <c r="G308" s="977"/>
      <c r="H308" s="977"/>
      <c r="I308" s="145"/>
      <c r="J308" s="145"/>
      <c r="K308" s="977"/>
      <c r="L308" s="977"/>
      <c r="M308" s="977"/>
      <c r="N308" s="977"/>
      <c r="O308" s="977"/>
      <c r="P308" s="977"/>
      <c r="Q308" s="977"/>
      <c r="R308" s="977"/>
      <c r="S308" s="977"/>
      <c r="T308" s="977"/>
      <c r="U308" s="977"/>
      <c r="V308" s="977"/>
      <c r="W308" s="977"/>
      <c r="X308" s="978"/>
      <c r="Y308" s="977"/>
      <c r="Z308" s="977"/>
      <c r="AA308" s="978"/>
      <c r="AB308" s="977"/>
      <c r="AC308" s="977"/>
      <c r="AD308" s="977"/>
      <c r="AE308" s="977"/>
      <c r="AF308" s="977"/>
      <c r="AG308" s="977"/>
    </row>
    <row r="309" spans="1:33" x14ac:dyDescent="0.2">
      <c r="A309" s="977"/>
      <c r="B309" s="977"/>
      <c r="C309" s="977"/>
      <c r="D309" s="977"/>
      <c r="E309" s="977"/>
      <c r="F309" s="977"/>
      <c r="G309" s="977"/>
      <c r="H309" s="977"/>
      <c r="I309" s="145"/>
      <c r="J309" s="145"/>
      <c r="K309" s="977"/>
      <c r="L309" s="977"/>
      <c r="M309" s="977"/>
      <c r="N309" s="977"/>
      <c r="O309" s="977"/>
      <c r="P309" s="977"/>
      <c r="Q309" s="977"/>
      <c r="R309" s="977"/>
      <c r="S309" s="977"/>
      <c r="T309" s="977"/>
      <c r="U309" s="977"/>
      <c r="V309" s="977"/>
      <c r="W309" s="977"/>
      <c r="X309" s="978"/>
      <c r="Y309" s="977"/>
      <c r="Z309" s="977"/>
      <c r="AA309" s="978"/>
      <c r="AB309" s="977"/>
      <c r="AC309" s="977"/>
      <c r="AD309" s="977"/>
      <c r="AE309" s="977"/>
      <c r="AF309" s="977"/>
      <c r="AG309" s="977"/>
    </row>
    <row r="310" spans="1:33" x14ac:dyDescent="0.2">
      <c r="A310" s="977"/>
      <c r="B310" s="977"/>
      <c r="C310" s="977"/>
      <c r="D310" s="977"/>
      <c r="E310" s="977"/>
      <c r="F310" s="977"/>
      <c r="G310" s="977"/>
      <c r="H310" s="977"/>
      <c r="I310" s="145"/>
      <c r="J310" s="145"/>
      <c r="K310" s="977"/>
      <c r="L310" s="977"/>
      <c r="M310" s="977"/>
      <c r="N310" s="977"/>
      <c r="O310" s="977"/>
      <c r="P310" s="977"/>
      <c r="Q310" s="977"/>
      <c r="R310" s="977"/>
      <c r="S310" s="977"/>
      <c r="T310" s="977"/>
      <c r="U310" s="977"/>
      <c r="V310" s="977"/>
      <c r="W310" s="977"/>
      <c r="X310" s="978"/>
      <c r="Y310" s="977"/>
      <c r="Z310" s="977"/>
      <c r="AA310" s="978"/>
      <c r="AB310" s="977"/>
      <c r="AC310" s="977"/>
      <c r="AD310" s="977"/>
      <c r="AE310" s="977"/>
      <c r="AF310" s="977"/>
      <c r="AG310" s="977"/>
    </row>
    <row r="311" spans="1:33" x14ac:dyDescent="0.2">
      <c r="A311" s="977"/>
      <c r="B311" s="977"/>
      <c r="C311" s="977"/>
      <c r="D311" s="977"/>
      <c r="E311" s="977"/>
      <c r="F311" s="977"/>
      <c r="G311" s="977"/>
      <c r="H311" s="977"/>
      <c r="I311" s="145"/>
      <c r="J311" s="145"/>
      <c r="K311" s="977"/>
      <c r="L311" s="977"/>
      <c r="M311" s="977"/>
      <c r="N311" s="977"/>
      <c r="O311" s="977"/>
      <c r="P311" s="977"/>
      <c r="Q311" s="977"/>
      <c r="R311" s="977"/>
      <c r="S311" s="977"/>
      <c r="T311" s="977"/>
      <c r="U311" s="977"/>
      <c r="V311" s="977"/>
      <c r="W311" s="977"/>
      <c r="X311" s="978"/>
      <c r="Y311" s="977"/>
      <c r="Z311" s="977"/>
      <c r="AA311" s="978"/>
      <c r="AB311" s="977"/>
      <c r="AC311" s="977"/>
      <c r="AD311" s="977"/>
      <c r="AE311" s="977"/>
      <c r="AF311" s="977"/>
      <c r="AG311" s="977"/>
    </row>
    <row r="312" spans="1:33" x14ac:dyDescent="0.2">
      <c r="A312" s="977"/>
      <c r="B312" s="977"/>
      <c r="C312" s="977"/>
      <c r="D312" s="977"/>
      <c r="E312" s="977"/>
      <c r="F312" s="977"/>
      <c r="G312" s="977"/>
      <c r="H312" s="977"/>
      <c r="I312" s="145"/>
      <c r="J312" s="145"/>
      <c r="K312" s="977"/>
      <c r="L312" s="977"/>
      <c r="M312" s="977"/>
      <c r="N312" s="977"/>
      <c r="O312" s="977"/>
      <c r="P312" s="977"/>
      <c r="Q312" s="977"/>
      <c r="R312" s="977"/>
      <c r="S312" s="977"/>
      <c r="T312" s="977"/>
      <c r="U312" s="977"/>
      <c r="V312" s="977"/>
      <c r="W312" s="977"/>
      <c r="X312" s="978"/>
      <c r="Y312" s="977"/>
      <c r="Z312" s="977"/>
      <c r="AA312" s="978"/>
      <c r="AB312" s="977"/>
      <c r="AC312" s="977"/>
      <c r="AD312" s="977"/>
      <c r="AE312" s="977"/>
      <c r="AF312" s="977"/>
      <c r="AG312" s="977"/>
    </row>
    <row r="313" spans="1:33" x14ac:dyDescent="0.2">
      <c r="A313" s="977"/>
      <c r="B313" s="977"/>
      <c r="C313" s="977"/>
      <c r="D313" s="977"/>
      <c r="E313" s="977"/>
      <c r="F313" s="977"/>
      <c r="G313" s="977"/>
      <c r="H313" s="977"/>
      <c r="I313" s="145"/>
      <c r="J313" s="145"/>
      <c r="K313" s="977"/>
      <c r="L313" s="977"/>
      <c r="M313" s="977"/>
      <c r="N313" s="977"/>
      <c r="O313" s="977"/>
      <c r="P313" s="977"/>
      <c r="Q313" s="977"/>
      <c r="R313" s="977"/>
      <c r="S313" s="977"/>
      <c r="T313" s="977"/>
      <c r="U313" s="977"/>
      <c r="V313" s="977"/>
      <c r="W313" s="977"/>
      <c r="X313" s="978"/>
      <c r="Y313" s="977"/>
      <c r="Z313" s="977"/>
      <c r="AA313" s="978"/>
      <c r="AB313" s="977"/>
      <c r="AC313" s="977"/>
      <c r="AD313" s="977"/>
      <c r="AE313" s="977"/>
      <c r="AF313" s="977"/>
      <c r="AG313" s="977"/>
    </row>
    <row r="314" spans="1:33" x14ac:dyDescent="0.2">
      <c r="A314" s="977"/>
      <c r="B314" s="977"/>
      <c r="C314" s="977"/>
      <c r="D314" s="977"/>
      <c r="E314" s="977"/>
      <c r="F314" s="977"/>
      <c r="G314" s="977"/>
      <c r="H314" s="977"/>
      <c r="I314" s="145"/>
      <c r="J314" s="145"/>
      <c r="K314" s="977"/>
      <c r="L314" s="977"/>
      <c r="M314" s="977"/>
      <c r="N314" s="977"/>
      <c r="O314" s="977"/>
      <c r="P314" s="977"/>
      <c r="Q314" s="977"/>
      <c r="R314" s="977"/>
      <c r="S314" s="977"/>
      <c r="T314" s="977"/>
      <c r="U314" s="977"/>
      <c r="V314" s="977"/>
      <c r="W314" s="977"/>
      <c r="X314" s="978"/>
      <c r="Y314" s="977"/>
      <c r="Z314" s="977"/>
      <c r="AA314" s="978"/>
      <c r="AB314" s="977"/>
      <c r="AC314" s="977"/>
      <c r="AD314" s="977"/>
      <c r="AE314" s="977"/>
      <c r="AF314" s="977"/>
      <c r="AG314" s="977"/>
    </row>
    <row r="315" spans="1:33" x14ac:dyDescent="0.2">
      <c r="A315" s="977"/>
      <c r="B315" s="977"/>
      <c r="C315" s="977"/>
      <c r="D315" s="977"/>
      <c r="E315" s="977"/>
      <c r="F315" s="977"/>
      <c r="G315" s="977"/>
      <c r="H315" s="977"/>
      <c r="I315" s="145"/>
      <c r="J315" s="145"/>
      <c r="K315" s="977"/>
      <c r="L315" s="977"/>
      <c r="M315" s="977"/>
      <c r="N315" s="977"/>
      <c r="O315" s="977"/>
      <c r="P315" s="977"/>
      <c r="Q315" s="977"/>
      <c r="R315" s="977"/>
      <c r="S315" s="977"/>
      <c r="T315" s="977"/>
      <c r="U315" s="977"/>
      <c r="V315" s="977"/>
      <c r="W315" s="977"/>
      <c r="X315" s="978"/>
      <c r="Y315" s="977"/>
      <c r="Z315" s="977"/>
      <c r="AA315" s="978"/>
      <c r="AB315" s="977"/>
      <c r="AC315" s="977"/>
      <c r="AD315" s="977"/>
      <c r="AE315" s="977"/>
      <c r="AF315" s="977"/>
      <c r="AG315" s="977"/>
    </row>
    <row r="316" spans="1:33" x14ac:dyDescent="0.2">
      <c r="A316" s="977"/>
      <c r="B316" s="977"/>
      <c r="C316" s="977"/>
      <c r="D316" s="977"/>
      <c r="E316" s="977"/>
      <c r="F316" s="977"/>
      <c r="G316" s="977"/>
      <c r="H316" s="977"/>
      <c r="I316" s="145"/>
      <c r="J316" s="145"/>
      <c r="K316" s="977"/>
      <c r="L316" s="977"/>
      <c r="M316" s="977"/>
      <c r="N316" s="977"/>
      <c r="O316" s="977"/>
      <c r="P316" s="977"/>
      <c r="Q316" s="977"/>
      <c r="R316" s="977"/>
      <c r="S316" s="977"/>
      <c r="T316" s="977"/>
      <c r="U316" s="977"/>
      <c r="V316" s="977"/>
      <c r="W316" s="977"/>
      <c r="X316" s="978"/>
      <c r="Y316" s="977"/>
      <c r="Z316" s="977"/>
      <c r="AA316" s="978"/>
      <c r="AB316" s="977"/>
      <c r="AC316" s="977"/>
      <c r="AD316" s="977"/>
      <c r="AE316" s="977"/>
      <c r="AF316" s="977"/>
      <c r="AG316" s="977"/>
    </row>
    <row r="317" spans="1:33" x14ac:dyDescent="0.2">
      <c r="A317" s="977"/>
      <c r="B317" s="977"/>
      <c r="C317" s="977"/>
      <c r="D317" s="977"/>
      <c r="E317" s="977"/>
      <c r="F317" s="977"/>
      <c r="G317" s="977"/>
      <c r="H317" s="977"/>
      <c r="I317" s="145"/>
      <c r="J317" s="145"/>
      <c r="K317" s="977"/>
      <c r="L317" s="977"/>
      <c r="M317" s="977"/>
      <c r="N317" s="977"/>
      <c r="O317" s="977"/>
      <c r="P317" s="977"/>
      <c r="Q317" s="977"/>
      <c r="R317" s="977"/>
      <c r="S317" s="977"/>
      <c r="T317" s="977"/>
      <c r="U317" s="977"/>
      <c r="V317" s="977"/>
      <c r="W317" s="977"/>
      <c r="X317" s="978"/>
      <c r="Y317" s="977"/>
      <c r="Z317" s="977"/>
      <c r="AA317" s="978"/>
      <c r="AB317" s="977"/>
      <c r="AC317" s="977"/>
      <c r="AD317" s="977"/>
      <c r="AE317" s="977"/>
      <c r="AF317" s="977"/>
      <c r="AG317" s="977"/>
    </row>
    <row r="318" spans="1:33" x14ac:dyDescent="0.2">
      <c r="A318" s="977"/>
      <c r="B318" s="977"/>
      <c r="C318" s="977"/>
      <c r="D318" s="977"/>
      <c r="E318" s="977"/>
      <c r="F318" s="977"/>
      <c r="G318" s="977"/>
      <c r="H318" s="977"/>
      <c r="I318" s="145"/>
      <c r="J318" s="145"/>
      <c r="K318" s="977"/>
      <c r="L318" s="977"/>
      <c r="M318" s="977"/>
      <c r="N318" s="977"/>
      <c r="O318" s="977"/>
      <c r="P318" s="977"/>
      <c r="Q318" s="977"/>
      <c r="R318" s="977"/>
      <c r="S318" s="977"/>
      <c r="T318" s="977"/>
      <c r="U318" s="977"/>
      <c r="V318" s="977"/>
      <c r="W318" s="977"/>
      <c r="X318" s="978"/>
      <c r="Y318" s="977"/>
      <c r="Z318" s="977"/>
      <c r="AA318" s="978"/>
      <c r="AB318" s="977"/>
      <c r="AC318" s="977"/>
      <c r="AD318" s="977"/>
      <c r="AE318" s="977"/>
      <c r="AF318" s="977"/>
      <c r="AG318" s="977"/>
    </row>
    <row r="319" spans="1:33" x14ac:dyDescent="0.2">
      <c r="A319" s="977"/>
      <c r="B319" s="977"/>
      <c r="C319" s="977"/>
      <c r="D319" s="977"/>
      <c r="E319" s="977"/>
      <c r="F319" s="977"/>
      <c r="G319" s="977"/>
      <c r="H319" s="977"/>
      <c r="I319" s="145"/>
      <c r="J319" s="145"/>
      <c r="K319" s="977"/>
      <c r="L319" s="977"/>
      <c r="M319" s="977"/>
      <c r="N319" s="977"/>
      <c r="O319" s="977"/>
      <c r="P319" s="977"/>
      <c r="Q319" s="977"/>
      <c r="R319" s="977"/>
      <c r="S319" s="977"/>
      <c r="T319" s="977"/>
      <c r="U319" s="977"/>
      <c r="V319" s="977"/>
      <c r="W319" s="977"/>
      <c r="X319" s="978"/>
      <c r="Y319" s="977"/>
      <c r="Z319" s="977"/>
      <c r="AA319" s="978"/>
      <c r="AB319" s="977"/>
      <c r="AC319" s="977"/>
      <c r="AD319" s="977"/>
      <c r="AE319" s="977"/>
      <c r="AF319" s="977"/>
      <c r="AG319" s="977"/>
    </row>
    <row r="320" spans="1:33" x14ac:dyDescent="0.2">
      <c r="A320" s="977"/>
      <c r="B320" s="977"/>
      <c r="C320" s="977"/>
      <c r="D320" s="977"/>
      <c r="E320" s="977"/>
      <c r="F320" s="977"/>
      <c r="G320" s="977"/>
      <c r="H320" s="977"/>
      <c r="I320" s="145"/>
      <c r="J320" s="145"/>
      <c r="K320" s="977"/>
      <c r="L320" s="977"/>
      <c r="M320" s="977"/>
      <c r="N320" s="977"/>
      <c r="O320" s="977"/>
      <c r="P320" s="977"/>
      <c r="Q320" s="977"/>
      <c r="R320" s="977"/>
      <c r="S320" s="977"/>
      <c r="T320" s="977"/>
      <c r="U320" s="977"/>
      <c r="V320" s="977"/>
      <c r="W320" s="977"/>
      <c r="X320" s="978"/>
      <c r="Y320" s="977"/>
      <c r="Z320" s="977"/>
      <c r="AA320" s="978"/>
      <c r="AB320" s="977"/>
      <c r="AC320" s="977"/>
      <c r="AD320" s="977"/>
      <c r="AE320" s="977"/>
      <c r="AF320" s="977"/>
      <c r="AG320" s="977"/>
    </row>
    <row r="321" spans="1:33" x14ac:dyDescent="0.2">
      <c r="A321" s="977"/>
      <c r="B321" s="977"/>
      <c r="C321" s="977"/>
      <c r="D321" s="977"/>
      <c r="E321" s="977"/>
      <c r="F321" s="977"/>
      <c r="G321" s="977"/>
      <c r="H321" s="977"/>
      <c r="I321" s="145"/>
      <c r="J321" s="145"/>
      <c r="K321" s="977"/>
      <c r="L321" s="977"/>
      <c r="M321" s="977"/>
      <c r="N321" s="977"/>
      <c r="O321" s="977"/>
      <c r="P321" s="977"/>
      <c r="Q321" s="977"/>
      <c r="R321" s="977"/>
      <c r="S321" s="977"/>
      <c r="T321" s="977"/>
      <c r="U321" s="977"/>
      <c r="V321" s="977"/>
      <c r="W321" s="977"/>
      <c r="X321" s="978"/>
      <c r="Y321" s="977"/>
      <c r="Z321" s="977"/>
      <c r="AA321" s="978"/>
      <c r="AB321" s="977"/>
      <c r="AC321" s="977"/>
      <c r="AD321" s="977"/>
      <c r="AE321" s="977"/>
      <c r="AF321" s="977"/>
      <c r="AG321" s="977"/>
    </row>
    <row r="322" spans="1:33" x14ac:dyDescent="0.2">
      <c r="A322" s="977"/>
      <c r="B322" s="977"/>
      <c r="C322" s="977"/>
      <c r="D322" s="977"/>
      <c r="E322" s="977"/>
      <c r="F322" s="977"/>
      <c r="G322" s="977"/>
      <c r="H322" s="977"/>
      <c r="I322" s="145"/>
      <c r="J322" s="145"/>
      <c r="K322" s="977"/>
      <c r="L322" s="977"/>
      <c r="M322" s="977"/>
      <c r="N322" s="977"/>
      <c r="O322" s="977"/>
      <c r="P322" s="977"/>
      <c r="Q322" s="977"/>
      <c r="R322" s="977"/>
      <c r="S322" s="977"/>
      <c r="T322" s="977"/>
      <c r="U322" s="977"/>
      <c r="V322" s="977"/>
      <c r="W322" s="977"/>
      <c r="X322" s="978"/>
      <c r="Y322" s="977"/>
      <c r="Z322" s="977"/>
      <c r="AA322" s="978"/>
      <c r="AB322" s="977"/>
      <c r="AC322" s="977"/>
      <c r="AD322" s="977"/>
      <c r="AE322" s="977"/>
      <c r="AF322" s="977"/>
      <c r="AG322" s="977"/>
    </row>
    <row r="323" spans="1:33" x14ac:dyDescent="0.2">
      <c r="A323" s="977"/>
      <c r="B323" s="977"/>
      <c r="C323" s="977"/>
      <c r="D323" s="977"/>
      <c r="E323" s="977"/>
      <c r="F323" s="977"/>
      <c r="G323" s="977"/>
      <c r="H323" s="977"/>
      <c r="I323" s="145"/>
      <c r="J323" s="145"/>
      <c r="K323" s="977"/>
      <c r="L323" s="977"/>
      <c r="M323" s="977"/>
      <c r="N323" s="977"/>
      <c r="O323" s="977"/>
      <c r="P323" s="977"/>
      <c r="Q323" s="977"/>
      <c r="R323" s="977"/>
      <c r="S323" s="977"/>
      <c r="T323" s="977"/>
      <c r="U323" s="977"/>
      <c r="V323" s="977"/>
      <c r="W323" s="977"/>
      <c r="X323" s="978"/>
      <c r="Y323" s="977"/>
      <c r="Z323" s="977"/>
      <c r="AA323" s="978"/>
      <c r="AB323" s="977"/>
      <c r="AC323" s="977"/>
      <c r="AD323" s="977"/>
      <c r="AE323" s="977"/>
      <c r="AF323" s="977"/>
      <c r="AG323" s="977"/>
    </row>
    <row r="324" spans="1:33" x14ac:dyDescent="0.2">
      <c r="A324" s="977"/>
      <c r="B324" s="977"/>
      <c r="C324" s="977"/>
      <c r="D324" s="977"/>
      <c r="E324" s="977"/>
      <c r="F324" s="977"/>
      <c r="G324" s="977"/>
      <c r="H324" s="977"/>
      <c r="I324" s="145"/>
      <c r="J324" s="145"/>
      <c r="K324" s="977"/>
      <c r="L324" s="977"/>
      <c r="M324" s="977"/>
      <c r="N324" s="977"/>
      <c r="O324" s="977"/>
      <c r="P324" s="977"/>
      <c r="Q324" s="977"/>
      <c r="R324" s="977"/>
      <c r="S324" s="977"/>
      <c r="T324" s="977"/>
      <c r="U324" s="977"/>
      <c r="V324" s="977"/>
      <c r="W324" s="977"/>
      <c r="X324" s="978"/>
      <c r="Y324" s="977"/>
      <c r="Z324" s="977"/>
      <c r="AA324" s="978"/>
      <c r="AB324" s="977"/>
      <c r="AC324" s="977"/>
      <c r="AD324" s="977"/>
      <c r="AE324" s="977"/>
      <c r="AF324" s="977"/>
      <c r="AG324" s="977"/>
    </row>
    <row r="325" spans="1:33" x14ac:dyDescent="0.2">
      <c r="A325" s="977"/>
      <c r="B325" s="977"/>
      <c r="C325" s="977"/>
      <c r="D325" s="977"/>
      <c r="E325" s="977"/>
      <c r="F325" s="977"/>
      <c r="G325" s="977"/>
      <c r="H325" s="977"/>
      <c r="I325" s="145"/>
      <c r="J325" s="145"/>
      <c r="K325" s="977"/>
      <c r="L325" s="977"/>
      <c r="M325" s="977"/>
      <c r="N325" s="977"/>
      <c r="O325" s="977"/>
      <c r="P325" s="977"/>
      <c r="Q325" s="977"/>
      <c r="R325" s="977"/>
      <c r="S325" s="977"/>
      <c r="T325" s="977"/>
      <c r="U325" s="977"/>
      <c r="V325" s="977"/>
      <c r="W325" s="977"/>
      <c r="X325" s="978"/>
      <c r="Y325" s="977"/>
      <c r="Z325" s="977"/>
      <c r="AA325" s="978"/>
      <c r="AB325" s="977"/>
      <c r="AC325" s="977"/>
      <c r="AD325" s="977"/>
      <c r="AE325" s="977"/>
      <c r="AF325" s="977"/>
      <c r="AG325" s="977"/>
    </row>
    <row r="326" spans="1:33" x14ac:dyDescent="0.2">
      <c r="A326" s="977"/>
      <c r="B326" s="977"/>
      <c r="C326" s="977"/>
      <c r="D326" s="977"/>
      <c r="E326" s="977"/>
      <c r="F326" s="977"/>
      <c r="G326" s="977"/>
      <c r="H326" s="977"/>
      <c r="I326" s="145"/>
      <c r="J326" s="145"/>
      <c r="K326" s="977"/>
      <c r="L326" s="977"/>
      <c r="M326" s="977"/>
      <c r="N326" s="977"/>
      <c r="O326" s="977"/>
      <c r="P326" s="977"/>
      <c r="Q326" s="977"/>
      <c r="R326" s="977"/>
      <c r="S326" s="977"/>
      <c r="T326" s="977"/>
      <c r="U326" s="977"/>
      <c r="V326" s="977"/>
      <c r="W326" s="977"/>
      <c r="X326" s="978"/>
      <c r="Y326" s="977"/>
      <c r="Z326" s="977"/>
      <c r="AA326" s="978"/>
      <c r="AB326" s="977"/>
      <c r="AC326" s="977"/>
      <c r="AD326" s="977"/>
      <c r="AE326" s="977"/>
      <c r="AF326" s="977"/>
      <c r="AG326" s="977"/>
    </row>
    <row r="327" spans="1:33" x14ac:dyDescent="0.2">
      <c r="A327" s="977"/>
      <c r="B327" s="977"/>
      <c r="C327" s="977"/>
      <c r="D327" s="977"/>
      <c r="E327" s="977"/>
      <c r="F327" s="977"/>
      <c r="G327" s="977"/>
      <c r="H327" s="977"/>
      <c r="I327" s="145"/>
      <c r="J327" s="145"/>
      <c r="K327" s="977"/>
      <c r="L327" s="977"/>
      <c r="M327" s="977"/>
      <c r="N327" s="977"/>
      <c r="O327" s="977"/>
      <c r="P327" s="977"/>
      <c r="Q327" s="977"/>
      <c r="R327" s="977"/>
      <c r="S327" s="977"/>
      <c r="T327" s="977"/>
      <c r="U327" s="977"/>
      <c r="V327" s="977"/>
      <c r="W327" s="977"/>
      <c r="X327" s="978"/>
      <c r="Y327" s="977"/>
      <c r="Z327" s="977"/>
      <c r="AA327" s="978"/>
      <c r="AB327" s="977"/>
      <c r="AC327" s="977"/>
      <c r="AD327" s="977"/>
      <c r="AE327" s="977"/>
      <c r="AF327" s="977"/>
      <c r="AG327" s="977"/>
    </row>
    <row r="328" spans="1:33" x14ac:dyDescent="0.2">
      <c r="A328" s="977"/>
      <c r="B328" s="977"/>
      <c r="C328" s="977"/>
      <c r="D328" s="977"/>
      <c r="E328" s="977"/>
      <c r="F328" s="977"/>
      <c r="G328" s="977"/>
      <c r="H328" s="977"/>
      <c r="I328" s="145"/>
      <c r="J328" s="145"/>
      <c r="K328" s="977"/>
      <c r="L328" s="977"/>
      <c r="M328" s="977"/>
      <c r="N328" s="977"/>
      <c r="O328" s="977"/>
      <c r="P328" s="977"/>
      <c r="Q328" s="977"/>
      <c r="R328" s="977"/>
      <c r="S328" s="977"/>
      <c r="T328" s="977"/>
      <c r="U328" s="977"/>
      <c r="V328" s="977"/>
      <c r="W328" s="977"/>
      <c r="X328" s="978"/>
      <c r="Y328" s="977"/>
      <c r="Z328" s="977"/>
      <c r="AA328" s="978"/>
      <c r="AB328" s="977"/>
      <c r="AC328" s="977"/>
      <c r="AD328" s="977"/>
      <c r="AE328" s="977"/>
      <c r="AF328" s="977"/>
      <c r="AG328" s="977"/>
    </row>
    <row r="329" spans="1:33" x14ac:dyDescent="0.2">
      <c r="A329" s="977"/>
      <c r="B329" s="977"/>
      <c r="C329" s="977"/>
      <c r="D329" s="977"/>
      <c r="E329" s="977"/>
      <c r="F329" s="977"/>
      <c r="G329" s="977"/>
      <c r="H329" s="977"/>
      <c r="I329" s="145"/>
      <c r="J329" s="145"/>
      <c r="K329" s="977"/>
      <c r="L329" s="977"/>
      <c r="M329" s="977"/>
      <c r="N329" s="977"/>
      <c r="O329" s="977"/>
      <c r="P329" s="977"/>
      <c r="Q329" s="977"/>
      <c r="R329" s="977"/>
      <c r="S329" s="977"/>
      <c r="T329" s="977"/>
      <c r="U329" s="977"/>
      <c r="V329" s="977"/>
      <c r="W329" s="977"/>
      <c r="X329" s="978"/>
      <c r="Y329" s="977"/>
      <c r="Z329" s="977"/>
      <c r="AA329" s="978"/>
      <c r="AB329" s="977"/>
      <c r="AC329" s="977"/>
      <c r="AD329" s="977"/>
      <c r="AE329" s="977"/>
      <c r="AF329" s="977"/>
      <c r="AG329" s="977"/>
    </row>
    <row r="330" spans="1:33" x14ac:dyDescent="0.2">
      <c r="A330" s="977"/>
      <c r="B330" s="977"/>
      <c r="C330" s="977"/>
      <c r="D330" s="977"/>
      <c r="E330" s="977"/>
      <c r="F330" s="977"/>
      <c r="G330" s="977"/>
      <c r="H330" s="977"/>
      <c r="I330" s="145"/>
      <c r="J330" s="145"/>
      <c r="K330" s="977"/>
      <c r="L330" s="977"/>
      <c r="M330" s="977"/>
      <c r="N330" s="977"/>
      <c r="O330" s="977"/>
      <c r="P330" s="977"/>
      <c r="Q330" s="977"/>
      <c r="R330" s="977"/>
      <c r="S330" s="977"/>
      <c r="T330" s="977"/>
      <c r="U330" s="977"/>
      <c r="V330" s="977"/>
      <c r="W330" s="977"/>
      <c r="X330" s="978"/>
      <c r="Y330" s="977"/>
      <c r="Z330" s="977"/>
      <c r="AA330" s="978"/>
      <c r="AB330" s="977"/>
      <c r="AC330" s="977"/>
      <c r="AD330" s="977"/>
      <c r="AE330" s="977"/>
      <c r="AF330" s="977"/>
      <c r="AG330" s="977"/>
    </row>
    <row r="331" spans="1:33" x14ac:dyDescent="0.2">
      <c r="A331" s="977"/>
      <c r="B331" s="977"/>
      <c r="C331" s="977"/>
      <c r="D331" s="977"/>
      <c r="E331" s="977"/>
      <c r="F331" s="977"/>
      <c r="G331" s="977"/>
      <c r="H331" s="977"/>
      <c r="I331" s="145"/>
      <c r="J331" s="145"/>
      <c r="K331" s="977"/>
      <c r="L331" s="977"/>
      <c r="M331" s="977"/>
      <c r="N331" s="977"/>
      <c r="O331" s="977"/>
      <c r="P331" s="977"/>
      <c r="Q331" s="977"/>
      <c r="R331" s="977"/>
      <c r="S331" s="977"/>
      <c r="T331" s="977"/>
      <c r="U331" s="977"/>
      <c r="V331" s="977"/>
      <c r="W331" s="977"/>
      <c r="X331" s="978"/>
      <c r="Y331" s="977"/>
      <c r="Z331" s="977"/>
      <c r="AA331" s="978"/>
      <c r="AB331" s="977"/>
      <c r="AC331" s="977"/>
      <c r="AD331" s="977"/>
      <c r="AE331" s="977"/>
      <c r="AF331" s="977"/>
      <c r="AG331" s="977"/>
    </row>
    <row r="332" spans="1:33" x14ac:dyDescent="0.2">
      <c r="A332" s="977"/>
      <c r="B332" s="977"/>
      <c r="C332" s="977"/>
      <c r="D332" s="977"/>
      <c r="E332" s="977"/>
      <c r="F332" s="977"/>
      <c r="G332" s="977"/>
      <c r="H332" s="977"/>
      <c r="I332" s="145"/>
      <c r="J332" s="145"/>
      <c r="K332" s="977"/>
      <c r="L332" s="977"/>
      <c r="M332" s="977"/>
      <c r="N332" s="977"/>
      <c r="O332" s="977"/>
      <c r="P332" s="977"/>
      <c r="Q332" s="977"/>
      <c r="R332" s="977"/>
      <c r="S332" s="977"/>
      <c r="T332" s="977"/>
      <c r="U332" s="977"/>
      <c r="V332" s="977"/>
      <c r="W332" s="977"/>
      <c r="X332" s="978"/>
      <c r="Y332" s="977"/>
      <c r="Z332" s="977"/>
      <c r="AA332" s="978"/>
      <c r="AB332" s="977"/>
      <c r="AC332" s="977"/>
      <c r="AD332" s="977"/>
      <c r="AE332" s="977"/>
      <c r="AF332" s="977"/>
      <c r="AG332" s="977"/>
    </row>
    <row r="333" spans="1:33" x14ac:dyDescent="0.2">
      <c r="A333" s="977"/>
      <c r="B333" s="977"/>
      <c r="C333" s="977"/>
      <c r="D333" s="977"/>
      <c r="E333" s="977"/>
      <c r="F333" s="977"/>
      <c r="G333" s="977"/>
      <c r="H333" s="977"/>
      <c r="I333" s="145"/>
      <c r="J333" s="145"/>
      <c r="K333" s="977"/>
      <c r="L333" s="977"/>
      <c r="M333" s="977"/>
      <c r="N333" s="977"/>
      <c r="O333" s="977"/>
      <c r="P333" s="977"/>
      <c r="Q333" s="977"/>
      <c r="R333" s="977"/>
      <c r="S333" s="977"/>
      <c r="T333" s="977"/>
      <c r="U333" s="977"/>
      <c r="V333" s="977"/>
      <c r="W333" s="977"/>
      <c r="X333" s="978"/>
      <c r="Y333" s="977"/>
      <c r="Z333" s="977"/>
      <c r="AA333" s="978"/>
      <c r="AB333" s="977"/>
      <c r="AC333" s="977"/>
      <c r="AD333" s="977"/>
      <c r="AE333" s="977"/>
      <c r="AF333" s="977"/>
      <c r="AG333" s="977"/>
    </row>
    <row r="334" spans="1:33" x14ac:dyDescent="0.2">
      <c r="A334" s="977"/>
      <c r="B334" s="977"/>
      <c r="C334" s="977"/>
      <c r="D334" s="977"/>
      <c r="E334" s="977"/>
      <c r="F334" s="977"/>
      <c r="G334" s="977"/>
      <c r="H334" s="977"/>
      <c r="I334" s="145"/>
      <c r="J334" s="145"/>
      <c r="K334" s="977"/>
      <c r="L334" s="977"/>
      <c r="M334" s="977"/>
      <c r="N334" s="977"/>
      <c r="O334" s="977"/>
      <c r="P334" s="977"/>
      <c r="Q334" s="977"/>
      <c r="R334" s="977"/>
      <c r="S334" s="977"/>
      <c r="T334" s="977"/>
      <c r="U334" s="977"/>
      <c r="V334" s="977"/>
      <c r="W334" s="977"/>
      <c r="X334" s="978"/>
      <c r="Y334" s="977"/>
      <c r="Z334" s="977"/>
      <c r="AA334" s="978"/>
      <c r="AB334" s="977"/>
      <c r="AC334" s="977"/>
      <c r="AD334" s="977"/>
      <c r="AE334" s="977"/>
      <c r="AF334" s="977"/>
      <c r="AG334" s="977"/>
    </row>
    <row r="335" spans="1:33" x14ac:dyDescent="0.2">
      <c r="A335" s="977"/>
      <c r="B335" s="977"/>
      <c r="C335" s="977"/>
      <c r="D335" s="977"/>
      <c r="E335" s="977"/>
      <c r="F335" s="977"/>
      <c r="G335" s="977"/>
      <c r="H335" s="977"/>
      <c r="I335" s="145"/>
      <c r="J335" s="145"/>
      <c r="K335" s="977"/>
      <c r="L335" s="977"/>
      <c r="M335" s="977"/>
      <c r="N335" s="977"/>
      <c r="O335" s="977"/>
      <c r="P335" s="977"/>
      <c r="Q335" s="977"/>
      <c r="R335" s="977"/>
      <c r="S335" s="977"/>
      <c r="T335" s="977"/>
      <c r="U335" s="977"/>
      <c r="V335" s="977"/>
      <c r="W335" s="977"/>
      <c r="X335" s="978"/>
      <c r="Y335" s="977"/>
      <c r="Z335" s="977"/>
      <c r="AA335" s="978"/>
      <c r="AB335" s="977"/>
      <c r="AC335" s="977"/>
      <c r="AD335" s="977"/>
      <c r="AE335" s="977"/>
      <c r="AF335" s="977"/>
      <c r="AG335" s="977"/>
    </row>
    <row r="336" spans="1:33" x14ac:dyDescent="0.2">
      <c r="A336" s="977"/>
      <c r="B336" s="977"/>
      <c r="C336" s="977"/>
      <c r="D336" s="977"/>
      <c r="E336" s="977"/>
      <c r="F336" s="977"/>
      <c r="G336" s="977"/>
      <c r="H336" s="977"/>
      <c r="I336" s="145"/>
      <c r="J336" s="145"/>
      <c r="K336" s="977"/>
      <c r="L336" s="977"/>
      <c r="M336" s="977"/>
      <c r="N336" s="977"/>
      <c r="O336" s="977"/>
      <c r="P336" s="977"/>
      <c r="Q336" s="977"/>
      <c r="R336" s="977"/>
      <c r="S336" s="977"/>
      <c r="T336" s="977"/>
      <c r="U336" s="977"/>
      <c r="V336" s="977"/>
      <c r="W336" s="977"/>
      <c r="X336" s="978"/>
      <c r="Y336" s="977"/>
      <c r="Z336" s="977"/>
      <c r="AA336" s="978"/>
      <c r="AB336" s="977"/>
      <c r="AC336" s="977"/>
      <c r="AD336" s="977"/>
      <c r="AE336" s="977"/>
      <c r="AF336" s="977"/>
      <c r="AG336" s="977"/>
    </row>
    <row r="337" spans="1:33" x14ac:dyDescent="0.2">
      <c r="A337" s="977"/>
      <c r="B337" s="977"/>
      <c r="C337" s="977"/>
      <c r="D337" s="977"/>
      <c r="E337" s="977"/>
      <c r="F337" s="977"/>
      <c r="G337" s="977"/>
      <c r="H337" s="977"/>
      <c r="I337" s="145"/>
      <c r="J337" s="145"/>
      <c r="K337" s="977"/>
      <c r="L337" s="977"/>
      <c r="M337" s="977"/>
      <c r="N337" s="977"/>
      <c r="O337" s="977"/>
      <c r="P337" s="977"/>
      <c r="Q337" s="977"/>
      <c r="R337" s="977"/>
      <c r="S337" s="977"/>
      <c r="T337" s="977"/>
      <c r="U337" s="977"/>
      <c r="V337" s="977"/>
      <c r="W337" s="977"/>
      <c r="X337" s="978"/>
      <c r="Y337" s="977"/>
      <c r="Z337" s="977"/>
      <c r="AA337" s="978"/>
      <c r="AB337" s="977"/>
      <c r="AC337" s="977"/>
      <c r="AD337" s="977"/>
      <c r="AE337" s="977"/>
      <c r="AF337" s="977"/>
      <c r="AG337" s="977"/>
    </row>
    <row r="338" spans="1:33" x14ac:dyDescent="0.2">
      <c r="A338" s="977"/>
      <c r="B338" s="977"/>
      <c r="C338" s="977"/>
      <c r="D338" s="977"/>
      <c r="E338" s="977"/>
      <c r="F338" s="977"/>
      <c r="G338" s="977"/>
      <c r="H338" s="977"/>
      <c r="I338" s="145"/>
      <c r="J338" s="145"/>
      <c r="K338" s="977"/>
      <c r="L338" s="977"/>
      <c r="M338" s="977"/>
      <c r="N338" s="977"/>
      <c r="O338" s="977"/>
      <c r="P338" s="977"/>
      <c r="Q338" s="977"/>
      <c r="R338" s="977"/>
      <c r="S338" s="977"/>
      <c r="T338" s="977"/>
      <c r="U338" s="977"/>
      <c r="V338" s="977"/>
      <c r="W338" s="977"/>
      <c r="X338" s="978"/>
      <c r="Y338" s="977"/>
      <c r="Z338" s="977"/>
      <c r="AA338" s="978"/>
      <c r="AB338" s="977"/>
      <c r="AC338" s="977"/>
      <c r="AD338" s="977"/>
      <c r="AE338" s="977"/>
      <c r="AF338" s="977"/>
      <c r="AG338" s="977"/>
    </row>
    <row r="339" spans="1:33" x14ac:dyDescent="0.2">
      <c r="A339" s="977"/>
      <c r="B339" s="977"/>
      <c r="C339" s="977"/>
      <c r="D339" s="977"/>
      <c r="E339" s="977"/>
      <c r="F339" s="977"/>
      <c r="G339" s="977"/>
      <c r="H339" s="977"/>
      <c r="I339" s="145"/>
      <c r="J339" s="145"/>
      <c r="K339" s="977"/>
      <c r="L339" s="977"/>
      <c r="M339" s="977"/>
      <c r="N339" s="977"/>
      <c r="O339" s="977"/>
      <c r="P339" s="977"/>
      <c r="Q339" s="977"/>
      <c r="R339" s="977"/>
      <c r="S339" s="977"/>
      <c r="T339" s="977"/>
      <c r="U339" s="977"/>
      <c r="V339" s="977"/>
      <c r="W339" s="977"/>
      <c r="X339" s="978"/>
      <c r="Y339" s="977"/>
      <c r="Z339" s="977"/>
      <c r="AA339" s="978"/>
      <c r="AB339" s="977"/>
      <c r="AC339" s="977"/>
      <c r="AD339" s="977"/>
      <c r="AE339" s="977"/>
      <c r="AF339" s="977"/>
      <c r="AG339" s="977"/>
    </row>
    <row r="340" spans="1:33" x14ac:dyDescent="0.2">
      <c r="A340" s="977"/>
      <c r="B340" s="977"/>
      <c r="C340" s="977"/>
      <c r="D340" s="977"/>
      <c r="E340" s="977"/>
      <c r="F340" s="977"/>
      <c r="G340" s="977"/>
      <c r="H340" s="977"/>
      <c r="I340" s="145"/>
      <c r="J340" s="145"/>
      <c r="K340" s="977"/>
      <c r="L340" s="977"/>
      <c r="M340" s="977"/>
      <c r="N340" s="977"/>
      <c r="O340" s="977"/>
      <c r="P340" s="977"/>
      <c r="Q340" s="977"/>
      <c r="R340" s="977"/>
      <c r="S340" s="977"/>
      <c r="T340" s="977"/>
      <c r="U340" s="977"/>
      <c r="V340" s="977"/>
      <c r="W340" s="977"/>
      <c r="X340" s="978"/>
      <c r="Y340" s="977"/>
      <c r="Z340" s="977"/>
      <c r="AA340" s="978"/>
      <c r="AB340" s="977"/>
      <c r="AC340" s="977"/>
      <c r="AD340" s="977"/>
      <c r="AE340" s="977"/>
      <c r="AF340" s="977"/>
      <c r="AG340" s="977"/>
    </row>
    <row r="341" spans="1:33" x14ac:dyDescent="0.2">
      <c r="A341" s="977"/>
      <c r="B341" s="977"/>
      <c r="C341" s="977"/>
      <c r="D341" s="977"/>
      <c r="E341" s="977"/>
      <c r="F341" s="977"/>
      <c r="G341" s="977"/>
      <c r="H341" s="977"/>
      <c r="I341" s="145"/>
      <c r="J341" s="145"/>
      <c r="K341" s="977"/>
      <c r="L341" s="977"/>
      <c r="M341" s="977"/>
      <c r="N341" s="977"/>
      <c r="O341" s="977"/>
      <c r="P341" s="977"/>
      <c r="Q341" s="977"/>
      <c r="R341" s="977"/>
      <c r="S341" s="977"/>
      <c r="T341" s="977"/>
      <c r="U341" s="977"/>
      <c r="V341" s="977"/>
      <c r="W341" s="977"/>
      <c r="X341" s="978"/>
      <c r="Y341" s="977"/>
      <c r="Z341" s="977"/>
      <c r="AA341" s="978"/>
      <c r="AB341" s="977"/>
      <c r="AC341" s="977"/>
      <c r="AD341" s="977"/>
      <c r="AE341" s="977"/>
      <c r="AF341" s="977"/>
      <c r="AG341" s="977"/>
    </row>
    <row r="342" spans="1:33" x14ac:dyDescent="0.2">
      <c r="A342" s="977"/>
      <c r="B342" s="977"/>
      <c r="C342" s="977"/>
      <c r="D342" s="977"/>
      <c r="E342" s="977"/>
      <c r="F342" s="977"/>
      <c r="G342" s="977"/>
      <c r="H342" s="977"/>
      <c r="I342" s="145"/>
      <c r="J342" s="145"/>
      <c r="K342" s="977"/>
      <c r="L342" s="977"/>
      <c r="M342" s="977"/>
      <c r="N342" s="977"/>
      <c r="O342" s="977"/>
      <c r="P342" s="977"/>
      <c r="Q342" s="977"/>
      <c r="R342" s="977"/>
      <c r="S342" s="977"/>
      <c r="T342" s="977"/>
      <c r="U342" s="977"/>
      <c r="V342" s="977"/>
      <c r="W342" s="977"/>
      <c r="X342" s="978"/>
      <c r="Y342" s="977"/>
      <c r="Z342" s="977"/>
      <c r="AA342" s="978"/>
      <c r="AB342" s="977"/>
      <c r="AC342" s="977"/>
      <c r="AD342" s="977"/>
      <c r="AE342" s="977"/>
      <c r="AF342" s="977"/>
      <c r="AG342" s="977"/>
    </row>
    <row r="343" spans="1:33" x14ac:dyDescent="0.2">
      <c r="A343" s="977"/>
      <c r="B343" s="977"/>
      <c r="C343" s="977"/>
      <c r="D343" s="977"/>
      <c r="E343" s="977"/>
      <c r="F343" s="977"/>
      <c r="G343" s="977"/>
      <c r="H343" s="977"/>
      <c r="I343" s="145"/>
      <c r="J343" s="145"/>
      <c r="K343" s="977"/>
      <c r="L343" s="977"/>
      <c r="M343" s="977"/>
      <c r="N343" s="977"/>
      <c r="O343" s="977"/>
      <c r="P343" s="977"/>
      <c r="Q343" s="977"/>
      <c r="R343" s="977"/>
      <c r="S343" s="977"/>
      <c r="T343" s="977"/>
      <c r="U343" s="977"/>
      <c r="V343" s="977"/>
      <c r="W343" s="977"/>
      <c r="X343" s="978"/>
      <c r="Y343" s="977"/>
      <c r="Z343" s="977"/>
      <c r="AA343" s="978"/>
      <c r="AB343" s="977"/>
      <c r="AC343" s="977"/>
      <c r="AD343" s="977"/>
      <c r="AE343" s="977"/>
      <c r="AF343" s="977"/>
      <c r="AG343" s="977"/>
    </row>
    <row r="344" spans="1:33" x14ac:dyDescent="0.2">
      <c r="A344" s="977"/>
      <c r="B344" s="977"/>
      <c r="C344" s="977"/>
      <c r="D344" s="977"/>
      <c r="E344" s="977"/>
      <c r="F344" s="977"/>
      <c r="G344" s="977"/>
      <c r="H344" s="977"/>
      <c r="I344" s="145"/>
      <c r="J344" s="145"/>
      <c r="K344" s="977"/>
      <c r="L344" s="977"/>
      <c r="M344" s="977"/>
      <c r="N344" s="977"/>
      <c r="O344" s="977"/>
      <c r="P344" s="977"/>
      <c r="Q344" s="977"/>
      <c r="R344" s="977"/>
      <c r="S344" s="977"/>
      <c r="T344" s="977"/>
      <c r="U344" s="977"/>
      <c r="V344" s="977"/>
      <c r="W344" s="977"/>
      <c r="X344" s="978"/>
      <c r="Y344" s="977"/>
      <c r="Z344" s="977"/>
      <c r="AA344" s="978"/>
      <c r="AB344" s="977"/>
      <c r="AC344" s="977"/>
      <c r="AD344" s="977"/>
      <c r="AE344" s="977"/>
      <c r="AF344" s="977"/>
      <c r="AG344" s="977"/>
    </row>
    <row r="345" spans="1:33" x14ac:dyDescent="0.2">
      <c r="A345" s="977"/>
      <c r="B345" s="977"/>
      <c r="C345" s="977"/>
      <c r="D345" s="977"/>
      <c r="E345" s="977"/>
      <c r="F345" s="977"/>
      <c r="G345" s="977"/>
      <c r="H345" s="977"/>
      <c r="I345" s="145"/>
      <c r="J345" s="145"/>
      <c r="K345" s="977"/>
      <c r="L345" s="977"/>
      <c r="M345" s="977"/>
      <c r="N345" s="977"/>
      <c r="O345" s="977"/>
      <c r="P345" s="977"/>
      <c r="Q345" s="977"/>
      <c r="R345" s="977"/>
      <c r="S345" s="977"/>
      <c r="T345" s="977"/>
      <c r="U345" s="977"/>
      <c r="V345" s="977"/>
      <c r="W345" s="977"/>
      <c r="X345" s="978"/>
      <c r="Y345" s="977"/>
      <c r="Z345" s="977"/>
      <c r="AA345" s="978"/>
      <c r="AB345" s="977"/>
      <c r="AC345" s="977"/>
      <c r="AD345" s="977"/>
      <c r="AE345" s="977"/>
      <c r="AF345" s="977"/>
      <c r="AG345" s="977"/>
    </row>
    <row r="346" spans="1:33" x14ac:dyDescent="0.2">
      <c r="A346" s="977"/>
      <c r="B346" s="977"/>
      <c r="C346" s="977"/>
      <c r="D346" s="977"/>
      <c r="E346" s="977"/>
      <c r="F346" s="977"/>
      <c r="G346" s="977"/>
      <c r="H346" s="977"/>
      <c r="I346" s="145"/>
      <c r="J346" s="145"/>
      <c r="K346" s="977"/>
      <c r="L346" s="977"/>
      <c r="M346" s="977"/>
      <c r="N346" s="977"/>
      <c r="O346" s="977"/>
      <c r="P346" s="977"/>
      <c r="Q346" s="977"/>
      <c r="R346" s="977"/>
      <c r="S346" s="977"/>
      <c r="T346" s="977"/>
      <c r="U346" s="977"/>
      <c r="V346" s="977"/>
      <c r="W346" s="977"/>
      <c r="X346" s="978"/>
      <c r="Y346" s="977"/>
      <c r="Z346" s="977"/>
      <c r="AA346" s="978"/>
      <c r="AB346" s="977"/>
      <c r="AC346" s="977"/>
      <c r="AD346" s="977"/>
      <c r="AE346" s="977"/>
      <c r="AF346" s="977"/>
      <c r="AG346" s="977"/>
    </row>
    <row r="347" spans="1:33" x14ac:dyDescent="0.2">
      <c r="A347" s="977"/>
      <c r="B347" s="977"/>
      <c r="C347" s="977"/>
      <c r="D347" s="977"/>
      <c r="E347" s="977"/>
      <c r="F347" s="977"/>
      <c r="G347" s="977"/>
      <c r="H347" s="977"/>
      <c r="I347" s="145"/>
      <c r="J347" s="145"/>
      <c r="K347" s="977"/>
      <c r="L347" s="977"/>
      <c r="M347" s="977"/>
      <c r="N347" s="977"/>
      <c r="O347" s="977"/>
      <c r="P347" s="977"/>
      <c r="Q347" s="977"/>
      <c r="R347" s="977"/>
      <c r="S347" s="977"/>
      <c r="T347" s="977"/>
      <c r="U347" s="977"/>
      <c r="V347" s="977"/>
      <c r="W347" s="977"/>
      <c r="X347" s="978"/>
      <c r="Y347" s="977"/>
      <c r="Z347" s="977"/>
      <c r="AA347" s="978"/>
      <c r="AB347" s="977"/>
      <c r="AC347" s="977"/>
      <c r="AD347" s="977"/>
      <c r="AE347" s="977"/>
      <c r="AF347" s="977"/>
      <c r="AG347" s="977"/>
    </row>
    <row r="348" spans="1:33" x14ac:dyDescent="0.2">
      <c r="A348" s="977"/>
      <c r="B348" s="977"/>
      <c r="C348" s="977"/>
      <c r="D348" s="977"/>
      <c r="E348" s="977"/>
      <c r="F348" s="977"/>
      <c r="G348" s="977"/>
      <c r="H348" s="977"/>
      <c r="I348" s="145"/>
      <c r="J348" s="145"/>
      <c r="K348" s="977"/>
      <c r="L348" s="977"/>
      <c r="M348" s="977"/>
      <c r="N348" s="977"/>
      <c r="O348" s="977"/>
      <c r="P348" s="977"/>
      <c r="Q348" s="977"/>
      <c r="R348" s="977"/>
      <c r="S348" s="977"/>
      <c r="T348" s="977"/>
      <c r="U348" s="977"/>
      <c r="V348" s="977"/>
      <c r="W348" s="977"/>
      <c r="X348" s="978"/>
      <c r="Y348" s="977"/>
      <c r="Z348" s="977"/>
      <c r="AA348" s="978"/>
      <c r="AB348" s="977"/>
      <c r="AC348" s="977"/>
      <c r="AD348" s="977"/>
      <c r="AE348" s="977"/>
      <c r="AF348" s="977"/>
      <c r="AG348" s="977"/>
    </row>
    <row r="349" spans="1:33" x14ac:dyDescent="0.2">
      <c r="A349" s="977"/>
      <c r="B349" s="977"/>
      <c r="C349" s="977"/>
      <c r="D349" s="977"/>
      <c r="E349" s="977"/>
      <c r="F349" s="977"/>
      <c r="G349" s="977"/>
      <c r="H349" s="977"/>
      <c r="I349" s="145"/>
      <c r="J349" s="145"/>
      <c r="K349" s="977"/>
      <c r="L349" s="977"/>
      <c r="M349" s="977"/>
      <c r="N349" s="977"/>
      <c r="O349" s="977"/>
      <c r="P349" s="977"/>
      <c r="Q349" s="977"/>
      <c r="R349" s="977"/>
      <c r="S349" s="977"/>
      <c r="T349" s="977"/>
      <c r="U349" s="977"/>
      <c r="V349" s="977"/>
      <c r="W349" s="977"/>
      <c r="X349" s="978"/>
      <c r="Y349" s="977"/>
      <c r="Z349" s="977"/>
      <c r="AA349" s="978"/>
      <c r="AB349" s="977"/>
      <c r="AC349" s="977"/>
      <c r="AD349" s="977"/>
      <c r="AE349" s="977"/>
      <c r="AF349" s="977"/>
      <c r="AG349" s="977"/>
    </row>
    <row r="350" spans="1:33" x14ac:dyDescent="0.2">
      <c r="A350" s="977"/>
      <c r="B350" s="977"/>
      <c r="C350" s="977"/>
      <c r="D350" s="977"/>
      <c r="E350" s="977"/>
      <c r="F350" s="977"/>
      <c r="G350" s="977"/>
      <c r="H350" s="977"/>
      <c r="I350" s="145"/>
      <c r="J350" s="145"/>
      <c r="K350" s="977"/>
      <c r="L350" s="977"/>
      <c r="M350" s="977"/>
      <c r="N350" s="977"/>
      <c r="O350" s="977"/>
      <c r="P350" s="977"/>
      <c r="Q350" s="977"/>
      <c r="R350" s="977"/>
      <c r="S350" s="977"/>
      <c r="T350" s="977"/>
      <c r="U350" s="977"/>
      <c r="V350" s="977"/>
      <c r="W350" s="977"/>
      <c r="X350" s="978"/>
      <c r="Y350" s="977"/>
      <c r="Z350" s="977"/>
      <c r="AA350" s="978"/>
      <c r="AB350" s="977"/>
      <c r="AC350" s="977"/>
      <c r="AD350" s="977"/>
      <c r="AE350" s="977"/>
      <c r="AF350" s="977"/>
      <c r="AG350" s="977"/>
    </row>
    <row r="351" spans="1:33" x14ac:dyDescent="0.2">
      <c r="A351" s="977"/>
      <c r="B351" s="977"/>
      <c r="C351" s="977"/>
      <c r="D351" s="977"/>
      <c r="E351" s="977"/>
      <c r="F351" s="977"/>
      <c r="G351" s="977"/>
      <c r="H351" s="977"/>
      <c r="I351" s="145"/>
      <c r="J351" s="145"/>
      <c r="K351" s="977"/>
      <c r="L351" s="977"/>
      <c r="M351" s="977"/>
      <c r="N351" s="977"/>
      <c r="O351" s="977"/>
      <c r="P351" s="977"/>
      <c r="Q351" s="977"/>
      <c r="R351" s="977"/>
      <c r="S351" s="977"/>
      <c r="T351" s="977"/>
      <c r="U351" s="977"/>
      <c r="V351" s="977"/>
      <c r="W351" s="977"/>
      <c r="X351" s="978"/>
      <c r="Y351" s="977"/>
      <c r="Z351" s="977"/>
      <c r="AA351" s="978"/>
      <c r="AB351" s="977"/>
      <c r="AC351" s="977"/>
      <c r="AD351" s="977"/>
      <c r="AE351" s="977"/>
      <c r="AF351" s="977"/>
      <c r="AG351" s="977"/>
    </row>
    <row r="352" spans="1:33" x14ac:dyDescent="0.2">
      <c r="A352" s="977"/>
      <c r="B352" s="977"/>
      <c r="C352" s="977"/>
      <c r="D352" s="977"/>
      <c r="E352" s="977"/>
      <c r="F352" s="977"/>
      <c r="G352" s="977"/>
      <c r="H352" s="977"/>
      <c r="I352" s="145"/>
      <c r="J352" s="145"/>
      <c r="K352" s="977"/>
      <c r="L352" s="977"/>
      <c r="M352" s="977"/>
      <c r="N352" s="977"/>
      <c r="O352" s="977"/>
      <c r="P352" s="977"/>
      <c r="Q352" s="977"/>
      <c r="R352" s="977"/>
      <c r="S352" s="977"/>
      <c r="T352" s="977"/>
      <c r="U352" s="977"/>
      <c r="V352" s="977"/>
      <c r="W352" s="977"/>
      <c r="X352" s="978"/>
      <c r="Y352" s="977"/>
      <c r="Z352" s="977"/>
      <c r="AA352" s="978"/>
      <c r="AB352" s="977"/>
      <c r="AC352" s="977"/>
      <c r="AD352" s="977"/>
      <c r="AE352" s="977"/>
      <c r="AF352" s="977"/>
      <c r="AG352" s="977"/>
    </row>
    <row r="353" spans="1:33" x14ac:dyDescent="0.2">
      <c r="A353" s="977"/>
      <c r="B353" s="977"/>
      <c r="C353" s="977"/>
      <c r="D353" s="977"/>
      <c r="E353" s="977"/>
      <c r="F353" s="977"/>
      <c r="G353" s="977"/>
      <c r="H353" s="977"/>
      <c r="I353" s="145"/>
      <c r="J353" s="145"/>
      <c r="K353" s="977"/>
      <c r="L353" s="977"/>
      <c r="M353" s="977"/>
      <c r="N353" s="977"/>
      <c r="O353" s="977"/>
      <c r="P353" s="977"/>
      <c r="Q353" s="977"/>
      <c r="R353" s="977"/>
      <c r="S353" s="977"/>
      <c r="T353" s="977"/>
      <c r="U353" s="977"/>
      <c r="V353" s="977"/>
      <c r="W353" s="977"/>
      <c r="X353" s="978"/>
      <c r="Y353" s="977"/>
      <c r="Z353" s="977"/>
      <c r="AA353" s="978"/>
      <c r="AB353" s="977"/>
      <c r="AC353" s="977"/>
      <c r="AD353" s="977"/>
      <c r="AE353" s="977"/>
      <c r="AF353" s="977"/>
      <c r="AG353" s="977"/>
    </row>
    <row r="354" spans="1:33" x14ac:dyDescent="0.2">
      <c r="A354" s="977"/>
      <c r="B354" s="977"/>
      <c r="C354" s="977"/>
      <c r="D354" s="977"/>
      <c r="E354" s="977"/>
      <c r="F354" s="977"/>
      <c r="G354" s="977"/>
      <c r="H354" s="977"/>
      <c r="I354" s="145"/>
      <c r="J354" s="145"/>
      <c r="K354" s="977"/>
      <c r="L354" s="977"/>
      <c r="M354" s="977"/>
      <c r="N354" s="977"/>
      <c r="O354" s="977"/>
      <c r="P354" s="977"/>
      <c r="Q354" s="977"/>
      <c r="R354" s="977"/>
      <c r="S354" s="977"/>
      <c r="T354" s="977"/>
      <c r="U354" s="977"/>
      <c r="V354" s="977"/>
      <c r="W354" s="977"/>
      <c r="X354" s="978"/>
      <c r="Y354" s="977"/>
      <c r="Z354" s="977"/>
      <c r="AA354" s="978"/>
      <c r="AB354" s="977"/>
      <c r="AC354" s="977"/>
      <c r="AD354" s="977"/>
      <c r="AE354" s="977"/>
      <c r="AF354" s="977"/>
      <c r="AG354" s="977"/>
    </row>
    <row r="355" spans="1:33" x14ac:dyDescent="0.2">
      <c r="A355" s="977"/>
      <c r="B355" s="977"/>
      <c r="C355" s="977"/>
      <c r="D355" s="977"/>
      <c r="E355" s="977"/>
      <c r="F355" s="977"/>
      <c r="G355" s="977"/>
      <c r="H355" s="977"/>
      <c r="I355" s="145"/>
      <c r="J355" s="145"/>
      <c r="K355" s="977"/>
      <c r="L355" s="977"/>
      <c r="M355" s="977"/>
      <c r="N355" s="977"/>
      <c r="O355" s="977"/>
      <c r="P355" s="977"/>
      <c r="Q355" s="977"/>
      <c r="R355" s="977"/>
      <c r="S355" s="977"/>
      <c r="T355" s="977"/>
      <c r="U355" s="977"/>
      <c r="V355" s="977"/>
      <c r="W355" s="977"/>
      <c r="X355" s="978"/>
      <c r="Y355" s="977"/>
      <c r="Z355" s="977"/>
      <c r="AA355" s="978"/>
      <c r="AB355" s="977"/>
      <c r="AC355" s="977"/>
      <c r="AD355" s="977"/>
      <c r="AE355" s="977"/>
      <c r="AF355" s="977"/>
      <c r="AG355" s="977"/>
    </row>
    <row r="356" spans="1:33" x14ac:dyDescent="0.2">
      <c r="A356" s="977"/>
      <c r="B356" s="977"/>
      <c r="C356" s="977"/>
      <c r="D356" s="977"/>
      <c r="E356" s="977"/>
      <c r="F356" s="977"/>
      <c r="G356" s="977"/>
      <c r="H356" s="977"/>
      <c r="I356" s="145"/>
      <c r="J356" s="145"/>
      <c r="K356" s="977"/>
      <c r="L356" s="977"/>
      <c r="M356" s="977"/>
      <c r="N356" s="977"/>
      <c r="O356" s="977"/>
      <c r="P356" s="977"/>
      <c r="Q356" s="977"/>
      <c r="R356" s="977"/>
      <c r="S356" s="977"/>
      <c r="T356" s="977"/>
      <c r="U356" s="977"/>
      <c r="V356" s="977"/>
      <c r="W356" s="977"/>
      <c r="X356" s="978"/>
      <c r="Y356" s="977"/>
      <c r="Z356" s="977"/>
      <c r="AA356" s="978"/>
      <c r="AB356" s="977"/>
      <c r="AC356" s="977"/>
      <c r="AD356" s="977"/>
      <c r="AE356" s="977"/>
      <c r="AF356" s="977"/>
      <c r="AG356" s="977"/>
    </row>
    <row r="357" spans="1:33" x14ac:dyDescent="0.2">
      <c r="A357" s="977"/>
      <c r="B357" s="977"/>
      <c r="C357" s="977"/>
      <c r="D357" s="977"/>
      <c r="E357" s="977"/>
      <c r="F357" s="977"/>
      <c r="G357" s="977"/>
      <c r="H357" s="977"/>
      <c r="I357" s="145"/>
      <c r="J357" s="145"/>
      <c r="K357" s="977"/>
      <c r="L357" s="977"/>
      <c r="M357" s="977"/>
      <c r="N357" s="977"/>
      <c r="O357" s="977"/>
      <c r="P357" s="977"/>
      <c r="Q357" s="977"/>
      <c r="R357" s="977"/>
      <c r="S357" s="977"/>
      <c r="T357" s="977"/>
      <c r="U357" s="977"/>
      <c r="V357" s="977"/>
      <c r="W357" s="977"/>
      <c r="X357" s="978"/>
      <c r="Y357" s="977"/>
      <c r="Z357" s="977"/>
      <c r="AA357" s="978"/>
      <c r="AB357" s="977"/>
      <c r="AC357" s="977"/>
      <c r="AD357" s="977"/>
      <c r="AE357" s="977"/>
      <c r="AF357" s="977"/>
      <c r="AG357" s="977"/>
    </row>
    <row r="358" spans="1:33" x14ac:dyDescent="0.2">
      <c r="A358" s="977"/>
      <c r="B358" s="977"/>
      <c r="C358" s="977"/>
      <c r="D358" s="977"/>
      <c r="E358" s="977"/>
      <c r="F358" s="977"/>
      <c r="G358" s="977"/>
      <c r="H358" s="977"/>
      <c r="I358" s="145"/>
      <c r="J358" s="145"/>
      <c r="K358" s="977"/>
      <c r="L358" s="977"/>
      <c r="M358" s="977"/>
      <c r="N358" s="977"/>
      <c r="O358" s="977"/>
      <c r="P358" s="977"/>
      <c r="Q358" s="977"/>
      <c r="R358" s="977"/>
      <c r="S358" s="977"/>
      <c r="T358" s="977"/>
      <c r="U358" s="977"/>
      <c r="V358" s="977"/>
      <c r="W358" s="977"/>
      <c r="X358" s="978"/>
      <c r="Y358" s="977"/>
      <c r="Z358" s="977"/>
      <c r="AA358" s="978"/>
      <c r="AB358" s="977"/>
      <c r="AC358" s="977"/>
      <c r="AD358" s="977"/>
      <c r="AE358" s="977"/>
      <c r="AF358" s="977"/>
      <c r="AG358" s="977"/>
    </row>
    <row r="359" spans="1:33" x14ac:dyDescent="0.2">
      <c r="A359" s="977"/>
      <c r="B359" s="977"/>
      <c r="C359" s="977"/>
      <c r="D359" s="977"/>
      <c r="E359" s="977"/>
      <c r="F359" s="977"/>
      <c r="G359" s="977"/>
      <c r="H359" s="977"/>
      <c r="I359" s="145"/>
      <c r="J359" s="145"/>
      <c r="K359" s="977"/>
      <c r="L359" s="977"/>
      <c r="M359" s="977"/>
      <c r="N359" s="977"/>
      <c r="O359" s="977"/>
      <c r="P359" s="977"/>
      <c r="Q359" s="977"/>
      <c r="R359" s="977"/>
      <c r="S359" s="977"/>
      <c r="T359" s="977"/>
      <c r="U359" s="977"/>
      <c r="V359" s="977"/>
      <c r="W359" s="977"/>
      <c r="X359" s="978"/>
      <c r="Y359" s="977"/>
      <c r="Z359" s="977"/>
      <c r="AA359" s="978"/>
      <c r="AB359" s="977"/>
      <c r="AC359" s="977"/>
      <c r="AD359" s="977"/>
      <c r="AE359" s="977"/>
      <c r="AF359" s="977"/>
      <c r="AG359" s="977"/>
    </row>
    <row r="360" spans="1:33" x14ac:dyDescent="0.2">
      <c r="A360" s="977"/>
      <c r="B360" s="977"/>
      <c r="C360" s="977"/>
      <c r="D360" s="977"/>
      <c r="E360" s="977"/>
      <c r="F360" s="977"/>
      <c r="G360" s="977"/>
      <c r="H360" s="977"/>
      <c r="I360" s="145"/>
      <c r="J360" s="145"/>
      <c r="K360" s="977"/>
      <c r="L360" s="977"/>
      <c r="M360" s="977"/>
      <c r="N360" s="977"/>
      <c r="O360" s="977"/>
      <c r="P360" s="977"/>
      <c r="Q360" s="977"/>
      <c r="R360" s="977"/>
      <c r="S360" s="977"/>
      <c r="T360" s="977"/>
      <c r="U360" s="977"/>
      <c r="V360" s="977"/>
      <c r="W360" s="977"/>
      <c r="X360" s="978"/>
      <c r="Y360" s="977"/>
      <c r="Z360" s="977"/>
      <c r="AA360" s="978"/>
      <c r="AB360" s="977"/>
      <c r="AC360" s="977"/>
      <c r="AD360" s="977"/>
      <c r="AE360" s="977"/>
      <c r="AF360" s="977"/>
      <c r="AG360" s="977"/>
    </row>
    <row r="361" spans="1:33" x14ac:dyDescent="0.2">
      <c r="A361" s="977"/>
      <c r="B361" s="977"/>
      <c r="C361" s="977"/>
      <c r="D361" s="977"/>
      <c r="E361" s="977"/>
      <c r="F361" s="977"/>
      <c r="G361" s="977"/>
      <c r="H361" s="977"/>
      <c r="I361" s="145"/>
      <c r="J361" s="145"/>
      <c r="K361" s="977"/>
      <c r="L361" s="977"/>
      <c r="M361" s="977"/>
      <c r="N361" s="977"/>
      <c r="O361" s="977"/>
      <c r="P361" s="977"/>
      <c r="Q361" s="977"/>
      <c r="R361" s="977"/>
      <c r="S361" s="977"/>
      <c r="T361" s="977"/>
      <c r="U361" s="977"/>
      <c r="V361" s="977"/>
      <c r="W361" s="977"/>
      <c r="X361" s="978"/>
      <c r="Y361" s="977"/>
      <c r="Z361" s="977"/>
      <c r="AA361" s="978"/>
      <c r="AB361" s="977"/>
      <c r="AC361" s="977"/>
      <c r="AD361" s="977"/>
      <c r="AE361" s="977"/>
      <c r="AF361" s="977"/>
      <c r="AG361" s="977"/>
    </row>
    <row r="362" spans="1:33" x14ac:dyDescent="0.2">
      <c r="A362" s="977"/>
      <c r="B362" s="977"/>
      <c r="C362" s="977"/>
      <c r="D362" s="977"/>
      <c r="E362" s="977"/>
      <c r="F362" s="977"/>
      <c r="G362" s="977"/>
      <c r="H362" s="977"/>
      <c r="I362" s="145"/>
      <c r="J362" s="145"/>
      <c r="K362" s="977"/>
      <c r="L362" s="977"/>
      <c r="M362" s="977"/>
      <c r="N362" s="977"/>
      <c r="O362" s="977"/>
      <c r="P362" s="977"/>
      <c r="Q362" s="977"/>
      <c r="R362" s="977"/>
      <c r="S362" s="977"/>
      <c r="T362" s="977"/>
      <c r="U362" s="977"/>
      <c r="V362" s="977"/>
      <c r="W362" s="977"/>
      <c r="X362" s="978"/>
      <c r="Y362" s="977"/>
      <c r="Z362" s="977"/>
      <c r="AA362" s="978"/>
      <c r="AB362" s="977"/>
      <c r="AC362" s="977"/>
      <c r="AD362" s="977"/>
      <c r="AE362" s="977"/>
      <c r="AF362" s="977"/>
      <c r="AG362" s="977"/>
    </row>
    <row r="363" spans="1:33" x14ac:dyDescent="0.2">
      <c r="A363" s="977"/>
      <c r="B363" s="977"/>
      <c r="C363" s="977"/>
      <c r="D363" s="977"/>
      <c r="E363" s="977"/>
      <c r="F363" s="977"/>
      <c r="G363" s="977"/>
      <c r="H363" s="977"/>
      <c r="I363" s="145"/>
      <c r="J363" s="145"/>
      <c r="K363" s="977"/>
      <c r="L363" s="977"/>
      <c r="M363" s="977"/>
      <c r="N363" s="977"/>
      <c r="O363" s="977"/>
      <c r="P363" s="977"/>
      <c r="Q363" s="977"/>
      <c r="R363" s="977"/>
      <c r="S363" s="977"/>
      <c r="T363" s="977"/>
      <c r="U363" s="977"/>
      <c r="V363" s="977"/>
      <c r="W363" s="977"/>
      <c r="X363" s="978"/>
      <c r="Y363" s="977"/>
      <c r="Z363" s="977"/>
      <c r="AA363" s="978"/>
      <c r="AB363" s="977"/>
      <c r="AC363" s="977"/>
      <c r="AD363" s="977"/>
      <c r="AE363" s="977"/>
      <c r="AF363" s="977"/>
      <c r="AG363" s="977"/>
    </row>
    <row r="364" spans="1:33" x14ac:dyDescent="0.2">
      <c r="A364" s="977"/>
      <c r="B364" s="977"/>
      <c r="C364" s="977"/>
      <c r="D364" s="977"/>
      <c r="E364" s="977"/>
      <c r="F364" s="977"/>
      <c r="G364" s="977"/>
      <c r="H364" s="977"/>
      <c r="I364" s="145"/>
      <c r="J364" s="145"/>
      <c r="K364" s="977"/>
      <c r="L364" s="977"/>
      <c r="M364" s="977"/>
      <c r="N364" s="977"/>
      <c r="O364" s="977"/>
      <c r="P364" s="977"/>
      <c r="Q364" s="977"/>
      <c r="R364" s="977"/>
      <c r="S364" s="977"/>
      <c r="T364" s="977"/>
      <c r="U364" s="977"/>
      <c r="V364" s="977"/>
      <c r="W364" s="977"/>
      <c r="X364" s="978"/>
      <c r="Y364" s="977"/>
      <c r="Z364" s="977"/>
      <c r="AA364" s="978"/>
      <c r="AB364" s="977"/>
      <c r="AC364" s="977"/>
      <c r="AD364" s="977"/>
      <c r="AE364" s="977"/>
      <c r="AF364" s="977"/>
      <c r="AG364" s="977"/>
    </row>
    <row r="365" spans="1:33" x14ac:dyDescent="0.2">
      <c r="A365" s="977"/>
      <c r="B365" s="977"/>
      <c r="C365" s="977"/>
      <c r="D365" s="977"/>
      <c r="E365" s="977"/>
      <c r="F365" s="977"/>
      <c r="G365" s="977"/>
      <c r="H365" s="977"/>
      <c r="I365" s="145"/>
      <c r="J365" s="145"/>
      <c r="K365" s="977"/>
      <c r="L365" s="977"/>
      <c r="M365" s="977"/>
      <c r="N365" s="977"/>
      <c r="O365" s="977"/>
      <c r="P365" s="977"/>
      <c r="Q365" s="977"/>
      <c r="R365" s="977"/>
      <c r="S365" s="977"/>
      <c r="T365" s="977"/>
      <c r="U365" s="977"/>
      <c r="V365" s="977"/>
      <c r="W365" s="977"/>
      <c r="X365" s="978"/>
      <c r="Y365" s="977"/>
      <c r="Z365" s="977"/>
      <c r="AA365" s="978"/>
      <c r="AB365" s="977"/>
      <c r="AC365" s="977"/>
      <c r="AD365" s="977"/>
      <c r="AE365" s="977"/>
      <c r="AF365" s="977"/>
      <c r="AG365" s="977"/>
    </row>
    <row r="366" spans="1:33" x14ac:dyDescent="0.2">
      <c r="A366" s="977"/>
      <c r="B366" s="977"/>
      <c r="C366" s="977"/>
      <c r="D366" s="977"/>
      <c r="E366" s="977"/>
      <c r="F366" s="977"/>
      <c r="G366" s="977"/>
      <c r="H366" s="977"/>
      <c r="I366" s="145"/>
      <c r="J366" s="145"/>
      <c r="K366" s="977"/>
      <c r="L366" s="977"/>
      <c r="M366" s="977"/>
      <c r="N366" s="977"/>
      <c r="O366" s="977"/>
      <c r="P366" s="977"/>
      <c r="Q366" s="977"/>
      <c r="R366" s="977"/>
      <c r="S366" s="977"/>
      <c r="T366" s="977"/>
      <c r="U366" s="977"/>
      <c r="V366" s="977"/>
      <c r="W366" s="977"/>
      <c r="X366" s="978"/>
      <c r="Y366" s="977"/>
      <c r="Z366" s="977"/>
      <c r="AA366" s="978"/>
      <c r="AB366" s="977"/>
      <c r="AC366" s="977"/>
      <c r="AD366" s="977"/>
      <c r="AE366" s="977"/>
      <c r="AF366" s="977"/>
      <c r="AG366" s="977"/>
    </row>
    <row r="367" spans="1:33" x14ac:dyDescent="0.2">
      <c r="A367" s="977"/>
      <c r="B367" s="977"/>
      <c r="C367" s="977"/>
      <c r="D367" s="977"/>
      <c r="E367" s="977"/>
      <c r="F367" s="977"/>
      <c r="G367" s="977"/>
      <c r="H367" s="977"/>
      <c r="I367" s="145"/>
      <c r="J367" s="145"/>
      <c r="K367" s="977"/>
      <c r="L367" s="977"/>
      <c r="M367" s="977"/>
      <c r="N367" s="977"/>
      <c r="O367" s="977"/>
      <c r="P367" s="977"/>
      <c r="Q367" s="977"/>
      <c r="R367" s="977"/>
      <c r="S367" s="977"/>
      <c r="T367" s="977"/>
      <c r="U367" s="977"/>
      <c r="V367" s="977"/>
      <c r="W367" s="977"/>
      <c r="X367" s="978"/>
      <c r="Y367" s="977"/>
      <c r="Z367" s="977"/>
      <c r="AA367" s="978"/>
      <c r="AB367" s="977"/>
      <c r="AC367" s="977"/>
      <c r="AD367" s="977"/>
      <c r="AE367" s="977"/>
      <c r="AF367" s="977"/>
      <c r="AG367" s="977"/>
    </row>
    <row r="368" spans="1:33" x14ac:dyDescent="0.2">
      <c r="A368" s="977"/>
      <c r="B368" s="977"/>
      <c r="C368" s="977"/>
      <c r="D368" s="977"/>
      <c r="E368" s="977"/>
      <c r="F368" s="977"/>
      <c r="G368" s="977"/>
      <c r="H368" s="977"/>
      <c r="I368" s="145"/>
      <c r="J368" s="145"/>
      <c r="K368" s="977"/>
      <c r="L368" s="977"/>
      <c r="M368" s="977"/>
      <c r="N368" s="977"/>
      <c r="O368" s="977"/>
      <c r="P368" s="977"/>
      <c r="Q368" s="977"/>
      <c r="R368" s="977"/>
      <c r="S368" s="977"/>
      <c r="T368" s="977"/>
      <c r="U368" s="977"/>
      <c r="V368" s="977"/>
      <c r="W368" s="977"/>
      <c r="X368" s="978"/>
      <c r="Y368" s="977"/>
      <c r="Z368" s="977"/>
      <c r="AA368" s="978"/>
      <c r="AB368" s="977"/>
      <c r="AC368" s="977"/>
      <c r="AD368" s="977"/>
      <c r="AE368" s="977"/>
      <c r="AF368" s="977"/>
      <c r="AG368" s="977"/>
    </row>
    <row r="369" spans="1:33" x14ac:dyDescent="0.2">
      <c r="A369" s="977"/>
      <c r="B369" s="977"/>
      <c r="C369" s="977"/>
      <c r="D369" s="977"/>
      <c r="E369" s="977"/>
      <c r="F369" s="977"/>
      <c r="G369" s="977"/>
      <c r="H369" s="977"/>
      <c r="I369" s="145"/>
      <c r="J369" s="145"/>
      <c r="K369" s="977"/>
      <c r="L369" s="977"/>
      <c r="M369" s="977"/>
      <c r="N369" s="977"/>
      <c r="O369" s="977"/>
      <c r="P369" s="977"/>
      <c r="Q369" s="977"/>
      <c r="R369" s="977"/>
      <c r="S369" s="977"/>
      <c r="T369" s="977"/>
      <c r="U369" s="977"/>
      <c r="V369" s="977"/>
      <c r="W369" s="977"/>
      <c r="X369" s="978"/>
      <c r="Y369" s="977"/>
      <c r="Z369" s="977"/>
      <c r="AA369" s="978"/>
      <c r="AB369" s="977"/>
      <c r="AC369" s="977"/>
      <c r="AD369" s="977"/>
      <c r="AE369" s="977"/>
      <c r="AF369" s="977"/>
      <c r="AG369" s="977"/>
    </row>
    <row r="370" spans="1:33" x14ac:dyDescent="0.2">
      <c r="A370" s="977"/>
      <c r="B370" s="977"/>
      <c r="C370" s="977"/>
      <c r="D370" s="977"/>
      <c r="E370" s="977"/>
      <c r="F370" s="977"/>
      <c r="G370" s="977"/>
      <c r="H370" s="977"/>
      <c r="I370" s="145"/>
      <c r="J370" s="145"/>
      <c r="K370" s="977"/>
      <c r="L370" s="977"/>
      <c r="M370" s="977"/>
      <c r="N370" s="977"/>
      <c r="O370" s="977"/>
      <c r="P370" s="977"/>
      <c r="Q370" s="977"/>
      <c r="R370" s="977"/>
      <c r="S370" s="977"/>
      <c r="T370" s="977"/>
      <c r="U370" s="977"/>
      <c r="V370" s="977"/>
      <c r="W370" s="977"/>
      <c r="X370" s="978"/>
      <c r="Y370" s="977"/>
      <c r="Z370" s="977"/>
      <c r="AA370" s="978"/>
      <c r="AB370" s="977"/>
      <c r="AC370" s="977"/>
      <c r="AD370" s="977"/>
      <c r="AE370" s="977"/>
      <c r="AF370" s="977"/>
      <c r="AG370" s="977"/>
    </row>
    <row r="371" spans="1:33" x14ac:dyDescent="0.2">
      <c r="A371" s="977"/>
      <c r="B371" s="977"/>
      <c r="C371" s="977"/>
      <c r="D371" s="977"/>
      <c r="E371" s="977"/>
      <c r="F371" s="977"/>
      <c r="G371" s="977"/>
      <c r="H371" s="977"/>
      <c r="I371" s="145"/>
      <c r="J371" s="145"/>
      <c r="K371" s="977"/>
      <c r="L371" s="977"/>
      <c r="M371" s="977"/>
      <c r="N371" s="977"/>
      <c r="O371" s="977"/>
      <c r="P371" s="977"/>
      <c r="Q371" s="977"/>
      <c r="R371" s="977"/>
      <c r="S371" s="977"/>
      <c r="T371" s="977"/>
      <c r="U371" s="977"/>
      <c r="V371" s="977"/>
      <c r="W371" s="977"/>
      <c r="X371" s="978"/>
      <c r="Y371" s="977"/>
      <c r="Z371" s="977"/>
      <c r="AA371" s="978"/>
      <c r="AB371" s="977"/>
      <c r="AC371" s="977"/>
      <c r="AD371" s="977"/>
      <c r="AE371" s="977"/>
      <c r="AF371" s="977"/>
      <c r="AG371" s="977"/>
    </row>
    <row r="372" spans="1:33" x14ac:dyDescent="0.2">
      <c r="A372" s="977"/>
      <c r="B372" s="977"/>
      <c r="C372" s="977"/>
      <c r="D372" s="977"/>
      <c r="E372" s="977"/>
      <c r="F372" s="977"/>
      <c r="G372" s="977"/>
      <c r="H372" s="977"/>
      <c r="I372" s="145"/>
      <c r="J372" s="145"/>
      <c r="K372" s="977"/>
      <c r="L372" s="977"/>
      <c r="M372" s="977"/>
      <c r="N372" s="977"/>
      <c r="O372" s="977"/>
      <c r="P372" s="977"/>
      <c r="Q372" s="977"/>
      <c r="R372" s="977"/>
      <c r="S372" s="977"/>
      <c r="T372" s="977"/>
      <c r="U372" s="977"/>
      <c r="V372" s="977"/>
      <c r="W372" s="977"/>
      <c r="X372" s="978"/>
      <c r="Y372" s="977"/>
      <c r="Z372" s="977"/>
      <c r="AA372" s="978"/>
      <c r="AB372" s="977"/>
      <c r="AC372" s="977"/>
      <c r="AD372" s="977"/>
      <c r="AE372" s="977"/>
      <c r="AF372" s="977"/>
      <c r="AG372" s="977"/>
    </row>
    <row r="373" spans="1:33" x14ac:dyDescent="0.2">
      <c r="A373" s="977"/>
      <c r="B373" s="977"/>
      <c r="C373" s="977"/>
      <c r="D373" s="977"/>
      <c r="E373" s="977"/>
      <c r="F373" s="977"/>
      <c r="G373" s="977"/>
      <c r="H373" s="977"/>
      <c r="I373" s="145"/>
      <c r="J373" s="145"/>
      <c r="K373" s="977"/>
      <c r="L373" s="977"/>
      <c r="M373" s="977"/>
      <c r="N373" s="977"/>
      <c r="O373" s="977"/>
      <c r="P373" s="977"/>
      <c r="Q373" s="977"/>
      <c r="R373" s="977"/>
      <c r="S373" s="977"/>
      <c r="T373" s="977"/>
      <c r="U373" s="977"/>
      <c r="V373" s="977"/>
      <c r="W373" s="977"/>
      <c r="X373" s="978"/>
      <c r="Y373" s="977"/>
      <c r="Z373" s="977"/>
      <c r="AA373" s="978"/>
      <c r="AB373" s="977"/>
      <c r="AC373" s="977"/>
      <c r="AD373" s="977"/>
      <c r="AE373" s="977"/>
      <c r="AF373" s="977"/>
      <c r="AG373" s="977"/>
    </row>
    <row r="374" spans="1:33" x14ac:dyDescent="0.2">
      <c r="A374" s="977"/>
      <c r="B374" s="977"/>
      <c r="C374" s="977"/>
      <c r="D374" s="977"/>
      <c r="E374" s="977"/>
      <c r="F374" s="977"/>
      <c r="G374" s="977"/>
      <c r="H374" s="977"/>
      <c r="I374" s="145"/>
      <c r="J374" s="145"/>
      <c r="K374" s="977"/>
      <c r="L374" s="977"/>
      <c r="M374" s="977"/>
      <c r="N374" s="977"/>
      <c r="O374" s="977"/>
      <c r="P374" s="977"/>
      <c r="Q374" s="977"/>
      <c r="R374" s="977"/>
      <c r="S374" s="977"/>
      <c r="T374" s="977"/>
      <c r="U374" s="977"/>
      <c r="V374" s="977"/>
      <c r="W374" s="977"/>
      <c r="X374" s="978"/>
      <c r="Y374" s="977"/>
      <c r="Z374" s="977"/>
      <c r="AA374" s="978"/>
      <c r="AB374" s="977"/>
      <c r="AC374" s="977"/>
      <c r="AD374" s="977"/>
      <c r="AE374" s="977"/>
      <c r="AF374" s="977"/>
      <c r="AG374" s="977"/>
    </row>
    <row r="375" spans="1:33" x14ac:dyDescent="0.2">
      <c r="A375" s="977"/>
      <c r="B375" s="977"/>
      <c r="C375" s="977"/>
      <c r="D375" s="977"/>
      <c r="E375" s="977"/>
      <c r="F375" s="977"/>
      <c r="G375" s="977"/>
      <c r="H375" s="977"/>
      <c r="I375" s="145"/>
      <c r="J375" s="145"/>
      <c r="K375" s="977"/>
      <c r="L375" s="977"/>
      <c r="M375" s="977"/>
      <c r="N375" s="977"/>
      <c r="O375" s="977"/>
      <c r="P375" s="977"/>
      <c r="Q375" s="977"/>
      <c r="R375" s="977"/>
      <c r="S375" s="977"/>
      <c r="T375" s="977"/>
      <c r="U375" s="977"/>
      <c r="V375" s="977"/>
      <c r="W375" s="977"/>
      <c r="X375" s="978"/>
      <c r="Y375" s="977"/>
      <c r="Z375" s="977"/>
      <c r="AA375" s="978"/>
      <c r="AB375" s="977"/>
      <c r="AC375" s="977"/>
      <c r="AD375" s="977"/>
      <c r="AE375" s="977"/>
      <c r="AF375" s="977"/>
      <c r="AG375" s="977"/>
    </row>
    <row r="376" spans="1:33" x14ac:dyDescent="0.2">
      <c r="A376" s="977"/>
      <c r="B376" s="977"/>
      <c r="C376" s="977"/>
      <c r="D376" s="977"/>
      <c r="E376" s="977"/>
      <c r="F376" s="977"/>
      <c r="G376" s="977"/>
      <c r="H376" s="977"/>
      <c r="I376" s="145"/>
      <c r="J376" s="145"/>
      <c r="K376" s="977"/>
      <c r="L376" s="977"/>
      <c r="M376" s="977"/>
      <c r="N376" s="977"/>
      <c r="O376" s="977"/>
      <c r="P376" s="977"/>
      <c r="Q376" s="977"/>
      <c r="R376" s="977"/>
      <c r="S376" s="977"/>
      <c r="T376" s="977"/>
      <c r="U376" s="977"/>
      <c r="V376" s="977"/>
      <c r="W376" s="977"/>
      <c r="X376" s="978"/>
      <c r="Y376" s="977"/>
      <c r="Z376" s="977"/>
      <c r="AA376" s="978"/>
      <c r="AB376" s="977"/>
      <c r="AC376" s="977"/>
      <c r="AD376" s="977"/>
      <c r="AE376" s="977"/>
      <c r="AF376" s="977"/>
      <c r="AG376" s="977"/>
    </row>
    <row r="377" spans="1:33" x14ac:dyDescent="0.2">
      <c r="A377" s="977"/>
      <c r="B377" s="977"/>
      <c r="C377" s="977"/>
      <c r="D377" s="977"/>
      <c r="E377" s="977"/>
      <c r="F377" s="977"/>
      <c r="G377" s="977"/>
      <c r="H377" s="977"/>
      <c r="I377" s="145"/>
      <c r="J377" s="145"/>
      <c r="K377" s="977"/>
      <c r="L377" s="977"/>
      <c r="M377" s="977"/>
      <c r="N377" s="977"/>
      <c r="O377" s="977"/>
      <c r="P377" s="977"/>
      <c r="Q377" s="977"/>
      <c r="R377" s="977"/>
      <c r="S377" s="977"/>
      <c r="T377" s="977"/>
      <c r="U377" s="977"/>
      <c r="V377" s="977"/>
      <c r="W377" s="977"/>
      <c r="X377" s="978"/>
      <c r="Y377" s="977"/>
      <c r="Z377" s="977"/>
      <c r="AA377" s="978"/>
      <c r="AB377" s="977"/>
      <c r="AC377" s="977"/>
      <c r="AD377" s="977"/>
      <c r="AE377" s="977"/>
      <c r="AF377" s="977"/>
      <c r="AG377" s="977"/>
    </row>
    <row r="378" spans="1:33" x14ac:dyDescent="0.2">
      <c r="A378" s="977"/>
      <c r="B378" s="977"/>
      <c r="C378" s="977"/>
      <c r="D378" s="977"/>
      <c r="E378" s="977"/>
      <c r="F378" s="977"/>
      <c r="G378" s="977"/>
      <c r="H378" s="977"/>
      <c r="I378" s="145"/>
      <c r="J378" s="145"/>
      <c r="K378" s="977"/>
      <c r="L378" s="977"/>
      <c r="M378" s="977"/>
      <c r="N378" s="977"/>
      <c r="O378" s="977"/>
      <c r="P378" s="977"/>
      <c r="Q378" s="977"/>
      <c r="R378" s="977"/>
      <c r="S378" s="977"/>
      <c r="T378" s="977"/>
      <c r="U378" s="977"/>
      <c r="V378" s="977"/>
      <c r="W378" s="977"/>
      <c r="X378" s="978"/>
      <c r="Y378" s="977"/>
      <c r="Z378" s="977"/>
      <c r="AA378" s="978"/>
      <c r="AB378" s="977"/>
      <c r="AC378" s="977"/>
      <c r="AD378" s="977"/>
      <c r="AE378" s="977"/>
      <c r="AF378" s="977"/>
      <c r="AG378" s="977"/>
    </row>
    <row r="379" spans="1:33" x14ac:dyDescent="0.2">
      <c r="A379" s="977"/>
      <c r="B379" s="977"/>
      <c r="C379" s="977"/>
      <c r="D379" s="977"/>
      <c r="E379" s="977"/>
      <c r="F379" s="977"/>
      <c r="G379" s="977"/>
      <c r="H379" s="977"/>
      <c r="I379" s="145"/>
      <c r="J379" s="145"/>
      <c r="K379" s="977"/>
      <c r="L379" s="977"/>
      <c r="M379" s="977"/>
      <c r="N379" s="977"/>
      <c r="O379" s="977"/>
      <c r="P379" s="977"/>
      <c r="Q379" s="977"/>
      <c r="R379" s="977"/>
      <c r="S379" s="977"/>
      <c r="T379" s="977"/>
      <c r="U379" s="977"/>
      <c r="V379" s="977"/>
      <c r="W379" s="977"/>
      <c r="X379" s="978"/>
      <c r="Y379" s="977"/>
      <c r="Z379" s="977"/>
      <c r="AA379" s="978"/>
      <c r="AB379" s="977"/>
      <c r="AC379" s="977"/>
      <c r="AD379" s="977"/>
      <c r="AE379" s="977"/>
      <c r="AF379" s="977"/>
      <c r="AG379" s="977"/>
    </row>
    <row r="380" spans="1:33" x14ac:dyDescent="0.2">
      <c r="A380" s="977"/>
      <c r="B380" s="977"/>
      <c r="C380" s="977"/>
      <c r="D380" s="977"/>
      <c r="E380" s="977"/>
      <c r="F380" s="977"/>
      <c r="G380" s="977"/>
      <c r="H380" s="977"/>
      <c r="I380" s="145"/>
      <c r="J380" s="145"/>
      <c r="K380" s="977"/>
      <c r="L380" s="977"/>
      <c r="M380" s="977"/>
      <c r="N380" s="977"/>
      <c r="O380" s="977"/>
      <c r="P380" s="977"/>
      <c r="Q380" s="977"/>
      <c r="R380" s="977"/>
      <c r="S380" s="977"/>
      <c r="T380" s="977"/>
      <c r="U380" s="977"/>
      <c r="V380" s="977"/>
      <c r="W380" s="977"/>
      <c r="X380" s="978"/>
      <c r="Y380" s="977"/>
      <c r="Z380" s="977"/>
      <c r="AA380" s="978"/>
      <c r="AB380" s="977"/>
      <c r="AC380" s="977"/>
      <c r="AD380" s="977"/>
      <c r="AE380" s="977"/>
      <c r="AF380" s="977"/>
      <c r="AG380" s="977"/>
    </row>
    <row r="381" spans="1:33" x14ac:dyDescent="0.2">
      <c r="A381" s="977"/>
      <c r="B381" s="977"/>
      <c r="C381" s="977"/>
      <c r="D381" s="977"/>
      <c r="E381" s="977"/>
      <c r="F381" s="977"/>
      <c r="G381" s="977"/>
      <c r="H381" s="977"/>
      <c r="I381" s="145"/>
      <c r="J381" s="145"/>
      <c r="K381" s="977"/>
      <c r="L381" s="977"/>
      <c r="M381" s="977"/>
      <c r="N381" s="977"/>
      <c r="O381" s="977"/>
      <c r="P381" s="977"/>
      <c r="Q381" s="977"/>
      <c r="R381" s="977"/>
      <c r="S381" s="977"/>
      <c r="T381" s="977"/>
      <c r="U381" s="977"/>
      <c r="V381" s="977"/>
      <c r="W381" s="977"/>
      <c r="X381" s="978"/>
      <c r="Y381" s="977"/>
      <c r="Z381" s="977"/>
      <c r="AA381" s="978"/>
      <c r="AB381" s="977"/>
      <c r="AC381" s="977"/>
      <c r="AD381" s="977"/>
      <c r="AE381" s="977"/>
      <c r="AF381" s="977"/>
      <c r="AG381" s="977"/>
    </row>
    <row r="382" spans="1:33" x14ac:dyDescent="0.2">
      <c r="A382" s="977"/>
      <c r="B382" s="977"/>
      <c r="C382" s="977"/>
      <c r="D382" s="977"/>
      <c r="E382" s="977"/>
      <c r="F382" s="977"/>
      <c r="G382" s="977"/>
      <c r="H382" s="977"/>
      <c r="I382" s="145"/>
      <c r="J382" s="145"/>
      <c r="K382" s="977"/>
      <c r="L382" s="977"/>
      <c r="M382" s="977"/>
      <c r="N382" s="977"/>
      <c r="O382" s="977"/>
      <c r="P382" s="977"/>
      <c r="Q382" s="977"/>
      <c r="R382" s="977"/>
      <c r="S382" s="977"/>
      <c r="T382" s="977"/>
      <c r="U382" s="977"/>
      <c r="V382" s="977"/>
      <c r="W382" s="977"/>
      <c r="X382" s="978"/>
      <c r="Y382" s="977"/>
      <c r="Z382" s="977"/>
      <c r="AA382" s="978"/>
      <c r="AB382" s="977"/>
      <c r="AC382" s="977"/>
      <c r="AD382" s="977"/>
      <c r="AE382" s="977"/>
      <c r="AF382" s="977"/>
      <c r="AG382" s="977"/>
    </row>
    <row r="383" spans="1:33" x14ac:dyDescent="0.2">
      <c r="A383" s="977"/>
      <c r="B383" s="977"/>
      <c r="C383" s="977"/>
      <c r="D383" s="977"/>
      <c r="E383" s="977"/>
      <c r="F383" s="977"/>
      <c r="G383" s="977"/>
      <c r="H383" s="977"/>
      <c r="I383" s="145"/>
      <c r="J383" s="145"/>
      <c r="K383" s="977"/>
      <c r="L383" s="977"/>
      <c r="M383" s="977"/>
      <c r="N383" s="977"/>
      <c r="O383" s="977"/>
      <c r="P383" s="977"/>
      <c r="Q383" s="977"/>
      <c r="R383" s="977"/>
      <c r="S383" s="977"/>
      <c r="T383" s="977"/>
      <c r="U383" s="977"/>
      <c r="V383" s="977"/>
      <c r="W383" s="977"/>
      <c r="X383" s="978"/>
      <c r="Y383" s="977"/>
      <c r="Z383" s="977"/>
      <c r="AA383" s="978"/>
      <c r="AB383" s="977"/>
      <c r="AC383" s="977"/>
      <c r="AD383" s="977"/>
      <c r="AE383" s="977"/>
      <c r="AF383" s="977"/>
      <c r="AG383" s="977"/>
    </row>
    <row r="384" spans="1:33" x14ac:dyDescent="0.2">
      <c r="A384" s="977"/>
      <c r="B384" s="977"/>
      <c r="C384" s="977"/>
      <c r="D384" s="977"/>
      <c r="E384" s="977"/>
      <c r="F384" s="977"/>
      <c r="G384" s="977"/>
      <c r="H384" s="977"/>
      <c r="I384" s="145"/>
      <c r="J384" s="145"/>
      <c r="K384" s="977"/>
      <c r="L384" s="977"/>
      <c r="M384" s="977"/>
      <c r="N384" s="977"/>
      <c r="O384" s="977"/>
      <c r="P384" s="977"/>
      <c r="Q384" s="977"/>
      <c r="R384" s="977"/>
      <c r="S384" s="977"/>
      <c r="T384" s="977"/>
      <c r="U384" s="977"/>
      <c r="V384" s="977"/>
      <c r="W384" s="977"/>
      <c r="X384" s="978"/>
      <c r="Y384" s="977"/>
      <c r="Z384" s="977"/>
      <c r="AA384" s="978"/>
      <c r="AB384" s="977"/>
      <c r="AC384" s="977"/>
      <c r="AD384" s="977"/>
      <c r="AE384" s="977"/>
      <c r="AF384" s="977"/>
      <c r="AG384" s="977"/>
    </row>
    <row r="385" spans="1:33" x14ac:dyDescent="0.2">
      <c r="A385" s="977"/>
      <c r="B385" s="977"/>
      <c r="C385" s="977"/>
      <c r="D385" s="977"/>
      <c r="E385" s="977"/>
      <c r="F385" s="977"/>
      <c r="G385" s="977"/>
      <c r="H385" s="977"/>
      <c r="I385" s="145"/>
      <c r="J385" s="145"/>
      <c r="K385" s="977"/>
      <c r="L385" s="977"/>
      <c r="M385" s="977"/>
      <c r="N385" s="977"/>
      <c r="O385" s="977"/>
      <c r="P385" s="977"/>
      <c r="Q385" s="977"/>
      <c r="R385" s="977"/>
      <c r="S385" s="977"/>
      <c r="T385" s="977"/>
      <c r="U385" s="977"/>
      <c r="V385" s="977"/>
      <c r="W385" s="977"/>
      <c r="X385" s="978"/>
      <c r="Y385" s="977"/>
      <c r="Z385" s="977"/>
      <c r="AA385" s="978"/>
      <c r="AB385" s="977"/>
      <c r="AC385" s="977"/>
      <c r="AD385" s="977"/>
      <c r="AE385" s="977"/>
      <c r="AF385" s="977"/>
      <c r="AG385" s="977"/>
    </row>
    <row r="386" spans="1:33" x14ac:dyDescent="0.2">
      <c r="A386" s="977"/>
      <c r="B386" s="977"/>
      <c r="C386" s="977"/>
      <c r="D386" s="977"/>
      <c r="E386" s="977"/>
      <c r="F386" s="977"/>
      <c r="G386" s="977"/>
      <c r="H386" s="977"/>
      <c r="I386" s="145"/>
      <c r="J386" s="145"/>
      <c r="K386" s="977"/>
      <c r="L386" s="977"/>
      <c r="M386" s="977"/>
      <c r="N386" s="977"/>
      <c r="O386" s="977"/>
      <c r="P386" s="977"/>
      <c r="Q386" s="977"/>
      <c r="R386" s="977"/>
      <c r="S386" s="977"/>
      <c r="T386" s="977"/>
      <c r="U386" s="977"/>
      <c r="V386" s="977"/>
      <c r="W386" s="977"/>
      <c r="X386" s="978"/>
      <c r="Y386" s="977"/>
      <c r="Z386" s="977"/>
      <c r="AA386" s="978"/>
      <c r="AB386" s="977"/>
      <c r="AC386" s="977"/>
      <c r="AD386" s="977"/>
      <c r="AE386" s="977"/>
      <c r="AF386" s="977"/>
      <c r="AG386" s="977"/>
    </row>
    <row r="387" spans="1:33" x14ac:dyDescent="0.2">
      <c r="A387" s="977"/>
      <c r="B387" s="977"/>
      <c r="C387" s="977"/>
      <c r="D387" s="977"/>
      <c r="E387" s="977"/>
      <c r="F387" s="977"/>
      <c r="G387" s="977"/>
      <c r="H387" s="977"/>
      <c r="I387" s="145"/>
      <c r="J387" s="145"/>
      <c r="K387" s="977"/>
      <c r="L387" s="977"/>
      <c r="M387" s="977"/>
      <c r="N387" s="977"/>
      <c r="O387" s="977"/>
      <c r="P387" s="977"/>
      <c r="Q387" s="977"/>
      <c r="R387" s="977"/>
      <c r="S387" s="977"/>
      <c r="T387" s="977"/>
      <c r="U387" s="977"/>
      <c r="V387" s="977"/>
      <c r="W387" s="977"/>
      <c r="X387" s="978"/>
      <c r="Y387" s="977"/>
      <c r="Z387" s="977"/>
      <c r="AA387" s="978"/>
      <c r="AB387" s="977"/>
      <c r="AC387" s="977"/>
      <c r="AD387" s="977"/>
      <c r="AE387" s="977"/>
      <c r="AF387" s="977"/>
      <c r="AG387" s="977"/>
    </row>
    <row r="388" spans="1:33" x14ac:dyDescent="0.2">
      <c r="A388" s="977"/>
      <c r="B388" s="977"/>
      <c r="C388" s="977"/>
      <c r="D388" s="977"/>
      <c r="E388" s="977"/>
      <c r="F388" s="977"/>
      <c r="G388" s="977"/>
      <c r="H388" s="977"/>
      <c r="I388" s="145"/>
      <c r="J388" s="145"/>
      <c r="K388" s="977"/>
      <c r="L388" s="977"/>
      <c r="M388" s="977"/>
      <c r="N388" s="977"/>
      <c r="O388" s="977"/>
      <c r="P388" s="977"/>
      <c r="Q388" s="977"/>
      <c r="R388" s="977"/>
      <c r="S388" s="977"/>
      <c r="T388" s="977"/>
      <c r="U388" s="977"/>
      <c r="V388" s="977"/>
      <c r="W388" s="977"/>
      <c r="X388" s="978"/>
      <c r="Y388" s="977"/>
      <c r="Z388" s="977"/>
      <c r="AA388" s="978"/>
      <c r="AB388" s="977"/>
      <c r="AC388" s="977"/>
      <c r="AD388" s="977"/>
      <c r="AE388" s="977"/>
      <c r="AF388" s="977"/>
      <c r="AG388" s="977"/>
    </row>
    <row r="389" spans="1:33" x14ac:dyDescent="0.2">
      <c r="A389" s="977"/>
      <c r="B389" s="977"/>
      <c r="C389" s="977"/>
      <c r="D389" s="977"/>
      <c r="E389" s="977"/>
      <c r="F389" s="977"/>
      <c r="G389" s="977"/>
      <c r="H389" s="977"/>
      <c r="I389" s="145"/>
      <c r="J389" s="145"/>
      <c r="K389" s="977"/>
      <c r="L389" s="977"/>
      <c r="M389" s="977"/>
      <c r="N389" s="977"/>
      <c r="O389" s="977"/>
      <c r="P389" s="977"/>
      <c r="Q389" s="977"/>
      <c r="R389" s="977"/>
      <c r="S389" s="977"/>
      <c r="T389" s="977"/>
      <c r="U389" s="977"/>
      <c r="V389" s="977"/>
      <c r="W389" s="977"/>
      <c r="X389" s="978"/>
      <c r="Y389" s="977"/>
      <c r="Z389" s="977"/>
      <c r="AA389" s="978"/>
      <c r="AB389" s="977"/>
      <c r="AC389" s="977"/>
      <c r="AD389" s="977"/>
      <c r="AE389" s="977"/>
      <c r="AF389" s="977"/>
      <c r="AG389" s="977"/>
    </row>
    <row r="390" spans="1:33" x14ac:dyDescent="0.2">
      <c r="A390" s="977"/>
      <c r="B390" s="977"/>
      <c r="C390" s="977"/>
      <c r="D390" s="977"/>
      <c r="E390" s="977"/>
      <c r="F390" s="977"/>
      <c r="G390" s="977"/>
      <c r="H390" s="977"/>
      <c r="I390" s="145"/>
      <c r="J390" s="145"/>
      <c r="K390" s="977"/>
      <c r="L390" s="977"/>
      <c r="M390" s="977"/>
      <c r="N390" s="977"/>
      <c r="O390" s="977"/>
      <c r="P390" s="977"/>
      <c r="Q390" s="977"/>
      <c r="R390" s="977"/>
      <c r="S390" s="977"/>
      <c r="T390" s="977"/>
      <c r="U390" s="977"/>
      <c r="V390" s="977"/>
      <c r="W390" s="977"/>
      <c r="X390" s="978"/>
      <c r="Y390" s="977"/>
      <c r="Z390" s="977"/>
      <c r="AA390" s="978"/>
      <c r="AB390" s="977"/>
      <c r="AC390" s="977"/>
      <c r="AD390" s="977"/>
      <c r="AE390" s="977"/>
      <c r="AF390" s="977"/>
      <c r="AG390" s="977"/>
    </row>
    <row r="391" spans="1:33" x14ac:dyDescent="0.2">
      <c r="A391" s="977"/>
      <c r="B391" s="977"/>
      <c r="C391" s="977"/>
      <c r="D391" s="977"/>
      <c r="E391" s="977"/>
      <c r="F391" s="977"/>
      <c r="G391" s="977"/>
      <c r="H391" s="977"/>
      <c r="I391" s="145"/>
      <c r="J391" s="145"/>
      <c r="K391" s="977"/>
      <c r="L391" s="977"/>
      <c r="M391" s="977"/>
      <c r="N391" s="977"/>
      <c r="O391" s="977"/>
      <c r="P391" s="977"/>
      <c r="Q391" s="977"/>
      <c r="R391" s="977"/>
      <c r="S391" s="977"/>
      <c r="T391" s="977"/>
      <c r="U391" s="977"/>
      <c r="V391" s="977"/>
      <c r="W391" s="977"/>
      <c r="X391" s="978"/>
      <c r="Y391" s="977"/>
      <c r="Z391" s="977"/>
      <c r="AA391" s="978"/>
      <c r="AB391" s="977"/>
      <c r="AC391" s="977"/>
      <c r="AD391" s="977"/>
      <c r="AE391" s="977"/>
      <c r="AF391" s="977"/>
      <c r="AG391" s="977"/>
    </row>
    <row r="392" spans="1:33" x14ac:dyDescent="0.2">
      <c r="A392" s="977"/>
      <c r="B392" s="977"/>
      <c r="C392" s="977"/>
      <c r="D392" s="977"/>
      <c r="E392" s="977"/>
      <c r="F392" s="977"/>
      <c r="G392" s="977"/>
      <c r="H392" s="977"/>
      <c r="I392" s="145"/>
      <c r="J392" s="145"/>
      <c r="K392" s="977"/>
      <c r="L392" s="977"/>
      <c r="M392" s="977"/>
      <c r="N392" s="977"/>
      <c r="O392" s="977"/>
      <c r="P392" s="977"/>
      <c r="Q392" s="977"/>
      <c r="R392" s="977"/>
      <c r="S392" s="977"/>
      <c r="T392" s="977"/>
      <c r="U392" s="977"/>
      <c r="V392" s="977"/>
      <c r="W392" s="977"/>
      <c r="X392" s="978"/>
      <c r="Y392" s="977"/>
      <c r="Z392" s="977"/>
      <c r="AA392" s="978"/>
      <c r="AB392" s="977"/>
      <c r="AC392" s="977"/>
      <c r="AD392" s="977"/>
      <c r="AE392" s="977"/>
      <c r="AF392" s="977"/>
      <c r="AG392" s="977"/>
    </row>
    <row r="393" spans="1:33" x14ac:dyDescent="0.2">
      <c r="A393" s="977"/>
      <c r="B393" s="977"/>
      <c r="C393" s="977"/>
      <c r="D393" s="977"/>
      <c r="E393" s="977"/>
      <c r="F393" s="977"/>
      <c r="G393" s="977"/>
      <c r="H393" s="977"/>
      <c r="I393" s="145"/>
      <c r="J393" s="145"/>
      <c r="K393" s="977"/>
      <c r="L393" s="977"/>
      <c r="M393" s="977"/>
      <c r="N393" s="977"/>
      <c r="O393" s="977"/>
      <c r="P393" s="977"/>
      <c r="Q393" s="977"/>
      <c r="R393" s="977"/>
      <c r="S393" s="977"/>
      <c r="T393" s="977"/>
      <c r="U393" s="977"/>
      <c r="V393" s="977"/>
      <c r="W393" s="977"/>
      <c r="X393" s="978"/>
      <c r="Y393" s="977"/>
      <c r="Z393" s="977"/>
      <c r="AA393" s="978"/>
      <c r="AB393" s="977"/>
      <c r="AC393" s="977"/>
      <c r="AD393" s="977"/>
      <c r="AE393" s="977"/>
      <c r="AF393" s="977"/>
      <c r="AG393" s="977"/>
    </row>
    <row r="394" spans="1:33" x14ac:dyDescent="0.2">
      <c r="A394" s="977"/>
      <c r="B394" s="977"/>
      <c r="C394" s="977"/>
      <c r="D394" s="977"/>
      <c r="E394" s="977"/>
      <c r="F394" s="977"/>
      <c r="G394" s="977"/>
      <c r="H394" s="977"/>
      <c r="I394" s="145"/>
      <c r="J394" s="145"/>
      <c r="K394" s="977"/>
      <c r="L394" s="977"/>
      <c r="M394" s="977"/>
      <c r="N394" s="977"/>
      <c r="O394" s="977"/>
      <c r="P394" s="977"/>
      <c r="Q394" s="977"/>
      <c r="R394" s="977"/>
      <c r="S394" s="977"/>
      <c r="T394" s="977"/>
      <c r="U394" s="977"/>
      <c r="V394" s="977"/>
      <c r="W394" s="977"/>
      <c r="X394" s="978"/>
      <c r="Y394" s="977"/>
      <c r="Z394" s="977"/>
      <c r="AA394" s="978"/>
      <c r="AB394" s="977"/>
      <c r="AC394" s="977"/>
      <c r="AD394" s="977"/>
      <c r="AE394" s="977"/>
      <c r="AF394" s="977"/>
      <c r="AG394" s="977"/>
    </row>
    <row r="395" spans="1:33" x14ac:dyDescent="0.2">
      <c r="A395" s="977"/>
      <c r="B395" s="977"/>
      <c r="C395" s="977"/>
      <c r="D395" s="977"/>
      <c r="E395" s="977"/>
      <c r="F395" s="977"/>
      <c r="G395" s="977"/>
      <c r="H395" s="977"/>
      <c r="I395" s="145"/>
      <c r="J395" s="145"/>
      <c r="K395" s="977"/>
      <c r="L395" s="977"/>
      <c r="M395" s="977"/>
      <c r="N395" s="977"/>
      <c r="O395" s="977"/>
      <c r="P395" s="977"/>
      <c r="Q395" s="977"/>
      <c r="R395" s="977"/>
      <c r="S395" s="977"/>
      <c r="T395" s="977"/>
      <c r="U395" s="977"/>
      <c r="V395" s="977"/>
      <c r="W395" s="977"/>
      <c r="X395" s="978"/>
      <c r="Y395" s="977"/>
      <c r="Z395" s="977"/>
      <c r="AA395" s="978"/>
      <c r="AB395" s="977"/>
      <c r="AC395" s="977"/>
      <c r="AD395" s="977"/>
      <c r="AE395" s="977"/>
      <c r="AF395" s="977"/>
      <c r="AG395" s="977"/>
    </row>
    <row r="396" spans="1:33" x14ac:dyDescent="0.2">
      <c r="A396" s="977"/>
      <c r="B396" s="977"/>
      <c r="C396" s="977"/>
      <c r="D396" s="977"/>
      <c r="E396" s="977"/>
      <c r="F396" s="977"/>
      <c r="G396" s="977"/>
      <c r="H396" s="977"/>
      <c r="I396" s="145"/>
      <c r="J396" s="145"/>
      <c r="K396" s="977"/>
      <c r="L396" s="977"/>
      <c r="M396" s="977"/>
      <c r="N396" s="977"/>
      <c r="O396" s="977"/>
      <c r="P396" s="977"/>
      <c r="Q396" s="977"/>
      <c r="R396" s="977"/>
      <c r="S396" s="977"/>
      <c r="T396" s="977"/>
      <c r="U396" s="977"/>
      <c r="V396" s="977"/>
      <c r="W396" s="977"/>
      <c r="X396" s="978"/>
      <c r="Y396" s="977"/>
      <c r="Z396" s="977"/>
      <c r="AA396" s="978"/>
      <c r="AB396" s="977"/>
      <c r="AC396" s="977"/>
      <c r="AD396" s="977"/>
      <c r="AE396" s="977"/>
      <c r="AF396" s="977"/>
      <c r="AG396" s="977"/>
    </row>
    <row r="397" spans="1:33" x14ac:dyDescent="0.2">
      <c r="A397" s="977"/>
      <c r="B397" s="977"/>
      <c r="C397" s="977"/>
      <c r="D397" s="977"/>
      <c r="E397" s="977"/>
      <c r="F397" s="977"/>
      <c r="G397" s="977"/>
      <c r="H397" s="977"/>
      <c r="I397" s="145"/>
      <c r="J397" s="145"/>
      <c r="K397" s="977"/>
      <c r="L397" s="977"/>
      <c r="M397" s="977"/>
      <c r="N397" s="977"/>
      <c r="O397" s="977"/>
      <c r="P397" s="977"/>
      <c r="Q397" s="977"/>
      <c r="R397" s="977"/>
      <c r="S397" s="977"/>
      <c r="T397" s="977"/>
      <c r="U397" s="977"/>
      <c r="V397" s="977"/>
      <c r="W397" s="977"/>
      <c r="X397" s="978"/>
      <c r="Y397" s="977"/>
      <c r="Z397" s="977"/>
      <c r="AA397" s="978"/>
      <c r="AB397" s="977"/>
      <c r="AC397" s="977"/>
      <c r="AD397" s="977"/>
      <c r="AE397" s="977"/>
      <c r="AF397" s="977"/>
      <c r="AG397" s="977"/>
    </row>
    <row r="398" spans="1:33" x14ac:dyDescent="0.2">
      <c r="A398" s="977"/>
      <c r="B398" s="977"/>
      <c r="C398" s="977"/>
      <c r="D398" s="977"/>
      <c r="E398" s="977"/>
      <c r="F398" s="977"/>
      <c r="G398" s="977"/>
      <c r="H398" s="977"/>
      <c r="I398" s="145"/>
      <c r="J398" s="145"/>
      <c r="K398" s="977"/>
      <c r="L398" s="977"/>
      <c r="M398" s="977"/>
      <c r="N398" s="977"/>
      <c r="O398" s="977"/>
      <c r="P398" s="977"/>
      <c r="Q398" s="977"/>
      <c r="R398" s="977"/>
      <c r="S398" s="977"/>
      <c r="T398" s="977"/>
      <c r="U398" s="977"/>
      <c r="V398" s="977"/>
      <c r="W398" s="977"/>
      <c r="X398" s="978"/>
      <c r="Y398" s="977"/>
      <c r="Z398" s="977"/>
      <c r="AA398" s="978"/>
      <c r="AB398" s="977"/>
      <c r="AC398" s="977"/>
      <c r="AD398" s="977"/>
      <c r="AE398" s="977"/>
      <c r="AF398" s="977"/>
      <c r="AG398" s="977"/>
    </row>
    <row r="399" spans="1:33" x14ac:dyDescent="0.2">
      <c r="A399" s="977"/>
      <c r="B399" s="977"/>
      <c r="C399" s="977"/>
      <c r="D399" s="977"/>
      <c r="E399" s="977"/>
      <c r="F399" s="977"/>
      <c r="G399" s="977"/>
      <c r="H399" s="977"/>
      <c r="I399" s="145"/>
      <c r="J399" s="145"/>
      <c r="K399" s="977"/>
      <c r="L399" s="977"/>
      <c r="M399" s="977"/>
      <c r="N399" s="977"/>
      <c r="O399" s="977"/>
      <c r="P399" s="977"/>
      <c r="Q399" s="977"/>
      <c r="R399" s="977"/>
      <c r="S399" s="977"/>
      <c r="T399" s="977"/>
      <c r="U399" s="977"/>
      <c r="V399" s="977"/>
      <c r="W399" s="977"/>
      <c r="X399" s="978"/>
      <c r="Y399" s="977"/>
      <c r="Z399" s="977"/>
      <c r="AA399" s="978"/>
      <c r="AB399" s="977"/>
      <c r="AC399" s="977"/>
      <c r="AD399" s="977"/>
      <c r="AE399" s="977"/>
      <c r="AF399" s="977"/>
      <c r="AG399" s="977"/>
    </row>
    <row r="400" spans="1:33" x14ac:dyDescent="0.2">
      <c r="A400" s="977"/>
      <c r="B400" s="977"/>
      <c r="C400" s="977"/>
      <c r="D400" s="977"/>
      <c r="E400" s="977"/>
      <c r="F400" s="977"/>
      <c r="G400" s="977"/>
      <c r="H400" s="977"/>
      <c r="I400" s="145"/>
      <c r="J400" s="145"/>
      <c r="K400" s="977"/>
      <c r="L400" s="977"/>
      <c r="M400" s="977"/>
      <c r="N400" s="977"/>
      <c r="O400" s="977"/>
      <c r="P400" s="977"/>
      <c r="Q400" s="977"/>
      <c r="R400" s="977"/>
      <c r="S400" s="977"/>
      <c r="T400" s="977"/>
      <c r="U400" s="977"/>
      <c r="V400" s="977"/>
      <c r="W400" s="977"/>
      <c r="X400" s="978"/>
      <c r="Y400" s="977"/>
      <c r="Z400" s="977"/>
      <c r="AA400" s="978"/>
      <c r="AB400" s="977"/>
      <c r="AC400" s="977"/>
      <c r="AD400" s="977"/>
      <c r="AE400" s="977"/>
      <c r="AF400" s="977"/>
      <c r="AG400" s="977"/>
    </row>
    <row r="401" spans="1:33" x14ac:dyDescent="0.2">
      <c r="A401" s="977"/>
      <c r="B401" s="977"/>
      <c r="C401" s="977"/>
      <c r="D401" s="977"/>
      <c r="E401" s="977"/>
      <c r="F401" s="977"/>
      <c r="G401" s="977"/>
      <c r="H401" s="977"/>
      <c r="I401" s="145"/>
      <c r="J401" s="145"/>
      <c r="K401" s="977"/>
      <c r="L401" s="977"/>
      <c r="M401" s="977"/>
      <c r="N401" s="977"/>
      <c r="O401" s="977"/>
      <c r="P401" s="977"/>
      <c r="Q401" s="977"/>
      <c r="R401" s="977"/>
      <c r="S401" s="977"/>
      <c r="T401" s="977"/>
      <c r="U401" s="977"/>
      <c r="V401" s="977"/>
      <c r="W401" s="977"/>
      <c r="X401" s="978"/>
      <c r="Y401" s="977"/>
      <c r="Z401" s="977"/>
      <c r="AA401" s="978"/>
      <c r="AB401" s="977"/>
      <c r="AC401" s="977"/>
      <c r="AD401" s="977"/>
      <c r="AE401" s="977"/>
      <c r="AF401" s="977"/>
      <c r="AG401" s="977"/>
    </row>
    <row r="402" spans="1:33" x14ac:dyDescent="0.2">
      <c r="A402" s="977"/>
      <c r="B402" s="977"/>
      <c r="C402" s="977"/>
      <c r="D402" s="977"/>
      <c r="E402" s="977"/>
      <c r="F402" s="977"/>
      <c r="G402" s="977"/>
      <c r="H402" s="977"/>
      <c r="I402" s="145"/>
      <c r="J402" s="145"/>
      <c r="K402" s="977"/>
      <c r="L402" s="977"/>
      <c r="M402" s="977"/>
      <c r="N402" s="977"/>
      <c r="O402" s="977"/>
      <c r="P402" s="977"/>
      <c r="Q402" s="977"/>
      <c r="R402" s="977"/>
      <c r="S402" s="977"/>
      <c r="T402" s="977"/>
      <c r="U402" s="977"/>
      <c r="V402" s="977"/>
      <c r="W402" s="977"/>
      <c r="X402" s="978"/>
      <c r="Y402" s="977"/>
      <c r="Z402" s="977"/>
      <c r="AA402" s="978"/>
      <c r="AB402" s="977"/>
      <c r="AC402" s="977"/>
      <c r="AD402" s="977"/>
      <c r="AE402" s="977"/>
      <c r="AF402" s="977"/>
      <c r="AG402" s="977"/>
    </row>
    <row r="403" spans="1:33" x14ac:dyDescent="0.2">
      <c r="A403" s="977"/>
      <c r="B403" s="977"/>
      <c r="C403" s="977"/>
      <c r="D403" s="977"/>
      <c r="E403" s="977"/>
      <c r="F403" s="977"/>
      <c r="G403" s="977"/>
      <c r="H403" s="977"/>
      <c r="I403" s="145"/>
      <c r="J403" s="145"/>
      <c r="K403" s="977"/>
      <c r="L403" s="977"/>
      <c r="M403" s="977"/>
      <c r="N403" s="977"/>
      <c r="O403" s="977"/>
      <c r="P403" s="977"/>
      <c r="Q403" s="977"/>
      <c r="R403" s="977"/>
      <c r="S403" s="977"/>
      <c r="T403" s="977"/>
      <c r="U403" s="977"/>
      <c r="V403" s="977"/>
      <c r="W403" s="977"/>
      <c r="X403" s="978"/>
      <c r="Y403" s="977"/>
      <c r="Z403" s="977"/>
      <c r="AA403" s="978"/>
      <c r="AB403" s="977"/>
      <c r="AC403" s="977"/>
      <c r="AD403" s="977"/>
      <c r="AE403" s="977"/>
      <c r="AF403" s="977"/>
      <c r="AG403" s="977"/>
    </row>
    <row r="404" spans="1:33" x14ac:dyDescent="0.2">
      <c r="A404" s="977"/>
      <c r="B404" s="977"/>
      <c r="C404" s="977"/>
      <c r="D404" s="977"/>
      <c r="E404" s="977"/>
      <c r="F404" s="977"/>
      <c r="G404" s="977"/>
      <c r="H404" s="977"/>
      <c r="I404" s="145"/>
      <c r="J404" s="145"/>
      <c r="K404" s="977"/>
      <c r="L404" s="977"/>
      <c r="M404" s="977"/>
      <c r="N404" s="977"/>
      <c r="O404" s="977"/>
      <c r="P404" s="977"/>
      <c r="Q404" s="977"/>
      <c r="R404" s="977"/>
      <c r="S404" s="977"/>
      <c r="T404" s="977"/>
      <c r="U404" s="977"/>
      <c r="V404" s="977"/>
      <c r="W404" s="977"/>
      <c r="X404" s="978"/>
      <c r="Y404" s="977"/>
      <c r="Z404" s="977"/>
      <c r="AA404" s="978"/>
      <c r="AB404" s="977"/>
      <c r="AC404" s="977"/>
      <c r="AD404" s="977"/>
      <c r="AE404" s="977"/>
      <c r="AF404" s="977"/>
      <c r="AG404" s="977"/>
    </row>
    <row r="405" spans="1:33" x14ac:dyDescent="0.2">
      <c r="A405" s="977"/>
      <c r="B405" s="977"/>
      <c r="C405" s="977"/>
      <c r="D405" s="977"/>
      <c r="E405" s="977"/>
      <c r="F405" s="977"/>
      <c r="G405" s="977"/>
      <c r="H405" s="977"/>
      <c r="I405" s="145"/>
      <c r="J405" s="145"/>
      <c r="K405" s="977"/>
      <c r="L405" s="977"/>
      <c r="M405" s="977"/>
      <c r="N405" s="977"/>
      <c r="O405" s="977"/>
      <c r="P405" s="977"/>
      <c r="Q405" s="977"/>
      <c r="R405" s="977"/>
      <c r="S405" s="977"/>
      <c r="T405" s="977"/>
      <c r="U405" s="977"/>
      <c r="V405" s="977"/>
      <c r="W405" s="977"/>
      <c r="X405" s="978"/>
      <c r="Y405" s="977"/>
      <c r="Z405" s="977"/>
      <c r="AA405" s="978"/>
      <c r="AB405" s="977"/>
      <c r="AC405" s="977"/>
      <c r="AD405" s="977"/>
      <c r="AE405" s="977"/>
      <c r="AF405" s="977"/>
      <c r="AG405" s="977"/>
    </row>
    <row r="406" spans="1:33" x14ac:dyDescent="0.2">
      <c r="A406" s="977"/>
      <c r="B406" s="977"/>
      <c r="C406" s="977"/>
      <c r="D406" s="977"/>
      <c r="E406" s="977"/>
      <c r="F406" s="977"/>
      <c r="G406" s="977"/>
      <c r="H406" s="977"/>
      <c r="I406" s="145"/>
      <c r="J406" s="145"/>
      <c r="K406" s="977"/>
      <c r="L406" s="977"/>
      <c r="M406" s="977"/>
      <c r="N406" s="977"/>
      <c r="O406" s="977"/>
      <c r="P406" s="977"/>
      <c r="Q406" s="977"/>
      <c r="R406" s="977"/>
      <c r="S406" s="977"/>
      <c r="T406" s="977"/>
      <c r="U406" s="977"/>
      <c r="V406" s="977"/>
      <c r="W406" s="977"/>
      <c r="X406" s="978"/>
      <c r="Y406" s="977"/>
      <c r="Z406" s="977"/>
      <c r="AA406" s="978"/>
      <c r="AB406" s="977"/>
      <c r="AC406" s="977"/>
      <c r="AD406" s="977"/>
      <c r="AE406" s="977"/>
      <c r="AF406" s="977"/>
      <c r="AG406" s="977"/>
    </row>
    <row r="407" spans="1:33" x14ac:dyDescent="0.2">
      <c r="A407" s="977"/>
      <c r="B407" s="977"/>
      <c r="C407" s="977"/>
      <c r="D407" s="977"/>
      <c r="E407" s="977"/>
      <c r="F407" s="977"/>
      <c r="G407" s="977"/>
      <c r="H407" s="977"/>
      <c r="I407" s="145"/>
      <c r="J407" s="145"/>
      <c r="K407" s="977"/>
      <c r="L407" s="977"/>
      <c r="M407" s="977"/>
      <c r="N407" s="977"/>
      <c r="O407" s="977"/>
      <c r="P407" s="977"/>
      <c r="Q407" s="977"/>
      <c r="R407" s="977"/>
      <c r="S407" s="977"/>
      <c r="T407" s="977"/>
      <c r="U407" s="977"/>
      <c r="V407" s="977"/>
      <c r="W407" s="977"/>
      <c r="X407" s="978"/>
      <c r="Y407" s="977"/>
      <c r="Z407" s="977"/>
      <c r="AA407" s="978"/>
      <c r="AB407" s="977"/>
      <c r="AC407" s="977"/>
      <c r="AD407" s="977"/>
      <c r="AE407" s="977"/>
      <c r="AF407" s="977"/>
      <c r="AG407" s="977"/>
    </row>
    <row r="408" spans="1:33" x14ac:dyDescent="0.2">
      <c r="A408" s="977"/>
      <c r="B408" s="977"/>
      <c r="C408" s="977"/>
      <c r="D408" s="977"/>
      <c r="E408" s="977"/>
      <c r="F408" s="977"/>
      <c r="G408" s="977"/>
      <c r="H408" s="977"/>
      <c r="I408" s="145"/>
      <c r="J408" s="145"/>
      <c r="K408" s="977"/>
      <c r="L408" s="977"/>
      <c r="M408" s="977"/>
      <c r="N408" s="977"/>
      <c r="O408" s="977"/>
      <c r="P408" s="977"/>
      <c r="Q408" s="977"/>
      <c r="R408" s="977"/>
      <c r="S408" s="977"/>
      <c r="T408" s="977"/>
      <c r="U408" s="977"/>
      <c r="V408" s="977"/>
      <c r="W408" s="977"/>
      <c r="X408" s="978"/>
      <c r="Y408" s="977"/>
      <c r="Z408" s="977"/>
      <c r="AA408" s="978"/>
      <c r="AB408" s="977"/>
      <c r="AC408" s="977"/>
      <c r="AD408" s="977"/>
      <c r="AE408" s="977"/>
      <c r="AF408" s="977"/>
      <c r="AG408" s="977"/>
    </row>
    <row r="409" spans="1:33" x14ac:dyDescent="0.2">
      <c r="A409" s="977"/>
      <c r="B409" s="977"/>
      <c r="C409" s="977"/>
      <c r="D409" s="977"/>
      <c r="E409" s="977"/>
      <c r="F409" s="977"/>
      <c r="G409" s="977"/>
      <c r="H409" s="977"/>
      <c r="I409" s="145"/>
      <c r="J409" s="145"/>
      <c r="K409" s="977"/>
      <c r="L409" s="977"/>
      <c r="M409" s="977"/>
      <c r="N409" s="977"/>
      <c r="O409" s="977"/>
      <c r="P409" s="977"/>
      <c r="Q409" s="977"/>
      <c r="R409" s="977"/>
      <c r="S409" s="977"/>
      <c r="T409" s="977"/>
      <c r="U409" s="977"/>
      <c r="V409" s="977"/>
      <c r="W409" s="977"/>
      <c r="X409" s="978"/>
      <c r="Y409" s="977"/>
      <c r="Z409" s="977"/>
      <c r="AA409" s="978"/>
      <c r="AB409" s="977"/>
      <c r="AC409" s="977"/>
      <c r="AD409" s="977"/>
      <c r="AE409" s="977"/>
      <c r="AF409" s="977"/>
      <c r="AG409" s="977"/>
    </row>
    <row r="410" spans="1:33" x14ac:dyDescent="0.2">
      <c r="A410" s="977"/>
      <c r="B410" s="977"/>
      <c r="C410" s="977"/>
      <c r="D410" s="977"/>
      <c r="E410" s="977"/>
      <c r="F410" s="977"/>
      <c r="G410" s="977"/>
      <c r="H410" s="977"/>
      <c r="I410" s="145"/>
      <c r="J410" s="145"/>
      <c r="K410" s="977"/>
      <c r="L410" s="977"/>
      <c r="M410" s="977"/>
      <c r="N410" s="977"/>
      <c r="O410" s="977"/>
      <c r="P410" s="977"/>
      <c r="Q410" s="977"/>
      <c r="R410" s="977"/>
      <c r="S410" s="977"/>
      <c r="T410" s="977"/>
      <c r="U410" s="977"/>
      <c r="V410" s="977"/>
      <c r="W410" s="977"/>
      <c r="X410" s="978"/>
      <c r="Y410" s="977"/>
      <c r="Z410" s="977"/>
      <c r="AA410" s="978"/>
      <c r="AB410" s="977"/>
      <c r="AC410" s="977"/>
      <c r="AD410" s="977"/>
      <c r="AE410" s="977"/>
      <c r="AF410" s="977"/>
      <c r="AG410" s="977"/>
    </row>
    <row r="411" spans="1:33" x14ac:dyDescent="0.2">
      <c r="A411" s="977"/>
      <c r="B411" s="977"/>
      <c r="C411" s="977"/>
      <c r="D411" s="977"/>
      <c r="E411" s="977"/>
      <c r="F411" s="977"/>
      <c r="G411" s="977"/>
      <c r="H411" s="977"/>
      <c r="I411" s="145"/>
      <c r="J411" s="145"/>
      <c r="K411" s="977"/>
      <c r="L411" s="977"/>
      <c r="M411" s="977"/>
      <c r="N411" s="977"/>
      <c r="O411" s="977"/>
      <c r="P411" s="977"/>
      <c r="Q411" s="977"/>
      <c r="R411" s="977"/>
      <c r="S411" s="977"/>
      <c r="T411" s="977"/>
      <c r="U411" s="977"/>
      <c r="V411" s="977"/>
      <c r="W411" s="977"/>
      <c r="X411" s="978"/>
      <c r="Y411" s="977"/>
      <c r="Z411" s="977"/>
      <c r="AA411" s="978"/>
      <c r="AB411" s="977"/>
      <c r="AC411" s="977"/>
      <c r="AD411" s="977"/>
      <c r="AE411" s="977"/>
      <c r="AF411" s="977"/>
      <c r="AG411" s="977"/>
    </row>
    <row r="412" spans="1:33" x14ac:dyDescent="0.2">
      <c r="A412" s="977"/>
      <c r="B412" s="977"/>
      <c r="C412" s="977"/>
      <c r="D412" s="977"/>
      <c r="E412" s="977"/>
      <c r="F412" s="977"/>
      <c r="G412" s="977"/>
      <c r="H412" s="977"/>
      <c r="I412" s="145"/>
      <c r="J412" s="145"/>
      <c r="K412" s="977"/>
      <c r="L412" s="977"/>
      <c r="M412" s="977"/>
      <c r="N412" s="977"/>
      <c r="O412" s="977"/>
      <c r="P412" s="977"/>
      <c r="Q412" s="977"/>
      <c r="R412" s="977"/>
      <c r="S412" s="977"/>
      <c r="T412" s="977"/>
      <c r="U412" s="977"/>
      <c r="V412" s="977"/>
      <c r="W412" s="977"/>
      <c r="X412" s="978"/>
      <c r="Y412" s="977"/>
      <c r="Z412" s="977"/>
      <c r="AA412" s="978"/>
      <c r="AB412" s="977"/>
      <c r="AC412" s="977"/>
      <c r="AD412" s="977"/>
      <c r="AE412" s="977"/>
      <c r="AF412" s="977"/>
      <c r="AG412" s="977"/>
    </row>
    <row r="413" spans="1:33" x14ac:dyDescent="0.2">
      <c r="A413" s="977"/>
      <c r="B413" s="977"/>
      <c r="C413" s="977"/>
      <c r="D413" s="977"/>
      <c r="E413" s="977"/>
      <c r="F413" s="977"/>
      <c r="G413" s="977"/>
      <c r="H413" s="977"/>
      <c r="I413" s="145"/>
      <c r="J413" s="145"/>
      <c r="K413" s="977"/>
      <c r="L413" s="977"/>
      <c r="M413" s="977"/>
      <c r="N413" s="977"/>
      <c r="O413" s="977"/>
      <c r="P413" s="977"/>
      <c r="Q413" s="977"/>
      <c r="R413" s="977"/>
      <c r="S413" s="977"/>
      <c r="T413" s="977"/>
      <c r="U413" s="977"/>
      <c r="V413" s="977"/>
      <c r="W413" s="977"/>
      <c r="X413" s="978"/>
      <c r="Y413" s="977"/>
      <c r="Z413" s="977"/>
      <c r="AA413" s="978"/>
      <c r="AB413" s="977"/>
      <c r="AC413" s="977"/>
      <c r="AD413" s="977"/>
      <c r="AE413" s="977"/>
      <c r="AF413" s="977"/>
      <c r="AG413" s="977"/>
    </row>
    <row r="414" spans="1:33" x14ac:dyDescent="0.2">
      <c r="A414" s="977"/>
      <c r="B414" s="977"/>
      <c r="C414" s="977"/>
      <c r="D414" s="977"/>
      <c r="E414" s="977"/>
      <c r="F414" s="977"/>
      <c r="G414" s="977"/>
      <c r="H414" s="977"/>
      <c r="I414" s="145"/>
      <c r="J414" s="145"/>
      <c r="K414" s="977"/>
      <c r="L414" s="977"/>
      <c r="M414" s="977"/>
      <c r="N414" s="977"/>
      <c r="O414" s="977"/>
      <c r="P414" s="977"/>
      <c r="Q414" s="977"/>
      <c r="R414" s="977"/>
      <c r="S414" s="977"/>
      <c r="T414" s="977"/>
      <c r="U414" s="977"/>
      <c r="V414" s="977"/>
      <c r="W414" s="977"/>
      <c r="X414" s="978"/>
      <c r="Y414" s="977"/>
      <c r="Z414" s="977"/>
      <c r="AA414" s="978"/>
      <c r="AB414" s="977"/>
      <c r="AC414" s="977"/>
      <c r="AD414" s="977"/>
      <c r="AE414" s="977"/>
      <c r="AF414" s="977"/>
      <c r="AG414" s="977"/>
    </row>
    <row r="415" spans="1:33" x14ac:dyDescent="0.2">
      <c r="A415" s="977"/>
      <c r="B415" s="977"/>
      <c r="C415" s="977"/>
      <c r="D415" s="977"/>
      <c r="E415" s="977"/>
      <c r="F415" s="977"/>
      <c r="G415" s="977"/>
      <c r="H415" s="977"/>
      <c r="I415" s="145"/>
      <c r="J415" s="145"/>
      <c r="K415" s="977"/>
      <c r="L415" s="977"/>
      <c r="M415" s="977"/>
      <c r="N415" s="977"/>
      <c r="O415" s="977"/>
      <c r="P415" s="977"/>
      <c r="Q415" s="977"/>
      <c r="R415" s="977"/>
      <c r="S415" s="977"/>
      <c r="T415" s="977"/>
      <c r="U415" s="977"/>
      <c r="V415" s="977"/>
      <c r="W415" s="977"/>
      <c r="X415" s="978"/>
      <c r="Y415" s="977"/>
      <c r="Z415" s="977"/>
      <c r="AA415" s="978"/>
      <c r="AB415" s="977"/>
      <c r="AC415" s="977"/>
      <c r="AD415" s="977"/>
      <c r="AE415" s="977"/>
      <c r="AF415" s="977"/>
      <c r="AG415" s="977"/>
    </row>
    <row r="416" spans="1:33" x14ac:dyDescent="0.2">
      <c r="A416" s="977"/>
      <c r="B416" s="977"/>
      <c r="C416" s="977"/>
      <c r="D416" s="977"/>
      <c r="E416" s="977"/>
      <c r="F416" s="977"/>
      <c r="G416" s="977"/>
      <c r="H416" s="977"/>
      <c r="I416" s="145"/>
      <c r="J416" s="145"/>
      <c r="K416" s="977"/>
      <c r="L416" s="977"/>
      <c r="M416" s="977"/>
      <c r="N416" s="977"/>
      <c r="O416" s="977"/>
      <c r="P416" s="977"/>
      <c r="Q416" s="977"/>
      <c r="R416" s="977"/>
      <c r="S416" s="977"/>
      <c r="T416" s="977"/>
      <c r="U416" s="977"/>
      <c r="V416" s="977"/>
      <c r="W416" s="977"/>
      <c r="X416" s="978"/>
      <c r="Y416" s="977"/>
      <c r="Z416" s="977"/>
      <c r="AA416" s="978"/>
      <c r="AB416" s="977"/>
      <c r="AC416" s="977"/>
      <c r="AD416" s="977"/>
      <c r="AE416" s="977"/>
      <c r="AF416" s="977"/>
      <c r="AG416" s="977"/>
    </row>
    <row r="417" spans="1:33" x14ac:dyDescent="0.2">
      <c r="A417" s="977"/>
      <c r="B417" s="977"/>
      <c r="C417" s="977"/>
      <c r="D417" s="977"/>
      <c r="E417" s="977"/>
      <c r="F417" s="977"/>
      <c r="G417" s="977"/>
      <c r="H417" s="977"/>
      <c r="I417" s="145"/>
      <c r="J417" s="145"/>
      <c r="K417" s="977"/>
      <c r="L417" s="977"/>
      <c r="M417" s="977"/>
      <c r="N417" s="977"/>
      <c r="O417" s="977"/>
      <c r="P417" s="977"/>
      <c r="Q417" s="977"/>
      <c r="R417" s="977"/>
      <c r="S417" s="977"/>
      <c r="T417" s="977"/>
      <c r="U417" s="977"/>
      <c r="V417" s="977"/>
      <c r="W417" s="977"/>
      <c r="X417" s="978"/>
      <c r="Y417" s="977"/>
      <c r="Z417" s="977"/>
      <c r="AA417" s="978"/>
      <c r="AB417" s="977"/>
      <c r="AC417" s="977"/>
      <c r="AD417" s="977"/>
      <c r="AE417" s="977"/>
      <c r="AF417" s="977"/>
      <c r="AG417" s="977"/>
    </row>
    <row r="418" spans="1:33" x14ac:dyDescent="0.2">
      <c r="A418" s="977"/>
      <c r="B418" s="977"/>
      <c r="C418" s="977"/>
      <c r="D418" s="977"/>
      <c r="E418" s="977"/>
      <c r="F418" s="977"/>
      <c r="G418" s="977"/>
      <c r="H418" s="977"/>
      <c r="I418" s="145"/>
      <c r="J418" s="145"/>
      <c r="K418" s="977"/>
      <c r="L418" s="977"/>
      <c r="M418" s="977"/>
      <c r="N418" s="977"/>
      <c r="O418" s="977"/>
      <c r="P418" s="977"/>
      <c r="Q418" s="977"/>
      <c r="R418" s="977"/>
      <c r="S418" s="977"/>
      <c r="T418" s="977"/>
      <c r="U418" s="977"/>
      <c r="V418" s="977"/>
      <c r="W418" s="977"/>
      <c r="X418" s="978"/>
      <c r="Y418" s="977"/>
      <c r="Z418" s="977"/>
      <c r="AA418" s="978"/>
      <c r="AB418" s="977"/>
      <c r="AC418" s="977"/>
      <c r="AD418" s="977"/>
      <c r="AE418" s="977"/>
      <c r="AF418" s="977"/>
      <c r="AG418" s="977"/>
    </row>
    <row r="419" spans="1:33" x14ac:dyDescent="0.2">
      <c r="A419" s="977"/>
      <c r="B419" s="977"/>
      <c r="C419" s="977"/>
      <c r="D419" s="977"/>
      <c r="E419" s="977"/>
      <c r="F419" s="977"/>
      <c r="G419" s="977"/>
      <c r="H419" s="977"/>
      <c r="I419" s="145"/>
      <c r="J419" s="145"/>
      <c r="K419" s="977"/>
      <c r="L419" s="977"/>
      <c r="M419" s="977"/>
      <c r="N419" s="977"/>
      <c r="O419" s="977"/>
      <c r="P419" s="977"/>
      <c r="Q419" s="977"/>
      <c r="R419" s="977"/>
      <c r="S419" s="977"/>
      <c r="T419" s="977"/>
      <c r="U419" s="977"/>
      <c r="V419" s="977"/>
      <c r="W419" s="977"/>
      <c r="X419" s="978"/>
      <c r="Y419" s="977"/>
      <c r="Z419" s="977"/>
      <c r="AA419" s="978"/>
      <c r="AB419" s="977"/>
      <c r="AC419" s="977"/>
      <c r="AD419" s="977"/>
      <c r="AE419" s="977"/>
      <c r="AF419" s="977"/>
      <c r="AG419" s="977"/>
    </row>
    <row r="420" spans="1:33" x14ac:dyDescent="0.2">
      <c r="A420" s="977"/>
      <c r="B420" s="977"/>
      <c r="C420" s="977"/>
      <c r="D420" s="977"/>
      <c r="E420" s="977"/>
      <c r="F420" s="977"/>
      <c r="G420" s="977"/>
      <c r="H420" s="977"/>
      <c r="I420" s="145"/>
      <c r="J420" s="145"/>
      <c r="K420" s="977"/>
      <c r="L420" s="977"/>
      <c r="M420" s="977"/>
      <c r="N420" s="977"/>
      <c r="O420" s="977"/>
      <c r="P420" s="977"/>
      <c r="Q420" s="977"/>
      <c r="R420" s="977"/>
      <c r="S420" s="977"/>
      <c r="T420" s="977"/>
      <c r="U420" s="977"/>
      <c r="V420" s="977"/>
      <c r="W420" s="977"/>
      <c r="X420" s="978"/>
      <c r="Y420" s="977"/>
      <c r="Z420" s="977"/>
      <c r="AA420" s="978"/>
      <c r="AB420" s="977"/>
      <c r="AC420" s="977"/>
      <c r="AD420" s="977"/>
      <c r="AE420" s="977"/>
      <c r="AF420" s="977"/>
      <c r="AG420" s="977"/>
    </row>
    <row r="421" spans="1:33" x14ac:dyDescent="0.2">
      <c r="A421" s="977"/>
      <c r="B421" s="977"/>
      <c r="C421" s="977"/>
      <c r="D421" s="977"/>
      <c r="E421" s="977"/>
      <c r="F421" s="977"/>
      <c r="G421" s="977"/>
      <c r="H421" s="977"/>
      <c r="I421" s="145"/>
      <c r="J421" s="145"/>
      <c r="K421" s="977"/>
      <c r="L421" s="977"/>
      <c r="M421" s="977"/>
      <c r="N421" s="977"/>
      <c r="O421" s="977"/>
      <c r="P421" s="977"/>
      <c r="Q421" s="977"/>
      <c r="R421" s="977"/>
      <c r="S421" s="977"/>
      <c r="T421" s="977"/>
      <c r="U421" s="977"/>
      <c r="V421" s="977"/>
      <c r="W421" s="977"/>
      <c r="X421" s="978"/>
      <c r="Y421" s="977"/>
      <c r="Z421" s="977"/>
      <c r="AA421" s="978"/>
      <c r="AB421" s="977"/>
      <c r="AC421" s="977"/>
      <c r="AD421" s="977"/>
      <c r="AE421" s="977"/>
      <c r="AF421" s="977"/>
      <c r="AG421" s="977"/>
    </row>
    <row r="422" spans="1:33" x14ac:dyDescent="0.2">
      <c r="A422" s="977"/>
      <c r="B422" s="977"/>
      <c r="C422" s="977"/>
      <c r="D422" s="977"/>
      <c r="E422" s="977"/>
      <c r="F422" s="977"/>
      <c r="G422" s="977"/>
      <c r="H422" s="977"/>
      <c r="I422" s="145"/>
      <c r="J422" s="145"/>
      <c r="K422" s="977"/>
      <c r="L422" s="977"/>
      <c r="M422" s="977"/>
      <c r="N422" s="977"/>
      <c r="O422" s="977"/>
      <c r="P422" s="977"/>
      <c r="Q422" s="977"/>
      <c r="R422" s="977"/>
      <c r="S422" s="977"/>
      <c r="T422" s="977"/>
      <c r="U422" s="977"/>
      <c r="V422" s="977"/>
      <c r="W422" s="977"/>
      <c r="X422" s="978"/>
      <c r="Y422" s="977"/>
      <c r="Z422" s="977"/>
      <c r="AA422" s="978"/>
      <c r="AB422" s="977"/>
      <c r="AC422" s="977"/>
      <c r="AD422" s="977"/>
      <c r="AE422" s="977"/>
      <c r="AF422" s="977"/>
      <c r="AG422" s="977"/>
    </row>
    <row r="423" spans="1:33" x14ac:dyDescent="0.2">
      <c r="A423" s="977"/>
      <c r="B423" s="977"/>
      <c r="C423" s="977"/>
      <c r="D423" s="977"/>
      <c r="E423" s="977"/>
      <c r="F423" s="977"/>
      <c r="G423" s="977"/>
      <c r="H423" s="977"/>
      <c r="I423" s="145"/>
      <c r="J423" s="145"/>
      <c r="K423" s="977"/>
      <c r="L423" s="977"/>
      <c r="M423" s="977"/>
      <c r="N423" s="977"/>
      <c r="O423" s="977"/>
      <c r="P423" s="977"/>
      <c r="Q423" s="977"/>
      <c r="R423" s="977"/>
      <c r="S423" s="977"/>
      <c r="T423" s="977"/>
      <c r="U423" s="977"/>
      <c r="V423" s="977"/>
      <c r="W423" s="977"/>
      <c r="X423" s="978"/>
      <c r="Y423" s="977"/>
      <c r="Z423" s="977"/>
      <c r="AA423" s="978"/>
      <c r="AB423" s="977"/>
      <c r="AC423" s="977"/>
      <c r="AD423" s="977"/>
      <c r="AE423" s="977"/>
      <c r="AF423" s="977"/>
      <c r="AG423" s="977"/>
    </row>
    <row r="424" spans="1:33" x14ac:dyDescent="0.2">
      <c r="A424" s="977"/>
      <c r="B424" s="977"/>
      <c r="C424" s="977"/>
      <c r="D424" s="977"/>
      <c r="E424" s="977"/>
      <c r="F424" s="977"/>
      <c r="G424" s="977"/>
      <c r="H424" s="977"/>
      <c r="I424" s="145"/>
      <c r="J424" s="145"/>
      <c r="K424" s="977"/>
      <c r="L424" s="977"/>
      <c r="M424" s="977"/>
      <c r="N424" s="977"/>
      <c r="O424" s="977"/>
      <c r="P424" s="977"/>
      <c r="Q424" s="977"/>
      <c r="R424" s="977"/>
      <c r="S424" s="977"/>
      <c r="T424" s="977"/>
      <c r="U424" s="977"/>
      <c r="V424" s="977"/>
      <c r="W424" s="977"/>
      <c r="X424" s="978"/>
      <c r="Y424" s="977"/>
      <c r="Z424" s="977"/>
      <c r="AA424" s="978"/>
      <c r="AB424" s="977"/>
      <c r="AC424" s="977"/>
      <c r="AD424" s="977"/>
      <c r="AE424" s="977"/>
      <c r="AF424" s="977"/>
      <c r="AG424" s="977"/>
    </row>
    <row r="425" spans="1:33" x14ac:dyDescent="0.2">
      <c r="A425" s="977"/>
      <c r="B425" s="977"/>
      <c r="C425" s="977"/>
      <c r="D425" s="977"/>
      <c r="E425" s="977"/>
      <c r="F425" s="977"/>
      <c r="G425" s="977"/>
      <c r="H425" s="977"/>
      <c r="I425" s="145"/>
      <c r="J425" s="145"/>
      <c r="K425" s="977"/>
      <c r="L425" s="977"/>
      <c r="M425" s="977"/>
      <c r="N425" s="977"/>
      <c r="O425" s="977"/>
      <c r="P425" s="977"/>
      <c r="Q425" s="977"/>
      <c r="R425" s="977"/>
      <c r="S425" s="977"/>
      <c r="T425" s="977"/>
      <c r="U425" s="977"/>
      <c r="V425" s="977"/>
      <c r="W425" s="977"/>
      <c r="X425" s="978"/>
      <c r="Y425" s="977"/>
      <c r="Z425" s="977"/>
      <c r="AA425" s="978"/>
      <c r="AB425" s="977"/>
      <c r="AC425" s="977"/>
      <c r="AD425" s="977"/>
      <c r="AE425" s="977"/>
      <c r="AF425" s="977"/>
      <c r="AG425" s="977"/>
    </row>
    <row r="426" spans="1:33" x14ac:dyDescent="0.2">
      <c r="A426" s="977"/>
      <c r="B426" s="977"/>
      <c r="C426" s="977"/>
      <c r="D426" s="977"/>
      <c r="E426" s="977"/>
      <c r="F426" s="977"/>
      <c r="G426" s="977"/>
      <c r="H426" s="977"/>
      <c r="I426" s="145"/>
      <c r="J426" s="145"/>
      <c r="K426" s="977"/>
      <c r="L426" s="977"/>
      <c r="M426" s="977"/>
      <c r="N426" s="977"/>
      <c r="O426" s="977"/>
      <c r="P426" s="977"/>
      <c r="Q426" s="977"/>
      <c r="R426" s="977"/>
      <c r="S426" s="977"/>
      <c r="T426" s="977"/>
      <c r="U426" s="977"/>
      <c r="V426" s="977"/>
      <c r="W426" s="977"/>
      <c r="X426" s="978"/>
      <c r="Y426" s="977"/>
      <c r="Z426" s="977"/>
      <c r="AA426" s="978"/>
      <c r="AB426" s="977"/>
      <c r="AC426" s="977"/>
      <c r="AD426" s="977"/>
      <c r="AE426" s="977"/>
      <c r="AF426" s="977"/>
      <c r="AG426" s="977"/>
    </row>
    <row r="427" spans="1:33" x14ac:dyDescent="0.2">
      <c r="A427" s="977"/>
      <c r="B427" s="977"/>
      <c r="C427" s="977"/>
      <c r="D427" s="977"/>
      <c r="E427" s="977"/>
      <c r="F427" s="977"/>
      <c r="G427" s="977"/>
      <c r="H427" s="977"/>
      <c r="I427" s="145"/>
      <c r="J427" s="145"/>
      <c r="K427" s="977"/>
      <c r="L427" s="977"/>
      <c r="M427" s="977"/>
      <c r="N427" s="977"/>
      <c r="O427" s="977"/>
      <c r="P427" s="977"/>
      <c r="Q427" s="977"/>
      <c r="R427" s="977"/>
      <c r="S427" s="977"/>
      <c r="T427" s="977"/>
      <c r="U427" s="977"/>
      <c r="V427" s="977"/>
      <c r="W427" s="977"/>
      <c r="X427" s="978"/>
      <c r="Y427" s="977"/>
      <c r="Z427" s="977"/>
      <c r="AA427" s="978"/>
      <c r="AB427" s="977"/>
      <c r="AC427" s="977"/>
      <c r="AD427" s="977"/>
      <c r="AE427" s="977"/>
      <c r="AF427" s="977"/>
      <c r="AG427" s="977"/>
    </row>
    <row r="428" spans="1:33" x14ac:dyDescent="0.2">
      <c r="A428" s="977"/>
      <c r="B428" s="977"/>
      <c r="C428" s="977"/>
      <c r="D428" s="977"/>
      <c r="E428" s="977"/>
      <c r="F428" s="977"/>
      <c r="G428" s="977"/>
      <c r="H428" s="977"/>
      <c r="I428" s="145"/>
      <c r="J428" s="145"/>
      <c r="K428" s="977"/>
      <c r="L428" s="977"/>
      <c r="M428" s="977"/>
      <c r="N428" s="977"/>
      <c r="O428" s="977"/>
      <c r="P428" s="977"/>
      <c r="Q428" s="977"/>
      <c r="R428" s="977"/>
      <c r="S428" s="977"/>
      <c r="T428" s="977"/>
      <c r="U428" s="977"/>
      <c r="V428" s="977"/>
      <c r="W428" s="977"/>
      <c r="X428" s="978"/>
      <c r="Y428" s="977"/>
      <c r="Z428" s="977"/>
      <c r="AA428" s="978"/>
      <c r="AB428" s="977"/>
      <c r="AC428" s="977"/>
      <c r="AD428" s="977"/>
      <c r="AE428" s="977"/>
      <c r="AF428" s="977"/>
      <c r="AG428" s="977"/>
    </row>
    <row r="429" spans="1:33" x14ac:dyDescent="0.2">
      <c r="A429" s="977"/>
      <c r="B429" s="977"/>
      <c r="C429" s="977"/>
      <c r="D429" s="977"/>
      <c r="E429" s="977"/>
      <c r="F429" s="977"/>
      <c r="G429" s="977"/>
      <c r="H429" s="977"/>
      <c r="I429" s="145"/>
      <c r="J429" s="145"/>
      <c r="K429" s="977"/>
      <c r="L429" s="977"/>
      <c r="M429" s="977"/>
      <c r="N429" s="977"/>
      <c r="O429" s="977"/>
      <c r="P429" s="977"/>
      <c r="Q429" s="977"/>
      <c r="R429" s="977"/>
      <c r="S429" s="977"/>
      <c r="T429" s="977"/>
      <c r="U429" s="977"/>
      <c r="V429" s="977"/>
      <c r="W429" s="977"/>
      <c r="X429" s="978"/>
      <c r="Y429" s="977"/>
      <c r="Z429" s="977"/>
      <c r="AA429" s="978"/>
      <c r="AB429" s="977"/>
      <c r="AC429" s="977"/>
      <c r="AD429" s="977"/>
      <c r="AE429" s="977"/>
      <c r="AF429" s="977"/>
      <c r="AG429" s="977"/>
    </row>
    <row r="430" spans="1:33" x14ac:dyDescent="0.2">
      <c r="A430" s="977"/>
      <c r="B430" s="977"/>
      <c r="C430" s="977"/>
      <c r="D430" s="977"/>
      <c r="E430" s="977"/>
      <c r="F430" s="977"/>
      <c r="G430" s="977"/>
      <c r="H430" s="977"/>
      <c r="I430" s="145"/>
      <c r="J430" s="145"/>
      <c r="K430" s="977"/>
      <c r="L430" s="977"/>
      <c r="M430" s="977"/>
      <c r="N430" s="977"/>
      <c r="O430" s="977"/>
      <c r="P430" s="977"/>
      <c r="Q430" s="977"/>
      <c r="R430" s="977"/>
      <c r="S430" s="977"/>
      <c r="T430" s="977"/>
      <c r="U430" s="977"/>
      <c r="V430" s="977"/>
      <c r="W430" s="977"/>
      <c r="X430" s="978"/>
      <c r="Y430" s="977"/>
      <c r="Z430" s="977"/>
      <c r="AA430" s="978"/>
      <c r="AB430" s="977"/>
      <c r="AC430" s="977"/>
      <c r="AD430" s="977"/>
      <c r="AE430" s="977"/>
      <c r="AF430" s="977"/>
      <c r="AG430" s="977"/>
    </row>
    <row r="431" spans="1:33" x14ac:dyDescent="0.2">
      <c r="A431" s="977"/>
      <c r="B431" s="977"/>
      <c r="C431" s="977"/>
      <c r="D431" s="977"/>
      <c r="E431" s="977"/>
      <c r="F431" s="977"/>
      <c r="G431" s="977"/>
      <c r="H431" s="977"/>
      <c r="I431" s="145"/>
      <c r="J431" s="145"/>
      <c r="K431" s="977"/>
      <c r="L431" s="977"/>
      <c r="M431" s="977"/>
      <c r="N431" s="977"/>
      <c r="O431" s="977"/>
      <c r="P431" s="977"/>
      <c r="Q431" s="977"/>
      <c r="R431" s="977"/>
      <c r="S431" s="977"/>
      <c r="T431" s="977"/>
      <c r="U431" s="977"/>
      <c r="V431" s="977"/>
      <c r="W431" s="977"/>
      <c r="X431" s="978"/>
      <c r="Y431" s="977"/>
      <c r="Z431" s="977"/>
      <c r="AA431" s="978"/>
      <c r="AB431" s="977"/>
      <c r="AC431" s="977"/>
      <c r="AD431" s="977"/>
      <c r="AE431" s="977"/>
      <c r="AF431" s="977"/>
      <c r="AG431" s="977"/>
    </row>
    <row r="432" spans="1:33" x14ac:dyDescent="0.2">
      <c r="A432" s="977"/>
      <c r="B432" s="977"/>
      <c r="C432" s="977"/>
      <c r="D432" s="977"/>
      <c r="E432" s="977"/>
      <c r="F432" s="977"/>
      <c r="G432" s="977"/>
      <c r="H432" s="977"/>
      <c r="I432" s="145"/>
      <c r="J432" s="145"/>
      <c r="K432" s="977"/>
      <c r="L432" s="977"/>
      <c r="M432" s="977"/>
      <c r="N432" s="977"/>
      <c r="O432" s="977"/>
      <c r="P432" s="977"/>
      <c r="Q432" s="977"/>
      <c r="R432" s="977"/>
      <c r="S432" s="977"/>
      <c r="T432" s="977"/>
      <c r="U432" s="977"/>
      <c r="V432" s="977"/>
      <c r="W432" s="977"/>
      <c r="X432" s="978"/>
      <c r="Y432" s="977"/>
      <c r="Z432" s="977"/>
      <c r="AA432" s="978"/>
      <c r="AB432" s="977"/>
      <c r="AC432" s="977"/>
      <c r="AD432" s="977"/>
      <c r="AE432" s="977"/>
      <c r="AF432" s="977"/>
      <c r="AG432" s="977"/>
    </row>
    <row r="433" spans="1:33" x14ac:dyDescent="0.2">
      <c r="A433" s="977"/>
      <c r="B433" s="977"/>
      <c r="C433" s="977"/>
      <c r="D433" s="977"/>
      <c r="E433" s="977"/>
      <c r="F433" s="977"/>
      <c r="G433" s="977"/>
      <c r="H433" s="977"/>
      <c r="I433" s="145"/>
      <c r="J433" s="145"/>
      <c r="K433" s="977"/>
      <c r="L433" s="977"/>
      <c r="M433" s="977"/>
      <c r="N433" s="977"/>
      <c r="O433" s="977"/>
      <c r="P433" s="977"/>
      <c r="Q433" s="977"/>
      <c r="R433" s="977"/>
      <c r="S433" s="977"/>
      <c r="T433" s="977"/>
      <c r="U433" s="977"/>
      <c r="V433" s="977"/>
      <c r="W433" s="977"/>
      <c r="X433" s="978"/>
      <c r="Y433" s="977"/>
      <c r="Z433" s="977"/>
      <c r="AA433" s="978"/>
      <c r="AB433" s="977"/>
      <c r="AC433" s="977"/>
      <c r="AD433" s="977"/>
      <c r="AE433" s="977"/>
      <c r="AF433" s="977"/>
      <c r="AG433" s="977"/>
    </row>
    <row r="434" spans="1:33" x14ac:dyDescent="0.2">
      <c r="A434" s="977"/>
      <c r="B434" s="977"/>
      <c r="C434" s="977"/>
      <c r="D434" s="977"/>
      <c r="E434" s="977"/>
      <c r="F434" s="977"/>
      <c r="G434" s="977"/>
      <c r="H434" s="977"/>
      <c r="I434" s="145"/>
      <c r="J434" s="145"/>
      <c r="K434" s="977"/>
      <c r="L434" s="977"/>
      <c r="M434" s="977"/>
      <c r="N434" s="977"/>
      <c r="O434" s="977"/>
      <c r="P434" s="977"/>
      <c r="Q434" s="977"/>
      <c r="R434" s="977"/>
      <c r="S434" s="977"/>
      <c r="T434" s="977"/>
      <c r="U434" s="977"/>
      <c r="V434" s="977"/>
      <c r="W434" s="977"/>
      <c r="X434" s="978"/>
      <c r="Y434" s="977"/>
      <c r="Z434" s="977"/>
      <c r="AA434" s="978"/>
      <c r="AB434" s="977"/>
      <c r="AC434" s="977"/>
      <c r="AD434" s="977"/>
      <c r="AE434" s="977"/>
      <c r="AF434" s="977"/>
      <c r="AG434" s="977"/>
    </row>
    <row r="435" spans="1:33" x14ac:dyDescent="0.2">
      <c r="A435" s="977"/>
      <c r="B435" s="977"/>
      <c r="C435" s="977"/>
      <c r="D435" s="977"/>
      <c r="E435" s="977"/>
      <c r="F435" s="977"/>
      <c r="G435" s="977"/>
      <c r="H435" s="977"/>
      <c r="I435" s="145"/>
      <c r="J435" s="145"/>
      <c r="K435" s="977"/>
      <c r="L435" s="977"/>
      <c r="M435" s="977"/>
      <c r="N435" s="977"/>
      <c r="O435" s="977"/>
      <c r="P435" s="977"/>
      <c r="Q435" s="977"/>
      <c r="R435" s="977"/>
      <c r="S435" s="977"/>
      <c r="T435" s="977"/>
      <c r="U435" s="977"/>
      <c r="V435" s="977"/>
      <c r="W435" s="977"/>
      <c r="X435" s="978"/>
      <c r="Y435" s="977"/>
      <c r="Z435" s="977"/>
      <c r="AA435" s="978"/>
      <c r="AB435" s="977"/>
      <c r="AC435" s="977"/>
      <c r="AD435" s="977"/>
      <c r="AE435" s="977"/>
      <c r="AF435" s="977"/>
      <c r="AG435" s="977"/>
    </row>
    <row r="436" spans="1:33" x14ac:dyDescent="0.2">
      <c r="A436" s="977"/>
      <c r="B436" s="977"/>
      <c r="C436" s="977"/>
      <c r="D436" s="977"/>
      <c r="E436" s="977"/>
      <c r="F436" s="977"/>
      <c r="G436" s="977"/>
      <c r="H436" s="977"/>
      <c r="I436" s="145"/>
      <c r="J436" s="145"/>
      <c r="K436" s="977"/>
      <c r="L436" s="977"/>
      <c r="M436" s="977"/>
      <c r="N436" s="977"/>
      <c r="O436" s="977"/>
      <c r="P436" s="977"/>
      <c r="Q436" s="977"/>
      <c r="R436" s="977"/>
      <c r="S436" s="977"/>
      <c r="T436" s="977"/>
      <c r="U436" s="977"/>
      <c r="V436" s="977"/>
      <c r="W436" s="977"/>
      <c r="X436" s="978"/>
      <c r="Y436" s="977"/>
      <c r="Z436" s="977"/>
      <c r="AA436" s="978"/>
      <c r="AB436" s="977"/>
      <c r="AC436" s="977"/>
      <c r="AD436" s="977"/>
      <c r="AE436" s="977"/>
      <c r="AF436" s="977"/>
      <c r="AG436" s="977"/>
    </row>
    <row r="437" spans="1:33" x14ac:dyDescent="0.2">
      <c r="A437" s="977"/>
      <c r="B437" s="977"/>
      <c r="C437" s="977"/>
      <c r="D437" s="977"/>
      <c r="E437" s="977"/>
      <c r="F437" s="977"/>
      <c r="G437" s="977"/>
      <c r="H437" s="977"/>
      <c r="I437" s="145"/>
      <c r="J437" s="145"/>
      <c r="K437" s="977"/>
      <c r="L437" s="977"/>
      <c r="M437" s="977"/>
      <c r="N437" s="977"/>
      <c r="O437" s="977"/>
      <c r="P437" s="977"/>
      <c r="Q437" s="977"/>
      <c r="R437" s="977"/>
      <c r="S437" s="977"/>
      <c r="T437" s="977"/>
      <c r="U437" s="977"/>
      <c r="V437" s="977"/>
      <c r="W437" s="977"/>
      <c r="X437" s="978"/>
      <c r="Y437" s="977"/>
      <c r="Z437" s="977"/>
      <c r="AA437" s="978"/>
      <c r="AB437" s="977"/>
      <c r="AC437" s="977"/>
      <c r="AD437" s="977"/>
      <c r="AE437" s="977"/>
      <c r="AF437" s="977"/>
      <c r="AG437" s="977"/>
    </row>
    <row r="438" spans="1:33" x14ac:dyDescent="0.2">
      <c r="A438" s="977"/>
      <c r="B438" s="977"/>
      <c r="C438" s="977"/>
      <c r="D438" s="977"/>
      <c r="E438" s="977"/>
      <c r="F438" s="977"/>
      <c r="G438" s="977"/>
      <c r="H438" s="977"/>
      <c r="I438" s="145"/>
      <c r="J438" s="145"/>
      <c r="K438" s="977"/>
      <c r="L438" s="977"/>
      <c r="M438" s="977"/>
      <c r="N438" s="977"/>
      <c r="O438" s="977"/>
      <c r="P438" s="977"/>
      <c r="Q438" s="977"/>
      <c r="R438" s="977"/>
      <c r="S438" s="977"/>
      <c r="T438" s="977"/>
      <c r="U438" s="977"/>
      <c r="V438" s="977"/>
      <c r="W438" s="977"/>
      <c r="X438" s="978"/>
      <c r="Y438" s="977"/>
      <c r="Z438" s="977"/>
      <c r="AA438" s="978"/>
      <c r="AB438" s="977"/>
      <c r="AC438" s="977"/>
      <c r="AD438" s="977"/>
      <c r="AE438" s="977"/>
      <c r="AF438" s="977"/>
      <c r="AG438" s="977"/>
    </row>
    <row r="439" spans="1:33" x14ac:dyDescent="0.2">
      <c r="A439" s="977"/>
      <c r="B439" s="977"/>
      <c r="C439" s="977"/>
      <c r="D439" s="977"/>
      <c r="E439" s="977"/>
      <c r="F439" s="977"/>
      <c r="G439" s="977"/>
      <c r="H439" s="977"/>
      <c r="I439" s="145"/>
      <c r="J439" s="145"/>
      <c r="K439" s="977"/>
      <c r="L439" s="977"/>
      <c r="M439" s="977"/>
      <c r="N439" s="977"/>
      <c r="O439" s="977"/>
      <c r="P439" s="977"/>
      <c r="Q439" s="977"/>
      <c r="R439" s="977"/>
      <c r="S439" s="977"/>
      <c r="T439" s="977"/>
      <c r="U439" s="977"/>
      <c r="V439" s="977"/>
      <c r="W439" s="977"/>
      <c r="X439" s="978"/>
      <c r="Y439" s="977"/>
      <c r="Z439" s="977"/>
      <c r="AA439" s="978"/>
      <c r="AB439" s="977"/>
      <c r="AC439" s="977"/>
      <c r="AD439" s="977"/>
      <c r="AE439" s="977"/>
      <c r="AF439" s="977"/>
      <c r="AG439" s="977"/>
    </row>
    <row r="440" spans="1:33" x14ac:dyDescent="0.2">
      <c r="A440" s="977"/>
      <c r="B440" s="977"/>
      <c r="C440" s="977"/>
      <c r="D440" s="977"/>
      <c r="E440" s="977"/>
      <c r="F440" s="977"/>
      <c r="G440" s="977"/>
      <c r="H440" s="977"/>
      <c r="I440" s="145"/>
      <c r="J440" s="145"/>
      <c r="K440" s="977"/>
      <c r="L440" s="977"/>
      <c r="M440" s="977"/>
      <c r="N440" s="977"/>
      <c r="O440" s="977"/>
      <c r="P440" s="977"/>
      <c r="Q440" s="977"/>
      <c r="R440" s="977"/>
      <c r="S440" s="977"/>
      <c r="T440" s="977"/>
      <c r="U440" s="977"/>
      <c r="V440" s="977"/>
      <c r="W440" s="977"/>
      <c r="X440" s="978"/>
      <c r="Y440" s="977"/>
      <c r="Z440" s="977"/>
      <c r="AA440" s="978"/>
      <c r="AB440" s="977"/>
      <c r="AC440" s="977"/>
      <c r="AD440" s="977"/>
      <c r="AE440" s="977"/>
      <c r="AF440" s="977"/>
      <c r="AG440" s="977"/>
    </row>
    <row r="441" spans="1:33" x14ac:dyDescent="0.2">
      <c r="A441" s="977"/>
      <c r="B441" s="977"/>
      <c r="C441" s="977"/>
      <c r="D441" s="977"/>
      <c r="E441" s="977"/>
      <c r="F441" s="977"/>
      <c r="G441" s="977"/>
      <c r="H441" s="977"/>
      <c r="I441" s="145"/>
      <c r="J441" s="145"/>
      <c r="K441" s="977"/>
      <c r="L441" s="977"/>
      <c r="M441" s="977"/>
      <c r="N441" s="977"/>
      <c r="O441" s="977"/>
      <c r="P441" s="977"/>
      <c r="Q441" s="977"/>
      <c r="R441" s="977"/>
      <c r="S441" s="977"/>
      <c r="T441" s="977"/>
      <c r="U441" s="977"/>
      <c r="V441" s="977"/>
      <c r="W441" s="977"/>
      <c r="X441" s="978"/>
      <c r="Y441" s="977"/>
      <c r="Z441" s="977"/>
      <c r="AA441" s="978"/>
      <c r="AB441" s="977"/>
      <c r="AC441" s="977"/>
      <c r="AD441" s="977"/>
      <c r="AE441" s="977"/>
      <c r="AF441" s="977"/>
      <c r="AG441" s="977"/>
    </row>
    <row r="442" spans="1:33" x14ac:dyDescent="0.2">
      <c r="A442" s="977"/>
      <c r="B442" s="977"/>
      <c r="C442" s="977"/>
      <c r="D442" s="977"/>
      <c r="E442" s="977"/>
      <c r="F442" s="977"/>
      <c r="G442" s="977"/>
      <c r="H442" s="977"/>
      <c r="I442" s="145"/>
      <c r="J442" s="145"/>
      <c r="K442" s="977"/>
      <c r="L442" s="977"/>
      <c r="M442" s="977"/>
      <c r="N442" s="977"/>
      <c r="O442" s="977"/>
      <c r="P442" s="977"/>
      <c r="Q442" s="977"/>
      <c r="R442" s="977"/>
      <c r="S442" s="977"/>
      <c r="T442" s="977"/>
      <c r="U442" s="977"/>
      <c r="V442" s="977"/>
      <c r="W442" s="977"/>
      <c r="X442" s="978"/>
      <c r="Y442" s="977"/>
      <c r="Z442" s="977"/>
      <c r="AA442" s="978"/>
      <c r="AB442" s="977"/>
      <c r="AC442" s="977"/>
      <c r="AD442" s="977"/>
      <c r="AE442" s="977"/>
      <c r="AF442" s="977"/>
      <c r="AG442" s="977"/>
    </row>
    <row r="443" spans="1:33" x14ac:dyDescent="0.2">
      <c r="A443" s="977"/>
      <c r="B443" s="977"/>
      <c r="C443" s="977"/>
      <c r="D443" s="977"/>
      <c r="E443" s="977"/>
      <c r="F443" s="977"/>
      <c r="G443" s="977"/>
      <c r="H443" s="977"/>
      <c r="I443" s="145"/>
      <c r="J443" s="145"/>
      <c r="K443" s="977"/>
      <c r="L443" s="977"/>
      <c r="M443" s="977"/>
      <c r="N443" s="977"/>
      <c r="O443" s="977"/>
      <c r="P443" s="977"/>
      <c r="Q443" s="977"/>
      <c r="R443" s="977"/>
      <c r="S443" s="977"/>
      <c r="T443" s="977"/>
      <c r="U443" s="977"/>
      <c r="V443" s="977"/>
      <c r="W443" s="977"/>
      <c r="X443" s="978"/>
      <c r="Y443" s="977"/>
      <c r="Z443" s="977"/>
      <c r="AA443" s="978"/>
      <c r="AB443" s="977"/>
      <c r="AC443" s="977"/>
      <c r="AD443" s="977"/>
      <c r="AE443" s="977"/>
      <c r="AF443" s="977"/>
      <c r="AG443" s="977"/>
    </row>
    <row r="444" spans="1:33" x14ac:dyDescent="0.2">
      <c r="A444" s="977"/>
      <c r="B444" s="977"/>
      <c r="C444" s="977"/>
      <c r="D444" s="977"/>
      <c r="E444" s="977"/>
      <c r="F444" s="977"/>
      <c r="G444" s="977"/>
      <c r="H444" s="977"/>
      <c r="I444" s="145"/>
      <c r="J444" s="145"/>
      <c r="K444" s="977"/>
      <c r="L444" s="977"/>
      <c r="M444" s="977"/>
      <c r="N444" s="977"/>
      <c r="O444" s="977"/>
      <c r="P444" s="977"/>
      <c r="Q444" s="977"/>
      <c r="R444" s="977"/>
      <c r="S444" s="977"/>
      <c r="T444" s="977"/>
      <c r="U444" s="977"/>
      <c r="V444" s="977"/>
      <c r="W444" s="977"/>
      <c r="X444" s="978"/>
      <c r="Y444" s="977"/>
      <c r="Z444" s="977"/>
      <c r="AA444" s="978"/>
      <c r="AB444" s="977"/>
      <c r="AC444" s="977"/>
      <c r="AD444" s="977"/>
      <c r="AE444" s="977"/>
      <c r="AF444" s="977"/>
      <c r="AG444" s="977"/>
    </row>
    <row r="445" spans="1:33" x14ac:dyDescent="0.2">
      <c r="A445" s="977"/>
      <c r="B445" s="977"/>
      <c r="C445" s="977"/>
      <c r="D445" s="977"/>
      <c r="E445" s="977"/>
      <c r="F445" s="977"/>
      <c r="G445" s="977"/>
      <c r="H445" s="977"/>
      <c r="I445" s="145"/>
      <c r="J445" s="145"/>
      <c r="K445" s="977"/>
      <c r="L445" s="977"/>
      <c r="M445" s="977"/>
      <c r="N445" s="977"/>
      <c r="O445" s="977"/>
      <c r="P445" s="977"/>
      <c r="Q445" s="977"/>
      <c r="R445" s="977"/>
      <c r="S445" s="977"/>
      <c r="T445" s="977"/>
      <c r="U445" s="977"/>
      <c r="V445" s="977"/>
      <c r="W445" s="977"/>
      <c r="X445" s="978"/>
      <c r="Y445" s="977"/>
      <c r="Z445" s="977"/>
      <c r="AA445" s="978"/>
      <c r="AB445" s="977"/>
      <c r="AC445" s="977"/>
      <c r="AD445" s="977"/>
      <c r="AE445" s="977"/>
      <c r="AF445" s="977"/>
      <c r="AG445" s="977"/>
    </row>
    <row r="446" spans="1:33" x14ac:dyDescent="0.2">
      <c r="A446" s="977"/>
      <c r="B446" s="977"/>
      <c r="C446" s="977"/>
      <c r="D446" s="977"/>
      <c r="E446" s="977"/>
      <c r="F446" s="977"/>
      <c r="G446" s="977"/>
      <c r="H446" s="977"/>
      <c r="I446" s="145"/>
      <c r="J446" s="145"/>
      <c r="K446" s="977"/>
      <c r="L446" s="977"/>
      <c r="M446" s="977"/>
      <c r="N446" s="977"/>
      <c r="O446" s="977"/>
      <c r="P446" s="977"/>
      <c r="Q446" s="977"/>
      <c r="R446" s="977"/>
      <c r="S446" s="977"/>
      <c r="T446" s="977"/>
      <c r="U446" s="977"/>
      <c r="V446" s="977"/>
      <c r="W446" s="977"/>
      <c r="X446" s="978"/>
      <c r="Y446" s="977"/>
      <c r="Z446" s="977"/>
      <c r="AA446" s="978"/>
      <c r="AB446" s="977"/>
      <c r="AC446" s="977"/>
      <c r="AD446" s="977"/>
      <c r="AE446" s="977"/>
      <c r="AF446" s="977"/>
      <c r="AG446" s="977"/>
    </row>
    <row r="447" spans="1:33" x14ac:dyDescent="0.2">
      <c r="A447" s="977"/>
      <c r="B447" s="977"/>
      <c r="C447" s="977"/>
      <c r="D447" s="977"/>
      <c r="E447" s="977"/>
      <c r="F447" s="977"/>
      <c r="G447" s="977"/>
      <c r="H447" s="977"/>
      <c r="I447" s="145"/>
      <c r="J447" s="145"/>
      <c r="K447" s="977"/>
      <c r="L447" s="977"/>
      <c r="M447" s="977"/>
      <c r="N447" s="977"/>
      <c r="O447" s="977"/>
      <c r="P447" s="977"/>
      <c r="Q447" s="977"/>
      <c r="R447" s="977"/>
      <c r="S447" s="977"/>
      <c r="T447" s="977"/>
      <c r="U447" s="977"/>
      <c r="V447" s="977"/>
      <c r="W447" s="977"/>
      <c r="X447" s="978"/>
      <c r="Y447" s="977"/>
      <c r="Z447" s="977"/>
      <c r="AA447" s="978"/>
      <c r="AB447" s="977"/>
      <c r="AC447" s="977"/>
      <c r="AD447" s="977"/>
      <c r="AE447" s="977"/>
      <c r="AF447" s="977"/>
      <c r="AG447" s="977"/>
    </row>
    <row r="448" spans="1:33" x14ac:dyDescent="0.2">
      <c r="A448" s="977"/>
      <c r="B448" s="977"/>
      <c r="C448" s="977"/>
      <c r="D448" s="977"/>
      <c r="E448" s="977"/>
      <c r="F448" s="977"/>
      <c r="G448" s="977"/>
      <c r="H448" s="977"/>
      <c r="I448" s="145"/>
      <c r="J448" s="145"/>
      <c r="K448" s="977"/>
      <c r="L448" s="977"/>
      <c r="M448" s="977"/>
      <c r="N448" s="977"/>
      <c r="O448" s="977"/>
      <c r="P448" s="977"/>
      <c r="Q448" s="977"/>
      <c r="R448" s="977"/>
      <c r="S448" s="977"/>
      <c r="T448" s="977"/>
      <c r="U448" s="977"/>
      <c r="V448" s="977"/>
      <c r="W448" s="977"/>
      <c r="X448" s="978"/>
      <c r="Y448" s="977"/>
      <c r="Z448" s="977"/>
      <c r="AA448" s="978"/>
      <c r="AB448" s="977"/>
      <c r="AC448" s="977"/>
      <c r="AD448" s="977"/>
      <c r="AE448" s="977"/>
      <c r="AF448" s="977"/>
      <c r="AG448" s="977"/>
    </row>
    <row r="449" spans="1:33" x14ac:dyDescent="0.2">
      <c r="A449" s="977"/>
      <c r="B449" s="977"/>
      <c r="C449" s="977"/>
      <c r="D449" s="977"/>
      <c r="E449" s="977"/>
      <c r="F449" s="977"/>
      <c r="G449" s="977"/>
      <c r="H449" s="977"/>
      <c r="I449" s="145"/>
      <c r="J449" s="145"/>
      <c r="K449" s="977"/>
      <c r="L449" s="977"/>
      <c r="M449" s="977"/>
      <c r="N449" s="977"/>
      <c r="O449" s="977"/>
      <c r="P449" s="977"/>
      <c r="Q449" s="977"/>
      <c r="R449" s="977"/>
      <c r="S449" s="977"/>
      <c r="T449" s="977"/>
      <c r="U449" s="977"/>
      <c r="V449" s="977"/>
      <c r="W449" s="977"/>
      <c r="X449" s="978"/>
      <c r="Y449" s="977"/>
      <c r="Z449" s="977"/>
      <c r="AA449" s="978"/>
      <c r="AB449" s="977"/>
      <c r="AC449" s="977"/>
      <c r="AD449" s="977"/>
      <c r="AE449" s="977"/>
      <c r="AF449" s="977"/>
      <c r="AG449" s="977"/>
    </row>
    <row r="450" spans="1:33" x14ac:dyDescent="0.2">
      <c r="A450" s="977"/>
      <c r="B450" s="977"/>
      <c r="C450" s="977"/>
      <c r="D450" s="977"/>
      <c r="E450" s="977"/>
      <c r="F450" s="977"/>
      <c r="G450" s="977"/>
      <c r="H450" s="977"/>
      <c r="I450" s="145"/>
      <c r="J450" s="145"/>
      <c r="K450" s="977"/>
      <c r="L450" s="977"/>
      <c r="M450" s="977"/>
      <c r="N450" s="977"/>
      <c r="O450" s="977"/>
      <c r="P450" s="977"/>
      <c r="Q450" s="977"/>
      <c r="R450" s="977"/>
      <c r="S450" s="977"/>
      <c r="T450" s="977"/>
      <c r="U450" s="977"/>
      <c r="V450" s="977"/>
      <c r="W450" s="977"/>
      <c r="X450" s="978"/>
      <c r="Y450" s="977"/>
      <c r="Z450" s="977"/>
      <c r="AA450" s="978"/>
      <c r="AB450" s="977"/>
      <c r="AC450" s="977"/>
      <c r="AD450" s="977"/>
      <c r="AE450" s="977"/>
      <c r="AF450" s="977"/>
      <c r="AG450" s="977"/>
    </row>
    <row r="451" spans="1:33" x14ac:dyDescent="0.2">
      <c r="A451" s="977"/>
      <c r="B451" s="977"/>
      <c r="C451" s="977"/>
      <c r="D451" s="977"/>
      <c r="E451" s="977"/>
      <c r="F451" s="977"/>
      <c r="G451" s="977"/>
      <c r="H451" s="977"/>
      <c r="I451" s="145"/>
      <c r="J451" s="145"/>
      <c r="K451" s="977"/>
      <c r="L451" s="977"/>
      <c r="M451" s="977"/>
      <c r="N451" s="977"/>
      <c r="O451" s="977"/>
      <c r="P451" s="977"/>
      <c r="Q451" s="977"/>
      <c r="R451" s="977"/>
      <c r="S451" s="977"/>
      <c r="T451" s="977"/>
      <c r="U451" s="977"/>
      <c r="V451" s="977"/>
      <c r="W451" s="977"/>
      <c r="X451" s="978"/>
      <c r="Y451" s="977"/>
      <c r="Z451" s="977"/>
      <c r="AA451" s="978"/>
      <c r="AB451" s="977"/>
      <c r="AC451" s="977"/>
      <c r="AD451" s="977"/>
      <c r="AE451" s="977"/>
      <c r="AF451" s="977"/>
      <c r="AG451" s="977"/>
    </row>
    <row r="452" spans="1:33" x14ac:dyDescent="0.2">
      <c r="A452" s="977"/>
      <c r="B452" s="977"/>
      <c r="C452" s="977"/>
      <c r="D452" s="977"/>
      <c r="E452" s="977"/>
      <c r="F452" s="977"/>
      <c r="G452" s="977"/>
      <c r="H452" s="977"/>
      <c r="I452" s="145"/>
      <c r="J452" s="145"/>
      <c r="K452" s="977"/>
      <c r="L452" s="977"/>
      <c r="M452" s="977"/>
      <c r="N452" s="977"/>
      <c r="O452" s="977"/>
      <c r="P452" s="977"/>
      <c r="Q452" s="977"/>
      <c r="R452" s="977"/>
      <c r="S452" s="977"/>
      <c r="T452" s="977"/>
      <c r="U452" s="977"/>
      <c r="V452" s="977"/>
      <c r="W452" s="977"/>
      <c r="X452" s="978"/>
      <c r="Y452" s="977"/>
      <c r="Z452" s="977"/>
      <c r="AA452" s="978"/>
      <c r="AB452" s="977"/>
      <c r="AC452" s="977"/>
      <c r="AD452" s="977"/>
      <c r="AE452" s="977"/>
      <c r="AF452" s="977"/>
      <c r="AG452" s="977"/>
    </row>
    <row r="453" spans="1:33" x14ac:dyDescent="0.2">
      <c r="A453" s="977"/>
      <c r="B453" s="977"/>
      <c r="C453" s="977"/>
      <c r="D453" s="977"/>
      <c r="E453" s="977"/>
      <c r="F453" s="977"/>
      <c r="G453" s="977"/>
      <c r="H453" s="977"/>
      <c r="I453" s="145"/>
      <c r="J453" s="145"/>
      <c r="K453" s="977"/>
      <c r="L453" s="977"/>
      <c r="M453" s="977"/>
      <c r="N453" s="977"/>
      <c r="O453" s="977"/>
      <c r="P453" s="977"/>
      <c r="Q453" s="977"/>
      <c r="R453" s="977"/>
      <c r="S453" s="977"/>
      <c r="T453" s="977"/>
      <c r="U453" s="977"/>
      <c r="V453" s="977"/>
      <c r="W453" s="977"/>
      <c r="X453" s="978"/>
      <c r="Y453" s="977"/>
      <c r="Z453" s="977"/>
      <c r="AA453" s="978"/>
      <c r="AB453" s="977"/>
      <c r="AC453" s="977"/>
      <c r="AD453" s="977"/>
      <c r="AE453" s="977"/>
      <c r="AF453" s="977"/>
      <c r="AG453" s="977"/>
    </row>
    <row r="454" spans="1:33" x14ac:dyDescent="0.2">
      <c r="A454" s="977"/>
      <c r="B454" s="977"/>
      <c r="C454" s="977"/>
      <c r="D454" s="977"/>
      <c r="E454" s="977"/>
      <c r="F454" s="977"/>
      <c r="G454" s="977"/>
      <c r="H454" s="977"/>
      <c r="I454" s="145"/>
      <c r="J454" s="145"/>
      <c r="K454" s="977"/>
      <c r="L454" s="977"/>
      <c r="M454" s="977"/>
      <c r="N454" s="977"/>
      <c r="O454" s="977"/>
      <c r="P454" s="977"/>
      <c r="Q454" s="977"/>
      <c r="R454" s="977"/>
      <c r="S454" s="977"/>
      <c r="T454" s="977"/>
      <c r="U454" s="977"/>
      <c r="V454" s="977"/>
      <c r="W454" s="977"/>
      <c r="X454" s="978"/>
      <c r="Y454" s="977"/>
      <c r="Z454" s="977"/>
      <c r="AA454" s="978"/>
      <c r="AB454" s="977"/>
      <c r="AC454" s="977"/>
      <c r="AD454" s="977"/>
      <c r="AE454" s="977"/>
      <c r="AF454" s="977"/>
      <c r="AG454" s="977"/>
    </row>
    <row r="455" spans="1:33" x14ac:dyDescent="0.2">
      <c r="A455" s="977"/>
      <c r="B455" s="977"/>
      <c r="C455" s="977"/>
      <c r="D455" s="977"/>
      <c r="E455" s="977"/>
      <c r="F455" s="977"/>
      <c r="G455" s="977"/>
      <c r="H455" s="977"/>
      <c r="I455" s="145"/>
      <c r="J455" s="145"/>
      <c r="K455" s="977"/>
      <c r="L455" s="977"/>
      <c r="M455" s="977"/>
      <c r="N455" s="977"/>
      <c r="O455" s="977"/>
      <c r="P455" s="977"/>
      <c r="Q455" s="977"/>
      <c r="R455" s="977"/>
      <c r="S455" s="977"/>
      <c r="T455" s="977"/>
      <c r="U455" s="977"/>
      <c r="V455" s="977"/>
      <c r="W455" s="977"/>
      <c r="X455" s="978"/>
      <c r="Y455" s="977"/>
      <c r="Z455" s="977"/>
      <c r="AA455" s="978"/>
      <c r="AB455" s="977"/>
      <c r="AC455" s="977"/>
      <c r="AD455" s="977"/>
      <c r="AE455" s="977"/>
      <c r="AF455" s="977"/>
      <c r="AG455" s="977"/>
    </row>
    <row r="456" spans="1:33" x14ac:dyDescent="0.2">
      <c r="A456" s="977"/>
      <c r="B456" s="977"/>
      <c r="C456" s="977"/>
      <c r="D456" s="977"/>
      <c r="E456" s="977"/>
      <c r="F456" s="977"/>
      <c r="G456" s="977"/>
      <c r="H456" s="977"/>
      <c r="I456" s="145"/>
      <c r="J456" s="145"/>
      <c r="K456" s="977"/>
      <c r="L456" s="977"/>
      <c r="M456" s="977"/>
      <c r="N456" s="977"/>
      <c r="O456" s="977"/>
      <c r="P456" s="977"/>
      <c r="Q456" s="977"/>
      <c r="R456" s="977"/>
      <c r="S456" s="977"/>
      <c r="T456" s="977"/>
      <c r="U456" s="977"/>
      <c r="V456" s="977"/>
      <c r="W456" s="977"/>
      <c r="X456" s="978"/>
      <c r="Y456" s="977"/>
      <c r="Z456" s="977"/>
      <c r="AA456" s="978"/>
      <c r="AB456" s="977"/>
      <c r="AC456" s="977"/>
      <c r="AD456" s="977"/>
      <c r="AE456" s="977"/>
      <c r="AF456" s="977"/>
      <c r="AG456" s="977"/>
    </row>
    <row r="457" spans="1:33" x14ac:dyDescent="0.2">
      <c r="A457" s="977"/>
      <c r="B457" s="977"/>
      <c r="C457" s="977"/>
      <c r="D457" s="977"/>
      <c r="E457" s="977"/>
      <c r="F457" s="977"/>
      <c r="G457" s="977"/>
      <c r="H457" s="977"/>
      <c r="I457" s="145"/>
      <c r="J457" s="145"/>
      <c r="K457" s="977"/>
      <c r="L457" s="977"/>
      <c r="M457" s="977"/>
      <c r="N457" s="977"/>
      <c r="O457" s="977"/>
      <c r="P457" s="977"/>
      <c r="Q457" s="977"/>
      <c r="R457" s="977"/>
      <c r="S457" s="977"/>
      <c r="T457" s="977"/>
      <c r="U457" s="977"/>
      <c r="V457" s="977"/>
      <c r="W457" s="977"/>
      <c r="X457" s="978"/>
      <c r="Y457" s="977"/>
      <c r="Z457" s="977"/>
      <c r="AA457" s="978"/>
      <c r="AB457" s="977"/>
      <c r="AC457" s="977"/>
      <c r="AD457" s="977"/>
      <c r="AE457" s="977"/>
      <c r="AF457" s="977"/>
      <c r="AG457" s="977"/>
    </row>
    <row r="458" spans="1:33" x14ac:dyDescent="0.2">
      <c r="A458" s="977"/>
      <c r="B458" s="977"/>
      <c r="C458" s="977"/>
      <c r="D458" s="977"/>
      <c r="E458" s="977"/>
      <c r="F458" s="977"/>
      <c r="G458" s="977"/>
      <c r="H458" s="977"/>
      <c r="I458" s="145"/>
      <c r="J458" s="145"/>
      <c r="K458" s="977"/>
      <c r="L458" s="977"/>
      <c r="M458" s="977"/>
      <c r="N458" s="977"/>
      <c r="O458" s="977"/>
      <c r="P458" s="977"/>
      <c r="Q458" s="977"/>
      <c r="R458" s="977"/>
      <c r="S458" s="977"/>
      <c r="T458" s="977"/>
      <c r="U458" s="977"/>
      <c r="V458" s="977"/>
      <c r="W458" s="977"/>
      <c r="X458" s="978"/>
      <c r="Y458" s="977"/>
      <c r="Z458" s="977"/>
      <c r="AA458" s="978"/>
      <c r="AB458" s="977"/>
      <c r="AC458" s="977"/>
      <c r="AD458" s="977"/>
      <c r="AE458" s="977"/>
      <c r="AF458" s="977"/>
      <c r="AG458" s="977"/>
    </row>
    <row r="459" spans="1:33" x14ac:dyDescent="0.2">
      <c r="A459" s="977"/>
      <c r="B459" s="977"/>
      <c r="C459" s="977"/>
      <c r="D459" s="977"/>
      <c r="E459" s="977"/>
      <c r="F459" s="977"/>
      <c r="G459" s="977"/>
      <c r="H459" s="977"/>
      <c r="I459" s="145"/>
      <c r="J459" s="145"/>
      <c r="K459" s="977"/>
      <c r="L459" s="977"/>
      <c r="M459" s="977"/>
      <c r="N459" s="977"/>
      <c r="O459" s="977"/>
      <c r="P459" s="977"/>
      <c r="Q459" s="977"/>
      <c r="R459" s="977"/>
      <c r="S459" s="977"/>
      <c r="T459" s="977"/>
      <c r="U459" s="977"/>
      <c r="V459" s="977"/>
      <c r="W459" s="977"/>
      <c r="X459" s="978"/>
      <c r="Y459" s="977"/>
      <c r="Z459" s="977"/>
      <c r="AA459" s="978"/>
      <c r="AB459" s="977"/>
      <c r="AC459" s="977"/>
      <c r="AD459" s="977"/>
      <c r="AE459" s="977"/>
      <c r="AF459" s="977"/>
      <c r="AG459" s="977"/>
    </row>
    <row r="460" spans="1:33" x14ac:dyDescent="0.2">
      <c r="A460" s="977"/>
      <c r="B460" s="977"/>
      <c r="C460" s="977"/>
      <c r="D460" s="977"/>
      <c r="E460" s="977"/>
      <c r="F460" s="977"/>
      <c r="G460" s="977"/>
      <c r="H460" s="977"/>
      <c r="I460" s="145"/>
      <c r="J460" s="145"/>
      <c r="K460" s="977"/>
      <c r="L460" s="977"/>
      <c r="M460" s="977"/>
      <c r="N460" s="977"/>
      <c r="O460" s="977"/>
      <c r="P460" s="977"/>
      <c r="Q460" s="977"/>
      <c r="R460" s="977"/>
      <c r="S460" s="977"/>
      <c r="T460" s="977"/>
      <c r="U460" s="977"/>
      <c r="V460" s="977"/>
      <c r="W460" s="977"/>
      <c r="X460" s="978"/>
      <c r="Y460" s="977"/>
      <c r="Z460" s="977"/>
      <c r="AA460" s="978"/>
      <c r="AB460" s="977"/>
      <c r="AC460" s="977"/>
      <c r="AD460" s="977"/>
      <c r="AE460" s="977"/>
      <c r="AF460" s="977"/>
      <c r="AG460" s="977"/>
    </row>
    <row r="461" spans="1:33" x14ac:dyDescent="0.2">
      <c r="A461" s="977"/>
      <c r="B461" s="977"/>
      <c r="C461" s="977"/>
      <c r="D461" s="977"/>
      <c r="E461" s="977"/>
      <c r="F461" s="977"/>
      <c r="G461" s="977"/>
      <c r="H461" s="977"/>
      <c r="I461" s="145"/>
      <c r="J461" s="145"/>
      <c r="K461" s="977"/>
      <c r="L461" s="977"/>
      <c r="M461" s="977"/>
      <c r="N461" s="977"/>
      <c r="O461" s="977"/>
      <c r="P461" s="977"/>
      <c r="Q461" s="977"/>
      <c r="R461" s="977"/>
      <c r="S461" s="977"/>
      <c r="T461" s="977"/>
      <c r="U461" s="977"/>
      <c r="V461" s="977"/>
      <c r="W461" s="977"/>
      <c r="X461" s="978"/>
      <c r="Y461" s="977"/>
      <c r="Z461" s="977"/>
      <c r="AA461" s="978"/>
      <c r="AB461" s="977"/>
      <c r="AC461" s="977"/>
      <c r="AD461" s="977"/>
      <c r="AE461" s="977"/>
      <c r="AF461" s="977"/>
      <c r="AG461" s="977"/>
    </row>
    <row r="462" spans="1:33" x14ac:dyDescent="0.2">
      <c r="A462" s="977"/>
      <c r="B462" s="977"/>
      <c r="C462" s="977"/>
      <c r="D462" s="977"/>
      <c r="E462" s="977"/>
      <c r="F462" s="977"/>
      <c r="G462" s="977"/>
      <c r="H462" s="977"/>
      <c r="I462" s="145"/>
      <c r="J462" s="145"/>
      <c r="K462" s="977"/>
      <c r="L462" s="977"/>
      <c r="M462" s="977"/>
      <c r="N462" s="977"/>
      <c r="O462" s="977"/>
      <c r="P462" s="977"/>
      <c r="Q462" s="977"/>
      <c r="R462" s="977"/>
      <c r="S462" s="977"/>
      <c r="T462" s="977"/>
      <c r="U462" s="977"/>
      <c r="V462" s="977"/>
      <c r="W462" s="977"/>
      <c r="X462" s="978"/>
      <c r="Y462" s="977"/>
      <c r="Z462" s="977"/>
      <c r="AA462" s="978"/>
      <c r="AB462" s="977"/>
      <c r="AC462" s="977"/>
      <c r="AD462" s="977"/>
      <c r="AE462" s="977"/>
      <c r="AF462" s="977"/>
      <c r="AG462" s="977"/>
    </row>
    <row r="463" spans="1:33" x14ac:dyDescent="0.2">
      <c r="A463" s="977"/>
      <c r="B463" s="977"/>
      <c r="C463" s="977"/>
      <c r="D463" s="977"/>
      <c r="E463" s="977"/>
      <c r="F463" s="977"/>
      <c r="G463" s="977"/>
      <c r="H463" s="977"/>
      <c r="I463" s="145"/>
      <c r="J463" s="145"/>
      <c r="K463" s="977"/>
      <c r="L463" s="977"/>
      <c r="M463" s="977"/>
      <c r="N463" s="977"/>
      <c r="O463" s="977"/>
      <c r="P463" s="977"/>
      <c r="Q463" s="977"/>
      <c r="R463" s="977"/>
      <c r="S463" s="977"/>
      <c r="T463" s="977"/>
      <c r="U463" s="977"/>
      <c r="V463" s="977"/>
      <c r="W463" s="977"/>
      <c r="X463" s="978"/>
      <c r="Y463" s="977"/>
      <c r="Z463" s="977"/>
      <c r="AA463" s="978"/>
      <c r="AB463" s="977"/>
      <c r="AC463" s="977"/>
      <c r="AD463" s="977"/>
      <c r="AE463" s="977"/>
      <c r="AF463" s="977"/>
      <c r="AG463" s="977"/>
    </row>
    <row r="464" spans="1:33" x14ac:dyDescent="0.2">
      <c r="A464" s="977"/>
      <c r="B464" s="977"/>
      <c r="C464" s="977"/>
      <c r="D464" s="977"/>
      <c r="E464" s="977"/>
      <c r="F464" s="977"/>
      <c r="G464" s="977"/>
      <c r="H464" s="977"/>
      <c r="I464" s="145"/>
      <c r="J464" s="145"/>
      <c r="K464" s="977"/>
      <c r="L464" s="977"/>
      <c r="M464" s="977"/>
      <c r="N464" s="977"/>
      <c r="O464" s="977"/>
      <c r="P464" s="977"/>
      <c r="Q464" s="977"/>
      <c r="R464" s="977"/>
      <c r="S464" s="977"/>
      <c r="T464" s="977"/>
      <c r="U464" s="977"/>
      <c r="V464" s="977"/>
      <c r="W464" s="977"/>
      <c r="X464" s="978"/>
      <c r="Y464" s="977"/>
      <c r="Z464" s="977"/>
      <c r="AA464" s="978"/>
      <c r="AB464" s="977"/>
      <c r="AC464" s="977"/>
      <c r="AD464" s="977"/>
      <c r="AE464" s="977"/>
      <c r="AF464" s="977"/>
      <c r="AG464" s="977"/>
    </row>
    <row r="465" spans="1:33" x14ac:dyDescent="0.2">
      <c r="A465" s="977"/>
      <c r="B465" s="977"/>
      <c r="C465" s="977"/>
      <c r="D465" s="977"/>
      <c r="E465" s="977"/>
      <c r="F465" s="977"/>
      <c r="G465" s="977"/>
      <c r="H465" s="977"/>
      <c r="I465" s="145"/>
      <c r="J465" s="145"/>
      <c r="K465" s="977"/>
      <c r="L465" s="977"/>
      <c r="M465" s="977"/>
      <c r="N465" s="977"/>
      <c r="O465" s="977"/>
      <c r="P465" s="977"/>
      <c r="Q465" s="977"/>
      <c r="R465" s="977"/>
      <c r="S465" s="977"/>
      <c r="T465" s="977"/>
      <c r="U465" s="977"/>
      <c r="V465" s="977"/>
      <c r="W465" s="977"/>
      <c r="X465" s="978"/>
      <c r="Y465" s="977"/>
      <c r="Z465" s="977"/>
      <c r="AA465" s="978"/>
      <c r="AB465" s="977"/>
      <c r="AC465" s="977"/>
      <c r="AD465" s="977"/>
      <c r="AE465" s="977"/>
      <c r="AF465" s="977"/>
      <c r="AG465" s="977"/>
    </row>
    <row r="466" spans="1:33" x14ac:dyDescent="0.2">
      <c r="A466" s="977"/>
      <c r="B466" s="977"/>
      <c r="C466" s="977"/>
      <c r="D466" s="977"/>
      <c r="E466" s="977"/>
      <c r="F466" s="977"/>
      <c r="G466" s="977"/>
      <c r="H466" s="977"/>
      <c r="I466" s="145"/>
      <c r="J466" s="145"/>
      <c r="K466" s="977"/>
      <c r="L466" s="977"/>
      <c r="M466" s="977"/>
      <c r="N466" s="977"/>
      <c r="O466" s="977"/>
      <c r="P466" s="977"/>
      <c r="Q466" s="977"/>
      <c r="R466" s="977"/>
      <c r="S466" s="977"/>
      <c r="T466" s="977"/>
      <c r="U466" s="977"/>
      <c r="V466" s="977"/>
      <c r="W466" s="977"/>
      <c r="X466" s="978"/>
      <c r="Y466" s="977"/>
      <c r="Z466" s="977"/>
      <c r="AA466" s="978"/>
      <c r="AB466" s="977"/>
      <c r="AC466" s="977"/>
      <c r="AD466" s="977"/>
      <c r="AE466" s="977"/>
      <c r="AF466" s="977"/>
      <c r="AG466" s="977"/>
    </row>
    <row r="467" spans="1:33" x14ac:dyDescent="0.2">
      <c r="A467" s="977"/>
      <c r="B467" s="977"/>
      <c r="C467" s="977"/>
      <c r="D467" s="977"/>
      <c r="E467" s="977"/>
      <c r="F467" s="977"/>
      <c r="G467" s="977"/>
      <c r="H467" s="977"/>
      <c r="I467" s="145"/>
      <c r="J467" s="145"/>
      <c r="K467" s="977"/>
      <c r="L467" s="977"/>
      <c r="M467" s="977"/>
      <c r="N467" s="977"/>
      <c r="O467" s="977"/>
      <c r="P467" s="977"/>
      <c r="Q467" s="977"/>
      <c r="R467" s="977"/>
      <c r="S467" s="977"/>
      <c r="T467" s="977"/>
      <c r="U467" s="977"/>
      <c r="V467" s="977"/>
      <c r="W467" s="977"/>
      <c r="X467" s="978"/>
      <c r="Y467" s="977"/>
      <c r="Z467" s="977"/>
      <c r="AA467" s="978"/>
      <c r="AB467" s="977"/>
      <c r="AC467" s="977"/>
      <c r="AD467" s="977"/>
      <c r="AE467" s="977"/>
      <c r="AF467" s="977"/>
      <c r="AG467" s="977"/>
    </row>
    <row r="468" spans="1:33" x14ac:dyDescent="0.2">
      <c r="A468" s="977"/>
      <c r="B468" s="977"/>
      <c r="C468" s="977"/>
      <c r="D468" s="977"/>
      <c r="E468" s="977"/>
      <c r="F468" s="977"/>
      <c r="G468" s="977"/>
      <c r="H468" s="977"/>
      <c r="I468" s="145"/>
      <c r="J468" s="145"/>
      <c r="K468" s="977"/>
      <c r="L468" s="977"/>
      <c r="M468" s="977"/>
      <c r="N468" s="977"/>
      <c r="O468" s="977"/>
      <c r="P468" s="977"/>
      <c r="Q468" s="977"/>
      <c r="R468" s="977"/>
      <c r="S468" s="977"/>
      <c r="T468" s="977"/>
      <c r="U468" s="977"/>
      <c r="V468" s="977"/>
      <c r="W468" s="977"/>
      <c r="X468" s="978"/>
      <c r="Y468" s="977"/>
      <c r="Z468" s="977"/>
      <c r="AA468" s="978"/>
      <c r="AB468" s="977"/>
      <c r="AC468" s="977"/>
      <c r="AD468" s="977"/>
      <c r="AE468" s="977"/>
      <c r="AF468" s="977"/>
      <c r="AG468" s="977"/>
    </row>
    <row r="469" spans="1:33" x14ac:dyDescent="0.2">
      <c r="A469" s="977"/>
      <c r="B469" s="977"/>
      <c r="C469" s="977"/>
      <c r="D469" s="977"/>
      <c r="E469" s="977"/>
      <c r="F469" s="977"/>
      <c r="G469" s="977"/>
      <c r="H469" s="977"/>
      <c r="I469" s="145"/>
      <c r="J469" s="145"/>
      <c r="K469" s="977"/>
      <c r="L469" s="977"/>
      <c r="M469" s="977"/>
      <c r="N469" s="977"/>
      <c r="O469" s="977"/>
      <c r="P469" s="977"/>
      <c r="Q469" s="977"/>
      <c r="R469" s="977"/>
      <c r="S469" s="977"/>
      <c r="T469" s="977"/>
      <c r="U469" s="977"/>
      <c r="V469" s="977"/>
      <c r="W469" s="977"/>
      <c r="X469" s="978"/>
      <c r="Y469" s="977"/>
      <c r="Z469" s="977"/>
      <c r="AA469" s="978"/>
      <c r="AB469" s="977"/>
      <c r="AC469" s="977"/>
      <c r="AD469" s="977"/>
      <c r="AE469" s="977"/>
      <c r="AF469" s="977"/>
      <c r="AG469" s="977"/>
    </row>
    <row r="470" spans="1:33" x14ac:dyDescent="0.2">
      <c r="A470" s="977"/>
      <c r="B470" s="977"/>
      <c r="C470" s="977"/>
      <c r="D470" s="977"/>
      <c r="E470" s="977"/>
      <c r="F470" s="977"/>
      <c r="G470" s="977"/>
      <c r="H470" s="977"/>
      <c r="I470" s="145"/>
      <c r="J470" s="145"/>
      <c r="K470" s="977"/>
      <c r="L470" s="977"/>
      <c r="M470" s="977"/>
      <c r="N470" s="977"/>
      <c r="O470" s="977"/>
      <c r="P470" s="977"/>
      <c r="Q470" s="977"/>
      <c r="R470" s="977"/>
      <c r="S470" s="977"/>
      <c r="T470" s="977"/>
      <c r="U470" s="977"/>
      <c r="V470" s="977"/>
      <c r="W470" s="977"/>
      <c r="X470" s="978"/>
      <c r="Y470" s="977"/>
      <c r="Z470" s="977"/>
      <c r="AA470" s="978"/>
      <c r="AB470" s="977"/>
      <c r="AC470" s="977"/>
      <c r="AD470" s="977"/>
      <c r="AE470" s="977"/>
      <c r="AF470" s="977"/>
      <c r="AG470" s="977"/>
    </row>
    <row r="471" spans="1:33" x14ac:dyDescent="0.2">
      <c r="A471" s="977"/>
      <c r="B471" s="977"/>
      <c r="C471" s="977"/>
      <c r="D471" s="977"/>
      <c r="E471" s="977"/>
      <c r="F471" s="977"/>
      <c r="G471" s="977"/>
      <c r="H471" s="977"/>
      <c r="I471" s="145"/>
      <c r="J471" s="145"/>
      <c r="K471" s="977"/>
      <c r="L471" s="977"/>
      <c r="M471" s="977"/>
      <c r="N471" s="977"/>
      <c r="O471" s="977"/>
      <c r="P471" s="977"/>
      <c r="Q471" s="977"/>
      <c r="R471" s="977"/>
      <c r="S471" s="977"/>
      <c r="T471" s="977"/>
      <c r="U471" s="977"/>
      <c r="V471" s="977"/>
      <c r="W471" s="977"/>
      <c r="X471" s="978"/>
      <c r="Y471" s="977"/>
      <c r="Z471" s="977"/>
      <c r="AA471" s="978"/>
      <c r="AB471" s="977"/>
      <c r="AC471" s="977"/>
      <c r="AD471" s="977"/>
      <c r="AE471" s="977"/>
      <c r="AF471" s="977"/>
      <c r="AG471" s="977"/>
    </row>
    <row r="472" spans="1:33" x14ac:dyDescent="0.2">
      <c r="A472" s="977"/>
      <c r="B472" s="977"/>
      <c r="C472" s="977"/>
      <c r="D472" s="977"/>
      <c r="E472" s="977"/>
      <c r="F472" s="977"/>
      <c r="G472" s="977"/>
      <c r="H472" s="977"/>
      <c r="I472" s="145"/>
      <c r="J472" s="145"/>
      <c r="K472" s="977"/>
      <c r="L472" s="977"/>
      <c r="M472" s="977"/>
      <c r="N472" s="977"/>
      <c r="O472" s="977"/>
      <c r="P472" s="977"/>
      <c r="Q472" s="977"/>
      <c r="R472" s="977"/>
      <c r="S472" s="977"/>
      <c r="T472" s="977"/>
      <c r="U472" s="977"/>
      <c r="V472" s="977"/>
      <c r="W472" s="977"/>
      <c r="X472" s="978"/>
      <c r="Y472" s="977"/>
      <c r="Z472" s="977"/>
      <c r="AA472" s="978"/>
      <c r="AB472" s="977"/>
      <c r="AC472" s="977"/>
      <c r="AD472" s="977"/>
      <c r="AE472" s="977"/>
      <c r="AF472" s="977"/>
      <c r="AG472" s="977"/>
    </row>
    <row r="473" spans="1:33" x14ac:dyDescent="0.2">
      <c r="A473" s="977"/>
      <c r="B473" s="977"/>
      <c r="C473" s="977"/>
      <c r="D473" s="977"/>
      <c r="E473" s="977"/>
      <c r="F473" s="977"/>
      <c r="G473" s="977"/>
      <c r="H473" s="977"/>
      <c r="I473" s="145"/>
      <c r="J473" s="145"/>
      <c r="K473" s="977"/>
      <c r="L473" s="977"/>
      <c r="M473" s="977"/>
      <c r="N473" s="977"/>
      <c r="O473" s="977"/>
      <c r="P473" s="977"/>
      <c r="Q473" s="977"/>
      <c r="R473" s="977"/>
      <c r="S473" s="977"/>
      <c r="T473" s="977"/>
      <c r="U473" s="977"/>
      <c r="V473" s="977"/>
      <c r="W473" s="977"/>
      <c r="X473" s="978"/>
      <c r="Y473" s="977"/>
      <c r="Z473" s="977"/>
      <c r="AA473" s="978"/>
      <c r="AB473" s="977"/>
      <c r="AC473" s="977"/>
      <c r="AD473" s="977"/>
      <c r="AE473" s="977"/>
      <c r="AF473" s="977"/>
      <c r="AG473" s="977"/>
    </row>
    <row r="474" spans="1:33" x14ac:dyDescent="0.2">
      <c r="A474" s="977"/>
      <c r="B474" s="977"/>
      <c r="C474" s="977"/>
      <c r="D474" s="977"/>
      <c r="E474" s="977"/>
      <c r="F474" s="977"/>
      <c r="G474" s="977"/>
      <c r="H474" s="977"/>
      <c r="I474" s="145"/>
      <c r="J474" s="145"/>
      <c r="K474" s="977"/>
      <c r="L474" s="977"/>
      <c r="M474" s="977"/>
      <c r="N474" s="977"/>
      <c r="O474" s="977"/>
      <c r="P474" s="977"/>
      <c r="Q474" s="977"/>
      <c r="R474" s="977"/>
      <c r="S474" s="977"/>
      <c r="T474" s="977"/>
      <c r="U474" s="977"/>
      <c r="V474" s="977"/>
      <c r="W474" s="977"/>
      <c r="X474" s="978"/>
      <c r="Y474" s="977"/>
      <c r="Z474" s="977"/>
      <c r="AA474" s="978"/>
      <c r="AB474" s="977"/>
      <c r="AC474" s="977"/>
      <c r="AD474" s="977"/>
      <c r="AE474" s="977"/>
      <c r="AF474" s="977"/>
      <c r="AG474" s="977"/>
    </row>
    <row r="475" spans="1:33" x14ac:dyDescent="0.2">
      <c r="A475" s="977"/>
      <c r="B475" s="977"/>
      <c r="C475" s="977"/>
      <c r="D475" s="977"/>
      <c r="E475" s="977"/>
      <c r="F475" s="977"/>
      <c r="G475" s="977"/>
      <c r="H475" s="977"/>
      <c r="I475" s="145"/>
      <c r="J475" s="145"/>
      <c r="K475" s="977"/>
      <c r="L475" s="977"/>
      <c r="M475" s="977"/>
      <c r="N475" s="977"/>
      <c r="O475" s="977"/>
      <c r="P475" s="977"/>
      <c r="Q475" s="977"/>
      <c r="R475" s="977"/>
      <c r="S475" s="977"/>
      <c r="T475" s="977"/>
      <c r="U475" s="977"/>
      <c r="V475" s="977"/>
      <c r="W475" s="977"/>
      <c r="X475" s="978"/>
      <c r="Y475" s="977"/>
      <c r="Z475" s="977"/>
      <c r="AA475" s="978"/>
      <c r="AB475" s="977"/>
      <c r="AC475" s="977"/>
      <c r="AD475" s="977"/>
      <c r="AE475" s="977"/>
      <c r="AF475" s="977"/>
      <c r="AG475" s="977"/>
    </row>
    <row r="476" spans="1:33" x14ac:dyDescent="0.2">
      <c r="A476" s="977"/>
      <c r="B476" s="977"/>
      <c r="C476" s="977"/>
      <c r="D476" s="977"/>
      <c r="E476" s="977"/>
      <c r="F476" s="977"/>
      <c r="G476" s="977"/>
      <c r="H476" s="977"/>
      <c r="I476" s="145"/>
      <c r="J476" s="145"/>
      <c r="K476" s="977"/>
      <c r="L476" s="977"/>
      <c r="M476" s="977"/>
      <c r="N476" s="977"/>
      <c r="O476" s="977"/>
      <c r="P476" s="977"/>
      <c r="Q476" s="977"/>
      <c r="R476" s="977"/>
      <c r="S476" s="977"/>
      <c r="T476" s="977"/>
      <c r="U476" s="977"/>
      <c r="V476" s="977"/>
      <c r="W476" s="977"/>
      <c r="X476" s="978"/>
      <c r="Y476" s="977"/>
      <c r="Z476" s="977"/>
      <c r="AA476" s="978"/>
      <c r="AB476" s="977"/>
      <c r="AC476" s="977"/>
      <c r="AD476" s="977"/>
      <c r="AE476" s="977"/>
      <c r="AF476" s="977"/>
      <c r="AG476" s="977"/>
    </row>
    <row r="477" spans="1:33" x14ac:dyDescent="0.2">
      <c r="A477" s="977"/>
      <c r="B477" s="977"/>
      <c r="C477" s="977"/>
      <c r="D477" s="977"/>
      <c r="E477" s="977"/>
      <c r="F477" s="977"/>
      <c r="G477" s="977"/>
      <c r="H477" s="977"/>
      <c r="I477" s="145"/>
      <c r="J477" s="145"/>
      <c r="K477" s="977"/>
      <c r="L477" s="977"/>
      <c r="M477" s="977"/>
      <c r="N477" s="977"/>
      <c r="O477" s="977"/>
      <c r="P477" s="977"/>
      <c r="Q477" s="977"/>
      <c r="R477" s="977"/>
      <c r="S477" s="977"/>
      <c r="T477" s="977"/>
      <c r="U477" s="977"/>
      <c r="V477" s="977"/>
      <c r="W477" s="977"/>
      <c r="X477" s="978"/>
      <c r="Y477" s="977"/>
      <c r="Z477" s="977"/>
      <c r="AA477" s="978"/>
      <c r="AB477" s="977"/>
      <c r="AC477" s="977"/>
      <c r="AD477" s="977"/>
      <c r="AE477" s="977"/>
      <c r="AF477" s="977"/>
      <c r="AG477" s="977"/>
    </row>
    <row r="478" spans="1:33" x14ac:dyDescent="0.2">
      <c r="A478" s="977"/>
      <c r="B478" s="977"/>
      <c r="C478" s="977"/>
      <c r="D478" s="977"/>
      <c r="E478" s="977"/>
      <c r="F478" s="977"/>
      <c r="G478" s="977"/>
      <c r="H478" s="977"/>
      <c r="I478" s="145"/>
      <c r="J478" s="145"/>
      <c r="K478" s="977"/>
      <c r="L478" s="977"/>
      <c r="M478" s="977"/>
      <c r="N478" s="977"/>
      <c r="O478" s="977"/>
      <c r="P478" s="977"/>
      <c r="Q478" s="977"/>
      <c r="R478" s="977"/>
      <c r="S478" s="977"/>
      <c r="T478" s="977"/>
      <c r="U478" s="977"/>
      <c r="V478" s="977"/>
      <c r="W478" s="977"/>
      <c r="X478" s="978"/>
      <c r="Y478" s="977"/>
      <c r="Z478" s="977"/>
      <c r="AA478" s="978"/>
      <c r="AB478" s="977"/>
      <c r="AC478" s="977"/>
      <c r="AD478" s="977"/>
      <c r="AE478" s="977"/>
      <c r="AF478" s="977"/>
      <c r="AG478" s="977"/>
    </row>
    <row r="479" spans="1:33" x14ac:dyDescent="0.2">
      <c r="A479" s="977"/>
      <c r="B479" s="977"/>
      <c r="C479" s="977"/>
      <c r="D479" s="977"/>
      <c r="E479" s="977"/>
      <c r="F479" s="977"/>
      <c r="G479" s="977"/>
      <c r="H479" s="977"/>
      <c r="I479" s="145"/>
      <c r="J479" s="145"/>
      <c r="K479" s="977"/>
      <c r="L479" s="977"/>
      <c r="M479" s="977"/>
      <c r="N479" s="977"/>
      <c r="O479" s="977"/>
      <c r="P479" s="977"/>
      <c r="Q479" s="977"/>
      <c r="R479" s="977"/>
      <c r="S479" s="977"/>
      <c r="T479" s="977"/>
      <c r="U479" s="977"/>
      <c r="V479" s="977"/>
      <c r="W479" s="977"/>
      <c r="X479" s="978"/>
      <c r="Y479" s="977"/>
      <c r="Z479" s="977"/>
      <c r="AA479" s="978"/>
      <c r="AB479" s="977"/>
      <c r="AC479" s="977"/>
      <c r="AD479" s="977"/>
      <c r="AE479" s="977"/>
      <c r="AF479" s="977"/>
      <c r="AG479" s="977"/>
    </row>
    <row r="480" spans="1:33" x14ac:dyDescent="0.2">
      <c r="A480" s="977"/>
      <c r="B480" s="977"/>
      <c r="C480" s="977"/>
      <c r="D480" s="977"/>
      <c r="E480" s="977"/>
      <c r="F480" s="977"/>
      <c r="G480" s="977"/>
      <c r="H480" s="977"/>
      <c r="I480" s="145"/>
      <c r="J480" s="145"/>
      <c r="K480" s="977"/>
      <c r="L480" s="977"/>
      <c r="M480" s="977"/>
      <c r="N480" s="977"/>
      <c r="O480" s="977"/>
      <c r="P480" s="977"/>
      <c r="Q480" s="977"/>
      <c r="R480" s="977"/>
      <c r="S480" s="977"/>
      <c r="T480" s="977"/>
      <c r="U480" s="977"/>
      <c r="V480" s="977"/>
      <c r="W480" s="977"/>
      <c r="X480" s="978"/>
      <c r="Y480" s="977"/>
      <c r="Z480" s="977"/>
      <c r="AA480" s="978"/>
      <c r="AB480" s="977"/>
      <c r="AC480" s="977"/>
      <c r="AD480" s="977"/>
      <c r="AE480" s="977"/>
      <c r="AF480" s="977"/>
      <c r="AG480" s="977"/>
    </row>
    <row r="481" spans="1:33" x14ac:dyDescent="0.2">
      <c r="A481" s="977"/>
      <c r="B481" s="977"/>
      <c r="C481" s="977"/>
      <c r="D481" s="977"/>
      <c r="E481" s="977"/>
      <c r="F481" s="977"/>
      <c r="G481" s="977"/>
      <c r="H481" s="977"/>
      <c r="I481" s="145"/>
      <c r="J481" s="145"/>
      <c r="K481" s="977"/>
      <c r="L481" s="977"/>
      <c r="M481" s="977"/>
      <c r="N481" s="977"/>
      <c r="O481" s="977"/>
      <c r="P481" s="977"/>
      <c r="Q481" s="977"/>
      <c r="R481" s="977"/>
      <c r="S481" s="977"/>
      <c r="T481" s="977"/>
      <c r="U481" s="977"/>
      <c r="V481" s="977"/>
      <c r="W481" s="977"/>
      <c r="X481" s="978"/>
      <c r="Y481" s="977"/>
      <c r="Z481" s="977"/>
      <c r="AA481" s="978"/>
      <c r="AB481" s="977"/>
      <c r="AC481" s="977"/>
      <c r="AD481" s="977"/>
      <c r="AE481" s="977"/>
      <c r="AF481" s="977"/>
      <c r="AG481" s="977"/>
    </row>
    <row r="482" spans="1:33" x14ac:dyDescent="0.2">
      <c r="A482" s="977"/>
      <c r="B482" s="977"/>
      <c r="C482" s="977"/>
      <c r="D482" s="977"/>
      <c r="E482" s="977"/>
      <c r="F482" s="977"/>
      <c r="G482" s="977"/>
      <c r="H482" s="977"/>
      <c r="I482" s="145"/>
      <c r="J482" s="145"/>
      <c r="K482" s="977"/>
      <c r="L482" s="977"/>
      <c r="M482" s="977"/>
      <c r="N482" s="977"/>
      <c r="O482" s="977"/>
      <c r="P482" s="977"/>
      <c r="Q482" s="977"/>
      <c r="R482" s="977"/>
      <c r="S482" s="977"/>
      <c r="T482" s="977"/>
      <c r="U482" s="977"/>
      <c r="V482" s="977"/>
      <c r="W482" s="977"/>
      <c r="X482" s="978"/>
      <c r="Y482" s="977"/>
      <c r="Z482" s="977"/>
      <c r="AA482" s="978"/>
      <c r="AB482" s="977"/>
      <c r="AC482" s="977"/>
      <c r="AD482" s="977"/>
      <c r="AE482" s="977"/>
      <c r="AF482" s="977"/>
      <c r="AG482" s="977"/>
    </row>
    <row r="483" spans="1:33" x14ac:dyDescent="0.2">
      <c r="A483" s="977"/>
      <c r="B483" s="977"/>
      <c r="C483" s="977"/>
      <c r="D483" s="977"/>
      <c r="E483" s="977"/>
      <c r="F483" s="977"/>
      <c r="G483" s="977"/>
      <c r="H483" s="977"/>
      <c r="I483" s="145"/>
      <c r="J483" s="145"/>
      <c r="K483" s="977"/>
      <c r="L483" s="977"/>
      <c r="M483" s="977"/>
      <c r="N483" s="977"/>
      <c r="O483" s="977"/>
      <c r="P483" s="977"/>
      <c r="Q483" s="977"/>
      <c r="R483" s="977"/>
      <c r="S483" s="977"/>
      <c r="T483" s="977"/>
      <c r="U483" s="977"/>
      <c r="V483" s="977"/>
      <c r="W483" s="977"/>
      <c r="X483" s="978"/>
      <c r="Y483" s="977"/>
      <c r="Z483" s="977"/>
      <c r="AA483" s="978"/>
      <c r="AB483" s="977"/>
      <c r="AC483" s="977"/>
      <c r="AD483" s="977"/>
      <c r="AE483" s="977"/>
      <c r="AF483" s="977"/>
      <c r="AG483" s="977"/>
    </row>
    <row r="484" spans="1:33" x14ac:dyDescent="0.2">
      <c r="A484" s="977"/>
      <c r="B484" s="977"/>
      <c r="C484" s="977"/>
      <c r="D484" s="977"/>
      <c r="E484" s="977"/>
      <c r="F484" s="977"/>
      <c r="G484" s="977"/>
      <c r="H484" s="977"/>
      <c r="I484" s="145"/>
      <c r="J484" s="145"/>
      <c r="K484" s="977"/>
      <c r="L484" s="977"/>
      <c r="M484" s="977"/>
      <c r="N484" s="977"/>
      <c r="O484" s="977"/>
      <c r="P484" s="977"/>
      <c r="Q484" s="977"/>
      <c r="R484" s="977"/>
      <c r="S484" s="977"/>
      <c r="T484" s="977"/>
      <c r="U484" s="977"/>
      <c r="V484" s="977"/>
      <c r="W484" s="977"/>
      <c r="X484" s="978"/>
      <c r="Y484" s="977"/>
      <c r="Z484" s="977"/>
      <c r="AA484" s="978"/>
      <c r="AB484" s="977"/>
      <c r="AC484" s="977"/>
      <c r="AD484" s="977"/>
      <c r="AE484" s="977"/>
      <c r="AF484" s="977"/>
      <c r="AG484" s="977"/>
    </row>
    <row r="485" spans="1:33" x14ac:dyDescent="0.2">
      <c r="A485" s="977"/>
      <c r="B485" s="977"/>
      <c r="C485" s="977"/>
      <c r="D485" s="977"/>
      <c r="E485" s="977"/>
      <c r="F485" s="977"/>
      <c r="G485" s="977"/>
      <c r="H485" s="977"/>
      <c r="I485" s="145"/>
      <c r="J485" s="145"/>
      <c r="K485" s="977"/>
      <c r="L485" s="977"/>
      <c r="M485" s="977"/>
      <c r="N485" s="977"/>
      <c r="O485" s="977"/>
      <c r="P485" s="977"/>
      <c r="Q485" s="977"/>
      <c r="R485" s="977"/>
      <c r="S485" s="977"/>
      <c r="T485" s="977"/>
      <c r="U485" s="977"/>
      <c r="V485" s="977"/>
      <c r="W485" s="977"/>
      <c r="X485" s="978"/>
      <c r="Y485" s="977"/>
      <c r="Z485" s="977"/>
      <c r="AA485" s="978"/>
      <c r="AB485" s="977"/>
      <c r="AC485" s="977"/>
      <c r="AD485" s="977"/>
      <c r="AE485" s="977"/>
      <c r="AF485" s="977"/>
      <c r="AG485" s="977"/>
    </row>
    <row r="486" spans="1:33" x14ac:dyDescent="0.2">
      <c r="A486" s="977"/>
      <c r="B486" s="977"/>
      <c r="C486" s="977"/>
      <c r="D486" s="977"/>
      <c r="E486" s="977"/>
      <c r="F486" s="977"/>
      <c r="G486" s="977"/>
      <c r="H486" s="977"/>
      <c r="I486" s="145"/>
      <c r="J486" s="145"/>
      <c r="K486" s="977"/>
      <c r="L486" s="977"/>
      <c r="M486" s="977"/>
      <c r="N486" s="977"/>
      <c r="O486" s="977"/>
      <c r="P486" s="977"/>
      <c r="Q486" s="977"/>
      <c r="R486" s="977"/>
      <c r="S486" s="977"/>
      <c r="T486" s="977"/>
      <c r="U486" s="977"/>
      <c r="V486" s="977"/>
      <c r="W486" s="977"/>
      <c r="X486" s="978"/>
      <c r="Y486" s="977"/>
      <c r="Z486" s="977"/>
      <c r="AA486" s="978"/>
      <c r="AB486" s="977"/>
      <c r="AC486" s="977"/>
      <c r="AD486" s="977"/>
      <c r="AE486" s="977"/>
      <c r="AF486" s="977"/>
      <c r="AG486" s="977"/>
    </row>
    <row r="487" spans="1:33" x14ac:dyDescent="0.2">
      <c r="A487" s="977"/>
      <c r="B487" s="977"/>
      <c r="C487" s="977"/>
      <c r="D487" s="977"/>
      <c r="E487" s="977"/>
      <c r="F487" s="977"/>
      <c r="G487" s="977"/>
      <c r="H487" s="977"/>
      <c r="I487" s="145"/>
      <c r="J487" s="145"/>
      <c r="K487" s="977"/>
      <c r="L487" s="977"/>
      <c r="M487" s="977"/>
      <c r="N487" s="977"/>
      <c r="O487" s="977"/>
      <c r="P487" s="977"/>
      <c r="Q487" s="977"/>
      <c r="R487" s="977"/>
      <c r="S487" s="977"/>
      <c r="T487" s="977"/>
      <c r="U487" s="977"/>
      <c r="V487" s="977"/>
      <c r="W487" s="977"/>
      <c r="X487" s="978"/>
      <c r="Y487" s="977"/>
      <c r="Z487" s="977"/>
      <c r="AA487" s="978"/>
      <c r="AB487" s="977"/>
      <c r="AC487" s="977"/>
      <c r="AD487" s="977"/>
      <c r="AE487" s="977"/>
      <c r="AF487" s="977"/>
      <c r="AG487" s="977"/>
    </row>
    <row r="488" spans="1:33" x14ac:dyDescent="0.2">
      <c r="A488" s="977"/>
      <c r="B488" s="977"/>
      <c r="C488" s="977"/>
      <c r="D488" s="977"/>
      <c r="E488" s="977"/>
      <c r="F488" s="977"/>
      <c r="G488" s="977"/>
      <c r="H488" s="977"/>
      <c r="I488" s="145"/>
      <c r="J488" s="145"/>
      <c r="K488" s="977"/>
      <c r="L488" s="977"/>
      <c r="M488" s="977"/>
      <c r="N488" s="977"/>
      <c r="O488" s="977"/>
      <c r="P488" s="977"/>
      <c r="Q488" s="977"/>
      <c r="R488" s="977"/>
      <c r="S488" s="977"/>
      <c r="T488" s="977"/>
      <c r="U488" s="977"/>
      <c r="V488" s="977"/>
      <c r="W488" s="977"/>
      <c r="X488" s="978"/>
      <c r="Y488" s="977"/>
      <c r="Z488" s="977"/>
      <c r="AA488" s="978"/>
      <c r="AB488" s="977"/>
      <c r="AC488" s="977"/>
      <c r="AD488" s="977"/>
      <c r="AE488" s="977"/>
      <c r="AF488" s="977"/>
      <c r="AG488" s="977"/>
    </row>
    <row r="489" spans="1:33" x14ac:dyDescent="0.2">
      <c r="A489" s="977"/>
      <c r="B489" s="977"/>
      <c r="C489" s="977"/>
      <c r="D489" s="977"/>
      <c r="E489" s="977"/>
      <c r="F489" s="977"/>
      <c r="G489" s="977"/>
      <c r="H489" s="977"/>
      <c r="I489" s="145"/>
      <c r="J489" s="145"/>
      <c r="K489" s="977"/>
      <c r="L489" s="977"/>
      <c r="M489" s="977"/>
      <c r="N489" s="977"/>
      <c r="O489" s="977"/>
      <c r="P489" s="977"/>
      <c r="Q489" s="977"/>
      <c r="R489" s="977"/>
      <c r="S489" s="977"/>
      <c r="T489" s="977"/>
      <c r="U489" s="977"/>
      <c r="V489" s="977"/>
      <c r="W489" s="977"/>
      <c r="X489" s="978"/>
      <c r="Y489" s="977"/>
      <c r="Z489" s="977"/>
      <c r="AA489" s="978"/>
      <c r="AB489" s="977"/>
      <c r="AC489" s="977"/>
      <c r="AD489" s="977"/>
      <c r="AE489" s="977"/>
      <c r="AF489" s="977"/>
      <c r="AG489" s="977"/>
    </row>
    <row r="490" spans="1:33" x14ac:dyDescent="0.2">
      <c r="A490" s="977"/>
      <c r="B490" s="977"/>
      <c r="C490" s="977"/>
      <c r="D490" s="977"/>
      <c r="E490" s="977"/>
      <c r="F490" s="977"/>
      <c r="G490" s="977"/>
      <c r="H490" s="977"/>
      <c r="I490" s="145"/>
      <c r="J490" s="145"/>
      <c r="K490" s="977"/>
      <c r="L490" s="977"/>
      <c r="M490" s="977"/>
      <c r="N490" s="977"/>
      <c r="O490" s="977"/>
      <c r="P490" s="977"/>
      <c r="Q490" s="977"/>
      <c r="R490" s="977"/>
      <c r="S490" s="977"/>
      <c r="T490" s="977"/>
      <c r="U490" s="977"/>
      <c r="V490" s="977"/>
      <c r="W490" s="977"/>
      <c r="X490" s="978"/>
      <c r="Y490" s="977"/>
      <c r="Z490" s="977"/>
      <c r="AA490" s="978"/>
      <c r="AB490" s="977"/>
      <c r="AC490" s="977"/>
      <c r="AD490" s="977"/>
      <c r="AE490" s="977"/>
      <c r="AF490" s="977"/>
      <c r="AG490" s="977"/>
    </row>
    <row r="491" spans="1:33" x14ac:dyDescent="0.2">
      <c r="A491" s="977"/>
      <c r="B491" s="977"/>
      <c r="C491" s="977"/>
      <c r="D491" s="977"/>
      <c r="E491" s="977"/>
      <c r="F491" s="977"/>
      <c r="G491" s="977"/>
      <c r="H491" s="977"/>
      <c r="I491" s="145"/>
      <c r="J491" s="145"/>
      <c r="K491" s="977"/>
      <c r="L491" s="977"/>
      <c r="M491" s="977"/>
      <c r="N491" s="977"/>
      <c r="O491" s="977"/>
      <c r="P491" s="977"/>
      <c r="Q491" s="977"/>
      <c r="R491" s="977"/>
      <c r="S491" s="977"/>
      <c r="T491" s="977"/>
      <c r="U491" s="977"/>
      <c r="V491" s="977"/>
      <c r="W491" s="977"/>
      <c r="X491" s="978"/>
      <c r="Y491" s="977"/>
      <c r="Z491" s="977"/>
      <c r="AA491" s="978"/>
      <c r="AB491" s="977"/>
      <c r="AC491" s="977"/>
      <c r="AD491" s="977"/>
      <c r="AE491" s="977"/>
      <c r="AF491" s="977"/>
      <c r="AG491" s="977"/>
    </row>
    <row r="492" spans="1:33" x14ac:dyDescent="0.2">
      <c r="A492" s="977"/>
      <c r="B492" s="977"/>
      <c r="C492" s="977"/>
      <c r="D492" s="977"/>
      <c r="E492" s="977"/>
      <c r="F492" s="977"/>
      <c r="G492" s="977"/>
      <c r="H492" s="977"/>
      <c r="I492" s="145"/>
      <c r="J492" s="145"/>
      <c r="K492" s="977"/>
      <c r="L492" s="977"/>
      <c r="M492" s="977"/>
      <c r="N492" s="977"/>
      <c r="O492" s="977"/>
      <c r="P492" s="977"/>
      <c r="Q492" s="977"/>
      <c r="R492" s="977"/>
      <c r="S492" s="977"/>
      <c r="T492" s="977"/>
      <c r="U492" s="977"/>
      <c r="V492" s="977"/>
      <c r="W492" s="977"/>
      <c r="X492" s="978"/>
      <c r="Y492" s="977"/>
      <c r="Z492" s="977"/>
      <c r="AA492" s="978"/>
      <c r="AB492" s="977"/>
      <c r="AC492" s="977"/>
      <c r="AD492" s="977"/>
      <c r="AE492" s="977"/>
      <c r="AF492" s="977"/>
      <c r="AG492" s="977"/>
    </row>
    <row r="493" spans="1:33" x14ac:dyDescent="0.2">
      <c r="A493" s="977"/>
      <c r="B493" s="977"/>
      <c r="C493" s="977"/>
      <c r="D493" s="977"/>
      <c r="E493" s="977"/>
      <c r="F493" s="977"/>
      <c r="G493" s="977"/>
      <c r="H493" s="977"/>
      <c r="I493" s="145"/>
      <c r="J493" s="145"/>
      <c r="K493" s="977"/>
      <c r="L493" s="977"/>
      <c r="M493" s="977"/>
      <c r="N493" s="977"/>
      <c r="O493" s="977"/>
      <c r="P493" s="977"/>
      <c r="Q493" s="977"/>
      <c r="R493" s="977"/>
      <c r="S493" s="977"/>
      <c r="T493" s="977"/>
      <c r="U493" s="977"/>
      <c r="V493" s="977"/>
      <c r="W493" s="977"/>
      <c r="X493" s="978"/>
      <c r="Y493" s="977"/>
      <c r="Z493" s="977"/>
      <c r="AA493" s="978"/>
      <c r="AB493" s="977"/>
      <c r="AC493" s="977"/>
      <c r="AD493" s="977"/>
      <c r="AE493" s="977"/>
      <c r="AF493" s="977"/>
      <c r="AG493" s="977"/>
    </row>
    <row r="494" spans="1:33" x14ac:dyDescent="0.2">
      <c r="A494" s="977"/>
      <c r="B494" s="977"/>
      <c r="C494" s="977"/>
      <c r="D494" s="977"/>
      <c r="E494" s="977"/>
      <c r="F494" s="977"/>
      <c r="G494" s="977"/>
      <c r="H494" s="977"/>
      <c r="I494" s="145"/>
      <c r="J494" s="145"/>
      <c r="K494" s="977"/>
      <c r="L494" s="977"/>
      <c r="M494" s="977"/>
      <c r="N494" s="977"/>
      <c r="O494" s="977"/>
      <c r="P494" s="977"/>
      <c r="Q494" s="977"/>
      <c r="R494" s="977"/>
      <c r="S494" s="977"/>
      <c r="T494" s="977"/>
      <c r="U494" s="977"/>
      <c r="V494" s="977"/>
      <c r="W494" s="977"/>
      <c r="X494" s="978"/>
      <c r="Y494" s="977"/>
      <c r="Z494" s="977"/>
      <c r="AA494" s="978"/>
      <c r="AB494" s="977"/>
      <c r="AC494" s="977"/>
      <c r="AD494" s="977"/>
      <c r="AE494" s="977"/>
      <c r="AF494" s="977"/>
      <c r="AG494" s="977"/>
    </row>
    <row r="495" spans="1:33" x14ac:dyDescent="0.2">
      <c r="A495" s="977"/>
      <c r="B495" s="977"/>
      <c r="C495" s="977"/>
      <c r="D495" s="977"/>
      <c r="E495" s="977"/>
      <c r="F495" s="977"/>
      <c r="G495" s="977"/>
      <c r="H495" s="977"/>
      <c r="I495" s="145"/>
      <c r="J495" s="145"/>
      <c r="K495" s="977"/>
      <c r="L495" s="977"/>
      <c r="M495" s="977"/>
      <c r="N495" s="977"/>
      <c r="O495" s="977"/>
      <c r="P495" s="977"/>
      <c r="Q495" s="977"/>
      <c r="R495" s="977"/>
      <c r="S495" s="977"/>
      <c r="T495" s="977"/>
      <c r="U495" s="977"/>
      <c r="V495" s="977"/>
      <c r="W495" s="977"/>
      <c r="X495" s="978"/>
      <c r="Y495" s="977"/>
      <c r="Z495" s="977"/>
      <c r="AA495" s="978"/>
      <c r="AB495" s="977"/>
      <c r="AC495" s="977"/>
      <c r="AD495" s="977"/>
      <c r="AE495" s="977"/>
      <c r="AF495" s="977"/>
      <c r="AG495" s="977"/>
    </row>
    <row r="496" spans="1:33" x14ac:dyDescent="0.2">
      <c r="A496" s="977"/>
      <c r="B496" s="977"/>
      <c r="C496" s="977"/>
      <c r="D496" s="977"/>
      <c r="E496" s="977"/>
      <c r="F496" s="977"/>
      <c r="G496" s="977"/>
      <c r="H496" s="977"/>
      <c r="I496" s="145"/>
      <c r="J496" s="145"/>
      <c r="K496" s="977"/>
      <c r="L496" s="977"/>
      <c r="M496" s="977"/>
      <c r="N496" s="977"/>
      <c r="O496" s="977"/>
      <c r="P496" s="977"/>
      <c r="Q496" s="977"/>
      <c r="R496" s="977"/>
      <c r="S496" s="977"/>
      <c r="T496" s="977"/>
      <c r="U496" s="977"/>
      <c r="V496" s="977"/>
      <c r="W496" s="977"/>
      <c r="X496" s="978"/>
      <c r="Y496" s="977"/>
      <c r="Z496" s="977"/>
      <c r="AA496" s="978"/>
      <c r="AB496" s="977"/>
      <c r="AC496" s="977"/>
      <c r="AD496" s="977"/>
      <c r="AE496" s="977"/>
      <c r="AF496" s="977"/>
      <c r="AG496" s="977"/>
    </row>
    <row r="497" spans="1:33" x14ac:dyDescent="0.2">
      <c r="A497" s="977"/>
      <c r="B497" s="977"/>
      <c r="C497" s="977"/>
      <c r="D497" s="977"/>
      <c r="E497" s="977"/>
      <c r="F497" s="977"/>
      <c r="G497" s="977"/>
      <c r="H497" s="977"/>
      <c r="I497" s="145"/>
      <c r="J497" s="145"/>
      <c r="K497" s="977"/>
      <c r="L497" s="977"/>
      <c r="M497" s="977"/>
      <c r="N497" s="977"/>
      <c r="O497" s="977"/>
      <c r="P497" s="977"/>
      <c r="Q497" s="977"/>
      <c r="R497" s="977"/>
      <c r="S497" s="977"/>
      <c r="T497" s="977"/>
      <c r="U497" s="977"/>
      <c r="V497" s="977"/>
      <c r="W497" s="977"/>
      <c r="X497" s="978"/>
      <c r="Y497" s="977"/>
      <c r="Z497" s="977"/>
      <c r="AA497" s="978"/>
      <c r="AB497" s="977"/>
      <c r="AC497" s="977"/>
      <c r="AD497" s="977"/>
      <c r="AE497" s="977"/>
      <c r="AF497" s="977"/>
      <c r="AG497" s="977"/>
    </row>
    <row r="498" spans="1:33" x14ac:dyDescent="0.2">
      <c r="A498" s="977"/>
      <c r="B498" s="977"/>
      <c r="C498" s="977"/>
      <c r="D498" s="977"/>
      <c r="E498" s="977"/>
      <c r="F498" s="977"/>
      <c r="G498" s="977"/>
      <c r="H498" s="977"/>
      <c r="I498" s="145"/>
      <c r="J498" s="145"/>
      <c r="K498" s="977"/>
      <c r="L498" s="977"/>
      <c r="M498" s="977"/>
      <c r="N498" s="977"/>
      <c r="O498" s="977"/>
      <c r="P498" s="977"/>
      <c r="Q498" s="977"/>
      <c r="R498" s="977"/>
      <c r="S498" s="977"/>
      <c r="T498" s="977"/>
      <c r="U498" s="977"/>
      <c r="V498" s="977"/>
      <c r="W498" s="977"/>
      <c r="X498" s="978"/>
      <c r="Y498" s="977"/>
      <c r="Z498" s="977"/>
      <c r="AA498" s="978"/>
      <c r="AB498" s="977"/>
      <c r="AC498" s="977"/>
      <c r="AD498" s="977"/>
      <c r="AE498" s="977"/>
      <c r="AF498" s="977"/>
      <c r="AG498" s="977"/>
    </row>
    <row r="499" spans="1:33" x14ac:dyDescent="0.2">
      <c r="A499" s="977"/>
      <c r="B499" s="977"/>
      <c r="C499" s="977"/>
      <c r="D499" s="977"/>
      <c r="E499" s="977"/>
      <c r="F499" s="977"/>
      <c r="G499" s="977"/>
      <c r="H499" s="977"/>
      <c r="I499" s="145"/>
      <c r="J499" s="145"/>
      <c r="K499" s="977"/>
      <c r="L499" s="977"/>
      <c r="M499" s="977"/>
      <c r="N499" s="977"/>
      <c r="O499" s="977"/>
      <c r="P499" s="977"/>
      <c r="Q499" s="977"/>
      <c r="R499" s="977"/>
      <c r="S499" s="977"/>
      <c r="T499" s="977"/>
      <c r="U499" s="977"/>
      <c r="V499" s="977"/>
      <c r="W499" s="977"/>
      <c r="X499" s="978"/>
      <c r="Y499" s="977"/>
      <c r="Z499" s="977"/>
      <c r="AA499" s="978"/>
      <c r="AB499" s="977"/>
      <c r="AC499" s="977"/>
      <c r="AD499" s="977"/>
      <c r="AE499" s="977"/>
      <c r="AF499" s="977"/>
      <c r="AG499" s="977"/>
    </row>
    <row r="500" spans="1:33" x14ac:dyDescent="0.2">
      <c r="A500" s="977"/>
      <c r="B500" s="977"/>
      <c r="C500" s="977"/>
      <c r="D500" s="977"/>
      <c r="E500" s="977"/>
      <c r="F500" s="977"/>
      <c r="G500" s="977"/>
      <c r="H500" s="977"/>
      <c r="I500" s="145"/>
      <c r="J500" s="145"/>
      <c r="K500" s="977"/>
      <c r="L500" s="977"/>
      <c r="M500" s="977"/>
      <c r="N500" s="977"/>
      <c r="O500" s="977"/>
      <c r="P500" s="977"/>
      <c r="Q500" s="977"/>
      <c r="R500" s="977"/>
      <c r="S500" s="977"/>
      <c r="T500" s="977"/>
      <c r="U500" s="977"/>
      <c r="V500" s="977"/>
      <c r="W500" s="977"/>
      <c r="X500" s="978"/>
      <c r="Y500" s="977"/>
      <c r="Z500" s="977"/>
      <c r="AA500" s="978"/>
      <c r="AB500" s="977"/>
      <c r="AC500" s="977"/>
      <c r="AD500" s="977"/>
      <c r="AE500" s="977"/>
      <c r="AF500" s="977"/>
      <c r="AG500" s="977"/>
    </row>
    <row r="501" spans="1:33" x14ac:dyDescent="0.2">
      <c r="A501" s="977"/>
      <c r="B501" s="977"/>
      <c r="C501" s="977"/>
      <c r="D501" s="977"/>
      <c r="E501" s="977"/>
      <c r="F501" s="977"/>
      <c r="G501" s="977"/>
      <c r="H501" s="977"/>
      <c r="I501" s="145"/>
      <c r="J501" s="145"/>
      <c r="K501" s="977"/>
      <c r="L501" s="977"/>
      <c r="M501" s="977"/>
      <c r="N501" s="977"/>
      <c r="O501" s="977"/>
      <c r="P501" s="977"/>
      <c r="Q501" s="977"/>
      <c r="R501" s="977"/>
      <c r="S501" s="977"/>
      <c r="T501" s="977"/>
      <c r="U501" s="977"/>
      <c r="V501" s="977"/>
      <c r="W501" s="977"/>
      <c r="X501" s="978"/>
      <c r="Y501" s="977"/>
      <c r="Z501" s="977"/>
      <c r="AA501" s="978"/>
      <c r="AB501" s="977"/>
      <c r="AC501" s="977"/>
      <c r="AD501" s="977"/>
      <c r="AE501" s="977"/>
      <c r="AF501" s="977"/>
      <c r="AG501" s="977"/>
    </row>
    <row r="502" spans="1:33" x14ac:dyDescent="0.2">
      <c r="A502" s="977"/>
      <c r="B502" s="977"/>
      <c r="C502" s="977"/>
      <c r="D502" s="977"/>
      <c r="E502" s="977"/>
      <c r="F502" s="977"/>
      <c r="G502" s="977"/>
      <c r="H502" s="977"/>
      <c r="I502" s="145"/>
      <c r="J502" s="145"/>
      <c r="K502" s="977"/>
      <c r="L502" s="977"/>
      <c r="M502" s="977"/>
      <c r="N502" s="977"/>
      <c r="O502" s="977"/>
      <c r="P502" s="977"/>
      <c r="Q502" s="977"/>
      <c r="R502" s="977"/>
      <c r="S502" s="977"/>
      <c r="T502" s="977"/>
      <c r="U502" s="977"/>
      <c r="V502" s="977"/>
      <c r="W502" s="977"/>
      <c r="X502" s="978"/>
      <c r="Y502" s="977"/>
      <c r="Z502" s="977"/>
      <c r="AA502" s="978"/>
      <c r="AB502" s="977"/>
      <c r="AC502" s="977"/>
      <c r="AD502" s="977"/>
      <c r="AE502" s="977"/>
      <c r="AF502" s="977"/>
      <c r="AG502" s="977"/>
    </row>
    <row r="503" spans="1:33" x14ac:dyDescent="0.2">
      <c r="A503" s="977"/>
      <c r="B503" s="977"/>
      <c r="C503" s="977"/>
      <c r="D503" s="977"/>
      <c r="E503" s="977"/>
      <c r="F503" s="977"/>
      <c r="G503" s="977"/>
      <c r="H503" s="977"/>
      <c r="I503" s="145"/>
      <c r="J503" s="145"/>
      <c r="K503" s="977"/>
      <c r="L503" s="977"/>
      <c r="M503" s="977"/>
      <c r="N503" s="977"/>
      <c r="O503" s="977"/>
      <c r="P503" s="977"/>
      <c r="Q503" s="977"/>
      <c r="R503" s="977"/>
      <c r="S503" s="977"/>
      <c r="T503" s="977"/>
      <c r="U503" s="977"/>
      <c r="V503" s="977"/>
      <c r="W503" s="977"/>
      <c r="X503" s="978"/>
      <c r="Y503" s="977"/>
      <c r="Z503" s="977"/>
      <c r="AA503" s="978"/>
      <c r="AB503" s="977"/>
      <c r="AC503" s="977"/>
      <c r="AD503" s="977"/>
      <c r="AE503" s="977"/>
      <c r="AF503" s="977"/>
      <c r="AG503" s="977"/>
    </row>
    <row r="504" spans="1:33" x14ac:dyDescent="0.2">
      <c r="A504" s="977"/>
      <c r="B504" s="977"/>
      <c r="C504" s="977"/>
      <c r="D504" s="977"/>
      <c r="E504" s="977"/>
      <c r="F504" s="977"/>
      <c r="G504" s="977"/>
      <c r="H504" s="977"/>
      <c r="I504" s="145"/>
      <c r="J504" s="145"/>
      <c r="K504" s="977"/>
      <c r="L504" s="977"/>
      <c r="M504" s="977"/>
      <c r="N504" s="977"/>
      <c r="O504" s="977"/>
      <c r="P504" s="977"/>
      <c r="Q504" s="977"/>
      <c r="R504" s="977"/>
      <c r="S504" s="977"/>
      <c r="T504" s="977"/>
      <c r="U504" s="977"/>
      <c r="V504" s="977"/>
      <c r="W504" s="977"/>
      <c r="X504" s="978"/>
      <c r="Y504" s="977"/>
      <c r="Z504" s="977"/>
      <c r="AA504" s="978"/>
      <c r="AB504" s="977"/>
      <c r="AC504" s="977"/>
      <c r="AD504" s="977"/>
      <c r="AE504" s="977"/>
      <c r="AF504" s="977"/>
      <c r="AG504" s="977"/>
    </row>
    <row r="505" spans="1:33" x14ac:dyDescent="0.2">
      <c r="A505" s="977"/>
      <c r="B505" s="977"/>
      <c r="C505" s="977"/>
      <c r="D505" s="977"/>
      <c r="E505" s="977"/>
      <c r="F505" s="977"/>
      <c r="G505" s="977"/>
      <c r="H505" s="977"/>
      <c r="I505" s="145"/>
      <c r="J505" s="145"/>
      <c r="K505" s="977"/>
      <c r="L505" s="977"/>
      <c r="M505" s="977"/>
      <c r="N505" s="977"/>
      <c r="O505" s="977"/>
      <c r="P505" s="977"/>
      <c r="Q505" s="977"/>
      <c r="R505" s="977"/>
      <c r="S505" s="977"/>
      <c r="T505" s="977"/>
      <c r="U505" s="977"/>
      <c r="V505" s="977"/>
      <c r="W505" s="977"/>
      <c r="X505" s="978"/>
      <c r="Y505" s="977"/>
      <c r="Z505" s="977"/>
      <c r="AA505" s="978"/>
      <c r="AB505" s="977"/>
      <c r="AC505" s="977"/>
      <c r="AD505" s="977"/>
      <c r="AE505" s="977"/>
      <c r="AF505" s="977"/>
      <c r="AG505" s="977"/>
    </row>
    <row r="506" spans="1:33" x14ac:dyDescent="0.2">
      <c r="A506" s="977"/>
      <c r="B506" s="977"/>
      <c r="C506" s="977"/>
      <c r="D506" s="977"/>
      <c r="E506" s="977"/>
      <c r="F506" s="977"/>
      <c r="G506" s="977"/>
      <c r="H506" s="977"/>
      <c r="I506" s="145"/>
      <c r="J506" s="145"/>
      <c r="K506" s="977"/>
      <c r="L506" s="977"/>
      <c r="M506" s="977"/>
      <c r="N506" s="977"/>
      <c r="O506" s="977"/>
      <c r="P506" s="977"/>
      <c r="Q506" s="977"/>
      <c r="R506" s="977"/>
      <c r="S506" s="977"/>
      <c r="T506" s="977"/>
      <c r="U506" s="977"/>
      <c r="V506" s="977"/>
      <c r="W506" s="977"/>
      <c r="X506" s="978"/>
      <c r="Y506" s="977"/>
      <c r="Z506" s="977"/>
      <c r="AA506" s="978"/>
      <c r="AB506" s="977"/>
      <c r="AC506" s="977"/>
      <c r="AD506" s="977"/>
      <c r="AE506" s="977"/>
      <c r="AF506" s="977"/>
      <c r="AG506" s="977"/>
    </row>
    <row r="507" spans="1:33" x14ac:dyDescent="0.2">
      <c r="A507" s="977"/>
      <c r="B507" s="977"/>
      <c r="C507" s="977"/>
      <c r="D507" s="977"/>
      <c r="E507" s="977"/>
      <c r="F507" s="977"/>
      <c r="G507" s="977"/>
      <c r="H507" s="977"/>
      <c r="I507" s="145"/>
      <c r="J507" s="145"/>
      <c r="K507" s="977"/>
      <c r="L507" s="977"/>
      <c r="M507" s="977"/>
      <c r="N507" s="977"/>
      <c r="O507" s="977"/>
      <c r="P507" s="977"/>
      <c r="Q507" s="977"/>
      <c r="R507" s="977"/>
      <c r="S507" s="977"/>
      <c r="T507" s="977"/>
      <c r="U507" s="977"/>
      <c r="V507" s="977"/>
      <c r="W507" s="977"/>
      <c r="X507" s="978"/>
      <c r="Y507" s="977"/>
      <c r="Z507" s="977"/>
      <c r="AA507" s="978"/>
      <c r="AB507" s="977"/>
      <c r="AC507" s="977"/>
      <c r="AD507" s="977"/>
      <c r="AE507" s="977"/>
      <c r="AF507" s="977"/>
      <c r="AG507" s="977"/>
    </row>
    <row r="508" spans="1:33" x14ac:dyDescent="0.2">
      <c r="A508" s="977"/>
      <c r="B508" s="977"/>
      <c r="C508" s="977"/>
      <c r="D508" s="977"/>
      <c r="E508" s="977"/>
      <c r="F508" s="977"/>
      <c r="G508" s="977"/>
      <c r="H508" s="977"/>
      <c r="I508" s="145"/>
      <c r="J508" s="145"/>
      <c r="K508" s="977"/>
      <c r="L508" s="977"/>
      <c r="M508" s="977"/>
      <c r="N508" s="977"/>
      <c r="O508" s="977"/>
      <c r="P508" s="977"/>
      <c r="Q508" s="977"/>
      <c r="R508" s="977"/>
      <c r="S508" s="977"/>
      <c r="T508" s="977"/>
      <c r="U508" s="977"/>
      <c r="V508" s="977"/>
      <c r="W508" s="977"/>
      <c r="X508" s="978"/>
      <c r="Y508" s="977"/>
      <c r="Z508" s="977"/>
      <c r="AA508" s="978"/>
      <c r="AB508" s="977"/>
      <c r="AC508" s="977"/>
      <c r="AD508" s="977"/>
      <c r="AE508" s="977"/>
      <c r="AF508" s="977"/>
      <c r="AG508" s="977"/>
    </row>
    <row r="509" spans="1:33" x14ac:dyDescent="0.2">
      <c r="A509" s="977"/>
      <c r="B509" s="977"/>
      <c r="C509" s="977"/>
      <c r="D509" s="977"/>
      <c r="E509" s="977"/>
      <c r="F509" s="977"/>
      <c r="G509" s="977"/>
      <c r="H509" s="977"/>
      <c r="I509" s="145"/>
      <c r="J509" s="145"/>
      <c r="K509" s="977"/>
      <c r="L509" s="977"/>
      <c r="M509" s="977"/>
      <c r="N509" s="977"/>
      <c r="O509" s="977"/>
      <c r="P509" s="977"/>
      <c r="Q509" s="977"/>
      <c r="R509" s="977"/>
      <c r="S509" s="977"/>
      <c r="T509" s="977"/>
      <c r="U509" s="977"/>
      <c r="V509" s="977"/>
      <c r="W509" s="977"/>
      <c r="X509" s="978"/>
      <c r="Y509" s="977"/>
      <c r="Z509" s="977"/>
      <c r="AA509" s="978"/>
      <c r="AB509" s="977"/>
      <c r="AC509" s="977"/>
      <c r="AD509" s="977"/>
      <c r="AE509" s="977"/>
      <c r="AF509" s="977"/>
      <c r="AG509" s="977"/>
    </row>
    <row r="510" spans="1:33" x14ac:dyDescent="0.2">
      <c r="A510" s="977"/>
      <c r="B510" s="977"/>
      <c r="C510" s="977"/>
      <c r="D510" s="977"/>
      <c r="E510" s="977"/>
      <c r="F510" s="977"/>
      <c r="G510" s="977"/>
      <c r="H510" s="977"/>
      <c r="I510" s="145"/>
      <c r="J510" s="145"/>
      <c r="K510" s="977"/>
      <c r="L510" s="977"/>
      <c r="M510" s="977"/>
      <c r="N510" s="977"/>
      <c r="O510" s="977"/>
      <c r="P510" s="977"/>
      <c r="Q510" s="977"/>
      <c r="R510" s="977"/>
      <c r="S510" s="977"/>
      <c r="T510" s="977"/>
      <c r="U510" s="977"/>
      <c r="V510" s="977"/>
      <c r="W510" s="977"/>
      <c r="X510" s="978"/>
      <c r="Y510" s="977"/>
      <c r="Z510" s="977"/>
      <c r="AA510" s="978"/>
      <c r="AB510" s="977"/>
      <c r="AC510" s="977"/>
      <c r="AD510" s="977"/>
      <c r="AE510" s="977"/>
      <c r="AF510" s="977"/>
      <c r="AG510" s="977"/>
    </row>
    <row r="511" spans="1:33" x14ac:dyDescent="0.2">
      <c r="A511" s="977"/>
      <c r="B511" s="977"/>
      <c r="C511" s="977"/>
      <c r="D511" s="977"/>
      <c r="E511" s="977"/>
      <c r="F511" s="977"/>
      <c r="G511" s="977"/>
      <c r="H511" s="977"/>
      <c r="I511" s="145"/>
      <c r="J511" s="145"/>
      <c r="K511" s="977"/>
      <c r="L511" s="977"/>
      <c r="M511" s="977"/>
      <c r="N511" s="977"/>
      <c r="O511" s="977"/>
      <c r="P511" s="977"/>
      <c r="Q511" s="977"/>
      <c r="R511" s="977"/>
      <c r="S511" s="977"/>
      <c r="T511" s="977"/>
      <c r="U511" s="977"/>
      <c r="V511" s="977"/>
      <c r="W511" s="977"/>
      <c r="X511" s="978"/>
      <c r="Y511" s="977"/>
      <c r="Z511" s="977"/>
      <c r="AA511" s="978"/>
      <c r="AB511" s="977"/>
      <c r="AC511" s="977"/>
      <c r="AD511" s="977"/>
      <c r="AE511" s="977"/>
      <c r="AF511" s="977"/>
      <c r="AG511" s="977"/>
    </row>
    <row r="512" spans="1:33" x14ac:dyDescent="0.2">
      <c r="A512" s="977"/>
      <c r="B512" s="977"/>
      <c r="C512" s="977"/>
      <c r="D512" s="977"/>
      <c r="E512" s="977"/>
      <c r="F512" s="977"/>
      <c r="G512" s="977"/>
      <c r="H512" s="977"/>
      <c r="I512" s="145"/>
      <c r="J512" s="145"/>
      <c r="K512" s="977"/>
      <c r="L512" s="977"/>
      <c r="M512" s="977"/>
      <c r="N512" s="977"/>
      <c r="O512" s="977"/>
      <c r="P512" s="977"/>
      <c r="Q512" s="977"/>
      <c r="R512" s="977"/>
      <c r="S512" s="977"/>
      <c r="T512" s="977"/>
      <c r="U512" s="977"/>
      <c r="V512" s="977"/>
      <c r="W512" s="977"/>
      <c r="X512" s="978"/>
      <c r="Y512" s="977"/>
      <c r="Z512" s="977"/>
      <c r="AA512" s="978"/>
      <c r="AB512" s="977"/>
      <c r="AC512" s="977"/>
      <c r="AD512" s="977"/>
      <c r="AE512" s="977"/>
      <c r="AF512" s="977"/>
      <c r="AG512" s="977"/>
    </row>
    <row r="513" spans="1:33" x14ac:dyDescent="0.2">
      <c r="A513" s="977"/>
      <c r="B513" s="977"/>
      <c r="C513" s="977"/>
      <c r="D513" s="977"/>
      <c r="E513" s="977"/>
      <c r="F513" s="977"/>
      <c r="G513" s="977"/>
      <c r="H513" s="977"/>
      <c r="I513" s="145"/>
      <c r="J513" s="145"/>
      <c r="K513" s="977"/>
      <c r="L513" s="977"/>
      <c r="M513" s="977"/>
      <c r="N513" s="977"/>
      <c r="O513" s="977"/>
      <c r="P513" s="977"/>
      <c r="Q513" s="977"/>
      <c r="R513" s="977"/>
      <c r="S513" s="977"/>
      <c r="T513" s="977"/>
      <c r="U513" s="977"/>
      <c r="V513" s="977"/>
      <c r="W513" s="977"/>
      <c r="X513" s="978"/>
      <c r="Y513" s="977"/>
      <c r="Z513" s="977"/>
      <c r="AA513" s="978"/>
      <c r="AB513" s="977"/>
      <c r="AC513" s="977"/>
      <c r="AD513" s="977"/>
      <c r="AE513" s="977"/>
      <c r="AF513" s="977"/>
      <c r="AG513" s="977"/>
    </row>
    <row r="514" spans="1:33" x14ac:dyDescent="0.2">
      <c r="A514" s="977"/>
      <c r="B514" s="977"/>
      <c r="C514" s="977"/>
      <c r="D514" s="977"/>
      <c r="E514" s="977"/>
      <c r="F514" s="977"/>
      <c r="G514" s="977"/>
      <c r="H514" s="977"/>
      <c r="I514" s="145"/>
      <c r="J514" s="145"/>
      <c r="K514" s="977"/>
      <c r="L514" s="977"/>
      <c r="M514" s="977"/>
      <c r="N514" s="977"/>
      <c r="O514" s="977"/>
      <c r="P514" s="977"/>
      <c r="Q514" s="977"/>
      <c r="R514" s="977"/>
      <c r="S514" s="977"/>
      <c r="T514" s="977"/>
      <c r="U514" s="977"/>
      <c r="V514" s="977"/>
      <c r="W514" s="977"/>
      <c r="X514" s="978"/>
      <c r="Y514" s="977"/>
      <c r="Z514" s="977"/>
      <c r="AA514" s="978"/>
      <c r="AB514" s="977"/>
      <c r="AC514" s="977"/>
      <c r="AD514" s="977"/>
      <c r="AE514" s="977"/>
      <c r="AF514" s="977"/>
      <c r="AG514" s="977"/>
    </row>
    <row r="515" spans="1:33" x14ac:dyDescent="0.2">
      <c r="A515" s="977"/>
      <c r="B515" s="977"/>
      <c r="C515" s="977"/>
      <c r="D515" s="977"/>
      <c r="E515" s="977"/>
      <c r="F515" s="977"/>
      <c r="G515" s="977"/>
      <c r="H515" s="977"/>
      <c r="I515" s="145"/>
      <c r="J515" s="145"/>
      <c r="K515" s="977"/>
      <c r="L515" s="977"/>
      <c r="M515" s="977"/>
      <c r="N515" s="977"/>
      <c r="O515" s="977"/>
      <c r="P515" s="977"/>
      <c r="Q515" s="977"/>
      <c r="R515" s="977"/>
      <c r="S515" s="977"/>
      <c r="T515" s="977"/>
      <c r="U515" s="977"/>
      <c r="V515" s="977"/>
      <c r="W515" s="977"/>
      <c r="X515" s="978"/>
      <c r="Y515" s="977"/>
      <c r="Z515" s="977"/>
      <c r="AA515" s="978"/>
      <c r="AB515" s="977"/>
      <c r="AC515" s="977"/>
      <c r="AD515" s="977"/>
      <c r="AE515" s="977"/>
      <c r="AF515" s="977"/>
      <c r="AG515" s="977"/>
    </row>
    <row r="516" spans="1:33" x14ac:dyDescent="0.2">
      <c r="A516" s="977"/>
      <c r="B516" s="977"/>
      <c r="C516" s="977"/>
      <c r="D516" s="977"/>
      <c r="E516" s="977"/>
      <c r="F516" s="977"/>
      <c r="G516" s="977"/>
      <c r="H516" s="977"/>
      <c r="I516" s="145"/>
      <c r="J516" s="145"/>
      <c r="K516" s="977"/>
      <c r="L516" s="977"/>
      <c r="M516" s="977"/>
      <c r="N516" s="977"/>
      <c r="O516" s="977"/>
      <c r="P516" s="977"/>
      <c r="Q516" s="977"/>
      <c r="R516" s="977"/>
      <c r="S516" s="977"/>
      <c r="T516" s="977"/>
      <c r="U516" s="977"/>
      <c r="V516" s="977"/>
      <c r="W516" s="977"/>
      <c r="X516" s="978"/>
      <c r="Y516" s="977"/>
      <c r="Z516" s="977"/>
      <c r="AA516" s="978"/>
      <c r="AB516" s="977"/>
      <c r="AC516" s="977"/>
      <c r="AD516" s="977"/>
      <c r="AE516" s="977"/>
      <c r="AF516" s="977"/>
      <c r="AG516" s="977"/>
    </row>
    <row r="517" spans="1:33" x14ac:dyDescent="0.2">
      <c r="A517" s="977"/>
      <c r="B517" s="977"/>
      <c r="C517" s="977"/>
      <c r="D517" s="977"/>
      <c r="E517" s="977"/>
      <c r="F517" s="977"/>
      <c r="G517" s="977"/>
      <c r="H517" s="977"/>
      <c r="I517" s="145"/>
      <c r="J517" s="145"/>
      <c r="K517" s="977"/>
      <c r="L517" s="977"/>
      <c r="M517" s="977"/>
      <c r="N517" s="977"/>
      <c r="O517" s="977"/>
      <c r="P517" s="977"/>
      <c r="Q517" s="977"/>
      <c r="R517" s="977"/>
      <c r="S517" s="977"/>
      <c r="T517" s="977"/>
      <c r="U517" s="977"/>
      <c r="V517" s="977"/>
      <c r="W517" s="977"/>
      <c r="X517" s="978"/>
      <c r="Y517" s="977"/>
      <c r="Z517" s="977"/>
      <c r="AA517" s="978"/>
      <c r="AB517" s="977"/>
      <c r="AC517" s="977"/>
      <c r="AD517" s="977"/>
      <c r="AE517" s="977"/>
      <c r="AF517" s="977"/>
      <c r="AG517" s="977"/>
    </row>
    <row r="518" spans="1:33" x14ac:dyDescent="0.2">
      <c r="A518" s="977"/>
      <c r="B518" s="977"/>
      <c r="C518" s="977"/>
      <c r="D518" s="977"/>
      <c r="E518" s="977"/>
      <c r="F518" s="977"/>
      <c r="G518" s="977"/>
      <c r="H518" s="977"/>
      <c r="I518" s="145"/>
      <c r="J518" s="145"/>
      <c r="K518" s="977"/>
      <c r="L518" s="977"/>
      <c r="M518" s="977"/>
      <c r="N518" s="977"/>
      <c r="O518" s="977"/>
      <c r="P518" s="977"/>
      <c r="Q518" s="977"/>
      <c r="R518" s="977"/>
      <c r="S518" s="977"/>
      <c r="T518" s="977"/>
      <c r="U518" s="977"/>
      <c r="V518" s="977"/>
      <c r="W518" s="977"/>
      <c r="X518" s="978"/>
      <c r="Y518" s="977"/>
      <c r="Z518" s="977"/>
      <c r="AA518" s="978"/>
      <c r="AB518" s="977"/>
      <c r="AC518" s="977"/>
      <c r="AD518" s="977"/>
      <c r="AE518" s="977"/>
      <c r="AF518" s="977"/>
      <c r="AG518" s="977"/>
    </row>
    <row r="519" spans="1:33" x14ac:dyDescent="0.2">
      <c r="A519" s="977"/>
      <c r="B519" s="977"/>
      <c r="C519" s="977"/>
      <c r="D519" s="977"/>
      <c r="E519" s="977"/>
      <c r="F519" s="977"/>
      <c r="G519" s="977"/>
      <c r="H519" s="977"/>
      <c r="I519" s="145"/>
      <c r="J519" s="145"/>
      <c r="K519" s="977"/>
      <c r="L519" s="977"/>
      <c r="M519" s="977"/>
      <c r="N519" s="977"/>
      <c r="O519" s="977"/>
      <c r="P519" s="977"/>
      <c r="Q519" s="977"/>
      <c r="R519" s="977"/>
      <c r="S519" s="977"/>
      <c r="T519" s="977"/>
      <c r="U519" s="977"/>
      <c r="V519" s="977"/>
      <c r="W519" s="977"/>
      <c r="X519" s="978"/>
      <c r="Y519" s="977"/>
      <c r="Z519" s="977"/>
      <c r="AA519" s="978"/>
      <c r="AB519" s="977"/>
      <c r="AC519" s="977"/>
      <c r="AD519" s="977"/>
      <c r="AE519" s="977"/>
      <c r="AF519" s="977"/>
      <c r="AG519" s="977"/>
    </row>
    <row r="520" spans="1:33" x14ac:dyDescent="0.2">
      <c r="A520" s="977"/>
      <c r="B520" s="977"/>
      <c r="C520" s="977"/>
      <c r="D520" s="977"/>
      <c r="E520" s="977"/>
      <c r="F520" s="977"/>
      <c r="G520" s="977"/>
      <c r="H520" s="977"/>
      <c r="I520" s="145"/>
      <c r="J520" s="145"/>
      <c r="K520" s="977"/>
      <c r="L520" s="977"/>
      <c r="M520" s="977"/>
      <c r="N520" s="977"/>
      <c r="O520" s="977"/>
      <c r="P520" s="977"/>
      <c r="Q520" s="977"/>
      <c r="R520" s="977"/>
      <c r="S520" s="977"/>
      <c r="T520" s="977"/>
      <c r="U520" s="977"/>
      <c r="V520" s="977"/>
      <c r="W520" s="977"/>
      <c r="X520" s="978"/>
      <c r="Y520" s="977"/>
      <c r="Z520" s="977"/>
      <c r="AA520" s="978"/>
      <c r="AB520" s="977"/>
      <c r="AC520" s="977"/>
      <c r="AD520" s="977"/>
      <c r="AE520" s="977"/>
      <c r="AF520" s="977"/>
      <c r="AG520" s="977"/>
    </row>
    <row r="521" spans="1:33" x14ac:dyDescent="0.2">
      <c r="A521" s="977"/>
      <c r="B521" s="977"/>
      <c r="C521" s="977"/>
      <c r="D521" s="977"/>
      <c r="E521" s="977"/>
      <c r="F521" s="977"/>
      <c r="G521" s="977"/>
      <c r="H521" s="977"/>
      <c r="I521" s="145"/>
      <c r="J521" s="145"/>
      <c r="K521" s="977"/>
      <c r="L521" s="977"/>
      <c r="M521" s="977"/>
      <c r="N521" s="977"/>
      <c r="O521" s="977"/>
      <c r="P521" s="977"/>
      <c r="Q521" s="977"/>
      <c r="R521" s="977"/>
      <c r="S521" s="977"/>
      <c r="T521" s="977"/>
      <c r="U521" s="977"/>
      <c r="V521" s="977"/>
      <c r="W521" s="977"/>
      <c r="X521" s="978"/>
      <c r="Y521" s="977"/>
      <c r="Z521" s="977"/>
      <c r="AA521" s="978"/>
      <c r="AB521" s="977"/>
      <c r="AC521" s="977"/>
      <c r="AD521" s="977"/>
      <c r="AE521" s="977"/>
      <c r="AF521" s="977"/>
      <c r="AG521" s="977"/>
    </row>
    <row r="522" spans="1:33" x14ac:dyDescent="0.2">
      <c r="A522" s="977"/>
      <c r="B522" s="977"/>
      <c r="C522" s="977"/>
      <c r="D522" s="977"/>
      <c r="E522" s="977"/>
      <c r="F522" s="977"/>
      <c r="G522" s="977"/>
      <c r="H522" s="977"/>
      <c r="I522" s="145"/>
      <c r="J522" s="145"/>
      <c r="K522" s="977"/>
      <c r="L522" s="977"/>
      <c r="M522" s="977"/>
      <c r="N522" s="977"/>
      <c r="O522" s="977"/>
      <c r="P522" s="977"/>
      <c r="Q522" s="977"/>
      <c r="R522" s="977"/>
      <c r="S522" s="977"/>
      <c r="T522" s="977"/>
      <c r="U522" s="977"/>
      <c r="V522" s="977"/>
      <c r="W522" s="977"/>
      <c r="X522" s="978"/>
      <c r="Y522" s="977"/>
      <c r="Z522" s="977"/>
      <c r="AA522" s="978"/>
      <c r="AB522" s="977"/>
      <c r="AC522" s="977"/>
      <c r="AD522" s="977"/>
      <c r="AE522" s="977"/>
      <c r="AF522" s="977"/>
      <c r="AG522" s="977"/>
    </row>
    <row r="523" spans="1:33" x14ac:dyDescent="0.2">
      <c r="A523" s="977"/>
      <c r="B523" s="977"/>
      <c r="C523" s="977"/>
      <c r="D523" s="977"/>
      <c r="E523" s="977"/>
      <c r="F523" s="977"/>
      <c r="G523" s="977"/>
      <c r="H523" s="977"/>
      <c r="I523" s="145"/>
      <c r="J523" s="145"/>
      <c r="K523" s="977"/>
      <c r="L523" s="977"/>
      <c r="M523" s="977"/>
      <c r="N523" s="977"/>
      <c r="O523" s="977"/>
      <c r="P523" s="977"/>
      <c r="Q523" s="977"/>
      <c r="R523" s="977"/>
      <c r="S523" s="977"/>
      <c r="T523" s="977"/>
      <c r="U523" s="977"/>
      <c r="V523" s="977"/>
      <c r="W523" s="977"/>
      <c r="X523" s="978"/>
      <c r="Y523" s="977"/>
      <c r="Z523" s="977"/>
      <c r="AA523" s="978"/>
      <c r="AB523" s="977"/>
      <c r="AC523" s="977"/>
      <c r="AD523" s="977"/>
      <c r="AE523" s="977"/>
      <c r="AF523" s="977"/>
      <c r="AG523" s="977"/>
    </row>
    <row r="524" spans="1:33" x14ac:dyDescent="0.2">
      <c r="A524" s="977"/>
      <c r="B524" s="977"/>
      <c r="C524" s="977"/>
      <c r="D524" s="977"/>
      <c r="E524" s="977"/>
      <c r="F524" s="977"/>
      <c r="G524" s="977"/>
      <c r="H524" s="977"/>
      <c r="I524" s="145"/>
      <c r="J524" s="145"/>
      <c r="K524" s="977"/>
      <c r="L524" s="977"/>
      <c r="M524" s="977"/>
      <c r="N524" s="977"/>
      <c r="O524" s="977"/>
      <c r="P524" s="977"/>
      <c r="Q524" s="977"/>
      <c r="R524" s="977"/>
      <c r="S524" s="977"/>
      <c r="T524" s="977"/>
      <c r="U524" s="977"/>
      <c r="V524" s="977"/>
      <c r="W524" s="977"/>
      <c r="X524" s="978"/>
      <c r="Y524" s="977"/>
      <c r="Z524" s="977"/>
      <c r="AA524" s="978"/>
      <c r="AB524" s="977"/>
      <c r="AC524" s="977"/>
      <c r="AD524" s="977"/>
      <c r="AE524" s="977"/>
      <c r="AF524" s="977"/>
      <c r="AG524" s="977"/>
    </row>
    <row r="525" spans="1:33" x14ac:dyDescent="0.2">
      <c r="A525" s="977"/>
      <c r="B525" s="977"/>
      <c r="C525" s="977"/>
      <c r="D525" s="977"/>
      <c r="E525" s="977"/>
      <c r="F525" s="977"/>
      <c r="G525" s="977"/>
      <c r="H525" s="977"/>
      <c r="I525" s="145"/>
      <c r="J525" s="145"/>
      <c r="K525" s="977"/>
      <c r="L525" s="977"/>
      <c r="M525" s="977"/>
      <c r="N525" s="977"/>
      <c r="O525" s="977"/>
      <c r="P525" s="977"/>
      <c r="Q525" s="977"/>
      <c r="R525" s="977"/>
      <c r="S525" s="977"/>
      <c r="T525" s="977"/>
      <c r="U525" s="977"/>
      <c r="V525" s="977"/>
      <c r="W525" s="977"/>
      <c r="X525" s="978"/>
      <c r="Y525" s="977"/>
      <c r="Z525" s="977"/>
      <c r="AA525" s="978"/>
      <c r="AB525" s="977"/>
      <c r="AC525" s="977"/>
      <c r="AD525" s="977"/>
      <c r="AE525" s="977"/>
      <c r="AF525" s="977"/>
      <c r="AG525" s="977"/>
    </row>
    <row r="526" spans="1:33" x14ac:dyDescent="0.2">
      <c r="A526" s="977"/>
      <c r="B526" s="977"/>
      <c r="C526" s="977"/>
      <c r="D526" s="977"/>
      <c r="E526" s="977"/>
      <c r="F526" s="977"/>
      <c r="G526" s="977"/>
      <c r="H526" s="977"/>
      <c r="I526" s="145"/>
      <c r="J526" s="145"/>
      <c r="K526" s="977"/>
      <c r="L526" s="977"/>
      <c r="M526" s="977"/>
      <c r="N526" s="977"/>
      <c r="O526" s="977"/>
      <c r="P526" s="977"/>
      <c r="Q526" s="977"/>
      <c r="R526" s="977"/>
      <c r="S526" s="977"/>
      <c r="T526" s="977"/>
      <c r="U526" s="977"/>
      <c r="V526" s="977"/>
      <c r="W526" s="977"/>
      <c r="X526" s="978"/>
      <c r="Y526" s="977"/>
      <c r="Z526" s="977"/>
      <c r="AA526" s="978"/>
      <c r="AB526" s="977"/>
      <c r="AC526" s="977"/>
      <c r="AD526" s="977"/>
      <c r="AE526" s="977"/>
      <c r="AF526" s="977"/>
      <c r="AG526" s="977"/>
    </row>
    <row r="527" spans="1:33" x14ac:dyDescent="0.2">
      <c r="A527" s="977"/>
      <c r="B527" s="977"/>
      <c r="C527" s="977"/>
      <c r="D527" s="977"/>
      <c r="E527" s="977"/>
      <c r="F527" s="977"/>
      <c r="G527" s="977"/>
      <c r="H527" s="977"/>
      <c r="I527" s="145"/>
      <c r="J527" s="145"/>
      <c r="K527" s="977"/>
      <c r="L527" s="977"/>
      <c r="M527" s="977"/>
      <c r="N527" s="977"/>
      <c r="O527" s="977"/>
      <c r="P527" s="977"/>
      <c r="Q527" s="977"/>
      <c r="R527" s="977"/>
      <c r="S527" s="977"/>
      <c r="T527" s="977"/>
      <c r="U527" s="977"/>
      <c r="V527" s="977"/>
      <c r="W527" s="977"/>
      <c r="X527" s="978"/>
      <c r="Y527" s="977"/>
      <c r="Z527" s="977"/>
      <c r="AA527" s="978"/>
      <c r="AB527" s="977"/>
      <c r="AC527" s="977"/>
      <c r="AD527" s="977"/>
      <c r="AE527" s="977"/>
      <c r="AF527" s="977"/>
      <c r="AG527" s="977"/>
    </row>
    <row r="528" spans="1:33" x14ac:dyDescent="0.2">
      <c r="A528" s="977"/>
      <c r="B528" s="977"/>
      <c r="C528" s="977"/>
      <c r="D528" s="977"/>
      <c r="E528" s="977"/>
      <c r="F528" s="977"/>
      <c r="G528" s="977"/>
      <c r="H528" s="977"/>
      <c r="I528" s="145"/>
      <c r="J528" s="145"/>
      <c r="K528" s="977"/>
      <c r="L528" s="977"/>
      <c r="M528" s="977"/>
      <c r="N528" s="977"/>
      <c r="O528" s="977"/>
      <c r="P528" s="977"/>
      <c r="Q528" s="977"/>
      <c r="R528" s="977"/>
      <c r="S528" s="977"/>
      <c r="T528" s="977"/>
      <c r="U528" s="977"/>
      <c r="V528" s="977"/>
      <c r="W528" s="977"/>
      <c r="X528" s="978"/>
      <c r="Y528" s="977"/>
      <c r="Z528" s="977"/>
      <c r="AA528" s="978"/>
      <c r="AB528" s="977"/>
      <c r="AC528" s="977"/>
      <c r="AD528" s="977"/>
      <c r="AE528" s="977"/>
      <c r="AF528" s="977"/>
      <c r="AG528" s="977"/>
    </row>
    <row r="529" spans="1:33" x14ac:dyDescent="0.2">
      <c r="A529" s="977"/>
      <c r="B529" s="977"/>
      <c r="C529" s="977"/>
      <c r="D529" s="977"/>
      <c r="E529" s="977"/>
      <c r="F529" s="977"/>
      <c r="G529" s="977"/>
      <c r="H529" s="977"/>
      <c r="I529" s="145"/>
      <c r="J529" s="145"/>
      <c r="K529" s="977"/>
      <c r="L529" s="977"/>
      <c r="M529" s="977"/>
      <c r="N529" s="977"/>
      <c r="O529" s="977"/>
      <c r="P529" s="977"/>
      <c r="Q529" s="977"/>
      <c r="R529" s="977"/>
      <c r="S529" s="977"/>
      <c r="T529" s="977"/>
      <c r="U529" s="977"/>
      <c r="V529" s="977"/>
      <c r="W529" s="977"/>
      <c r="X529" s="978"/>
      <c r="Y529" s="977"/>
      <c r="Z529" s="977"/>
      <c r="AA529" s="978"/>
      <c r="AB529" s="977"/>
      <c r="AC529" s="977"/>
      <c r="AD529" s="977"/>
      <c r="AE529" s="977"/>
      <c r="AF529" s="977"/>
      <c r="AG529" s="977"/>
    </row>
    <row r="530" spans="1:33" x14ac:dyDescent="0.2">
      <c r="A530" s="977"/>
      <c r="B530" s="977"/>
      <c r="C530" s="977"/>
      <c r="D530" s="977"/>
      <c r="E530" s="977"/>
      <c r="F530" s="977"/>
      <c r="G530" s="977"/>
      <c r="H530" s="977"/>
      <c r="I530" s="145"/>
      <c r="J530" s="145"/>
      <c r="K530" s="977"/>
      <c r="L530" s="977"/>
      <c r="M530" s="977"/>
      <c r="N530" s="977"/>
      <c r="O530" s="977"/>
      <c r="P530" s="977"/>
      <c r="Q530" s="977"/>
      <c r="R530" s="977"/>
      <c r="S530" s="977"/>
      <c r="T530" s="977"/>
      <c r="U530" s="977"/>
      <c r="V530" s="977"/>
      <c r="W530" s="977"/>
      <c r="X530" s="978"/>
      <c r="Y530" s="977"/>
      <c r="Z530" s="977"/>
      <c r="AA530" s="978"/>
      <c r="AB530" s="977"/>
      <c r="AC530" s="977"/>
      <c r="AD530" s="977"/>
      <c r="AE530" s="977"/>
      <c r="AF530" s="977"/>
      <c r="AG530" s="977"/>
    </row>
    <row r="531" spans="1:33" x14ac:dyDescent="0.2">
      <c r="A531" s="977"/>
      <c r="B531" s="977"/>
      <c r="C531" s="977"/>
      <c r="D531" s="977"/>
      <c r="E531" s="977"/>
      <c r="F531" s="977"/>
      <c r="G531" s="977"/>
      <c r="H531" s="977"/>
      <c r="I531" s="145"/>
      <c r="J531" s="145"/>
      <c r="K531" s="977"/>
      <c r="L531" s="977"/>
      <c r="M531" s="977"/>
      <c r="N531" s="977"/>
      <c r="O531" s="977"/>
      <c r="P531" s="977"/>
      <c r="Q531" s="977"/>
      <c r="R531" s="977"/>
      <c r="S531" s="977"/>
      <c r="T531" s="977"/>
      <c r="U531" s="977"/>
      <c r="V531" s="977"/>
      <c r="W531" s="977"/>
      <c r="X531" s="978"/>
      <c r="Y531" s="977"/>
      <c r="Z531" s="977"/>
      <c r="AA531" s="978"/>
      <c r="AB531" s="977"/>
      <c r="AC531" s="977"/>
      <c r="AD531" s="977"/>
      <c r="AE531" s="977"/>
      <c r="AF531" s="977"/>
      <c r="AG531" s="977"/>
    </row>
    <row r="532" spans="1:33" x14ac:dyDescent="0.2">
      <c r="A532" s="977"/>
      <c r="B532" s="977"/>
      <c r="C532" s="977"/>
      <c r="D532" s="977"/>
      <c r="E532" s="977"/>
      <c r="F532" s="977"/>
      <c r="G532" s="977"/>
      <c r="H532" s="977"/>
      <c r="I532" s="145"/>
      <c r="J532" s="145"/>
      <c r="K532" s="977"/>
      <c r="L532" s="977"/>
      <c r="M532" s="977"/>
      <c r="N532" s="977"/>
      <c r="O532" s="977"/>
      <c r="P532" s="977"/>
      <c r="Q532" s="977"/>
      <c r="R532" s="977"/>
      <c r="S532" s="977"/>
      <c r="T532" s="977"/>
      <c r="U532" s="977"/>
      <c r="V532" s="977"/>
      <c r="W532" s="977"/>
      <c r="X532" s="978"/>
      <c r="Y532" s="977"/>
      <c r="Z532" s="977"/>
      <c r="AA532" s="978"/>
      <c r="AB532" s="977"/>
      <c r="AC532" s="977"/>
      <c r="AD532" s="977"/>
      <c r="AE532" s="977"/>
      <c r="AF532" s="977"/>
      <c r="AG532" s="977"/>
    </row>
    <row r="533" spans="1:33" x14ac:dyDescent="0.2">
      <c r="A533" s="977"/>
      <c r="B533" s="977"/>
      <c r="C533" s="977"/>
      <c r="D533" s="977"/>
      <c r="E533" s="977"/>
      <c r="F533" s="977"/>
      <c r="G533" s="977"/>
      <c r="H533" s="977"/>
      <c r="I533" s="145"/>
      <c r="J533" s="145"/>
      <c r="K533" s="977"/>
      <c r="L533" s="977"/>
      <c r="M533" s="977"/>
      <c r="N533" s="977"/>
      <c r="O533" s="977"/>
      <c r="P533" s="977"/>
      <c r="Q533" s="977"/>
      <c r="R533" s="977"/>
      <c r="S533" s="977"/>
      <c r="T533" s="977"/>
      <c r="U533" s="977"/>
      <c r="V533" s="977"/>
      <c r="W533" s="977"/>
      <c r="X533" s="978"/>
      <c r="Y533" s="977"/>
      <c r="Z533" s="977"/>
      <c r="AA533" s="978"/>
      <c r="AB533" s="977"/>
      <c r="AC533" s="977"/>
      <c r="AD533" s="977"/>
      <c r="AE533" s="977"/>
      <c r="AF533" s="977"/>
      <c r="AG533" s="977"/>
    </row>
    <row r="534" spans="1:33" x14ac:dyDescent="0.2">
      <c r="A534" s="977"/>
      <c r="B534" s="977"/>
      <c r="C534" s="977"/>
      <c r="D534" s="977"/>
      <c r="E534" s="977"/>
      <c r="F534" s="977"/>
      <c r="G534" s="977"/>
      <c r="H534" s="977"/>
      <c r="I534" s="145"/>
      <c r="J534" s="145"/>
      <c r="K534" s="977"/>
      <c r="L534" s="977"/>
      <c r="M534" s="977"/>
      <c r="N534" s="977"/>
      <c r="O534" s="977"/>
      <c r="P534" s="977"/>
      <c r="Q534" s="977"/>
      <c r="R534" s="977"/>
      <c r="S534" s="977"/>
      <c r="T534" s="977"/>
      <c r="U534" s="977"/>
      <c r="V534" s="977"/>
      <c r="W534" s="977"/>
      <c r="X534" s="978"/>
      <c r="Y534" s="977"/>
      <c r="Z534" s="977"/>
      <c r="AA534" s="978"/>
      <c r="AB534" s="977"/>
      <c r="AC534" s="977"/>
      <c r="AD534" s="977"/>
      <c r="AE534" s="977"/>
      <c r="AF534" s="977"/>
      <c r="AG534" s="977"/>
    </row>
    <row r="535" spans="1:33" x14ac:dyDescent="0.2">
      <c r="A535" s="977"/>
      <c r="B535" s="977"/>
      <c r="C535" s="977"/>
      <c r="D535" s="977"/>
      <c r="E535" s="977"/>
      <c r="F535" s="977"/>
      <c r="G535" s="977"/>
      <c r="H535" s="977"/>
      <c r="I535" s="145"/>
      <c r="J535" s="145"/>
      <c r="K535" s="977"/>
      <c r="L535" s="977"/>
      <c r="M535" s="977"/>
      <c r="N535" s="977"/>
      <c r="O535" s="977"/>
      <c r="P535" s="977"/>
      <c r="Q535" s="977"/>
      <c r="R535" s="977"/>
      <c r="S535" s="977"/>
      <c r="T535" s="977"/>
      <c r="U535" s="977"/>
      <c r="V535" s="977"/>
      <c r="W535" s="977"/>
      <c r="X535" s="978"/>
      <c r="Y535" s="977"/>
      <c r="Z535" s="977"/>
      <c r="AA535" s="978"/>
      <c r="AB535" s="977"/>
      <c r="AC535" s="977"/>
      <c r="AD535" s="977"/>
      <c r="AE535" s="977"/>
      <c r="AF535" s="977"/>
      <c r="AG535" s="977"/>
    </row>
    <row r="536" spans="1:33" x14ac:dyDescent="0.2">
      <c r="A536" s="977"/>
      <c r="B536" s="977"/>
      <c r="C536" s="977"/>
      <c r="D536" s="977"/>
      <c r="E536" s="977"/>
      <c r="F536" s="977"/>
      <c r="G536" s="977"/>
      <c r="H536" s="977"/>
      <c r="I536" s="145"/>
      <c r="J536" s="145"/>
      <c r="K536" s="977"/>
      <c r="L536" s="977"/>
      <c r="M536" s="977"/>
      <c r="N536" s="977"/>
      <c r="O536" s="977"/>
      <c r="P536" s="977"/>
      <c r="Q536" s="977"/>
      <c r="R536" s="977"/>
      <c r="S536" s="977"/>
      <c r="T536" s="977"/>
      <c r="U536" s="977"/>
      <c r="V536" s="977"/>
      <c r="W536" s="977"/>
      <c r="X536" s="978"/>
      <c r="Y536" s="977"/>
      <c r="Z536" s="977"/>
      <c r="AA536" s="978"/>
      <c r="AB536" s="977"/>
      <c r="AC536" s="977"/>
      <c r="AD536" s="977"/>
      <c r="AE536" s="977"/>
      <c r="AF536" s="977"/>
      <c r="AG536" s="977"/>
    </row>
    <row r="537" spans="1:33" x14ac:dyDescent="0.2">
      <c r="A537" s="977"/>
      <c r="B537" s="977"/>
      <c r="C537" s="977"/>
      <c r="D537" s="977"/>
      <c r="E537" s="977"/>
      <c r="F537" s="977"/>
      <c r="G537" s="977"/>
      <c r="H537" s="977"/>
      <c r="I537" s="145"/>
      <c r="J537" s="145"/>
      <c r="K537" s="977"/>
      <c r="L537" s="977"/>
      <c r="M537" s="977"/>
      <c r="N537" s="977"/>
      <c r="O537" s="977"/>
      <c r="P537" s="977"/>
      <c r="Q537" s="977"/>
      <c r="R537" s="977"/>
      <c r="S537" s="977"/>
      <c r="T537" s="977"/>
      <c r="U537" s="977"/>
      <c r="V537" s="977"/>
      <c r="W537" s="977"/>
      <c r="X537" s="978"/>
      <c r="Y537" s="977"/>
      <c r="Z537" s="977"/>
      <c r="AA537" s="978"/>
      <c r="AB537" s="977"/>
      <c r="AC537" s="977"/>
      <c r="AD537" s="977"/>
      <c r="AE537" s="977"/>
      <c r="AF537" s="977"/>
      <c r="AG537" s="977"/>
    </row>
    <row r="538" spans="1:33" x14ac:dyDescent="0.2">
      <c r="A538" s="977"/>
      <c r="B538" s="977"/>
      <c r="C538" s="977"/>
      <c r="D538" s="977"/>
      <c r="E538" s="977"/>
      <c r="F538" s="977"/>
      <c r="G538" s="977"/>
      <c r="H538" s="977"/>
      <c r="I538" s="145"/>
      <c r="J538" s="145"/>
      <c r="K538" s="977"/>
      <c r="L538" s="977"/>
      <c r="M538" s="977"/>
      <c r="N538" s="977"/>
      <c r="O538" s="977"/>
      <c r="P538" s="977"/>
      <c r="Q538" s="977"/>
      <c r="R538" s="977"/>
      <c r="S538" s="977"/>
      <c r="T538" s="977"/>
      <c r="U538" s="977"/>
      <c r="V538" s="977"/>
      <c r="W538" s="977"/>
      <c r="X538" s="978"/>
      <c r="Y538" s="977"/>
      <c r="Z538" s="977"/>
      <c r="AA538" s="978"/>
      <c r="AB538" s="977"/>
      <c r="AC538" s="977"/>
      <c r="AD538" s="977"/>
      <c r="AE538" s="977"/>
      <c r="AF538" s="977"/>
      <c r="AG538" s="977"/>
    </row>
    <row r="539" spans="1:33" x14ac:dyDescent="0.2">
      <c r="A539" s="977"/>
      <c r="B539" s="977"/>
      <c r="C539" s="977"/>
      <c r="D539" s="977"/>
      <c r="E539" s="977"/>
      <c r="F539" s="977"/>
      <c r="G539" s="977"/>
      <c r="H539" s="977"/>
      <c r="I539" s="145"/>
      <c r="J539" s="145"/>
      <c r="K539" s="977"/>
      <c r="L539" s="977"/>
      <c r="M539" s="977"/>
      <c r="N539" s="977"/>
      <c r="O539" s="977"/>
      <c r="P539" s="977"/>
      <c r="Q539" s="977"/>
      <c r="R539" s="977"/>
      <c r="S539" s="977"/>
      <c r="T539" s="977"/>
      <c r="U539" s="977"/>
      <c r="V539" s="977"/>
      <c r="W539" s="977"/>
      <c r="X539" s="978"/>
      <c r="Y539" s="977"/>
      <c r="Z539" s="977"/>
      <c r="AA539" s="978"/>
      <c r="AB539" s="977"/>
      <c r="AC539" s="977"/>
      <c r="AD539" s="977"/>
      <c r="AE539" s="977"/>
      <c r="AF539" s="977"/>
      <c r="AG539" s="977"/>
    </row>
    <row r="540" spans="1:33" x14ac:dyDescent="0.2">
      <c r="A540" s="977"/>
      <c r="B540" s="977"/>
      <c r="C540" s="977"/>
      <c r="D540" s="977"/>
      <c r="E540" s="977"/>
      <c r="F540" s="977"/>
      <c r="G540" s="977"/>
      <c r="H540" s="977"/>
      <c r="I540" s="145"/>
      <c r="J540" s="145"/>
      <c r="K540" s="977"/>
      <c r="L540" s="977"/>
      <c r="M540" s="977"/>
      <c r="N540" s="977"/>
      <c r="O540" s="977"/>
      <c r="P540" s="977"/>
      <c r="Q540" s="977"/>
      <c r="R540" s="977"/>
      <c r="S540" s="977"/>
      <c r="T540" s="977"/>
      <c r="U540" s="977"/>
      <c r="V540" s="977"/>
      <c r="W540" s="977"/>
      <c r="X540" s="978"/>
      <c r="Y540" s="977"/>
      <c r="Z540" s="977"/>
      <c r="AA540" s="978"/>
      <c r="AB540" s="977"/>
      <c r="AC540" s="977"/>
      <c r="AD540" s="977"/>
      <c r="AE540" s="977"/>
      <c r="AF540" s="977"/>
      <c r="AG540" s="977"/>
    </row>
    <row r="541" spans="1:33" x14ac:dyDescent="0.2">
      <c r="A541" s="977"/>
      <c r="B541" s="977"/>
      <c r="C541" s="977"/>
      <c r="D541" s="977"/>
      <c r="E541" s="977"/>
      <c r="F541" s="977"/>
      <c r="G541" s="977"/>
      <c r="H541" s="977"/>
      <c r="I541" s="145"/>
      <c r="J541" s="145"/>
      <c r="K541" s="977"/>
      <c r="L541" s="977"/>
      <c r="M541" s="977"/>
      <c r="N541" s="977"/>
      <c r="O541" s="977"/>
      <c r="P541" s="977"/>
      <c r="Q541" s="977"/>
      <c r="R541" s="977"/>
      <c r="S541" s="977"/>
      <c r="T541" s="977"/>
      <c r="U541" s="977"/>
      <c r="V541" s="977"/>
      <c r="W541" s="977"/>
      <c r="X541" s="978"/>
      <c r="Y541" s="977"/>
      <c r="Z541" s="977"/>
      <c r="AA541" s="978"/>
      <c r="AB541" s="977"/>
      <c r="AC541" s="977"/>
      <c r="AD541" s="977"/>
      <c r="AE541" s="977"/>
      <c r="AF541" s="977"/>
      <c r="AG541" s="977"/>
    </row>
    <row r="542" spans="1:33" x14ac:dyDescent="0.2">
      <c r="A542" s="977"/>
      <c r="B542" s="977"/>
      <c r="C542" s="977"/>
      <c r="D542" s="977"/>
      <c r="E542" s="977"/>
      <c r="F542" s="977"/>
      <c r="G542" s="977"/>
      <c r="H542" s="977"/>
      <c r="I542" s="145"/>
      <c r="J542" s="145"/>
      <c r="K542" s="977"/>
      <c r="L542" s="977"/>
      <c r="M542" s="977"/>
      <c r="N542" s="977"/>
      <c r="O542" s="977"/>
      <c r="P542" s="977"/>
      <c r="Q542" s="977"/>
      <c r="R542" s="977"/>
      <c r="S542" s="977"/>
      <c r="T542" s="977"/>
      <c r="U542" s="977"/>
      <c r="V542" s="977"/>
      <c r="W542" s="977"/>
      <c r="X542" s="978"/>
      <c r="Y542" s="977"/>
      <c r="Z542" s="977"/>
      <c r="AA542" s="978"/>
      <c r="AB542" s="977"/>
      <c r="AC542" s="977"/>
      <c r="AD542" s="977"/>
      <c r="AE542" s="977"/>
      <c r="AF542" s="977"/>
      <c r="AG542" s="977"/>
    </row>
    <row r="543" spans="1:33" x14ac:dyDescent="0.2">
      <c r="A543" s="977"/>
      <c r="B543" s="977"/>
      <c r="C543" s="977"/>
      <c r="D543" s="977"/>
      <c r="E543" s="977"/>
      <c r="F543" s="977"/>
      <c r="G543" s="977"/>
      <c r="H543" s="977"/>
      <c r="I543" s="145"/>
      <c r="J543" s="145"/>
      <c r="K543" s="977"/>
      <c r="L543" s="977"/>
      <c r="M543" s="977"/>
      <c r="N543" s="977"/>
      <c r="O543" s="977"/>
      <c r="P543" s="977"/>
      <c r="Q543" s="977"/>
      <c r="R543" s="977"/>
      <c r="S543" s="977"/>
      <c r="T543" s="977"/>
      <c r="U543" s="977"/>
      <c r="V543" s="977"/>
      <c r="W543" s="977"/>
      <c r="X543" s="978"/>
      <c r="Y543" s="977"/>
      <c r="Z543" s="977"/>
      <c r="AA543" s="978"/>
      <c r="AB543" s="977"/>
      <c r="AC543" s="977"/>
      <c r="AD543" s="977"/>
      <c r="AE543" s="977"/>
      <c r="AF543" s="977"/>
      <c r="AG543" s="977"/>
    </row>
    <row r="544" spans="1:33" x14ac:dyDescent="0.2">
      <c r="A544" s="977"/>
      <c r="B544" s="977"/>
      <c r="C544" s="977"/>
      <c r="D544" s="977"/>
      <c r="E544" s="977"/>
      <c r="F544" s="977"/>
      <c r="G544" s="977"/>
      <c r="H544" s="977"/>
      <c r="I544" s="145"/>
      <c r="J544" s="145"/>
      <c r="K544" s="977"/>
      <c r="L544" s="977"/>
      <c r="M544" s="977"/>
      <c r="N544" s="977"/>
      <c r="O544" s="977"/>
      <c r="P544" s="977"/>
      <c r="Q544" s="977"/>
      <c r="R544" s="977"/>
      <c r="S544" s="977"/>
      <c r="T544" s="977"/>
      <c r="U544" s="977"/>
      <c r="V544" s="977"/>
      <c r="W544" s="977"/>
      <c r="X544" s="978"/>
      <c r="Y544" s="977"/>
      <c r="Z544" s="977"/>
      <c r="AA544" s="978"/>
      <c r="AB544" s="977"/>
      <c r="AC544" s="977"/>
      <c r="AD544" s="977"/>
      <c r="AE544" s="977"/>
      <c r="AF544" s="977"/>
      <c r="AG544" s="977"/>
    </row>
    <row r="545" spans="1:33" x14ac:dyDescent="0.2">
      <c r="A545" s="977"/>
      <c r="B545" s="977"/>
      <c r="C545" s="977"/>
      <c r="D545" s="977"/>
      <c r="E545" s="977"/>
      <c r="F545" s="977"/>
      <c r="G545" s="977"/>
      <c r="H545" s="977"/>
      <c r="I545" s="145"/>
      <c r="J545" s="145"/>
      <c r="K545" s="977"/>
      <c r="L545" s="977"/>
      <c r="M545" s="977"/>
      <c r="N545" s="977"/>
      <c r="O545" s="977"/>
      <c r="P545" s="977"/>
      <c r="Q545" s="977"/>
      <c r="R545" s="977"/>
      <c r="S545" s="977"/>
      <c r="T545" s="977"/>
      <c r="U545" s="977"/>
      <c r="V545" s="977"/>
      <c r="W545" s="977"/>
      <c r="X545" s="978"/>
      <c r="Y545" s="977"/>
      <c r="Z545" s="977"/>
      <c r="AA545" s="978"/>
      <c r="AB545" s="977"/>
      <c r="AC545" s="977"/>
      <c r="AD545" s="977"/>
      <c r="AE545" s="977"/>
      <c r="AF545" s="977"/>
      <c r="AG545" s="977"/>
    </row>
    <row r="546" spans="1:33" x14ac:dyDescent="0.2">
      <c r="A546" s="977"/>
      <c r="B546" s="977"/>
      <c r="C546" s="977"/>
      <c r="D546" s="977"/>
      <c r="E546" s="977"/>
      <c r="F546" s="977"/>
      <c r="G546" s="977"/>
      <c r="H546" s="977"/>
      <c r="I546" s="145"/>
      <c r="J546" s="145"/>
      <c r="K546" s="977"/>
      <c r="L546" s="977"/>
      <c r="M546" s="977"/>
      <c r="N546" s="977"/>
      <c r="O546" s="977"/>
      <c r="P546" s="977"/>
      <c r="Q546" s="977"/>
      <c r="R546" s="977"/>
      <c r="S546" s="977"/>
      <c r="T546" s="977"/>
      <c r="U546" s="977"/>
      <c r="V546" s="977"/>
      <c r="W546" s="977"/>
      <c r="X546" s="978"/>
      <c r="Y546" s="977"/>
      <c r="Z546" s="977"/>
      <c r="AA546" s="978"/>
      <c r="AB546" s="977"/>
      <c r="AC546" s="977"/>
      <c r="AD546" s="977"/>
      <c r="AE546" s="977"/>
      <c r="AF546" s="977"/>
      <c r="AG546" s="977"/>
    </row>
    <row r="547" spans="1:33" x14ac:dyDescent="0.2">
      <c r="A547" s="977"/>
      <c r="B547" s="977"/>
      <c r="C547" s="977"/>
      <c r="D547" s="977"/>
      <c r="E547" s="977"/>
      <c r="F547" s="977"/>
      <c r="G547" s="977"/>
      <c r="H547" s="977"/>
      <c r="I547" s="145"/>
      <c r="J547" s="145"/>
      <c r="K547" s="977"/>
      <c r="L547" s="977"/>
      <c r="M547" s="977"/>
      <c r="N547" s="977"/>
      <c r="O547" s="977"/>
      <c r="P547" s="977"/>
      <c r="Q547" s="977"/>
      <c r="R547" s="977"/>
      <c r="S547" s="977"/>
      <c r="T547" s="977"/>
      <c r="U547" s="977"/>
      <c r="V547" s="977"/>
      <c r="W547" s="977"/>
      <c r="X547" s="978"/>
      <c r="Y547" s="977"/>
      <c r="Z547" s="977"/>
      <c r="AA547" s="978"/>
      <c r="AB547" s="977"/>
      <c r="AC547" s="977"/>
      <c r="AD547" s="977"/>
      <c r="AE547" s="977"/>
      <c r="AF547" s="977"/>
      <c r="AG547" s="977"/>
    </row>
    <row r="548" spans="1:33" x14ac:dyDescent="0.2">
      <c r="A548" s="977"/>
      <c r="B548" s="977"/>
      <c r="C548" s="977"/>
      <c r="D548" s="977"/>
      <c r="E548" s="977"/>
      <c r="F548" s="977"/>
      <c r="G548" s="977"/>
      <c r="H548" s="977"/>
      <c r="I548" s="145"/>
      <c r="J548" s="145"/>
      <c r="K548" s="977"/>
      <c r="L548" s="977"/>
      <c r="M548" s="977"/>
      <c r="N548" s="977"/>
      <c r="O548" s="977"/>
      <c r="P548" s="977"/>
      <c r="Q548" s="977"/>
      <c r="R548" s="977"/>
      <c r="S548" s="977"/>
      <c r="T548" s="977"/>
      <c r="U548" s="977"/>
      <c r="V548" s="977"/>
      <c r="W548" s="977"/>
      <c r="X548" s="978"/>
      <c r="Y548" s="977"/>
      <c r="Z548" s="977"/>
      <c r="AA548" s="978"/>
      <c r="AB548" s="977"/>
      <c r="AC548" s="977"/>
      <c r="AD548" s="977"/>
      <c r="AE548" s="977"/>
      <c r="AF548" s="977"/>
      <c r="AG548" s="977"/>
    </row>
    <row r="549" spans="1:33" x14ac:dyDescent="0.2">
      <c r="A549" s="977"/>
      <c r="B549" s="977"/>
      <c r="C549" s="977"/>
      <c r="D549" s="977"/>
      <c r="E549" s="977"/>
      <c r="F549" s="977"/>
      <c r="G549" s="977"/>
      <c r="H549" s="977"/>
      <c r="I549" s="145"/>
      <c r="J549" s="145"/>
      <c r="K549" s="977"/>
      <c r="L549" s="977"/>
      <c r="M549" s="977"/>
      <c r="N549" s="977"/>
      <c r="O549" s="977"/>
      <c r="P549" s="977"/>
      <c r="Q549" s="977"/>
      <c r="R549" s="977"/>
      <c r="S549" s="977"/>
      <c r="T549" s="977"/>
      <c r="U549" s="977"/>
      <c r="V549" s="977"/>
      <c r="W549" s="977"/>
      <c r="X549" s="978"/>
      <c r="Y549" s="977"/>
      <c r="Z549" s="977"/>
      <c r="AA549" s="978"/>
      <c r="AB549" s="977"/>
      <c r="AC549" s="977"/>
      <c r="AD549" s="977"/>
      <c r="AE549" s="977"/>
      <c r="AF549" s="977"/>
      <c r="AG549" s="977"/>
    </row>
    <row r="550" spans="1:33" x14ac:dyDescent="0.2">
      <c r="A550" s="977"/>
      <c r="B550" s="977"/>
      <c r="C550" s="977"/>
      <c r="D550" s="977"/>
      <c r="E550" s="977"/>
      <c r="F550" s="977"/>
      <c r="G550" s="977"/>
      <c r="H550" s="977"/>
      <c r="I550" s="145"/>
      <c r="J550" s="145"/>
      <c r="K550" s="977"/>
      <c r="L550" s="977"/>
      <c r="M550" s="977"/>
      <c r="N550" s="977"/>
      <c r="O550" s="977"/>
      <c r="P550" s="977"/>
      <c r="Q550" s="977"/>
      <c r="R550" s="977"/>
      <c r="S550" s="977"/>
      <c r="T550" s="977"/>
      <c r="U550" s="977"/>
      <c r="V550" s="977"/>
      <c r="W550" s="977"/>
      <c r="X550" s="978"/>
      <c r="Y550" s="977"/>
      <c r="Z550" s="977"/>
      <c r="AA550" s="978"/>
      <c r="AB550" s="977"/>
      <c r="AC550" s="977"/>
      <c r="AD550" s="977"/>
      <c r="AE550" s="977"/>
      <c r="AF550" s="977"/>
      <c r="AG550" s="977"/>
    </row>
    <row r="551" spans="1:33" x14ac:dyDescent="0.2">
      <c r="A551" s="977"/>
      <c r="B551" s="977"/>
      <c r="C551" s="977"/>
      <c r="D551" s="977"/>
      <c r="E551" s="977"/>
      <c r="F551" s="977"/>
      <c r="G551" s="977"/>
      <c r="H551" s="977"/>
      <c r="I551" s="145"/>
      <c r="J551" s="145"/>
      <c r="K551" s="977"/>
      <c r="L551" s="977"/>
      <c r="M551" s="977"/>
      <c r="N551" s="977"/>
      <c r="O551" s="977"/>
      <c r="P551" s="977"/>
      <c r="Q551" s="977"/>
      <c r="R551" s="977"/>
      <c r="S551" s="977"/>
      <c r="T551" s="977"/>
      <c r="U551" s="977"/>
      <c r="V551" s="977"/>
      <c r="W551" s="977"/>
      <c r="X551" s="978"/>
      <c r="Y551" s="977"/>
      <c r="Z551" s="977"/>
      <c r="AA551" s="978"/>
      <c r="AB551" s="977"/>
      <c r="AC551" s="977"/>
      <c r="AD551" s="977"/>
      <c r="AE551" s="977"/>
      <c r="AF551" s="977"/>
      <c r="AG551" s="977"/>
    </row>
    <row r="552" spans="1:33" x14ac:dyDescent="0.2">
      <c r="A552" s="977"/>
      <c r="B552" s="977"/>
      <c r="C552" s="977"/>
      <c r="D552" s="977"/>
      <c r="E552" s="977"/>
      <c r="F552" s="977"/>
      <c r="G552" s="977"/>
      <c r="H552" s="977"/>
      <c r="I552" s="145"/>
      <c r="J552" s="145"/>
      <c r="K552" s="977"/>
      <c r="L552" s="977"/>
      <c r="M552" s="977"/>
      <c r="N552" s="977"/>
      <c r="O552" s="977"/>
      <c r="P552" s="977"/>
      <c r="Q552" s="977"/>
      <c r="R552" s="977"/>
      <c r="S552" s="977"/>
      <c r="T552" s="977"/>
      <c r="U552" s="977"/>
      <c r="V552" s="977"/>
      <c r="W552" s="977"/>
      <c r="X552" s="978"/>
      <c r="Y552" s="977"/>
      <c r="Z552" s="977"/>
      <c r="AA552" s="978"/>
      <c r="AB552" s="977"/>
      <c r="AC552" s="977"/>
      <c r="AD552" s="977"/>
      <c r="AE552" s="977"/>
      <c r="AF552" s="977"/>
      <c r="AG552" s="977"/>
    </row>
    <row r="553" spans="1:33" x14ac:dyDescent="0.2">
      <c r="A553" s="977"/>
      <c r="B553" s="977"/>
      <c r="C553" s="977"/>
      <c r="D553" s="977"/>
      <c r="E553" s="977"/>
      <c r="F553" s="977"/>
      <c r="G553" s="977"/>
      <c r="H553" s="977"/>
      <c r="I553" s="145"/>
      <c r="J553" s="145"/>
      <c r="K553" s="977"/>
      <c r="L553" s="977"/>
      <c r="M553" s="977"/>
      <c r="N553" s="977"/>
      <c r="O553" s="977"/>
      <c r="P553" s="977"/>
      <c r="Q553" s="977"/>
      <c r="R553" s="977"/>
      <c r="S553" s="977"/>
      <c r="T553" s="977"/>
      <c r="U553" s="977"/>
      <c r="V553" s="977"/>
      <c r="W553" s="977"/>
      <c r="X553" s="978"/>
      <c r="Y553" s="977"/>
      <c r="Z553" s="977"/>
      <c r="AA553" s="978"/>
      <c r="AB553" s="977"/>
      <c r="AC553" s="977"/>
      <c r="AD553" s="977"/>
      <c r="AE553" s="977"/>
      <c r="AF553" s="977"/>
      <c r="AG553" s="977"/>
    </row>
    <row r="554" spans="1:33" x14ac:dyDescent="0.2">
      <c r="A554" s="977"/>
      <c r="B554" s="977"/>
      <c r="C554" s="977"/>
      <c r="D554" s="977"/>
      <c r="E554" s="977"/>
      <c r="F554" s="977"/>
      <c r="G554" s="977"/>
      <c r="H554" s="977"/>
      <c r="I554" s="145"/>
      <c r="J554" s="145"/>
      <c r="K554" s="977"/>
      <c r="L554" s="977"/>
      <c r="M554" s="977"/>
      <c r="N554" s="977"/>
      <c r="O554" s="977"/>
      <c r="P554" s="977"/>
      <c r="Q554" s="977"/>
      <c r="R554" s="977"/>
      <c r="S554" s="977"/>
      <c r="T554" s="977"/>
      <c r="U554" s="977"/>
      <c r="V554" s="977"/>
      <c r="W554" s="977"/>
      <c r="X554" s="978"/>
      <c r="Y554" s="977"/>
      <c r="Z554" s="977"/>
      <c r="AA554" s="978"/>
      <c r="AB554" s="977"/>
      <c r="AC554" s="977"/>
      <c r="AD554" s="977"/>
      <c r="AE554" s="977"/>
      <c r="AF554" s="977"/>
      <c r="AG554" s="977"/>
    </row>
    <row r="555" spans="1:33" x14ac:dyDescent="0.2">
      <c r="A555" s="977"/>
      <c r="B555" s="977"/>
      <c r="C555" s="977"/>
      <c r="D555" s="977"/>
      <c r="E555" s="977"/>
      <c r="F555" s="977"/>
      <c r="G555" s="977"/>
      <c r="H555" s="977"/>
      <c r="I555" s="145"/>
      <c r="J555" s="145"/>
      <c r="K555" s="977"/>
      <c r="L555" s="977"/>
      <c r="M555" s="977"/>
      <c r="N555" s="977"/>
      <c r="O555" s="977"/>
      <c r="P555" s="977"/>
      <c r="Q555" s="977"/>
      <c r="R555" s="977"/>
      <c r="S555" s="977"/>
      <c r="T555" s="977"/>
      <c r="U555" s="977"/>
      <c r="V555" s="977"/>
      <c r="W555" s="977"/>
      <c r="X555" s="978"/>
      <c r="Y555" s="977"/>
      <c r="Z555" s="977"/>
      <c r="AA555" s="978"/>
      <c r="AB555" s="977"/>
      <c r="AC555" s="977"/>
      <c r="AD555" s="977"/>
      <c r="AE555" s="977"/>
      <c r="AF555" s="977"/>
      <c r="AG555" s="977"/>
    </row>
    <row r="556" spans="1:33" x14ac:dyDescent="0.2">
      <c r="A556" s="977"/>
      <c r="B556" s="977"/>
      <c r="C556" s="977"/>
      <c r="D556" s="977"/>
      <c r="E556" s="977"/>
      <c r="F556" s="977"/>
      <c r="G556" s="977"/>
      <c r="H556" s="977"/>
      <c r="I556" s="145"/>
      <c r="J556" s="145"/>
      <c r="K556" s="977"/>
      <c r="L556" s="977"/>
      <c r="M556" s="977"/>
      <c r="N556" s="977"/>
      <c r="O556" s="977"/>
      <c r="P556" s="977"/>
      <c r="Q556" s="977"/>
      <c r="R556" s="977"/>
      <c r="S556" s="977"/>
      <c r="T556" s="977"/>
      <c r="U556" s="977"/>
      <c r="V556" s="977"/>
      <c r="W556" s="977"/>
      <c r="X556" s="978"/>
      <c r="Y556" s="977"/>
      <c r="Z556" s="977"/>
      <c r="AA556" s="978"/>
      <c r="AB556" s="977"/>
      <c r="AC556" s="977"/>
      <c r="AD556" s="977"/>
      <c r="AE556" s="977"/>
      <c r="AF556" s="977"/>
      <c r="AG556" s="977"/>
    </row>
    <row r="557" spans="1:33" x14ac:dyDescent="0.2">
      <c r="A557" s="977"/>
      <c r="B557" s="977"/>
      <c r="C557" s="977"/>
      <c r="D557" s="977"/>
      <c r="E557" s="977"/>
      <c r="F557" s="977"/>
      <c r="G557" s="977"/>
      <c r="H557" s="977"/>
      <c r="I557" s="145"/>
      <c r="J557" s="145"/>
      <c r="K557" s="977"/>
      <c r="L557" s="977"/>
      <c r="M557" s="977"/>
      <c r="N557" s="977"/>
      <c r="O557" s="977"/>
      <c r="P557" s="977"/>
      <c r="Q557" s="977"/>
      <c r="R557" s="977"/>
      <c r="S557" s="977"/>
      <c r="T557" s="977"/>
      <c r="U557" s="977"/>
      <c r="V557" s="977"/>
      <c r="W557" s="977"/>
      <c r="X557" s="978"/>
      <c r="Y557" s="977"/>
      <c r="Z557" s="977"/>
      <c r="AA557" s="978"/>
      <c r="AB557" s="977"/>
      <c r="AC557" s="977"/>
      <c r="AD557" s="977"/>
      <c r="AE557" s="977"/>
      <c r="AF557" s="977"/>
      <c r="AG557" s="977"/>
    </row>
    <row r="558" spans="1:33" x14ac:dyDescent="0.2">
      <c r="A558" s="977"/>
      <c r="B558" s="977"/>
      <c r="C558" s="977"/>
      <c r="D558" s="977"/>
      <c r="E558" s="977"/>
      <c r="F558" s="977"/>
      <c r="G558" s="977"/>
      <c r="H558" s="977"/>
      <c r="I558" s="145"/>
      <c r="J558" s="145"/>
      <c r="K558" s="977"/>
      <c r="L558" s="977"/>
      <c r="M558" s="977"/>
      <c r="N558" s="977"/>
      <c r="O558" s="977"/>
      <c r="P558" s="977"/>
      <c r="Q558" s="977"/>
      <c r="R558" s="977"/>
      <c r="S558" s="977"/>
      <c r="T558" s="977"/>
      <c r="U558" s="977"/>
      <c r="V558" s="977"/>
      <c r="W558" s="977"/>
      <c r="X558" s="978"/>
      <c r="Y558" s="977"/>
      <c r="Z558" s="977"/>
      <c r="AA558" s="978"/>
      <c r="AB558" s="977"/>
      <c r="AC558" s="977"/>
      <c r="AD558" s="977"/>
      <c r="AE558" s="977"/>
      <c r="AF558" s="977"/>
      <c r="AG558" s="977"/>
    </row>
    <row r="559" spans="1:33" x14ac:dyDescent="0.2">
      <c r="A559" s="977"/>
      <c r="B559" s="977"/>
      <c r="C559" s="977"/>
      <c r="D559" s="977"/>
      <c r="E559" s="977"/>
      <c r="F559" s="977"/>
      <c r="G559" s="977"/>
      <c r="H559" s="977"/>
      <c r="I559" s="145"/>
      <c r="J559" s="145"/>
      <c r="K559" s="977"/>
      <c r="L559" s="977"/>
      <c r="M559" s="977"/>
      <c r="N559" s="977"/>
      <c r="O559" s="977"/>
      <c r="P559" s="977"/>
      <c r="Q559" s="977"/>
      <c r="R559" s="977"/>
      <c r="S559" s="977"/>
      <c r="T559" s="977"/>
      <c r="U559" s="977"/>
      <c r="V559" s="977"/>
      <c r="W559" s="977"/>
      <c r="X559" s="978"/>
      <c r="Y559" s="977"/>
      <c r="Z559" s="977"/>
      <c r="AA559" s="978"/>
      <c r="AB559" s="977"/>
      <c r="AC559" s="977"/>
      <c r="AD559" s="977"/>
      <c r="AE559" s="977"/>
      <c r="AF559" s="977"/>
      <c r="AG559" s="977"/>
    </row>
    <row r="560" spans="1:33" x14ac:dyDescent="0.2">
      <c r="A560" s="977"/>
      <c r="B560" s="977"/>
      <c r="C560" s="977"/>
      <c r="D560" s="977"/>
      <c r="E560" s="977"/>
      <c r="F560" s="977"/>
      <c r="G560" s="977"/>
      <c r="H560" s="977"/>
      <c r="I560" s="145"/>
      <c r="J560" s="145"/>
      <c r="K560" s="977"/>
      <c r="L560" s="977"/>
      <c r="M560" s="977"/>
      <c r="N560" s="977"/>
      <c r="O560" s="977"/>
      <c r="P560" s="977"/>
      <c r="Q560" s="977"/>
      <c r="R560" s="977"/>
      <c r="S560" s="977"/>
      <c r="T560" s="977"/>
      <c r="U560" s="977"/>
      <c r="V560" s="977"/>
      <c r="W560" s="977"/>
      <c r="X560" s="978"/>
      <c r="Y560" s="977"/>
      <c r="Z560" s="977"/>
      <c r="AA560" s="978"/>
      <c r="AB560" s="977"/>
      <c r="AC560" s="977"/>
      <c r="AD560" s="977"/>
      <c r="AE560" s="977"/>
      <c r="AF560" s="977"/>
      <c r="AG560" s="977"/>
    </row>
    <row r="561" spans="1:33" x14ac:dyDescent="0.2">
      <c r="A561" s="977"/>
      <c r="B561" s="977"/>
      <c r="C561" s="977"/>
      <c r="D561" s="977"/>
      <c r="E561" s="977"/>
      <c r="F561" s="977"/>
      <c r="G561" s="977"/>
      <c r="H561" s="977"/>
      <c r="I561" s="145"/>
      <c r="J561" s="145"/>
      <c r="K561" s="977"/>
      <c r="L561" s="977"/>
      <c r="M561" s="977"/>
      <c r="N561" s="977"/>
      <c r="O561" s="977"/>
      <c r="P561" s="977"/>
      <c r="Q561" s="977"/>
      <c r="R561" s="977"/>
      <c r="S561" s="977"/>
      <c r="T561" s="977"/>
      <c r="U561" s="977"/>
      <c r="V561" s="977"/>
      <c r="W561" s="977"/>
      <c r="X561" s="978"/>
      <c r="Y561" s="977"/>
      <c r="Z561" s="977"/>
      <c r="AA561" s="978"/>
      <c r="AB561" s="977"/>
      <c r="AC561" s="977"/>
      <c r="AD561" s="977"/>
      <c r="AE561" s="977"/>
      <c r="AF561" s="977"/>
      <c r="AG561" s="977"/>
    </row>
    <row r="562" spans="1:33" x14ac:dyDescent="0.2">
      <c r="A562" s="977"/>
      <c r="B562" s="977"/>
      <c r="C562" s="977"/>
      <c r="D562" s="977"/>
      <c r="E562" s="977"/>
      <c r="F562" s="977"/>
      <c r="G562" s="977"/>
      <c r="H562" s="977"/>
      <c r="I562" s="145"/>
      <c r="J562" s="145"/>
      <c r="K562" s="977"/>
      <c r="L562" s="977"/>
      <c r="M562" s="977"/>
      <c r="N562" s="977"/>
      <c r="O562" s="977"/>
      <c r="P562" s="977"/>
      <c r="Q562" s="977"/>
      <c r="R562" s="977"/>
      <c r="S562" s="977"/>
      <c r="T562" s="977"/>
      <c r="U562" s="977"/>
      <c r="V562" s="977"/>
      <c r="W562" s="977"/>
      <c r="X562" s="978"/>
      <c r="Y562" s="977"/>
      <c r="Z562" s="977"/>
      <c r="AA562" s="978"/>
      <c r="AB562" s="977"/>
      <c r="AC562" s="977"/>
      <c r="AD562" s="977"/>
      <c r="AE562" s="977"/>
      <c r="AF562" s="977"/>
      <c r="AG562" s="977"/>
    </row>
    <row r="563" spans="1:33" x14ac:dyDescent="0.2">
      <c r="A563" s="977"/>
      <c r="B563" s="977"/>
      <c r="C563" s="977"/>
      <c r="D563" s="977"/>
      <c r="E563" s="977"/>
      <c r="F563" s="977"/>
      <c r="G563" s="977"/>
      <c r="H563" s="977"/>
      <c r="I563" s="145"/>
      <c r="J563" s="145"/>
      <c r="K563" s="977"/>
      <c r="L563" s="977"/>
      <c r="M563" s="977"/>
      <c r="N563" s="977"/>
      <c r="O563" s="977"/>
      <c r="P563" s="977"/>
      <c r="Q563" s="977"/>
      <c r="R563" s="977"/>
      <c r="S563" s="977"/>
      <c r="T563" s="977"/>
      <c r="U563" s="977"/>
      <c r="V563" s="977"/>
      <c r="W563" s="977"/>
      <c r="X563" s="978"/>
      <c r="Y563" s="977"/>
      <c r="Z563" s="977"/>
      <c r="AA563" s="978"/>
      <c r="AB563" s="977"/>
      <c r="AC563" s="977"/>
      <c r="AD563" s="977"/>
      <c r="AE563" s="977"/>
      <c r="AF563" s="977"/>
      <c r="AG563" s="977"/>
    </row>
    <row r="564" spans="1:33" x14ac:dyDescent="0.2">
      <c r="A564" s="977"/>
      <c r="B564" s="977"/>
      <c r="C564" s="977"/>
      <c r="D564" s="977"/>
      <c r="E564" s="977"/>
      <c r="F564" s="977"/>
      <c r="G564" s="977"/>
      <c r="H564" s="977"/>
      <c r="I564" s="145"/>
      <c r="J564" s="145"/>
      <c r="K564" s="977"/>
      <c r="L564" s="977"/>
      <c r="M564" s="977"/>
      <c r="N564" s="977"/>
      <c r="O564" s="977"/>
      <c r="P564" s="977"/>
      <c r="Q564" s="977"/>
      <c r="R564" s="977"/>
      <c r="S564" s="977"/>
      <c r="T564" s="977"/>
      <c r="U564" s="977"/>
      <c r="V564" s="977"/>
      <c r="W564" s="977"/>
      <c r="X564" s="978"/>
      <c r="Y564" s="977"/>
      <c r="Z564" s="977"/>
      <c r="AA564" s="978"/>
      <c r="AB564" s="977"/>
      <c r="AC564" s="977"/>
      <c r="AD564" s="977"/>
      <c r="AE564" s="977"/>
      <c r="AF564" s="977"/>
      <c r="AG564" s="977"/>
    </row>
    <row r="565" spans="1:33" x14ac:dyDescent="0.2">
      <c r="A565" s="977"/>
      <c r="B565" s="977"/>
      <c r="C565" s="977"/>
      <c r="D565" s="977"/>
      <c r="E565" s="977"/>
      <c r="F565" s="977"/>
      <c r="G565" s="977"/>
      <c r="H565" s="977"/>
      <c r="I565" s="145"/>
      <c r="J565" s="145"/>
      <c r="K565" s="977"/>
      <c r="L565" s="977"/>
      <c r="M565" s="977"/>
      <c r="N565" s="977"/>
      <c r="O565" s="977"/>
      <c r="P565" s="977"/>
      <c r="Q565" s="977"/>
      <c r="R565" s="977"/>
      <c r="S565" s="977"/>
      <c r="T565" s="977"/>
      <c r="U565" s="977"/>
      <c r="V565" s="977"/>
      <c r="W565" s="977"/>
      <c r="X565" s="978"/>
      <c r="Y565" s="977"/>
      <c r="Z565" s="977"/>
      <c r="AA565" s="978"/>
      <c r="AB565" s="977"/>
      <c r="AC565" s="977"/>
      <c r="AD565" s="977"/>
      <c r="AE565" s="977"/>
      <c r="AF565" s="977"/>
      <c r="AG565" s="977"/>
    </row>
    <row r="566" spans="1:33" x14ac:dyDescent="0.2">
      <c r="A566" s="977"/>
      <c r="B566" s="977"/>
      <c r="C566" s="977"/>
      <c r="D566" s="977"/>
      <c r="E566" s="977"/>
      <c r="F566" s="977"/>
      <c r="G566" s="977"/>
      <c r="H566" s="977"/>
      <c r="I566" s="145"/>
      <c r="J566" s="145"/>
      <c r="K566" s="977"/>
      <c r="L566" s="977"/>
      <c r="M566" s="977"/>
      <c r="N566" s="977"/>
      <c r="O566" s="977"/>
      <c r="P566" s="977"/>
      <c r="Q566" s="977"/>
      <c r="R566" s="977"/>
      <c r="S566" s="977"/>
      <c r="T566" s="977"/>
      <c r="U566" s="977"/>
      <c r="V566" s="977"/>
      <c r="W566" s="977"/>
      <c r="X566" s="978"/>
      <c r="Y566" s="977"/>
      <c r="Z566" s="977"/>
      <c r="AA566" s="978"/>
      <c r="AB566" s="977"/>
      <c r="AC566" s="977"/>
      <c r="AD566" s="977"/>
      <c r="AE566" s="977"/>
      <c r="AF566" s="977"/>
      <c r="AG566" s="977"/>
    </row>
    <row r="567" spans="1:33" x14ac:dyDescent="0.2">
      <c r="A567" s="977"/>
      <c r="B567" s="977"/>
      <c r="C567" s="977"/>
      <c r="D567" s="977"/>
      <c r="E567" s="977"/>
      <c r="F567" s="977"/>
      <c r="G567" s="977"/>
      <c r="H567" s="977"/>
      <c r="I567" s="145"/>
      <c r="J567" s="145"/>
      <c r="K567" s="977"/>
      <c r="L567" s="977"/>
      <c r="M567" s="977"/>
      <c r="N567" s="977"/>
      <c r="O567" s="977"/>
      <c r="P567" s="977"/>
      <c r="Q567" s="977"/>
      <c r="R567" s="977"/>
      <c r="S567" s="977"/>
      <c r="T567" s="977"/>
      <c r="U567" s="977"/>
      <c r="V567" s="977"/>
      <c r="W567" s="977"/>
      <c r="X567" s="978"/>
      <c r="Y567" s="977"/>
      <c r="Z567" s="977"/>
      <c r="AA567" s="978"/>
      <c r="AB567" s="977"/>
      <c r="AC567" s="977"/>
      <c r="AD567" s="977"/>
      <c r="AE567" s="977"/>
      <c r="AF567" s="977"/>
      <c r="AG567" s="977"/>
    </row>
    <row r="568" spans="1:33" x14ac:dyDescent="0.2">
      <c r="A568" s="977"/>
      <c r="B568" s="977"/>
      <c r="C568" s="977"/>
      <c r="D568" s="977"/>
      <c r="E568" s="977"/>
      <c r="F568" s="977"/>
      <c r="G568" s="977"/>
      <c r="H568" s="977"/>
      <c r="I568" s="145"/>
      <c r="J568" s="145"/>
      <c r="K568" s="977"/>
      <c r="L568" s="977"/>
      <c r="M568" s="977"/>
      <c r="N568" s="977"/>
      <c r="O568" s="977"/>
      <c r="P568" s="977"/>
      <c r="Q568" s="977"/>
      <c r="R568" s="977"/>
      <c r="S568" s="977"/>
      <c r="T568" s="977"/>
      <c r="U568" s="977"/>
      <c r="V568" s="977"/>
      <c r="W568" s="977"/>
      <c r="X568" s="978"/>
      <c r="Y568" s="977"/>
      <c r="Z568" s="977"/>
      <c r="AA568" s="978"/>
      <c r="AB568" s="977"/>
      <c r="AC568" s="977"/>
      <c r="AD568" s="977"/>
      <c r="AE568" s="977"/>
      <c r="AF568" s="977"/>
      <c r="AG568" s="977"/>
    </row>
    <row r="569" spans="1:33" x14ac:dyDescent="0.2">
      <c r="A569" s="977"/>
      <c r="B569" s="977"/>
      <c r="C569" s="977"/>
      <c r="D569" s="977"/>
      <c r="E569" s="977"/>
      <c r="F569" s="977"/>
      <c r="G569" s="977"/>
      <c r="H569" s="977"/>
      <c r="I569" s="145"/>
      <c r="J569" s="145"/>
      <c r="K569" s="977"/>
      <c r="L569" s="977"/>
      <c r="M569" s="977"/>
      <c r="N569" s="977"/>
      <c r="O569" s="977"/>
      <c r="P569" s="977"/>
      <c r="Q569" s="977"/>
      <c r="R569" s="977"/>
      <c r="S569" s="977"/>
      <c r="T569" s="977"/>
      <c r="U569" s="977"/>
      <c r="V569" s="977"/>
      <c r="W569" s="977"/>
      <c r="X569" s="978"/>
      <c r="Y569" s="977"/>
      <c r="Z569" s="977"/>
      <c r="AA569" s="978"/>
      <c r="AB569" s="977"/>
      <c r="AC569" s="977"/>
      <c r="AD569" s="977"/>
      <c r="AE569" s="977"/>
      <c r="AF569" s="977"/>
      <c r="AG569" s="977"/>
    </row>
    <row r="570" spans="1:33" x14ac:dyDescent="0.2">
      <c r="A570" s="977"/>
      <c r="B570" s="977"/>
      <c r="C570" s="977"/>
      <c r="D570" s="977"/>
      <c r="E570" s="977"/>
      <c r="F570" s="977"/>
      <c r="G570" s="977"/>
      <c r="H570" s="977"/>
      <c r="I570" s="145"/>
      <c r="J570" s="145"/>
      <c r="K570" s="977"/>
      <c r="L570" s="977"/>
      <c r="M570" s="977"/>
      <c r="N570" s="977"/>
      <c r="O570" s="977"/>
      <c r="P570" s="977"/>
      <c r="Q570" s="977"/>
      <c r="R570" s="977"/>
      <c r="S570" s="977"/>
      <c r="T570" s="977"/>
      <c r="U570" s="977"/>
      <c r="V570" s="977"/>
      <c r="W570" s="977"/>
      <c r="X570" s="978"/>
      <c r="Y570" s="977"/>
      <c r="Z570" s="977"/>
      <c r="AA570" s="978"/>
      <c r="AB570" s="977"/>
      <c r="AC570" s="977"/>
      <c r="AD570" s="977"/>
      <c r="AE570" s="977"/>
      <c r="AF570" s="977"/>
      <c r="AG570" s="977"/>
    </row>
    <row r="571" spans="1:33" x14ac:dyDescent="0.2">
      <c r="A571" s="977"/>
      <c r="B571" s="977"/>
      <c r="C571" s="977"/>
      <c r="D571" s="977"/>
      <c r="E571" s="977"/>
      <c r="F571" s="977"/>
      <c r="G571" s="977"/>
      <c r="H571" s="977"/>
      <c r="I571" s="145"/>
      <c r="J571" s="145"/>
      <c r="K571" s="977"/>
      <c r="L571" s="977"/>
      <c r="M571" s="977"/>
      <c r="N571" s="977"/>
      <c r="O571" s="977"/>
      <c r="P571" s="977"/>
      <c r="Q571" s="977"/>
      <c r="R571" s="977"/>
      <c r="S571" s="977"/>
      <c r="T571" s="977"/>
      <c r="U571" s="977"/>
      <c r="V571" s="977"/>
      <c r="W571" s="977"/>
      <c r="X571" s="978"/>
      <c r="Y571" s="977"/>
      <c r="Z571" s="977"/>
      <c r="AA571" s="978"/>
      <c r="AB571" s="977"/>
      <c r="AC571" s="977"/>
      <c r="AD571" s="977"/>
      <c r="AE571" s="977"/>
      <c r="AF571" s="977"/>
      <c r="AG571" s="977"/>
    </row>
    <row r="572" spans="1:33" x14ac:dyDescent="0.2">
      <c r="A572" s="977"/>
      <c r="B572" s="977"/>
      <c r="C572" s="977"/>
      <c r="D572" s="977"/>
      <c r="E572" s="977"/>
      <c r="F572" s="977"/>
      <c r="G572" s="977"/>
      <c r="H572" s="977"/>
      <c r="I572" s="145"/>
      <c r="J572" s="145"/>
      <c r="K572" s="977"/>
      <c r="L572" s="977"/>
      <c r="M572" s="977"/>
      <c r="N572" s="977"/>
      <c r="O572" s="977"/>
      <c r="P572" s="977"/>
      <c r="Q572" s="977"/>
      <c r="R572" s="977"/>
      <c r="S572" s="977"/>
      <c r="T572" s="977"/>
      <c r="U572" s="977"/>
      <c r="V572" s="977"/>
      <c r="W572" s="977"/>
      <c r="X572" s="978"/>
      <c r="Y572" s="977"/>
      <c r="Z572" s="977"/>
      <c r="AA572" s="978"/>
      <c r="AB572" s="977"/>
      <c r="AC572" s="977"/>
      <c r="AD572" s="977"/>
      <c r="AE572" s="977"/>
      <c r="AF572" s="977"/>
      <c r="AG572" s="977"/>
    </row>
    <row r="573" spans="1:33" x14ac:dyDescent="0.2">
      <c r="A573" s="977"/>
      <c r="B573" s="977"/>
      <c r="C573" s="977"/>
      <c r="D573" s="977"/>
      <c r="E573" s="977"/>
      <c r="F573" s="977"/>
      <c r="G573" s="977"/>
      <c r="H573" s="977"/>
      <c r="I573" s="145"/>
      <c r="J573" s="145"/>
      <c r="K573" s="977"/>
      <c r="L573" s="977"/>
      <c r="M573" s="977"/>
      <c r="N573" s="977"/>
      <c r="O573" s="977"/>
      <c r="P573" s="977"/>
      <c r="Q573" s="977"/>
      <c r="R573" s="977"/>
      <c r="S573" s="977"/>
      <c r="T573" s="977"/>
      <c r="U573" s="977"/>
      <c r="V573" s="977"/>
      <c r="W573" s="977"/>
      <c r="X573" s="978"/>
      <c r="Y573" s="977"/>
      <c r="Z573" s="977"/>
      <c r="AA573" s="978"/>
      <c r="AB573" s="977"/>
      <c r="AC573" s="977"/>
      <c r="AD573" s="977"/>
      <c r="AE573" s="977"/>
      <c r="AF573" s="977"/>
      <c r="AG573" s="977"/>
    </row>
    <row r="574" spans="1:33" x14ac:dyDescent="0.2">
      <c r="A574" s="977"/>
      <c r="B574" s="977"/>
      <c r="C574" s="977"/>
      <c r="D574" s="977"/>
      <c r="E574" s="977"/>
      <c r="F574" s="977"/>
      <c r="G574" s="977"/>
      <c r="H574" s="977"/>
      <c r="I574" s="145"/>
      <c r="J574" s="145"/>
      <c r="K574" s="977"/>
      <c r="L574" s="977"/>
      <c r="M574" s="977"/>
      <c r="N574" s="977"/>
      <c r="O574" s="977"/>
      <c r="P574" s="977"/>
      <c r="Q574" s="977"/>
      <c r="R574" s="977"/>
      <c r="S574" s="977"/>
      <c r="T574" s="977"/>
      <c r="U574" s="977"/>
      <c r="V574" s="977"/>
      <c r="W574" s="977"/>
      <c r="X574" s="978"/>
      <c r="Y574" s="977"/>
      <c r="Z574" s="977"/>
      <c r="AA574" s="978"/>
      <c r="AB574" s="977"/>
      <c r="AC574" s="977"/>
      <c r="AD574" s="977"/>
      <c r="AE574" s="977"/>
      <c r="AF574" s="977"/>
      <c r="AG574" s="977"/>
    </row>
    <row r="575" spans="1:33" x14ac:dyDescent="0.2">
      <c r="A575" s="977"/>
      <c r="B575" s="977"/>
      <c r="C575" s="977"/>
      <c r="D575" s="977"/>
      <c r="E575" s="977"/>
      <c r="F575" s="977"/>
      <c r="G575" s="977"/>
      <c r="H575" s="977"/>
      <c r="I575" s="145"/>
      <c r="J575" s="145"/>
      <c r="K575" s="977"/>
      <c r="L575" s="977"/>
      <c r="M575" s="977"/>
      <c r="N575" s="977"/>
      <c r="O575" s="977"/>
      <c r="P575" s="977"/>
      <c r="Q575" s="977"/>
      <c r="R575" s="977"/>
      <c r="S575" s="977"/>
      <c r="T575" s="977"/>
      <c r="U575" s="977"/>
      <c r="V575" s="977"/>
      <c r="W575" s="977"/>
      <c r="X575" s="978"/>
      <c r="Y575" s="977"/>
      <c r="Z575" s="977"/>
      <c r="AA575" s="978"/>
      <c r="AB575" s="977"/>
      <c r="AC575" s="977"/>
      <c r="AD575" s="977"/>
      <c r="AE575" s="977"/>
      <c r="AF575" s="977"/>
      <c r="AG575" s="977"/>
    </row>
    <row r="576" spans="1:33" x14ac:dyDescent="0.2">
      <c r="A576" s="977"/>
      <c r="B576" s="977"/>
      <c r="C576" s="977"/>
      <c r="D576" s="977"/>
      <c r="E576" s="977"/>
      <c r="F576" s="977"/>
      <c r="G576" s="977"/>
      <c r="H576" s="977"/>
      <c r="I576" s="145"/>
      <c r="J576" s="145"/>
      <c r="K576" s="977"/>
      <c r="L576" s="977"/>
      <c r="M576" s="977"/>
      <c r="N576" s="977"/>
      <c r="O576" s="977"/>
      <c r="P576" s="977"/>
      <c r="Q576" s="977"/>
      <c r="R576" s="977"/>
      <c r="S576" s="977"/>
      <c r="T576" s="977"/>
      <c r="U576" s="977"/>
      <c r="V576" s="977"/>
      <c r="W576" s="977"/>
      <c r="X576" s="978"/>
      <c r="Y576" s="977"/>
      <c r="Z576" s="977"/>
      <c r="AA576" s="978"/>
      <c r="AB576" s="977"/>
      <c r="AC576" s="977"/>
      <c r="AD576" s="977"/>
      <c r="AE576" s="977"/>
      <c r="AF576" s="977"/>
      <c r="AG576" s="977"/>
    </row>
    <row r="577" spans="1:33" x14ac:dyDescent="0.2">
      <c r="A577" s="977"/>
      <c r="B577" s="977"/>
      <c r="C577" s="977"/>
      <c r="D577" s="977"/>
      <c r="E577" s="977"/>
      <c r="F577" s="977"/>
      <c r="G577" s="977"/>
      <c r="H577" s="977"/>
      <c r="I577" s="145"/>
      <c r="J577" s="145"/>
      <c r="K577" s="977"/>
      <c r="L577" s="977"/>
      <c r="M577" s="977"/>
      <c r="N577" s="977"/>
      <c r="O577" s="977"/>
      <c r="P577" s="977"/>
      <c r="Q577" s="977"/>
      <c r="R577" s="977"/>
      <c r="S577" s="977"/>
      <c r="T577" s="977"/>
      <c r="U577" s="977"/>
      <c r="V577" s="977"/>
      <c r="W577" s="977"/>
      <c r="X577" s="978"/>
      <c r="Y577" s="977"/>
      <c r="Z577" s="977"/>
      <c r="AA577" s="978"/>
      <c r="AB577" s="977"/>
      <c r="AC577" s="977"/>
      <c r="AD577" s="977"/>
      <c r="AE577" s="977"/>
      <c r="AF577" s="977"/>
      <c r="AG577" s="977"/>
    </row>
    <row r="578" spans="1:33" x14ac:dyDescent="0.2">
      <c r="A578" s="977"/>
      <c r="B578" s="977"/>
      <c r="C578" s="977"/>
      <c r="D578" s="977"/>
      <c r="E578" s="977"/>
      <c r="F578" s="977"/>
      <c r="G578" s="977"/>
      <c r="H578" s="977"/>
      <c r="I578" s="145"/>
      <c r="J578" s="145"/>
      <c r="K578" s="977"/>
      <c r="L578" s="977"/>
      <c r="M578" s="977"/>
      <c r="N578" s="977"/>
      <c r="O578" s="977"/>
      <c r="P578" s="977"/>
      <c r="Q578" s="977"/>
      <c r="R578" s="977"/>
      <c r="S578" s="977"/>
      <c r="T578" s="977"/>
      <c r="U578" s="977"/>
      <c r="V578" s="977"/>
      <c r="W578" s="977"/>
      <c r="X578" s="978"/>
      <c r="Y578" s="977"/>
      <c r="Z578" s="977"/>
      <c r="AA578" s="978"/>
      <c r="AB578" s="977"/>
      <c r="AC578" s="977"/>
      <c r="AD578" s="977"/>
      <c r="AE578" s="977"/>
      <c r="AF578" s="977"/>
      <c r="AG578" s="977"/>
    </row>
    <row r="579" spans="1:33" x14ac:dyDescent="0.2">
      <c r="A579" s="977"/>
      <c r="B579" s="977"/>
      <c r="C579" s="977"/>
      <c r="D579" s="977"/>
      <c r="E579" s="977"/>
      <c r="F579" s="977"/>
      <c r="G579" s="977"/>
      <c r="H579" s="977"/>
      <c r="I579" s="145"/>
      <c r="J579" s="145"/>
      <c r="K579" s="977"/>
      <c r="L579" s="977"/>
      <c r="M579" s="977"/>
      <c r="N579" s="977"/>
      <c r="O579" s="977"/>
      <c r="P579" s="977"/>
      <c r="Q579" s="977"/>
      <c r="R579" s="977"/>
      <c r="S579" s="977"/>
      <c r="T579" s="977"/>
      <c r="U579" s="977"/>
      <c r="V579" s="977"/>
      <c r="W579" s="977"/>
      <c r="X579" s="978"/>
      <c r="Y579" s="977"/>
      <c r="Z579" s="977"/>
      <c r="AA579" s="978"/>
      <c r="AB579" s="977"/>
      <c r="AC579" s="977"/>
      <c r="AD579" s="977"/>
      <c r="AE579" s="977"/>
      <c r="AF579" s="977"/>
      <c r="AG579" s="977"/>
    </row>
    <row r="580" spans="1:33" x14ac:dyDescent="0.2">
      <c r="A580" s="977"/>
      <c r="B580" s="977"/>
      <c r="C580" s="977"/>
      <c r="D580" s="977"/>
      <c r="E580" s="977"/>
      <c r="F580" s="977"/>
      <c r="G580" s="977"/>
      <c r="H580" s="977"/>
      <c r="I580" s="145"/>
      <c r="J580" s="145"/>
      <c r="K580" s="977"/>
      <c r="L580" s="977"/>
      <c r="M580" s="977"/>
      <c r="N580" s="977"/>
      <c r="O580" s="977"/>
      <c r="P580" s="977"/>
      <c r="Q580" s="977"/>
      <c r="R580" s="977"/>
      <c r="S580" s="977"/>
      <c r="T580" s="977"/>
      <c r="U580" s="977"/>
      <c r="V580" s="977"/>
      <c r="W580" s="977"/>
      <c r="X580" s="978"/>
      <c r="Y580" s="977"/>
      <c r="Z580" s="977"/>
      <c r="AA580" s="978"/>
      <c r="AB580" s="977"/>
      <c r="AC580" s="977"/>
      <c r="AD580" s="977"/>
      <c r="AE580" s="977"/>
      <c r="AF580" s="977"/>
      <c r="AG580" s="977"/>
    </row>
    <row r="581" spans="1:33" x14ac:dyDescent="0.2">
      <c r="A581" s="977"/>
      <c r="B581" s="977"/>
      <c r="C581" s="977"/>
      <c r="D581" s="977"/>
      <c r="E581" s="977"/>
      <c r="F581" s="977"/>
      <c r="G581" s="977"/>
      <c r="H581" s="977"/>
      <c r="I581" s="145"/>
      <c r="J581" s="145"/>
      <c r="K581" s="977"/>
      <c r="L581" s="977"/>
      <c r="M581" s="977"/>
      <c r="N581" s="977"/>
      <c r="O581" s="977"/>
      <c r="P581" s="977"/>
      <c r="Q581" s="977"/>
      <c r="R581" s="977"/>
      <c r="S581" s="977"/>
      <c r="T581" s="977"/>
      <c r="U581" s="977"/>
      <c r="V581" s="977"/>
      <c r="W581" s="977"/>
      <c r="X581" s="978"/>
      <c r="Y581" s="977"/>
      <c r="Z581" s="977"/>
      <c r="AA581" s="978"/>
      <c r="AB581" s="977"/>
      <c r="AC581" s="977"/>
      <c r="AD581" s="977"/>
      <c r="AE581" s="977"/>
      <c r="AF581" s="977"/>
      <c r="AG581" s="977"/>
    </row>
    <row r="582" spans="1:33" x14ac:dyDescent="0.2">
      <c r="A582" s="977"/>
      <c r="B582" s="977"/>
      <c r="C582" s="977"/>
      <c r="D582" s="977"/>
      <c r="E582" s="977"/>
      <c r="F582" s="977"/>
      <c r="G582" s="977"/>
      <c r="H582" s="977"/>
      <c r="I582" s="145"/>
      <c r="J582" s="145"/>
      <c r="K582" s="977"/>
      <c r="L582" s="977"/>
      <c r="M582" s="977"/>
      <c r="N582" s="977"/>
      <c r="O582" s="977"/>
      <c r="P582" s="977"/>
      <c r="Q582" s="977"/>
      <c r="R582" s="977"/>
      <c r="S582" s="977"/>
      <c r="T582" s="977"/>
      <c r="U582" s="977"/>
      <c r="V582" s="977"/>
      <c r="W582" s="977"/>
      <c r="X582" s="978"/>
      <c r="Y582" s="977"/>
      <c r="Z582" s="977"/>
      <c r="AA582" s="978"/>
      <c r="AB582" s="977"/>
      <c r="AC582" s="977"/>
      <c r="AD582" s="977"/>
      <c r="AE582" s="977"/>
      <c r="AF582" s="977"/>
      <c r="AG582" s="977"/>
    </row>
    <row r="583" spans="1:33" x14ac:dyDescent="0.2">
      <c r="A583" s="977"/>
      <c r="B583" s="977"/>
      <c r="C583" s="977"/>
      <c r="D583" s="977"/>
      <c r="E583" s="977"/>
      <c r="F583" s="977"/>
      <c r="G583" s="977"/>
      <c r="H583" s="977"/>
      <c r="I583" s="145"/>
      <c r="J583" s="145"/>
      <c r="K583" s="977"/>
      <c r="L583" s="977"/>
      <c r="M583" s="977"/>
      <c r="N583" s="977"/>
      <c r="O583" s="977"/>
      <c r="P583" s="977"/>
      <c r="Q583" s="977"/>
      <c r="R583" s="977"/>
      <c r="S583" s="977"/>
      <c r="T583" s="977"/>
      <c r="U583" s="977"/>
      <c r="V583" s="977"/>
      <c r="W583" s="977"/>
      <c r="X583" s="978"/>
      <c r="Y583" s="977"/>
      <c r="Z583" s="977"/>
      <c r="AA583" s="978"/>
      <c r="AB583" s="977"/>
      <c r="AC583" s="977"/>
      <c r="AD583" s="977"/>
      <c r="AE583" s="977"/>
      <c r="AF583" s="977"/>
      <c r="AG583" s="977"/>
    </row>
    <row r="584" spans="1:33" x14ac:dyDescent="0.2">
      <c r="A584" s="977"/>
      <c r="B584" s="977"/>
      <c r="C584" s="977"/>
      <c r="D584" s="977"/>
      <c r="E584" s="977"/>
      <c r="F584" s="977"/>
      <c r="G584" s="977"/>
      <c r="H584" s="977"/>
      <c r="I584" s="145"/>
      <c r="J584" s="145"/>
      <c r="K584" s="977"/>
      <c r="L584" s="977"/>
      <c r="M584" s="977"/>
      <c r="N584" s="977"/>
      <c r="O584" s="977"/>
      <c r="P584" s="977"/>
      <c r="Q584" s="977"/>
      <c r="R584" s="977"/>
      <c r="S584" s="977"/>
      <c r="T584" s="977"/>
      <c r="U584" s="977"/>
      <c r="V584" s="977"/>
      <c r="W584" s="977"/>
      <c r="X584" s="978"/>
      <c r="Y584" s="977"/>
      <c r="Z584" s="977"/>
      <c r="AA584" s="978"/>
      <c r="AB584" s="977"/>
      <c r="AC584" s="977"/>
      <c r="AD584" s="977"/>
      <c r="AE584" s="977"/>
      <c r="AF584" s="977"/>
      <c r="AG584" s="977"/>
    </row>
    <row r="585" spans="1:33" x14ac:dyDescent="0.2">
      <c r="A585" s="977"/>
      <c r="B585" s="977"/>
      <c r="C585" s="977"/>
      <c r="D585" s="977"/>
      <c r="E585" s="977"/>
      <c r="F585" s="977"/>
      <c r="G585" s="977"/>
      <c r="H585" s="977"/>
      <c r="I585" s="145"/>
      <c r="J585" s="145"/>
      <c r="K585" s="977"/>
      <c r="L585" s="977"/>
      <c r="M585" s="977"/>
      <c r="N585" s="977"/>
      <c r="O585" s="977"/>
      <c r="P585" s="977"/>
      <c r="Q585" s="977"/>
      <c r="R585" s="977"/>
      <c r="S585" s="977"/>
      <c r="T585" s="977"/>
      <c r="U585" s="977"/>
      <c r="V585" s="977"/>
      <c r="W585" s="977"/>
      <c r="X585" s="978"/>
      <c r="Y585" s="977"/>
      <c r="Z585" s="977"/>
      <c r="AA585" s="978"/>
      <c r="AB585" s="977"/>
      <c r="AC585" s="977"/>
      <c r="AD585" s="977"/>
      <c r="AE585" s="977"/>
      <c r="AF585" s="977"/>
      <c r="AG585" s="977"/>
    </row>
    <row r="586" spans="1:33" x14ac:dyDescent="0.2">
      <c r="A586" s="977"/>
      <c r="B586" s="977"/>
      <c r="C586" s="977"/>
      <c r="D586" s="977"/>
      <c r="E586" s="977"/>
      <c r="F586" s="977"/>
      <c r="G586" s="977"/>
      <c r="H586" s="977"/>
      <c r="I586" s="145"/>
      <c r="J586" s="145"/>
      <c r="K586" s="977"/>
      <c r="L586" s="977"/>
      <c r="M586" s="977"/>
      <c r="N586" s="977"/>
      <c r="O586" s="977"/>
      <c r="P586" s="977"/>
      <c r="Q586" s="977"/>
      <c r="R586" s="977"/>
      <c r="S586" s="977"/>
      <c r="T586" s="977"/>
      <c r="U586" s="977"/>
      <c r="V586" s="977"/>
      <c r="W586" s="977"/>
      <c r="X586" s="978"/>
      <c r="Y586" s="977"/>
      <c r="Z586" s="977"/>
      <c r="AA586" s="978"/>
      <c r="AB586" s="977"/>
      <c r="AC586" s="977"/>
      <c r="AD586" s="977"/>
      <c r="AE586" s="977"/>
      <c r="AF586" s="977"/>
      <c r="AG586" s="977"/>
    </row>
    <row r="587" spans="1:33" x14ac:dyDescent="0.2">
      <c r="A587" s="977"/>
      <c r="B587" s="977"/>
      <c r="C587" s="977"/>
      <c r="D587" s="977"/>
      <c r="E587" s="977"/>
      <c r="F587" s="977"/>
      <c r="G587" s="977"/>
      <c r="H587" s="977"/>
      <c r="I587" s="145"/>
      <c r="J587" s="145"/>
      <c r="K587" s="977"/>
      <c r="L587" s="977"/>
      <c r="M587" s="977"/>
      <c r="N587" s="977"/>
      <c r="O587" s="977"/>
      <c r="P587" s="977"/>
      <c r="Q587" s="977"/>
      <c r="R587" s="977"/>
      <c r="S587" s="977"/>
      <c r="T587" s="977"/>
      <c r="U587" s="977"/>
      <c r="V587" s="977"/>
      <c r="W587" s="977"/>
      <c r="X587" s="978"/>
      <c r="Y587" s="977"/>
      <c r="Z587" s="977"/>
      <c r="AA587" s="978"/>
      <c r="AB587" s="977"/>
      <c r="AC587" s="977"/>
      <c r="AD587" s="977"/>
      <c r="AE587" s="977"/>
      <c r="AF587" s="977"/>
      <c r="AG587" s="977"/>
    </row>
    <row r="588" spans="1:33" x14ac:dyDescent="0.2">
      <c r="A588" s="977"/>
      <c r="B588" s="977"/>
      <c r="C588" s="977"/>
      <c r="D588" s="977"/>
      <c r="E588" s="977"/>
      <c r="F588" s="977"/>
      <c r="G588" s="977"/>
      <c r="H588" s="977"/>
      <c r="I588" s="145"/>
      <c r="J588" s="145"/>
      <c r="K588" s="977"/>
      <c r="L588" s="977"/>
      <c r="M588" s="977"/>
      <c r="N588" s="977"/>
      <c r="O588" s="977"/>
      <c r="P588" s="977"/>
      <c r="Q588" s="977"/>
      <c r="R588" s="977"/>
      <c r="S588" s="977"/>
      <c r="T588" s="977"/>
      <c r="U588" s="977"/>
      <c r="V588" s="977"/>
      <c r="W588" s="977"/>
      <c r="X588" s="978"/>
      <c r="Y588" s="977"/>
      <c r="Z588" s="977"/>
      <c r="AA588" s="978"/>
      <c r="AB588" s="977"/>
      <c r="AC588" s="977"/>
      <c r="AD588" s="977"/>
      <c r="AE588" s="977"/>
      <c r="AF588" s="977"/>
      <c r="AG588" s="977"/>
    </row>
    <row r="589" spans="1:33" x14ac:dyDescent="0.2">
      <c r="A589" s="977"/>
      <c r="B589" s="977"/>
      <c r="C589" s="977"/>
      <c r="D589" s="977"/>
      <c r="E589" s="977"/>
      <c r="F589" s="977"/>
      <c r="G589" s="977"/>
      <c r="H589" s="977"/>
      <c r="I589" s="145"/>
      <c r="J589" s="145"/>
      <c r="K589" s="977"/>
      <c r="L589" s="977"/>
      <c r="M589" s="977"/>
      <c r="N589" s="977"/>
      <c r="O589" s="977"/>
      <c r="P589" s="977"/>
      <c r="Q589" s="977"/>
      <c r="R589" s="977"/>
      <c r="S589" s="977"/>
      <c r="T589" s="977"/>
      <c r="U589" s="977"/>
      <c r="V589" s="977"/>
      <c r="W589" s="977"/>
      <c r="X589" s="978"/>
      <c r="Y589" s="977"/>
      <c r="Z589" s="977"/>
      <c r="AA589" s="978"/>
      <c r="AB589" s="977"/>
      <c r="AC589" s="977"/>
      <c r="AD589" s="977"/>
      <c r="AE589" s="977"/>
      <c r="AF589" s="977"/>
      <c r="AG589" s="977"/>
    </row>
    <row r="590" spans="1:33" x14ac:dyDescent="0.2">
      <c r="A590" s="977"/>
      <c r="B590" s="977"/>
      <c r="C590" s="977"/>
      <c r="D590" s="977"/>
      <c r="E590" s="977"/>
      <c r="F590" s="977"/>
      <c r="G590" s="977"/>
      <c r="H590" s="977"/>
      <c r="I590" s="145"/>
      <c r="J590" s="145"/>
      <c r="K590" s="977"/>
      <c r="L590" s="977"/>
      <c r="M590" s="977"/>
      <c r="N590" s="977"/>
      <c r="O590" s="977"/>
      <c r="P590" s="977"/>
      <c r="Q590" s="977"/>
      <c r="R590" s="977"/>
      <c r="S590" s="977"/>
      <c r="T590" s="977"/>
      <c r="U590" s="977"/>
      <c r="V590" s="977"/>
      <c r="W590" s="977"/>
      <c r="X590" s="978"/>
      <c r="Y590" s="977"/>
      <c r="Z590" s="977"/>
      <c r="AA590" s="978"/>
      <c r="AB590" s="977"/>
      <c r="AC590" s="977"/>
      <c r="AD590" s="977"/>
      <c r="AE590" s="977"/>
      <c r="AF590" s="977"/>
      <c r="AG590" s="977"/>
    </row>
    <row r="591" spans="1:33" x14ac:dyDescent="0.2">
      <c r="A591" s="977"/>
      <c r="B591" s="977"/>
      <c r="C591" s="977"/>
      <c r="D591" s="977"/>
      <c r="E591" s="977"/>
      <c r="F591" s="977"/>
      <c r="G591" s="977"/>
      <c r="H591" s="977"/>
      <c r="I591" s="145"/>
      <c r="J591" s="145"/>
      <c r="K591" s="977"/>
      <c r="L591" s="977"/>
      <c r="M591" s="977"/>
      <c r="N591" s="977"/>
      <c r="O591" s="977"/>
      <c r="P591" s="977"/>
      <c r="Q591" s="977"/>
      <c r="R591" s="977"/>
      <c r="S591" s="977"/>
      <c r="T591" s="977"/>
      <c r="U591" s="977"/>
      <c r="V591" s="977"/>
      <c r="W591" s="977"/>
      <c r="X591" s="978"/>
      <c r="Y591" s="977"/>
      <c r="Z591" s="977"/>
      <c r="AA591" s="978"/>
      <c r="AB591" s="977"/>
      <c r="AC591" s="977"/>
      <c r="AD591" s="977"/>
      <c r="AE591" s="977"/>
      <c r="AF591" s="977"/>
      <c r="AG591" s="977"/>
    </row>
    <row r="592" spans="1:33" x14ac:dyDescent="0.2">
      <c r="A592" s="977"/>
      <c r="B592" s="977"/>
      <c r="C592" s="977"/>
      <c r="D592" s="977"/>
      <c r="E592" s="977"/>
      <c r="F592" s="977"/>
      <c r="G592" s="977"/>
      <c r="H592" s="977"/>
      <c r="I592" s="145"/>
      <c r="J592" s="145"/>
      <c r="K592" s="977"/>
      <c r="L592" s="977"/>
      <c r="M592" s="977"/>
      <c r="N592" s="977"/>
      <c r="O592" s="977"/>
      <c r="P592" s="977"/>
      <c r="Q592" s="977"/>
      <c r="R592" s="977"/>
      <c r="S592" s="977"/>
      <c r="T592" s="977"/>
      <c r="U592" s="977"/>
      <c r="V592" s="977"/>
      <c r="W592" s="977"/>
      <c r="X592" s="978"/>
      <c r="Y592" s="977"/>
      <c r="Z592" s="977"/>
      <c r="AA592" s="978"/>
      <c r="AB592" s="977"/>
      <c r="AC592" s="977"/>
      <c r="AD592" s="977"/>
      <c r="AE592" s="977"/>
      <c r="AF592" s="977"/>
      <c r="AG592" s="977"/>
    </row>
    <row r="593" spans="1:33" x14ac:dyDescent="0.2">
      <c r="A593" s="977"/>
      <c r="B593" s="977"/>
      <c r="C593" s="977"/>
      <c r="D593" s="977"/>
      <c r="E593" s="977"/>
      <c r="F593" s="977"/>
      <c r="G593" s="977"/>
      <c r="H593" s="977"/>
      <c r="I593" s="145"/>
      <c r="J593" s="145"/>
      <c r="K593" s="977"/>
      <c r="L593" s="977"/>
      <c r="M593" s="977"/>
      <c r="N593" s="977"/>
      <c r="O593" s="977"/>
      <c r="P593" s="977"/>
      <c r="Q593" s="977"/>
      <c r="R593" s="977"/>
      <c r="S593" s="977"/>
      <c r="T593" s="977"/>
      <c r="U593" s="977"/>
      <c r="V593" s="977"/>
      <c r="W593" s="977"/>
      <c r="X593" s="978"/>
      <c r="Y593" s="977"/>
      <c r="Z593" s="977"/>
      <c r="AA593" s="978"/>
      <c r="AB593" s="977"/>
      <c r="AC593" s="977"/>
      <c r="AD593" s="977"/>
      <c r="AE593" s="977"/>
      <c r="AF593" s="977"/>
      <c r="AG593" s="977"/>
    </row>
    <row r="594" spans="1:33" x14ac:dyDescent="0.2">
      <c r="A594" s="977"/>
      <c r="B594" s="977"/>
      <c r="C594" s="977"/>
      <c r="D594" s="977"/>
      <c r="E594" s="977"/>
      <c r="F594" s="977"/>
      <c r="G594" s="977"/>
      <c r="H594" s="977"/>
      <c r="I594" s="145"/>
      <c r="J594" s="145"/>
      <c r="K594" s="977"/>
      <c r="L594" s="977"/>
      <c r="M594" s="977"/>
      <c r="N594" s="977"/>
      <c r="O594" s="977"/>
      <c r="P594" s="977"/>
      <c r="Q594" s="977"/>
      <c r="R594" s="977"/>
      <c r="S594" s="977"/>
      <c r="T594" s="977"/>
      <c r="U594" s="977"/>
      <c r="V594" s="977"/>
      <c r="W594" s="977"/>
      <c r="X594" s="978"/>
      <c r="Y594" s="977"/>
      <c r="Z594" s="977"/>
      <c r="AA594" s="978"/>
      <c r="AB594" s="977"/>
      <c r="AC594" s="977"/>
      <c r="AD594" s="977"/>
      <c r="AE594" s="977"/>
      <c r="AF594" s="977"/>
      <c r="AG594" s="977"/>
    </row>
    <row r="595" spans="1:33" x14ac:dyDescent="0.2">
      <c r="A595" s="977"/>
      <c r="B595" s="977"/>
      <c r="C595" s="977"/>
      <c r="D595" s="977"/>
      <c r="E595" s="977"/>
      <c r="F595" s="977"/>
      <c r="G595" s="977"/>
      <c r="H595" s="977"/>
      <c r="I595" s="145"/>
      <c r="J595" s="145"/>
      <c r="K595" s="977"/>
      <c r="L595" s="977"/>
      <c r="M595" s="977"/>
      <c r="N595" s="977"/>
      <c r="O595" s="977"/>
      <c r="P595" s="977"/>
      <c r="Q595" s="977"/>
      <c r="R595" s="977"/>
      <c r="S595" s="977"/>
      <c r="T595" s="977"/>
      <c r="U595" s="977"/>
      <c r="V595" s="977"/>
      <c r="W595" s="977"/>
      <c r="X595" s="978"/>
      <c r="Y595" s="977"/>
      <c r="Z595" s="977"/>
      <c r="AA595" s="978"/>
      <c r="AB595" s="977"/>
      <c r="AC595" s="977"/>
      <c r="AD595" s="977"/>
      <c r="AE595" s="977"/>
      <c r="AF595" s="977"/>
      <c r="AG595" s="977"/>
    </row>
    <row r="596" spans="1:33" x14ac:dyDescent="0.2">
      <c r="A596" s="977"/>
      <c r="B596" s="977"/>
      <c r="C596" s="977"/>
      <c r="D596" s="977"/>
      <c r="E596" s="977"/>
      <c r="F596" s="977"/>
      <c r="G596" s="977"/>
      <c r="H596" s="977"/>
      <c r="I596" s="145"/>
      <c r="J596" s="145"/>
      <c r="K596" s="977"/>
      <c r="L596" s="977"/>
      <c r="M596" s="977"/>
      <c r="N596" s="977"/>
      <c r="O596" s="977"/>
      <c r="P596" s="977"/>
      <c r="Q596" s="977"/>
      <c r="R596" s="977"/>
      <c r="S596" s="977"/>
      <c r="T596" s="977"/>
      <c r="U596" s="977"/>
      <c r="V596" s="977"/>
      <c r="W596" s="977"/>
      <c r="X596" s="978"/>
      <c r="Y596" s="977"/>
      <c r="Z596" s="977"/>
      <c r="AA596" s="978"/>
      <c r="AB596" s="977"/>
      <c r="AC596" s="977"/>
      <c r="AD596" s="977"/>
      <c r="AE596" s="977"/>
      <c r="AF596" s="977"/>
      <c r="AG596" s="977"/>
    </row>
    <row r="597" spans="1:33" x14ac:dyDescent="0.2">
      <c r="A597" s="977"/>
      <c r="B597" s="977"/>
      <c r="C597" s="977"/>
      <c r="D597" s="977"/>
      <c r="E597" s="977"/>
      <c r="F597" s="977"/>
      <c r="G597" s="977"/>
      <c r="H597" s="977"/>
      <c r="I597" s="145"/>
      <c r="J597" s="145"/>
      <c r="K597" s="977"/>
      <c r="L597" s="977"/>
      <c r="M597" s="977"/>
      <c r="N597" s="977"/>
      <c r="O597" s="977"/>
      <c r="P597" s="977"/>
      <c r="Q597" s="977"/>
      <c r="R597" s="977"/>
      <c r="S597" s="977"/>
      <c r="T597" s="977"/>
      <c r="U597" s="977"/>
      <c r="V597" s="977"/>
      <c r="W597" s="977"/>
      <c r="X597" s="978"/>
      <c r="Y597" s="977"/>
      <c r="Z597" s="977"/>
      <c r="AA597" s="978"/>
      <c r="AB597" s="977"/>
      <c r="AC597" s="977"/>
      <c r="AD597" s="977"/>
      <c r="AE597" s="977"/>
      <c r="AF597" s="977"/>
      <c r="AG597" s="977"/>
    </row>
    <row r="598" spans="1:33" x14ac:dyDescent="0.2">
      <c r="A598" s="977"/>
      <c r="B598" s="977"/>
      <c r="C598" s="977"/>
      <c r="D598" s="977"/>
      <c r="E598" s="977"/>
      <c r="F598" s="977"/>
      <c r="G598" s="977"/>
      <c r="H598" s="977"/>
      <c r="I598" s="145"/>
      <c r="J598" s="145"/>
      <c r="K598" s="977"/>
      <c r="L598" s="977"/>
      <c r="M598" s="977"/>
      <c r="N598" s="977"/>
      <c r="O598" s="977"/>
      <c r="P598" s="977"/>
      <c r="Q598" s="977"/>
      <c r="R598" s="977"/>
      <c r="S598" s="977"/>
      <c r="T598" s="977"/>
      <c r="U598" s="977"/>
      <c r="V598" s="977"/>
      <c r="W598" s="977"/>
      <c r="X598" s="978"/>
      <c r="Y598" s="977"/>
      <c r="Z598" s="977"/>
      <c r="AA598" s="978"/>
      <c r="AB598" s="977"/>
      <c r="AC598" s="977"/>
      <c r="AD598" s="977"/>
      <c r="AE598" s="977"/>
      <c r="AF598" s="977"/>
      <c r="AG598" s="977"/>
    </row>
    <row r="599" spans="1:33" x14ac:dyDescent="0.2">
      <c r="A599" s="977"/>
      <c r="B599" s="977"/>
      <c r="C599" s="977"/>
      <c r="D599" s="977"/>
      <c r="E599" s="977"/>
      <c r="F599" s="977"/>
      <c r="G599" s="977"/>
      <c r="H599" s="977"/>
      <c r="I599" s="145"/>
      <c r="J599" s="145"/>
      <c r="K599" s="977"/>
      <c r="L599" s="977"/>
      <c r="M599" s="977"/>
      <c r="N599" s="977"/>
      <c r="O599" s="977"/>
      <c r="P599" s="977"/>
      <c r="Q599" s="977"/>
      <c r="R599" s="977"/>
      <c r="S599" s="977"/>
      <c r="T599" s="977"/>
      <c r="U599" s="977"/>
      <c r="V599" s="977"/>
      <c r="W599" s="977"/>
      <c r="X599" s="978"/>
      <c r="Y599" s="977"/>
      <c r="Z599" s="977"/>
      <c r="AA599" s="978"/>
      <c r="AB599" s="977"/>
      <c r="AC599" s="977"/>
      <c r="AD599" s="977"/>
      <c r="AE599" s="977"/>
      <c r="AF599" s="977"/>
      <c r="AG599" s="977"/>
    </row>
    <row r="600" spans="1:33" x14ac:dyDescent="0.2">
      <c r="A600" s="977"/>
      <c r="B600" s="977"/>
      <c r="C600" s="977"/>
      <c r="D600" s="977"/>
      <c r="E600" s="977"/>
      <c r="F600" s="977"/>
      <c r="G600" s="977"/>
      <c r="H600" s="977"/>
      <c r="I600" s="145"/>
      <c r="J600" s="145"/>
      <c r="K600" s="977"/>
      <c r="L600" s="977"/>
      <c r="M600" s="977"/>
      <c r="N600" s="977"/>
      <c r="O600" s="977"/>
      <c r="P600" s="977"/>
      <c r="Q600" s="977"/>
      <c r="R600" s="977"/>
      <c r="S600" s="977"/>
      <c r="T600" s="977"/>
      <c r="U600" s="977"/>
      <c r="V600" s="977"/>
      <c r="W600" s="977"/>
      <c r="X600" s="978"/>
      <c r="Y600" s="977"/>
      <c r="Z600" s="977"/>
      <c r="AA600" s="978"/>
      <c r="AB600" s="977"/>
      <c r="AC600" s="977"/>
      <c r="AD600" s="977"/>
      <c r="AE600" s="977"/>
      <c r="AF600" s="977"/>
      <c r="AG600" s="977"/>
    </row>
    <row r="601" spans="1:33" x14ac:dyDescent="0.2">
      <c r="A601" s="977"/>
      <c r="B601" s="977"/>
      <c r="C601" s="977"/>
      <c r="D601" s="977"/>
      <c r="E601" s="977"/>
      <c r="F601" s="977"/>
      <c r="G601" s="977"/>
      <c r="H601" s="977"/>
      <c r="I601" s="145"/>
      <c r="J601" s="145"/>
      <c r="K601" s="977"/>
      <c r="L601" s="977"/>
      <c r="M601" s="977"/>
      <c r="N601" s="977"/>
      <c r="O601" s="977"/>
      <c r="P601" s="977"/>
      <c r="Q601" s="977"/>
      <c r="R601" s="977"/>
      <c r="S601" s="977"/>
      <c r="T601" s="977"/>
      <c r="U601" s="977"/>
      <c r="V601" s="977"/>
      <c r="W601" s="977"/>
      <c r="X601" s="978"/>
      <c r="Y601" s="977"/>
      <c r="Z601" s="977"/>
      <c r="AA601" s="978"/>
      <c r="AB601" s="977"/>
      <c r="AC601" s="977"/>
      <c r="AD601" s="977"/>
      <c r="AE601" s="977"/>
      <c r="AF601" s="977"/>
      <c r="AG601" s="977"/>
    </row>
    <row r="602" spans="1:33" x14ac:dyDescent="0.2">
      <c r="A602" s="977"/>
      <c r="B602" s="977"/>
      <c r="C602" s="977"/>
      <c r="D602" s="977"/>
      <c r="E602" s="977"/>
      <c r="F602" s="977"/>
      <c r="G602" s="977"/>
      <c r="H602" s="977"/>
      <c r="I602" s="145"/>
      <c r="J602" s="145"/>
      <c r="K602" s="977"/>
      <c r="L602" s="977"/>
      <c r="M602" s="977"/>
      <c r="N602" s="977"/>
      <c r="O602" s="977"/>
      <c r="P602" s="977"/>
      <c r="Q602" s="977"/>
      <c r="R602" s="977"/>
      <c r="S602" s="977"/>
      <c r="T602" s="977"/>
      <c r="U602" s="977"/>
      <c r="V602" s="977"/>
      <c r="W602" s="977"/>
      <c r="X602" s="978"/>
      <c r="Y602" s="977"/>
      <c r="Z602" s="977"/>
      <c r="AA602" s="978"/>
      <c r="AB602" s="977"/>
      <c r="AC602" s="977"/>
      <c r="AD602" s="977"/>
      <c r="AE602" s="977"/>
      <c r="AF602" s="977"/>
      <c r="AG602" s="977"/>
    </row>
    <row r="603" spans="1:33" x14ac:dyDescent="0.2">
      <c r="A603" s="977"/>
      <c r="B603" s="977"/>
      <c r="C603" s="977"/>
      <c r="D603" s="977"/>
      <c r="E603" s="977"/>
      <c r="F603" s="977"/>
      <c r="G603" s="977"/>
      <c r="H603" s="977"/>
      <c r="I603" s="145"/>
      <c r="J603" s="145"/>
      <c r="K603" s="977"/>
      <c r="L603" s="977"/>
      <c r="M603" s="977"/>
      <c r="N603" s="977"/>
      <c r="O603" s="977"/>
      <c r="P603" s="977"/>
      <c r="Q603" s="977"/>
      <c r="R603" s="977"/>
      <c r="S603" s="977"/>
      <c r="T603" s="977"/>
      <c r="U603" s="977"/>
      <c r="V603" s="977"/>
      <c r="W603" s="977"/>
      <c r="X603" s="978"/>
      <c r="Y603" s="977"/>
      <c r="Z603" s="977"/>
      <c r="AA603" s="978"/>
      <c r="AB603" s="977"/>
      <c r="AC603" s="977"/>
      <c r="AD603" s="977"/>
      <c r="AE603" s="977"/>
      <c r="AF603" s="977"/>
      <c r="AG603" s="977"/>
    </row>
    <row r="604" spans="1:33" x14ac:dyDescent="0.2">
      <c r="A604" s="977"/>
      <c r="B604" s="977"/>
      <c r="C604" s="977"/>
      <c r="D604" s="977"/>
      <c r="E604" s="977"/>
      <c r="F604" s="977"/>
      <c r="G604" s="977"/>
      <c r="H604" s="977"/>
      <c r="I604" s="145"/>
      <c r="J604" s="145"/>
      <c r="K604" s="977"/>
      <c r="L604" s="977"/>
      <c r="M604" s="977"/>
      <c r="N604" s="977"/>
      <c r="O604" s="977"/>
      <c r="P604" s="977"/>
      <c r="Q604" s="977"/>
      <c r="R604" s="977"/>
      <c r="S604" s="977"/>
      <c r="T604" s="977"/>
      <c r="U604" s="977"/>
      <c r="V604" s="977"/>
      <c r="W604" s="977"/>
      <c r="X604" s="978"/>
      <c r="Y604" s="977"/>
      <c r="Z604" s="977"/>
      <c r="AA604" s="978"/>
      <c r="AB604" s="977"/>
      <c r="AC604" s="977"/>
      <c r="AD604" s="977"/>
      <c r="AE604" s="977"/>
      <c r="AF604" s="977"/>
      <c r="AG604" s="977"/>
    </row>
    <row r="605" spans="1:33" x14ac:dyDescent="0.2">
      <c r="A605" s="977"/>
      <c r="B605" s="977"/>
      <c r="C605" s="977"/>
      <c r="D605" s="977"/>
      <c r="E605" s="977"/>
      <c r="F605" s="977"/>
      <c r="G605" s="977"/>
      <c r="H605" s="977"/>
      <c r="I605" s="145"/>
      <c r="J605" s="145"/>
      <c r="K605" s="977"/>
      <c r="L605" s="977"/>
      <c r="M605" s="977"/>
      <c r="N605" s="977"/>
      <c r="O605" s="977"/>
      <c r="P605" s="977"/>
      <c r="Q605" s="977"/>
      <c r="R605" s="977"/>
      <c r="S605" s="977"/>
      <c r="T605" s="977"/>
      <c r="U605" s="977"/>
      <c r="V605" s="977"/>
      <c r="W605" s="977"/>
      <c r="X605" s="978"/>
      <c r="Y605" s="977"/>
      <c r="Z605" s="977"/>
      <c r="AA605" s="978"/>
      <c r="AB605" s="977"/>
      <c r="AC605" s="977"/>
      <c r="AD605" s="977"/>
      <c r="AE605" s="977"/>
      <c r="AF605" s="977"/>
      <c r="AG605" s="977"/>
    </row>
    <row r="606" spans="1:33" x14ac:dyDescent="0.2">
      <c r="A606" s="977"/>
      <c r="B606" s="977"/>
      <c r="C606" s="977"/>
      <c r="D606" s="977"/>
      <c r="E606" s="977"/>
      <c r="F606" s="977"/>
      <c r="G606" s="977"/>
      <c r="H606" s="977"/>
      <c r="I606" s="145"/>
      <c r="J606" s="145"/>
      <c r="K606" s="977"/>
      <c r="L606" s="977"/>
      <c r="M606" s="977"/>
      <c r="N606" s="977"/>
      <c r="O606" s="977"/>
      <c r="P606" s="977"/>
      <c r="Q606" s="977"/>
      <c r="R606" s="977"/>
      <c r="S606" s="977"/>
      <c r="T606" s="977"/>
      <c r="U606" s="977"/>
      <c r="V606" s="977"/>
      <c r="W606" s="977"/>
      <c r="X606" s="978"/>
      <c r="Y606" s="977"/>
      <c r="Z606" s="977"/>
      <c r="AA606" s="978"/>
      <c r="AB606" s="977"/>
      <c r="AC606" s="977"/>
      <c r="AD606" s="977"/>
      <c r="AE606" s="977"/>
      <c r="AF606" s="977"/>
      <c r="AG606" s="977"/>
    </row>
    <row r="607" spans="1:33" x14ac:dyDescent="0.2">
      <c r="A607" s="977"/>
      <c r="B607" s="977"/>
      <c r="C607" s="977"/>
      <c r="D607" s="977"/>
      <c r="E607" s="977"/>
      <c r="F607" s="977"/>
      <c r="G607" s="977"/>
      <c r="H607" s="977"/>
      <c r="I607" s="145"/>
      <c r="J607" s="145"/>
      <c r="K607" s="977"/>
      <c r="L607" s="977"/>
      <c r="M607" s="977"/>
      <c r="N607" s="977"/>
      <c r="O607" s="977"/>
      <c r="P607" s="977"/>
      <c r="Q607" s="977"/>
      <c r="R607" s="977"/>
      <c r="S607" s="977"/>
      <c r="T607" s="977"/>
      <c r="U607" s="977"/>
      <c r="V607" s="977"/>
      <c r="W607" s="977"/>
      <c r="X607" s="978"/>
      <c r="Y607" s="977"/>
      <c r="Z607" s="977"/>
      <c r="AA607" s="978"/>
      <c r="AB607" s="977"/>
      <c r="AC607" s="977"/>
      <c r="AD607" s="977"/>
      <c r="AE607" s="977"/>
      <c r="AF607" s="977"/>
      <c r="AG607" s="977"/>
    </row>
    <row r="608" spans="1:33" x14ac:dyDescent="0.2">
      <c r="A608" s="977"/>
      <c r="B608" s="977"/>
      <c r="C608" s="977"/>
      <c r="D608" s="977"/>
      <c r="E608" s="977"/>
      <c r="F608" s="977"/>
      <c r="G608" s="977"/>
      <c r="H608" s="977"/>
      <c r="I608" s="145"/>
      <c r="J608" s="145"/>
      <c r="K608" s="977"/>
      <c r="L608" s="977"/>
      <c r="M608" s="977"/>
      <c r="N608" s="977"/>
      <c r="O608" s="977"/>
      <c r="P608" s="977"/>
      <c r="Q608" s="977"/>
      <c r="R608" s="977"/>
      <c r="S608" s="977"/>
      <c r="T608" s="977"/>
      <c r="U608" s="977"/>
      <c r="V608" s="977"/>
      <c r="W608" s="977"/>
      <c r="X608" s="978"/>
      <c r="Y608" s="977"/>
      <c r="Z608" s="977"/>
      <c r="AA608" s="978"/>
      <c r="AB608" s="977"/>
      <c r="AC608" s="977"/>
      <c r="AD608" s="977"/>
      <c r="AE608" s="977"/>
      <c r="AF608" s="977"/>
      <c r="AG608" s="977"/>
    </row>
    <row r="609" spans="1:33" x14ac:dyDescent="0.2">
      <c r="A609" s="977"/>
      <c r="B609" s="977"/>
      <c r="C609" s="977"/>
      <c r="D609" s="977"/>
      <c r="E609" s="977"/>
      <c r="F609" s="977"/>
      <c r="G609" s="977"/>
      <c r="H609" s="977"/>
      <c r="I609" s="145"/>
      <c r="J609" s="145"/>
      <c r="K609" s="977"/>
      <c r="L609" s="977"/>
      <c r="M609" s="977"/>
      <c r="N609" s="977"/>
      <c r="O609" s="977"/>
      <c r="P609" s="977"/>
      <c r="Q609" s="977"/>
      <c r="R609" s="977"/>
      <c r="S609" s="977"/>
      <c r="T609" s="977"/>
      <c r="U609" s="977"/>
      <c r="V609" s="977"/>
      <c r="W609" s="977"/>
      <c r="X609" s="978"/>
      <c r="Y609" s="977"/>
      <c r="Z609" s="977"/>
      <c r="AA609" s="978"/>
      <c r="AB609" s="977"/>
      <c r="AC609" s="977"/>
      <c r="AD609" s="977"/>
      <c r="AE609" s="977"/>
      <c r="AF609" s="977"/>
      <c r="AG609" s="977"/>
    </row>
    <row r="610" spans="1:33" x14ac:dyDescent="0.2">
      <c r="A610" s="977"/>
      <c r="B610" s="977"/>
      <c r="C610" s="977"/>
      <c r="D610" s="977"/>
      <c r="E610" s="977"/>
      <c r="F610" s="977"/>
      <c r="G610" s="977"/>
      <c r="H610" s="977"/>
      <c r="I610" s="145"/>
      <c r="J610" s="145"/>
      <c r="K610" s="977"/>
      <c r="L610" s="977"/>
      <c r="M610" s="977"/>
      <c r="N610" s="977"/>
      <c r="O610" s="977"/>
      <c r="P610" s="977"/>
      <c r="Q610" s="977"/>
      <c r="R610" s="977"/>
      <c r="S610" s="977"/>
      <c r="T610" s="977"/>
      <c r="U610" s="977"/>
      <c r="V610" s="977"/>
      <c r="W610" s="977"/>
      <c r="X610" s="978"/>
      <c r="Y610" s="977"/>
      <c r="Z610" s="977"/>
      <c r="AA610" s="978"/>
      <c r="AB610" s="977"/>
      <c r="AC610" s="977"/>
      <c r="AD610" s="977"/>
      <c r="AE610" s="977"/>
      <c r="AF610" s="977"/>
      <c r="AG610" s="977"/>
    </row>
    <row r="611" spans="1:33" x14ac:dyDescent="0.2">
      <c r="A611" s="977"/>
      <c r="B611" s="977"/>
      <c r="C611" s="977"/>
      <c r="D611" s="977"/>
      <c r="E611" s="977"/>
      <c r="F611" s="977"/>
      <c r="G611" s="977"/>
      <c r="H611" s="977"/>
      <c r="I611" s="145"/>
      <c r="J611" s="145"/>
      <c r="K611" s="977"/>
      <c r="L611" s="977"/>
      <c r="M611" s="977"/>
      <c r="N611" s="977"/>
      <c r="O611" s="977"/>
      <c r="P611" s="977"/>
      <c r="Q611" s="977"/>
      <c r="R611" s="977"/>
      <c r="S611" s="977"/>
      <c r="T611" s="977"/>
      <c r="U611" s="977"/>
      <c r="V611" s="977"/>
      <c r="W611" s="977"/>
      <c r="X611" s="978"/>
      <c r="Y611" s="977"/>
      <c r="Z611" s="977"/>
      <c r="AA611" s="978"/>
      <c r="AB611" s="977"/>
      <c r="AC611" s="977"/>
      <c r="AD611" s="977"/>
      <c r="AE611" s="977"/>
      <c r="AF611" s="977"/>
      <c r="AG611" s="977"/>
    </row>
    <row r="612" spans="1:33" x14ac:dyDescent="0.2">
      <c r="A612" s="977"/>
      <c r="B612" s="977"/>
      <c r="C612" s="977"/>
      <c r="D612" s="977"/>
      <c r="E612" s="977"/>
      <c r="F612" s="977"/>
      <c r="G612" s="977"/>
      <c r="H612" s="977"/>
      <c r="I612" s="145"/>
      <c r="J612" s="145"/>
      <c r="K612" s="977"/>
      <c r="L612" s="977"/>
      <c r="M612" s="977"/>
      <c r="N612" s="977"/>
      <c r="O612" s="977"/>
      <c r="P612" s="977"/>
      <c r="Q612" s="977"/>
      <c r="R612" s="977"/>
      <c r="S612" s="977"/>
      <c r="T612" s="977"/>
      <c r="U612" s="977"/>
      <c r="V612" s="977"/>
      <c r="W612" s="977"/>
      <c r="X612" s="978"/>
      <c r="Y612" s="977"/>
      <c r="Z612" s="977"/>
      <c r="AA612" s="978"/>
      <c r="AB612" s="977"/>
      <c r="AC612" s="977"/>
      <c r="AD612" s="977"/>
      <c r="AE612" s="977"/>
      <c r="AF612" s="977"/>
      <c r="AG612" s="977"/>
    </row>
    <row r="613" spans="1:33" x14ac:dyDescent="0.2">
      <c r="A613" s="977"/>
      <c r="B613" s="977"/>
      <c r="C613" s="977"/>
      <c r="D613" s="977"/>
      <c r="E613" s="977"/>
      <c r="F613" s="977"/>
      <c r="G613" s="977"/>
      <c r="H613" s="977"/>
      <c r="I613" s="145"/>
      <c r="J613" s="145"/>
      <c r="K613" s="977"/>
      <c r="L613" s="977"/>
      <c r="M613" s="977"/>
      <c r="N613" s="977"/>
      <c r="O613" s="977"/>
      <c r="P613" s="977"/>
      <c r="Q613" s="977"/>
      <c r="R613" s="977"/>
      <c r="S613" s="977"/>
      <c r="T613" s="977"/>
      <c r="U613" s="977"/>
      <c r="V613" s="977"/>
      <c r="W613" s="977"/>
      <c r="X613" s="978"/>
      <c r="Y613" s="977"/>
      <c r="Z613" s="977"/>
      <c r="AA613" s="978"/>
      <c r="AB613" s="977"/>
      <c r="AC613" s="977"/>
      <c r="AD613" s="977"/>
      <c r="AE613" s="977"/>
      <c r="AF613" s="977"/>
      <c r="AG613" s="977"/>
    </row>
    <row r="614" spans="1:33" x14ac:dyDescent="0.2">
      <c r="A614" s="977"/>
      <c r="B614" s="977"/>
      <c r="C614" s="977"/>
      <c r="D614" s="977"/>
      <c r="E614" s="977"/>
      <c r="F614" s="977"/>
      <c r="G614" s="977"/>
      <c r="H614" s="977"/>
      <c r="I614" s="145"/>
      <c r="J614" s="145"/>
      <c r="K614" s="977"/>
      <c r="L614" s="977"/>
      <c r="M614" s="977"/>
      <c r="N614" s="977"/>
      <c r="O614" s="977"/>
      <c r="P614" s="977"/>
      <c r="Q614" s="977"/>
      <c r="R614" s="977"/>
      <c r="S614" s="977"/>
      <c r="T614" s="977"/>
      <c r="U614" s="977"/>
      <c r="V614" s="977"/>
      <c r="W614" s="977"/>
      <c r="X614" s="978"/>
      <c r="Y614" s="977"/>
      <c r="Z614" s="977"/>
      <c r="AA614" s="978"/>
      <c r="AB614" s="977"/>
      <c r="AC614" s="977"/>
      <c r="AD614" s="977"/>
      <c r="AE614" s="977"/>
      <c r="AF614" s="977"/>
      <c r="AG614" s="977"/>
    </row>
    <row r="615" spans="1:33" x14ac:dyDescent="0.2">
      <c r="A615" s="977"/>
      <c r="B615" s="977"/>
      <c r="C615" s="977"/>
      <c r="D615" s="977"/>
      <c r="E615" s="977"/>
      <c r="F615" s="977"/>
      <c r="G615" s="977"/>
      <c r="H615" s="977"/>
      <c r="I615" s="145"/>
      <c r="J615" s="145"/>
      <c r="K615" s="977"/>
      <c r="L615" s="977"/>
      <c r="M615" s="977"/>
      <c r="N615" s="977"/>
      <c r="O615" s="977"/>
      <c r="P615" s="977"/>
      <c r="Q615" s="977"/>
      <c r="R615" s="977"/>
      <c r="S615" s="977"/>
      <c r="T615" s="977"/>
      <c r="U615" s="977"/>
      <c r="V615" s="977"/>
      <c r="W615" s="977"/>
      <c r="X615" s="978"/>
      <c r="Y615" s="977"/>
      <c r="Z615" s="977"/>
      <c r="AA615" s="978"/>
      <c r="AB615" s="977"/>
      <c r="AC615" s="977"/>
      <c r="AD615" s="977"/>
      <c r="AE615" s="977"/>
      <c r="AF615" s="977"/>
      <c r="AG615" s="977"/>
    </row>
    <row r="616" spans="1:33" x14ac:dyDescent="0.2">
      <c r="A616" s="977"/>
      <c r="B616" s="977"/>
      <c r="C616" s="977"/>
      <c r="D616" s="977"/>
      <c r="E616" s="977"/>
      <c r="F616" s="977"/>
      <c r="G616" s="977"/>
      <c r="H616" s="977"/>
      <c r="I616" s="145"/>
      <c r="J616" s="145"/>
      <c r="K616" s="977"/>
      <c r="L616" s="977"/>
      <c r="M616" s="977"/>
      <c r="N616" s="977"/>
      <c r="O616" s="977"/>
      <c r="P616" s="977"/>
      <c r="Q616" s="977"/>
      <c r="R616" s="977"/>
      <c r="S616" s="977"/>
      <c r="T616" s="977"/>
      <c r="U616" s="977"/>
      <c r="V616" s="977"/>
      <c r="W616" s="977"/>
      <c r="X616" s="978"/>
      <c r="Y616" s="977"/>
      <c r="Z616" s="977"/>
      <c r="AA616" s="978"/>
      <c r="AB616" s="977"/>
      <c r="AC616" s="977"/>
      <c r="AD616" s="977"/>
      <c r="AE616" s="977"/>
      <c r="AF616" s="977"/>
      <c r="AG616" s="977"/>
    </row>
    <row r="617" spans="1:33" x14ac:dyDescent="0.2">
      <c r="A617" s="977"/>
      <c r="B617" s="977"/>
      <c r="C617" s="977"/>
      <c r="D617" s="977"/>
      <c r="E617" s="977"/>
      <c r="F617" s="977"/>
      <c r="G617" s="977"/>
      <c r="H617" s="977"/>
      <c r="I617" s="145"/>
      <c r="J617" s="145"/>
      <c r="K617" s="977"/>
      <c r="L617" s="977"/>
      <c r="M617" s="977"/>
      <c r="N617" s="977"/>
      <c r="O617" s="977"/>
      <c r="P617" s="977"/>
      <c r="Q617" s="977"/>
      <c r="R617" s="977"/>
      <c r="S617" s="977"/>
      <c r="T617" s="977"/>
      <c r="U617" s="977"/>
      <c r="V617" s="977"/>
      <c r="W617" s="977"/>
      <c r="X617" s="978"/>
      <c r="Y617" s="977"/>
      <c r="Z617" s="977"/>
      <c r="AA617" s="978"/>
      <c r="AB617" s="977"/>
      <c r="AC617" s="977"/>
      <c r="AD617" s="977"/>
      <c r="AE617" s="977"/>
      <c r="AF617" s="977"/>
      <c r="AG617" s="977"/>
    </row>
    <row r="618" spans="1:33" x14ac:dyDescent="0.2">
      <c r="A618" s="977"/>
      <c r="B618" s="977"/>
      <c r="C618" s="977"/>
      <c r="D618" s="977"/>
      <c r="E618" s="977"/>
      <c r="F618" s="977"/>
      <c r="G618" s="977"/>
      <c r="H618" s="977"/>
      <c r="I618" s="145"/>
      <c r="J618" s="145"/>
      <c r="K618" s="977"/>
      <c r="L618" s="977"/>
      <c r="M618" s="977"/>
      <c r="N618" s="977"/>
      <c r="O618" s="977"/>
      <c r="P618" s="977"/>
      <c r="Q618" s="977"/>
      <c r="R618" s="977"/>
      <c r="S618" s="977"/>
      <c r="T618" s="977"/>
      <c r="U618" s="977"/>
      <c r="V618" s="977"/>
      <c r="W618" s="977"/>
      <c r="X618" s="978"/>
      <c r="Y618" s="977"/>
      <c r="Z618" s="977"/>
      <c r="AA618" s="978"/>
      <c r="AB618" s="977"/>
      <c r="AC618" s="977"/>
      <c r="AD618" s="977"/>
      <c r="AE618" s="977"/>
      <c r="AF618" s="977"/>
      <c r="AG618" s="977"/>
    </row>
    <row r="619" spans="1:33" x14ac:dyDescent="0.2">
      <c r="A619" s="977"/>
      <c r="B619" s="977"/>
      <c r="C619" s="977"/>
      <c r="D619" s="977"/>
      <c r="E619" s="977"/>
      <c r="F619" s="977"/>
      <c r="G619" s="977"/>
      <c r="H619" s="977"/>
      <c r="I619" s="145"/>
      <c r="J619" s="145"/>
      <c r="K619" s="977"/>
      <c r="L619" s="977"/>
      <c r="M619" s="977"/>
      <c r="N619" s="977"/>
      <c r="O619" s="977"/>
      <c r="P619" s="977"/>
      <c r="Q619" s="977"/>
      <c r="R619" s="977"/>
      <c r="S619" s="977"/>
      <c r="T619" s="977"/>
      <c r="U619" s="977"/>
      <c r="V619" s="977"/>
      <c r="W619" s="977"/>
      <c r="X619" s="978"/>
      <c r="Y619" s="977"/>
      <c r="Z619" s="977"/>
      <c r="AA619" s="978"/>
      <c r="AB619" s="977"/>
      <c r="AC619" s="977"/>
      <c r="AD619" s="977"/>
      <c r="AE619" s="977"/>
      <c r="AF619" s="977"/>
      <c r="AG619" s="977"/>
    </row>
    <row r="620" spans="1:33" x14ac:dyDescent="0.2">
      <c r="A620" s="977"/>
      <c r="B620" s="977"/>
      <c r="C620" s="977"/>
      <c r="D620" s="977"/>
      <c r="E620" s="977"/>
      <c r="F620" s="977"/>
      <c r="G620" s="977"/>
      <c r="H620" s="977"/>
      <c r="I620" s="145"/>
      <c r="J620" s="145"/>
      <c r="K620" s="977"/>
      <c r="L620" s="977"/>
      <c r="M620" s="977"/>
      <c r="N620" s="977"/>
      <c r="O620" s="977"/>
      <c r="P620" s="977"/>
      <c r="Q620" s="977"/>
      <c r="R620" s="977"/>
      <c r="S620" s="977"/>
      <c r="T620" s="977"/>
      <c r="U620" s="977"/>
      <c r="V620" s="977"/>
      <c r="W620" s="977"/>
      <c r="X620" s="978"/>
      <c r="Y620" s="977"/>
      <c r="Z620" s="977"/>
      <c r="AA620" s="978"/>
      <c r="AB620" s="977"/>
      <c r="AC620" s="977"/>
      <c r="AD620" s="977"/>
      <c r="AE620" s="977"/>
      <c r="AF620" s="977"/>
      <c r="AG620" s="977"/>
    </row>
    <row r="621" spans="1:33" x14ac:dyDescent="0.2">
      <c r="A621" s="977"/>
      <c r="B621" s="977"/>
      <c r="C621" s="977"/>
      <c r="D621" s="977"/>
      <c r="E621" s="977"/>
      <c r="F621" s="977"/>
      <c r="G621" s="977"/>
      <c r="H621" s="977"/>
      <c r="I621" s="145"/>
      <c r="J621" s="145"/>
      <c r="K621" s="977"/>
      <c r="L621" s="977"/>
      <c r="M621" s="977"/>
      <c r="N621" s="977"/>
      <c r="O621" s="977"/>
      <c r="P621" s="977"/>
      <c r="Q621" s="977"/>
      <c r="R621" s="977"/>
      <c r="S621" s="977"/>
      <c r="T621" s="977"/>
      <c r="U621" s="977"/>
      <c r="V621" s="977"/>
      <c r="W621" s="977"/>
      <c r="X621" s="978"/>
      <c r="Y621" s="977"/>
      <c r="Z621" s="977"/>
      <c r="AA621" s="978"/>
      <c r="AB621" s="977"/>
      <c r="AC621" s="977"/>
      <c r="AD621" s="977"/>
      <c r="AE621" s="977"/>
      <c r="AF621" s="977"/>
      <c r="AG621" s="977"/>
    </row>
    <row r="622" spans="1:33" x14ac:dyDescent="0.2">
      <c r="A622" s="977"/>
      <c r="B622" s="977"/>
      <c r="C622" s="977"/>
      <c r="D622" s="977"/>
      <c r="E622" s="977"/>
      <c r="F622" s="977"/>
      <c r="G622" s="977"/>
      <c r="H622" s="977"/>
      <c r="I622" s="145"/>
      <c r="J622" s="145"/>
      <c r="K622" s="977"/>
      <c r="L622" s="977"/>
      <c r="M622" s="977"/>
      <c r="N622" s="977"/>
      <c r="O622" s="977"/>
      <c r="P622" s="977"/>
      <c r="Q622" s="977"/>
      <c r="R622" s="977"/>
      <c r="S622" s="977"/>
      <c r="T622" s="977"/>
      <c r="U622" s="977"/>
      <c r="V622" s="977"/>
      <c r="W622" s="977"/>
      <c r="X622" s="978"/>
      <c r="Y622" s="977"/>
      <c r="Z622" s="977"/>
      <c r="AA622" s="978"/>
      <c r="AB622" s="977"/>
      <c r="AC622" s="977"/>
      <c r="AD622" s="977"/>
      <c r="AE622" s="977"/>
      <c r="AF622" s="977"/>
      <c r="AG622" s="977"/>
    </row>
    <row r="623" spans="1:33" x14ac:dyDescent="0.2">
      <c r="A623" s="977"/>
      <c r="B623" s="977"/>
      <c r="C623" s="977"/>
      <c r="D623" s="977"/>
      <c r="E623" s="977"/>
      <c r="F623" s="977"/>
      <c r="G623" s="977"/>
      <c r="H623" s="977"/>
      <c r="I623" s="145"/>
      <c r="J623" s="145"/>
      <c r="K623" s="977"/>
      <c r="L623" s="977"/>
      <c r="M623" s="977"/>
      <c r="N623" s="977"/>
      <c r="O623" s="977"/>
      <c r="P623" s="977"/>
      <c r="Q623" s="977"/>
      <c r="R623" s="977"/>
      <c r="S623" s="977"/>
      <c r="T623" s="977"/>
      <c r="U623" s="977"/>
      <c r="V623" s="977"/>
      <c r="W623" s="977"/>
      <c r="X623" s="978"/>
      <c r="Y623" s="977"/>
      <c r="Z623" s="977"/>
      <c r="AA623" s="978"/>
      <c r="AB623" s="977"/>
      <c r="AC623" s="977"/>
      <c r="AD623" s="977"/>
      <c r="AE623" s="977"/>
      <c r="AF623" s="977"/>
      <c r="AG623" s="977"/>
    </row>
    <row r="624" spans="1:33" x14ac:dyDescent="0.2">
      <c r="A624" s="977"/>
      <c r="B624" s="977"/>
      <c r="C624" s="977"/>
      <c r="D624" s="977"/>
      <c r="E624" s="977"/>
      <c r="F624" s="977"/>
      <c r="G624" s="977"/>
      <c r="H624" s="977"/>
      <c r="I624" s="145"/>
      <c r="J624" s="145"/>
      <c r="K624" s="977"/>
      <c r="L624" s="977"/>
      <c r="M624" s="977"/>
      <c r="N624" s="977"/>
      <c r="O624" s="977"/>
      <c r="P624" s="977"/>
      <c r="Q624" s="977"/>
      <c r="R624" s="977"/>
      <c r="S624" s="977"/>
      <c r="T624" s="977"/>
      <c r="U624" s="977"/>
      <c r="V624" s="977"/>
      <c r="W624" s="977"/>
      <c r="X624" s="978"/>
      <c r="Y624" s="977"/>
      <c r="Z624" s="977"/>
      <c r="AA624" s="978"/>
      <c r="AB624" s="977"/>
      <c r="AC624" s="977"/>
      <c r="AD624" s="977"/>
      <c r="AE624" s="977"/>
      <c r="AF624" s="977"/>
      <c r="AG624" s="977"/>
    </row>
    <row r="625" spans="1:33" x14ac:dyDescent="0.2">
      <c r="A625" s="977"/>
      <c r="B625" s="977"/>
      <c r="C625" s="977"/>
      <c r="D625" s="977"/>
      <c r="E625" s="977"/>
      <c r="F625" s="977"/>
      <c r="G625" s="977"/>
      <c r="H625" s="977"/>
      <c r="I625" s="145"/>
      <c r="J625" s="145"/>
      <c r="K625" s="977"/>
      <c r="L625" s="977"/>
      <c r="M625" s="977"/>
      <c r="N625" s="977"/>
      <c r="O625" s="977"/>
      <c r="P625" s="977"/>
      <c r="Q625" s="977"/>
      <c r="R625" s="977"/>
      <c r="S625" s="977"/>
      <c r="T625" s="977"/>
      <c r="U625" s="977"/>
      <c r="V625" s="977"/>
      <c r="W625" s="977"/>
      <c r="X625" s="978"/>
      <c r="Y625" s="977"/>
      <c r="Z625" s="977"/>
      <c r="AA625" s="978"/>
      <c r="AB625" s="977"/>
      <c r="AC625" s="977"/>
      <c r="AD625" s="977"/>
      <c r="AE625" s="977"/>
      <c r="AF625" s="977"/>
      <c r="AG625" s="977"/>
    </row>
    <row r="626" spans="1:33" x14ac:dyDescent="0.2">
      <c r="A626" s="977"/>
      <c r="B626" s="977"/>
      <c r="C626" s="977"/>
      <c r="D626" s="977"/>
      <c r="E626" s="977"/>
      <c r="F626" s="977"/>
      <c r="G626" s="977"/>
      <c r="H626" s="977"/>
      <c r="I626" s="145"/>
      <c r="J626" s="145"/>
      <c r="K626" s="977"/>
      <c r="L626" s="977"/>
      <c r="M626" s="977"/>
      <c r="N626" s="977"/>
      <c r="O626" s="977"/>
      <c r="P626" s="977"/>
      <c r="Q626" s="977"/>
      <c r="R626" s="977"/>
      <c r="S626" s="977"/>
      <c r="T626" s="977"/>
      <c r="U626" s="977"/>
      <c r="V626" s="977"/>
      <c r="W626" s="977"/>
      <c r="X626" s="978"/>
      <c r="Y626" s="977"/>
      <c r="Z626" s="977"/>
      <c r="AA626" s="978"/>
      <c r="AB626" s="977"/>
      <c r="AC626" s="977"/>
      <c r="AD626" s="977"/>
      <c r="AE626" s="977"/>
      <c r="AF626" s="977"/>
      <c r="AG626" s="977"/>
    </row>
    <row r="627" spans="1:33" x14ac:dyDescent="0.2">
      <c r="A627" s="977"/>
      <c r="B627" s="977"/>
      <c r="C627" s="977"/>
      <c r="D627" s="977"/>
      <c r="E627" s="977"/>
      <c r="F627" s="977"/>
      <c r="G627" s="977"/>
      <c r="H627" s="977"/>
      <c r="I627" s="145"/>
      <c r="J627" s="145"/>
      <c r="K627" s="977"/>
      <c r="L627" s="977"/>
      <c r="M627" s="977"/>
      <c r="N627" s="977"/>
      <c r="O627" s="977"/>
      <c r="P627" s="977"/>
      <c r="Q627" s="977"/>
      <c r="R627" s="977"/>
      <c r="S627" s="977"/>
      <c r="T627" s="977"/>
      <c r="U627" s="977"/>
      <c r="V627" s="977"/>
      <c r="W627" s="977"/>
      <c r="X627" s="978"/>
      <c r="Y627" s="977"/>
      <c r="Z627" s="977"/>
      <c r="AA627" s="978"/>
      <c r="AB627" s="977"/>
      <c r="AC627" s="977"/>
      <c r="AD627" s="977"/>
      <c r="AE627" s="977"/>
      <c r="AF627" s="977"/>
      <c r="AG627" s="977"/>
    </row>
    <row r="628" spans="1:33" x14ac:dyDescent="0.2">
      <c r="A628" s="977"/>
      <c r="B628" s="977"/>
      <c r="C628" s="977"/>
      <c r="D628" s="977"/>
      <c r="E628" s="977"/>
      <c r="F628" s="977"/>
      <c r="G628" s="977"/>
      <c r="H628" s="977"/>
      <c r="I628" s="145"/>
      <c r="J628" s="145"/>
      <c r="K628" s="977"/>
      <c r="L628" s="977"/>
      <c r="M628" s="977"/>
      <c r="N628" s="977"/>
      <c r="O628" s="977"/>
      <c r="P628" s="977"/>
      <c r="Q628" s="977"/>
      <c r="R628" s="977"/>
      <c r="S628" s="977"/>
      <c r="T628" s="977"/>
      <c r="U628" s="977"/>
      <c r="V628" s="977"/>
      <c r="W628" s="977"/>
      <c r="X628" s="978"/>
      <c r="Y628" s="977"/>
      <c r="Z628" s="977"/>
      <c r="AA628" s="978"/>
      <c r="AB628" s="977"/>
      <c r="AC628" s="977"/>
      <c r="AD628" s="977"/>
      <c r="AE628" s="977"/>
      <c r="AF628" s="977"/>
      <c r="AG628" s="977"/>
    </row>
    <row r="629" spans="1:33" x14ac:dyDescent="0.2">
      <c r="A629" s="977"/>
      <c r="B629" s="977"/>
      <c r="C629" s="977"/>
      <c r="D629" s="977"/>
      <c r="E629" s="977"/>
      <c r="F629" s="977"/>
      <c r="G629" s="977"/>
      <c r="H629" s="977"/>
      <c r="I629" s="145"/>
      <c r="J629" s="145"/>
      <c r="K629" s="977"/>
      <c r="L629" s="977"/>
      <c r="M629" s="977"/>
      <c r="N629" s="977"/>
      <c r="O629" s="977"/>
      <c r="P629" s="977"/>
      <c r="Q629" s="977"/>
      <c r="R629" s="977"/>
      <c r="S629" s="977"/>
      <c r="T629" s="977"/>
      <c r="U629" s="977"/>
      <c r="V629" s="977"/>
      <c r="W629" s="977"/>
      <c r="X629" s="978"/>
      <c r="Y629" s="977"/>
      <c r="Z629" s="977"/>
      <c r="AA629" s="978"/>
      <c r="AB629" s="977"/>
      <c r="AC629" s="977"/>
      <c r="AD629" s="977"/>
      <c r="AE629" s="977"/>
      <c r="AF629" s="977"/>
      <c r="AG629" s="977"/>
    </row>
    <row r="630" spans="1:33" x14ac:dyDescent="0.2">
      <c r="A630" s="977"/>
      <c r="B630" s="977"/>
      <c r="C630" s="977"/>
      <c r="D630" s="977"/>
      <c r="E630" s="977"/>
      <c r="F630" s="977"/>
      <c r="G630" s="977"/>
      <c r="H630" s="977"/>
      <c r="I630" s="145"/>
      <c r="J630" s="145"/>
      <c r="K630" s="977"/>
      <c r="L630" s="977"/>
      <c r="M630" s="977"/>
      <c r="N630" s="977"/>
      <c r="O630" s="977"/>
      <c r="P630" s="977"/>
      <c r="Q630" s="977"/>
      <c r="R630" s="977"/>
      <c r="S630" s="977"/>
      <c r="T630" s="977"/>
      <c r="U630" s="977"/>
      <c r="V630" s="977"/>
      <c r="W630" s="977"/>
      <c r="X630" s="978"/>
      <c r="Y630" s="977"/>
      <c r="Z630" s="977"/>
      <c r="AA630" s="978"/>
      <c r="AB630" s="977"/>
      <c r="AC630" s="977"/>
      <c r="AD630" s="977"/>
      <c r="AE630" s="977"/>
      <c r="AF630" s="977"/>
      <c r="AG630" s="977"/>
    </row>
    <row r="631" spans="1:33" x14ac:dyDescent="0.2">
      <c r="A631" s="977"/>
      <c r="B631" s="977"/>
      <c r="C631" s="977"/>
      <c r="D631" s="977"/>
      <c r="E631" s="977"/>
      <c r="F631" s="977"/>
      <c r="G631" s="977"/>
      <c r="H631" s="977"/>
      <c r="I631" s="145"/>
      <c r="J631" s="145"/>
      <c r="K631" s="977"/>
      <c r="L631" s="977"/>
      <c r="M631" s="977"/>
      <c r="N631" s="977"/>
      <c r="O631" s="977"/>
      <c r="P631" s="977"/>
      <c r="Q631" s="977"/>
      <c r="R631" s="977"/>
      <c r="S631" s="977"/>
      <c r="T631" s="977"/>
      <c r="U631" s="977"/>
      <c r="V631" s="977"/>
      <c r="W631" s="977"/>
      <c r="X631" s="978"/>
      <c r="Y631" s="977"/>
      <c r="Z631" s="977"/>
      <c r="AA631" s="978"/>
      <c r="AB631" s="977"/>
      <c r="AC631" s="977"/>
      <c r="AD631" s="977"/>
      <c r="AE631" s="977"/>
      <c r="AF631" s="977"/>
      <c r="AG631" s="977"/>
    </row>
    <row r="632" spans="1:33" x14ac:dyDescent="0.2">
      <c r="A632" s="977"/>
      <c r="B632" s="977"/>
      <c r="C632" s="977"/>
      <c r="D632" s="977"/>
      <c r="E632" s="977"/>
      <c r="F632" s="977"/>
      <c r="G632" s="977"/>
      <c r="H632" s="977"/>
      <c r="I632" s="145"/>
      <c r="J632" s="145"/>
      <c r="K632" s="977"/>
      <c r="L632" s="977"/>
      <c r="M632" s="977"/>
      <c r="N632" s="977"/>
      <c r="O632" s="977"/>
      <c r="P632" s="977"/>
      <c r="Q632" s="977"/>
      <c r="R632" s="977"/>
      <c r="S632" s="977"/>
      <c r="T632" s="977"/>
      <c r="U632" s="977"/>
      <c r="V632" s="977"/>
      <c r="W632" s="977"/>
      <c r="X632" s="978"/>
      <c r="Y632" s="977"/>
      <c r="Z632" s="977"/>
      <c r="AA632" s="978"/>
      <c r="AB632" s="977"/>
      <c r="AC632" s="977"/>
      <c r="AD632" s="977"/>
      <c r="AE632" s="977"/>
      <c r="AF632" s="977"/>
      <c r="AG632" s="977"/>
    </row>
    <row r="633" spans="1:33" x14ac:dyDescent="0.2">
      <c r="A633" s="977"/>
      <c r="B633" s="977"/>
      <c r="C633" s="977"/>
      <c r="D633" s="977"/>
      <c r="E633" s="977"/>
      <c r="F633" s="977"/>
      <c r="G633" s="977"/>
      <c r="H633" s="977"/>
      <c r="I633" s="145"/>
      <c r="J633" s="145"/>
      <c r="K633" s="977"/>
      <c r="L633" s="977"/>
      <c r="M633" s="977"/>
      <c r="N633" s="977"/>
      <c r="O633" s="977"/>
      <c r="P633" s="977"/>
      <c r="Q633" s="977"/>
      <c r="R633" s="977"/>
      <c r="S633" s="977"/>
      <c r="T633" s="977"/>
      <c r="U633" s="977"/>
      <c r="V633" s="977"/>
      <c r="W633" s="977"/>
      <c r="X633" s="978"/>
      <c r="Y633" s="977"/>
      <c r="Z633" s="977"/>
      <c r="AA633" s="978"/>
      <c r="AB633" s="977"/>
      <c r="AC633" s="977"/>
      <c r="AD633" s="977"/>
      <c r="AE633" s="977"/>
      <c r="AF633" s="977"/>
      <c r="AG633" s="977"/>
    </row>
    <row r="634" spans="1:33" x14ac:dyDescent="0.2">
      <c r="A634" s="977"/>
      <c r="B634" s="977"/>
      <c r="C634" s="977"/>
      <c r="D634" s="977"/>
      <c r="E634" s="977"/>
      <c r="F634" s="977"/>
      <c r="G634" s="977"/>
      <c r="H634" s="977"/>
      <c r="I634" s="145"/>
      <c r="J634" s="145"/>
      <c r="K634" s="977"/>
      <c r="L634" s="977"/>
      <c r="M634" s="977"/>
      <c r="N634" s="977"/>
      <c r="O634" s="977"/>
      <c r="P634" s="977"/>
      <c r="Q634" s="977"/>
      <c r="R634" s="977"/>
      <c r="S634" s="977"/>
      <c r="T634" s="977"/>
      <c r="U634" s="977"/>
      <c r="V634" s="977"/>
      <c r="W634" s="977"/>
      <c r="X634" s="978"/>
      <c r="Y634" s="977"/>
      <c r="Z634" s="977"/>
      <c r="AA634" s="978"/>
      <c r="AB634" s="977"/>
      <c r="AC634" s="977"/>
      <c r="AD634" s="977"/>
      <c r="AE634" s="977"/>
      <c r="AF634" s="977"/>
      <c r="AG634" s="977"/>
    </row>
    <row r="635" spans="1:33" x14ac:dyDescent="0.2">
      <c r="A635" s="977"/>
      <c r="B635" s="977"/>
      <c r="C635" s="977"/>
      <c r="D635" s="977"/>
      <c r="E635" s="977"/>
      <c r="F635" s="977"/>
      <c r="G635" s="977"/>
      <c r="H635" s="977"/>
      <c r="I635" s="145"/>
      <c r="J635" s="145"/>
      <c r="K635" s="977"/>
      <c r="L635" s="977"/>
      <c r="M635" s="977"/>
      <c r="N635" s="977"/>
      <c r="O635" s="977"/>
      <c r="P635" s="977"/>
      <c r="Q635" s="977"/>
      <c r="R635" s="977"/>
      <c r="S635" s="977"/>
      <c r="T635" s="977"/>
      <c r="U635" s="977"/>
      <c r="V635" s="977"/>
      <c r="W635" s="977"/>
      <c r="X635" s="978"/>
      <c r="Y635" s="977"/>
      <c r="Z635" s="977"/>
      <c r="AA635" s="978"/>
      <c r="AB635" s="977"/>
      <c r="AC635" s="977"/>
      <c r="AD635" s="977"/>
      <c r="AE635" s="977"/>
      <c r="AF635" s="977"/>
      <c r="AG635" s="977"/>
    </row>
    <row r="636" spans="1:33" x14ac:dyDescent="0.2">
      <c r="A636" s="977"/>
      <c r="B636" s="977"/>
      <c r="C636" s="977"/>
      <c r="D636" s="977"/>
      <c r="E636" s="977"/>
      <c r="F636" s="977"/>
      <c r="G636" s="977"/>
      <c r="H636" s="977"/>
      <c r="I636" s="145"/>
      <c r="J636" s="145"/>
      <c r="K636" s="977"/>
      <c r="L636" s="977"/>
      <c r="M636" s="977"/>
      <c r="N636" s="977"/>
      <c r="O636" s="977"/>
      <c r="P636" s="977"/>
      <c r="Q636" s="977"/>
      <c r="R636" s="977"/>
      <c r="S636" s="977"/>
      <c r="T636" s="977"/>
      <c r="U636" s="977"/>
      <c r="V636" s="977"/>
      <c r="W636" s="977"/>
      <c r="X636" s="978"/>
      <c r="Y636" s="977"/>
      <c r="Z636" s="977"/>
      <c r="AA636" s="978"/>
      <c r="AB636" s="977"/>
      <c r="AC636" s="977"/>
      <c r="AD636" s="977"/>
      <c r="AE636" s="977"/>
      <c r="AF636" s="977"/>
      <c r="AG636" s="977"/>
    </row>
    <row r="637" spans="1:33" x14ac:dyDescent="0.2">
      <c r="A637" s="977"/>
      <c r="B637" s="977"/>
      <c r="C637" s="977"/>
      <c r="D637" s="977"/>
      <c r="E637" s="977"/>
      <c r="F637" s="977"/>
      <c r="G637" s="977"/>
      <c r="H637" s="977"/>
      <c r="I637" s="145"/>
      <c r="J637" s="145"/>
      <c r="K637" s="977"/>
      <c r="L637" s="977"/>
      <c r="M637" s="977"/>
      <c r="N637" s="977"/>
      <c r="O637" s="977"/>
      <c r="P637" s="977"/>
      <c r="Q637" s="977"/>
      <c r="R637" s="977"/>
      <c r="S637" s="977"/>
      <c r="T637" s="977"/>
      <c r="U637" s="977"/>
      <c r="V637" s="977"/>
      <c r="W637" s="977"/>
      <c r="X637" s="978"/>
      <c r="Y637" s="977"/>
      <c r="Z637" s="977"/>
      <c r="AA637" s="978"/>
      <c r="AB637" s="977"/>
      <c r="AC637" s="977"/>
      <c r="AD637" s="977"/>
      <c r="AE637" s="977"/>
      <c r="AF637" s="977"/>
      <c r="AG637" s="977"/>
    </row>
    <row r="638" spans="1:33" x14ac:dyDescent="0.2">
      <c r="A638" s="977"/>
      <c r="B638" s="977"/>
      <c r="C638" s="977"/>
      <c r="D638" s="977"/>
      <c r="E638" s="977"/>
      <c r="F638" s="977"/>
      <c r="G638" s="977"/>
      <c r="H638" s="977"/>
      <c r="I638" s="145"/>
      <c r="J638" s="145"/>
      <c r="K638" s="977"/>
      <c r="L638" s="977"/>
      <c r="M638" s="977"/>
      <c r="N638" s="977"/>
      <c r="O638" s="977"/>
      <c r="P638" s="977"/>
      <c r="Q638" s="977"/>
      <c r="R638" s="977"/>
      <c r="S638" s="977"/>
      <c r="T638" s="977"/>
      <c r="U638" s="977"/>
      <c r="V638" s="977"/>
      <c r="W638" s="977"/>
      <c r="X638" s="978"/>
      <c r="Y638" s="977"/>
      <c r="Z638" s="977"/>
      <c r="AA638" s="978"/>
      <c r="AB638" s="977"/>
      <c r="AC638" s="977"/>
      <c r="AD638" s="977"/>
      <c r="AE638" s="977"/>
      <c r="AF638" s="977"/>
      <c r="AG638" s="977"/>
    </row>
    <row r="639" spans="1:33" x14ac:dyDescent="0.2">
      <c r="A639" s="977"/>
      <c r="B639" s="977"/>
      <c r="C639" s="977"/>
      <c r="D639" s="977"/>
      <c r="E639" s="977"/>
      <c r="F639" s="977"/>
      <c r="G639" s="977"/>
      <c r="H639" s="977"/>
      <c r="I639" s="145"/>
      <c r="J639" s="145"/>
      <c r="K639" s="977"/>
      <c r="L639" s="977"/>
      <c r="M639" s="977"/>
      <c r="N639" s="977"/>
      <c r="O639" s="977"/>
      <c r="P639" s="977"/>
      <c r="Q639" s="977"/>
      <c r="R639" s="977"/>
      <c r="S639" s="977"/>
      <c r="T639" s="977"/>
      <c r="U639" s="977"/>
      <c r="V639" s="977"/>
      <c r="W639" s="977"/>
      <c r="X639" s="978"/>
      <c r="Y639" s="977"/>
      <c r="Z639" s="977"/>
      <c r="AA639" s="978"/>
      <c r="AB639" s="977"/>
      <c r="AC639" s="977"/>
      <c r="AD639" s="977"/>
      <c r="AE639" s="977"/>
      <c r="AF639" s="977"/>
      <c r="AG639" s="977"/>
    </row>
    <row r="640" spans="1:33" x14ac:dyDescent="0.2">
      <c r="A640" s="977"/>
      <c r="B640" s="977"/>
      <c r="C640" s="977"/>
      <c r="D640" s="977"/>
      <c r="E640" s="977"/>
      <c r="F640" s="977"/>
      <c r="G640" s="977"/>
      <c r="H640" s="977"/>
      <c r="I640" s="145"/>
      <c r="J640" s="145"/>
      <c r="K640" s="977"/>
      <c r="L640" s="977"/>
      <c r="M640" s="977"/>
      <c r="N640" s="977"/>
      <c r="O640" s="977"/>
      <c r="P640" s="977"/>
      <c r="Q640" s="977"/>
      <c r="R640" s="977"/>
      <c r="S640" s="977"/>
      <c r="T640" s="977"/>
      <c r="U640" s="977"/>
      <c r="V640" s="977"/>
      <c r="W640" s="977"/>
      <c r="X640" s="978"/>
      <c r="Y640" s="977"/>
      <c r="Z640" s="977"/>
      <c r="AA640" s="978"/>
      <c r="AB640" s="977"/>
      <c r="AC640" s="977"/>
      <c r="AD640" s="977"/>
      <c r="AE640" s="977"/>
      <c r="AF640" s="977"/>
      <c r="AG640" s="977"/>
    </row>
    <row r="641" spans="1:33" x14ac:dyDescent="0.2">
      <c r="A641" s="977"/>
      <c r="B641" s="977"/>
      <c r="C641" s="977"/>
      <c r="D641" s="977"/>
      <c r="E641" s="977"/>
      <c r="F641" s="977"/>
      <c r="G641" s="977"/>
      <c r="H641" s="977"/>
      <c r="I641" s="145"/>
      <c r="J641" s="145"/>
      <c r="K641" s="977"/>
      <c r="L641" s="977"/>
      <c r="M641" s="977"/>
      <c r="N641" s="977"/>
      <c r="O641" s="977"/>
      <c r="P641" s="977"/>
      <c r="Q641" s="977"/>
      <c r="R641" s="977"/>
      <c r="S641" s="977"/>
      <c r="T641" s="977"/>
      <c r="U641" s="977"/>
      <c r="V641" s="977"/>
      <c r="W641" s="977"/>
      <c r="X641" s="978"/>
      <c r="Y641" s="977"/>
      <c r="Z641" s="977"/>
      <c r="AA641" s="978"/>
      <c r="AB641" s="977"/>
      <c r="AC641" s="977"/>
      <c r="AD641" s="977"/>
      <c r="AE641" s="977"/>
      <c r="AF641" s="977"/>
      <c r="AG641" s="977"/>
    </row>
    <row r="642" spans="1:33" x14ac:dyDescent="0.2">
      <c r="A642" s="977"/>
      <c r="B642" s="977"/>
      <c r="C642" s="977"/>
      <c r="D642" s="977"/>
      <c r="E642" s="977"/>
      <c r="F642" s="977"/>
      <c r="G642" s="977"/>
      <c r="H642" s="977"/>
      <c r="I642" s="145"/>
      <c r="J642" s="145"/>
      <c r="K642" s="977"/>
      <c r="L642" s="977"/>
      <c r="M642" s="977"/>
      <c r="N642" s="977"/>
      <c r="O642" s="977"/>
      <c r="P642" s="977"/>
      <c r="Q642" s="977"/>
      <c r="R642" s="977"/>
      <c r="S642" s="977"/>
      <c r="T642" s="977"/>
      <c r="U642" s="977"/>
      <c r="V642" s="977"/>
      <c r="W642" s="977"/>
      <c r="X642" s="978"/>
      <c r="Y642" s="977"/>
      <c r="Z642" s="977"/>
      <c r="AA642" s="978"/>
      <c r="AB642" s="977"/>
      <c r="AC642" s="977"/>
      <c r="AD642" s="977"/>
      <c r="AE642" s="977"/>
      <c r="AF642" s="977"/>
      <c r="AG642" s="977"/>
    </row>
    <row r="643" spans="1:33" x14ac:dyDescent="0.2">
      <c r="A643" s="977"/>
      <c r="B643" s="977"/>
      <c r="C643" s="977"/>
      <c r="D643" s="977"/>
      <c r="E643" s="977"/>
      <c r="F643" s="977"/>
      <c r="G643" s="977"/>
      <c r="H643" s="977"/>
      <c r="I643" s="145"/>
      <c r="J643" s="145"/>
      <c r="K643" s="977"/>
      <c r="L643" s="977"/>
      <c r="M643" s="977"/>
      <c r="N643" s="977"/>
      <c r="O643" s="977"/>
      <c r="P643" s="977"/>
      <c r="Q643" s="977"/>
      <c r="R643" s="977"/>
      <c r="S643" s="977"/>
      <c r="T643" s="977"/>
      <c r="U643" s="977"/>
      <c r="V643" s="977"/>
      <c r="W643" s="977"/>
      <c r="X643" s="978"/>
      <c r="Y643" s="977"/>
      <c r="Z643" s="977"/>
      <c r="AA643" s="978"/>
      <c r="AB643" s="977"/>
      <c r="AC643" s="977"/>
      <c r="AD643" s="977"/>
      <c r="AE643" s="977"/>
      <c r="AF643" s="977"/>
      <c r="AG643" s="977"/>
    </row>
    <row r="644" spans="1:33" x14ac:dyDescent="0.2">
      <c r="A644" s="977"/>
      <c r="B644" s="977"/>
      <c r="C644" s="977"/>
      <c r="D644" s="977"/>
      <c r="E644" s="977"/>
      <c r="F644" s="977"/>
      <c r="G644" s="977"/>
      <c r="H644" s="977"/>
      <c r="I644" s="145"/>
      <c r="J644" s="145"/>
      <c r="K644" s="977"/>
      <c r="L644" s="977"/>
      <c r="M644" s="977"/>
      <c r="N644" s="977"/>
      <c r="O644" s="977"/>
      <c r="P644" s="977"/>
      <c r="Q644" s="977"/>
      <c r="R644" s="977"/>
      <c r="S644" s="977"/>
      <c r="T644" s="977"/>
      <c r="U644" s="977"/>
      <c r="V644" s="977"/>
      <c r="W644" s="977"/>
      <c r="X644" s="978"/>
      <c r="Y644" s="977"/>
      <c r="Z644" s="977"/>
      <c r="AA644" s="978"/>
      <c r="AB644" s="977"/>
      <c r="AC644" s="977"/>
      <c r="AD644" s="977"/>
      <c r="AE644" s="977"/>
      <c r="AF644" s="977"/>
      <c r="AG644" s="977"/>
    </row>
    <row r="645" spans="1:33" x14ac:dyDescent="0.2">
      <c r="A645" s="977"/>
      <c r="B645" s="977"/>
      <c r="C645" s="977"/>
      <c r="D645" s="977"/>
      <c r="E645" s="977"/>
      <c r="F645" s="977"/>
      <c r="G645" s="977"/>
      <c r="H645" s="977"/>
      <c r="I645" s="145"/>
      <c r="J645" s="145"/>
      <c r="K645" s="977"/>
      <c r="L645" s="977"/>
      <c r="M645" s="977"/>
      <c r="N645" s="977"/>
      <c r="O645" s="977"/>
      <c r="P645" s="977"/>
      <c r="Q645" s="977"/>
      <c r="R645" s="977"/>
      <c r="S645" s="977"/>
      <c r="T645" s="977"/>
      <c r="U645" s="977"/>
      <c r="V645" s="977"/>
      <c r="W645" s="977"/>
      <c r="X645" s="978"/>
      <c r="Y645" s="977"/>
      <c r="Z645" s="977"/>
      <c r="AA645" s="978"/>
      <c r="AB645" s="977"/>
      <c r="AC645" s="977"/>
      <c r="AD645" s="977"/>
      <c r="AE645" s="977"/>
      <c r="AF645" s="977"/>
      <c r="AG645" s="977"/>
    </row>
    <row r="646" spans="1:33" x14ac:dyDescent="0.2">
      <c r="A646" s="977"/>
      <c r="B646" s="977"/>
      <c r="C646" s="977"/>
      <c r="D646" s="977"/>
      <c r="E646" s="977"/>
      <c r="F646" s="977"/>
      <c r="G646" s="977"/>
      <c r="H646" s="977"/>
      <c r="I646" s="145"/>
      <c r="J646" s="145"/>
      <c r="K646" s="977"/>
      <c r="L646" s="977"/>
      <c r="M646" s="977"/>
      <c r="N646" s="977"/>
      <c r="O646" s="977"/>
      <c r="P646" s="977"/>
      <c r="Q646" s="977"/>
      <c r="R646" s="977"/>
      <c r="S646" s="977"/>
      <c r="T646" s="977"/>
      <c r="U646" s="977"/>
      <c r="V646" s="977"/>
      <c r="W646" s="977"/>
      <c r="X646" s="978"/>
      <c r="Y646" s="977"/>
      <c r="Z646" s="977"/>
      <c r="AA646" s="978"/>
      <c r="AB646" s="977"/>
      <c r="AC646" s="977"/>
      <c r="AD646" s="977"/>
      <c r="AE646" s="977"/>
      <c r="AF646" s="977"/>
      <c r="AG646" s="977"/>
    </row>
    <row r="647" spans="1:33" x14ac:dyDescent="0.2">
      <c r="A647" s="977"/>
      <c r="B647" s="977"/>
      <c r="C647" s="977"/>
      <c r="D647" s="977"/>
      <c r="E647" s="977"/>
      <c r="F647" s="977"/>
      <c r="G647" s="977"/>
      <c r="H647" s="977"/>
      <c r="I647" s="145"/>
      <c r="J647" s="145"/>
      <c r="K647" s="977"/>
      <c r="L647" s="977"/>
      <c r="M647" s="977"/>
      <c r="N647" s="977"/>
      <c r="O647" s="977"/>
      <c r="P647" s="977"/>
      <c r="Q647" s="977"/>
      <c r="R647" s="977"/>
      <c r="S647" s="977"/>
      <c r="T647" s="977"/>
      <c r="U647" s="977"/>
      <c r="V647" s="977"/>
      <c r="W647" s="977"/>
      <c r="X647" s="978"/>
      <c r="Y647" s="977"/>
      <c r="Z647" s="977"/>
      <c r="AA647" s="978"/>
      <c r="AB647" s="977"/>
      <c r="AC647" s="977"/>
      <c r="AD647" s="977"/>
      <c r="AE647" s="977"/>
      <c r="AF647" s="977"/>
      <c r="AG647" s="977"/>
    </row>
    <row r="648" spans="1:33" x14ac:dyDescent="0.2">
      <c r="A648" s="977"/>
      <c r="B648" s="977"/>
      <c r="C648" s="977"/>
      <c r="D648" s="977"/>
      <c r="E648" s="977"/>
      <c r="F648" s="977"/>
      <c r="G648" s="977"/>
      <c r="H648" s="977"/>
      <c r="I648" s="145"/>
      <c r="J648" s="145"/>
      <c r="K648" s="977"/>
      <c r="L648" s="977"/>
      <c r="M648" s="977"/>
      <c r="N648" s="977"/>
      <c r="O648" s="977"/>
      <c r="P648" s="977"/>
      <c r="Q648" s="977"/>
      <c r="R648" s="977"/>
      <c r="S648" s="977"/>
      <c r="T648" s="977"/>
      <c r="U648" s="977"/>
      <c r="V648" s="977"/>
      <c r="W648" s="977"/>
      <c r="X648" s="978"/>
      <c r="Y648" s="977"/>
      <c r="Z648" s="977"/>
      <c r="AA648" s="978"/>
      <c r="AB648" s="977"/>
      <c r="AC648" s="977"/>
      <c r="AD648" s="977"/>
      <c r="AE648" s="977"/>
      <c r="AF648" s="977"/>
      <c r="AG648" s="977"/>
    </row>
    <row r="649" spans="1:33" x14ac:dyDescent="0.2">
      <c r="A649" s="977"/>
      <c r="B649" s="977"/>
      <c r="C649" s="977"/>
      <c r="D649" s="977"/>
      <c r="E649" s="977"/>
      <c r="F649" s="977"/>
      <c r="G649" s="977"/>
      <c r="H649" s="977"/>
      <c r="I649" s="145"/>
      <c r="J649" s="145"/>
      <c r="K649" s="977"/>
      <c r="L649" s="977"/>
      <c r="M649" s="977"/>
      <c r="N649" s="977"/>
      <c r="O649" s="977"/>
      <c r="P649" s="977"/>
      <c r="Q649" s="977"/>
      <c r="R649" s="977"/>
      <c r="S649" s="977"/>
      <c r="T649" s="977"/>
      <c r="U649" s="977"/>
      <c r="V649" s="977"/>
      <c r="W649" s="977"/>
      <c r="X649" s="978"/>
      <c r="Y649" s="977"/>
      <c r="Z649" s="977"/>
      <c r="AA649" s="978"/>
      <c r="AB649" s="977"/>
      <c r="AC649" s="977"/>
      <c r="AD649" s="977"/>
      <c r="AE649" s="977"/>
      <c r="AF649" s="977"/>
      <c r="AG649" s="977"/>
    </row>
    <row r="650" spans="1:33" x14ac:dyDescent="0.2">
      <c r="A650" s="977"/>
      <c r="B650" s="977"/>
      <c r="C650" s="977"/>
      <c r="D650" s="977"/>
      <c r="E650" s="977"/>
      <c r="F650" s="977"/>
      <c r="G650" s="977"/>
      <c r="H650" s="977"/>
      <c r="I650" s="145"/>
      <c r="J650" s="145"/>
      <c r="K650" s="977"/>
      <c r="L650" s="977"/>
      <c r="M650" s="977"/>
      <c r="N650" s="977"/>
      <c r="O650" s="977"/>
      <c r="P650" s="977"/>
      <c r="Q650" s="977"/>
      <c r="R650" s="977"/>
      <c r="S650" s="977"/>
      <c r="T650" s="977"/>
      <c r="U650" s="977"/>
      <c r="V650" s="977"/>
      <c r="W650" s="977"/>
      <c r="X650" s="978"/>
      <c r="Y650" s="977"/>
      <c r="Z650" s="977"/>
      <c r="AA650" s="978"/>
      <c r="AB650" s="977"/>
      <c r="AC650" s="977"/>
      <c r="AD650" s="977"/>
      <c r="AE650" s="977"/>
      <c r="AF650" s="977"/>
      <c r="AG650" s="977"/>
    </row>
    <row r="651" spans="1:33" x14ac:dyDescent="0.2">
      <c r="A651" s="977"/>
      <c r="B651" s="977"/>
      <c r="C651" s="977"/>
      <c r="D651" s="977"/>
      <c r="E651" s="977"/>
      <c r="F651" s="977"/>
      <c r="G651" s="977"/>
      <c r="H651" s="977"/>
      <c r="I651" s="145"/>
      <c r="J651" s="145"/>
      <c r="K651" s="977"/>
      <c r="L651" s="977"/>
      <c r="M651" s="977"/>
      <c r="N651" s="977"/>
      <c r="O651" s="977"/>
      <c r="P651" s="977"/>
      <c r="Q651" s="977"/>
      <c r="R651" s="977"/>
      <c r="S651" s="977"/>
      <c r="T651" s="977"/>
      <c r="U651" s="977"/>
      <c r="V651" s="977"/>
      <c r="W651" s="977"/>
      <c r="X651" s="978"/>
      <c r="Y651" s="977"/>
      <c r="Z651" s="977"/>
      <c r="AA651" s="978"/>
      <c r="AB651" s="977"/>
      <c r="AC651" s="977"/>
      <c r="AD651" s="977"/>
      <c r="AE651" s="977"/>
      <c r="AF651" s="977"/>
      <c r="AG651" s="977"/>
    </row>
    <row r="652" spans="1:33" x14ac:dyDescent="0.2">
      <c r="A652" s="977"/>
      <c r="B652" s="977"/>
      <c r="C652" s="977"/>
      <c r="D652" s="977"/>
      <c r="E652" s="977"/>
      <c r="F652" s="977"/>
      <c r="G652" s="977"/>
      <c r="H652" s="977"/>
      <c r="I652" s="145"/>
      <c r="J652" s="145"/>
      <c r="K652" s="977"/>
      <c r="L652" s="977"/>
      <c r="M652" s="977"/>
      <c r="N652" s="977"/>
      <c r="O652" s="977"/>
      <c r="P652" s="977"/>
      <c r="Q652" s="977"/>
      <c r="R652" s="977"/>
      <c r="S652" s="977"/>
      <c r="T652" s="977"/>
      <c r="U652" s="977"/>
      <c r="V652" s="977"/>
      <c r="W652" s="977"/>
      <c r="X652" s="978"/>
      <c r="Y652" s="977"/>
      <c r="Z652" s="977"/>
      <c r="AA652" s="978"/>
      <c r="AB652" s="977"/>
      <c r="AC652" s="977"/>
      <c r="AD652" s="977"/>
      <c r="AE652" s="977"/>
      <c r="AF652" s="977"/>
      <c r="AG652" s="977"/>
    </row>
    <row r="653" spans="1:33" x14ac:dyDescent="0.2">
      <c r="A653" s="977"/>
      <c r="B653" s="977"/>
      <c r="C653" s="977"/>
      <c r="D653" s="977"/>
      <c r="E653" s="977"/>
      <c r="F653" s="977"/>
      <c r="G653" s="977"/>
      <c r="H653" s="977"/>
      <c r="I653" s="145"/>
      <c r="J653" s="145"/>
      <c r="K653" s="977"/>
      <c r="L653" s="977"/>
      <c r="M653" s="977"/>
      <c r="N653" s="977"/>
      <c r="O653" s="977"/>
      <c r="P653" s="977"/>
      <c r="Q653" s="977"/>
      <c r="R653" s="977"/>
      <c r="S653" s="977"/>
      <c r="T653" s="977"/>
      <c r="U653" s="977"/>
      <c r="V653" s="977"/>
      <c r="W653" s="977"/>
      <c r="X653" s="978"/>
      <c r="Y653" s="977"/>
      <c r="Z653" s="977"/>
      <c r="AA653" s="978"/>
      <c r="AB653" s="977"/>
      <c r="AC653" s="977"/>
      <c r="AD653" s="977"/>
      <c r="AE653" s="977"/>
      <c r="AF653" s="977"/>
      <c r="AG653" s="977"/>
    </row>
    <row r="654" spans="1:33" x14ac:dyDescent="0.2">
      <c r="A654" s="977"/>
      <c r="B654" s="977"/>
      <c r="C654" s="977"/>
      <c r="D654" s="977"/>
      <c r="E654" s="977"/>
      <c r="F654" s="977"/>
      <c r="G654" s="977"/>
      <c r="H654" s="977"/>
      <c r="I654" s="145"/>
      <c r="J654" s="145"/>
      <c r="K654" s="977"/>
      <c r="L654" s="977"/>
      <c r="M654" s="977"/>
      <c r="N654" s="977"/>
      <c r="O654" s="977"/>
      <c r="P654" s="977"/>
      <c r="Q654" s="977"/>
      <c r="R654" s="977"/>
      <c r="S654" s="977"/>
      <c r="T654" s="977"/>
      <c r="U654" s="977"/>
      <c r="V654" s="977"/>
      <c r="W654" s="977"/>
      <c r="X654" s="978"/>
      <c r="Y654" s="977"/>
      <c r="Z654" s="977"/>
      <c r="AA654" s="978"/>
      <c r="AB654" s="977"/>
      <c r="AC654" s="977"/>
      <c r="AD654" s="977"/>
      <c r="AE654" s="977"/>
      <c r="AF654" s="977"/>
      <c r="AG654" s="977"/>
    </row>
    <row r="655" spans="1:33" x14ac:dyDescent="0.2">
      <c r="A655" s="977"/>
      <c r="B655" s="977"/>
      <c r="C655" s="977"/>
      <c r="D655" s="977"/>
      <c r="E655" s="977"/>
      <c r="F655" s="977"/>
      <c r="G655" s="977"/>
      <c r="H655" s="977"/>
      <c r="I655" s="145"/>
      <c r="J655" s="145"/>
      <c r="K655" s="977"/>
      <c r="L655" s="977"/>
      <c r="M655" s="977"/>
      <c r="N655" s="977"/>
      <c r="O655" s="977"/>
      <c r="P655" s="977"/>
      <c r="Q655" s="977"/>
      <c r="R655" s="977"/>
      <c r="S655" s="977"/>
      <c r="T655" s="977"/>
      <c r="U655" s="977"/>
      <c r="V655" s="977"/>
      <c r="W655" s="977"/>
      <c r="X655" s="978"/>
      <c r="Y655" s="977"/>
      <c r="Z655" s="977"/>
      <c r="AA655" s="978"/>
      <c r="AB655" s="977"/>
      <c r="AC655" s="977"/>
      <c r="AD655" s="977"/>
      <c r="AE655" s="977"/>
      <c r="AF655" s="977"/>
      <c r="AG655" s="977"/>
    </row>
    <row r="656" spans="1:33" x14ac:dyDescent="0.2">
      <c r="A656" s="977"/>
      <c r="B656" s="977"/>
      <c r="C656" s="977"/>
      <c r="D656" s="977"/>
      <c r="E656" s="977"/>
      <c r="F656" s="977"/>
      <c r="G656" s="977"/>
      <c r="H656" s="977"/>
      <c r="I656" s="145"/>
      <c r="J656" s="145"/>
      <c r="K656" s="977"/>
      <c r="L656" s="977"/>
      <c r="M656" s="977"/>
      <c r="N656" s="977"/>
      <c r="O656" s="977"/>
      <c r="P656" s="977"/>
      <c r="Q656" s="977"/>
      <c r="R656" s="977"/>
      <c r="S656" s="977"/>
      <c r="T656" s="977"/>
      <c r="U656" s="977"/>
      <c r="V656" s="977"/>
      <c r="W656" s="977"/>
      <c r="X656" s="978"/>
      <c r="Y656" s="977"/>
      <c r="Z656" s="977"/>
      <c r="AA656" s="978"/>
      <c r="AB656" s="977"/>
      <c r="AC656" s="977"/>
      <c r="AD656" s="977"/>
      <c r="AE656" s="977"/>
      <c r="AF656" s="977"/>
      <c r="AG656" s="977"/>
    </row>
    <row r="657" spans="1:33" x14ac:dyDescent="0.2">
      <c r="A657" s="977"/>
      <c r="B657" s="977"/>
      <c r="C657" s="977"/>
      <c r="D657" s="977"/>
      <c r="E657" s="977"/>
      <c r="F657" s="977"/>
      <c r="G657" s="977"/>
      <c r="H657" s="977"/>
      <c r="I657" s="145"/>
      <c r="J657" s="145"/>
      <c r="K657" s="977"/>
      <c r="L657" s="977"/>
      <c r="M657" s="977"/>
      <c r="N657" s="977"/>
      <c r="O657" s="977"/>
      <c r="P657" s="977"/>
      <c r="Q657" s="977"/>
      <c r="R657" s="977"/>
      <c r="S657" s="977"/>
      <c r="T657" s="977"/>
      <c r="U657" s="977"/>
      <c r="V657" s="977"/>
      <c r="W657" s="977"/>
      <c r="X657" s="978"/>
      <c r="Y657" s="977"/>
      <c r="Z657" s="977"/>
      <c r="AA657" s="978"/>
      <c r="AB657" s="977"/>
      <c r="AC657" s="977"/>
      <c r="AD657" s="977"/>
      <c r="AE657" s="977"/>
      <c r="AF657" s="977"/>
      <c r="AG657" s="977"/>
    </row>
    <row r="658" spans="1:33" x14ac:dyDescent="0.2">
      <c r="A658" s="977"/>
      <c r="B658" s="977"/>
      <c r="C658" s="977"/>
      <c r="D658" s="977"/>
      <c r="E658" s="977"/>
      <c r="F658" s="977"/>
      <c r="G658" s="977"/>
      <c r="H658" s="977"/>
      <c r="I658" s="145"/>
      <c r="J658" s="145"/>
      <c r="K658" s="977"/>
      <c r="L658" s="977"/>
      <c r="M658" s="977"/>
      <c r="N658" s="977"/>
      <c r="O658" s="977"/>
      <c r="P658" s="977"/>
      <c r="Q658" s="977"/>
      <c r="R658" s="977"/>
      <c r="S658" s="977"/>
      <c r="T658" s="977"/>
      <c r="U658" s="977"/>
      <c r="V658" s="977"/>
      <c r="W658" s="977"/>
      <c r="X658" s="978"/>
      <c r="Y658" s="977"/>
      <c r="Z658" s="977"/>
      <c r="AA658" s="978"/>
      <c r="AB658" s="977"/>
      <c r="AC658" s="977"/>
      <c r="AD658" s="977"/>
      <c r="AE658" s="977"/>
      <c r="AF658" s="977"/>
      <c r="AG658" s="977"/>
    </row>
    <row r="659" spans="1:33" x14ac:dyDescent="0.2">
      <c r="A659" s="977"/>
      <c r="B659" s="977"/>
      <c r="C659" s="977"/>
      <c r="D659" s="977"/>
      <c r="E659" s="977"/>
      <c r="F659" s="977"/>
      <c r="G659" s="977"/>
      <c r="H659" s="977"/>
      <c r="I659" s="145"/>
      <c r="J659" s="145"/>
      <c r="K659" s="977"/>
      <c r="L659" s="977"/>
      <c r="M659" s="977"/>
      <c r="N659" s="977"/>
      <c r="O659" s="977"/>
      <c r="P659" s="977"/>
      <c r="Q659" s="977"/>
      <c r="R659" s="977"/>
      <c r="S659" s="977"/>
      <c r="T659" s="977"/>
      <c r="U659" s="977"/>
      <c r="V659" s="977"/>
      <c r="W659" s="977"/>
      <c r="X659" s="978"/>
      <c r="Y659" s="977"/>
      <c r="Z659" s="977"/>
      <c r="AA659" s="978"/>
      <c r="AB659" s="977"/>
      <c r="AC659" s="977"/>
      <c r="AD659" s="977"/>
      <c r="AE659" s="977"/>
      <c r="AF659" s="977"/>
      <c r="AG659" s="977"/>
    </row>
    <row r="660" spans="1:33" x14ac:dyDescent="0.2">
      <c r="A660" s="977"/>
      <c r="B660" s="977"/>
      <c r="C660" s="977"/>
      <c r="D660" s="977"/>
      <c r="E660" s="977"/>
      <c r="F660" s="977"/>
      <c r="G660" s="977"/>
      <c r="H660" s="977"/>
      <c r="I660" s="145"/>
      <c r="J660" s="145"/>
      <c r="K660" s="977"/>
      <c r="L660" s="977"/>
      <c r="M660" s="977"/>
      <c r="N660" s="977"/>
      <c r="O660" s="977"/>
      <c r="P660" s="977"/>
      <c r="Q660" s="977"/>
      <c r="R660" s="977"/>
      <c r="S660" s="977"/>
      <c r="T660" s="977"/>
      <c r="U660" s="977"/>
      <c r="V660" s="977"/>
      <c r="W660" s="977"/>
      <c r="X660" s="978"/>
      <c r="Y660" s="977"/>
      <c r="Z660" s="977"/>
      <c r="AA660" s="978"/>
      <c r="AB660" s="977"/>
      <c r="AC660" s="977"/>
      <c r="AD660" s="977"/>
      <c r="AE660" s="977"/>
      <c r="AF660" s="977"/>
      <c r="AG660" s="977"/>
    </row>
    <row r="661" spans="1:33" x14ac:dyDescent="0.2">
      <c r="A661" s="977"/>
      <c r="B661" s="977"/>
      <c r="C661" s="977"/>
      <c r="D661" s="977"/>
      <c r="E661" s="977"/>
      <c r="F661" s="977"/>
      <c r="G661" s="977"/>
      <c r="H661" s="977"/>
      <c r="I661" s="145"/>
      <c r="J661" s="145"/>
      <c r="K661" s="977"/>
      <c r="L661" s="977"/>
      <c r="M661" s="977"/>
      <c r="N661" s="977"/>
      <c r="O661" s="977"/>
      <c r="P661" s="977"/>
      <c r="Q661" s="977"/>
      <c r="R661" s="977"/>
      <c r="S661" s="977"/>
      <c r="T661" s="977"/>
      <c r="U661" s="977"/>
      <c r="V661" s="977"/>
      <c r="W661" s="977"/>
      <c r="X661" s="978"/>
      <c r="Y661" s="977"/>
      <c r="Z661" s="977"/>
      <c r="AA661" s="978"/>
      <c r="AB661" s="977"/>
      <c r="AC661" s="977"/>
      <c r="AD661" s="977"/>
      <c r="AE661" s="977"/>
      <c r="AF661" s="977"/>
      <c r="AG661" s="977"/>
    </row>
    <row r="662" spans="1:33" x14ac:dyDescent="0.2">
      <c r="A662" s="977"/>
      <c r="B662" s="977"/>
      <c r="C662" s="977"/>
      <c r="D662" s="977"/>
      <c r="E662" s="977"/>
      <c r="F662" s="977"/>
      <c r="G662" s="977"/>
      <c r="H662" s="977"/>
      <c r="I662" s="145"/>
      <c r="J662" s="145"/>
      <c r="K662" s="977"/>
      <c r="L662" s="977"/>
      <c r="M662" s="977"/>
      <c r="N662" s="977"/>
      <c r="O662" s="977"/>
      <c r="P662" s="977"/>
      <c r="Q662" s="977"/>
      <c r="R662" s="977"/>
      <c r="S662" s="977"/>
      <c r="T662" s="977"/>
      <c r="U662" s="977"/>
      <c r="V662" s="977"/>
      <c r="W662" s="977"/>
      <c r="X662" s="978"/>
      <c r="Y662" s="977"/>
      <c r="Z662" s="977"/>
      <c r="AA662" s="978"/>
      <c r="AB662" s="977"/>
      <c r="AC662" s="977"/>
      <c r="AD662" s="977"/>
      <c r="AE662" s="977"/>
      <c r="AF662" s="977"/>
      <c r="AG662" s="977"/>
    </row>
    <row r="663" spans="1:33" x14ac:dyDescent="0.2">
      <c r="A663" s="977"/>
      <c r="B663" s="977"/>
      <c r="C663" s="977"/>
      <c r="D663" s="977"/>
      <c r="E663" s="977"/>
      <c r="F663" s="977"/>
      <c r="G663" s="977"/>
      <c r="H663" s="977"/>
      <c r="I663" s="145"/>
      <c r="J663" s="145"/>
      <c r="K663" s="977"/>
      <c r="L663" s="977"/>
      <c r="M663" s="977"/>
      <c r="N663" s="977"/>
      <c r="O663" s="977"/>
      <c r="P663" s="977"/>
      <c r="Q663" s="977"/>
      <c r="R663" s="977"/>
      <c r="S663" s="977"/>
      <c r="T663" s="977"/>
      <c r="U663" s="977"/>
      <c r="V663" s="977"/>
      <c r="W663" s="977"/>
      <c r="X663" s="978"/>
      <c r="Y663" s="977"/>
      <c r="Z663" s="977"/>
      <c r="AA663" s="978"/>
      <c r="AB663" s="977"/>
      <c r="AC663" s="977"/>
      <c r="AD663" s="977"/>
      <c r="AE663" s="977"/>
      <c r="AF663" s="977"/>
      <c r="AG663" s="977"/>
    </row>
    <row r="664" spans="1:33" x14ac:dyDescent="0.2">
      <c r="A664" s="977"/>
      <c r="B664" s="977"/>
      <c r="C664" s="977"/>
      <c r="D664" s="977"/>
      <c r="E664" s="977"/>
      <c r="F664" s="977"/>
      <c r="G664" s="977"/>
      <c r="H664" s="977"/>
      <c r="I664" s="145"/>
      <c r="J664" s="145"/>
      <c r="K664" s="977"/>
      <c r="L664" s="977"/>
      <c r="M664" s="977"/>
      <c r="N664" s="977"/>
      <c r="O664" s="977"/>
      <c r="P664" s="977"/>
      <c r="Q664" s="977"/>
      <c r="R664" s="977"/>
      <c r="S664" s="977"/>
      <c r="T664" s="977"/>
      <c r="U664" s="977"/>
      <c r="V664" s="977"/>
      <c r="W664" s="977"/>
      <c r="X664" s="978"/>
      <c r="Y664" s="977"/>
      <c r="Z664" s="977"/>
      <c r="AA664" s="978"/>
      <c r="AB664" s="977"/>
      <c r="AC664" s="977"/>
      <c r="AD664" s="977"/>
      <c r="AE664" s="977"/>
      <c r="AF664" s="977"/>
      <c r="AG664" s="977"/>
    </row>
    <row r="665" spans="1:33" x14ac:dyDescent="0.2">
      <c r="A665" s="977"/>
      <c r="B665" s="977"/>
      <c r="C665" s="977"/>
      <c r="D665" s="977"/>
      <c r="E665" s="977"/>
      <c r="F665" s="977"/>
      <c r="G665" s="977"/>
      <c r="H665" s="977"/>
      <c r="I665" s="145"/>
      <c r="J665" s="145"/>
      <c r="K665" s="977"/>
      <c r="L665" s="977"/>
      <c r="M665" s="977"/>
      <c r="N665" s="977"/>
      <c r="O665" s="977"/>
      <c r="P665" s="977"/>
      <c r="Q665" s="977"/>
      <c r="R665" s="977"/>
      <c r="S665" s="977"/>
      <c r="T665" s="977"/>
      <c r="U665" s="977"/>
      <c r="V665" s="977"/>
      <c r="W665" s="977"/>
      <c r="X665" s="978"/>
      <c r="Y665" s="977"/>
      <c r="Z665" s="977"/>
      <c r="AA665" s="978"/>
      <c r="AB665" s="977"/>
      <c r="AC665" s="977"/>
      <c r="AD665" s="977"/>
      <c r="AE665" s="977"/>
      <c r="AF665" s="977"/>
      <c r="AG665" s="977"/>
    </row>
    <row r="666" spans="1:33" x14ac:dyDescent="0.2">
      <c r="A666" s="977"/>
      <c r="B666" s="977"/>
      <c r="C666" s="977"/>
      <c r="D666" s="977"/>
      <c r="E666" s="977"/>
      <c r="F666" s="977"/>
      <c r="G666" s="977"/>
      <c r="H666" s="977"/>
      <c r="I666" s="145"/>
      <c r="J666" s="145"/>
      <c r="K666" s="977"/>
      <c r="L666" s="977"/>
      <c r="M666" s="977"/>
      <c r="N666" s="977"/>
      <c r="O666" s="977"/>
      <c r="P666" s="977"/>
      <c r="Q666" s="977"/>
      <c r="R666" s="977"/>
      <c r="S666" s="977"/>
      <c r="T666" s="977"/>
      <c r="U666" s="977"/>
      <c r="V666" s="977"/>
      <c r="W666" s="977"/>
      <c r="X666" s="978"/>
      <c r="Y666" s="977"/>
      <c r="Z666" s="977"/>
      <c r="AA666" s="978"/>
      <c r="AB666" s="977"/>
      <c r="AC666" s="977"/>
      <c r="AD666" s="977"/>
      <c r="AE666" s="977"/>
      <c r="AF666" s="977"/>
      <c r="AG666" s="977"/>
    </row>
    <row r="667" spans="1:33" x14ac:dyDescent="0.2">
      <c r="A667" s="977"/>
      <c r="B667" s="977"/>
      <c r="C667" s="977"/>
      <c r="D667" s="977"/>
      <c r="E667" s="977"/>
      <c r="F667" s="977"/>
      <c r="G667" s="977"/>
      <c r="H667" s="977"/>
      <c r="I667" s="145"/>
      <c r="J667" s="145"/>
      <c r="K667" s="977"/>
      <c r="L667" s="977"/>
      <c r="M667" s="977"/>
      <c r="N667" s="977"/>
      <c r="O667" s="977"/>
      <c r="P667" s="977"/>
      <c r="Q667" s="977"/>
      <c r="R667" s="977"/>
      <c r="S667" s="977"/>
      <c r="T667" s="977"/>
      <c r="U667" s="977"/>
      <c r="V667" s="977"/>
      <c r="W667" s="977"/>
      <c r="X667" s="978"/>
      <c r="Y667" s="977"/>
      <c r="Z667" s="977"/>
      <c r="AA667" s="978"/>
      <c r="AB667" s="977"/>
      <c r="AC667" s="977"/>
      <c r="AD667" s="977"/>
      <c r="AE667" s="977"/>
      <c r="AF667" s="977"/>
      <c r="AG667" s="977"/>
    </row>
    <row r="668" spans="1:33" x14ac:dyDescent="0.2">
      <c r="A668" s="977"/>
      <c r="B668" s="977"/>
      <c r="C668" s="977"/>
      <c r="D668" s="977"/>
      <c r="E668" s="977"/>
      <c r="F668" s="977"/>
      <c r="G668" s="977"/>
      <c r="H668" s="977"/>
      <c r="I668" s="145"/>
      <c r="J668" s="145"/>
      <c r="K668" s="977"/>
      <c r="L668" s="977"/>
      <c r="M668" s="977"/>
      <c r="N668" s="977"/>
      <c r="O668" s="977"/>
      <c r="P668" s="977"/>
      <c r="Q668" s="977"/>
      <c r="R668" s="977"/>
      <c r="S668" s="977"/>
      <c r="T668" s="977"/>
      <c r="U668" s="977"/>
      <c r="V668" s="977"/>
      <c r="W668" s="977"/>
      <c r="X668" s="978"/>
      <c r="Y668" s="977"/>
      <c r="Z668" s="977"/>
      <c r="AA668" s="978"/>
      <c r="AB668" s="977"/>
      <c r="AC668" s="977"/>
      <c r="AD668" s="977"/>
      <c r="AE668" s="977"/>
      <c r="AF668" s="977"/>
      <c r="AG668" s="977"/>
    </row>
    <row r="669" spans="1:33" x14ac:dyDescent="0.2">
      <c r="A669" s="977"/>
      <c r="B669" s="977"/>
      <c r="C669" s="977"/>
      <c r="D669" s="977"/>
      <c r="E669" s="977"/>
      <c r="F669" s="977"/>
      <c r="G669" s="977"/>
      <c r="H669" s="977"/>
      <c r="I669" s="145"/>
      <c r="J669" s="145"/>
      <c r="K669" s="977"/>
      <c r="L669" s="977"/>
      <c r="M669" s="977"/>
      <c r="N669" s="977"/>
      <c r="O669" s="977"/>
      <c r="P669" s="977"/>
      <c r="Q669" s="977"/>
      <c r="R669" s="977"/>
      <c r="S669" s="977"/>
      <c r="T669" s="977"/>
      <c r="U669" s="977"/>
      <c r="V669" s="977"/>
      <c r="W669" s="977"/>
      <c r="X669" s="978"/>
      <c r="Y669" s="977"/>
      <c r="Z669" s="977"/>
      <c r="AA669" s="978"/>
      <c r="AB669" s="977"/>
      <c r="AC669" s="977"/>
      <c r="AD669" s="977"/>
      <c r="AE669" s="977"/>
      <c r="AF669" s="977"/>
      <c r="AG669" s="977"/>
    </row>
    <row r="670" spans="1:33" x14ac:dyDescent="0.2">
      <c r="A670" s="977"/>
      <c r="B670" s="977"/>
      <c r="C670" s="977"/>
      <c r="D670" s="977"/>
      <c r="E670" s="977"/>
      <c r="F670" s="977"/>
      <c r="G670" s="977"/>
      <c r="H670" s="977"/>
      <c r="I670" s="145"/>
      <c r="J670" s="145"/>
      <c r="K670" s="977"/>
      <c r="L670" s="977"/>
      <c r="M670" s="977"/>
      <c r="N670" s="977"/>
      <c r="O670" s="977"/>
      <c r="P670" s="977"/>
      <c r="Q670" s="977"/>
      <c r="R670" s="977"/>
      <c r="S670" s="977"/>
      <c r="T670" s="977"/>
      <c r="U670" s="977"/>
      <c r="V670" s="977"/>
      <c r="W670" s="977"/>
      <c r="X670" s="978"/>
      <c r="Y670" s="977"/>
      <c r="Z670" s="977"/>
      <c r="AA670" s="978"/>
      <c r="AB670" s="977"/>
      <c r="AC670" s="977"/>
      <c r="AD670" s="977"/>
      <c r="AE670" s="977"/>
      <c r="AF670" s="977"/>
      <c r="AG670" s="977"/>
    </row>
    <row r="671" spans="1:33" x14ac:dyDescent="0.2">
      <c r="A671" s="977"/>
      <c r="B671" s="977"/>
      <c r="C671" s="977"/>
      <c r="D671" s="977"/>
      <c r="E671" s="977"/>
      <c r="F671" s="977"/>
      <c r="G671" s="977"/>
      <c r="H671" s="977"/>
      <c r="I671" s="145"/>
      <c r="J671" s="145"/>
      <c r="K671" s="977"/>
      <c r="L671" s="977"/>
      <c r="M671" s="977"/>
      <c r="N671" s="977"/>
      <c r="O671" s="977"/>
      <c r="P671" s="977"/>
      <c r="Q671" s="977"/>
      <c r="R671" s="977"/>
      <c r="S671" s="977"/>
      <c r="T671" s="977"/>
      <c r="U671" s="977"/>
      <c r="V671" s="977"/>
      <c r="W671" s="977"/>
      <c r="X671" s="978"/>
      <c r="Y671" s="977"/>
      <c r="Z671" s="977"/>
      <c r="AA671" s="978"/>
      <c r="AB671" s="977"/>
      <c r="AC671" s="977"/>
      <c r="AD671" s="977"/>
      <c r="AE671" s="977"/>
      <c r="AF671" s="977"/>
      <c r="AG671" s="977"/>
    </row>
    <row r="672" spans="1:33" x14ac:dyDescent="0.2">
      <c r="A672" s="977"/>
      <c r="B672" s="977"/>
      <c r="C672" s="977"/>
      <c r="D672" s="977"/>
      <c r="E672" s="977"/>
      <c r="F672" s="977"/>
      <c r="G672" s="977"/>
      <c r="H672" s="977"/>
      <c r="I672" s="145"/>
      <c r="J672" s="145"/>
      <c r="K672" s="977"/>
      <c r="L672" s="977"/>
      <c r="M672" s="977"/>
      <c r="N672" s="977"/>
      <c r="O672" s="977"/>
      <c r="P672" s="977"/>
      <c r="Q672" s="977"/>
      <c r="R672" s="977"/>
      <c r="S672" s="977"/>
      <c r="T672" s="977"/>
      <c r="U672" s="977"/>
      <c r="V672" s="977"/>
      <c r="W672" s="977"/>
      <c r="X672" s="978"/>
      <c r="Y672" s="977"/>
      <c r="Z672" s="977"/>
      <c r="AA672" s="978"/>
      <c r="AB672" s="977"/>
      <c r="AC672" s="977"/>
      <c r="AD672" s="977"/>
      <c r="AE672" s="977"/>
      <c r="AF672" s="977"/>
      <c r="AG672" s="977"/>
    </row>
    <row r="673" spans="1:33" x14ac:dyDescent="0.2">
      <c r="A673" s="977"/>
      <c r="B673" s="977"/>
      <c r="C673" s="977"/>
      <c r="D673" s="977"/>
      <c r="E673" s="977"/>
      <c r="F673" s="977"/>
      <c r="G673" s="977"/>
      <c r="H673" s="977"/>
      <c r="I673" s="145"/>
      <c r="J673" s="145"/>
      <c r="K673" s="977"/>
      <c r="L673" s="977"/>
      <c r="M673" s="977"/>
      <c r="N673" s="977"/>
      <c r="O673" s="977"/>
      <c r="P673" s="977"/>
      <c r="Q673" s="977"/>
      <c r="R673" s="977"/>
      <c r="S673" s="977"/>
      <c r="T673" s="977"/>
      <c r="U673" s="977"/>
      <c r="V673" s="977"/>
      <c r="W673" s="977"/>
      <c r="X673" s="978"/>
      <c r="Y673" s="977"/>
      <c r="Z673" s="977"/>
      <c r="AA673" s="978"/>
      <c r="AB673" s="977"/>
      <c r="AC673" s="977"/>
      <c r="AD673" s="977"/>
      <c r="AE673" s="977"/>
      <c r="AF673" s="977"/>
      <c r="AG673" s="977"/>
    </row>
    <row r="674" spans="1:33" x14ac:dyDescent="0.2">
      <c r="A674" s="977"/>
      <c r="B674" s="977"/>
      <c r="C674" s="977"/>
      <c r="D674" s="977"/>
      <c r="E674" s="977"/>
      <c r="F674" s="977"/>
      <c r="G674" s="977"/>
      <c r="H674" s="977"/>
      <c r="I674" s="145"/>
      <c r="J674" s="145"/>
      <c r="K674" s="977"/>
      <c r="L674" s="977"/>
      <c r="M674" s="977"/>
      <c r="N674" s="977"/>
      <c r="O674" s="977"/>
      <c r="P674" s="977"/>
      <c r="Q674" s="977"/>
      <c r="R674" s="977"/>
      <c r="S674" s="977"/>
      <c r="T674" s="977"/>
      <c r="U674" s="977"/>
      <c r="V674" s="977"/>
      <c r="W674" s="977"/>
      <c r="X674" s="978"/>
      <c r="Y674" s="977"/>
      <c r="Z674" s="977"/>
      <c r="AA674" s="978"/>
      <c r="AB674" s="977"/>
      <c r="AC674" s="977"/>
      <c r="AD674" s="977"/>
      <c r="AE674" s="977"/>
      <c r="AF674" s="977"/>
      <c r="AG674" s="977"/>
    </row>
    <row r="675" spans="1:33" x14ac:dyDescent="0.2">
      <c r="A675" s="977"/>
      <c r="B675" s="977"/>
      <c r="C675" s="977"/>
      <c r="D675" s="977"/>
      <c r="E675" s="977"/>
      <c r="F675" s="977"/>
      <c r="G675" s="977"/>
      <c r="H675" s="977"/>
      <c r="I675" s="145"/>
      <c r="J675" s="145"/>
      <c r="K675" s="977"/>
      <c r="L675" s="977"/>
      <c r="M675" s="977"/>
      <c r="N675" s="977"/>
      <c r="O675" s="977"/>
      <c r="P675" s="977"/>
      <c r="Q675" s="977"/>
      <c r="R675" s="977"/>
      <c r="S675" s="977"/>
      <c r="T675" s="977"/>
      <c r="U675" s="977"/>
      <c r="V675" s="977"/>
      <c r="W675" s="977"/>
      <c r="X675" s="978"/>
      <c r="Y675" s="977"/>
      <c r="Z675" s="977"/>
      <c r="AA675" s="978"/>
      <c r="AB675" s="977"/>
      <c r="AC675" s="977"/>
      <c r="AD675" s="977"/>
      <c r="AE675" s="977"/>
      <c r="AF675" s="977"/>
      <c r="AG675" s="977"/>
    </row>
    <row r="676" spans="1:33" x14ac:dyDescent="0.2">
      <c r="A676" s="977"/>
      <c r="B676" s="977"/>
      <c r="C676" s="977"/>
      <c r="D676" s="977"/>
      <c r="E676" s="977"/>
      <c r="F676" s="977"/>
      <c r="G676" s="977"/>
      <c r="H676" s="977"/>
      <c r="I676" s="145"/>
      <c r="J676" s="145"/>
      <c r="K676" s="977"/>
      <c r="L676" s="977"/>
      <c r="M676" s="977"/>
      <c r="N676" s="977"/>
      <c r="O676" s="977"/>
      <c r="P676" s="977"/>
      <c r="Q676" s="977"/>
      <c r="R676" s="977"/>
      <c r="S676" s="977"/>
      <c r="T676" s="977"/>
      <c r="U676" s="977"/>
      <c r="V676" s="977"/>
      <c r="W676" s="977"/>
      <c r="X676" s="978"/>
      <c r="Y676" s="977"/>
      <c r="Z676" s="977"/>
      <c r="AA676" s="978"/>
      <c r="AB676" s="977"/>
      <c r="AC676" s="977"/>
      <c r="AD676" s="977"/>
      <c r="AE676" s="977"/>
      <c r="AF676" s="977"/>
      <c r="AG676" s="977"/>
    </row>
    <row r="677" spans="1:33" x14ac:dyDescent="0.2">
      <c r="A677" s="977"/>
      <c r="B677" s="977"/>
      <c r="C677" s="977"/>
      <c r="D677" s="977"/>
      <c r="E677" s="977"/>
      <c r="F677" s="977"/>
      <c r="G677" s="977"/>
      <c r="H677" s="977"/>
      <c r="I677" s="145"/>
      <c r="J677" s="145"/>
      <c r="K677" s="977"/>
      <c r="L677" s="977"/>
      <c r="M677" s="977"/>
      <c r="N677" s="977"/>
      <c r="O677" s="977"/>
      <c r="P677" s="977"/>
      <c r="Q677" s="977"/>
      <c r="R677" s="977"/>
      <c r="S677" s="977"/>
      <c r="T677" s="977"/>
      <c r="U677" s="977"/>
      <c r="V677" s="977"/>
      <c r="W677" s="977"/>
      <c r="X677" s="978"/>
      <c r="Y677" s="977"/>
      <c r="Z677" s="977"/>
      <c r="AA677" s="978"/>
      <c r="AB677" s="977"/>
      <c r="AC677" s="977"/>
      <c r="AD677" s="977"/>
      <c r="AE677" s="977"/>
      <c r="AF677" s="977"/>
      <c r="AG677" s="977"/>
    </row>
    <row r="678" spans="1:33" x14ac:dyDescent="0.2">
      <c r="A678" s="977"/>
      <c r="B678" s="977"/>
      <c r="C678" s="977"/>
      <c r="D678" s="977"/>
      <c r="E678" s="977"/>
      <c r="F678" s="977"/>
      <c r="G678" s="977"/>
      <c r="H678" s="977"/>
      <c r="I678" s="145"/>
      <c r="J678" s="145"/>
      <c r="K678" s="977"/>
      <c r="L678" s="977"/>
      <c r="M678" s="977"/>
      <c r="N678" s="977"/>
      <c r="O678" s="977"/>
      <c r="P678" s="977"/>
      <c r="Q678" s="977"/>
      <c r="R678" s="977"/>
      <c r="S678" s="977"/>
      <c r="T678" s="977"/>
      <c r="U678" s="977"/>
      <c r="V678" s="977"/>
      <c r="W678" s="977"/>
      <c r="X678" s="978"/>
      <c r="Y678" s="977"/>
      <c r="Z678" s="977"/>
      <c r="AA678" s="978"/>
      <c r="AB678" s="977"/>
      <c r="AC678" s="977"/>
      <c r="AD678" s="977"/>
      <c r="AE678" s="977"/>
      <c r="AF678" s="977"/>
      <c r="AG678" s="977"/>
    </row>
    <row r="679" spans="1:33" x14ac:dyDescent="0.2">
      <c r="A679" s="977"/>
      <c r="B679" s="977"/>
      <c r="C679" s="977"/>
      <c r="D679" s="977"/>
      <c r="E679" s="977"/>
      <c r="F679" s="977"/>
      <c r="G679" s="977"/>
      <c r="H679" s="977"/>
      <c r="I679" s="145"/>
      <c r="J679" s="145"/>
      <c r="K679" s="977"/>
      <c r="L679" s="977"/>
      <c r="M679" s="977"/>
      <c r="N679" s="977"/>
      <c r="O679" s="977"/>
      <c r="P679" s="977"/>
      <c r="Q679" s="977"/>
      <c r="R679" s="977"/>
      <c r="S679" s="977"/>
      <c r="T679" s="977"/>
      <c r="U679" s="977"/>
      <c r="V679" s="977"/>
      <c r="W679" s="977"/>
      <c r="X679" s="978"/>
      <c r="Y679" s="977"/>
      <c r="Z679" s="977"/>
      <c r="AA679" s="978"/>
      <c r="AB679" s="977"/>
      <c r="AC679" s="977"/>
      <c r="AD679" s="977"/>
      <c r="AE679" s="977"/>
      <c r="AF679" s="977"/>
      <c r="AG679" s="977"/>
    </row>
    <row r="680" spans="1:33" x14ac:dyDescent="0.2">
      <c r="A680" s="977"/>
      <c r="B680" s="977"/>
      <c r="C680" s="977"/>
      <c r="D680" s="977"/>
      <c r="E680" s="977"/>
      <c r="F680" s="977"/>
      <c r="G680" s="977"/>
      <c r="H680" s="977"/>
      <c r="I680" s="145"/>
      <c r="J680" s="145"/>
      <c r="K680" s="977"/>
      <c r="L680" s="977"/>
      <c r="M680" s="977"/>
      <c r="N680" s="977"/>
      <c r="O680" s="977"/>
      <c r="P680" s="977"/>
      <c r="Q680" s="977"/>
      <c r="R680" s="977"/>
      <c r="S680" s="977"/>
      <c r="T680" s="977"/>
      <c r="U680" s="977"/>
      <c r="V680" s="977"/>
      <c r="W680" s="977"/>
      <c r="X680" s="978"/>
      <c r="Y680" s="977"/>
      <c r="Z680" s="977"/>
      <c r="AA680" s="978"/>
      <c r="AB680" s="977"/>
      <c r="AC680" s="977"/>
      <c r="AD680" s="977"/>
      <c r="AE680" s="977"/>
      <c r="AF680" s="977"/>
      <c r="AG680" s="977"/>
    </row>
    <row r="681" spans="1:33" x14ac:dyDescent="0.2">
      <c r="A681" s="977"/>
      <c r="B681" s="977"/>
      <c r="C681" s="977"/>
      <c r="D681" s="977"/>
      <c r="E681" s="977"/>
      <c r="F681" s="977"/>
      <c r="G681" s="977"/>
      <c r="H681" s="977"/>
      <c r="I681" s="145"/>
      <c r="J681" s="145"/>
      <c r="K681" s="977"/>
      <c r="L681" s="977"/>
      <c r="M681" s="977"/>
      <c r="N681" s="977"/>
      <c r="O681" s="977"/>
      <c r="P681" s="977"/>
      <c r="Q681" s="977"/>
      <c r="R681" s="977"/>
      <c r="S681" s="977"/>
      <c r="T681" s="977"/>
      <c r="U681" s="977"/>
      <c r="V681" s="977"/>
      <c r="W681" s="977"/>
      <c r="X681" s="978"/>
      <c r="Y681" s="977"/>
      <c r="Z681" s="977"/>
      <c r="AA681" s="978"/>
      <c r="AB681" s="977"/>
      <c r="AC681" s="977"/>
      <c r="AD681" s="977"/>
      <c r="AE681" s="977"/>
      <c r="AF681" s="977"/>
      <c r="AG681" s="977"/>
    </row>
    <row r="682" spans="1:33" x14ac:dyDescent="0.2">
      <c r="A682" s="977"/>
      <c r="B682" s="977"/>
      <c r="C682" s="977"/>
      <c r="D682" s="977"/>
      <c r="E682" s="977"/>
      <c r="F682" s="977"/>
      <c r="G682" s="977"/>
      <c r="H682" s="977"/>
      <c r="I682" s="145"/>
      <c r="J682" s="145"/>
      <c r="K682" s="977"/>
      <c r="L682" s="977"/>
      <c r="M682" s="977"/>
      <c r="N682" s="977"/>
      <c r="O682" s="977"/>
      <c r="P682" s="977"/>
      <c r="Q682" s="977"/>
      <c r="R682" s="977"/>
      <c r="S682" s="977"/>
      <c r="T682" s="977"/>
      <c r="U682" s="977"/>
      <c r="V682" s="977"/>
      <c r="W682" s="977"/>
      <c r="X682" s="978"/>
      <c r="Y682" s="977"/>
      <c r="Z682" s="977"/>
      <c r="AA682" s="978"/>
      <c r="AB682" s="977"/>
      <c r="AC682" s="977"/>
      <c r="AD682" s="977"/>
      <c r="AE682" s="977"/>
      <c r="AF682" s="977"/>
      <c r="AG682" s="977"/>
    </row>
    <row r="683" spans="1:33" x14ac:dyDescent="0.2">
      <c r="A683" s="977"/>
      <c r="B683" s="977"/>
      <c r="C683" s="977"/>
      <c r="D683" s="977"/>
      <c r="E683" s="977"/>
      <c r="F683" s="977"/>
      <c r="G683" s="977"/>
      <c r="H683" s="977"/>
      <c r="I683" s="145"/>
      <c r="J683" s="145"/>
      <c r="K683" s="977"/>
      <c r="L683" s="977"/>
      <c r="M683" s="977"/>
      <c r="N683" s="977"/>
      <c r="O683" s="977"/>
      <c r="P683" s="977"/>
      <c r="Q683" s="977"/>
      <c r="R683" s="977"/>
      <c r="S683" s="977"/>
      <c r="T683" s="977"/>
      <c r="U683" s="977"/>
      <c r="V683" s="977"/>
      <c r="W683" s="977"/>
      <c r="X683" s="978"/>
      <c r="Y683" s="977"/>
      <c r="Z683" s="977"/>
      <c r="AA683" s="978"/>
      <c r="AB683" s="977"/>
      <c r="AC683" s="977"/>
      <c r="AD683" s="977"/>
      <c r="AE683" s="977"/>
      <c r="AF683" s="977"/>
      <c r="AG683" s="977"/>
    </row>
    <row r="684" spans="1:33" x14ac:dyDescent="0.2">
      <c r="A684" s="977"/>
      <c r="B684" s="977"/>
      <c r="C684" s="977"/>
      <c r="D684" s="977"/>
      <c r="E684" s="977"/>
      <c r="F684" s="977"/>
      <c r="G684" s="977"/>
      <c r="H684" s="977"/>
      <c r="I684" s="145"/>
      <c r="J684" s="145"/>
      <c r="K684" s="977"/>
      <c r="L684" s="977"/>
      <c r="M684" s="977"/>
      <c r="N684" s="977"/>
      <c r="O684" s="977"/>
      <c r="P684" s="977"/>
      <c r="Q684" s="977"/>
      <c r="R684" s="977"/>
      <c r="S684" s="977"/>
      <c r="T684" s="977"/>
      <c r="U684" s="977"/>
      <c r="V684" s="977"/>
      <c r="W684" s="977"/>
      <c r="X684" s="978"/>
      <c r="Y684" s="977"/>
      <c r="Z684" s="977"/>
      <c r="AA684" s="978"/>
      <c r="AB684" s="977"/>
      <c r="AC684" s="977"/>
      <c r="AD684" s="977"/>
      <c r="AE684" s="977"/>
      <c r="AF684" s="977"/>
      <c r="AG684" s="977"/>
    </row>
    <row r="685" spans="1:33" x14ac:dyDescent="0.2">
      <c r="A685" s="977"/>
      <c r="B685" s="977"/>
      <c r="C685" s="977"/>
      <c r="D685" s="977"/>
      <c r="E685" s="977"/>
      <c r="F685" s="977"/>
      <c r="G685" s="977"/>
      <c r="H685" s="977"/>
      <c r="I685" s="145"/>
      <c r="J685" s="145"/>
      <c r="K685" s="977"/>
      <c r="L685" s="977"/>
      <c r="M685" s="977"/>
      <c r="N685" s="977"/>
      <c r="O685" s="977"/>
      <c r="P685" s="977"/>
      <c r="Q685" s="977"/>
      <c r="R685" s="977"/>
      <c r="S685" s="977"/>
      <c r="T685" s="977"/>
      <c r="U685" s="977"/>
      <c r="V685" s="977"/>
      <c r="W685" s="977"/>
      <c r="X685" s="978"/>
      <c r="Y685" s="977"/>
      <c r="Z685" s="977"/>
      <c r="AA685" s="978"/>
      <c r="AB685" s="977"/>
      <c r="AC685" s="977"/>
      <c r="AD685" s="977"/>
      <c r="AE685" s="977"/>
      <c r="AF685" s="977"/>
      <c r="AG685" s="977"/>
    </row>
    <row r="686" spans="1:33" x14ac:dyDescent="0.2">
      <c r="A686" s="977"/>
      <c r="B686" s="977"/>
      <c r="C686" s="977"/>
      <c r="D686" s="977"/>
      <c r="E686" s="977"/>
      <c r="F686" s="977"/>
      <c r="G686" s="977"/>
      <c r="H686" s="977"/>
      <c r="I686" s="145"/>
      <c r="J686" s="145"/>
      <c r="K686" s="977"/>
      <c r="L686" s="977"/>
      <c r="M686" s="977"/>
      <c r="N686" s="977"/>
      <c r="O686" s="977"/>
      <c r="P686" s="977"/>
      <c r="Q686" s="977"/>
      <c r="R686" s="977"/>
      <c r="S686" s="977"/>
      <c r="T686" s="977"/>
      <c r="U686" s="977"/>
      <c r="V686" s="977"/>
      <c r="W686" s="977"/>
      <c r="X686" s="978"/>
      <c r="Y686" s="977"/>
      <c r="Z686" s="977"/>
      <c r="AA686" s="978"/>
      <c r="AB686" s="977"/>
      <c r="AC686" s="977"/>
      <c r="AD686" s="977"/>
      <c r="AE686" s="977"/>
      <c r="AF686" s="977"/>
      <c r="AG686" s="977"/>
    </row>
    <row r="687" spans="1:33" x14ac:dyDescent="0.2">
      <c r="A687" s="977"/>
      <c r="B687" s="977"/>
      <c r="C687" s="977"/>
      <c r="D687" s="977"/>
      <c r="E687" s="977"/>
      <c r="F687" s="977"/>
      <c r="G687" s="977"/>
      <c r="H687" s="977"/>
      <c r="I687" s="145"/>
      <c r="J687" s="145"/>
      <c r="K687" s="977"/>
      <c r="L687" s="977"/>
      <c r="M687" s="977"/>
      <c r="N687" s="977"/>
      <c r="O687" s="977"/>
      <c r="P687" s="977"/>
      <c r="Q687" s="977"/>
      <c r="R687" s="977"/>
      <c r="S687" s="977"/>
      <c r="T687" s="977"/>
      <c r="U687" s="977"/>
      <c r="V687" s="977"/>
      <c r="W687" s="977"/>
      <c r="X687" s="978"/>
      <c r="Y687" s="977"/>
      <c r="Z687" s="977"/>
      <c r="AA687" s="978"/>
      <c r="AB687" s="977"/>
      <c r="AC687" s="977"/>
      <c r="AD687" s="977"/>
      <c r="AE687" s="977"/>
      <c r="AF687" s="977"/>
      <c r="AG687" s="977"/>
    </row>
    <row r="688" spans="1:33" x14ac:dyDescent="0.2">
      <c r="A688" s="977"/>
      <c r="B688" s="977"/>
      <c r="C688" s="977"/>
      <c r="D688" s="977"/>
      <c r="E688" s="977"/>
      <c r="F688" s="977"/>
      <c r="G688" s="977"/>
      <c r="H688" s="977"/>
      <c r="I688" s="145"/>
      <c r="J688" s="145"/>
      <c r="K688" s="977"/>
      <c r="L688" s="977"/>
      <c r="M688" s="977"/>
      <c r="N688" s="977"/>
      <c r="O688" s="977"/>
      <c r="P688" s="977"/>
      <c r="Q688" s="977"/>
      <c r="R688" s="977"/>
      <c r="S688" s="977"/>
      <c r="T688" s="977"/>
      <c r="U688" s="977"/>
      <c r="V688" s="977"/>
      <c r="W688" s="977"/>
      <c r="X688" s="978"/>
      <c r="Y688" s="977"/>
      <c r="Z688" s="977"/>
      <c r="AA688" s="978"/>
      <c r="AB688" s="977"/>
      <c r="AC688" s="977"/>
      <c r="AD688" s="977"/>
      <c r="AE688" s="977"/>
      <c r="AF688" s="977"/>
      <c r="AG688" s="977"/>
    </row>
    <row r="689" spans="1:33" x14ac:dyDescent="0.2">
      <c r="A689" s="977"/>
      <c r="B689" s="977"/>
      <c r="C689" s="977"/>
      <c r="D689" s="977"/>
      <c r="E689" s="977"/>
      <c r="F689" s="977"/>
      <c r="G689" s="977"/>
      <c r="H689" s="977"/>
      <c r="I689" s="145"/>
      <c r="J689" s="145"/>
      <c r="K689" s="977"/>
      <c r="L689" s="977"/>
      <c r="M689" s="977"/>
      <c r="N689" s="977"/>
      <c r="O689" s="977"/>
      <c r="P689" s="977"/>
      <c r="Q689" s="977"/>
      <c r="R689" s="977"/>
      <c r="S689" s="977"/>
      <c r="T689" s="977"/>
      <c r="U689" s="977"/>
      <c r="V689" s="977"/>
      <c r="W689" s="977"/>
      <c r="X689" s="978"/>
      <c r="Y689" s="977"/>
      <c r="Z689" s="977"/>
      <c r="AA689" s="978"/>
      <c r="AB689" s="977"/>
      <c r="AC689" s="977"/>
      <c r="AD689" s="977"/>
      <c r="AE689" s="977"/>
      <c r="AF689" s="977"/>
      <c r="AG689" s="977"/>
    </row>
    <row r="690" spans="1:33" x14ac:dyDescent="0.2">
      <c r="A690" s="977"/>
      <c r="B690" s="977"/>
      <c r="C690" s="977"/>
      <c r="D690" s="977"/>
      <c r="E690" s="977"/>
      <c r="F690" s="977"/>
      <c r="G690" s="977"/>
      <c r="H690" s="977"/>
      <c r="I690" s="145"/>
      <c r="J690" s="145"/>
      <c r="K690" s="977"/>
      <c r="L690" s="977"/>
      <c r="M690" s="977"/>
      <c r="N690" s="977"/>
      <c r="O690" s="977"/>
      <c r="P690" s="977"/>
      <c r="Q690" s="977"/>
      <c r="R690" s="977"/>
      <c r="S690" s="977"/>
      <c r="T690" s="977"/>
      <c r="U690" s="977"/>
      <c r="V690" s="977"/>
      <c r="W690" s="977"/>
      <c r="X690" s="978"/>
      <c r="Y690" s="977"/>
      <c r="Z690" s="977"/>
      <c r="AA690" s="978"/>
      <c r="AB690" s="977"/>
      <c r="AC690" s="977"/>
      <c r="AD690" s="977"/>
      <c r="AE690" s="977"/>
      <c r="AF690" s="977"/>
      <c r="AG690" s="977"/>
    </row>
    <row r="691" spans="1:33" x14ac:dyDescent="0.2">
      <c r="A691" s="977"/>
      <c r="B691" s="977"/>
      <c r="C691" s="977"/>
      <c r="D691" s="977"/>
      <c r="E691" s="977"/>
      <c r="F691" s="977"/>
      <c r="G691" s="977"/>
      <c r="H691" s="977"/>
      <c r="I691" s="145"/>
      <c r="J691" s="145"/>
      <c r="K691" s="977"/>
      <c r="L691" s="977"/>
      <c r="M691" s="977"/>
      <c r="N691" s="977"/>
      <c r="O691" s="977"/>
      <c r="P691" s="977"/>
      <c r="Q691" s="977"/>
      <c r="R691" s="977"/>
      <c r="S691" s="977"/>
      <c r="T691" s="977"/>
      <c r="U691" s="977"/>
      <c r="V691" s="977"/>
      <c r="W691" s="977"/>
      <c r="X691" s="978"/>
      <c r="Y691" s="977"/>
      <c r="Z691" s="977"/>
      <c r="AA691" s="978"/>
      <c r="AB691" s="977"/>
      <c r="AC691" s="977"/>
      <c r="AD691" s="977"/>
      <c r="AE691" s="977"/>
      <c r="AF691" s="977"/>
      <c r="AG691" s="977"/>
    </row>
    <row r="692" spans="1:33" x14ac:dyDescent="0.2">
      <c r="A692" s="977"/>
      <c r="B692" s="977"/>
      <c r="C692" s="977"/>
      <c r="D692" s="977"/>
      <c r="E692" s="977"/>
      <c r="F692" s="977"/>
      <c r="G692" s="977"/>
      <c r="H692" s="977"/>
      <c r="I692" s="145"/>
      <c r="J692" s="145"/>
      <c r="K692" s="977"/>
      <c r="L692" s="977"/>
      <c r="M692" s="977"/>
      <c r="N692" s="977"/>
      <c r="O692" s="977"/>
      <c r="P692" s="977"/>
      <c r="Q692" s="977"/>
      <c r="R692" s="977"/>
      <c r="S692" s="977"/>
      <c r="T692" s="977"/>
      <c r="U692" s="977"/>
      <c r="V692" s="977"/>
      <c r="W692" s="977"/>
      <c r="X692" s="978"/>
      <c r="Y692" s="977"/>
      <c r="Z692" s="977"/>
      <c r="AA692" s="978"/>
      <c r="AB692" s="977"/>
      <c r="AC692" s="977"/>
      <c r="AD692" s="977"/>
      <c r="AE692" s="977"/>
      <c r="AF692" s="977"/>
      <c r="AG692" s="977"/>
    </row>
    <row r="693" spans="1:33" x14ac:dyDescent="0.2">
      <c r="A693" s="977"/>
      <c r="B693" s="977"/>
      <c r="C693" s="977"/>
      <c r="D693" s="977"/>
      <c r="E693" s="977"/>
      <c r="F693" s="977"/>
      <c r="G693" s="977"/>
      <c r="H693" s="977"/>
      <c r="I693" s="145"/>
      <c r="J693" s="145"/>
      <c r="K693" s="977"/>
      <c r="L693" s="977"/>
      <c r="M693" s="977"/>
      <c r="N693" s="977"/>
      <c r="O693" s="977"/>
      <c r="P693" s="977"/>
      <c r="Q693" s="977"/>
      <c r="R693" s="977"/>
      <c r="S693" s="977"/>
      <c r="T693" s="977"/>
      <c r="U693" s="977"/>
      <c r="V693" s="977"/>
      <c r="W693" s="977"/>
      <c r="X693" s="978"/>
      <c r="Y693" s="977"/>
      <c r="Z693" s="977"/>
      <c r="AA693" s="978"/>
      <c r="AB693" s="977"/>
      <c r="AC693" s="977"/>
      <c r="AD693" s="977"/>
      <c r="AE693" s="977"/>
      <c r="AF693" s="977"/>
      <c r="AG693" s="977"/>
    </row>
    <row r="694" spans="1:33" x14ac:dyDescent="0.2">
      <c r="A694" s="977"/>
      <c r="B694" s="977"/>
      <c r="C694" s="977"/>
      <c r="D694" s="977"/>
      <c r="E694" s="977"/>
      <c r="F694" s="977"/>
      <c r="G694" s="977"/>
      <c r="H694" s="977"/>
      <c r="I694" s="145"/>
      <c r="J694" s="145"/>
      <c r="K694" s="977"/>
      <c r="L694" s="977"/>
      <c r="M694" s="977"/>
      <c r="N694" s="977"/>
      <c r="O694" s="977"/>
      <c r="P694" s="977"/>
      <c r="Q694" s="977"/>
      <c r="R694" s="977"/>
      <c r="S694" s="977"/>
      <c r="T694" s="977"/>
      <c r="U694" s="977"/>
      <c r="V694" s="977"/>
      <c r="W694" s="977"/>
      <c r="X694" s="978"/>
      <c r="Y694" s="977"/>
      <c r="Z694" s="977"/>
      <c r="AA694" s="978"/>
      <c r="AB694" s="977"/>
      <c r="AC694" s="977"/>
      <c r="AD694" s="977"/>
      <c r="AE694" s="977"/>
      <c r="AF694" s="977"/>
      <c r="AG694" s="977"/>
    </row>
    <row r="695" spans="1:33" x14ac:dyDescent="0.2">
      <c r="A695" s="977"/>
      <c r="B695" s="977"/>
      <c r="C695" s="977"/>
      <c r="D695" s="977"/>
      <c r="E695" s="977"/>
      <c r="F695" s="977"/>
      <c r="G695" s="977"/>
      <c r="H695" s="977"/>
      <c r="I695" s="145"/>
      <c r="J695" s="145"/>
      <c r="K695" s="977"/>
      <c r="L695" s="977"/>
      <c r="M695" s="977"/>
      <c r="N695" s="977"/>
      <c r="O695" s="977"/>
      <c r="P695" s="977"/>
      <c r="Q695" s="977"/>
      <c r="R695" s="977"/>
      <c r="S695" s="977"/>
      <c r="T695" s="977"/>
      <c r="U695" s="977"/>
      <c r="V695" s="977"/>
      <c r="W695" s="977"/>
      <c r="X695" s="978"/>
      <c r="Y695" s="977"/>
      <c r="Z695" s="977"/>
      <c r="AA695" s="978"/>
      <c r="AB695" s="977"/>
      <c r="AC695" s="977"/>
      <c r="AD695" s="977"/>
      <c r="AE695" s="977"/>
      <c r="AF695" s="977"/>
      <c r="AG695" s="977"/>
    </row>
    <row r="696" spans="1:33" x14ac:dyDescent="0.2">
      <c r="A696" s="977"/>
      <c r="B696" s="977"/>
      <c r="C696" s="977"/>
      <c r="D696" s="977"/>
      <c r="E696" s="977"/>
      <c r="F696" s="977"/>
      <c r="G696" s="977"/>
      <c r="H696" s="977"/>
      <c r="I696" s="145"/>
      <c r="J696" s="145"/>
      <c r="K696" s="977"/>
      <c r="L696" s="977"/>
      <c r="M696" s="977"/>
      <c r="N696" s="977"/>
      <c r="O696" s="977"/>
      <c r="P696" s="977"/>
      <c r="Q696" s="977"/>
      <c r="R696" s="977"/>
      <c r="S696" s="977"/>
      <c r="T696" s="977"/>
      <c r="U696" s="977"/>
      <c r="V696" s="977"/>
      <c r="W696" s="977"/>
      <c r="X696" s="978"/>
      <c r="Y696" s="977"/>
      <c r="Z696" s="977"/>
      <c r="AA696" s="978"/>
      <c r="AB696" s="977"/>
      <c r="AC696" s="977"/>
      <c r="AD696" s="977"/>
      <c r="AE696" s="977"/>
      <c r="AF696" s="977"/>
      <c r="AG696" s="977"/>
    </row>
    <row r="697" spans="1:33" x14ac:dyDescent="0.2">
      <c r="A697" s="977"/>
      <c r="B697" s="977"/>
      <c r="C697" s="977"/>
      <c r="D697" s="977"/>
      <c r="E697" s="977"/>
      <c r="F697" s="977"/>
      <c r="G697" s="977"/>
      <c r="H697" s="977"/>
      <c r="I697" s="145"/>
      <c r="J697" s="145"/>
      <c r="K697" s="977"/>
      <c r="L697" s="977"/>
      <c r="M697" s="977"/>
      <c r="N697" s="977"/>
      <c r="O697" s="977"/>
      <c r="P697" s="977"/>
      <c r="Q697" s="977"/>
      <c r="R697" s="977"/>
      <c r="S697" s="977"/>
      <c r="T697" s="977"/>
      <c r="U697" s="977"/>
      <c r="V697" s="977"/>
      <c r="W697" s="977"/>
      <c r="X697" s="978"/>
      <c r="Y697" s="977"/>
      <c r="Z697" s="977"/>
      <c r="AA697" s="978"/>
      <c r="AB697" s="977"/>
      <c r="AC697" s="977"/>
      <c r="AD697" s="977"/>
      <c r="AE697" s="977"/>
      <c r="AF697" s="977"/>
      <c r="AG697" s="977"/>
    </row>
    <row r="698" spans="1:33" x14ac:dyDescent="0.2">
      <c r="A698" s="977"/>
      <c r="B698" s="977"/>
      <c r="C698" s="977"/>
      <c r="D698" s="977"/>
      <c r="E698" s="977"/>
      <c r="F698" s="977"/>
      <c r="G698" s="977"/>
      <c r="H698" s="977"/>
      <c r="I698" s="145"/>
      <c r="J698" s="145"/>
      <c r="K698" s="977"/>
      <c r="L698" s="977"/>
      <c r="M698" s="977"/>
      <c r="N698" s="977"/>
      <c r="O698" s="977"/>
      <c r="P698" s="977"/>
      <c r="Q698" s="977"/>
      <c r="R698" s="977"/>
      <c r="S698" s="977"/>
      <c r="T698" s="977"/>
      <c r="U698" s="977"/>
      <c r="V698" s="977"/>
      <c r="W698" s="977"/>
      <c r="X698" s="978"/>
      <c r="Y698" s="977"/>
      <c r="Z698" s="977"/>
      <c r="AA698" s="978"/>
      <c r="AB698" s="977"/>
      <c r="AC698" s="977"/>
      <c r="AD698" s="977"/>
      <c r="AE698" s="977"/>
      <c r="AF698" s="977"/>
      <c r="AG698" s="977"/>
    </row>
    <row r="699" spans="1:33" x14ac:dyDescent="0.2">
      <c r="A699" s="977"/>
      <c r="B699" s="977"/>
      <c r="C699" s="977"/>
      <c r="D699" s="977"/>
      <c r="E699" s="977"/>
      <c r="F699" s="977"/>
      <c r="G699" s="977"/>
      <c r="H699" s="977"/>
      <c r="I699" s="145"/>
      <c r="J699" s="145"/>
      <c r="K699" s="977"/>
      <c r="L699" s="977"/>
      <c r="M699" s="977"/>
      <c r="N699" s="977"/>
      <c r="O699" s="977"/>
      <c r="P699" s="977"/>
      <c r="Q699" s="977"/>
      <c r="R699" s="977"/>
      <c r="S699" s="977"/>
      <c r="T699" s="977"/>
      <c r="U699" s="977"/>
      <c r="V699" s="977"/>
      <c r="W699" s="977"/>
      <c r="X699" s="978"/>
      <c r="Y699" s="977"/>
      <c r="Z699" s="977"/>
      <c r="AA699" s="978"/>
      <c r="AB699" s="977"/>
      <c r="AC699" s="977"/>
      <c r="AD699" s="977"/>
      <c r="AE699" s="977"/>
      <c r="AF699" s="977"/>
      <c r="AG699" s="977"/>
    </row>
    <row r="700" spans="1:33" x14ac:dyDescent="0.2">
      <c r="A700" s="977"/>
      <c r="B700" s="977"/>
      <c r="C700" s="977"/>
      <c r="D700" s="977"/>
      <c r="E700" s="977"/>
      <c r="F700" s="977"/>
      <c r="G700" s="977"/>
      <c r="H700" s="977"/>
      <c r="I700" s="145"/>
      <c r="J700" s="145"/>
      <c r="K700" s="977"/>
      <c r="L700" s="977"/>
      <c r="M700" s="977"/>
      <c r="N700" s="977"/>
      <c r="O700" s="977"/>
      <c r="P700" s="977"/>
      <c r="Q700" s="977"/>
      <c r="R700" s="977"/>
      <c r="S700" s="977"/>
      <c r="T700" s="977"/>
      <c r="U700" s="977"/>
      <c r="V700" s="977"/>
      <c r="W700" s="977"/>
      <c r="X700" s="978"/>
      <c r="Y700" s="977"/>
      <c r="Z700" s="977"/>
      <c r="AA700" s="978"/>
      <c r="AB700" s="977"/>
      <c r="AC700" s="977"/>
      <c r="AD700" s="977"/>
      <c r="AE700" s="977"/>
      <c r="AF700" s="977"/>
      <c r="AG700" s="977"/>
    </row>
    <row r="701" spans="1:33" x14ac:dyDescent="0.2">
      <c r="A701" s="977"/>
      <c r="B701" s="977"/>
      <c r="C701" s="977"/>
      <c r="D701" s="977"/>
      <c r="E701" s="977"/>
      <c r="F701" s="977"/>
      <c r="G701" s="977"/>
      <c r="H701" s="977"/>
      <c r="I701" s="145"/>
      <c r="J701" s="145"/>
      <c r="K701" s="977"/>
      <c r="L701" s="977"/>
      <c r="M701" s="977"/>
      <c r="N701" s="977"/>
      <c r="O701" s="977"/>
      <c r="P701" s="977"/>
      <c r="Q701" s="977"/>
      <c r="R701" s="977"/>
      <c r="S701" s="977"/>
      <c r="T701" s="977"/>
      <c r="U701" s="977"/>
      <c r="V701" s="977"/>
      <c r="W701" s="977"/>
      <c r="X701" s="978"/>
      <c r="Y701" s="977"/>
      <c r="Z701" s="977"/>
      <c r="AA701" s="978"/>
      <c r="AB701" s="977"/>
      <c r="AC701" s="977"/>
      <c r="AD701" s="977"/>
      <c r="AE701" s="977"/>
      <c r="AF701" s="977"/>
      <c r="AG701" s="977"/>
    </row>
    <row r="702" spans="1:33" x14ac:dyDescent="0.2">
      <c r="A702" s="977"/>
      <c r="B702" s="977"/>
      <c r="C702" s="977"/>
      <c r="D702" s="977"/>
      <c r="E702" s="977"/>
      <c r="F702" s="977"/>
      <c r="G702" s="977"/>
      <c r="H702" s="977"/>
      <c r="I702" s="145"/>
      <c r="J702" s="145"/>
      <c r="K702" s="977"/>
      <c r="L702" s="977"/>
      <c r="M702" s="977"/>
      <c r="N702" s="977"/>
      <c r="O702" s="977"/>
      <c r="P702" s="977"/>
      <c r="Q702" s="977"/>
      <c r="R702" s="977"/>
      <c r="S702" s="977"/>
      <c r="T702" s="977"/>
      <c r="U702" s="977"/>
      <c r="V702" s="977"/>
      <c r="W702" s="977"/>
      <c r="X702" s="978"/>
      <c r="Y702" s="977"/>
      <c r="Z702" s="977"/>
      <c r="AA702" s="978"/>
      <c r="AB702" s="977"/>
      <c r="AC702" s="977"/>
      <c r="AD702" s="977"/>
      <c r="AE702" s="977"/>
      <c r="AF702" s="977"/>
      <c r="AG702" s="977"/>
    </row>
    <row r="703" spans="1:33" x14ac:dyDescent="0.2">
      <c r="A703" s="977"/>
      <c r="B703" s="977"/>
      <c r="C703" s="977"/>
      <c r="D703" s="977"/>
      <c r="E703" s="977"/>
      <c r="F703" s="977"/>
      <c r="G703" s="977"/>
      <c r="H703" s="977"/>
      <c r="I703" s="145"/>
      <c r="J703" s="145"/>
      <c r="K703" s="977"/>
      <c r="L703" s="977"/>
      <c r="M703" s="977"/>
      <c r="N703" s="977"/>
      <c r="O703" s="977"/>
      <c r="P703" s="977"/>
      <c r="Q703" s="977"/>
      <c r="R703" s="977"/>
      <c r="S703" s="977"/>
      <c r="T703" s="977"/>
      <c r="U703" s="977"/>
      <c r="V703" s="977"/>
      <c r="W703" s="977"/>
      <c r="X703" s="978"/>
      <c r="Y703" s="977"/>
      <c r="Z703" s="977"/>
      <c r="AA703" s="978"/>
      <c r="AB703" s="977"/>
      <c r="AC703" s="977"/>
      <c r="AD703" s="977"/>
      <c r="AE703" s="977"/>
      <c r="AF703" s="977"/>
      <c r="AG703" s="977"/>
    </row>
    <row r="704" spans="1:33" x14ac:dyDescent="0.2">
      <c r="A704" s="977"/>
      <c r="B704" s="977"/>
      <c r="C704" s="977"/>
      <c r="D704" s="977"/>
      <c r="E704" s="977"/>
      <c r="F704" s="977"/>
      <c r="G704" s="977"/>
      <c r="H704" s="977"/>
      <c r="I704" s="145"/>
      <c r="J704" s="145"/>
      <c r="K704" s="977"/>
      <c r="L704" s="977"/>
      <c r="M704" s="977"/>
      <c r="N704" s="977"/>
      <c r="O704" s="977"/>
      <c r="P704" s="977"/>
      <c r="Q704" s="977"/>
      <c r="R704" s="977"/>
      <c r="S704" s="977"/>
      <c r="T704" s="977"/>
      <c r="U704" s="977"/>
      <c r="V704" s="977"/>
      <c r="W704" s="977"/>
      <c r="X704" s="978"/>
      <c r="Y704" s="977"/>
      <c r="Z704" s="977"/>
      <c r="AA704" s="978"/>
      <c r="AB704" s="977"/>
      <c r="AC704" s="977"/>
      <c r="AD704" s="977"/>
      <c r="AE704" s="977"/>
      <c r="AF704" s="977"/>
      <c r="AG704" s="977"/>
    </row>
    <row r="705" spans="1:33" x14ac:dyDescent="0.2">
      <c r="A705" s="977"/>
      <c r="B705" s="977"/>
      <c r="C705" s="977"/>
      <c r="D705" s="977"/>
      <c r="E705" s="977"/>
      <c r="F705" s="977"/>
      <c r="G705" s="977"/>
      <c r="H705" s="977"/>
      <c r="I705" s="145"/>
      <c r="J705" s="145"/>
      <c r="K705" s="977"/>
      <c r="L705" s="977"/>
      <c r="M705" s="977"/>
      <c r="N705" s="977"/>
      <c r="O705" s="977"/>
      <c r="P705" s="977"/>
      <c r="Q705" s="977"/>
      <c r="R705" s="977"/>
      <c r="S705" s="977"/>
      <c r="T705" s="977"/>
      <c r="U705" s="977"/>
      <c r="V705" s="977"/>
      <c r="W705" s="977"/>
      <c r="X705" s="978"/>
      <c r="Y705" s="977"/>
      <c r="Z705" s="977"/>
      <c r="AA705" s="978"/>
      <c r="AB705" s="977"/>
      <c r="AC705" s="977"/>
      <c r="AD705" s="977"/>
      <c r="AE705" s="977"/>
      <c r="AF705" s="977"/>
      <c r="AG705" s="977"/>
    </row>
    <row r="706" spans="1:33" x14ac:dyDescent="0.2">
      <c r="A706" s="977"/>
      <c r="B706" s="977"/>
      <c r="C706" s="977"/>
      <c r="D706" s="977"/>
      <c r="E706" s="977"/>
      <c r="F706" s="977"/>
      <c r="G706" s="977"/>
      <c r="H706" s="977"/>
      <c r="I706" s="145"/>
      <c r="J706" s="145"/>
      <c r="K706" s="977"/>
      <c r="L706" s="977"/>
      <c r="M706" s="977"/>
      <c r="N706" s="977"/>
      <c r="O706" s="977"/>
      <c r="P706" s="977"/>
      <c r="Q706" s="977"/>
      <c r="R706" s="977"/>
      <c r="S706" s="977"/>
      <c r="T706" s="977"/>
      <c r="U706" s="977"/>
      <c r="V706" s="977"/>
      <c r="W706" s="977"/>
      <c r="X706" s="978"/>
      <c r="Y706" s="977"/>
      <c r="Z706" s="977"/>
      <c r="AA706" s="978"/>
      <c r="AB706" s="977"/>
      <c r="AC706" s="977"/>
      <c r="AD706" s="977"/>
      <c r="AE706" s="977"/>
      <c r="AF706" s="977"/>
      <c r="AG706" s="977"/>
    </row>
    <row r="707" spans="1:33" x14ac:dyDescent="0.2">
      <c r="A707" s="977"/>
      <c r="B707" s="977"/>
      <c r="C707" s="977"/>
      <c r="D707" s="977"/>
      <c r="E707" s="977"/>
      <c r="F707" s="977"/>
      <c r="G707" s="977"/>
      <c r="H707" s="977"/>
      <c r="I707" s="145"/>
      <c r="J707" s="145"/>
      <c r="K707" s="977"/>
      <c r="L707" s="977"/>
      <c r="M707" s="977"/>
      <c r="N707" s="977"/>
      <c r="O707" s="977"/>
      <c r="P707" s="977"/>
      <c r="Q707" s="977"/>
      <c r="R707" s="977"/>
      <c r="S707" s="977"/>
      <c r="T707" s="977"/>
      <c r="U707" s="977"/>
      <c r="V707" s="977"/>
      <c r="W707" s="977"/>
      <c r="X707" s="978"/>
      <c r="Y707" s="977"/>
      <c r="Z707" s="977"/>
      <c r="AA707" s="978"/>
      <c r="AB707" s="977"/>
      <c r="AC707" s="977"/>
      <c r="AD707" s="977"/>
      <c r="AE707" s="977"/>
      <c r="AF707" s="977"/>
      <c r="AG707" s="977"/>
    </row>
    <row r="708" spans="1:33" x14ac:dyDescent="0.2">
      <c r="A708" s="977"/>
      <c r="B708" s="977"/>
      <c r="C708" s="977"/>
      <c r="D708" s="977"/>
      <c r="E708" s="977"/>
      <c r="F708" s="977"/>
      <c r="G708" s="977"/>
      <c r="H708" s="977"/>
      <c r="I708" s="145"/>
      <c r="J708" s="145"/>
      <c r="K708" s="977"/>
      <c r="L708" s="977"/>
      <c r="M708" s="977"/>
      <c r="N708" s="977"/>
      <c r="O708" s="977"/>
      <c r="P708" s="977"/>
      <c r="Q708" s="977"/>
      <c r="R708" s="977"/>
      <c r="S708" s="977"/>
      <c r="T708" s="977"/>
      <c r="U708" s="977"/>
      <c r="V708" s="977"/>
      <c r="W708" s="977"/>
      <c r="X708" s="978"/>
      <c r="Y708" s="977"/>
      <c r="Z708" s="977"/>
      <c r="AA708" s="978"/>
      <c r="AB708" s="977"/>
      <c r="AC708" s="977"/>
      <c r="AD708" s="977"/>
      <c r="AE708" s="977"/>
      <c r="AF708" s="977"/>
      <c r="AG708" s="977"/>
    </row>
    <row r="709" spans="1:33" x14ac:dyDescent="0.2">
      <c r="A709" s="977"/>
      <c r="B709" s="977"/>
      <c r="C709" s="977"/>
      <c r="D709" s="977"/>
      <c r="E709" s="977"/>
      <c r="F709" s="977"/>
      <c r="G709" s="977"/>
      <c r="H709" s="977"/>
      <c r="I709" s="145"/>
      <c r="J709" s="145"/>
      <c r="K709" s="977"/>
      <c r="L709" s="977"/>
      <c r="M709" s="977"/>
      <c r="N709" s="977"/>
      <c r="O709" s="977"/>
      <c r="P709" s="977"/>
      <c r="Q709" s="977"/>
      <c r="R709" s="977"/>
      <c r="S709" s="977"/>
      <c r="T709" s="977"/>
      <c r="U709" s="977"/>
      <c r="V709" s="977"/>
      <c r="W709" s="977"/>
      <c r="X709" s="978"/>
      <c r="Y709" s="977"/>
      <c r="Z709" s="977"/>
      <c r="AA709" s="978"/>
      <c r="AB709" s="977"/>
      <c r="AC709" s="977"/>
      <c r="AD709" s="977"/>
      <c r="AE709" s="977"/>
      <c r="AF709" s="977"/>
      <c r="AG709" s="977"/>
    </row>
    <row r="710" spans="1:33" x14ac:dyDescent="0.2">
      <c r="A710" s="977"/>
      <c r="B710" s="977"/>
      <c r="C710" s="977"/>
      <c r="D710" s="977"/>
      <c r="E710" s="977"/>
      <c r="F710" s="977"/>
      <c r="G710" s="977"/>
      <c r="H710" s="977"/>
      <c r="I710" s="145"/>
      <c r="J710" s="145"/>
      <c r="K710" s="977"/>
      <c r="L710" s="977"/>
      <c r="M710" s="977"/>
      <c r="N710" s="977"/>
      <c r="O710" s="977"/>
      <c r="P710" s="977"/>
      <c r="Q710" s="977"/>
      <c r="R710" s="977"/>
      <c r="S710" s="977"/>
      <c r="T710" s="977"/>
      <c r="U710" s="977"/>
      <c r="V710" s="977"/>
      <c r="W710" s="977"/>
      <c r="X710" s="978"/>
      <c r="Y710" s="977"/>
      <c r="Z710" s="977"/>
      <c r="AA710" s="978"/>
      <c r="AB710" s="977"/>
      <c r="AC710" s="977"/>
      <c r="AD710" s="977"/>
      <c r="AE710" s="977"/>
      <c r="AF710" s="977"/>
      <c r="AG710" s="977"/>
    </row>
    <row r="711" spans="1:33" x14ac:dyDescent="0.2">
      <c r="A711" s="977"/>
      <c r="B711" s="977"/>
      <c r="C711" s="977"/>
      <c r="D711" s="977"/>
      <c r="E711" s="977"/>
      <c r="F711" s="977"/>
      <c r="G711" s="977"/>
      <c r="H711" s="977"/>
      <c r="I711" s="145"/>
      <c r="J711" s="145"/>
      <c r="K711" s="977"/>
      <c r="L711" s="977"/>
      <c r="M711" s="977"/>
      <c r="N711" s="977"/>
      <c r="O711" s="977"/>
      <c r="P711" s="977"/>
      <c r="Q711" s="977"/>
      <c r="R711" s="977"/>
      <c r="S711" s="977"/>
      <c r="T711" s="977"/>
      <c r="U711" s="977"/>
      <c r="V711" s="977"/>
      <c r="W711" s="977"/>
      <c r="X711" s="978"/>
      <c r="Y711" s="977"/>
      <c r="Z711" s="977"/>
      <c r="AA711" s="978"/>
      <c r="AB711" s="977"/>
      <c r="AC711" s="977"/>
      <c r="AD711" s="977"/>
      <c r="AE711" s="977"/>
      <c r="AF711" s="977"/>
      <c r="AG711" s="977"/>
    </row>
    <row r="712" spans="1:33" x14ac:dyDescent="0.2">
      <c r="A712" s="977"/>
      <c r="B712" s="977"/>
      <c r="C712" s="977"/>
      <c r="D712" s="977"/>
      <c r="E712" s="977"/>
      <c r="F712" s="977"/>
      <c r="G712" s="977"/>
      <c r="H712" s="977"/>
      <c r="I712" s="145"/>
      <c r="J712" s="145"/>
      <c r="K712" s="977"/>
      <c r="L712" s="977"/>
      <c r="M712" s="977"/>
      <c r="N712" s="977"/>
      <c r="O712" s="977"/>
      <c r="P712" s="977"/>
      <c r="Q712" s="977"/>
      <c r="R712" s="977"/>
      <c r="S712" s="977"/>
      <c r="T712" s="977"/>
      <c r="U712" s="977"/>
      <c r="V712" s="977"/>
      <c r="W712" s="977"/>
      <c r="X712" s="978"/>
      <c r="Y712" s="977"/>
      <c r="Z712" s="977"/>
      <c r="AA712" s="978"/>
      <c r="AB712" s="977"/>
      <c r="AC712" s="977"/>
      <c r="AD712" s="977"/>
      <c r="AE712" s="977"/>
      <c r="AF712" s="977"/>
      <c r="AG712" s="977"/>
    </row>
    <row r="713" spans="1:33" x14ac:dyDescent="0.2">
      <c r="A713" s="977"/>
      <c r="B713" s="977"/>
      <c r="C713" s="977"/>
      <c r="D713" s="977"/>
      <c r="E713" s="977"/>
      <c r="F713" s="977"/>
      <c r="G713" s="977"/>
      <c r="H713" s="977"/>
      <c r="I713" s="145"/>
      <c r="J713" s="145"/>
      <c r="K713" s="977"/>
      <c r="L713" s="977"/>
      <c r="M713" s="977"/>
      <c r="N713" s="977"/>
      <c r="O713" s="977"/>
      <c r="P713" s="977"/>
      <c r="Q713" s="977"/>
      <c r="R713" s="977"/>
      <c r="S713" s="977"/>
      <c r="T713" s="977"/>
      <c r="U713" s="977"/>
      <c r="V713" s="977"/>
      <c r="W713" s="977"/>
      <c r="X713" s="978"/>
      <c r="Y713" s="977"/>
      <c r="Z713" s="977"/>
      <c r="AA713" s="978"/>
      <c r="AB713" s="977"/>
      <c r="AC713" s="977"/>
      <c r="AD713" s="977"/>
      <c r="AE713" s="977"/>
      <c r="AF713" s="977"/>
      <c r="AG713" s="977"/>
    </row>
    <row r="714" spans="1:33" x14ac:dyDescent="0.2">
      <c r="A714" s="977"/>
      <c r="B714" s="977"/>
      <c r="C714" s="977"/>
      <c r="D714" s="977"/>
      <c r="E714" s="977"/>
      <c r="F714" s="977"/>
      <c r="G714" s="977"/>
      <c r="H714" s="977"/>
      <c r="I714" s="145"/>
      <c r="J714" s="145"/>
      <c r="K714" s="977"/>
      <c r="L714" s="977"/>
      <c r="M714" s="977"/>
      <c r="N714" s="977"/>
      <c r="O714" s="977"/>
      <c r="P714" s="977"/>
      <c r="Q714" s="977"/>
      <c r="R714" s="977"/>
      <c r="S714" s="977"/>
      <c r="T714" s="977"/>
      <c r="U714" s="977"/>
      <c r="V714" s="977"/>
      <c r="W714" s="977"/>
      <c r="X714" s="978"/>
      <c r="Y714" s="977"/>
      <c r="Z714" s="977"/>
      <c r="AA714" s="978"/>
      <c r="AB714" s="977"/>
      <c r="AC714" s="977"/>
      <c r="AD714" s="977"/>
      <c r="AE714" s="977"/>
      <c r="AF714" s="977"/>
      <c r="AG714" s="977"/>
    </row>
    <row r="715" spans="1:33" x14ac:dyDescent="0.2">
      <c r="A715" s="977"/>
      <c r="B715" s="977"/>
      <c r="C715" s="977"/>
      <c r="D715" s="977"/>
      <c r="E715" s="977"/>
      <c r="F715" s="977"/>
      <c r="G715" s="977"/>
      <c r="H715" s="977"/>
      <c r="I715" s="145"/>
      <c r="J715" s="145"/>
      <c r="K715" s="977"/>
      <c r="L715" s="977"/>
      <c r="M715" s="977"/>
      <c r="N715" s="977"/>
      <c r="O715" s="977"/>
      <c r="P715" s="977"/>
      <c r="Q715" s="977"/>
      <c r="R715" s="977"/>
      <c r="S715" s="977"/>
      <c r="T715" s="977"/>
      <c r="U715" s="977"/>
      <c r="V715" s="977"/>
      <c r="W715" s="977"/>
      <c r="X715" s="978"/>
      <c r="Y715" s="977"/>
      <c r="Z715" s="977"/>
      <c r="AA715" s="978"/>
      <c r="AB715" s="977"/>
      <c r="AC715" s="977"/>
      <c r="AD715" s="977"/>
      <c r="AE715" s="977"/>
      <c r="AF715" s="977"/>
      <c r="AG715" s="977"/>
    </row>
    <row r="716" spans="1:33" x14ac:dyDescent="0.2">
      <c r="A716" s="977"/>
      <c r="B716" s="977"/>
      <c r="C716" s="977"/>
      <c r="D716" s="977"/>
      <c r="E716" s="977"/>
      <c r="F716" s="977"/>
      <c r="G716" s="977"/>
      <c r="H716" s="977"/>
      <c r="I716" s="145"/>
      <c r="J716" s="145"/>
      <c r="K716" s="977"/>
      <c r="L716" s="977"/>
      <c r="M716" s="977"/>
      <c r="N716" s="977"/>
      <c r="O716" s="977"/>
      <c r="P716" s="977"/>
      <c r="Q716" s="977"/>
      <c r="R716" s="977"/>
      <c r="S716" s="977"/>
      <c r="T716" s="977"/>
      <c r="U716" s="977"/>
      <c r="V716" s="977"/>
      <c r="W716" s="977"/>
      <c r="X716" s="978"/>
      <c r="Y716" s="977"/>
      <c r="Z716" s="977"/>
      <c r="AA716" s="978"/>
      <c r="AB716" s="977"/>
      <c r="AC716" s="977"/>
      <c r="AD716" s="977"/>
      <c r="AE716" s="977"/>
      <c r="AF716" s="977"/>
      <c r="AG716" s="977"/>
    </row>
    <row r="717" spans="1:33" x14ac:dyDescent="0.2">
      <c r="A717" s="977"/>
      <c r="B717" s="977"/>
      <c r="C717" s="977"/>
      <c r="D717" s="977"/>
      <c r="E717" s="977"/>
      <c r="F717" s="977"/>
      <c r="G717" s="977"/>
      <c r="H717" s="977"/>
      <c r="I717" s="145"/>
      <c r="J717" s="145"/>
      <c r="K717" s="977"/>
      <c r="L717" s="977"/>
      <c r="M717" s="977"/>
      <c r="N717" s="977"/>
      <c r="O717" s="977"/>
      <c r="P717" s="977"/>
      <c r="Q717" s="977"/>
      <c r="R717" s="977"/>
      <c r="S717" s="977"/>
      <c r="T717" s="977"/>
      <c r="U717" s="977"/>
      <c r="V717" s="977"/>
      <c r="W717" s="977"/>
      <c r="X717" s="978"/>
      <c r="Y717" s="977"/>
      <c r="Z717" s="977"/>
      <c r="AA717" s="978"/>
      <c r="AB717" s="977"/>
      <c r="AC717" s="977"/>
      <c r="AD717" s="977"/>
      <c r="AE717" s="977"/>
      <c r="AF717" s="977"/>
      <c r="AG717" s="977"/>
    </row>
    <row r="718" spans="1:33" x14ac:dyDescent="0.2">
      <c r="A718" s="977"/>
      <c r="B718" s="977"/>
      <c r="C718" s="977"/>
      <c r="D718" s="977"/>
      <c r="E718" s="977"/>
      <c r="F718" s="977"/>
      <c r="G718" s="977"/>
      <c r="H718" s="977"/>
      <c r="I718" s="145"/>
      <c r="J718" s="145"/>
      <c r="K718" s="977"/>
      <c r="L718" s="977"/>
      <c r="M718" s="977"/>
      <c r="N718" s="977"/>
      <c r="O718" s="977"/>
      <c r="P718" s="977"/>
      <c r="Q718" s="977"/>
      <c r="R718" s="977"/>
      <c r="S718" s="977"/>
      <c r="T718" s="977"/>
      <c r="U718" s="977"/>
      <c r="V718" s="977"/>
      <c r="W718" s="977"/>
      <c r="X718" s="978"/>
      <c r="Y718" s="977"/>
      <c r="Z718" s="977"/>
      <c r="AA718" s="978"/>
      <c r="AB718" s="977"/>
      <c r="AC718" s="977"/>
      <c r="AD718" s="977"/>
      <c r="AE718" s="977"/>
      <c r="AF718" s="977"/>
      <c r="AG718" s="977"/>
    </row>
    <row r="719" spans="1:33" x14ac:dyDescent="0.2">
      <c r="A719" s="977"/>
      <c r="B719" s="977"/>
      <c r="C719" s="977"/>
      <c r="D719" s="977"/>
      <c r="E719" s="977"/>
      <c r="F719" s="977"/>
      <c r="G719" s="977"/>
      <c r="H719" s="977"/>
      <c r="I719" s="145"/>
      <c r="J719" s="145"/>
      <c r="K719" s="977"/>
      <c r="L719" s="977"/>
      <c r="M719" s="977"/>
      <c r="N719" s="977"/>
      <c r="O719" s="977"/>
      <c r="P719" s="977"/>
      <c r="Q719" s="977"/>
      <c r="R719" s="977"/>
      <c r="S719" s="977"/>
      <c r="T719" s="977"/>
      <c r="U719" s="977"/>
      <c r="V719" s="977"/>
      <c r="W719" s="977"/>
      <c r="X719" s="978"/>
      <c r="Y719" s="977"/>
      <c r="Z719" s="977"/>
      <c r="AA719" s="978"/>
      <c r="AB719" s="977"/>
      <c r="AC719" s="977"/>
      <c r="AD719" s="977"/>
      <c r="AE719" s="977"/>
      <c r="AF719" s="977"/>
      <c r="AG719" s="977"/>
    </row>
    <row r="720" spans="1:33" x14ac:dyDescent="0.2">
      <c r="A720" s="977"/>
      <c r="B720" s="977"/>
      <c r="C720" s="977"/>
      <c r="D720" s="977"/>
      <c r="E720" s="977"/>
      <c r="F720" s="977"/>
      <c r="G720" s="977"/>
      <c r="H720" s="977"/>
      <c r="I720" s="145"/>
      <c r="J720" s="145"/>
      <c r="K720" s="977"/>
      <c r="L720" s="977"/>
      <c r="M720" s="977"/>
      <c r="N720" s="977"/>
      <c r="O720" s="977"/>
      <c r="P720" s="977"/>
      <c r="Q720" s="977"/>
      <c r="R720" s="977"/>
      <c r="S720" s="977"/>
      <c r="T720" s="977"/>
      <c r="U720" s="977"/>
      <c r="V720" s="977"/>
      <c r="W720" s="977"/>
      <c r="X720" s="978"/>
      <c r="Y720" s="977"/>
      <c r="Z720" s="977"/>
      <c r="AA720" s="978"/>
      <c r="AB720" s="977"/>
      <c r="AC720" s="977"/>
      <c r="AD720" s="977"/>
      <c r="AE720" s="977"/>
      <c r="AF720" s="977"/>
      <c r="AG720" s="977"/>
    </row>
    <row r="721" spans="1:33" x14ac:dyDescent="0.2">
      <c r="A721" s="977"/>
      <c r="B721" s="977"/>
      <c r="C721" s="977"/>
      <c r="D721" s="977"/>
      <c r="E721" s="977"/>
      <c r="F721" s="977"/>
      <c r="G721" s="977"/>
      <c r="H721" s="977"/>
      <c r="I721" s="145"/>
      <c r="J721" s="145"/>
      <c r="K721" s="977"/>
      <c r="L721" s="977"/>
      <c r="M721" s="977"/>
      <c r="N721" s="977"/>
      <c r="O721" s="977"/>
      <c r="P721" s="977"/>
      <c r="Q721" s="977"/>
      <c r="R721" s="977"/>
      <c r="S721" s="977"/>
      <c r="T721" s="977"/>
      <c r="U721" s="977"/>
      <c r="V721" s="977"/>
      <c r="W721" s="977"/>
      <c r="X721" s="978"/>
      <c r="Y721" s="977"/>
      <c r="Z721" s="977"/>
      <c r="AA721" s="978"/>
      <c r="AB721" s="977"/>
      <c r="AC721" s="977"/>
      <c r="AD721" s="977"/>
      <c r="AE721" s="977"/>
      <c r="AF721" s="977"/>
      <c r="AG721" s="977"/>
    </row>
    <row r="722" spans="1:33" x14ac:dyDescent="0.2">
      <c r="A722" s="977"/>
      <c r="B722" s="977"/>
      <c r="C722" s="977"/>
      <c r="D722" s="977"/>
      <c r="E722" s="977"/>
      <c r="F722" s="977"/>
      <c r="G722" s="977"/>
      <c r="H722" s="977"/>
      <c r="I722" s="145"/>
      <c r="J722" s="145"/>
      <c r="K722" s="977"/>
      <c r="L722" s="977"/>
      <c r="M722" s="977"/>
      <c r="N722" s="977"/>
      <c r="O722" s="977"/>
      <c r="P722" s="977"/>
      <c r="Q722" s="977"/>
      <c r="R722" s="977"/>
      <c r="S722" s="977"/>
      <c r="T722" s="977"/>
      <c r="U722" s="977"/>
      <c r="V722" s="977"/>
      <c r="W722" s="977"/>
      <c r="X722" s="978"/>
      <c r="Y722" s="977"/>
      <c r="Z722" s="977"/>
      <c r="AA722" s="978"/>
      <c r="AB722" s="977"/>
      <c r="AC722" s="977"/>
      <c r="AD722" s="977"/>
      <c r="AE722" s="977"/>
      <c r="AF722" s="977"/>
      <c r="AG722" s="977"/>
    </row>
    <row r="723" spans="1:33" x14ac:dyDescent="0.2">
      <c r="A723" s="977"/>
      <c r="B723" s="977"/>
      <c r="C723" s="977"/>
      <c r="D723" s="977"/>
      <c r="E723" s="977"/>
      <c r="F723" s="977"/>
      <c r="G723" s="977"/>
      <c r="H723" s="977"/>
      <c r="I723" s="145"/>
      <c r="J723" s="145"/>
      <c r="K723" s="977"/>
      <c r="L723" s="977"/>
      <c r="M723" s="977"/>
      <c r="N723" s="977"/>
      <c r="O723" s="977"/>
      <c r="P723" s="977"/>
      <c r="Q723" s="977"/>
      <c r="R723" s="977"/>
      <c r="S723" s="977"/>
      <c r="T723" s="977"/>
      <c r="U723" s="977"/>
      <c r="V723" s="977"/>
      <c r="W723" s="977"/>
      <c r="X723" s="978"/>
      <c r="Y723" s="977"/>
      <c r="Z723" s="977"/>
      <c r="AA723" s="978"/>
      <c r="AB723" s="977"/>
      <c r="AC723" s="977"/>
      <c r="AD723" s="977"/>
      <c r="AE723" s="977"/>
      <c r="AF723" s="977"/>
      <c r="AG723" s="977"/>
    </row>
    <row r="724" spans="1:33" x14ac:dyDescent="0.2">
      <c r="A724" s="977"/>
      <c r="B724" s="977"/>
      <c r="C724" s="977"/>
      <c r="D724" s="977"/>
      <c r="E724" s="977"/>
      <c r="F724" s="977"/>
      <c r="G724" s="977"/>
      <c r="H724" s="977"/>
      <c r="I724" s="145"/>
      <c r="J724" s="145"/>
      <c r="K724" s="977"/>
      <c r="L724" s="977"/>
      <c r="M724" s="977"/>
      <c r="N724" s="977"/>
      <c r="O724" s="977"/>
      <c r="P724" s="977"/>
      <c r="Q724" s="977"/>
      <c r="R724" s="977"/>
      <c r="S724" s="977"/>
      <c r="T724" s="977"/>
      <c r="U724" s="977"/>
      <c r="V724" s="977"/>
      <c r="W724" s="977"/>
      <c r="X724" s="978"/>
      <c r="Y724" s="977"/>
      <c r="Z724" s="977"/>
      <c r="AA724" s="978"/>
      <c r="AB724" s="977"/>
      <c r="AC724" s="977"/>
      <c r="AD724" s="977"/>
      <c r="AE724" s="977"/>
      <c r="AF724" s="977"/>
      <c r="AG724" s="977"/>
    </row>
    <row r="725" spans="1:33" x14ac:dyDescent="0.2">
      <c r="A725" s="977"/>
      <c r="B725" s="977"/>
      <c r="C725" s="977"/>
      <c r="D725" s="977"/>
      <c r="E725" s="977"/>
      <c r="F725" s="977"/>
      <c r="G725" s="977"/>
      <c r="H725" s="977"/>
      <c r="I725" s="145"/>
      <c r="J725" s="145"/>
      <c r="K725" s="977"/>
      <c r="L725" s="977"/>
      <c r="M725" s="977"/>
      <c r="N725" s="977"/>
      <c r="O725" s="977"/>
      <c r="P725" s="977"/>
      <c r="Q725" s="977"/>
      <c r="R725" s="977"/>
      <c r="S725" s="977"/>
      <c r="T725" s="977"/>
      <c r="U725" s="977"/>
      <c r="V725" s="977"/>
      <c r="W725" s="977"/>
      <c r="X725" s="978"/>
      <c r="Y725" s="977"/>
      <c r="Z725" s="977"/>
      <c r="AA725" s="978"/>
      <c r="AB725" s="977"/>
      <c r="AC725" s="977"/>
      <c r="AD725" s="977"/>
      <c r="AE725" s="977"/>
      <c r="AF725" s="977"/>
      <c r="AG725" s="977"/>
    </row>
    <row r="726" spans="1:33" x14ac:dyDescent="0.2">
      <c r="A726" s="977"/>
      <c r="B726" s="977"/>
      <c r="C726" s="977"/>
      <c r="D726" s="977"/>
      <c r="E726" s="977"/>
      <c r="F726" s="977"/>
      <c r="G726" s="977"/>
      <c r="H726" s="977"/>
      <c r="I726" s="145"/>
      <c r="J726" s="145"/>
      <c r="K726" s="977"/>
      <c r="L726" s="977"/>
      <c r="M726" s="977"/>
      <c r="N726" s="977"/>
      <c r="O726" s="977"/>
      <c r="P726" s="977"/>
      <c r="Q726" s="977"/>
      <c r="R726" s="977"/>
      <c r="S726" s="977"/>
      <c r="T726" s="977"/>
      <c r="U726" s="977"/>
      <c r="V726" s="977"/>
      <c r="W726" s="977"/>
      <c r="X726" s="978"/>
      <c r="Y726" s="977"/>
      <c r="Z726" s="977"/>
      <c r="AA726" s="978"/>
      <c r="AB726" s="977"/>
      <c r="AC726" s="977"/>
      <c r="AD726" s="977"/>
      <c r="AE726" s="977"/>
      <c r="AF726" s="977"/>
      <c r="AG726" s="977"/>
    </row>
    <row r="727" spans="1:33" x14ac:dyDescent="0.2">
      <c r="A727" s="977"/>
      <c r="B727" s="977"/>
      <c r="C727" s="977"/>
      <c r="D727" s="977"/>
      <c r="E727" s="977"/>
      <c r="F727" s="977"/>
      <c r="G727" s="977"/>
      <c r="H727" s="977"/>
      <c r="I727" s="145"/>
      <c r="J727" s="145"/>
      <c r="K727" s="977"/>
      <c r="L727" s="977"/>
      <c r="M727" s="977"/>
      <c r="N727" s="977"/>
      <c r="O727" s="977"/>
      <c r="P727" s="977"/>
      <c r="Q727" s="977"/>
      <c r="R727" s="977"/>
      <c r="S727" s="977"/>
      <c r="T727" s="977"/>
      <c r="U727" s="977"/>
      <c r="V727" s="977"/>
      <c r="W727" s="977"/>
      <c r="X727" s="978"/>
      <c r="Y727" s="977"/>
      <c r="Z727" s="977"/>
      <c r="AA727" s="978"/>
      <c r="AB727" s="977"/>
      <c r="AC727" s="977"/>
      <c r="AD727" s="977"/>
      <c r="AE727" s="977"/>
      <c r="AF727" s="977"/>
      <c r="AG727" s="977"/>
    </row>
    <row r="728" spans="1:33" x14ac:dyDescent="0.2">
      <c r="A728" s="977"/>
      <c r="B728" s="977"/>
      <c r="C728" s="977"/>
      <c r="D728" s="977"/>
      <c r="E728" s="977"/>
      <c r="F728" s="977"/>
      <c r="G728" s="977"/>
      <c r="H728" s="977"/>
      <c r="I728" s="145"/>
      <c r="J728" s="145"/>
      <c r="K728" s="977"/>
      <c r="L728" s="977"/>
      <c r="M728" s="977"/>
      <c r="N728" s="977"/>
      <c r="O728" s="977"/>
      <c r="P728" s="977"/>
      <c r="Q728" s="977"/>
      <c r="R728" s="977"/>
      <c r="S728" s="977"/>
      <c r="T728" s="977"/>
      <c r="U728" s="977"/>
      <c r="V728" s="977"/>
      <c r="W728" s="977"/>
      <c r="X728" s="978"/>
      <c r="Y728" s="977"/>
      <c r="Z728" s="977"/>
      <c r="AA728" s="978"/>
      <c r="AB728" s="977"/>
      <c r="AC728" s="977"/>
      <c r="AD728" s="977"/>
      <c r="AE728" s="977"/>
      <c r="AF728" s="977"/>
      <c r="AG728" s="977"/>
    </row>
    <row r="729" spans="1:33" x14ac:dyDescent="0.2">
      <c r="A729" s="977"/>
      <c r="B729" s="977"/>
      <c r="C729" s="977"/>
      <c r="D729" s="977"/>
      <c r="E729" s="977"/>
      <c r="F729" s="977"/>
      <c r="G729" s="977"/>
      <c r="H729" s="977"/>
      <c r="I729" s="145"/>
      <c r="J729" s="145"/>
      <c r="K729" s="977"/>
      <c r="L729" s="977"/>
      <c r="M729" s="977"/>
      <c r="N729" s="977"/>
      <c r="O729" s="977"/>
      <c r="P729" s="977"/>
      <c r="Q729" s="977"/>
      <c r="R729" s="977"/>
      <c r="S729" s="977"/>
      <c r="T729" s="977"/>
      <c r="U729" s="977"/>
      <c r="V729" s="977"/>
      <c r="W729" s="977"/>
      <c r="X729" s="978"/>
      <c r="Y729" s="977"/>
      <c r="Z729" s="977"/>
      <c r="AA729" s="978"/>
      <c r="AB729" s="977"/>
      <c r="AC729" s="977"/>
      <c r="AD729" s="977"/>
      <c r="AE729" s="977"/>
      <c r="AF729" s="977"/>
      <c r="AG729" s="977"/>
    </row>
    <row r="730" spans="1:33" x14ac:dyDescent="0.2">
      <c r="A730" s="977"/>
      <c r="B730" s="977"/>
      <c r="C730" s="977"/>
      <c r="D730" s="977"/>
      <c r="E730" s="977"/>
      <c r="F730" s="977"/>
      <c r="G730" s="977"/>
      <c r="H730" s="977"/>
      <c r="I730" s="145"/>
      <c r="J730" s="145"/>
      <c r="K730" s="977"/>
      <c r="L730" s="977"/>
      <c r="M730" s="977"/>
      <c r="N730" s="977"/>
      <c r="O730" s="977"/>
      <c r="P730" s="977"/>
      <c r="Q730" s="977"/>
      <c r="R730" s="977"/>
      <c r="S730" s="977"/>
      <c r="T730" s="977"/>
      <c r="U730" s="977"/>
      <c r="V730" s="977"/>
      <c r="W730" s="977"/>
      <c r="X730" s="978"/>
      <c r="Y730" s="977"/>
      <c r="Z730" s="977"/>
      <c r="AA730" s="978"/>
      <c r="AB730" s="977"/>
      <c r="AC730" s="977"/>
      <c r="AD730" s="977"/>
      <c r="AE730" s="977"/>
      <c r="AF730" s="977"/>
      <c r="AG730" s="977"/>
    </row>
    <row r="731" spans="1:33" x14ac:dyDescent="0.2">
      <c r="A731" s="977"/>
      <c r="B731" s="977"/>
      <c r="C731" s="977"/>
      <c r="D731" s="977"/>
      <c r="E731" s="977"/>
      <c r="F731" s="977"/>
      <c r="G731" s="977"/>
      <c r="H731" s="977"/>
      <c r="I731" s="145"/>
      <c r="J731" s="145"/>
      <c r="K731" s="977"/>
      <c r="L731" s="977"/>
      <c r="M731" s="977"/>
      <c r="N731" s="977"/>
      <c r="O731" s="977"/>
      <c r="P731" s="977"/>
      <c r="Q731" s="977"/>
      <c r="R731" s="977"/>
      <c r="S731" s="977"/>
      <c r="T731" s="977"/>
      <c r="U731" s="977"/>
      <c r="V731" s="977"/>
      <c r="W731" s="977"/>
      <c r="X731" s="978"/>
      <c r="Y731" s="977"/>
      <c r="Z731" s="977"/>
      <c r="AA731" s="978"/>
      <c r="AB731" s="977"/>
      <c r="AC731" s="977"/>
      <c r="AD731" s="977"/>
      <c r="AE731" s="977"/>
      <c r="AF731" s="977"/>
      <c r="AG731" s="977"/>
    </row>
    <row r="732" spans="1:33" x14ac:dyDescent="0.2">
      <c r="A732" s="977"/>
      <c r="B732" s="977"/>
      <c r="C732" s="977"/>
      <c r="D732" s="977"/>
      <c r="E732" s="977"/>
      <c r="F732" s="977"/>
      <c r="G732" s="977"/>
      <c r="H732" s="977"/>
      <c r="I732" s="145"/>
      <c r="J732" s="145"/>
      <c r="K732" s="977"/>
      <c r="L732" s="977"/>
      <c r="M732" s="977"/>
      <c r="N732" s="977"/>
      <c r="O732" s="977"/>
      <c r="P732" s="977"/>
      <c r="Q732" s="977"/>
      <c r="R732" s="977"/>
      <c r="S732" s="977"/>
      <c r="T732" s="977"/>
      <c r="U732" s="977"/>
      <c r="V732" s="977"/>
      <c r="W732" s="977"/>
      <c r="X732" s="978"/>
      <c r="Y732" s="977"/>
      <c r="Z732" s="977"/>
      <c r="AA732" s="978"/>
      <c r="AB732" s="977"/>
      <c r="AC732" s="977"/>
      <c r="AD732" s="977"/>
      <c r="AE732" s="977"/>
      <c r="AF732" s="977"/>
      <c r="AG732" s="977"/>
    </row>
    <row r="733" spans="1:33" x14ac:dyDescent="0.2">
      <c r="A733" s="977"/>
      <c r="B733" s="977"/>
      <c r="C733" s="977"/>
      <c r="D733" s="977"/>
      <c r="E733" s="977"/>
      <c r="F733" s="977"/>
      <c r="G733" s="977"/>
      <c r="H733" s="977"/>
      <c r="I733" s="145"/>
      <c r="J733" s="145"/>
      <c r="K733" s="977"/>
      <c r="L733" s="977"/>
      <c r="M733" s="977"/>
      <c r="N733" s="977"/>
      <c r="O733" s="977"/>
      <c r="P733" s="977"/>
      <c r="Q733" s="977"/>
      <c r="R733" s="977"/>
      <c r="S733" s="977"/>
      <c r="T733" s="977"/>
      <c r="U733" s="977"/>
      <c r="V733" s="977"/>
      <c r="W733" s="977"/>
      <c r="X733" s="978"/>
      <c r="Y733" s="977"/>
      <c r="Z733" s="977"/>
      <c r="AA733" s="978"/>
      <c r="AB733" s="977"/>
      <c r="AC733" s="977"/>
      <c r="AD733" s="977"/>
      <c r="AE733" s="977"/>
      <c r="AF733" s="977"/>
      <c r="AG733" s="977"/>
    </row>
    <row r="734" spans="1:33" x14ac:dyDescent="0.2">
      <c r="A734" s="977"/>
      <c r="B734" s="977"/>
      <c r="C734" s="977"/>
      <c r="D734" s="977"/>
      <c r="E734" s="977"/>
      <c r="F734" s="977"/>
      <c r="G734" s="977"/>
      <c r="H734" s="977"/>
      <c r="I734" s="145"/>
      <c r="J734" s="145"/>
      <c r="K734" s="977"/>
      <c r="L734" s="977"/>
      <c r="M734" s="977"/>
      <c r="N734" s="977"/>
      <c r="O734" s="977"/>
      <c r="P734" s="977"/>
      <c r="Q734" s="977"/>
      <c r="R734" s="977"/>
      <c r="S734" s="977"/>
      <c r="T734" s="977"/>
      <c r="U734" s="977"/>
      <c r="V734" s="977"/>
      <c r="W734" s="977"/>
      <c r="X734" s="978"/>
      <c r="Y734" s="977"/>
      <c r="Z734" s="977"/>
      <c r="AA734" s="978"/>
      <c r="AB734" s="977"/>
      <c r="AC734" s="977"/>
      <c r="AD734" s="977"/>
      <c r="AE734" s="977"/>
      <c r="AF734" s="977"/>
      <c r="AG734" s="977"/>
    </row>
    <row r="735" spans="1:33" x14ac:dyDescent="0.2">
      <c r="A735" s="977"/>
      <c r="B735" s="977"/>
      <c r="C735" s="977"/>
      <c r="D735" s="977"/>
      <c r="E735" s="977"/>
      <c r="F735" s="977"/>
      <c r="G735" s="977"/>
      <c r="H735" s="977"/>
      <c r="I735" s="145"/>
      <c r="J735" s="145"/>
      <c r="K735" s="977"/>
      <c r="L735" s="977"/>
      <c r="M735" s="977"/>
      <c r="N735" s="977"/>
      <c r="O735" s="977"/>
      <c r="P735" s="977"/>
      <c r="Q735" s="977"/>
      <c r="R735" s="977"/>
      <c r="S735" s="977"/>
      <c r="T735" s="977"/>
      <c r="U735" s="977"/>
      <c r="V735" s="977"/>
      <c r="W735" s="977"/>
      <c r="X735" s="978"/>
      <c r="Y735" s="977"/>
      <c r="Z735" s="977"/>
      <c r="AA735" s="978"/>
      <c r="AB735" s="977"/>
      <c r="AC735" s="977"/>
      <c r="AD735" s="977"/>
      <c r="AE735" s="977"/>
      <c r="AF735" s="977"/>
      <c r="AG735" s="977"/>
    </row>
    <row r="736" spans="1:33" x14ac:dyDescent="0.2">
      <c r="A736" s="977"/>
      <c r="B736" s="977"/>
      <c r="C736" s="977"/>
      <c r="D736" s="977"/>
      <c r="E736" s="977"/>
      <c r="F736" s="977"/>
      <c r="G736" s="977"/>
      <c r="H736" s="977"/>
      <c r="I736" s="145"/>
      <c r="J736" s="145"/>
      <c r="K736" s="977"/>
      <c r="L736" s="977"/>
      <c r="M736" s="977"/>
      <c r="N736" s="977"/>
      <c r="O736" s="977"/>
      <c r="P736" s="977"/>
      <c r="Q736" s="977"/>
      <c r="R736" s="977"/>
      <c r="S736" s="977"/>
      <c r="T736" s="977"/>
      <c r="U736" s="977"/>
      <c r="V736" s="977"/>
      <c r="W736" s="977"/>
      <c r="X736" s="978"/>
      <c r="Y736" s="977"/>
      <c r="Z736" s="977"/>
      <c r="AA736" s="978"/>
      <c r="AB736" s="977"/>
      <c r="AC736" s="977"/>
      <c r="AD736" s="977"/>
      <c r="AE736" s="977"/>
      <c r="AF736" s="977"/>
      <c r="AG736" s="977"/>
    </row>
    <row r="737" spans="1:33" x14ac:dyDescent="0.2">
      <c r="A737" s="977"/>
      <c r="B737" s="977"/>
      <c r="C737" s="977"/>
      <c r="D737" s="977"/>
      <c r="E737" s="977"/>
      <c r="F737" s="977"/>
      <c r="G737" s="977"/>
      <c r="H737" s="977"/>
      <c r="I737" s="145"/>
      <c r="J737" s="145"/>
      <c r="K737" s="977"/>
      <c r="L737" s="977"/>
      <c r="M737" s="977"/>
      <c r="N737" s="977"/>
      <c r="O737" s="977"/>
      <c r="P737" s="977"/>
      <c r="Q737" s="977"/>
      <c r="R737" s="977"/>
      <c r="S737" s="977"/>
      <c r="T737" s="977"/>
      <c r="U737" s="977"/>
      <c r="V737" s="977"/>
      <c r="W737" s="977"/>
      <c r="X737" s="978"/>
      <c r="Y737" s="977"/>
      <c r="Z737" s="977"/>
      <c r="AA737" s="978"/>
      <c r="AB737" s="977"/>
      <c r="AC737" s="977"/>
      <c r="AD737" s="977"/>
      <c r="AE737" s="977"/>
      <c r="AF737" s="977"/>
      <c r="AG737" s="977"/>
    </row>
    <row r="738" spans="1:33" x14ac:dyDescent="0.2">
      <c r="A738" s="977"/>
      <c r="B738" s="977"/>
      <c r="C738" s="977"/>
      <c r="D738" s="977"/>
      <c r="E738" s="977"/>
      <c r="F738" s="977"/>
      <c r="G738" s="977"/>
      <c r="H738" s="977"/>
      <c r="I738" s="145"/>
      <c r="J738" s="145"/>
      <c r="K738" s="977"/>
      <c r="L738" s="977"/>
      <c r="M738" s="977"/>
      <c r="N738" s="977"/>
      <c r="O738" s="977"/>
      <c r="P738" s="977"/>
      <c r="Q738" s="977"/>
      <c r="R738" s="977"/>
      <c r="S738" s="977"/>
      <c r="T738" s="977"/>
      <c r="U738" s="977"/>
      <c r="V738" s="977"/>
      <c r="W738" s="977"/>
      <c r="X738" s="978"/>
      <c r="Y738" s="977"/>
      <c r="Z738" s="977"/>
      <c r="AA738" s="978"/>
      <c r="AB738" s="977"/>
      <c r="AC738" s="977"/>
      <c r="AD738" s="977"/>
      <c r="AE738" s="977"/>
      <c r="AF738" s="977"/>
      <c r="AG738" s="977"/>
    </row>
    <row r="739" spans="1:33" x14ac:dyDescent="0.2">
      <c r="A739" s="977"/>
      <c r="B739" s="977"/>
      <c r="C739" s="977"/>
      <c r="D739" s="977"/>
      <c r="E739" s="977"/>
      <c r="F739" s="977"/>
      <c r="G739" s="977"/>
      <c r="H739" s="977"/>
      <c r="I739" s="145"/>
      <c r="J739" s="145"/>
      <c r="K739" s="977"/>
      <c r="L739" s="977"/>
      <c r="M739" s="977"/>
      <c r="N739" s="977"/>
      <c r="O739" s="977"/>
      <c r="P739" s="977"/>
      <c r="Q739" s="977"/>
      <c r="R739" s="977"/>
      <c r="S739" s="977"/>
      <c r="T739" s="977"/>
      <c r="U739" s="977"/>
      <c r="V739" s="977"/>
      <c r="W739" s="977"/>
      <c r="X739" s="978"/>
      <c r="Y739" s="977"/>
      <c r="Z739" s="977"/>
      <c r="AA739" s="978"/>
      <c r="AB739" s="977"/>
      <c r="AC739" s="977"/>
      <c r="AD739" s="977"/>
      <c r="AE739" s="977"/>
      <c r="AF739" s="977"/>
      <c r="AG739" s="977"/>
    </row>
    <row r="740" spans="1:33" x14ac:dyDescent="0.2">
      <c r="A740" s="977"/>
      <c r="B740" s="977"/>
      <c r="C740" s="977"/>
      <c r="D740" s="977"/>
      <c r="E740" s="977"/>
      <c r="F740" s="977"/>
      <c r="G740" s="977"/>
      <c r="H740" s="977"/>
      <c r="I740" s="145"/>
      <c r="J740" s="145"/>
      <c r="K740" s="977"/>
      <c r="L740" s="977"/>
      <c r="M740" s="977"/>
      <c r="N740" s="977"/>
      <c r="O740" s="977"/>
      <c r="P740" s="977"/>
      <c r="Q740" s="977"/>
      <c r="R740" s="977"/>
      <c r="S740" s="977"/>
      <c r="T740" s="977"/>
      <c r="U740" s="977"/>
      <c r="V740" s="977"/>
      <c r="W740" s="977"/>
      <c r="X740" s="978"/>
      <c r="Y740" s="977"/>
      <c r="Z740" s="977"/>
      <c r="AA740" s="978"/>
      <c r="AB740" s="977"/>
      <c r="AC740" s="977"/>
      <c r="AD740" s="977"/>
      <c r="AE740" s="977"/>
      <c r="AF740" s="977"/>
      <c r="AG740" s="977"/>
    </row>
    <row r="741" spans="1:33" x14ac:dyDescent="0.2">
      <c r="A741" s="977"/>
      <c r="B741" s="977"/>
      <c r="C741" s="977"/>
      <c r="D741" s="977"/>
      <c r="E741" s="977"/>
      <c r="F741" s="977"/>
      <c r="G741" s="977"/>
      <c r="H741" s="977"/>
      <c r="I741" s="145"/>
      <c r="J741" s="145"/>
      <c r="K741" s="977"/>
      <c r="L741" s="977"/>
      <c r="M741" s="977"/>
      <c r="N741" s="977"/>
      <c r="O741" s="977"/>
      <c r="P741" s="977"/>
      <c r="Q741" s="977"/>
      <c r="R741" s="977"/>
      <c r="S741" s="977"/>
      <c r="T741" s="977"/>
      <c r="U741" s="977"/>
      <c r="V741" s="977"/>
      <c r="W741" s="977"/>
      <c r="X741" s="978"/>
      <c r="Y741" s="977"/>
      <c r="Z741" s="977"/>
      <c r="AA741" s="978"/>
      <c r="AB741" s="977"/>
      <c r="AC741" s="977"/>
      <c r="AD741" s="977"/>
      <c r="AE741" s="977"/>
      <c r="AF741" s="977"/>
      <c r="AG741" s="977"/>
    </row>
    <row r="742" spans="1:33" x14ac:dyDescent="0.2">
      <c r="A742" s="977"/>
      <c r="B742" s="977"/>
      <c r="C742" s="977"/>
      <c r="D742" s="977"/>
      <c r="E742" s="977"/>
      <c r="F742" s="977"/>
      <c r="G742" s="977"/>
      <c r="H742" s="977"/>
      <c r="I742" s="145"/>
      <c r="J742" s="145"/>
      <c r="K742" s="977"/>
      <c r="L742" s="977"/>
      <c r="M742" s="977"/>
      <c r="N742" s="977"/>
      <c r="O742" s="977"/>
      <c r="P742" s="977"/>
      <c r="Q742" s="977"/>
      <c r="R742" s="977"/>
      <c r="S742" s="977"/>
      <c r="T742" s="977"/>
      <c r="U742" s="977"/>
      <c r="V742" s="977"/>
      <c r="W742" s="977"/>
      <c r="X742" s="978"/>
      <c r="Y742" s="977"/>
      <c r="Z742" s="977"/>
      <c r="AA742" s="978"/>
      <c r="AB742" s="977"/>
      <c r="AC742" s="977"/>
      <c r="AD742" s="977"/>
      <c r="AE742" s="977"/>
      <c r="AF742" s="977"/>
      <c r="AG742" s="977"/>
    </row>
    <row r="743" spans="1:33" x14ac:dyDescent="0.2">
      <c r="A743" s="977"/>
      <c r="B743" s="977"/>
      <c r="C743" s="977"/>
      <c r="D743" s="977"/>
      <c r="E743" s="977"/>
      <c r="F743" s="977"/>
      <c r="G743" s="977"/>
      <c r="H743" s="977"/>
      <c r="I743" s="145"/>
      <c r="J743" s="145"/>
      <c r="K743" s="977"/>
      <c r="L743" s="977"/>
      <c r="M743" s="977"/>
      <c r="N743" s="977"/>
      <c r="O743" s="977"/>
      <c r="P743" s="977"/>
      <c r="Q743" s="977"/>
      <c r="R743" s="977"/>
      <c r="S743" s="977"/>
      <c r="T743" s="977"/>
      <c r="U743" s="977"/>
      <c r="V743" s="977"/>
      <c r="W743" s="977"/>
      <c r="X743" s="978"/>
      <c r="Y743" s="977"/>
      <c r="Z743" s="977"/>
      <c r="AA743" s="978"/>
      <c r="AB743" s="977"/>
      <c r="AC743" s="977"/>
      <c r="AD743" s="977"/>
      <c r="AE743" s="977"/>
      <c r="AF743" s="977"/>
      <c r="AG743" s="977"/>
    </row>
    <row r="744" spans="1:33" x14ac:dyDescent="0.2">
      <c r="A744" s="977"/>
      <c r="B744" s="977"/>
      <c r="C744" s="977"/>
      <c r="D744" s="977"/>
      <c r="E744" s="977"/>
      <c r="F744" s="977"/>
      <c r="G744" s="977"/>
      <c r="H744" s="977"/>
      <c r="I744" s="145"/>
      <c r="J744" s="145"/>
      <c r="K744" s="977"/>
      <c r="L744" s="977"/>
      <c r="M744" s="977"/>
      <c r="N744" s="977"/>
      <c r="O744" s="977"/>
      <c r="P744" s="977"/>
      <c r="Q744" s="977"/>
      <c r="R744" s="977"/>
      <c r="S744" s="977"/>
      <c r="T744" s="977"/>
      <c r="U744" s="977"/>
      <c r="V744" s="977"/>
      <c r="W744" s="977"/>
      <c r="X744" s="978"/>
      <c r="Y744" s="977"/>
      <c r="Z744" s="977"/>
      <c r="AA744" s="978"/>
      <c r="AB744" s="977"/>
      <c r="AC744" s="977"/>
      <c r="AD744" s="977"/>
      <c r="AE744" s="977"/>
      <c r="AF744" s="977"/>
      <c r="AG744" s="977"/>
    </row>
    <row r="745" spans="1:33" x14ac:dyDescent="0.2">
      <c r="A745" s="977"/>
      <c r="B745" s="977"/>
      <c r="C745" s="977"/>
      <c r="D745" s="977"/>
      <c r="E745" s="977"/>
      <c r="F745" s="977"/>
      <c r="G745" s="977"/>
      <c r="H745" s="977"/>
      <c r="I745" s="145"/>
      <c r="J745" s="145"/>
      <c r="K745" s="977"/>
      <c r="L745" s="977"/>
      <c r="M745" s="977"/>
      <c r="N745" s="977"/>
      <c r="O745" s="977"/>
      <c r="P745" s="977"/>
      <c r="Q745" s="977"/>
      <c r="R745" s="977"/>
      <c r="S745" s="977"/>
      <c r="T745" s="977"/>
      <c r="U745" s="977"/>
      <c r="V745" s="977"/>
      <c r="W745" s="977"/>
      <c r="X745" s="978"/>
      <c r="Y745" s="977"/>
      <c r="Z745" s="977"/>
      <c r="AA745" s="978"/>
      <c r="AB745" s="977"/>
      <c r="AC745" s="977"/>
      <c r="AD745" s="977"/>
      <c r="AE745" s="977"/>
      <c r="AF745" s="977"/>
      <c r="AG745" s="977"/>
    </row>
    <row r="746" spans="1:33" x14ac:dyDescent="0.2">
      <c r="A746" s="977"/>
      <c r="B746" s="977"/>
      <c r="C746" s="977"/>
      <c r="D746" s="977"/>
      <c r="E746" s="977"/>
      <c r="F746" s="977"/>
      <c r="G746" s="977"/>
      <c r="H746" s="977"/>
      <c r="I746" s="145"/>
      <c r="J746" s="145"/>
      <c r="K746" s="977"/>
      <c r="L746" s="977"/>
      <c r="M746" s="977"/>
      <c r="N746" s="977"/>
      <c r="O746" s="977"/>
      <c r="P746" s="977"/>
      <c r="Q746" s="977"/>
      <c r="R746" s="977"/>
      <c r="S746" s="977"/>
      <c r="T746" s="977"/>
      <c r="U746" s="977"/>
      <c r="V746" s="977"/>
      <c r="W746" s="977"/>
      <c r="X746" s="978"/>
      <c r="Y746" s="977"/>
      <c r="Z746" s="977"/>
      <c r="AA746" s="978"/>
      <c r="AB746" s="977"/>
      <c r="AC746" s="977"/>
      <c r="AD746" s="977"/>
      <c r="AE746" s="977"/>
      <c r="AF746" s="977"/>
      <c r="AG746" s="977"/>
    </row>
    <row r="747" spans="1:33" x14ac:dyDescent="0.2">
      <c r="A747" s="977"/>
      <c r="B747" s="977"/>
      <c r="C747" s="977"/>
      <c r="D747" s="977"/>
      <c r="E747" s="977"/>
      <c r="F747" s="977"/>
      <c r="G747" s="977"/>
      <c r="H747" s="977"/>
      <c r="I747" s="145"/>
      <c r="J747" s="145"/>
      <c r="K747" s="977"/>
      <c r="L747" s="977"/>
      <c r="M747" s="977"/>
      <c r="N747" s="977"/>
      <c r="O747" s="977"/>
      <c r="P747" s="977"/>
      <c r="Q747" s="977"/>
      <c r="R747" s="977"/>
      <c r="S747" s="977"/>
      <c r="T747" s="977"/>
      <c r="U747" s="977"/>
      <c r="V747" s="977"/>
      <c r="W747" s="977"/>
      <c r="X747" s="978"/>
      <c r="Y747" s="977"/>
      <c r="Z747" s="977"/>
      <c r="AA747" s="978"/>
      <c r="AB747" s="977"/>
      <c r="AC747" s="977"/>
      <c r="AD747" s="977"/>
      <c r="AE747" s="977"/>
      <c r="AF747" s="977"/>
      <c r="AG747" s="977"/>
    </row>
    <row r="748" spans="1:33" x14ac:dyDescent="0.2">
      <c r="A748" s="977"/>
      <c r="B748" s="977"/>
      <c r="C748" s="977"/>
      <c r="D748" s="977"/>
      <c r="E748" s="977"/>
      <c r="F748" s="977"/>
      <c r="G748" s="977"/>
      <c r="H748" s="977"/>
      <c r="I748" s="145"/>
      <c r="J748" s="145"/>
      <c r="K748" s="977"/>
      <c r="L748" s="977"/>
      <c r="M748" s="977"/>
      <c r="N748" s="977"/>
      <c r="O748" s="977"/>
      <c r="P748" s="977"/>
      <c r="Q748" s="977"/>
      <c r="R748" s="977"/>
      <c r="S748" s="977"/>
      <c r="T748" s="977"/>
      <c r="U748" s="977"/>
      <c r="V748" s="977"/>
      <c r="W748" s="977"/>
      <c r="X748" s="978"/>
      <c r="Y748" s="977"/>
      <c r="Z748" s="977"/>
      <c r="AA748" s="978"/>
      <c r="AB748" s="977"/>
      <c r="AC748" s="977"/>
      <c r="AD748" s="977"/>
      <c r="AE748" s="977"/>
      <c r="AF748" s="977"/>
      <c r="AG748" s="977"/>
    </row>
    <row r="749" spans="1:33" x14ac:dyDescent="0.2">
      <c r="A749" s="977"/>
      <c r="B749" s="977"/>
      <c r="C749" s="977"/>
      <c r="D749" s="977"/>
      <c r="E749" s="977"/>
      <c r="F749" s="977"/>
      <c r="G749" s="977"/>
      <c r="H749" s="977"/>
      <c r="I749" s="145"/>
      <c r="J749" s="145"/>
      <c r="K749" s="977"/>
      <c r="L749" s="977"/>
      <c r="M749" s="977"/>
      <c r="N749" s="977"/>
      <c r="O749" s="977"/>
      <c r="P749" s="977"/>
      <c r="Q749" s="977"/>
      <c r="R749" s="977"/>
      <c r="S749" s="977"/>
      <c r="T749" s="977"/>
      <c r="U749" s="977"/>
      <c r="V749" s="977"/>
      <c r="W749" s="977"/>
      <c r="X749" s="978"/>
      <c r="Y749" s="977"/>
      <c r="Z749" s="977"/>
      <c r="AA749" s="978"/>
      <c r="AB749" s="977"/>
      <c r="AC749" s="977"/>
      <c r="AD749" s="977"/>
      <c r="AE749" s="977"/>
      <c r="AF749" s="977"/>
      <c r="AG749" s="977"/>
    </row>
    <row r="750" spans="1:33" x14ac:dyDescent="0.2">
      <c r="A750" s="977"/>
      <c r="B750" s="977"/>
      <c r="C750" s="977"/>
      <c r="D750" s="977"/>
      <c r="E750" s="977"/>
      <c r="F750" s="977"/>
      <c r="G750" s="977"/>
      <c r="H750" s="977"/>
      <c r="I750" s="145"/>
      <c r="J750" s="145"/>
      <c r="K750" s="977"/>
      <c r="L750" s="977"/>
      <c r="M750" s="977"/>
      <c r="N750" s="977"/>
      <c r="O750" s="977"/>
      <c r="P750" s="977"/>
      <c r="Q750" s="977"/>
      <c r="R750" s="977"/>
      <c r="S750" s="977"/>
      <c r="T750" s="977"/>
      <c r="U750" s="977"/>
      <c r="V750" s="977"/>
      <c r="W750" s="977"/>
      <c r="X750" s="978"/>
      <c r="Y750" s="977"/>
      <c r="Z750" s="977"/>
      <c r="AA750" s="978"/>
      <c r="AB750" s="977"/>
      <c r="AC750" s="977"/>
      <c r="AD750" s="977"/>
      <c r="AE750" s="977"/>
      <c r="AF750" s="977"/>
      <c r="AG750" s="977"/>
    </row>
    <row r="751" spans="1:33" x14ac:dyDescent="0.2">
      <c r="A751" s="977"/>
      <c r="B751" s="977"/>
      <c r="C751" s="977"/>
      <c r="D751" s="977"/>
      <c r="E751" s="977"/>
      <c r="F751" s="977"/>
      <c r="G751" s="977"/>
      <c r="H751" s="977"/>
      <c r="I751" s="145"/>
      <c r="J751" s="145"/>
      <c r="K751" s="977"/>
      <c r="L751" s="977"/>
      <c r="M751" s="977"/>
      <c r="N751" s="977"/>
      <c r="O751" s="977"/>
      <c r="P751" s="977"/>
      <c r="Q751" s="977"/>
      <c r="R751" s="977"/>
      <c r="S751" s="977"/>
      <c r="T751" s="977"/>
      <c r="U751" s="977"/>
      <c r="V751" s="977"/>
      <c r="W751" s="977"/>
      <c r="X751" s="978"/>
      <c r="Y751" s="977"/>
      <c r="Z751" s="977"/>
      <c r="AA751" s="978"/>
      <c r="AB751" s="977"/>
      <c r="AC751" s="977"/>
      <c r="AD751" s="977"/>
      <c r="AE751" s="977"/>
      <c r="AF751" s="977"/>
      <c r="AG751" s="977"/>
    </row>
    <row r="752" spans="1:33" x14ac:dyDescent="0.2">
      <c r="A752" s="977"/>
      <c r="B752" s="977"/>
      <c r="C752" s="977"/>
      <c r="D752" s="977"/>
      <c r="E752" s="977"/>
      <c r="F752" s="977"/>
      <c r="G752" s="977"/>
      <c r="H752" s="977"/>
      <c r="I752" s="145"/>
      <c r="J752" s="145"/>
      <c r="K752" s="977"/>
      <c r="L752" s="977"/>
      <c r="M752" s="977"/>
      <c r="N752" s="977"/>
      <c r="O752" s="977"/>
      <c r="P752" s="977"/>
      <c r="Q752" s="977"/>
      <c r="R752" s="977"/>
      <c r="S752" s="977"/>
      <c r="T752" s="977"/>
      <c r="U752" s="977"/>
      <c r="V752" s="977"/>
      <c r="W752" s="977"/>
      <c r="X752" s="978"/>
      <c r="Y752" s="977"/>
      <c r="Z752" s="977"/>
      <c r="AA752" s="978"/>
      <c r="AB752" s="977"/>
      <c r="AC752" s="977"/>
      <c r="AD752" s="977"/>
      <c r="AE752" s="977"/>
      <c r="AF752" s="977"/>
      <c r="AG752" s="977"/>
    </row>
    <row r="753" spans="1:33" x14ac:dyDescent="0.2">
      <c r="A753" s="977"/>
      <c r="B753" s="977"/>
      <c r="C753" s="977"/>
      <c r="D753" s="977"/>
      <c r="E753" s="977"/>
      <c r="F753" s="977"/>
      <c r="G753" s="977"/>
      <c r="H753" s="977"/>
      <c r="I753" s="145"/>
      <c r="J753" s="145"/>
      <c r="K753" s="977"/>
      <c r="L753" s="977"/>
      <c r="M753" s="977"/>
      <c r="N753" s="977"/>
      <c r="O753" s="977"/>
      <c r="P753" s="977"/>
      <c r="Q753" s="977"/>
      <c r="R753" s="977"/>
      <c r="S753" s="977"/>
      <c r="T753" s="977"/>
      <c r="U753" s="977"/>
      <c r="V753" s="977"/>
      <c r="W753" s="977"/>
      <c r="X753" s="978"/>
      <c r="Y753" s="977"/>
      <c r="Z753" s="977"/>
      <c r="AA753" s="978"/>
      <c r="AB753" s="977"/>
      <c r="AC753" s="977"/>
      <c r="AD753" s="977"/>
      <c r="AE753" s="977"/>
      <c r="AF753" s="977"/>
      <c r="AG753" s="977"/>
    </row>
    <row r="754" spans="1:33" x14ac:dyDescent="0.2">
      <c r="A754" s="977"/>
      <c r="B754" s="977"/>
      <c r="C754" s="977"/>
      <c r="D754" s="977"/>
      <c r="E754" s="977"/>
      <c r="F754" s="977"/>
      <c r="G754" s="977"/>
      <c r="H754" s="977"/>
      <c r="I754" s="145"/>
      <c r="J754" s="145"/>
      <c r="K754" s="977"/>
      <c r="L754" s="977"/>
      <c r="M754" s="977"/>
      <c r="N754" s="977"/>
      <c r="O754" s="977"/>
      <c r="P754" s="977"/>
      <c r="Q754" s="977"/>
      <c r="R754" s="977"/>
      <c r="S754" s="977"/>
      <c r="T754" s="977"/>
      <c r="U754" s="977"/>
      <c r="V754" s="977"/>
      <c r="W754" s="977"/>
      <c r="X754" s="978"/>
      <c r="Y754" s="977"/>
      <c r="Z754" s="977"/>
      <c r="AA754" s="978"/>
      <c r="AB754" s="977"/>
      <c r="AC754" s="977"/>
      <c r="AD754" s="977"/>
      <c r="AE754" s="977"/>
      <c r="AF754" s="977"/>
      <c r="AG754" s="977"/>
    </row>
    <row r="755" spans="1:33" x14ac:dyDescent="0.2">
      <c r="A755" s="977"/>
      <c r="B755" s="977"/>
      <c r="C755" s="977"/>
      <c r="D755" s="977"/>
      <c r="E755" s="977"/>
      <c r="F755" s="977"/>
      <c r="G755" s="977"/>
      <c r="H755" s="977"/>
      <c r="I755" s="145"/>
      <c r="J755" s="145"/>
      <c r="K755" s="977"/>
      <c r="L755" s="977"/>
      <c r="M755" s="977"/>
      <c r="N755" s="977"/>
      <c r="O755" s="977"/>
      <c r="P755" s="977"/>
      <c r="Q755" s="977"/>
      <c r="R755" s="977"/>
      <c r="S755" s="977"/>
      <c r="T755" s="977"/>
      <c r="U755" s="977"/>
      <c r="V755" s="977"/>
      <c r="W755" s="977"/>
      <c r="X755" s="978"/>
      <c r="Y755" s="977"/>
      <c r="Z755" s="977"/>
      <c r="AA755" s="978"/>
      <c r="AB755" s="977"/>
      <c r="AC755" s="977"/>
      <c r="AD755" s="977"/>
      <c r="AE755" s="977"/>
      <c r="AF755" s="977"/>
      <c r="AG755" s="977"/>
    </row>
    <row r="756" spans="1:33" x14ac:dyDescent="0.2">
      <c r="A756" s="977"/>
      <c r="B756" s="977"/>
      <c r="C756" s="977"/>
      <c r="D756" s="977"/>
      <c r="E756" s="977"/>
      <c r="F756" s="977"/>
      <c r="G756" s="977"/>
      <c r="H756" s="977"/>
      <c r="I756" s="145"/>
      <c r="J756" s="145"/>
      <c r="K756" s="977"/>
      <c r="L756" s="977"/>
      <c r="M756" s="977"/>
      <c r="N756" s="977"/>
      <c r="O756" s="977"/>
      <c r="P756" s="977"/>
      <c r="Q756" s="977"/>
      <c r="R756" s="977"/>
      <c r="S756" s="977"/>
      <c r="T756" s="977"/>
      <c r="U756" s="977"/>
      <c r="V756" s="977"/>
      <c r="W756" s="977"/>
      <c r="X756" s="978"/>
      <c r="Y756" s="977"/>
      <c r="Z756" s="977"/>
      <c r="AA756" s="978"/>
      <c r="AB756" s="977"/>
      <c r="AC756" s="977"/>
      <c r="AD756" s="977"/>
      <c r="AE756" s="977"/>
      <c r="AF756" s="977"/>
      <c r="AG756" s="977"/>
    </row>
    <row r="757" spans="1:33" x14ac:dyDescent="0.2">
      <c r="A757" s="977"/>
      <c r="B757" s="977"/>
      <c r="C757" s="977"/>
      <c r="D757" s="977"/>
      <c r="E757" s="977"/>
      <c r="F757" s="977"/>
      <c r="G757" s="977"/>
      <c r="H757" s="977"/>
      <c r="I757" s="145"/>
      <c r="J757" s="145"/>
      <c r="K757" s="977"/>
      <c r="L757" s="977"/>
      <c r="M757" s="977"/>
      <c r="N757" s="977"/>
      <c r="O757" s="977"/>
      <c r="P757" s="977"/>
      <c r="Q757" s="977"/>
      <c r="R757" s="977"/>
      <c r="S757" s="977"/>
      <c r="T757" s="977"/>
      <c r="U757" s="977"/>
      <c r="V757" s="977"/>
      <c r="W757" s="977"/>
      <c r="X757" s="978"/>
      <c r="Y757" s="977"/>
      <c r="Z757" s="977"/>
      <c r="AA757" s="978"/>
      <c r="AB757" s="977"/>
      <c r="AC757" s="977"/>
      <c r="AD757" s="977"/>
      <c r="AE757" s="977"/>
      <c r="AF757" s="977"/>
      <c r="AG757" s="977"/>
    </row>
    <row r="758" spans="1:33" x14ac:dyDescent="0.2">
      <c r="A758" s="977"/>
      <c r="B758" s="977"/>
      <c r="C758" s="977"/>
      <c r="D758" s="977"/>
      <c r="E758" s="977"/>
      <c r="F758" s="977"/>
      <c r="G758" s="977"/>
      <c r="H758" s="977"/>
      <c r="I758" s="145"/>
      <c r="J758" s="145"/>
      <c r="K758" s="977"/>
      <c r="L758" s="977"/>
      <c r="M758" s="977"/>
      <c r="N758" s="977"/>
      <c r="O758" s="977"/>
      <c r="P758" s="977"/>
      <c r="Q758" s="977"/>
      <c r="R758" s="977"/>
      <c r="S758" s="977"/>
      <c r="T758" s="977"/>
      <c r="U758" s="977"/>
      <c r="V758" s="977"/>
      <c r="W758" s="977"/>
      <c r="X758" s="978"/>
      <c r="Y758" s="977"/>
      <c r="Z758" s="977"/>
      <c r="AA758" s="978"/>
      <c r="AB758" s="977"/>
      <c r="AC758" s="977"/>
      <c r="AD758" s="977"/>
      <c r="AE758" s="977"/>
      <c r="AF758" s="977"/>
      <c r="AG758" s="977"/>
    </row>
    <row r="759" spans="1:33" x14ac:dyDescent="0.2">
      <c r="A759" s="977"/>
      <c r="B759" s="977"/>
      <c r="C759" s="977"/>
      <c r="D759" s="977"/>
      <c r="E759" s="977"/>
      <c r="F759" s="977"/>
      <c r="G759" s="977"/>
      <c r="H759" s="977"/>
      <c r="I759" s="145"/>
      <c r="J759" s="145"/>
      <c r="K759" s="977"/>
      <c r="L759" s="977"/>
      <c r="M759" s="977"/>
      <c r="N759" s="977"/>
      <c r="O759" s="977"/>
      <c r="P759" s="977"/>
      <c r="Q759" s="977"/>
      <c r="R759" s="977"/>
      <c r="S759" s="977"/>
      <c r="T759" s="977"/>
      <c r="U759" s="977"/>
      <c r="V759" s="977"/>
      <c r="W759" s="977"/>
      <c r="X759" s="978"/>
      <c r="Y759" s="977"/>
      <c r="Z759" s="977"/>
      <c r="AA759" s="978"/>
      <c r="AB759" s="977"/>
      <c r="AC759" s="977"/>
      <c r="AD759" s="977"/>
      <c r="AE759" s="977"/>
      <c r="AF759" s="977"/>
      <c r="AG759" s="977"/>
    </row>
    <row r="760" spans="1:33" x14ac:dyDescent="0.2">
      <c r="A760" s="977"/>
      <c r="B760" s="977"/>
      <c r="C760" s="977"/>
      <c r="D760" s="977"/>
      <c r="E760" s="977"/>
      <c r="F760" s="977"/>
      <c r="G760" s="977"/>
      <c r="H760" s="977"/>
      <c r="I760" s="145"/>
      <c r="J760" s="145"/>
      <c r="K760" s="977"/>
      <c r="L760" s="977"/>
      <c r="M760" s="977"/>
      <c r="N760" s="977"/>
      <c r="O760" s="977"/>
      <c r="P760" s="977"/>
      <c r="Q760" s="977"/>
      <c r="R760" s="977"/>
      <c r="S760" s="977"/>
      <c r="T760" s="977"/>
      <c r="U760" s="977"/>
      <c r="V760" s="977"/>
      <c r="W760" s="977"/>
      <c r="X760" s="978"/>
      <c r="Y760" s="977"/>
      <c r="Z760" s="977"/>
      <c r="AA760" s="978"/>
      <c r="AB760" s="977"/>
      <c r="AC760" s="977"/>
      <c r="AD760" s="977"/>
      <c r="AE760" s="977"/>
      <c r="AF760" s="977"/>
      <c r="AG760" s="977"/>
    </row>
    <row r="761" spans="1:33" x14ac:dyDescent="0.2">
      <c r="A761" s="977"/>
      <c r="B761" s="977"/>
      <c r="C761" s="977"/>
      <c r="D761" s="977"/>
      <c r="E761" s="977"/>
      <c r="F761" s="977"/>
      <c r="G761" s="977"/>
      <c r="H761" s="977"/>
      <c r="I761" s="145"/>
      <c r="J761" s="145"/>
      <c r="K761" s="977"/>
      <c r="L761" s="977"/>
      <c r="M761" s="977"/>
      <c r="N761" s="977"/>
      <c r="O761" s="977"/>
      <c r="P761" s="977"/>
      <c r="Q761" s="977"/>
      <c r="R761" s="977"/>
      <c r="S761" s="977"/>
      <c r="T761" s="977"/>
      <c r="U761" s="977"/>
      <c r="V761" s="977"/>
      <c r="W761" s="977"/>
      <c r="X761" s="978"/>
      <c r="Y761" s="977"/>
      <c r="Z761" s="977"/>
      <c r="AA761" s="978"/>
      <c r="AB761" s="977"/>
      <c r="AC761" s="977"/>
      <c r="AD761" s="977"/>
      <c r="AE761" s="977"/>
      <c r="AF761" s="977"/>
      <c r="AG761" s="977"/>
    </row>
    <row r="762" spans="1:33" x14ac:dyDescent="0.2">
      <c r="A762" s="977"/>
      <c r="B762" s="977"/>
      <c r="C762" s="977"/>
      <c r="D762" s="977"/>
      <c r="E762" s="977"/>
      <c r="F762" s="977"/>
      <c r="G762" s="977"/>
      <c r="H762" s="977"/>
      <c r="I762" s="145"/>
      <c r="J762" s="145"/>
      <c r="K762" s="977"/>
      <c r="L762" s="977"/>
      <c r="M762" s="977"/>
      <c r="N762" s="977"/>
      <c r="O762" s="977"/>
      <c r="P762" s="977"/>
      <c r="Q762" s="977"/>
      <c r="R762" s="977"/>
      <c r="S762" s="977"/>
      <c r="T762" s="977"/>
      <c r="U762" s="977"/>
      <c r="V762" s="977"/>
      <c r="W762" s="977"/>
      <c r="X762" s="978"/>
      <c r="Y762" s="977"/>
      <c r="Z762" s="977"/>
      <c r="AA762" s="978"/>
      <c r="AB762" s="977"/>
      <c r="AC762" s="977"/>
      <c r="AD762" s="977"/>
      <c r="AE762" s="977"/>
      <c r="AF762" s="977"/>
      <c r="AG762" s="977"/>
    </row>
    <row r="763" spans="1:33" x14ac:dyDescent="0.2">
      <c r="A763" s="977"/>
      <c r="B763" s="977"/>
      <c r="C763" s="977"/>
      <c r="D763" s="977"/>
      <c r="E763" s="977"/>
      <c r="F763" s="977"/>
      <c r="G763" s="977"/>
      <c r="H763" s="977"/>
      <c r="I763" s="145"/>
      <c r="J763" s="145"/>
      <c r="K763" s="977"/>
      <c r="L763" s="977"/>
      <c r="M763" s="977"/>
      <c r="N763" s="977"/>
      <c r="O763" s="977"/>
      <c r="P763" s="977"/>
      <c r="Q763" s="977"/>
      <c r="R763" s="977"/>
      <c r="S763" s="977"/>
      <c r="T763" s="977"/>
      <c r="U763" s="977"/>
      <c r="V763" s="977"/>
      <c r="W763" s="977"/>
      <c r="X763" s="978"/>
      <c r="Y763" s="977"/>
      <c r="Z763" s="977"/>
      <c r="AA763" s="978"/>
      <c r="AB763" s="977"/>
      <c r="AC763" s="977"/>
      <c r="AD763" s="977"/>
      <c r="AE763" s="977"/>
      <c r="AF763" s="977"/>
      <c r="AG763" s="977"/>
    </row>
    <row r="764" spans="1:33" x14ac:dyDescent="0.2">
      <c r="A764" s="977"/>
      <c r="B764" s="977"/>
      <c r="C764" s="977"/>
      <c r="D764" s="977"/>
      <c r="E764" s="977"/>
      <c r="F764" s="977"/>
      <c r="G764" s="977"/>
      <c r="H764" s="977"/>
      <c r="I764" s="145"/>
      <c r="J764" s="145"/>
      <c r="K764" s="977"/>
      <c r="L764" s="977"/>
      <c r="M764" s="977"/>
      <c r="N764" s="977"/>
      <c r="O764" s="977"/>
      <c r="P764" s="977"/>
      <c r="Q764" s="977"/>
      <c r="R764" s="977"/>
      <c r="S764" s="977"/>
      <c r="T764" s="977"/>
      <c r="U764" s="977"/>
      <c r="V764" s="977"/>
      <c r="W764" s="977"/>
      <c r="X764" s="978"/>
      <c r="Y764" s="977"/>
      <c r="Z764" s="977"/>
      <c r="AA764" s="978"/>
      <c r="AB764" s="977"/>
      <c r="AC764" s="977"/>
      <c r="AD764" s="977"/>
      <c r="AE764" s="977"/>
      <c r="AF764" s="977"/>
      <c r="AG764" s="977"/>
    </row>
    <row r="765" spans="1:33" x14ac:dyDescent="0.2">
      <c r="A765" s="977"/>
      <c r="B765" s="977"/>
      <c r="C765" s="977"/>
      <c r="D765" s="977"/>
      <c r="E765" s="977"/>
      <c r="F765" s="977"/>
      <c r="G765" s="977"/>
      <c r="H765" s="977"/>
      <c r="I765" s="145"/>
      <c r="J765" s="145"/>
      <c r="K765" s="977"/>
      <c r="L765" s="977"/>
      <c r="M765" s="977"/>
      <c r="N765" s="977"/>
      <c r="O765" s="977"/>
      <c r="P765" s="977"/>
      <c r="Q765" s="977"/>
      <c r="R765" s="977"/>
      <c r="S765" s="977"/>
      <c r="T765" s="977"/>
      <c r="U765" s="977"/>
      <c r="V765" s="977"/>
      <c r="W765" s="977"/>
      <c r="X765" s="978"/>
      <c r="Y765" s="977"/>
      <c r="Z765" s="977"/>
      <c r="AA765" s="978"/>
      <c r="AB765" s="977"/>
      <c r="AC765" s="977"/>
      <c r="AD765" s="977"/>
      <c r="AE765" s="977"/>
      <c r="AF765" s="977"/>
      <c r="AG765" s="977"/>
    </row>
    <row r="766" spans="1:33" x14ac:dyDescent="0.2">
      <c r="A766" s="977"/>
      <c r="B766" s="977"/>
      <c r="C766" s="977"/>
      <c r="D766" s="977"/>
      <c r="E766" s="977"/>
      <c r="F766" s="977"/>
      <c r="G766" s="977"/>
      <c r="H766" s="977"/>
      <c r="I766" s="145"/>
      <c r="J766" s="145"/>
      <c r="K766" s="977"/>
      <c r="L766" s="977"/>
      <c r="M766" s="977"/>
      <c r="N766" s="977"/>
      <c r="O766" s="977"/>
      <c r="P766" s="977"/>
      <c r="Q766" s="977"/>
      <c r="R766" s="977"/>
      <c r="S766" s="977"/>
      <c r="T766" s="977"/>
      <c r="U766" s="977"/>
      <c r="V766" s="977"/>
      <c r="W766" s="977"/>
      <c r="X766" s="978"/>
      <c r="Y766" s="977"/>
      <c r="Z766" s="977"/>
      <c r="AA766" s="978"/>
      <c r="AB766" s="977"/>
      <c r="AC766" s="977"/>
      <c r="AD766" s="977"/>
      <c r="AE766" s="977"/>
      <c r="AF766" s="977"/>
      <c r="AG766" s="977"/>
    </row>
    <row r="767" spans="1:33" x14ac:dyDescent="0.2">
      <c r="A767" s="977"/>
      <c r="B767" s="977"/>
      <c r="C767" s="977"/>
      <c r="D767" s="977"/>
      <c r="E767" s="977"/>
      <c r="F767" s="977"/>
      <c r="G767" s="977"/>
      <c r="H767" s="977"/>
      <c r="I767" s="145"/>
      <c r="J767" s="145"/>
      <c r="K767" s="977"/>
      <c r="L767" s="977"/>
      <c r="M767" s="977"/>
      <c r="N767" s="977"/>
      <c r="O767" s="977"/>
      <c r="P767" s="977"/>
      <c r="Q767" s="977"/>
      <c r="R767" s="977"/>
      <c r="S767" s="977"/>
      <c r="T767" s="977"/>
      <c r="U767" s="977"/>
      <c r="V767" s="977"/>
      <c r="W767" s="977"/>
      <c r="X767" s="978"/>
      <c r="Y767" s="977"/>
      <c r="Z767" s="977"/>
      <c r="AA767" s="978"/>
      <c r="AB767" s="977"/>
      <c r="AC767" s="977"/>
      <c r="AD767" s="977"/>
      <c r="AE767" s="977"/>
      <c r="AF767" s="977"/>
      <c r="AG767" s="977"/>
    </row>
    <row r="768" spans="1:33" x14ac:dyDescent="0.2">
      <c r="A768" s="977"/>
      <c r="B768" s="977"/>
      <c r="C768" s="977"/>
      <c r="D768" s="977"/>
      <c r="E768" s="977"/>
      <c r="F768" s="977"/>
      <c r="G768" s="977"/>
      <c r="H768" s="977"/>
      <c r="I768" s="145"/>
      <c r="J768" s="145"/>
      <c r="K768" s="977"/>
      <c r="L768" s="977"/>
      <c r="M768" s="977"/>
      <c r="N768" s="977"/>
      <c r="O768" s="977"/>
      <c r="P768" s="977"/>
      <c r="Q768" s="977"/>
      <c r="R768" s="977"/>
      <c r="S768" s="977"/>
      <c r="T768" s="977"/>
      <c r="U768" s="977"/>
      <c r="V768" s="977"/>
      <c r="W768" s="977"/>
      <c r="X768" s="978"/>
      <c r="Y768" s="977"/>
      <c r="Z768" s="977"/>
      <c r="AA768" s="978"/>
      <c r="AB768" s="977"/>
      <c r="AC768" s="977"/>
      <c r="AD768" s="977"/>
      <c r="AE768" s="977"/>
      <c r="AF768" s="977"/>
      <c r="AG768" s="977"/>
    </row>
    <row r="769" spans="1:33" x14ac:dyDescent="0.2">
      <c r="A769" s="977"/>
      <c r="B769" s="977"/>
      <c r="C769" s="977"/>
      <c r="D769" s="977"/>
      <c r="E769" s="977"/>
      <c r="F769" s="977"/>
      <c r="G769" s="977"/>
      <c r="H769" s="977"/>
      <c r="I769" s="145"/>
      <c r="J769" s="145"/>
      <c r="K769" s="977"/>
      <c r="L769" s="977"/>
      <c r="M769" s="977"/>
      <c r="N769" s="977"/>
      <c r="O769" s="977"/>
      <c r="P769" s="977"/>
      <c r="Q769" s="977"/>
      <c r="R769" s="977"/>
      <c r="S769" s="977"/>
      <c r="T769" s="977"/>
      <c r="U769" s="977"/>
      <c r="V769" s="977"/>
      <c r="W769" s="977"/>
      <c r="X769" s="978"/>
      <c r="Y769" s="977"/>
      <c r="Z769" s="977"/>
      <c r="AA769" s="978"/>
      <c r="AB769" s="977"/>
      <c r="AC769" s="977"/>
      <c r="AD769" s="977"/>
      <c r="AE769" s="977"/>
      <c r="AF769" s="977"/>
      <c r="AG769" s="977"/>
    </row>
    <row r="770" spans="1:33" x14ac:dyDescent="0.2">
      <c r="A770" s="977"/>
      <c r="B770" s="977"/>
      <c r="C770" s="977"/>
      <c r="D770" s="977"/>
      <c r="E770" s="977"/>
      <c r="F770" s="977"/>
      <c r="G770" s="977"/>
      <c r="H770" s="977"/>
      <c r="I770" s="145"/>
      <c r="J770" s="145"/>
      <c r="K770" s="977"/>
      <c r="L770" s="977"/>
      <c r="M770" s="977"/>
      <c r="N770" s="977"/>
      <c r="O770" s="977"/>
      <c r="P770" s="977"/>
      <c r="Q770" s="977"/>
      <c r="R770" s="977"/>
      <c r="S770" s="977"/>
      <c r="T770" s="977"/>
      <c r="U770" s="977"/>
      <c r="V770" s="977"/>
      <c r="W770" s="977"/>
      <c r="X770" s="978"/>
      <c r="Y770" s="977"/>
      <c r="Z770" s="977"/>
      <c r="AA770" s="978"/>
      <c r="AB770" s="977"/>
      <c r="AC770" s="977"/>
      <c r="AD770" s="977"/>
      <c r="AE770" s="977"/>
      <c r="AF770" s="977"/>
      <c r="AG770" s="977"/>
    </row>
    <row r="771" spans="1:33" x14ac:dyDescent="0.2">
      <c r="A771" s="977"/>
      <c r="B771" s="977"/>
      <c r="C771" s="977"/>
      <c r="D771" s="977"/>
      <c r="E771" s="977"/>
      <c r="F771" s="977"/>
      <c r="G771" s="977"/>
      <c r="H771" s="977"/>
      <c r="I771" s="145"/>
      <c r="J771" s="145"/>
      <c r="K771" s="977"/>
      <c r="L771" s="977"/>
      <c r="M771" s="977"/>
      <c r="N771" s="977"/>
      <c r="O771" s="977"/>
      <c r="P771" s="977"/>
      <c r="Q771" s="977"/>
      <c r="R771" s="977"/>
      <c r="S771" s="977"/>
      <c r="T771" s="977"/>
      <c r="U771" s="977"/>
      <c r="V771" s="977"/>
      <c r="W771" s="977"/>
      <c r="X771" s="978"/>
      <c r="Y771" s="977"/>
      <c r="Z771" s="977"/>
      <c r="AA771" s="978"/>
      <c r="AB771" s="977"/>
      <c r="AC771" s="977"/>
      <c r="AD771" s="977"/>
      <c r="AE771" s="977"/>
      <c r="AF771" s="977"/>
      <c r="AG771" s="977"/>
    </row>
    <row r="772" spans="1:33" x14ac:dyDescent="0.2">
      <c r="A772" s="977"/>
      <c r="B772" s="977"/>
      <c r="C772" s="977"/>
      <c r="D772" s="977"/>
      <c r="E772" s="977"/>
      <c r="F772" s="977"/>
      <c r="G772" s="977"/>
      <c r="H772" s="977"/>
      <c r="I772" s="145"/>
      <c r="J772" s="145"/>
      <c r="K772" s="977"/>
      <c r="L772" s="977"/>
      <c r="M772" s="977"/>
      <c r="N772" s="977"/>
      <c r="O772" s="977"/>
      <c r="P772" s="977"/>
      <c r="Q772" s="977"/>
      <c r="R772" s="977"/>
      <c r="S772" s="977"/>
      <c r="T772" s="977"/>
      <c r="U772" s="977"/>
      <c r="V772" s="977"/>
      <c r="W772" s="977"/>
      <c r="X772" s="978"/>
      <c r="Y772" s="977"/>
      <c r="Z772" s="977"/>
      <c r="AA772" s="978"/>
      <c r="AB772" s="977"/>
      <c r="AC772" s="977"/>
      <c r="AD772" s="977"/>
      <c r="AE772" s="977"/>
      <c r="AF772" s="977"/>
      <c r="AG772" s="977"/>
    </row>
    <row r="773" spans="1:33" x14ac:dyDescent="0.2">
      <c r="A773" s="977"/>
      <c r="B773" s="977"/>
      <c r="C773" s="977"/>
      <c r="D773" s="977"/>
      <c r="E773" s="977"/>
      <c r="F773" s="977"/>
      <c r="G773" s="977"/>
      <c r="H773" s="977"/>
      <c r="I773" s="145"/>
      <c r="J773" s="145"/>
      <c r="K773" s="977"/>
      <c r="L773" s="977"/>
      <c r="M773" s="977"/>
      <c r="N773" s="977"/>
      <c r="O773" s="977"/>
      <c r="P773" s="977"/>
      <c r="Q773" s="977"/>
      <c r="R773" s="977"/>
      <c r="S773" s="977"/>
      <c r="T773" s="977"/>
      <c r="U773" s="977"/>
      <c r="V773" s="977"/>
      <c r="W773" s="977"/>
      <c r="X773" s="978"/>
      <c r="Y773" s="977"/>
      <c r="Z773" s="977"/>
      <c r="AA773" s="978"/>
      <c r="AB773" s="977"/>
      <c r="AC773" s="977"/>
      <c r="AD773" s="977"/>
      <c r="AE773" s="977"/>
      <c r="AF773" s="977"/>
      <c r="AG773" s="977"/>
    </row>
    <row r="774" spans="1:33" x14ac:dyDescent="0.2">
      <c r="A774" s="977"/>
      <c r="B774" s="977"/>
      <c r="C774" s="977"/>
      <c r="D774" s="977"/>
      <c r="E774" s="977"/>
      <c r="F774" s="977"/>
      <c r="G774" s="977"/>
      <c r="H774" s="977"/>
      <c r="I774" s="145"/>
      <c r="J774" s="145"/>
      <c r="K774" s="977"/>
      <c r="L774" s="977"/>
      <c r="M774" s="977"/>
      <c r="N774" s="977"/>
      <c r="O774" s="977"/>
      <c r="P774" s="977"/>
      <c r="Q774" s="977"/>
      <c r="R774" s="977"/>
      <c r="S774" s="977"/>
      <c r="T774" s="977"/>
      <c r="U774" s="977"/>
      <c r="V774" s="977"/>
      <c r="W774" s="977"/>
      <c r="X774" s="978"/>
      <c r="Y774" s="977"/>
      <c r="Z774" s="977"/>
      <c r="AA774" s="978"/>
      <c r="AB774" s="977"/>
      <c r="AC774" s="977"/>
      <c r="AD774" s="977"/>
      <c r="AE774" s="977"/>
      <c r="AF774" s="977"/>
      <c r="AG774" s="977"/>
    </row>
    <row r="775" spans="1:33" x14ac:dyDescent="0.2">
      <c r="A775" s="977"/>
      <c r="B775" s="977"/>
      <c r="C775" s="977"/>
      <c r="D775" s="977"/>
      <c r="E775" s="977"/>
      <c r="F775" s="977"/>
      <c r="G775" s="977"/>
      <c r="H775" s="977"/>
      <c r="I775" s="145"/>
      <c r="J775" s="145"/>
      <c r="K775" s="977"/>
      <c r="L775" s="977"/>
      <c r="M775" s="977"/>
      <c r="N775" s="977"/>
      <c r="O775" s="977"/>
      <c r="P775" s="977"/>
      <c r="Q775" s="977"/>
      <c r="R775" s="977"/>
      <c r="S775" s="977"/>
      <c r="T775" s="977"/>
      <c r="U775" s="977"/>
      <c r="V775" s="977"/>
      <c r="W775" s="977"/>
      <c r="X775" s="978"/>
      <c r="Y775" s="977"/>
      <c r="Z775" s="977"/>
      <c r="AA775" s="978"/>
      <c r="AB775" s="977"/>
      <c r="AC775" s="977"/>
      <c r="AD775" s="977"/>
      <c r="AE775" s="977"/>
      <c r="AF775" s="977"/>
      <c r="AG775" s="977"/>
    </row>
    <row r="776" spans="1:33" x14ac:dyDescent="0.2">
      <c r="A776" s="977"/>
      <c r="B776" s="977"/>
      <c r="C776" s="977"/>
      <c r="D776" s="977"/>
      <c r="E776" s="977"/>
      <c r="F776" s="977"/>
      <c r="G776" s="977"/>
      <c r="H776" s="977"/>
      <c r="I776" s="145"/>
      <c r="J776" s="145"/>
      <c r="K776" s="977"/>
      <c r="L776" s="977"/>
      <c r="M776" s="977"/>
      <c r="N776" s="977"/>
      <c r="O776" s="977"/>
      <c r="P776" s="977"/>
      <c r="Q776" s="977"/>
      <c r="R776" s="977"/>
      <c r="S776" s="977"/>
      <c r="T776" s="977"/>
      <c r="U776" s="977"/>
      <c r="V776" s="977"/>
      <c r="W776" s="977"/>
      <c r="X776" s="978"/>
      <c r="Y776" s="977"/>
      <c r="Z776" s="977"/>
      <c r="AA776" s="978"/>
      <c r="AB776" s="977"/>
      <c r="AC776" s="977"/>
      <c r="AD776" s="977"/>
      <c r="AE776" s="977"/>
      <c r="AF776" s="977"/>
      <c r="AG776" s="977"/>
    </row>
    <row r="777" spans="1:33" x14ac:dyDescent="0.2">
      <c r="A777" s="977"/>
      <c r="B777" s="977"/>
      <c r="C777" s="977"/>
      <c r="D777" s="977"/>
      <c r="E777" s="977"/>
      <c r="F777" s="977"/>
      <c r="G777" s="977"/>
      <c r="H777" s="977"/>
      <c r="I777" s="145"/>
      <c r="J777" s="145"/>
      <c r="K777" s="977"/>
      <c r="L777" s="977"/>
      <c r="M777" s="977"/>
      <c r="N777" s="977"/>
      <c r="O777" s="977"/>
      <c r="P777" s="977"/>
      <c r="Q777" s="977"/>
      <c r="R777" s="977"/>
      <c r="S777" s="977"/>
      <c r="T777" s="977"/>
      <c r="U777" s="977"/>
      <c r="V777" s="977"/>
      <c r="W777" s="977"/>
      <c r="X777" s="978"/>
      <c r="Y777" s="977"/>
      <c r="Z777" s="977"/>
      <c r="AA777" s="978"/>
      <c r="AB777" s="977"/>
      <c r="AC777" s="977"/>
      <c r="AD777" s="977"/>
      <c r="AE777" s="977"/>
      <c r="AF777" s="977"/>
      <c r="AG777" s="977"/>
    </row>
    <row r="778" spans="1:33" x14ac:dyDescent="0.2">
      <c r="A778" s="977"/>
      <c r="B778" s="977"/>
      <c r="C778" s="977"/>
      <c r="D778" s="977"/>
      <c r="E778" s="977"/>
      <c r="F778" s="977"/>
      <c r="G778" s="977"/>
      <c r="H778" s="977"/>
      <c r="I778" s="145"/>
      <c r="J778" s="145"/>
      <c r="K778" s="977"/>
      <c r="L778" s="977"/>
      <c r="M778" s="977"/>
      <c r="N778" s="977"/>
      <c r="O778" s="977"/>
      <c r="P778" s="977"/>
      <c r="Q778" s="977"/>
      <c r="R778" s="977"/>
      <c r="S778" s="977"/>
      <c r="T778" s="977"/>
      <c r="U778" s="977"/>
      <c r="V778" s="977"/>
      <c r="W778" s="977"/>
      <c r="X778" s="978"/>
      <c r="Y778" s="977"/>
      <c r="Z778" s="977"/>
      <c r="AA778" s="978"/>
      <c r="AB778" s="977"/>
      <c r="AC778" s="977"/>
      <c r="AD778" s="977"/>
      <c r="AE778" s="977"/>
      <c r="AF778" s="977"/>
      <c r="AG778" s="977"/>
    </row>
    <row r="779" spans="1:33" x14ac:dyDescent="0.2">
      <c r="A779" s="977"/>
      <c r="B779" s="977"/>
      <c r="C779" s="977"/>
      <c r="D779" s="977"/>
      <c r="E779" s="977"/>
      <c r="F779" s="977"/>
      <c r="G779" s="977"/>
      <c r="H779" s="977"/>
      <c r="I779" s="145"/>
      <c r="J779" s="145"/>
      <c r="K779" s="977"/>
      <c r="L779" s="977"/>
      <c r="M779" s="977"/>
      <c r="N779" s="977"/>
      <c r="O779" s="977"/>
      <c r="P779" s="977"/>
      <c r="Q779" s="977"/>
      <c r="R779" s="977"/>
      <c r="S779" s="977"/>
      <c r="T779" s="977"/>
      <c r="U779" s="977"/>
      <c r="V779" s="977"/>
      <c r="W779" s="977"/>
      <c r="X779" s="978"/>
      <c r="Y779" s="977"/>
      <c r="Z779" s="977"/>
      <c r="AA779" s="978"/>
      <c r="AB779" s="977"/>
      <c r="AC779" s="977"/>
      <c r="AD779" s="977"/>
      <c r="AE779" s="977"/>
      <c r="AF779" s="977"/>
      <c r="AG779" s="977"/>
    </row>
    <row r="780" spans="1:33" x14ac:dyDescent="0.2">
      <c r="A780" s="977"/>
      <c r="B780" s="977"/>
      <c r="C780" s="977"/>
      <c r="D780" s="977"/>
      <c r="E780" s="977"/>
      <c r="F780" s="977"/>
      <c r="G780" s="977"/>
      <c r="H780" s="977"/>
      <c r="I780" s="145"/>
      <c r="J780" s="145"/>
      <c r="K780" s="977"/>
      <c r="L780" s="977"/>
      <c r="M780" s="977"/>
      <c r="N780" s="977"/>
      <c r="O780" s="977"/>
      <c r="P780" s="977"/>
      <c r="Q780" s="977"/>
      <c r="R780" s="977"/>
      <c r="S780" s="977"/>
      <c r="T780" s="977"/>
      <c r="U780" s="977"/>
      <c r="V780" s="977"/>
      <c r="W780" s="977"/>
      <c r="X780" s="978"/>
      <c r="Y780" s="977"/>
      <c r="Z780" s="977"/>
      <c r="AA780" s="978"/>
      <c r="AB780" s="977"/>
      <c r="AC780" s="977"/>
      <c r="AD780" s="977"/>
      <c r="AE780" s="977"/>
      <c r="AF780" s="977"/>
      <c r="AG780" s="977"/>
    </row>
    <row r="781" spans="1:33" x14ac:dyDescent="0.2">
      <c r="A781" s="977"/>
      <c r="B781" s="977"/>
      <c r="C781" s="977"/>
      <c r="D781" s="977"/>
      <c r="E781" s="977"/>
      <c r="F781" s="977"/>
      <c r="G781" s="977"/>
      <c r="H781" s="977"/>
      <c r="I781" s="145"/>
      <c r="J781" s="145"/>
      <c r="K781" s="977"/>
      <c r="L781" s="977"/>
      <c r="M781" s="977"/>
      <c r="N781" s="977"/>
      <c r="O781" s="977"/>
      <c r="P781" s="977"/>
      <c r="Q781" s="977"/>
      <c r="R781" s="977"/>
      <c r="S781" s="977"/>
      <c r="T781" s="977"/>
      <c r="U781" s="977"/>
      <c r="V781" s="977"/>
      <c r="W781" s="977"/>
      <c r="X781" s="978"/>
      <c r="Y781" s="977"/>
      <c r="Z781" s="977"/>
      <c r="AA781" s="978"/>
      <c r="AB781" s="977"/>
      <c r="AC781" s="977"/>
      <c r="AD781" s="977"/>
      <c r="AE781" s="977"/>
      <c r="AF781" s="977"/>
      <c r="AG781" s="977"/>
    </row>
    <row r="782" spans="1:33" x14ac:dyDescent="0.2">
      <c r="A782" s="977"/>
      <c r="B782" s="977"/>
      <c r="C782" s="977"/>
      <c r="D782" s="977"/>
      <c r="E782" s="977"/>
      <c r="F782" s="977"/>
      <c r="G782" s="977"/>
      <c r="H782" s="977"/>
      <c r="I782" s="145"/>
      <c r="J782" s="145"/>
      <c r="K782" s="977"/>
      <c r="L782" s="977"/>
      <c r="M782" s="977"/>
      <c r="N782" s="977"/>
      <c r="O782" s="977"/>
      <c r="P782" s="977"/>
      <c r="Q782" s="977"/>
      <c r="R782" s="977"/>
      <c r="S782" s="977"/>
      <c r="T782" s="977"/>
      <c r="U782" s="977"/>
      <c r="V782" s="977"/>
      <c r="W782" s="977"/>
      <c r="X782" s="978"/>
      <c r="Y782" s="977"/>
      <c r="Z782" s="977"/>
      <c r="AA782" s="978"/>
      <c r="AB782" s="977"/>
      <c r="AC782" s="977"/>
      <c r="AD782" s="977"/>
      <c r="AE782" s="977"/>
      <c r="AF782" s="977"/>
      <c r="AG782" s="977"/>
    </row>
    <row r="783" spans="1:33" x14ac:dyDescent="0.2">
      <c r="A783" s="977"/>
      <c r="B783" s="977"/>
      <c r="C783" s="977"/>
      <c r="D783" s="977"/>
      <c r="E783" s="977"/>
      <c r="F783" s="977"/>
      <c r="G783" s="977"/>
      <c r="H783" s="977"/>
      <c r="I783" s="145"/>
      <c r="J783" s="145"/>
      <c r="K783" s="977"/>
      <c r="L783" s="977"/>
      <c r="M783" s="977"/>
      <c r="N783" s="977"/>
      <c r="O783" s="977"/>
      <c r="P783" s="977"/>
      <c r="Q783" s="977"/>
      <c r="R783" s="977"/>
      <c r="S783" s="977"/>
      <c r="T783" s="977"/>
      <c r="U783" s="977"/>
      <c r="V783" s="977"/>
      <c r="W783" s="977"/>
      <c r="X783" s="978"/>
      <c r="Y783" s="977"/>
      <c r="Z783" s="977"/>
      <c r="AA783" s="978"/>
      <c r="AB783" s="977"/>
      <c r="AC783" s="977"/>
      <c r="AD783" s="977"/>
      <c r="AE783" s="977"/>
      <c r="AF783" s="977"/>
      <c r="AG783" s="977"/>
    </row>
    <row r="784" spans="1:33" x14ac:dyDescent="0.2">
      <c r="A784" s="977"/>
      <c r="B784" s="977"/>
      <c r="C784" s="977"/>
      <c r="D784" s="977"/>
      <c r="E784" s="977"/>
      <c r="F784" s="977"/>
      <c r="G784" s="977"/>
      <c r="H784" s="977"/>
      <c r="I784" s="145"/>
      <c r="J784" s="145"/>
      <c r="K784" s="977"/>
      <c r="L784" s="977"/>
      <c r="M784" s="977"/>
      <c r="N784" s="977"/>
      <c r="O784" s="977"/>
      <c r="P784" s="977"/>
      <c r="Q784" s="977"/>
      <c r="R784" s="977"/>
      <c r="S784" s="977"/>
      <c r="T784" s="977"/>
      <c r="U784" s="977"/>
      <c r="V784" s="977"/>
      <c r="W784" s="977"/>
      <c r="X784" s="978"/>
      <c r="Y784" s="977"/>
      <c r="Z784" s="977"/>
      <c r="AA784" s="978"/>
      <c r="AB784" s="977"/>
      <c r="AC784" s="977"/>
      <c r="AD784" s="977"/>
      <c r="AE784" s="977"/>
      <c r="AF784" s="977"/>
      <c r="AG784" s="977"/>
    </row>
    <row r="785" spans="1:33" x14ac:dyDescent="0.2">
      <c r="A785" s="977"/>
      <c r="B785" s="977"/>
      <c r="C785" s="977"/>
      <c r="D785" s="977"/>
      <c r="E785" s="977"/>
      <c r="F785" s="977"/>
      <c r="G785" s="977"/>
      <c r="H785" s="977"/>
      <c r="I785" s="145"/>
      <c r="J785" s="145"/>
      <c r="K785" s="977"/>
      <c r="L785" s="977"/>
      <c r="M785" s="977"/>
      <c r="N785" s="977"/>
      <c r="O785" s="977"/>
      <c r="P785" s="977"/>
      <c r="Q785" s="977"/>
      <c r="R785" s="977"/>
      <c r="S785" s="977"/>
      <c r="T785" s="977"/>
      <c r="U785" s="977"/>
      <c r="V785" s="977"/>
      <c r="W785" s="977"/>
      <c r="X785" s="978"/>
      <c r="Y785" s="977"/>
      <c r="Z785" s="977"/>
      <c r="AA785" s="978"/>
      <c r="AB785" s="977"/>
      <c r="AC785" s="977"/>
      <c r="AD785" s="977"/>
      <c r="AE785" s="977"/>
      <c r="AF785" s="977"/>
      <c r="AG785" s="977"/>
    </row>
    <row r="786" spans="1:33" x14ac:dyDescent="0.2">
      <c r="A786" s="977"/>
      <c r="B786" s="977"/>
      <c r="C786" s="977"/>
      <c r="D786" s="977"/>
      <c r="E786" s="977"/>
      <c r="F786" s="977"/>
      <c r="G786" s="977"/>
      <c r="H786" s="977"/>
      <c r="I786" s="145"/>
      <c r="J786" s="145"/>
      <c r="K786" s="977"/>
      <c r="L786" s="977"/>
      <c r="M786" s="977"/>
      <c r="N786" s="977"/>
      <c r="O786" s="977"/>
      <c r="P786" s="977"/>
      <c r="Q786" s="977"/>
      <c r="R786" s="977"/>
      <c r="S786" s="977"/>
      <c r="T786" s="977"/>
      <c r="U786" s="977"/>
      <c r="V786" s="977"/>
      <c r="W786" s="977"/>
      <c r="X786" s="978"/>
      <c r="Y786" s="977"/>
      <c r="Z786" s="977"/>
      <c r="AA786" s="978"/>
      <c r="AB786" s="977"/>
      <c r="AC786" s="977"/>
      <c r="AD786" s="977"/>
      <c r="AE786" s="977"/>
      <c r="AF786" s="977"/>
      <c r="AG786" s="977"/>
    </row>
    <row r="787" spans="1:33" x14ac:dyDescent="0.2">
      <c r="A787" s="977"/>
      <c r="B787" s="977"/>
      <c r="C787" s="977"/>
      <c r="D787" s="977"/>
      <c r="E787" s="977"/>
      <c r="F787" s="977"/>
      <c r="G787" s="977"/>
      <c r="H787" s="977"/>
      <c r="I787" s="145"/>
      <c r="J787" s="145"/>
      <c r="K787" s="977"/>
      <c r="L787" s="977"/>
      <c r="M787" s="977"/>
      <c r="N787" s="977"/>
      <c r="O787" s="977"/>
      <c r="P787" s="977"/>
      <c r="Q787" s="977"/>
      <c r="R787" s="977"/>
      <c r="S787" s="977"/>
      <c r="T787" s="977"/>
      <c r="U787" s="977"/>
      <c r="V787" s="977"/>
      <c r="W787" s="977"/>
      <c r="X787" s="978"/>
      <c r="Y787" s="977"/>
      <c r="Z787" s="977"/>
      <c r="AA787" s="978"/>
      <c r="AB787" s="977"/>
      <c r="AC787" s="977"/>
      <c r="AD787" s="977"/>
      <c r="AE787" s="977"/>
      <c r="AF787" s="977"/>
      <c r="AG787" s="977"/>
    </row>
    <row r="788" spans="1:33" x14ac:dyDescent="0.2">
      <c r="A788" s="977"/>
      <c r="B788" s="977"/>
      <c r="C788" s="977"/>
      <c r="D788" s="977"/>
      <c r="E788" s="977"/>
      <c r="F788" s="977"/>
      <c r="G788" s="977"/>
      <c r="H788" s="977"/>
      <c r="I788" s="145"/>
      <c r="J788" s="145"/>
      <c r="K788" s="977"/>
      <c r="L788" s="977"/>
      <c r="M788" s="977"/>
      <c r="N788" s="977"/>
      <c r="O788" s="977"/>
      <c r="P788" s="977"/>
      <c r="Q788" s="977"/>
      <c r="R788" s="977"/>
      <c r="S788" s="977"/>
      <c r="T788" s="977"/>
      <c r="U788" s="977"/>
      <c r="V788" s="977"/>
      <c r="W788" s="977"/>
      <c r="X788" s="978"/>
      <c r="Y788" s="977"/>
      <c r="Z788" s="977"/>
      <c r="AA788" s="978"/>
      <c r="AB788" s="977"/>
      <c r="AC788" s="977"/>
      <c r="AD788" s="977"/>
      <c r="AE788" s="977"/>
      <c r="AF788" s="977"/>
      <c r="AG788" s="977"/>
    </row>
    <row r="789" spans="1:33" x14ac:dyDescent="0.2">
      <c r="A789" s="977"/>
      <c r="B789" s="977"/>
      <c r="C789" s="977"/>
      <c r="D789" s="977"/>
      <c r="E789" s="977"/>
      <c r="F789" s="977"/>
      <c r="G789" s="977"/>
      <c r="H789" s="977"/>
      <c r="I789" s="145"/>
      <c r="J789" s="145"/>
      <c r="K789" s="977"/>
      <c r="L789" s="977"/>
      <c r="M789" s="977"/>
      <c r="N789" s="977"/>
      <c r="O789" s="977"/>
      <c r="P789" s="977"/>
      <c r="Q789" s="977"/>
      <c r="R789" s="977"/>
      <c r="S789" s="977"/>
      <c r="T789" s="977"/>
      <c r="U789" s="977"/>
      <c r="V789" s="977"/>
      <c r="W789" s="977"/>
      <c r="X789" s="978"/>
      <c r="Y789" s="977"/>
      <c r="Z789" s="977"/>
      <c r="AA789" s="978"/>
      <c r="AB789" s="977"/>
      <c r="AC789" s="977"/>
      <c r="AD789" s="977"/>
      <c r="AE789" s="977"/>
      <c r="AF789" s="977"/>
      <c r="AG789" s="977"/>
    </row>
    <row r="790" spans="1:33" x14ac:dyDescent="0.2">
      <c r="A790" s="977"/>
      <c r="B790" s="977"/>
      <c r="C790" s="977"/>
      <c r="D790" s="977"/>
      <c r="E790" s="977"/>
      <c r="F790" s="977"/>
      <c r="G790" s="977"/>
      <c r="H790" s="977"/>
      <c r="I790" s="145"/>
      <c r="J790" s="145"/>
      <c r="K790" s="977"/>
      <c r="L790" s="977"/>
      <c r="M790" s="977"/>
      <c r="N790" s="977"/>
      <c r="O790" s="977"/>
      <c r="P790" s="977"/>
      <c r="Q790" s="977"/>
      <c r="R790" s="977"/>
      <c r="S790" s="977"/>
      <c r="T790" s="977"/>
      <c r="U790" s="977"/>
      <c r="V790" s="977"/>
      <c r="W790" s="977"/>
      <c r="X790" s="978"/>
      <c r="Y790" s="977"/>
      <c r="Z790" s="977"/>
      <c r="AA790" s="978"/>
      <c r="AB790" s="977"/>
      <c r="AC790" s="977"/>
      <c r="AD790" s="977"/>
      <c r="AE790" s="977"/>
      <c r="AF790" s="977"/>
      <c r="AG790" s="977"/>
    </row>
    <row r="791" spans="1:33" x14ac:dyDescent="0.2">
      <c r="A791" s="977"/>
      <c r="B791" s="977"/>
      <c r="C791" s="977"/>
      <c r="D791" s="977"/>
      <c r="E791" s="977"/>
      <c r="F791" s="977"/>
      <c r="G791" s="977"/>
      <c r="H791" s="977"/>
      <c r="I791" s="145"/>
      <c r="J791" s="145"/>
      <c r="K791" s="977"/>
      <c r="L791" s="977"/>
      <c r="M791" s="977"/>
      <c r="N791" s="977"/>
      <c r="O791" s="977"/>
      <c r="P791" s="977"/>
      <c r="Q791" s="977"/>
      <c r="R791" s="977"/>
      <c r="S791" s="977"/>
      <c r="T791" s="977"/>
      <c r="U791" s="977"/>
      <c r="V791" s="977"/>
      <c r="W791" s="977"/>
      <c r="X791" s="978"/>
      <c r="Y791" s="977"/>
      <c r="Z791" s="977"/>
      <c r="AA791" s="978"/>
      <c r="AB791" s="977"/>
      <c r="AC791" s="977"/>
      <c r="AD791" s="977"/>
      <c r="AE791" s="977"/>
      <c r="AF791" s="977"/>
      <c r="AG791" s="977"/>
    </row>
    <row r="792" spans="1:33" x14ac:dyDescent="0.2">
      <c r="A792" s="977"/>
      <c r="B792" s="977"/>
      <c r="C792" s="977"/>
      <c r="D792" s="977"/>
      <c r="E792" s="977"/>
      <c r="F792" s="977"/>
      <c r="G792" s="977"/>
      <c r="H792" s="977"/>
      <c r="I792" s="145"/>
      <c r="J792" s="145"/>
      <c r="K792" s="977"/>
      <c r="L792" s="977"/>
      <c r="M792" s="977"/>
      <c r="N792" s="977"/>
      <c r="O792" s="977"/>
      <c r="P792" s="977"/>
      <c r="Q792" s="977"/>
      <c r="R792" s="977"/>
      <c r="S792" s="977"/>
      <c r="T792" s="977"/>
      <c r="U792" s="977"/>
      <c r="V792" s="977"/>
      <c r="W792" s="977"/>
      <c r="X792" s="978"/>
      <c r="Y792" s="977"/>
      <c r="Z792" s="977"/>
      <c r="AA792" s="978"/>
      <c r="AB792" s="977"/>
      <c r="AC792" s="977"/>
      <c r="AD792" s="977"/>
      <c r="AE792" s="977"/>
      <c r="AF792" s="977"/>
      <c r="AG792" s="977"/>
    </row>
    <row r="793" spans="1:33" x14ac:dyDescent="0.2">
      <c r="A793" s="977"/>
      <c r="B793" s="977"/>
      <c r="C793" s="977"/>
      <c r="D793" s="977"/>
      <c r="E793" s="977"/>
      <c r="F793" s="977"/>
      <c r="G793" s="977"/>
      <c r="H793" s="977"/>
      <c r="I793" s="145"/>
      <c r="J793" s="145"/>
      <c r="K793" s="977"/>
      <c r="L793" s="977"/>
      <c r="M793" s="977"/>
      <c r="N793" s="977"/>
      <c r="O793" s="977"/>
      <c r="P793" s="977"/>
      <c r="Q793" s="977"/>
      <c r="R793" s="977"/>
      <c r="S793" s="977"/>
      <c r="T793" s="977"/>
      <c r="U793" s="977"/>
      <c r="V793" s="977"/>
      <c r="W793" s="977"/>
      <c r="X793" s="978"/>
      <c r="Y793" s="977"/>
      <c r="Z793" s="977"/>
      <c r="AA793" s="978"/>
      <c r="AB793" s="977"/>
      <c r="AC793" s="977"/>
      <c r="AD793" s="977"/>
      <c r="AE793" s="977"/>
      <c r="AF793" s="977"/>
      <c r="AG793" s="977"/>
    </row>
    <row r="794" spans="1:33" x14ac:dyDescent="0.2">
      <c r="A794" s="977"/>
      <c r="B794" s="977"/>
      <c r="C794" s="977"/>
      <c r="D794" s="977"/>
      <c r="E794" s="977"/>
      <c r="F794" s="977"/>
      <c r="G794" s="977"/>
      <c r="H794" s="977"/>
      <c r="I794" s="145"/>
      <c r="J794" s="145"/>
      <c r="K794" s="977"/>
      <c r="L794" s="977"/>
      <c r="M794" s="977"/>
      <c r="N794" s="977"/>
      <c r="O794" s="977"/>
      <c r="P794" s="977"/>
      <c r="Q794" s="977"/>
      <c r="R794" s="977"/>
      <c r="S794" s="977"/>
      <c r="T794" s="977"/>
      <c r="U794" s="977"/>
      <c r="V794" s="977"/>
      <c r="W794" s="977"/>
      <c r="X794" s="978"/>
      <c r="Y794" s="977"/>
      <c r="Z794" s="977"/>
      <c r="AA794" s="978"/>
      <c r="AB794" s="977"/>
      <c r="AC794" s="977"/>
      <c r="AD794" s="977"/>
      <c r="AE794" s="977"/>
      <c r="AF794" s="977"/>
      <c r="AG794" s="977"/>
    </row>
    <row r="795" spans="1:33" x14ac:dyDescent="0.2">
      <c r="A795" s="977"/>
      <c r="B795" s="977"/>
      <c r="C795" s="977"/>
      <c r="D795" s="977"/>
      <c r="E795" s="977"/>
      <c r="F795" s="977"/>
      <c r="G795" s="977"/>
      <c r="H795" s="977"/>
      <c r="I795" s="145"/>
      <c r="J795" s="145"/>
      <c r="K795" s="977"/>
      <c r="L795" s="977"/>
      <c r="M795" s="977"/>
      <c r="N795" s="977"/>
      <c r="O795" s="977"/>
      <c r="P795" s="977"/>
      <c r="Q795" s="977"/>
      <c r="R795" s="977"/>
      <c r="S795" s="977"/>
      <c r="T795" s="977"/>
      <c r="U795" s="977"/>
      <c r="V795" s="977"/>
      <c r="W795" s="977"/>
      <c r="X795" s="978"/>
      <c r="Y795" s="977"/>
      <c r="Z795" s="977"/>
      <c r="AA795" s="978"/>
      <c r="AB795" s="977"/>
      <c r="AC795" s="977"/>
      <c r="AD795" s="977"/>
      <c r="AE795" s="977"/>
      <c r="AF795" s="977"/>
      <c r="AG795" s="977"/>
    </row>
    <row r="796" spans="1:33" x14ac:dyDescent="0.2">
      <c r="A796" s="977"/>
      <c r="B796" s="977"/>
      <c r="C796" s="977"/>
      <c r="D796" s="977"/>
      <c r="E796" s="977"/>
      <c r="F796" s="977"/>
      <c r="G796" s="977"/>
      <c r="H796" s="977"/>
      <c r="I796" s="145"/>
      <c r="J796" s="145"/>
      <c r="K796" s="977"/>
      <c r="L796" s="977"/>
      <c r="M796" s="977"/>
      <c r="N796" s="977"/>
      <c r="O796" s="977"/>
      <c r="P796" s="977"/>
      <c r="Q796" s="977"/>
      <c r="R796" s="977"/>
      <c r="S796" s="977"/>
      <c r="T796" s="977"/>
      <c r="U796" s="977"/>
      <c r="V796" s="977"/>
      <c r="W796" s="977"/>
      <c r="X796" s="978"/>
      <c r="Y796" s="977"/>
      <c r="Z796" s="977"/>
      <c r="AA796" s="978"/>
      <c r="AB796" s="977"/>
      <c r="AC796" s="977"/>
      <c r="AD796" s="977"/>
      <c r="AE796" s="977"/>
      <c r="AF796" s="977"/>
      <c r="AG796" s="977"/>
    </row>
    <row r="797" spans="1:33" x14ac:dyDescent="0.2">
      <c r="A797" s="977"/>
      <c r="B797" s="977"/>
      <c r="C797" s="977"/>
      <c r="D797" s="977"/>
      <c r="E797" s="977"/>
      <c r="F797" s="977"/>
      <c r="G797" s="977"/>
      <c r="H797" s="977"/>
      <c r="I797" s="145"/>
      <c r="J797" s="145"/>
      <c r="K797" s="977"/>
      <c r="L797" s="977"/>
      <c r="M797" s="977"/>
      <c r="N797" s="977"/>
      <c r="O797" s="977"/>
      <c r="P797" s="977"/>
      <c r="Q797" s="977"/>
      <c r="R797" s="977"/>
      <c r="S797" s="977"/>
      <c r="T797" s="977"/>
      <c r="U797" s="977"/>
      <c r="V797" s="977"/>
      <c r="W797" s="977"/>
      <c r="X797" s="978"/>
      <c r="Y797" s="977"/>
      <c r="Z797" s="977"/>
      <c r="AA797" s="978"/>
      <c r="AB797" s="977"/>
      <c r="AC797" s="977"/>
      <c r="AD797" s="977"/>
      <c r="AE797" s="977"/>
      <c r="AF797" s="977"/>
      <c r="AG797" s="977"/>
    </row>
    <row r="798" spans="1:33" x14ac:dyDescent="0.2">
      <c r="A798" s="977"/>
      <c r="B798" s="977"/>
      <c r="C798" s="977"/>
      <c r="D798" s="977"/>
      <c r="E798" s="977"/>
      <c r="F798" s="977"/>
      <c r="G798" s="977"/>
      <c r="H798" s="977"/>
      <c r="I798" s="145"/>
      <c r="J798" s="145"/>
      <c r="K798" s="977"/>
      <c r="L798" s="977"/>
      <c r="M798" s="977"/>
      <c r="N798" s="977"/>
      <c r="O798" s="977"/>
      <c r="P798" s="977"/>
      <c r="Q798" s="977"/>
      <c r="R798" s="977"/>
      <c r="S798" s="977"/>
      <c r="T798" s="977"/>
      <c r="U798" s="977"/>
      <c r="V798" s="977"/>
      <c r="W798" s="977"/>
      <c r="X798" s="978"/>
      <c r="Y798" s="977"/>
      <c r="Z798" s="977"/>
      <c r="AA798" s="978"/>
      <c r="AB798" s="977"/>
      <c r="AC798" s="977"/>
      <c r="AD798" s="977"/>
      <c r="AE798" s="977"/>
      <c r="AF798" s="977"/>
      <c r="AG798" s="977"/>
    </row>
    <row r="799" spans="1:33" x14ac:dyDescent="0.2">
      <c r="A799" s="977"/>
      <c r="B799" s="977"/>
      <c r="C799" s="977"/>
      <c r="D799" s="977"/>
      <c r="E799" s="977"/>
      <c r="F799" s="977"/>
      <c r="G799" s="977"/>
      <c r="H799" s="977"/>
      <c r="I799" s="145"/>
      <c r="J799" s="145"/>
      <c r="K799" s="977"/>
      <c r="L799" s="977"/>
      <c r="M799" s="977"/>
      <c r="N799" s="977"/>
      <c r="O799" s="977"/>
      <c r="P799" s="977"/>
      <c r="Q799" s="977"/>
      <c r="R799" s="977"/>
      <c r="S799" s="977"/>
      <c r="T799" s="977"/>
      <c r="U799" s="977"/>
      <c r="V799" s="977"/>
      <c r="W799" s="977"/>
      <c r="X799" s="978"/>
      <c r="Y799" s="977"/>
      <c r="Z799" s="977"/>
      <c r="AA799" s="978"/>
      <c r="AB799" s="977"/>
      <c r="AC799" s="977"/>
      <c r="AD799" s="977"/>
      <c r="AE799" s="977"/>
      <c r="AF799" s="977"/>
      <c r="AG799" s="977"/>
    </row>
    <row r="800" spans="1:33" x14ac:dyDescent="0.2">
      <c r="A800" s="977"/>
      <c r="B800" s="977"/>
      <c r="C800" s="977"/>
      <c r="D800" s="977"/>
      <c r="E800" s="977"/>
      <c r="F800" s="977"/>
      <c r="G800" s="977"/>
      <c r="H800" s="977"/>
      <c r="I800" s="145"/>
      <c r="J800" s="145"/>
      <c r="K800" s="977"/>
      <c r="L800" s="977"/>
      <c r="M800" s="977"/>
      <c r="N800" s="977"/>
      <c r="O800" s="977"/>
      <c r="P800" s="977"/>
      <c r="Q800" s="977"/>
      <c r="R800" s="977"/>
      <c r="S800" s="977"/>
      <c r="T800" s="977"/>
      <c r="U800" s="977"/>
      <c r="V800" s="977"/>
      <c r="W800" s="977"/>
      <c r="X800" s="978"/>
      <c r="Y800" s="977"/>
      <c r="Z800" s="977"/>
      <c r="AA800" s="978"/>
      <c r="AB800" s="977"/>
      <c r="AC800" s="977"/>
      <c r="AD800" s="977"/>
      <c r="AE800" s="977"/>
      <c r="AF800" s="977"/>
      <c r="AG800" s="977"/>
    </row>
    <row r="801" spans="1:33" x14ac:dyDescent="0.2">
      <c r="A801" s="977"/>
      <c r="B801" s="977"/>
      <c r="C801" s="977"/>
      <c r="D801" s="977"/>
      <c r="E801" s="977"/>
      <c r="F801" s="977"/>
      <c r="G801" s="977"/>
      <c r="H801" s="977"/>
      <c r="I801" s="145"/>
      <c r="J801" s="145"/>
      <c r="K801" s="977"/>
      <c r="L801" s="977"/>
      <c r="M801" s="977"/>
      <c r="N801" s="977"/>
      <c r="O801" s="977"/>
      <c r="P801" s="977"/>
      <c r="Q801" s="977"/>
      <c r="R801" s="977"/>
      <c r="S801" s="977"/>
      <c r="T801" s="977"/>
      <c r="U801" s="977"/>
      <c r="V801" s="977"/>
      <c r="W801" s="977"/>
      <c r="X801" s="978"/>
      <c r="Y801" s="977"/>
      <c r="Z801" s="977"/>
      <c r="AA801" s="978"/>
      <c r="AB801" s="977"/>
      <c r="AC801" s="977"/>
      <c r="AD801" s="977"/>
      <c r="AE801" s="977"/>
      <c r="AF801" s="977"/>
      <c r="AG801" s="977"/>
    </row>
    <row r="802" spans="1:33" x14ac:dyDescent="0.2">
      <c r="A802" s="977"/>
      <c r="B802" s="977"/>
      <c r="C802" s="977"/>
      <c r="D802" s="977"/>
      <c r="E802" s="977"/>
      <c r="F802" s="977"/>
      <c r="G802" s="977"/>
      <c r="H802" s="977"/>
      <c r="I802" s="145"/>
      <c r="J802" s="145"/>
      <c r="K802" s="977"/>
      <c r="L802" s="977"/>
      <c r="M802" s="977"/>
      <c r="N802" s="977"/>
      <c r="O802" s="977"/>
      <c r="P802" s="977"/>
      <c r="Q802" s="977"/>
      <c r="R802" s="977"/>
      <c r="S802" s="977"/>
      <c r="T802" s="977"/>
      <c r="U802" s="977"/>
      <c r="V802" s="977"/>
      <c r="W802" s="977"/>
      <c r="X802" s="978"/>
      <c r="Y802" s="977"/>
      <c r="Z802" s="977"/>
      <c r="AA802" s="978"/>
      <c r="AB802" s="977"/>
      <c r="AC802" s="977"/>
      <c r="AD802" s="977"/>
      <c r="AE802" s="977"/>
      <c r="AF802" s="977"/>
      <c r="AG802" s="977"/>
    </row>
    <row r="803" spans="1:33" x14ac:dyDescent="0.2">
      <c r="A803" s="977"/>
      <c r="B803" s="977"/>
      <c r="C803" s="977"/>
      <c r="D803" s="977"/>
      <c r="E803" s="977"/>
      <c r="F803" s="977"/>
      <c r="G803" s="977"/>
      <c r="H803" s="977"/>
      <c r="I803" s="145"/>
      <c r="J803" s="145"/>
      <c r="K803" s="977"/>
      <c r="L803" s="977"/>
      <c r="M803" s="977"/>
      <c r="N803" s="977"/>
      <c r="O803" s="977"/>
      <c r="P803" s="977"/>
      <c r="Q803" s="977"/>
      <c r="R803" s="977"/>
      <c r="S803" s="977"/>
      <c r="T803" s="977"/>
      <c r="U803" s="977"/>
      <c r="V803" s="977"/>
      <c r="W803" s="977"/>
      <c r="X803" s="978"/>
      <c r="Y803" s="977"/>
      <c r="Z803" s="977"/>
      <c r="AA803" s="978"/>
      <c r="AB803" s="977"/>
      <c r="AC803" s="977"/>
      <c r="AD803" s="977"/>
      <c r="AE803" s="977"/>
      <c r="AF803" s="977"/>
      <c r="AG803" s="977"/>
    </row>
    <row r="804" spans="1:33" x14ac:dyDescent="0.2">
      <c r="A804" s="977"/>
      <c r="B804" s="977"/>
      <c r="C804" s="977"/>
      <c r="D804" s="977"/>
      <c r="E804" s="977"/>
      <c r="F804" s="977"/>
      <c r="G804" s="977"/>
      <c r="H804" s="977"/>
      <c r="I804" s="145"/>
      <c r="J804" s="145"/>
      <c r="K804" s="977"/>
      <c r="L804" s="977"/>
      <c r="M804" s="977"/>
      <c r="N804" s="977"/>
      <c r="O804" s="977"/>
      <c r="P804" s="977"/>
      <c r="Q804" s="977"/>
      <c r="R804" s="977"/>
      <c r="S804" s="977"/>
      <c r="T804" s="977"/>
      <c r="U804" s="977"/>
      <c r="V804" s="977"/>
      <c r="W804" s="977"/>
      <c r="X804" s="978"/>
      <c r="Y804" s="977"/>
      <c r="Z804" s="977"/>
      <c r="AA804" s="978"/>
      <c r="AB804" s="977"/>
      <c r="AC804" s="977"/>
      <c r="AD804" s="977"/>
      <c r="AE804" s="977"/>
      <c r="AF804" s="977"/>
      <c r="AG804" s="977"/>
    </row>
    <row r="805" spans="1:33" x14ac:dyDescent="0.2">
      <c r="A805" s="977"/>
      <c r="B805" s="977"/>
      <c r="C805" s="977"/>
      <c r="D805" s="977"/>
      <c r="E805" s="977"/>
      <c r="F805" s="977"/>
      <c r="G805" s="977"/>
      <c r="H805" s="977"/>
      <c r="I805" s="145"/>
      <c r="J805" s="145"/>
      <c r="K805" s="977"/>
      <c r="L805" s="977"/>
      <c r="M805" s="977"/>
      <c r="N805" s="977"/>
      <c r="O805" s="977"/>
      <c r="P805" s="977"/>
      <c r="Q805" s="977"/>
      <c r="R805" s="977"/>
      <c r="S805" s="977"/>
      <c r="T805" s="977"/>
      <c r="U805" s="977"/>
      <c r="V805" s="977"/>
      <c r="W805" s="977"/>
      <c r="X805" s="978"/>
      <c r="Y805" s="977"/>
      <c r="Z805" s="977"/>
      <c r="AA805" s="978"/>
      <c r="AB805" s="977"/>
      <c r="AC805" s="977"/>
      <c r="AD805" s="977"/>
      <c r="AE805" s="977"/>
      <c r="AF805" s="977"/>
      <c r="AG805" s="977"/>
    </row>
    <row r="806" spans="1:33" x14ac:dyDescent="0.2">
      <c r="A806" s="977"/>
      <c r="B806" s="977"/>
      <c r="C806" s="977"/>
      <c r="D806" s="977"/>
      <c r="E806" s="977"/>
      <c r="F806" s="977"/>
      <c r="G806" s="977"/>
      <c r="H806" s="977"/>
      <c r="I806" s="145"/>
      <c r="J806" s="145"/>
      <c r="K806" s="977"/>
      <c r="L806" s="977"/>
      <c r="M806" s="977"/>
      <c r="N806" s="977"/>
      <c r="O806" s="977"/>
      <c r="P806" s="977"/>
      <c r="Q806" s="977"/>
      <c r="R806" s="977"/>
      <c r="S806" s="977"/>
      <c r="T806" s="977"/>
      <c r="U806" s="977"/>
      <c r="V806" s="977"/>
      <c r="W806" s="977"/>
      <c r="X806" s="978"/>
      <c r="Y806" s="977"/>
      <c r="Z806" s="977"/>
      <c r="AA806" s="978"/>
      <c r="AB806" s="977"/>
      <c r="AC806" s="977"/>
      <c r="AD806" s="977"/>
      <c r="AE806" s="977"/>
      <c r="AF806" s="977"/>
      <c r="AG806" s="977"/>
    </row>
    <row r="807" spans="1:33" x14ac:dyDescent="0.2">
      <c r="A807" s="977"/>
      <c r="B807" s="977"/>
      <c r="C807" s="977"/>
      <c r="D807" s="977"/>
      <c r="E807" s="977"/>
      <c r="F807" s="977"/>
      <c r="G807" s="977"/>
      <c r="H807" s="977"/>
      <c r="I807" s="145"/>
      <c r="J807" s="145"/>
      <c r="K807" s="977"/>
      <c r="L807" s="977"/>
      <c r="M807" s="977"/>
      <c r="N807" s="977"/>
      <c r="O807" s="977"/>
      <c r="P807" s="977"/>
      <c r="Q807" s="977"/>
      <c r="R807" s="977"/>
      <c r="S807" s="977"/>
      <c r="T807" s="977"/>
      <c r="U807" s="977"/>
      <c r="V807" s="977"/>
      <c r="W807" s="977"/>
      <c r="X807" s="978"/>
      <c r="Y807" s="977"/>
      <c r="Z807" s="977"/>
      <c r="AA807" s="978"/>
      <c r="AB807" s="977"/>
      <c r="AC807" s="977"/>
      <c r="AD807" s="977"/>
      <c r="AE807" s="977"/>
      <c r="AF807" s="977"/>
      <c r="AG807" s="977"/>
    </row>
    <row r="808" spans="1:33" x14ac:dyDescent="0.2">
      <c r="A808" s="977"/>
      <c r="B808" s="977"/>
      <c r="C808" s="977"/>
      <c r="D808" s="977"/>
      <c r="E808" s="977"/>
      <c r="F808" s="977"/>
      <c r="G808" s="977"/>
      <c r="H808" s="977"/>
      <c r="I808" s="145"/>
      <c r="J808" s="145"/>
      <c r="K808" s="977"/>
      <c r="L808" s="977"/>
      <c r="M808" s="977"/>
      <c r="N808" s="977"/>
      <c r="O808" s="977"/>
      <c r="P808" s="977"/>
      <c r="Q808" s="977"/>
      <c r="R808" s="977"/>
      <c r="S808" s="977"/>
      <c r="T808" s="977"/>
      <c r="U808" s="977"/>
      <c r="V808" s="977"/>
      <c r="W808" s="977"/>
      <c r="X808" s="978"/>
      <c r="Y808" s="977"/>
      <c r="Z808" s="977"/>
      <c r="AA808" s="978"/>
      <c r="AB808" s="977"/>
      <c r="AC808" s="977"/>
      <c r="AD808" s="977"/>
      <c r="AE808" s="977"/>
      <c r="AF808" s="977"/>
      <c r="AG808" s="977"/>
    </row>
    <row r="809" spans="1:33" x14ac:dyDescent="0.2">
      <c r="A809" s="977"/>
      <c r="B809" s="977"/>
      <c r="C809" s="977"/>
      <c r="D809" s="977"/>
      <c r="E809" s="977"/>
      <c r="F809" s="977"/>
      <c r="G809" s="977"/>
      <c r="H809" s="977"/>
      <c r="I809" s="145"/>
      <c r="J809" s="145"/>
      <c r="K809" s="977"/>
      <c r="L809" s="977"/>
      <c r="M809" s="977"/>
      <c r="N809" s="977"/>
      <c r="O809" s="977"/>
      <c r="P809" s="977"/>
      <c r="Q809" s="977"/>
      <c r="R809" s="977"/>
      <c r="S809" s="977"/>
      <c r="T809" s="977"/>
      <c r="U809" s="977"/>
      <c r="V809" s="977"/>
      <c r="W809" s="977"/>
      <c r="X809" s="978"/>
      <c r="Y809" s="977"/>
      <c r="Z809" s="977"/>
      <c r="AA809" s="978"/>
      <c r="AB809" s="977"/>
      <c r="AC809" s="977"/>
      <c r="AD809" s="977"/>
      <c r="AE809" s="977"/>
      <c r="AF809" s="977"/>
      <c r="AG809" s="977"/>
    </row>
    <row r="810" spans="1:33" x14ac:dyDescent="0.2">
      <c r="A810" s="977"/>
      <c r="B810" s="977"/>
      <c r="C810" s="977"/>
      <c r="D810" s="977"/>
      <c r="E810" s="977"/>
      <c r="F810" s="977"/>
      <c r="G810" s="977"/>
      <c r="H810" s="977"/>
      <c r="I810" s="145"/>
      <c r="J810" s="145"/>
      <c r="K810" s="977"/>
      <c r="L810" s="977"/>
      <c r="M810" s="977"/>
      <c r="N810" s="977"/>
      <c r="O810" s="977"/>
      <c r="P810" s="977"/>
      <c r="Q810" s="977"/>
      <c r="R810" s="977"/>
      <c r="S810" s="977"/>
      <c r="T810" s="977"/>
      <c r="U810" s="977"/>
      <c r="V810" s="977"/>
      <c r="W810" s="977"/>
      <c r="X810" s="978"/>
      <c r="Y810" s="977"/>
      <c r="Z810" s="977"/>
      <c r="AA810" s="978"/>
      <c r="AB810" s="977"/>
      <c r="AC810" s="977"/>
      <c r="AD810" s="977"/>
      <c r="AE810" s="977"/>
      <c r="AF810" s="977"/>
      <c r="AG810" s="977"/>
    </row>
    <row r="811" spans="1:33" x14ac:dyDescent="0.2">
      <c r="A811" s="977"/>
      <c r="B811" s="977"/>
      <c r="C811" s="977"/>
      <c r="D811" s="977"/>
      <c r="E811" s="977"/>
      <c r="F811" s="977"/>
      <c r="G811" s="977"/>
      <c r="H811" s="977"/>
      <c r="I811" s="145"/>
      <c r="J811" s="145"/>
      <c r="K811" s="977"/>
      <c r="L811" s="977"/>
      <c r="M811" s="977"/>
      <c r="N811" s="977"/>
      <c r="O811" s="977"/>
      <c r="P811" s="977"/>
      <c r="Q811" s="977"/>
      <c r="R811" s="977"/>
      <c r="S811" s="977"/>
      <c r="T811" s="977"/>
      <c r="U811" s="977"/>
      <c r="V811" s="977"/>
      <c r="W811" s="977"/>
      <c r="X811" s="978"/>
      <c r="Y811" s="977"/>
      <c r="Z811" s="977"/>
      <c r="AA811" s="978"/>
      <c r="AB811" s="977"/>
      <c r="AC811" s="977"/>
      <c r="AD811" s="977"/>
      <c r="AE811" s="977"/>
      <c r="AF811" s="977"/>
      <c r="AG811" s="977"/>
    </row>
    <row r="812" spans="1:33" x14ac:dyDescent="0.2">
      <c r="A812" s="977"/>
      <c r="B812" s="977"/>
      <c r="C812" s="977"/>
      <c r="D812" s="977"/>
      <c r="E812" s="977"/>
      <c r="F812" s="977"/>
      <c r="G812" s="977"/>
      <c r="H812" s="977"/>
      <c r="I812" s="145"/>
      <c r="J812" s="145"/>
      <c r="K812" s="977"/>
      <c r="L812" s="977"/>
      <c r="M812" s="977"/>
      <c r="N812" s="977"/>
      <c r="O812" s="977"/>
      <c r="P812" s="977"/>
      <c r="Q812" s="977"/>
      <c r="R812" s="977"/>
      <c r="S812" s="977"/>
      <c r="T812" s="977"/>
      <c r="U812" s="977"/>
      <c r="V812" s="977"/>
      <c r="W812" s="977"/>
      <c r="X812" s="978"/>
      <c r="Y812" s="977"/>
      <c r="Z812" s="977"/>
      <c r="AA812" s="978"/>
      <c r="AB812" s="977"/>
      <c r="AC812" s="977"/>
      <c r="AD812" s="977"/>
      <c r="AE812" s="977"/>
      <c r="AF812" s="977"/>
      <c r="AG812" s="977"/>
    </row>
  </sheetData>
  <sheetProtection selectLockedCells="1"/>
  <mergeCells count="5">
    <mergeCell ref="AB5:AC5"/>
    <mergeCell ref="R6:S6"/>
    <mergeCell ref="AB6:AC6"/>
    <mergeCell ref="E5:F5"/>
    <mergeCell ref="R5:S5"/>
  </mergeCells>
  <phoneticPr fontId="118" type="noConversion"/>
  <dataValidations count="5">
    <dataValidation type="list" errorStyle="warning" allowBlank="1" showInputMessage="1" showErrorMessage="1" errorTitle="Pad - Signal Type" error="This should be the type of signal routed on the membrane._x000a_Power Force_x000a_Power Sense_x000a_AC, DC signal lines_x000a_RF signal lines_x000a_Ground (AGND, DGND, or just GND)_x000a_N/C for no connection" sqref="G9:G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G65545:G65547 JD65545:JD65547 SZ65545:SZ65547 ACV65545:ACV65547 AMR65545:AMR65547 AWN65545:AWN65547 BGJ65545:BGJ65547 BQF65545:BQF65547 CAB65545:CAB65547 CJX65545:CJX65547 CTT65545:CTT65547 DDP65545:DDP65547 DNL65545:DNL65547 DXH65545:DXH65547 EHD65545:EHD65547 EQZ65545:EQZ65547 FAV65545:FAV65547 FKR65545:FKR65547 FUN65545:FUN65547 GEJ65545:GEJ65547 GOF65545:GOF65547 GYB65545:GYB65547 HHX65545:HHX65547 HRT65545:HRT65547 IBP65545:IBP65547 ILL65545:ILL65547 IVH65545:IVH65547 JFD65545:JFD65547 JOZ65545:JOZ65547 JYV65545:JYV65547 KIR65545:KIR65547 KSN65545:KSN65547 LCJ65545:LCJ65547 LMF65545:LMF65547 LWB65545:LWB65547 MFX65545:MFX65547 MPT65545:MPT65547 MZP65545:MZP65547 NJL65545:NJL65547 NTH65545:NTH65547 ODD65545:ODD65547 OMZ65545:OMZ65547 OWV65545:OWV65547 PGR65545:PGR65547 PQN65545:PQN65547 QAJ65545:QAJ65547 QKF65545:QKF65547 QUB65545:QUB65547 RDX65545:RDX65547 RNT65545:RNT65547 RXP65545:RXP65547 SHL65545:SHL65547 SRH65545:SRH65547 TBD65545:TBD65547 TKZ65545:TKZ65547 TUV65545:TUV65547 UER65545:UER65547 UON65545:UON65547 UYJ65545:UYJ65547 VIF65545:VIF65547 VSB65545:VSB65547 WBX65545:WBX65547 WLT65545:WLT65547 WVP65545:WVP65547 G131081:G131083 JD131081:JD131083 SZ131081:SZ131083 ACV131081:ACV131083 AMR131081:AMR131083 AWN131081:AWN131083 BGJ131081:BGJ131083 BQF131081:BQF131083 CAB131081:CAB131083 CJX131081:CJX131083 CTT131081:CTT131083 DDP131081:DDP131083 DNL131081:DNL131083 DXH131081:DXH131083 EHD131081:EHD131083 EQZ131081:EQZ131083 FAV131081:FAV131083 FKR131081:FKR131083 FUN131081:FUN131083 GEJ131081:GEJ131083 GOF131081:GOF131083 GYB131081:GYB131083 HHX131081:HHX131083 HRT131081:HRT131083 IBP131081:IBP131083 ILL131081:ILL131083 IVH131081:IVH131083 JFD131081:JFD131083 JOZ131081:JOZ131083 JYV131081:JYV131083 KIR131081:KIR131083 KSN131081:KSN131083 LCJ131081:LCJ131083 LMF131081:LMF131083 LWB131081:LWB131083 MFX131081:MFX131083 MPT131081:MPT131083 MZP131081:MZP131083 NJL131081:NJL131083 NTH131081:NTH131083 ODD131081:ODD131083 OMZ131081:OMZ131083 OWV131081:OWV131083 PGR131081:PGR131083 PQN131081:PQN131083 QAJ131081:QAJ131083 QKF131081:QKF131083 QUB131081:QUB131083 RDX131081:RDX131083 RNT131081:RNT131083 RXP131081:RXP131083 SHL131081:SHL131083 SRH131081:SRH131083 TBD131081:TBD131083 TKZ131081:TKZ131083 TUV131081:TUV131083 UER131081:UER131083 UON131081:UON131083 UYJ131081:UYJ131083 VIF131081:VIF131083 VSB131081:VSB131083 WBX131081:WBX131083 WLT131081:WLT131083 WVP131081:WVP131083 G196617:G196619 JD196617:JD196619 SZ196617:SZ196619 ACV196617:ACV196619 AMR196617:AMR196619 AWN196617:AWN196619 BGJ196617:BGJ196619 BQF196617:BQF196619 CAB196617:CAB196619 CJX196617:CJX196619 CTT196617:CTT196619 DDP196617:DDP196619 DNL196617:DNL196619 DXH196617:DXH196619 EHD196617:EHD196619 EQZ196617:EQZ196619 FAV196617:FAV196619 FKR196617:FKR196619 FUN196617:FUN196619 GEJ196617:GEJ196619 GOF196617:GOF196619 GYB196617:GYB196619 HHX196617:HHX196619 HRT196617:HRT196619 IBP196617:IBP196619 ILL196617:ILL196619 IVH196617:IVH196619 JFD196617:JFD196619 JOZ196617:JOZ196619 JYV196617:JYV196619 KIR196617:KIR196619 KSN196617:KSN196619 LCJ196617:LCJ196619 LMF196617:LMF196619 LWB196617:LWB196619 MFX196617:MFX196619 MPT196617:MPT196619 MZP196617:MZP196619 NJL196617:NJL196619 NTH196617:NTH196619 ODD196617:ODD196619 OMZ196617:OMZ196619 OWV196617:OWV196619 PGR196617:PGR196619 PQN196617:PQN196619 QAJ196617:QAJ196619 QKF196617:QKF196619 QUB196617:QUB196619 RDX196617:RDX196619 RNT196617:RNT196619 RXP196617:RXP196619 SHL196617:SHL196619 SRH196617:SRH196619 TBD196617:TBD196619 TKZ196617:TKZ196619 TUV196617:TUV196619 UER196617:UER196619 UON196617:UON196619 UYJ196617:UYJ196619 VIF196617:VIF196619 VSB196617:VSB196619 WBX196617:WBX196619 WLT196617:WLT196619 WVP196617:WVP196619 G262153:G262155 JD262153:JD262155 SZ262153:SZ262155 ACV262153:ACV262155 AMR262153:AMR262155 AWN262153:AWN262155 BGJ262153:BGJ262155 BQF262153:BQF262155 CAB262153:CAB262155 CJX262153:CJX262155 CTT262153:CTT262155 DDP262153:DDP262155 DNL262153:DNL262155 DXH262153:DXH262155 EHD262153:EHD262155 EQZ262153:EQZ262155 FAV262153:FAV262155 FKR262153:FKR262155 FUN262153:FUN262155 GEJ262153:GEJ262155 GOF262153:GOF262155 GYB262153:GYB262155 HHX262153:HHX262155 HRT262153:HRT262155 IBP262153:IBP262155 ILL262153:ILL262155 IVH262153:IVH262155 JFD262153:JFD262155 JOZ262153:JOZ262155 JYV262153:JYV262155 KIR262153:KIR262155 KSN262153:KSN262155 LCJ262153:LCJ262155 LMF262153:LMF262155 LWB262153:LWB262155 MFX262153:MFX262155 MPT262153:MPT262155 MZP262153:MZP262155 NJL262153:NJL262155 NTH262153:NTH262155 ODD262153:ODD262155 OMZ262153:OMZ262155 OWV262153:OWV262155 PGR262153:PGR262155 PQN262153:PQN262155 QAJ262153:QAJ262155 QKF262153:QKF262155 QUB262153:QUB262155 RDX262153:RDX262155 RNT262153:RNT262155 RXP262153:RXP262155 SHL262153:SHL262155 SRH262153:SRH262155 TBD262153:TBD262155 TKZ262153:TKZ262155 TUV262153:TUV262155 UER262153:UER262155 UON262153:UON262155 UYJ262153:UYJ262155 VIF262153:VIF262155 VSB262153:VSB262155 WBX262153:WBX262155 WLT262153:WLT262155 WVP262153:WVP262155 G327689:G327691 JD327689:JD327691 SZ327689:SZ327691 ACV327689:ACV327691 AMR327689:AMR327691 AWN327689:AWN327691 BGJ327689:BGJ327691 BQF327689:BQF327691 CAB327689:CAB327691 CJX327689:CJX327691 CTT327689:CTT327691 DDP327689:DDP327691 DNL327689:DNL327691 DXH327689:DXH327691 EHD327689:EHD327691 EQZ327689:EQZ327691 FAV327689:FAV327691 FKR327689:FKR327691 FUN327689:FUN327691 GEJ327689:GEJ327691 GOF327689:GOF327691 GYB327689:GYB327691 HHX327689:HHX327691 HRT327689:HRT327691 IBP327689:IBP327691 ILL327689:ILL327691 IVH327689:IVH327691 JFD327689:JFD327691 JOZ327689:JOZ327691 JYV327689:JYV327691 KIR327689:KIR327691 KSN327689:KSN327691 LCJ327689:LCJ327691 LMF327689:LMF327691 LWB327689:LWB327691 MFX327689:MFX327691 MPT327689:MPT327691 MZP327689:MZP327691 NJL327689:NJL327691 NTH327689:NTH327691 ODD327689:ODD327691 OMZ327689:OMZ327691 OWV327689:OWV327691 PGR327689:PGR327691 PQN327689:PQN327691 QAJ327689:QAJ327691 QKF327689:QKF327691 QUB327689:QUB327691 RDX327689:RDX327691 RNT327689:RNT327691 RXP327689:RXP327691 SHL327689:SHL327691 SRH327689:SRH327691 TBD327689:TBD327691 TKZ327689:TKZ327691 TUV327689:TUV327691 UER327689:UER327691 UON327689:UON327691 UYJ327689:UYJ327691 VIF327689:VIF327691 VSB327689:VSB327691 WBX327689:WBX327691 WLT327689:WLT327691 WVP327689:WVP327691 G393225:G393227 JD393225:JD393227 SZ393225:SZ393227 ACV393225:ACV393227 AMR393225:AMR393227 AWN393225:AWN393227 BGJ393225:BGJ393227 BQF393225:BQF393227 CAB393225:CAB393227 CJX393225:CJX393227 CTT393225:CTT393227 DDP393225:DDP393227 DNL393225:DNL393227 DXH393225:DXH393227 EHD393225:EHD393227 EQZ393225:EQZ393227 FAV393225:FAV393227 FKR393225:FKR393227 FUN393225:FUN393227 GEJ393225:GEJ393227 GOF393225:GOF393227 GYB393225:GYB393227 HHX393225:HHX393227 HRT393225:HRT393227 IBP393225:IBP393227 ILL393225:ILL393227 IVH393225:IVH393227 JFD393225:JFD393227 JOZ393225:JOZ393227 JYV393225:JYV393227 KIR393225:KIR393227 KSN393225:KSN393227 LCJ393225:LCJ393227 LMF393225:LMF393227 LWB393225:LWB393227 MFX393225:MFX393227 MPT393225:MPT393227 MZP393225:MZP393227 NJL393225:NJL393227 NTH393225:NTH393227 ODD393225:ODD393227 OMZ393225:OMZ393227 OWV393225:OWV393227 PGR393225:PGR393227 PQN393225:PQN393227 QAJ393225:QAJ393227 QKF393225:QKF393227 QUB393225:QUB393227 RDX393225:RDX393227 RNT393225:RNT393227 RXP393225:RXP393227 SHL393225:SHL393227 SRH393225:SRH393227 TBD393225:TBD393227 TKZ393225:TKZ393227 TUV393225:TUV393227 UER393225:UER393227 UON393225:UON393227 UYJ393225:UYJ393227 VIF393225:VIF393227 VSB393225:VSB393227 WBX393225:WBX393227 WLT393225:WLT393227 WVP393225:WVP393227 G458761:G458763 JD458761:JD458763 SZ458761:SZ458763 ACV458761:ACV458763 AMR458761:AMR458763 AWN458761:AWN458763 BGJ458761:BGJ458763 BQF458761:BQF458763 CAB458761:CAB458763 CJX458761:CJX458763 CTT458761:CTT458763 DDP458761:DDP458763 DNL458761:DNL458763 DXH458761:DXH458763 EHD458761:EHD458763 EQZ458761:EQZ458763 FAV458761:FAV458763 FKR458761:FKR458763 FUN458761:FUN458763 GEJ458761:GEJ458763 GOF458761:GOF458763 GYB458761:GYB458763 HHX458761:HHX458763 HRT458761:HRT458763 IBP458761:IBP458763 ILL458761:ILL458763 IVH458761:IVH458763 JFD458761:JFD458763 JOZ458761:JOZ458763 JYV458761:JYV458763 KIR458761:KIR458763 KSN458761:KSN458763 LCJ458761:LCJ458763 LMF458761:LMF458763 LWB458761:LWB458763 MFX458761:MFX458763 MPT458761:MPT458763 MZP458761:MZP458763 NJL458761:NJL458763 NTH458761:NTH458763 ODD458761:ODD458763 OMZ458761:OMZ458763 OWV458761:OWV458763 PGR458761:PGR458763 PQN458761:PQN458763 QAJ458761:QAJ458763 QKF458761:QKF458763 QUB458761:QUB458763 RDX458761:RDX458763 RNT458761:RNT458763 RXP458761:RXP458763 SHL458761:SHL458763 SRH458761:SRH458763 TBD458761:TBD458763 TKZ458761:TKZ458763 TUV458761:TUV458763 UER458761:UER458763 UON458761:UON458763 UYJ458761:UYJ458763 VIF458761:VIF458763 VSB458761:VSB458763 WBX458761:WBX458763 WLT458761:WLT458763 WVP458761:WVP458763 G524297:G524299 JD524297:JD524299 SZ524297:SZ524299 ACV524297:ACV524299 AMR524297:AMR524299 AWN524297:AWN524299 BGJ524297:BGJ524299 BQF524297:BQF524299 CAB524297:CAB524299 CJX524297:CJX524299 CTT524297:CTT524299 DDP524297:DDP524299 DNL524297:DNL524299 DXH524297:DXH524299 EHD524297:EHD524299 EQZ524297:EQZ524299 FAV524297:FAV524299 FKR524297:FKR524299 FUN524297:FUN524299 GEJ524297:GEJ524299 GOF524297:GOF524299 GYB524297:GYB524299 HHX524297:HHX524299 HRT524297:HRT524299 IBP524297:IBP524299 ILL524297:ILL524299 IVH524297:IVH524299 JFD524297:JFD524299 JOZ524297:JOZ524299 JYV524297:JYV524299 KIR524297:KIR524299 KSN524297:KSN524299 LCJ524297:LCJ524299 LMF524297:LMF524299 LWB524297:LWB524299 MFX524297:MFX524299 MPT524297:MPT524299 MZP524297:MZP524299 NJL524297:NJL524299 NTH524297:NTH524299 ODD524297:ODD524299 OMZ524297:OMZ524299 OWV524297:OWV524299 PGR524297:PGR524299 PQN524297:PQN524299 QAJ524297:QAJ524299 QKF524297:QKF524299 QUB524297:QUB524299 RDX524297:RDX524299 RNT524297:RNT524299 RXP524297:RXP524299 SHL524297:SHL524299 SRH524297:SRH524299 TBD524297:TBD524299 TKZ524297:TKZ524299 TUV524297:TUV524299 UER524297:UER524299 UON524297:UON524299 UYJ524297:UYJ524299 VIF524297:VIF524299 VSB524297:VSB524299 WBX524297:WBX524299 WLT524297:WLT524299 WVP524297:WVP524299 G589833:G589835 JD589833:JD589835 SZ589833:SZ589835 ACV589833:ACV589835 AMR589833:AMR589835 AWN589833:AWN589835 BGJ589833:BGJ589835 BQF589833:BQF589835 CAB589833:CAB589835 CJX589833:CJX589835 CTT589833:CTT589835 DDP589833:DDP589835 DNL589833:DNL589835 DXH589833:DXH589835 EHD589833:EHD589835 EQZ589833:EQZ589835 FAV589833:FAV589835 FKR589833:FKR589835 FUN589833:FUN589835 GEJ589833:GEJ589835 GOF589833:GOF589835 GYB589833:GYB589835 HHX589833:HHX589835 HRT589833:HRT589835 IBP589833:IBP589835 ILL589833:ILL589835 IVH589833:IVH589835 JFD589833:JFD589835 JOZ589833:JOZ589835 JYV589833:JYV589835 KIR589833:KIR589835 KSN589833:KSN589835 LCJ589833:LCJ589835 LMF589833:LMF589835 LWB589833:LWB589835 MFX589833:MFX589835 MPT589833:MPT589835 MZP589833:MZP589835 NJL589833:NJL589835 NTH589833:NTH589835 ODD589833:ODD589835 OMZ589833:OMZ589835 OWV589833:OWV589835 PGR589833:PGR589835 PQN589833:PQN589835 QAJ589833:QAJ589835 QKF589833:QKF589835 QUB589833:QUB589835 RDX589833:RDX589835 RNT589833:RNT589835 RXP589833:RXP589835 SHL589833:SHL589835 SRH589833:SRH589835 TBD589833:TBD589835 TKZ589833:TKZ589835 TUV589833:TUV589835 UER589833:UER589835 UON589833:UON589835 UYJ589833:UYJ589835 VIF589833:VIF589835 VSB589833:VSB589835 WBX589833:WBX589835 WLT589833:WLT589835 WVP589833:WVP589835 G655369:G655371 JD655369:JD655371 SZ655369:SZ655371 ACV655369:ACV655371 AMR655369:AMR655371 AWN655369:AWN655371 BGJ655369:BGJ655371 BQF655369:BQF655371 CAB655369:CAB655371 CJX655369:CJX655371 CTT655369:CTT655371 DDP655369:DDP655371 DNL655369:DNL655371 DXH655369:DXH655371 EHD655369:EHD655371 EQZ655369:EQZ655371 FAV655369:FAV655371 FKR655369:FKR655371 FUN655369:FUN655371 GEJ655369:GEJ655371 GOF655369:GOF655371 GYB655369:GYB655371 HHX655369:HHX655371 HRT655369:HRT655371 IBP655369:IBP655371 ILL655369:ILL655371 IVH655369:IVH655371 JFD655369:JFD655371 JOZ655369:JOZ655371 JYV655369:JYV655371 KIR655369:KIR655371 KSN655369:KSN655371 LCJ655369:LCJ655371 LMF655369:LMF655371 LWB655369:LWB655371 MFX655369:MFX655371 MPT655369:MPT655371 MZP655369:MZP655371 NJL655369:NJL655371 NTH655369:NTH655371 ODD655369:ODD655371 OMZ655369:OMZ655371 OWV655369:OWV655371 PGR655369:PGR655371 PQN655369:PQN655371 QAJ655369:QAJ655371 QKF655369:QKF655371 QUB655369:QUB655371 RDX655369:RDX655371 RNT655369:RNT655371 RXP655369:RXP655371 SHL655369:SHL655371 SRH655369:SRH655371 TBD655369:TBD655371 TKZ655369:TKZ655371 TUV655369:TUV655371 UER655369:UER655371 UON655369:UON655371 UYJ655369:UYJ655371 VIF655369:VIF655371 VSB655369:VSB655371 WBX655369:WBX655371 WLT655369:WLT655371 WVP655369:WVP655371 G720905:G720907 JD720905:JD720907 SZ720905:SZ720907 ACV720905:ACV720907 AMR720905:AMR720907 AWN720905:AWN720907 BGJ720905:BGJ720907 BQF720905:BQF720907 CAB720905:CAB720907 CJX720905:CJX720907 CTT720905:CTT720907 DDP720905:DDP720907 DNL720905:DNL720907 DXH720905:DXH720907 EHD720905:EHD720907 EQZ720905:EQZ720907 FAV720905:FAV720907 FKR720905:FKR720907 FUN720905:FUN720907 GEJ720905:GEJ720907 GOF720905:GOF720907 GYB720905:GYB720907 HHX720905:HHX720907 HRT720905:HRT720907 IBP720905:IBP720907 ILL720905:ILL720907 IVH720905:IVH720907 JFD720905:JFD720907 JOZ720905:JOZ720907 JYV720905:JYV720907 KIR720905:KIR720907 KSN720905:KSN720907 LCJ720905:LCJ720907 LMF720905:LMF720907 LWB720905:LWB720907 MFX720905:MFX720907 MPT720905:MPT720907 MZP720905:MZP720907 NJL720905:NJL720907 NTH720905:NTH720907 ODD720905:ODD720907 OMZ720905:OMZ720907 OWV720905:OWV720907 PGR720905:PGR720907 PQN720905:PQN720907 QAJ720905:QAJ720907 QKF720905:QKF720907 QUB720905:QUB720907 RDX720905:RDX720907 RNT720905:RNT720907 RXP720905:RXP720907 SHL720905:SHL720907 SRH720905:SRH720907 TBD720905:TBD720907 TKZ720905:TKZ720907 TUV720905:TUV720907 UER720905:UER720907 UON720905:UON720907 UYJ720905:UYJ720907 VIF720905:VIF720907 VSB720905:VSB720907 WBX720905:WBX720907 WLT720905:WLT720907 WVP720905:WVP720907 G786441:G786443 JD786441:JD786443 SZ786441:SZ786443 ACV786441:ACV786443 AMR786441:AMR786443 AWN786441:AWN786443 BGJ786441:BGJ786443 BQF786441:BQF786443 CAB786441:CAB786443 CJX786441:CJX786443 CTT786441:CTT786443 DDP786441:DDP786443 DNL786441:DNL786443 DXH786441:DXH786443 EHD786441:EHD786443 EQZ786441:EQZ786443 FAV786441:FAV786443 FKR786441:FKR786443 FUN786441:FUN786443 GEJ786441:GEJ786443 GOF786441:GOF786443 GYB786441:GYB786443 HHX786441:HHX786443 HRT786441:HRT786443 IBP786441:IBP786443 ILL786441:ILL786443 IVH786441:IVH786443 JFD786441:JFD786443 JOZ786441:JOZ786443 JYV786441:JYV786443 KIR786441:KIR786443 KSN786441:KSN786443 LCJ786441:LCJ786443 LMF786441:LMF786443 LWB786441:LWB786443 MFX786441:MFX786443 MPT786441:MPT786443 MZP786441:MZP786443 NJL786441:NJL786443 NTH786441:NTH786443 ODD786441:ODD786443 OMZ786441:OMZ786443 OWV786441:OWV786443 PGR786441:PGR786443 PQN786441:PQN786443 QAJ786441:QAJ786443 QKF786441:QKF786443 QUB786441:QUB786443 RDX786441:RDX786443 RNT786441:RNT786443 RXP786441:RXP786443 SHL786441:SHL786443 SRH786441:SRH786443 TBD786441:TBD786443 TKZ786441:TKZ786443 TUV786441:TUV786443 UER786441:UER786443 UON786441:UON786443 UYJ786441:UYJ786443 VIF786441:VIF786443 VSB786441:VSB786443 WBX786441:WBX786443 WLT786441:WLT786443 WVP786441:WVP786443 G851977:G851979 JD851977:JD851979 SZ851977:SZ851979 ACV851977:ACV851979 AMR851977:AMR851979 AWN851977:AWN851979 BGJ851977:BGJ851979 BQF851977:BQF851979 CAB851977:CAB851979 CJX851977:CJX851979 CTT851977:CTT851979 DDP851977:DDP851979 DNL851977:DNL851979 DXH851977:DXH851979 EHD851977:EHD851979 EQZ851977:EQZ851979 FAV851977:FAV851979 FKR851977:FKR851979 FUN851977:FUN851979 GEJ851977:GEJ851979 GOF851977:GOF851979 GYB851977:GYB851979 HHX851977:HHX851979 HRT851977:HRT851979 IBP851977:IBP851979 ILL851977:ILL851979 IVH851977:IVH851979 JFD851977:JFD851979 JOZ851977:JOZ851979 JYV851977:JYV851979 KIR851977:KIR851979 KSN851977:KSN851979 LCJ851977:LCJ851979 LMF851977:LMF851979 LWB851977:LWB851979 MFX851977:MFX851979 MPT851977:MPT851979 MZP851977:MZP851979 NJL851977:NJL851979 NTH851977:NTH851979 ODD851977:ODD851979 OMZ851977:OMZ851979 OWV851977:OWV851979 PGR851977:PGR851979 PQN851977:PQN851979 QAJ851977:QAJ851979 QKF851977:QKF851979 QUB851977:QUB851979 RDX851977:RDX851979 RNT851977:RNT851979 RXP851977:RXP851979 SHL851977:SHL851979 SRH851977:SRH851979 TBD851977:TBD851979 TKZ851977:TKZ851979 TUV851977:TUV851979 UER851977:UER851979 UON851977:UON851979 UYJ851977:UYJ851979 VIF851977:VIF851979 VSB851977:VSB851979 WBX851977:WBX851979 WLT851977:WLT851979 WVP851977:WVP851979 G917513:G917515 JD917513:JD917515 SZ917513:SZ917515 ACV917513:ACV917515 AMR917513:AMR917515 AWN917513:AWN917515 BGJ917513:BGJ917515 BQF917513:BQF917515 CAB917513:CAB917515 CJX917513:CJX917515 CTT917513:CTT917515 DDP917513:DDP917515 DNL917513:DNL917515 DXH917513:DXH917515 EHD917513:EHD917515 EQZ917513:EQZ917515 FAV917513:FAV917515 FKR917513:FKR917515 FUN917513:FUN917515 GEJ917513:GEJ917515 GOF917513:GOF917515 GYB917513:GYB917515 HHX917513:HHX917515 HRT917513:HRT917515 IBP917513:IBP917515 ILL917513:ILL917515 IVH917513:IVH917515 JFD917513:JFD917515 JOZ917513:JOZ917515 JYV917513:JYV917515 KIR917513:KIR917515 KSN917513:KSN917515 LCJ917513:LCJ917515 LMF917513:LMF917515 LWB917513:LWB917515 MFX917513:MFX917515 MPT917513:MPT917515 MZP917513:MZP917515 NJL917513:NJL917515 NTH917513:NTH917515 ODD917513:ODD917515 OMZ917513:OMZ917515 OWV917513:OWV917515 PGR917513:PGR917515 PQN917513:PQN917515 QAJ917513:QAJ917515 QKF917513:QKF917515 QUB917513:QUB917515 RDX917513:RDX917515 RNT917513:RNT917515 RXP917513:RXP917515 SHL917513:SHL917515 SRH917513:SRH917515 TBD917513:TBD917515 TKZ917513:TKZ917515 TUV917513:TUV917515 UER917513:UER917515 UON917513:UON917515 UYJ917513:UYJ917515 VIF917513:VIF917515 VSB917513:VSB917515 WBX917513:WBX917515 WLT917513:WLT917515 WVP917513:WVP917515 G983049:G983051 JD983049:JD983051 SZ983049:SZ983051 ACV983049:ACV983051 AMR983049:AMR983051 AWN983049:AWN983051 BGJ983049:BGJ983051 BQF983049:BQF983051 CAB983049:CAB983051 CJX983049:CJX983051 CTT983049:CTT983051 DDP983049:DDP983051 DNL983049:DNL983051 DXH983049:DXH983051 EHD983049:EHD983051 EQZ983049:EQZ983051 FAV983049:FAV983051 FKR983049:FKR983051 FUN983049:FUN983051 GEJ983049:GEJ983051 GOF983049:GOF983051 GYB983049:GYB983051 HHX983049:HHX983051 HRT983049:HRT983051 IBP983049:IBP983051 ILL983049:ILL983051 IVH983049:IVH983051 JFD983049:JFD983051 JOZ983049:JOZ983051 JYV983049:JYV983051 KIR983049:KIR983051 KSN983049:KSN983051 LCJ983049:LCJ983051 LMF983049:LMF983051 LWB983049:LWB983051 MFX983049:MFX983051 MPT983049:MPT983051 MZP983049:MZP983051 NJL983049:NJL983051 NTH983049:NTH983051 ODD983049:ODD983051 OMZ983049:OMZ983051 OWV983049:OWV983051 PGR983049:PGR983051 PQN983049:PQN983051 QAJ983049:QAJ983051 QKF983049:QKF983051 QUB983049:QUB983051 RDX983049:RDX983051 RNT983049:RNT983051 RXP983049:RXP983051 SHL983049:SHL983051 SRH983049:SRH983051 TBD983049:TBD983051 TKZ983049:TKZ983051 TUV983049:TUV983051 UER983049:UER983051 UON983049:UON983051 UYJ983049:UYJ983051 VIF983049:VIF983051 VSB983049:VSB983051 WBX983049:WBX983051 WLT983049:WLT983051 WVP983049:WVP983051">
      <formula1>"DC, AC, GND, RF, P, P-sense, N/C"</formula1>
    </dataValidation>
    <dataValidation type="list" allowBlank="1" showInputMessage="1" showErrorMessage="1" sqref="F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F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F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F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F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F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F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F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F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F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F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F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F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F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F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F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formula1>"  ), LL ), LR ), UL ), UR ), Center)"</formula1>
    </dataValidation>
    <dataValidation type="decimal" allowBlank="1" showInputMessage="1" showErrorMessage="1" sqref="K12:M812 JG12:JI812 TC12:TE812 ACY12:ADA812 AMU12:AMW812 AWQ12:AWS812 BGM12:BGO812 BQI12:BQK812 CAE12:CAG812 CKA12:CKC812 CTW12:CTY812 DDS12:DDU812 DNO12:DNQ812 DXK12:DXM812 EHG12:EHI812 ERC12:ERE812 FAY12:FBA812 FKU12:FKW812 FUQ12:FUS812 GEM12:GEO812 GOI12:GOK812 GYE12:GYG812 HIA12:HIC812 HRW12:HRY812 IBS12:IBU812 ILO12:ILQ812 IVK12:IVM812 JFG12:JFI812 JPC12:JPE812 JYY12:JZA812 KIU12:KIW812 KSQ12:KSS812 LCM12:LCO812 LMI12:LMK812 LWE12:LWG812 MGA12:MGC812 MPW12:MPY812 MZS12:MZU812 NJO12:NJQ812 NTK12:NTM812 ODG12:ODI812 ONC12:ONE812 OWY12:OXA812 PGU12:PGW812 PQQ12:PQS812 QAM12:QAO812 QKI12:QKK812 QUE12:QUG812 REA12:REC812 RNW12:RNY812 RXS12:RXU812 SHO12:SHQ812 SRK12:SRM812 TBG12:TBI812 TLC12:TLE812 TUY12:TVA812 UEU12:UEW812 UOQ12:UOS812 UYM12:UYO812 VII12:VIK812 VSE12:VSG812 WCA12:WCC812 WLW12:WLY812 WVS12:WVU812 K65548:M66348 JG65548:JI66348 TC65548:TE66348 ACY65548:ADA66348 AMU65548:AMW66348 AWQ65548:AWS66348 BGM65548:BGO66348 BQI65548:BQK66348 CAE65548:CAG66348 CKA65548:CKC66348 CTW65548:CTY66348 DDS65548:DDU66348 DNO65548:DNQ66348 DXK65548:DXM66348 EHG65548:EHI66348 ERC65548:ERE66348 FAY65548:FBA66348 FKU65548:FKW66348 FUQ65548:FUS66348 GEM65548:GEO66348 GOI65548:GOK66348 GYE65548:GYG66348 HIA65548:HIC66348 HRW65548:HRY66348 IBS65548:IBU66348 ILO65548:ILQ66348 IVK65548:IVM66348 JFG65548:JFI66348 JPC65548:JPE66348 JYY65548:JZA66348 KIU65548:KIW66348 KSQ65548:KSS66348 LCM65548:LCO66348 LMI65548:LMK66348 LWE65548:LWG66348 MGA65548:MGC66348 MPW65548:MPY66348 MZS65548:MZU66348 NJO65548:NJQ66348 NTK65548:NTM66348 ODG65548:ODI66348 ONC65548:ONE66348 OWY65548:OXA66348 PGU65548:PGW66348 PQQ65548:PQS66348 QAM65548:QAO66348 QKI65548:QKK66348 QUE65548:QUG66348 REA65548:REC66348 RNW65548:RNY66348 RXS65548:RXU66348 SHO65548:SHQ66348 SRK65548:SRM66348 TBG65548:TBI66348 TLC65548:TLE66348 TUY65548:TVA66348 UEU65548:UEW66348 UOQ65548:UOS66348 UYM65548:UYO66348 VII65548:VIK66348 VSE65548:VSG66348 WCA65548:WCC66348 WLW65548:WLY66348 WVS65548:WVU66348 K131084:M131884 JG131084:JI131884 TC131084:TE131884 ACY131084:ADA131884 AMU131084:AMW131884 AWQ131084:AWS131884 BGM131084:BGO131884 BQI131084:BQK131884 CAE131084:CAG131884 CKA131084:CKC131884 CTW131084:CTY131884 DDS131084:DDU131884 DNO131084:DNQ131884 DXK131084:DXM131884 EHG131084:EHI131884 ERC131084:ERE131884 FAY131084:FBA131884 FKU131084:FKW131884 FUQ131084:FUS131884 GEM131084:GEO131884 GOI131084:GOK131884 GYE131084:GYG131884 HIA131084:HIC131884 HRW131084:HRY131884 IBS131084:IBU131884 ILO131084:ILQ131884 IVK131084:IVM131884 JFG131084:JFI131884 JPC131084:JPE131884 JYY131084:JZA131884 KIU131084:KIW131884 KSQ131084:KSS131884 LCM131084:LCO131884 LMI131084:LMK131884 LWE131084:LWG131884 MGA131084:MGC131884 MPW131084:MPY131884 MZS131084:MZU131884 NJO131084:NJQ131884 NTK131084:NTM131884 ODG131084:ODI131884 ONC131084:ONE131884 OWY131084:OXA131884 PGU131084:PGW131884 PQQ131084:PQS131884 QAM131084:QAO131884 QKI131084:QKK131884 QUE131084:QUG131884 REA131084:REC131884 RNW131084:RNY131884 RXS131084:RXU131884 SHO131084:SHQ131884 SRK131084:SRM131884 TBG131084:TBI131884 TLC131084:TLE131884 TUY131084:TVA131884 UEU131084:UEW131884 UOQ131084:UOS131884 UYM131084:UYO131884 VII131084:VIK131884 VSE131084:VSG131884 WCA131084:WCC131884 WLW131084:WLY131884 WVS131084:WVU131884 K196620:M197420 JG196620:JI197420 TC196620:TE197420 ACY196620:ADA197420 AMU196620:AMW197420 AWQ196620:AWS197420 BGM196620:BGO197420 BQI196620:BQK197420 CAE196620:CAG197420 CKA196620:CKC197420 CTW196620:CTY197420 DDS196620:DDU197420 DNO196620:DNQ197420 DXK196620:DXM197420 EHG196620:EHI197420 ERC196620:ERE197420 FAY196620:FBA197420 FKU196620:FKW197420 FUQ196620:FUS197420 GEM196620:GEO197420 GOI196620:GOK197420 GYE196620:GYG197420 HIA196620:HIC197420 HRW196620:HRY197420 IBS196620:IBU197420 ILO196620:ILQ197420 IVK196620:IVM197420 JFG196620:JFI197420 JPC196620:JPE197420 JYY196620:JZA197420 KIU196620:KIW197420 KSQ196620:KSS197420 LCM196620:LCO197420 LMI196620:LMK197420 LWE196620:LWG197420 MGA196620:MGC197420 MPW196620:MPY197420 MZS196620:MZU197420 NJO196620:NJQ197420 NTK196620:NTM197420 ODG196620:ODI197420 ONC196620:ONE197420 OWY196620:OXA197420 PGU196620:PGW197420 PQQ196620:PQS197420 QAM196620:QAO197420 QKI196620:QKK197420 QUE196620:QUG197420 REA196620:REC197420 RNW196620:RNY197420 RXS196620:RXU197420 SHO196620:SHQ197420 SRK196620:SRM197420 TBG196620:TBI197420 TLC196620:TLE197420 TUY196620:TVA197420 UEU196620:UEW197420 UOQ196620:UOS197420 UYM196620:UYO197420 VII196620:VIK197420 VSE196620:VSG197420 WCA196620:WCC197420 WLW196620:WLY197420 WVS196620:WVU197420 K262156:M262956 JG262156:JI262956 TC262156:TE262956 ACY262156:ADA262956 AMU262156:AMW262956 AWQ262156:AWS262956 BGM262156:BGO262956 BQI262156:BQK262956 CAE262156:CAG262956 CKA262156:CKC262956 CTW262156:CTY262956 DDS262156:DDU262956 DNO262156:DNQ262956 DXK262156:DXM262956 EHG262156:EHI262956 ERC262156:ERE262956 FAY262156:FBA262956 FKU262156:FKW262956 FUQ262156:FUS262956 GEM262156:GEO262956 GOI262156:GOK262956 GYE262156:GYG262956 HIA262156:HIC262956 HRW262156:HRY262956 IBS262156:IBU262956 ILO262156:ILQ262956 IVK262156:IVM262956 JFG262156:JFI262956 JPC262156:JPE262956 JYY262156:JZA262956 KIU262156:KIW262956 KSQ262156:KSS262956 LCM262156:LCO262956 LMI262156:LMK262956 LWE262156:LWG262956 MGA262156:MGC262956 MPW262156:MPY262956 MZS262156:MZU262956 NJO262156:NJQ262956 NTK262156:NTM262956 ODG262156:ODI262956 ONC262156:ONE262956 OWY262156:OXA262956 PGU262156:PGW262956 PQQ262156:PQS262956 QAM262156:QAO262956 QKI262156:QKK262956 QUE262156:QUG262956 REA262156:REC262956 RNW262156:RNY262956 RXS262156:RXU262956 SHO262156:SHQ262956 SRK262156:SRM262956 TBG262156:TBI262956 TLC262156:TLE262956 TUY262156:TVA262956 UEU262156:UEW262956 UOQ262156:UOS262956 UYM262156:UYO262956 VII262156:VIK262956 VSE262156:VSG262956 WCA262156:WCC262956 WLW262156:WLY262956 WVS262156:WVU262956 K327692:M328492 JG327692:JI328492 TC327692:TE328492 ACY327692:ADA328492 AMU327692:AMW328492 AWQ327692:AWS328492 BGM327692:BGO328492 BQI327692:BQK328492 CAE327692:CAG328492 CKA327692:CKC328492 CTW327692:CTY328492 DDS327692:DDU328492 DNO327692:DNQ328492 DXK327692:DXM328492 EHG327692:EHI328492 ERC327692:ERE328492 FAY327692:FBA328492 FKU327692:FKW328492 FUQ327692:FUS328492 GEM327692:GEO328492 GOI327692:GOK328492 GYE327692:GYG328492 HIA327692:HIC328492 HRW327692:HRY328492 IBS327692:IBU328492 ILO327692:ILQ328492 IVK327692:IVM328492 JFG327692:JFI328492 JPC327692:JPE328492 JYY327692:JZA328492 KIU327692:KIW328492 KSQ327692:KSS328492 LCM327692:LCO328492 LMI327692:LMK328492 LWE327692:LWG328492 MGA327692:MGC328492 MPW327692:MPY328492 MZS327692:MZU328492 NJO327692:NJQ328492 NTK327692:NTM328492 ODG327692:ODI328492 ONC327692:ONE328492 OWY327692:OXA328492 PGU327692:PGW328492 PQQ327692:PQS328492 QAM327692:QAO328492 QKI327692:QKK328492 QUE327692:QUG328492 REA327692:REC328492 RNW327692:RNY328492 RXS327692:RXU328492 SHO327692:SHQ328492 SRK327692:SRM328492 TBG327692:TBI328492 TLC327692:TLE328492 TUY327692:TVA328492 UEU327692:UEW328492 UOQ327692:UOS328492 UYM327692:UYO328492 VII327692:VIK328492 VSE327692:VSG328492 WCA327692:WCC328492 WLW327692:WLY328492 WVS327692:WVU328492 K393228:M394028 JG393228:JI394028 TC393228:TE394028 ACY393228:ADA394028 AMU393228:AMW394028 AWQ393228:AWS394028 BGM393228:BGO394028 BQI393228:BQK394028 CAE393228:CAG394028 CKA393228:CKC394028 CTW393228:CTY394028 DDS393228:DDU394028 DNO393228:DNQ394028 DXK393228:DXM394028 EHG393228:EHI394028 ERC393228:ERE394028 FAY393228:FBA394028 FKU393228:FKW394028 FUQ393228:FUS394028 GEM393228:GEO394028 GOI393228:GOK394028 GYE393228:GYG394028 HIA393228:HIC394028 HRW393228:HRY394028 IBS393228:IBU394028 ILO393228:ILQ394028 IVK393228:IVM394028 JFG393228:JFI394028 JPC393228:JPE394028 JYY393228:JZA394028 KIU393228:KIW394028 KSQ393228:KSS394028 LCM393228:LCO394028 LMI393228:LMK394028 LWE393228:LWG394028 MGA393228:MGC394028 MPW393228:MPY394028 MZS393228:MZU394028 NJO393228:NJQ394028 NTK393228:NTM394028 ODG393228:ODI394028 ONC393228:ONE394028 OWY393228:OXA394028 PGU393228:PGW394028 PQQ393228:PQS394028 QAM393228:QAO394028 QKI393228:QKK394028 QUE393228:QUG394028 REA393228:REC394028 RNW393228:RNY394028 RXS393228:RXU394028 SHO393228:SHQ394028 SRK393228:SRM394028 TBG393228:TBI394028 TLC393228:TLE394028 TUY393228:TVA394028 UEU393228:UEW394028 UOQ393228:UOS394028 UYM393228:UYO394028 VII393228:VIK394028 VSE393228:VSG394028 WCA393228:WCC394028 WLW393228:WLY394028 WVS393228:WVU394028 K458764:M459564 JG458764:JI459564 TC458764:TE459564 ACY458764:ADA459564 AMU458764:AMW459564 AWQ458764:AWS459564 BGM458764:BGO459564 BQI458764:BQK459564 CAE458764:CAG459564 CKA458764:CKC459564 CTW458764:CTY459564 DDS458764:DDU459564 DNO458764:DNQ459564 DXK458764:DXM459564 EHG458764:EHI459564 ERC458764:ERE459564 FAY458764:FBA459564 FKU458764:FKW459564 FUQ458764:FUS459564 GEM458764:GEO459564 GOI458764:GOK459564 GYE458764:GYG459564 HIA458764:HIC459564 HRW458764:HRY459564 IBS458764:IBU459564 ILO458764:ILQ459564 IVK458764:IVM459564 JFG458764:JFI459564 JPC458764:JPE459564 JYY458764:JZA459564 KIU458764:KIW459564 KSQ458764:KSS459564 LCM458764:LCO459564 LMI458764:LMK459564 LWE458764:LWG459564 MGA458764:MGC459564 MPW458764:MPY459564 MZS458764:MZU459564 NJO458764:NJQ459564 NTK458764:NTM459564 ODG458764:ODI459564 ONC458764:ONE459564 OWY458764:OXA459564 PGU458764:PGW459564 PQQ458764:PQS459564 QAM458764:QAO459564 QKI458764:QKK459564 QUE458764:QUG459564 REA458764:REC459564 RNW458764:RNY459564 RXS458764:RXU459564 SHO458764:SHQ459564 SRK458764:SRM459564 TBG458764:TBI459564 TLC458764:TLE459564 TUY458764:TVA459564 UEU458764:UEW459564 UOQ458764:UOS459564 UYM458764:UYO459564 VII458764:VIK459564 VSE458764:VSG459564 WCA458764:WCC459564 WLW458764:WLY459564 WVS458764:WVU459564 K524300:M525100 JG524300:JI525100 TC524300:TE525100 ACY524300:ADA525100 AMU524300:AMW525100 AWQ524300:AWS525100 BGM524300:BGO525100 BQI524300:BQK525100 CAE524300:CAG525100 CKA524300:CKC525100 CTW524300:CTY525100 DDS524300:DDU525100 DNO524300:DNQ525100 DXK524300:DXM525100 EHG524300:EHI525100 ERC524300:ERE525100 FAY524300:FBA525100 FKU524300:FKW525100 FUQ524300:FUS525100 GEM524300:GEO525100 GOI524300:GOK525100 GYE524300:GYG525100 HIA524300:HIC525100 HRW524300:HRY525100 IBS524300:IBU525100 ILO524300:ILQ525100 IVK524300:IVM525100 JFG524300:JFI525100 JPC524300:JPE525100 JYY524300:JZA525100 KIU524300:KIW525100 KSQ524300:KSS525100 LCM524300:LCO525100 LMI524300:LMK525100 LWE524300:LWG525100 MGA524300:MGC525100 MPW524300:MPY525100 MZS524300:MZU525100 NJO524300:NJQ525100 NTK524300:NTM525100 ODG524300:ODI525100 ONC524300:ONE525100 OWY524300:OXA525100 PGU524300:PGW525100 PQQ524300:PQS525100 QAM524300:QAO525100 QKI524300:QKK525100 QUE524300:QUG525100 REA524300:REC525100 RNW524300:RNY525100 RXS524300:RXU525100 SHO524300:SHQ525100 SRK524300:SRM525100 TBG524300:TBI525100 TLC524300:TLE525100 TUY524300:TVA525100 UEU524300:UEW525100 UOQ524300:UOS525100 UYM524300:UYO525100 VII524300:VIK525100 VSE524300:VSG525100 WCA524300:WCC525100 WLW524300:WLY525100 WVS524300:WVU525100 K589836:M590636 JG589836:JI590636 TC589836:TE590636 ACY589836:ADA590636 AMU589836:AMW590636 AWQ589836:AWS590636 BGM589836:BGO590636 BQI589836:BQK590636 CAE589836:CAG590636 CKA589836:CKC590636 CTW589836:CTY590636 DDS589836:DDU590636 DNO589836:DNQ590636 DXK589836:DXM590636 EHG589836:EHI590636 ERC589836:ERE590636 FAY589836:FBA590636 FKU589836:FKW590636 FUQ589836:FUS590636 GEM589836:GEO590636 GOI589836:GOK590636 GYE589836:GYG590636 HIA589836:HIC590636 HRW589836:HRY590636 IBS589836:IBU590636 ILO589836:ILQ590636 IVK589836:IVM590636 JFG589836:JFI590636 JPC589836:JPE590636 JYY589836:JZA590636 KIU589836:KIW590636 KSQ589836:KSS590636 LCM589836:LCO590636 LMI589836:LMK590636 LWE589836:LWG590636 MGA589836:MGC590636 MPW589836:MPY590636 MZS589836:MZU590636 NJO589836:NJQ590636 NTK589836:NTM590636 ODG589836:ODI590636 ONC589836:ONE590636 OWY589836:OXA590636 PGU589836:PGW590636 PQQ589836:PQS590636 QAM589836:QAO590636 QKI589836:QKK590636 QUE589836:QUG590636 REA589836:REC590636 RNW589836:RNY590636 RXS589836:RXU590636 SHO589836:SHQ590636 SRK589836:SRM590636 TBG589836:TBI590636 TLC589836:TLE590636 TUY589836:TVA590636 UEU589836:UEW590636 UOQ589836:UOS590636 UYM589836:UYO590636 VII589836:VIK590636 VSE589836:VSG590636 WCA589836:WCC590636 WLW589836:WLY590636 WVS589836:WVU590636 K655372:M656172 JG655372:JI656172 TC655372:TE656172 ACY655372:ADA656172 AMU655372:AMW656172 AWQ655372:AWS656172 BGM655372:BGO656172 BQI655372:BQK656172 CAE655372:CAG656172 CKA655372:CKC656172 CTW655372:CTY656172 DDS655372:DDU656172 DNO655372:DNQ656172 DXK655372:DXM656172 EHG655372:EHI656172 ERC655372:ERE656172 FAY655372:FBA656172 FKU655372:FKW656172 FUQ655372:FUS656172 GEM655372:GEO656172 GOI655372:GOK656172 GYE655372:GYG656172 HIA655372:HIC656172 HRW655372:HRY656172 IBS655372:IBU656172 ILO655372:ILQ656172 IVK655372:IVM656172 JFG655372:JFI656172 JPC655372:JPE656172 JYY655372:JZA656172 KIU655372:KIW656172 KSQ655372:KSS656172 LCM655372:LCO656172 LMI655372:LMK656172 LWE655372:LWG656172 MGA655372:MGC656172 MPW655372:MPY656172 MZS655372:MZU656172 NJO655372:NJQ656172 NTK655372:NTM656172 ODG655372:ODI656172 ONC655372:ONE656172 OWY655372:OXA656172 PGU655372:PGW656172 PQQ655372:PQS656172 QAM655372:QAO656172 QKI655372:QKK656172 QUE655372:QUG656172 REA655372:REC656172 RNW655372:RNY656172 RXS655372:RXU656172 SHO655372:SHQ656172 SRK655372:SRM656172 TBG655372:TBI656172 TLC655372:TLE656172 TUY655372:TVA656172 UEU655372:UEW656172 UOQ655372:UOS656172 UYM655372:UYO656172 VII655372:VIK656172 VSE655372:VSG656172 WCA655372:WCC656172 WLW655372:WLY656172 WVS655372:WVU656172 K720908:M721708 JG720908:JI721708 TC720908:TE721708 ACY720908:ADA721708 AMU720908:AMW721708 AWQ720908:AWS721708 BGM720908:BGO721708 BQI720908:BQK721708 CAE720908:CAG721708 CKA720908:CKC721708 CTW720908:CTY721708 DDS720908:DDU721708 DNO720908:DNQ721708 DXK720908:DXM721708 EHG720908:EHI721708 ERC720908:ERE721708 FAY720908:FBA721708 FKU720908:FKW721708 FUQ720908:FUS721708 GEM720908:GEO721708 GOI720908:GOK721708 GYE720908:GYG721708 HIA720908:HIC721708 HRW720908:HRY721708 IBS720908:IBU721708 ILO720908:ILQ721708 IVK720908:IVM721708 JFG720908:JFI721708 JPC720908:JPE721708 JYY720908:JZA721708 KIU720908:KIW721708 KSQ720908:KSS721708 LCM720908:LCO721708 LMI720908:LMK721708 LWE720908:LWG721708 MGA720908:MGC721708 MPW720908:MPY721708 MZS720908:MZU721708 NJO720908:NJQ721708 NTK720908:NTM721708 ODG720908:ODI721708 ONC720908:ONE721708 OWY720908:OXA721708 PGU720908:PGW721708 PQQ720908:PQS721708 QAM720908:QAO721708 QKI720908:QKK721708 QUE720908:QUG721708 REA720908:REC721708 RNW720908:RNY721708 RXS720908:RXU721708 SHO720908:SHQ721708 SRK720908:SRM721708 TBG720908:TBI721708 TLC720908:TLE721708 TUY720908:TVA721708 UEU720908:UEW721708 UOQ720908:UOS721708 UYM720908:UYO721708 VII720908:VIK721708 VSE720908:VSG721708 WCA720908:WCC721708 WLW720908:WLY721708 WVS720908:WVU721708 K786444:M787244 JG786444:JI787244 TC786444:TE787244 ACY786444:ADA787244 AMU786444:AMW787244 AWQ786444:AWS787244 BGM786444:BGO787244 BQI786444:BQK787244 CAE786444:CAG787244 CKA786444:CKC787244 CTW786444:CTY787244 DDS786444:DDU787244 DNO786444:DNQ787244 DXK786444:DXM787244 EHG786444:EHI787244 ERC786444:ERE787244 FAY786444:FBA787244 FKU786444:FKW787244 FUQ786444:FUS787244 GEM786444:GEO787244 GOI786444:GOK787244 GYE786444:GYG787244 HIA786444:HIC787244 HRW786444:HRY787244 IBS786444:IBU787244 ILO786444:ILQ787244 IVK786444:IVM787244 JFG786444:JFI787244 JPC786444:JPE787244 JYY786444:JZA787244 KIU786444:KIW787244 KSQ786444:KSS787244 LCM786444:LCO787244 LMI786444:LMK787244 LWE786444:LWG787244 MGA786444:MGC787244 MPW786444:MPY787244 MZS786444:MZU787244 NJO786444:NJQ787244 NTK786444:NTM787244 ODG786444:ODI787244 ONC786444:ONE787244 OWY786444:OXA787244 PGU786444:PGW787244 PQQ786444:PQS787244 QAM786444:QAO787244 QKI786444:QKK787244 QUE786444:QUG787244 REA786444:REC787244 RNW786444:RNY787244 RXS786444:RXU787244 SHO786444:SHQ787244 SRK786444:SRM787244 TBG786444:TBI787244 TLC786444:TLE787244 TUY786444:TVA787244 UEU786444:UEW787244 UOQ786444:UOS787244 UYM786444:UYO787244 VII786444:VIK787244 VSE786444:VSG787244 WCA786444:WCC787244 WLW786444:WLY787244 WVS786444:WVU787244 K851980:M852780 JG851980:JI852780 TC851980:TE852780 ACY851980:ADA852780 AMU851980:AMW852780 AWQ851980:AWS852780 BGM851980:BGO852780 BQI851980:BQK852780 CAE851980:CAG852780 CKA851980:CKC852780 CTW851980:CTY852780 DDS851980:DDU852780 DNO851980:DNQ852780 DXK851980:DXM852780 EHG851980:EHI852780 ERC851980:ERE852780 FAY851980:FBA852780 FKU851980:FKW852780 FUQ851980:FUS852780 GEM851980:GEO852780 GOI851980:GOK852780 GYE851980:GYG852780 HIA851980:HIC852780 HRW851980:HRY852780 IBS851980:IBU852780 ILO851980:ILQ852780 IVK851980:IVM852780 JFG851980:JFI852780 JPC851980:JPE852780 JYY851980:JZA852780 KIU851980:KIW852780 KSQ851980:KSS852780 LCM851980:LCO852780 LMI851980:LMK852780 LWE851980:LWG852780 MGA851980:MGC852780 MPW851980:MPY852780 MZS851980:MZU852780 NJO851980:NJQ852780 NTK851980:NTM852780 ODG851980:ODI852780 ONC851980:ONE852780 OWY851980:OXA852780 PGU851980:PGW852780 PQQ851980:PQS852780 QAM851980:QAO852780 QKI851980:QKK852780 QUE851980:QUG852780 REA851980:REC852780 RNW851980:RNY852780 RXS851980:RXU852780 SHO851980:SHQ852780 SRK851980:SRM852780 TBG851980:TBI852780 TLC851980:TLE852780 TUY851980:TVA852780 UEU851980:UEW852780 UOQ851980:UOS852780 UYM851980:UYO852780 VII851980:VIK852780 VSE851980:VSG852780 WCA851980:WCC852780 WLW851980:WLY852780 WVS851980:WVU852780 K917516:M918316 JG917516:JI918316 TC917516:TE918316 ACY917516:ADA918316 AMU917516:AMW918316 AWQ917516:AWS918316 BGM917516:BGO918316 BQI917516:BQK918316 CAE917516:CAG918316 CKA917516:CKC918316 CTW917516:CTY918316 DDS917516:DDU918316 DNO917516:DNQ918316 DXK917516:DXM918316 EHG917516:EHI918316 ERC917516:ERE918316 FAY917516:FBA918316 FKU917516:FKW918316 FUQ917516:FUS918316 GEM917516:GEO918316 GOI917516:GOK918316 GYE917516:GYG918316 HIA917516:HIC918316 HRW917516:HRY918316 IBS917516:IBU918316 ILO917516:ILQ918316 IVK917516:IVM918316 JFG917516:JFI918316 JPC917516:JPE918316 JYY917516:JZA918316 KIU917516:KIW918316 KSQ917516:KSS918316 LCM917516:LCO918316 LMI917516:LMK918316 LWE917516:LWG918316 MGA917516:MGC918316 MPW917516:MPY918316 MZS917516:MZU918316 NJO917516:NJQ918316 NTK917516:NTM918316 ODG917516:ODI918316 ONC917516:ONE918316 OWY917516:OXA918316 PGU917516:PGW918316 PQQ917516:PQS918316 QAM917516:QAO918316 QKI917516:QKK918316 QUE917516:QUG918316 REA917516:REC918316 RNW917516:RNY918316 RXS917516:RXU918316 SHO917516:SHQ918316 SRK917516:SRM918316 TBG917516:TBI918316 TLC917516:TLE918316 TUY917516:TVA918316 UEU917516:UEW918316 UOQ917516:UOS918316 UYM917516:UYO918316 VII917516:VIK918316 VSE917516:VSG918316 WCA917516:WCC918316 WLW917516:WLY918316 WVS917516:WVU918316 K983052:M983852 JG983052:JI983852 TC983052:TE983852 ACY983052:ADA983852 AMU983052:AMW983852 AWQ983052:AWS983852 BGM983052:BGO983852 BQI983052:BQK983852 CAE983052:CAG983852 CKA983052:CKC983852 CTW983052:CTY983852 DDS983052:DDU983852 DNO983052:DNQ983852 DXK983052:DXM983852 EHG983052:EHI983852 ERC983052:ERE983852 FAY983052:FBA983852 FKU983052:FKW983852 FUQ983052:FUS983852 GEM983052:GEO983852 GOI983052:GOK983852 GYE983052:GYG983852 HIA983052:HIC983852 HRW983052:HRY983852 IBS983052:IBU983852 ILO983052:ILQ983852 IVK983052:IVM983852 JFG983052:JFI983852 JPC983052:JPE983852 JYY983052:JZA983852 KIU983052:KIW983852 KSQ983052:KSS983852 LCM983052:LCO983852 LMI983052:LMK983852 LWE983052:LWG983852 MGA983052:MGC983852 MPW983052:MPY983852 MZS983052:MZU983852 NJO983052:NJQ983852 NTK983052:NTM983852 ODG983052:ODI983852 ONC983052:ONE983852 OWY983052:OXA983852 PGU983052:PGW983852 PQQ983052:PQS983852 QAM983052:QAO983852 QKI983052:QKK983852 QUE983052:QUG983852 REA983052:REC983852 RNW983052:RNY983852 RXS983052:RXU983852 SHO983052:SHQ983852 SRK983052:SRM983852 TBG983052:TBI983852 TLC983052:TLE983852 TUY983052:TVA983852 UEU983052:UEW983852 UOQ983052:UOS983852 UYM983052:UYO983852 VII983052:VIK983852 VSE983052:VSG983852 WCA983052:WCC983852 WLW983052:WLY983852 WVS983052:WVU983852 Y12:AA812 JU12:JW812 TQ12:TS812 ADM12:ADO812 ANI12:ANK812 AXE12:AXG812 BHA12:BHC812 BQW12:BQY812 CAS12:CAU812 CKO12:CKQ812 CUK12:CUM812 DEG12:DEI812 DOC12:DOE812 DXY12:DYA812 EHU12:EHW812 ERQ12:ERS812 FBM12:FBO812 FLI12:FLK812 FVE12:FVG812 GFA12:GFC812 GOW12:GOY812 GYS12:GYU812 HIO12:HIQ812 HSK12:HSM812 ICG12:ICI812 IMC12:IME812 IVY12:IWA812 JFU12:JFW812 JPQ12:JPS812 JZM12:JZO812 KJI12:KJK812 KTE12:KTG812 LDA12:LDC812 LMW12:LMY812 LWS12:LWU812 MGO12:MGQ812 MQK12:MQM812 NAG12:NAI812 NKC12:NKE812 NTY12:NUA812 ODU12:ODW812 ONQ12:ONS812 OXM12:OXO812 PHI12:PHK812 PRE12:PRG812 QBA12:QBC812 QKW12:QKY812 QUS12:QUU812 REO12:REQ812 ROK12:ROM812 RYG12:RYI812 SIC12:SIE812 SRY12:SSA812 TBU12:TBW812 TLQ12:TLS812 TVM12:TVO812 UFI12:UFK812 UPE12:UPG812 UZA12:UZC812 VIW12:VIY812 VSS12:VSU812 WCO12:WCQ812 WMK12:WMM812 WWG12:WWI812 Y65548:AA66348 JU65548:JW66348 TQ65548:TS66348 ADM65548:ADO66348 ANI65548:ANK66348 AXE65548:AXG66348 BHA65548:BHC66348 BQW65548:BQY66348 CAS65548:CAU66348 CKO65548:CKQ66348 CUK65548:CUM66348 DEG65548:DEI66348 DOC65548:DOE66348 DXY65548:DYA66348 EHU65548:EHW66348 ERQ65548:ERS66348 FBM65548:FBO66348 FLI65548:FLK66348 FVE65548:FVG66348 GFA65548:GFC66348 GOW65548:GOY66348 GYS65548:GYU66348 HIO65548:HIQ66348 HSK65548:HSM66348 ICG65548:ICI66348 IMC65548:IME66348 IVY65548:IWA66348 JFU65548:JFW66348 JPQ65548:JPS66348 JZM65548:JZO66348 KJI65548:KJK66348 KTE65548:KTG66348 LDA65548:LDC66348 LMW65548:LMY66348 LWS65548:LWU66348 MGO65548:MGQ66348 MQK65548:MQM66348 NAG65548:NAI66348 NKC65548:NKE66348 NTY65548:NUA66348 ODU65548:ODW66348 ONQ65548:ONS66348 OXM65548:OXO66348 PHI65548:PHK66348 PRE65548:PRG66348 QBA65548:QBC66348 QKW65548:QKY66348 QUS65548:QUU66348 REO65548:REQ66348 ROK65548:ROM66348 RYG65548:RYI66348 SIC65548:SIE66348 SRY65548:SSA66348 TBU65548:TBW66348 TLQ65548:TLS66348 TVM65548:TVO66348 UFI65548:UFK66348 UPE65548:UPG66348 UZA65548:UZC66348 VIW65548:VIY66348 VSS65548:VSU66348 WCO65548:WCQ66348 WMK65548:WMM66348 WWG65548:WWI66348 Y131084:AA131884 JU131084:JW131884 TQ131084:TS131884 ADM131084:ADO131884 ANI131084:ANK131884 AXE131084:AXG131884 BHA131084:BHC131884 BQW131084:BQY131884 CAS131084:CAU131884 CKO131084:CKQ131884 CUK131084:CUM131884 DEG131084:DEI131884 DOC131084:DOE131884 DXY131084:DYA131884 EHU131084:EHW131884 ERQ131084:ERS131884 FBM131084:FBO131884 FLI131084:FLK131884 FVE131084:FVG131884 GFA131084:GFC131884 GOW131084:GOY131884 GYS131084:GYU131884 HIO131084:HIQ131884 HSK131084:HSM131884 ICG131084:ICI131884 IMC131084:IME131884 IVY131084:IWA131884 JFU131084:JFW131884 JPQ131084:JPS131884 JZM131084:JZO131884 KJI131084:KJK131884 KTE131084:KTG131884 LDA131084:LDC131884 LMW131084:LMY131884 LWS131084:LWU131884 MGO131084:MGQ131884 MQK131084:MQM131884 NAG131084:NAI131884 NKC131084:NKE131884 NTY131084:NUA131884 ODU131084:ODW131884 ONQ131084:ONS131884 OXM131084:OXO131884 PHI131084:PHK131884 PRE131084:PRG131884 QBA131084:QBC131884 QKW131084:QKY131884 QUS131084:QUU131884 REO131084:REQ131884 ROK131084:ROM131884 RYG131084:RYI131884 SIC131084:SIE131884 SRY131084:SSA131884 TBU131084:TBW131884 TLQ131084:TLS131884 TVM131084:TVO131884 UFI131084:UFK131884 UPE131084:UPG131884 UZA131084:UZC131884 VIW131084:VIY131884 VSS131084:VSU131884 WCO131084:WCQ131884 WMK131084:WMM131884 WWG131084:WWI131884 Y196620:AA197420 JU196620:JW197420 TQ196620:TS197420 ADM196620:ADO197420 ANI196620:ANK197420 AXE196620:AXG197420 BHA196620:BHC197420 BQW196620:BQY197420 CAS196620:CAU197420 CKO196620:CKQ197420 CUK196620:CUM197420 DEG196620:DEI197420 DOC196620:DOE197420 DXY196620:DYA197420 EHU196620:EHW197420 ERQ196620:ERS197420 FBM196620:FBO197420 FLI196620:FLK197420 FVE196620:FVG197420 GFA196620:GFC197420 GOW196620:GOY197420 GYS196620:GYU197420 HIO196620:HIQ197420 HSK196620:HSM197420 ICG196620:ICI197420 IMC196620:IME197420 IVY196620:IWA197420 JFU196620:JFW197420 JPQ196620:JPS197420 JZM196620:JZO197420 KJI196620:KJK197420 KTE196620:KTG197420 LDA196620:LDC197420 LMW196620:LMY197420 LWS196620:LWU197420 MGO196620:MGQ197420 MQK196620:MQM197420 NAG196620:NAI197420 NKC196620:NKE197420 NTY196620:NUA197420 ODU196620:ODW197420 ONQ196620:ONS197420 OXM196620:OXO197420 PHI196620:PHK197420 PRE196620:PRG197420 QBA196620:QBC197420 QKW196620:QKY197420 QUS196620:QUU197420 REO196620:REQ197420 ROK196620:ROM197420 RYG196620:RYI197420 SIC196620:SIE197420 SRY196620:SSA197420 TBU196620:TBW197420 TLQ196620:TLS197420 TVM196620:TVO197420 UFI196620:UFK197420 UPE196620:UPG197420 UZA196620:UZC197420 VIW196620:VIY197420 VSS196620:VSU197420 WCO196620:WCQ197420 WMK196620:WMM197420 WWG196620:WWI197420 Y262156:AA262956 JU262156:JW262956 TQ262156:TS262956 ADM262156:ADO262956 ANI262156:ANK262956 AXE262156:AXG262956 BHA262156:BHC262956 BQW262156:BQY262956 CAS262156:CAU262956 CKO262156:CKQ262956 CUK262156:CUM262956 DEG262156:DEI262956 DOC262156:DOE262956 DXY262156:DYA262956 EHU262156:EHW262956 ERQ262156:ERS262956 FBM262156:FBO262956 FLI262156:FLK262956 FVE262156:FVG262956 GFA262156:GFC262956 GOW262156:GOY262956 GYS262156:GYU262956 HIO262156:HIQ262956 HSK262156:HSM262956 ICG262156:ICI262956 IMC262156:IME262956 IVY262156:IWA262956 JFU262156:JFW262956 JPQ262156:JPS262956 JZM262156:JZO262956 KJI262156:KJK262956 KTE262156:KTG262956 LDA262156:LDC262956 LMW262156:LMY262956 LWS262156:LWU262956 MGO262156:MGQ262956 MQK262156:MQM262956 NAG262156:NAI262956 NKC262156:NKE262956 NTY262156:NUA262956 ODU262156:ODW262956 ONQ262156:ONS262956 OXM262156:OXO262956 PHI262156:PHK262956 PRE262156:PRG262956 QBA262156:QBC262956 QKW262156:QKY262956 QUS262156:QUU262956 REO262156:REQ262956 ROK262156:ROM262956 RYG262156:RYI262956 SIC262156:SIE262956 SRY262156:SSA262956 TBU262156:TBW262956 TLQ262156:TLS262956 TVM262156:TVO262956 UFI262156:UFK262956 UPE262156:UPG262956 UZA262156:UZC262956 VIW262156:VIY262956 VSS262156:VSU262956 WCO262156:WCQ262956 WMK262156:WMM262956 WWG262156:WWI262956 Y327692:AA328492 JU327692:JW328492 TQ327692:TS328492 ADM327692:ADO328492 ANI327692:ANK328492 AXE327692:AXG328492 BHA327692:BHC328492 BQW327692:BQY328492 CAS327692:CAU328492 CKO327692:CKQ328492 CUK327692:CUM328492 DEG327692:DEI328492 DOC327692:DOE328492 DXY327692:DYA328492 EHU327692:EHW328492 ERQ327692:ERS328492 FBM327692:FBO328492 FLI327692:FLK328492 FVE327692:FVG328492 GFA327692:GFC328492 GOW327692:GOY328492 GYS327692:GYU328492 HIO327692:HIQ328492 HSK327692:HSM328492 ICG327692:ICI328492 IMC327692:IME328492 IVY327692:IWA328492 JFU327692:JFW328492 JPQ327692:JPS328492 JZM327692:JZO328492 KJI327692:KJK328492 KTE327692:KTG328492 LDA327692:LDC328492 LMW327692:LMY328492 LWS327692:LWU328492 MGO327692:MGQ328492 MQK327692:MQM328492 NAG327692:NAI328492 NKC327692:NKE328492 NTY327692:NUA328492 ODU327692:ODW328492 ONQ327692:ONS328492 OXM327692:OXO328492 PHI327692:PHK328492 PRE327692:PRG328492 QBA327692:QBC328492 QKW327692:QKY328492 QUS327692:QUU328492 REO327692:REQ328492 ROK327692:ROM328492 RYG327692:RYI328492 SIC327692:SIE328492 SRY327692:SSA328492 TBU327692:TBW328492 TLQ327692:TLS328492 TVM327692:TVO328492 UFI327692:UFK328492 UPE327692:UPG328492 UZA327692:UZC328492 VIW327692:VIY328492 VSS327692:VSU328492 WCO327692:WCQ328492 WMK327692:WMM328492 WWG327692:WWI328492 Y393228:AA394028 JU393228:JW394028 TQ393228:TS394028 ADM393228:ADO394028 ANI393228:ANK394028 AXE393228:AXG394028 BHA393228:BHC394028 BQW393228:BQY394028 CAS393228:CAU394028 CKO393228:CKQ394028 CUK393228:CUM394028 DEG393228:DEI394028 DOC393228:DOE394028 DXY393228:DYA394028 EHU393228:EHW394028 ERQ393228:ERS394028 FBM393228:FBO394028 FLI393228:FLK394028 FVE393228:FVG394028 GFA393228:GFC394028 GOW393228:GOY394028 GYS393228:GYU394028 HIO393228:HIQ394028 HSK393228:HSM394028 ICG393228:ICI394028 IMC393228:IME394028 IVY393228:IWA394028 JFU393228:JFW394028 JPQ393228:JPS394028 JZM393228:JZO394028 KJI393228:KJK394028 KTE393228:KTG394028 LDA393228:LDC394028 LMW393228:LMY394028 LWS393228:LWU394028 MGO393228:MGQ394028 MQK393228:MQM394028 NAG393228:NAI394028 NKC393228:NKE394028 NTY393228:NUA394028 ODU393228:ODW394028 ONQ393228:ONS394028 OXM393228:OXO394028 PHI393228:PHK394028 PRE393228:PRG394028 QBA393228:QBC394028 QKW393228:QKY394028 QUS393228:QUU394028 REO393228:REQ394028 ROK393228:ROM394028 RYG393228:RYI394028 SIC393228:SIE394028 SRY393228:SSA394028 TBU393228:TBW394028 TLQ393228:TLS394028 TVM393228:TVO394028 UFI393228:UFK394028 UPE393228:UPG394028 UZA393228:UZC394028 VIW393228:VIY394028 VSS393228:VSU394028 WCO393228:WCQ394028 WMK393228:WMM394028 WWG393228:WWI394028 Y458764:AA459564 JU458764:JW459564 TQ458764:TS459564 ADM458764:ADO459564 ANI458764:ANK459564 AXE458764:AXG459564 BHA458764:BHC459564 BQW458764:BQY459564 CAS458764:CAU459564 CKO458764:CKQ459564 CUK458764:CUM459564 DEG458764:DEI459564 DOC458764:DOE459564 DXY458764:DYA459564 EHU458764:EHW459564 ERQ458764:ERS459564 FBM458764:FBO459564 FLI458764:FLK459564 FVE458764:FVG459564 GFA458764:GFC459564 GOW458764:GOY459564 GYS458764:GYU459564 HIO458764:HIQ459564 HSK458764:HSM459564 ICG458764:ICI459564 IMC458764:IME459564 IVY458764:IWA459564 JFU458764:JFW459564 JPQ458764:JPS459564 JZM458764:JZO459564 KJI458764:KJK459564 KTE458764:KTG459564 LDA458764:LDC459564 LMW458764:LMY459564 LWS458764:LWU459564 MGO458764:MGQ459564 MQK458764:MQM459564 NAG458764:NAI459564 NKC458764:NKE459564 NTY458764:NUA459564 ODU458764:ODW459564 ONQ458764:ONS459564 OXM458764:OXO459564 PHI458764:PHK459564 PRE458764:PRG459564 QBA458764:QBC459564 QKW458764:QKY459564 QUS458764:QUU459564 REO458764:REQ459564 ROK458764:ROM459564 RYG458764:RYI459564 SIC458764:SIE459564 SRY458764:SSA459564 TBU458764:TBW459564 TLQ458764:TLS459564 TVM458764:TVO459564 UFI458764:UFK459564 UPE458764:UPG459564 UZA458764:UZC459564 VIW458764:VIY459564 VSS458764:VSU459564 WCO458764:WCQ459564 WMK458764:WMM459564 WWG458764:WWI459564 Y524300:AA525100 JU524300:JW525100 TQ524300:TS525100 ADM524300:ADO525100 ANI524300:ANK525100 AXE524300:AXG525100 BHA524300:BHC525100 BQW524300:BQY525100 CAS524300:CAU525100 CKO524300:CKQ525100 CUK524300:CUM525100 DEG524300:DEI525100 DOC524300:DOE525100 DXY524300:DYA525100 EHU524300:EHW525100 ERQ524300:ERS525100 FBM524300:FBO525100 FLI524300:FLK525100 FVE524300:FVG525100 GFA524300:GFC525100 GOW524300:GOY525100 GYS524300:GYU525100 HIO524300:HIQ525100 HSK524300:HSM525100 ICG524300:ICI525100 IMC524300:IME525100 IVY524300:IWA525100 JFU524300:JFW525100 JPQ524300:JPS525100 JZM524300:JZO525100 KJI524300:KJK525100 KTE524300:KTG525100 LDA524300:LDC525100 LMW524300:LMY525100 LWS524300:LWU525100 MGO524300:MGQ525100 MQK524300:MQM525100 NAG524300:NAI525100 NKC524300:NKE525100 NTY524300:NUA525100 ODU524300:ODW525100 ONQ524300:ONS525100 OXM524300:OXO525100 PHI524300:PHK525100 PRE524300:PRG525100 QBA524300:QBC525100 QKW524300:QKY525100 QUS524300:QUU525100 REO524300:REQ525100 ROK524300:ROM525100 RYG524300:RYI525100 SIC524300:SIE525100 SRY524300:SSA525100 TBU524300:TBW525100 TLQ524300:TLS525100 TVM524300:TVO525100 UFI524300:UFK525100 UPE524300:UPG525100 UZA524300:UZC525100 VIW524300:VIY525100 VSS524300:VSU525100 WCO524300:WCQ525100 WMK524300:WMM525100 WWG524300:WWI525100 Y589836:AA590636 JU589836:JW590636 TQ589836:TS590636 ADM589836:ADO590636 ANI589836:ANK590636 AXE589836:AXG590636 BHA589836:BHC590636 BQW589836:BQY590636 CAS589836:CAU590636 CKO589836:CKQ590636 CUK589836:CUM590636 DEG589836:DEI590636 DOC589836:DOE590636 DXY589836:DYA590636 EHU589836:EHW590636 ERQ589836:ERS590636 FBM589836:FBO590636 FLI589836:FLK590636 FVE589836:FVG590636 GFA589836:GFC590636 GOW589836:GOY590636 GYS589836:GYU590636 HIO589836:HIQ590636 HSK589836:HSM590636 ICG589836:ICI590636 IMC589836:IME590636 IVY589836:IWA590636 JFU589836:JFW590636 JPQ589836:JPS590636 JZM589836:JZO590636 KJI589836:KJK590636 KTE589836:KTG590636 LDA589836:LDC590636 LMW589836:LMY590636 LWS589836:LWU590636 MGO589836:MGQ590636 MQK589836:MQM590636 NAG589836:NAI590636 NKC589836:NKE590636 NTY589836:NUA590636 ODU589836:ODW590636 ONQ589836:ONS590636 OXM589836:OXO590636 PHI589836:PHK590636 PRE589836:PRG590636 QBA589836:QBC590636 QKW589836:QKY590636 QUS589836:QUU590636 REO589836:REQ590636 ROK589836:ROM590636 RYG589836:RYI590636 SIC589836:SIE590636 SRY589836:SSA590636 TBU589836:TBW590636 TLQ589836:TLS590636 TVM589836:TVO590636 UFI589836:UFK590636 UPE589836:UPG590636 UZA589836:UZC590636 VIW589836:VIY590636 VSS589836:VSU590636 WCO589836:WCQ590636 WMK589836:WMM590636 WWG589836:WWI590636 Y655372:AA656172 JU655372:JW656172 TQ655372:TS656172 ADM655372:ADO656172 ANI655372:ANK656172 AXE655372:AXG656172 BHA655372:BHC656172 BQW655372:BQY656172 CAS655372:CAU656172 CKO655372:CKQ656172 CUK655372:CUM656172 DEG655372:DEI656172 DOC655372:DOE656172 DXY655372:DYA656172 EHU655372:EHW656172 ERQ655372:ERS656172 FBM655372:FBO656172 FLI655372:FLK656172 FVE655372:FVG656172 GFA655372:GFC656172 GOW655372:GOY656172 GYS655372:GYU656172 HIO655372:HIQ656172 HSK655372:HSM656172 ICG655372:ICI656172 IMC655372:IME656172 IVY655372:IWA656172 JFU655372:JFW656172 JPQ655372:JPS656172 JZM655372:JZO656172 KJI655372:KJK656172 KTE655372:KTG656172 LDA655372:LDC656172 LMW655372:LMY656172 LWS655372:LWU656172 MGO655372:MGQ656172 MQK655372:MQM656172 NAG655372:NAI656172 NKC655372:NKE656172 NTY655372:NUA656172 ODU655372:ODW656172 ONQ655372:ONS656172 OXM655372:OXO656172 PHI655372:PHK656172 PRE655372:PRG656172 QBA655372:QBC656172 QKW655372:QKY656172 QUS655372:QUU656172 REO655372:REQ656172 ROK655372:ROM656172 RYG655372:RYI656172 SIC655372:SIE656172 SRY655372:SSA656172 TBU655372:TBW656172 TLQ655372:TLS656172 TVM655372:TVO656172 UFI655372:UFK656172 UPE655372:UPG656172 UZA655372:UZC656172 VIW655372:VIY656172 VSS655372:VSU656172 WCO655372:WCQ656172 WMK655372:WMM656172 WWG655372:WWI656172 Y720908:AA721708 JU720908:JW721708 TQ720908:TS721708 ADM720908:ADO721708 ANI720908:ANK721708 AXE720908:AXG721708 BHA720908:BHC721708 BQW720908:BQY721708 CAS720908:CAU721708 CKO720908:CKQ721708 CUK720908:CUM721708 DEG720908:DEI721708 DOC720908:DOE721708 DXY720908:DYA721708 EHU720908:EHW721708 ERQ720908:ERS721708 FBM720908:FBO721708 FLI720908:FLK721708 FVE720908:FVG721708 GFA720908:GFC721708 GOW720908:GOY721708 GYS720908:GYU721708 HIO720908:HIQ721708 HSK720908:HSM721708 ICG720908:ICI721708 IMC720908:IME721708 IVY720908:IWA721708 JFU720908:JFW721708 JPQ720908:JPS721708 JZM720908:JZO721708 KJI720908:KJK721708 KTE720908:KTG721708 LDA720908:LDC721708 LMW720908:LMY721708 LWS720908:LWU721708 MGO720908:MGQ721708 MQK720908:MQM721708 NAG720908:NAI721708 NKC720908:NKE721708 NTY720908:NUA721708 ODU720908:ODW721708 ONQ720908:ONS721708 OXM720908:OXO721708 PHI720908:PHK721708 PRE720908:PRG721708 QBA720908:QBC721708 QKW720908:QKY721708 QUS720908:QUU721708 REO720908:REQ721708 ROK720908:ROM721708 RYG720908:RYI721708 SIC720908:SIE721708 SRY720908:SSA721708 TBU720908:TBW721708 TLQ720908:TLS721708 TVM720908:TVO721708 UFI720908:UFK721708 UPE720908:UPG721708 UZA720908:UZC721708 VIW720908:VIY721708 VSS720908:VSU721708 WCO720908:WCQ721708 WMK720908:WMM721708 WWG720908:WWI721708 Y786444:AA787244 JU786444:JW787244 TQ786444:TS787244 ADM786444:ADO787244 ANI786444:ANK787244 AXE786444:AXG787244 BHA786444:BHC787244 BQW786444:BQY787244 CAS786444:CAU787244 CKO786444:CKQ787244 CUK786444:CUM787244 DEG786444:DEI787244 DOC786444:DOE787244 DXY786444:DYA787244 EHU786444:EHW787244 ERQ786444:ERS787244 FBM786444:FBO787244 FLI786444:FLK787244 FVE786444:FVG787244 GFA786444:GFC787244 GOW786444:GOY787244 GYS786444:GYU787244 HIO786444:HIQ787244 HSK786444:HSM787244 ICG786444:ICI787244 IMC786444:IME787244 IVY786444:IWA787244 JFU786444:JFW787244 JPQ786444:JPS787244 JZM786444:JZO787244 KJI786444:KJK787244 KTE786444:KTG787244 LDA786444:LDC787244 LMW786444:LMY787244 LWS786444:LWU787244 MGO786444:MGQ787244 MQK786444:MQM787244 NAG786444:NAI787244 NKC786444:NKE787244 NTY786444:NUA787244 ODU786444:ODW787244 ONQ786444:ONS787244 OXM786444:OXO787244 PHI786444:PHK787244 PRE786444:PRG787244 QBA786444:QBC787244 QKW786444:QKY787244 QUS786444:QUU787244 REO786444:REQ787244 ROK786444:ROM787244 RYG786444:RYI787244 SIC786444:SIE787244 SRY786444:SSA787244 TBU786444:TBW787244 TLQ786444:TLS787244 TVM786444:TVO787244 UFI786444:UFK787244 UPE786444:UPG787244 UZA786444:UZC787244 VIW786444:VIY787244 VSS786444:VSU787244 WCO786444:WCQ787244 WMK786444:WMM787244 WWG786444:WWI787244 Y851980:AA852780 JU851980:JW852780 TQ851980:TS852780 ADM851980:ADO852780 ANI851980:ANK852780 AXE851980:AXG852780 BHA851980:BHC852780 BQW851980:BQY852780 CAS851980:CAU852780 CKO851980:CKQ852780 CUK851980:CUM852780 DEG851980:DEI852780 DOC851980:DOE852780 DXY851980:DYA852780 EHU851980:EHW852780 ERQ851980:ERS852780 FBM851980:FBO852780 FLI851980:FLK852780 FVE851980:FVG852780 GFA851980:GFC852780 GOW851980:GOY852780 GYS851980:GYU852780 HIO851980:HIQ852780 HSK851980:HSM852780 ICG851980:ICI852780 IMC851980:IME852780 IVY851980:IWA852780 JFU851980:JFW852780 JPQ851980:JPS852780 JZM851980:JZO852780 KJI851980:KJK852780 KTE851980:KTG852780 LDA851980:LDC852780 LMW851980:LMY852780 LWS851980:LWU852780 MGO851980:MGQ852780 MQK851980:MQM852780 NAG851980:NAI852780 NKC851980:NKE852780 NTY851980:NUA852780 ODU851980:ODW852780 ONQ851980:ONS852780 OXM851980:OXO852780 PHI851980:PHK852780 PRE851980:PRG852780 QBA851980:QBC852780 QKW851980:QKY852780 QUS851980:QUU852780 REO851980:REQ852780 ROK851980:ROM852780 RYG851980:RYI852780 SIC851980:SIE852780 SRY851980:SSA852780 TBU851980:TBW852780 TLQ851980:TLS852780 TVM851980:TVO852780 UFI851980:UFK852780 UPE851980:UPG852780 UZA851980:UZC852780 VIW851980:VIY852780 VSS851980:VSU852780 WCO851980:WCQ852780 WMK851980:WMM852780 WWG851980:WWI852780 Y917516:AA918316 JU917516:JW918316 TQ917516:TS918316 ADM917516:ADO918316 ANI917516:ANK918316 AXE917516:AXG918316 BHA917516:BHC918316 BQW917516:BQY918316 CAS917516:CAU918316 CKO917516:CKQ918316 CUK917516:CUM918316 DEG917516:DEI918316 DOC917516:DOE918316 DXY917516:DYA918316 EHU917516:EHW918316 ERQ917516:ERS918316 FBM917516:FBO918316 FLI917516:FLK918316 FVE917516:FVG918316 GFA917516:GFC918316 GOW917516:GOY918316 GYS917516:GYU918316 HIO917516:HIQ918316 HSK917516:HSM918316 ICG917516:ICI918316 IMC917516:IME918316 IVY917516:IWA918316 JFU917516:JFW918316 JPQ917516:JPS918316 JZM917516:JZO918316 KJI917516:KJK918316 KTE917516:KTG918316 LDA917516:LDC918316 LMW917516:LMY918316 LWS917516:LWU918316 MGO917516:MGQ918316 MQK917516:MQM918316 NAG917516:NAI918316 NKC917516:NKE918316 NTY917516:NUA918316 ODU917516:ODW918316 ONQ917516:ONS918316 OXM917516:OXO918316 PHI917516:PHK918316 PRE917516:PRG918316 QBA917516:QBC918316 QKW917516:QKY918316 QUS917516:QUU918316 REO917516:REQ918316 ROK917516:ROM918316 RYG917516:RYI918316 SIC917516:SIE918316 SRY917516:SSA918316 TBU917516:TBW918316 TLQ917516:TLS918316 TVM917516:TVO918316 UFI917516:UFK918316 UPE917516:UPG918316 UZA917516:UZC918316 VIW917516:VIY918316 VSS917516:VSU918316 WCO917516:WCQ918316 WMK917516:WMM918316 WWG917516:WWI918316 Y983052:AA983852 JU983052:JW983852 TQ983052:TS983852 ADM983052:ADO983852 ANI983052:ANK983852 AXE983052:AXG983852 BHA983052:BHC983852 BQW983052:BQY983852 CAS983052:CAU983852 CKO983052:CKQ983852 CUK983052:CUM983852 DEG983052:DEI983852 DOC983052:DOE983852 DXY983052:DYA983852 EHU983052:EHW983852 ERQ983052:ERS983852 FBM983052:FBO983852 FLI983052:FLK983852 FVE983052:FVG983852 GFA983052:GFC983852 GOW983052:GOY983852 GYS983052:GYU983852 HIO983052:HIQ983852 HSK983052:HSM983852 ICG983052:ICI983852 IMC983052:IME983852 IVY983052:IWA983852 JFU983052:JFW983852 JPQ983052:JPS983852 JZM983052:JZO983852 KJI983052:KJK983852 KTE983052:KTG983852 LDA983052:LDC983852 LMW983052:LMY983852 LWS983052:LWU983852 MGO983052:MGQ983852 MQK983052:MQM983852 NAG983052:NAI983852 NKC983052:NKE983852 NTY983052:NUA983852 ODU983052:ODW983852 ONQ983052:ONS983852 OXM983052:OXO983852 PHI983052:PHK983852 PRE983052:PRG983852 QBA983052:QBC983852 QKW983052:QKY983852 QUS983052:QUU983852 REO983052:REQ983852 ROK983052:ROM983852 RYG983052:RYI983852 SIC983052:SIE983852 SRY983052:SSA983852 TBU983052:TBW983852 TLQ983052:TLS983852 TVM983052:TVO983852 UFI983052:UFK983852 UPE983052:UPG983852 UZA983052:UZC983852 VIW983052:VIY983852 VSS983052:VSU983852 WCO983052:WCQ983852 WMK983052:WMM983852 WWG983052:WWI983852">
      <formula1>0</formula1>
      <formula2>1000000</formula2>
    </dataValidation>
    <dataValidation type="list" allowBlank="1" showInputMessage="1" showErrorMessage="1" sqref="I12:J812 JF12:JF812 TB12:TB812 ACX12:ACX812 AMT12:AMT812 AWP12:AWP812 BGL12:BGL812 BQH12:BQH812 CAD12:CAD812 CJZ12:CJZ812 CTV12:CTV812 DDR12:DDR812 DNN12:DNN812 DXJ12:DXJ812 EHF12:EHF812 ERB12:ERB812 FAX12:FAX812 FKT12:FKT812 FUP12:FUP812 GEL12:GEL812 GOH12:GOH812 GYD12:GYD812 HHZ12:HHZ812 HRV12:HRV812 IBR12:IBR812 ILN12:ILN812 IVJ12:IVJ812 JFF12:JFF812 JPB12:JPB812 JYX12:JYX812 KIT12:KIT812 KSP12:KSP812 LCL12:LCL812 LMH12:LMH812 LWD12:LWD812 MFZ12:MFZ812 MPV12:MPV812 MZR12:MZR812 NJN12:NJN812 NTJ12:NTJ812 ODF12:ODF812 ONB12:ONB812 OWX12:OWX812 PGT12:PGT812 PQP12:PQP812 QAL12:QAL812 QKH12:QKH812 QUD12:QUD812 RDZ12:RDZ812 RNV12:RNV812 RXR12:RXR812 SHN12:SHN812 SRJ12:SRJ812 TBF12:TBF812 TLB12:TLB812 TUX12:TUX812 UET12:UET812 UOP12:UOP812 UYL12:UYL812 VIH12:VIH812 VSD12:VSD812 WBZ12:WBZ812 WLV12:WLV812 WVR12:WVR812 I65548:J66348 JF65548:JF66348 TB65548:TB66348 ACX65548:ACX66348 AMT65548:AMT66348 AWP65548:AWP66348 BGL65548:BGL66348 BQH65548:BQH66348 CAD65548:CAD66348 CJZ65548:CJZ66348 CTV65548:CTV66348 DDR65548:DDR66348 DNN65548:DNN66348 DXJ65548:DXJ66348 EHF65548:EHF66348 ERB65548:ERB66348 FAX65548:FAX66348 FKT65548:FKT66348 FUP65548:FUP66348 GEL65548:GEL66348 GOH65548:GOH66348 GYD65548:GYD66348 HHZ65548:HHZ66348 HRV65548:HRV66348 IBR65548:IBR66348 ILN65548:ILN66348 IVJ65548:IVJ66348 JFF65548:JFF66348 JPB65548:JPB66348 JYX65548:JYX66348 KIT65548:KIT66348 KSP65548:KSP66348 LCL65548:LCL66348 LMH65548:LMH66348 LWD65548:LWD66348 MFZ65548:MFZ66348 MPV65548:MPV66348 MZR65548:MZR66348 NJN65548:NJN66348 NTJ65548:NTJ66348 ODF65548:ODF66348 ONB65548:ONB66348 OWX65548:OWX66348 PGT65548:PGT66348 PQP65548:PQP66348 QAL65548:QAL66348 QKH65548:QKH66348 QUD65548:QUD66348 RDZ65548:RDZ66348 RNV65548:RNV66348 RXR65548:RXR66348 SHN65548:SHN66348 SRJ65548:SRJ66348 TBF65548:TBF66348 TLB65548:TLB66348 TUX65548:TUX66348 UET65548:UET66348 UOP65548:UOP66348 UYL65548:UYL66348 VIH65548:VIH66348 VSD65548:VSD66348 WBZ65548:WBZ66348 WLV65548:WLV66348 WVR65548:WVR66348 I131084:J131884 JF131084:JF131884 TB131084:TB131884 ACX131084:ACX131884 AMT131084:AMT131884 AWP131084:AWP131884 BGL131084:BGL131884 BQH131084:BQH131884 CAD131084:CAD131884 CJZ131084:CJZ131884 CTV131084:CTV131884 DDR131084:DDR131884 DNN131084:DNN131884 DXJ131084:DXJ131884 EHF131084:EHF131884 ERB131084:ERB131884 FAX131084:FAX131884 FKT131084:FKT131884 FUP131084:FUP131884 GEL131084:GEL131884 GOH131084:GOH131884 GYD131084:GYD131884 HHZ131084:HHZ131884 HRV131084:HRV131884 IBR131084:IBR131884 ILN131084:ILN131884 IVJ131084:IVJ131884 JFF131084:JFF131884 JPB131084:JPB131884 JYX131084:JYX131884 KIT131084:KIT131884 KSP131084:KSP131884 LCL131084:LCL131884 LMH131084:LMH131884 LWD131084:LWD131884 MFZ131084:MFZ131884 MPV131084:MPV131884 MZR131084:MZR131884 NJN131084:NJN131884 NTJ131084:NTJ131884 ODF131084:ODF131884 ONB131084:ONB131884 OWX131084:OWX131884 PGT131084:PGT131884 PQP131084:PQP131884 QAL131084:QAL131884 QKH131084:QKH131884 QUD131084:QUD131884 RDZ131084:RDZ131884 RNV131084:RNV131884 RXR131084:RXR131884 SHN131084:SHN131884 SRJ131084:SRJ131884 TBF131084:TBF131884 TLB131084:TLB131884 TUX131084:TUX131884 UET131084:UET131884 UOP131084:UOP131884 UYL131084:UYL131884 VIH131084:VIH131884 VSD131084:VSD131884 WBZ131084:WBZ131884 WLV131084:WLV131884 WVR131084:WVR131884 I196620:J197420 JF196620:JF197420 TB196620:TB197420 ACX196620:ACX197420 AMT196620:AMT197420 AWP196620:AWP197420 BGL196620:BGL197420 BQH196620:BQH197420 CAD196620:CAD197420 CJZ196620:CJZ197420 CTV196620:CTV197420 DDR196620:DDR197420 DNN196620:DNN197420 DXJ196620:DXJ197420 EHF196620:EHF197420 ERB196620:ERB197420 FAX196620:FAX197420 FKT196620:FKT197420 FUP196620:FUP197420 GEL196620:GEL197420 GOH196620:GOH197420 GYD196620:GYD197420 HHZ196620:HHZ197420 HRV196620:HRV197420 IBR196620:IBR197420 ILN196620:ILN197420 IVJ196620:IVJ197420 JFF196620:JFF197420 JPB196620:JPB197420 JYX196620:JYX197420 KIT196620:KIT197420 KSP196620:KSP197420 LCL196620:LCL197420 LMH196620:LMH197420 LWD196620:LWD197420 MFZ196620:MFZ197420 MPV196620:MPV197420 MZR196620:MZR197420 NJN196620:NJN197420 NTJ196620:NTJ197420 ODF196620:ODF197420 ONB196620:ONB197420 OWX196620:OWX197420 PGT196620:PGT197420 PQP196620:PQP197420 QAL196620:QAL197420 QKH196620:QKH197420 QUD196620:QUD197420 RDZ196620:RDZ197420 RNV196620:RNV197420 RXR196620:RXR197420 SHN196620:SHN197420 SRJ196620:SRJ197420 TBF196620:TBF197420 TLB196620:TLB197420 TUX196620:TUX197420 UET196620:UET197420 UOP196620:UOP197420 UYL196620:UYL197420 VIH196620:VIH197420 VSD196620:VSD197420 WBZ196620:WBZ197420 WLV196620:WLV197420 WVR196620:WVR197420 I262156:J262956 JF262156:JF262956 TB262156:TB262956 ACX262156:ACX262956 AMT262156:AMT262956 AWP262156:AWP262956 BGL262156:BGL262956 BQH262156:BQH262956 CAD262156:CAD262956 CJZ262156:CJZ262956 CTV262156:CTV262956 DDR262156:DDR262956 DNN262156:DNN262956 DXJ262156:DXJ262956 EHF262156:EHF262956 ERB262156:ERB262956 FAX262156:FAX262956 FKT262156:FKT262956 FUP262156:FUP262956 GEL262156:GEL262956 GOH262156:GOH262956 GYD262156:GYD262956 HHZ262156:HHZ262956 HRV262156:HRV262956 IBR262156:IBR262956 ILN262156:ILN262956 IVJ262156:IVJ262956 JFF262156:JFF262956 JPB262156:JPB262956 JYX262156:JYX262956 KIT262156:KIT262956 KSP262156:KSP262956 LCL262156:LCL262956 LMH262156:LMH262956 LWD262156:LWD262956 MFZ262156:MFZ262956 MPV262156:MPV262956 MZR262156:MZR262956 NJN262156:NJN262956 NTJ262156:NTJ262956 ODF262156:ODF262956 ONB262156:ONB262956 OWX262156:OWX262956 PGT262156:PGT262956 PQP262156:PQP262956 QAL262156:QAL262956 QKH262156:QKH262956 QUD262156:QUD262956 RDZ262156:RDZ262956 RNV262156:RNV262956 RXR262156:RXR262956 SHN262156:SHN262956 SRJ262156:SRJ262956 TBF262156:TBF262956 TLB262156:TLB262956 TUX262156:TUX262956 UET262156:UET262956 UOP262156:UOP262956 UYL262156:UYL262956 VIH262156:VIH262956 VSD262156:VSD262956 WBZ262156:WBZ262956 WLV262156:WLV262956 WVR262156:WVR262956 I327692:J328492 JF327692:JF328492 TB327692:TB328492 ACX327692:ACX328492 AMT327692:AMT328492 AWP327692:AWP328492 BGL327692:BGL328492 BQH327692:BQH328492 CAD327692:CAD328492 CJZ327692:CJZ328492 CTV327692:CTV328492 DDR327692:DDR328492 DNN327692:DNN328492 DXJ327692:DXJ328492 EHF327692:EHF328492 ERB327692:ERB328492 FAX327692:FAX328492 FKT327692:FKT328492 FUP327692:FUP328492 GEL327692:GEL328492 GOH327692:GOH328492 GYD327692:GYD328492 HHZ327692:HHZ328492 HRV327692:HRV328492 IBR327692:IBR328492 ILN327692:ILN328492 IVJ327692:IVJ328492 JFF327692:JFF328492 JPB327692:JPB328492 JYX327692:JYX328492 KIT327692:KIT328492 KSP327692:KSP328492 LCL327692:LCL328492 LMH327692:LMH328492 LWD327692:LWD328492 MFZ327692:MFZ328492 MPV327692:MPV328492 MZR327692:MZR328492 NJN327692:NJN328492 NTJ327692:NTJ328492 ODF327692:ODF328492 ONB327692:ONB328492 OWX327692:OWX328492 PGT327692:PGT328492 PQP327692:PQP328492 QAL327692:QAL328492 QKH327692:QKH328492 QUD327692:QUD328492 RDZ327692:RDZ328492 RNV327692:RNV328492 RXR327692:RXR328492 SHN327692:SHN328492 SRJ327692:SRJ328492 TBF327692:TBF328492 TLB327692:TLB328492 TUX327692:TUX328492 UET327692:UET328492 UOP327692:UOP328492 UYL327692:UYL328492 VIH327692:VIH328492 VSD327692:VSD328492 WBZ327692:WBZ328492 WLV327692:WLV328492 WVR327692:WVR328492 I393228:J394028 JF393228:JF394028 TB393228:TB394028 ACX393228:ACX394028 AMT393228:AMT394028 AWP393228:AWP394028 BGL393228:BGL394028 BQH393228:BQH394028 CAD393228:CAD394028 CJZ393228:CJZ394028 CTV393228:CTV394028 DDR393228:DDR394028 DNN393228:DNN394028 DXJ393228:DXJ394028 EHF393228:EHF394028 ERB393228:ERB394028 FAX393228:FAX394028 FKT393228:FKT394028 FUP393228:FUP394028 GEL393228:GEL394028 GOH393228:GOH394028 GYD393228:GYD394028 HHZ393228:HHZ394028 HRV393228:HRV394028 IBR393228:IBR394028 ILN393228:ILN394028 IVJ393228:IVJ394028 JFF393228:JFF394028 JPB393228:JPB394028 JYX393228:JYX394028 KIT393228:KIT394028 KSP393228:KSP394028 LCL393228:LCL394028 LMH393228:LMH394028 LWD393228:LWD394028 MFZ393228:MFZ394028 MPV393228:MPV394028 MZR393228:MZR394028 NJN393228:NJN394028 NTJ393228:NTJ394028 ODF393228:ODF394028 ONB393228:ONB394028 OWX393228:OWX394028 PGT393228:PGT394028 PQP393228:PQP394028 QAL393228:QAL394028 QKH393228:QKH394028 QUD393228:QUD394028 RDZ393228:RDZ394028 RNV393228:RNV394028 RXR393228:RXR394028 SHN393228:SHN394028 SRJ393228:SRJ394028 TBF393228:TBF394028 TLB393228:TLB394028 TUX393228:TUX394028 UET393228:UET394028 UOP393228:UOP394028 UYL393228:UYL394028 VIH393228:VIH394028 VSD393228:VSD394028 WBZ393228:WBZ394028 WLV393228:WLV394028 WVR393228:WVR394028 I458764:J459564 JF458764:JF459564 TB458764:TB459564 ACX458764:ACX459564 AMT458764:AMT459564 AWP458764:AWP459564 BGL458764:BGL459564 BQH458764:BQH459564 CAD458764:CAD459564 CJZ458764:CJZ459564 CTV458764:CTV459564 DDR458764:DDR459564 DNN458764:DNN459564 DXJ458764:DXJ459564 EHF458764:EHF459564 ERB458764:ERB459564 FAX458764:FAX459564 FKT458764:FKT459564 FUP458764:FUP459564 GEL458764:GEL459564 GOH458764:GOH459564 GYD458764:GYD459564 HHZ458764:HHZ459564 HRV458764:HRV459564 IBR458764:IBR459564 ILN458764:ILN459564 IVJ458764:IVJ459564 JFF458764:JFF459564 JPB458764:JPB459564 JYX458764:JYX459564 KIT458764:KIT459564 KSP458764:KSP459564 LCL458764:LCL459564 LMH458764:LMH459564 LWD458764:LWD459564 MFZ458764:MFZ459564 MPV458764:MPV459564 MZR458764:MZR459564 NJN458764:NJN459564 NTJ458764:NTJ459564 ODF458764:ODF459564 ONB458764:ONB459564 OWX458764:OWX459564 PGT458764:PGT459564 PQP458764:PQP459564 QAL458764:QAL459564 QKH458764:QKH459564 QUD458764:QUD459564 RDZ458764:RDZ459564 RNV458764:RNV459564 RXR458764:RXR459564 SHN458764:SHN459564 SRJ458764:SRJ459564 TBF458764:TBF459564 TLB458764:TLB459564 TUX458764:TUX459564 UET458764:UET459564 UOP458764:UOP459564 UYL458764:UYL459564 VIH458764:VIH459564 VSD458764:VSD459564 WBZ458764:WBZ459564 WLV458764:WLV459564 WVR458764:WVR459564 I524300:J525100 JF524300:JF525100 TB524300:TB525100 ACX524300:ACX525100 AMT524300:AMT525100 AWP524300:AWP525100 BGL524300:BGL525100 BQH524300:BQH525100 CAD524300:CAD525100 CJZ524300:CJZ525100 CTV524300:CTV525100 DDR524300:DDR525100 DNN524300:DNN525100 DXJ524300:DXJ525100 EHF524300:EHF525100 ERB524300:ERB525100 FAX524300:FAX525100 FKT524300:FKT525100 FUP524300:FUP525100 GEL524300:GEL525100 GOH524300:GOH525100 GYD524300:GYD525100 HHZ524300:HHZ525100 HRV524300:HRV525100 IBR524300:IBR525100 ILN524300:ILN525100 IVJ524300:IVJ525100 JFF524300:JFF525100 JPB524300:JPB525100 JYX524300:JYX525100 KIT524300:KIT525100 KSP524300:KSP525100 LCL524300:LCL525100 LMH524300:LMH525100 LWD524300:LWD525100 MFZ524300:MFZ525100 MPV524300:MPV525100 MZR524300:MZR525100 NJN524300:NJN525100 NTJ524300:NTJ525100 ODF524300:ODF525100 ONB524300:ONB525100 OWX524300:OWX525100 PGT524300:PGT525100 PQP524300:PQP525100 QAL524300:QAL525100 QKH524300:QKH525100 QUD524300:QUD525100 RDZ524300:RDZ525100 RNV524300:RNV525100 RXR524300:RXR525100 SHN524300:SHN525100 SRJ524300:SRJ525100 TBF524300:TBF525100 TLB524300:TLB525100 TUX524300:TUX525100 UET524300:UET525100 UOP524300:UOP525100 UYL524300:UYL525100 VIH524300:VIH525100 VSD524300:VSD525100 WBZ524300:WBZ525100 WLV524300:WLV525100 WVR524300:WVR525100 I589836:J590636 JF589836:JF590636 TB589836:TB590636 ACX589836:ACX590636 AMT589836:AMT590636 AWP589836:AWP590636 BGL589836:BGL590636 BQH589836:BQH590636 CAD589836:CAD590636 CJZ589836:CJZ590636 CTV589836:CTV590636 DDR589836:DDR590636 DNN589836:DNN590636 DXJ589836:DXJ590636 EHF589836:EHF590636 ERB589836:ERB590636 FAX589836:FAX590636 FKT589836:FKT590636 FUP589836:FUP590636 GEL589836:GEL590636 GOH589836:GOH590636 GYD589836:GYD590636 HHZ589836:HHZ590636 HRV589836:HRV590636 IBR589836:IBR590636 ILN589836:ILN590636 IVJ589836:IVJ590636 JFF589836:JFF590636 JPB589836:JPB590636 JYX589836:JYX590636 KIT589836:KIT590636 KSP589836:KSP590636 LCL589836:LCL590636 LMH589836:LMH590636 LWD589836:LWD590636 MFZ589836:MFZ590636 MPV589836:MPV590636 MZR589836:MZR590636 NJN589836:NJN590636 NTJ589836:NTJ590636 ODF589836:ODF590636 ONB589836:ONB590636 OWX589836:OWX590636 PGT589836:PGT590636 PQP589836:PQP590636 QAL589836:QAL590636 QKH589836:QKH590636 QUD589836:QUD590636 RDZ589836:RDZ590636 RNV589836:RNV590636 RXR589836:RXR590636 SHN589836:SHN590636 SRJ589836:SRJ590636 TBF589836:TBF590636 TLB589836:TLB590636 TUX589836:TUX590636 UET589836:UET590636 UOP589836:UOP590636 UYL589836:UYL590636 VIH589836:VIH590636 VSD589836:VSD590636 WBZ589836:WBZ590636 WLV589836:WLV590636 WVR589836:WVR590636 I655372:J656172 JF655372:JF656172 TB655372:TB656172 ACX655372:ACX656172 AMT655372:AMT656172 AWP655372:AWP656172 BGL655372:BGL656172 BQH655372:BQH656172 CAD655372:CAD656172 CJZ655372:CJZ656172 CTV655372:CTV656172 DDR655372:DDR656172 DNN655372:DNN656172 DXJ655372:DXJ656172 EHF655372:EHF656172 ERB655372:ERB656172 FAX655372:FAX656172 FKT655372:FKT656172 FUP655372:FUP656172 GEL655372:GEL656172 GOH655372:GOH656172 GYD655372:GYD656172 HHZ655372:HHZ656172 HRV655372:HRV656172 IBR655372:IBR656172 ILN655372:ILN656172 IVJ655372:IVJ656172 JFF655372:JFF656172 JPB655372:JPB656172 JYX655372:JYX656172 KIT655372:KIT656172 KSP655372:KSP656172 LCL655372:LCL656172 LMH655372:LMH656172 LWD655372:LWD656172 MFZ655372:MFZ656172 MPV655372:MPV656172 MZR655372:MZR656172 NJN655372:NJN656172 NTJ655372:NTJ656172 ODF655372:ODF656172 ONB655372:ONB656172 OWX655372:OWX656172 PGT655372:PGT656172 PQP655372:PQP656172 QAL655372:QAL656172 QKH655372:QKH656172 QUD655372:QUD656172 RDZ655372:RDZ656172 RNV655372:RNV656172 RXR655372:RXR656172 SHN655372:SHN656172 SRJ655372:SRJ656172 TBF655372:TBF656172 TLB655372:TLB656172 TUX655372:TUX656172 UET655372:UET656172 UOP655372:UOP656172 UYL655372:UYL656172 VIH655372:VIH656172 VSD655372:VSD656172 WBZ655372:WBZ656172 WLV655372:WLV656172 WVR655372:WVR656172 I720908:J721708 JF720908:JF721708 TB720908:TB721708 ACX720908:ACX721708 AMT720908:AMT721708 AWP720908:AWP721708 BGL720908:BGL721708 BQH720908:BQH721708 CAD720908:CAD721708 CJZ720908:CJZ721708 CTV720908:CTV721708 DDR720908:DDR721708 DNN720908:DNN721708 DXJ720908:DXJ721708 EHF720908:EHF721708 ERB720908:ERB721708 FAX720908:FAX721708 FKT720908:FKT721708 FUP720908:FUP721708 GEL720908:GEL721708 GOH720908:GOH721708 GYD720908:GYD721708 HHZ720908:HHZ721708 HRV720908:HRV721708 IBR720908:IBR721708 ILN720908:ILN721708 IVJ720908:IVJ721708 JFF720908:JFF721708 JPB720908:JPB721708 JYX720908:JYX721708 KIT720908:KIT721708 KSP720908:KSP721708 LCL720908:LCL721708 LMH720908:LMH721708 LWD720908:LWD721708 MFZ720908:MFZ721708 MPV720908:MPV721708 MZR720908:MZR721708 NJN720908:NJN721708 NTJ720908:NTJ721708 ODF720908:ODF721708 ONB720908:ONB721708 OWX720908:OWX721708 PGT720908:PGT721708 PQP720908:PQP721708 QAL720908:QAL721708 QKH720908:QKH721708 QUD720908:QUD721708 RDZ720908:RDZ721708 RNV720908:RNV721708 RXR720908:RXR721708 SHN720908:SHN721708 SRJ720908:SRJ721708 TBF720908:TBF721708 TLB720908:TLB721708 TUX720908:TUX721708 UET720908:UET721708 UOP720908:UOP721708 UYL720908:UYL721708 VIH720908:VIH721708 VSD720908:VSD721708 WBZ720908:WBZ721708 WLV720908:WLV721708 WVR720908:WVR721708 I786444:J787244 JF786444:JF787244 TB786444:TB787244 ACX786444:ACX787244 AMT786444:AMT787244 AWP786444:AWP787244 BGL786444:BGL787244 BQH786444:BQH787244 CAD786444:CAD787244 CJZ786444:CJZ787244 CTV786444:CTV787244 DDR786444:DDR787244 DNN786444:DNN787244 DXJ786444:DXJ787244 EHF786444:EHF787244 ERB786444:ERB787244 FAX786444:FAX787244 FKT786444:FKT787244 FUP786444:FUP787244 GEL786444:GEL787244 GOH786444:GOH787244 GYD786444:GYD787244 HHZ786444:HHZ787244 HRV786444:HRV787244 IBR786444:IBR787244 ILN786444:ILN787244 IVJ786444:IVJ787244 JFF786444:JFF787244 JPB786444:JPB787244 JYX786444:JYX787244 KIT786444:KIT787244 KSP786444:KSP787244 LCL786444:LCL787244 LMH786444:LMH787244 LWD786444:LWD787244 MFZ786444:MFZ787244 MPV786444:MPV787244 MZR786444:MZR787244 NJN786444:NJN787244 NTJ786444:NTJ787244 ODF786444:ODF787244 ONB786444:ONB787244 OWX786444:OWX787244 PGT786444:PGT787244 PQP786444:PQP787244 QAL786444:QAL787244 QKH786444:QKH787244 QUD786444:QUD787244 RDZ786444:RDZ787244 RNV786444:RNV787244 RXR786444:RXR787244 SHN786444:SHN787244 SRJ786444:SRJ787244 TBF786444:TBF787244 TLB786444:TLB787244 TUX786444:TUX787244 UET786444:UET787244 UOP786444:UOP787244 UYL786444:UYL787244 VIH786444:VIH787244 VSD786444:VSD787244 WBZ786444:WBZ787244 WLV786444:WLV787244 WVR786444:WVR787244 I851980:J852780 JF851980:JF852780 TB851980:TB852780 ACX851980:ACX852780 AMT851980:AMT852780 AWP851980:AWP852780 BGL851980:BGL852780 BQH851980:BQH852780 CAD851980:CAD852780 CJZ851980:CJZ852780 CTV851980:CTV852780 DDR851980:DDR852780 DNN851980:DNN852780 DXJ851980:DXJ852780 EHF851980:EHF852780 ERB851980:ERB852780 FAX851980:FAX852780 FKT851980:FKT852780 FUP851980:FUP852780 GEL851980:GEL852780 GOH851980:GOH852780 GYD851980:GYD852780 HHZ851980:HHZ852780 HRV851980:HRV852780 IBR851980:IBR852780 ILN851980:ILN852780 IVJ851980:IVJ852780 JFF851980:JFF852780 JPB851980:JPB852780 JYX851980:JYX852780 KIT851980:KIT852780 KSP851980:KSP852780 LCL851980:LCL852780 LMH851980:LMH852780 LWD851980:LWD852780 MFZ851980:MFZ852780 MPV851980:MPV852780 MZR851980:MZR852780 NJN851980:NJN852780 NTJ851980:NTJ852780 ODF851980:ODF852780 ONB851980:ONB852780 OWX851980:OWX852780 PGT851980:PGT852780 PQP851980:PQP852780 QAL851980:QAL852780 QKH851980:QKH852780 QUD851980:QUD852780 RDZ851980:RDZ852780 RNV851980:RNV852780 RXR851980:RXR852780 SHN851980:SHN852780 SRJ851980:SRJ852780 TBF851980:TBF852780 TLB851980:TLB852780 TUX851980:TUX852780 UET851980:UET852780 UOP851980:UOP852780 UYL851980:UYL852780 VIH851980:VIH852780 VSD851980:VSD852780 WBZ851980:WBZ852780 WLV851980:WLV852780 WVR851980:WVR852780 I917516:J918316 JF917516:JF918316 TB917516:TB918316 ACX917516:ACX918316 AMT917516:AMT918316 AWP917516:AWP918316 BGL917516:BGL918316 BQH917516:BQH918316 CAD917516:CAD918316 CJZ917516:CJZ918316 CTV917516:CTV918316 DDR917516:DDR918316 DNN917516:DNN918316 DXJ917516:DXJ918316 EHF917516:EHF918316 ERB917516:ERB918316 FAX917516:FAX918316 FKT917516:FKT918316 FUP917516:FUP918316 GEL917516:GEL918316 GOH917516:GOH918316 GYD917516:GYD918316 HHZ917516:HHZ918316 HRV917516:HRV918316 IBR917516:IBR918316 ILN917516:ILN918316 IVJ917516:IVJ918316 JFF917516:JFF918316 JPB917516:JPB918316 JYX917516:JYX918316 KIT917516:KIT918316 KSP917516:KSP918316 LCL917516:LCL918316 LMH917516:LMH918316 LWD917516:LWD918316 MFZ917516:MFZ918316 MPV917516:MPV918316 MZR917516:MZR918316 NJN917516:NJN918316 NTJ917516:NTJ918316 ODF917516:ODF918316 ONB917516:ONB918316 OWX917516:OWX918316 PGT917516:PGT918316 PQP917516:PQP918316 QAL917516:QAL918316 QKH917516:QKH918316 QUD917516:QUD918316 RDZ917516:RDZ918316 RNV917516:RNV918316 RXR917516:RXR918316 SHN917516:SHN918316 SRJ917516:SRJ918316 TBF917516:TBF918316 TLB917516:TLB918316 TUX917516:TUX918316 UET917516:UET918316 UOP917516:UOP918316 UYL917516:UYL918316 VIH917516:VIH918316 VSD917516:VSD918316 WBZ917516:WBZ918316 WLV917516:WLV918316 WVR917516:WVR918316 I983052:J983852 JF983052:JF983852 TB983052:TB983852 ACX983052:ACX983852 AMT983052:AMT983852 AWP983052:AWP983852 BGL983052:BGL983852 BQH983052:BQH983852 CAD983052:CAD983852 CJZ983052:CJZ983852 CTV983052:CTV983852 DDR983052:DDR983852 DNN983052:DNN983852 DXJ983052:DXJ983852 EHF983052:EHF983852 ERB983052:ERB983852 FAX983052:FAX983852 FKT983052:FKT983852 FUP983052:FUP983852 GEL983052:GEL983852 GOH983052:GOH983852 GYD983052:GYD983852 HHZ983052:HHZ983852 HRV983052:HRV983852 IBR983052:IBR983852 ILN983052:ILN983852 IVJ983052:IVJ983852 JFF983052:JFF983852 JPB983052:JPB983852 JYX983052:JYX983852 KIT983052:KIT983852 KSP983052:KSP983852 LCL983052:LCL983852 LMH983052:LMH983852 LWD983052:LWD983852 MFZ983052:MFZ983852 MPV983052:MPV983852 MZR983052:MZR983852 NJN983052:NJN983852 NTJ983052:NTJ983852 ODF983052:ODF983852 ONB983052:ONB983852 OWX983052:OWX983852 PGT983052:PGT983852 PQP983052:PQP983852 QAL983052:QAL983852 QKH983052:QKH983852 QUD983052:QUD983852 RDZ983052:RDZ983852 RNV983052:RNV983852 RXR983052:RXR983852 SHN983052:SHN983852 SRJ983052:SRJ983852 TBF983052:TBF983852 TLB983052:TLB983852 TUX983052:TUX983852 UET983052:UET983852 UOP983052:UOP983852 UYL983052:UYL983852 VIH983052:VIH983852 VSD983052:VSD983852 WBZ983052:WBZ983852 WLV983052:WLV983852 WVR983052:WVR983852">
      <formula1>"DC, AC, GND, RF, P, P-sense, N/C,Guard"</formula1>
    </dataValidation>
    <dataValidation type="list" allowBlank="1" showInputMessage="1" showErrorMessage="1" sqref="L813:L815 JH813:JH815 TD813:TD815 ACZ813:ACZ815 AMV813:AMV815 AWR813:AWR815 BGN813:BGN815 BQJ813:BQJ815 CAF813:CAF815 CKB813:CKB815 CTX813:CTX815 DDT813:DDT815 DNP813:DNP815 DXL813:DXL815 EHH813:EHH815 ERD813:ERD815 FAZ813:FAZ815 FKV813:FKV815 FUR813:FUR815 GEN813:GEN815 GOJ813:GOJ815 GYF813:GYF815 HIB813:HIB815 HRX813:HRX815 IBT813:IBT815 ILP813:ILP815 IVL813:IVL815 JFH813:JFH815 JPD813:JPD815 JYZ813:JYZ815 KIV813:KIV815 KSR813:KSR815 LCN813:LCN815 LMJ813:LMJ815 LWF813:LWF815 MGB813:MGB815 MPX813:MPX815 MZT813:MZT815 NJP813:NJP815 NTL813:NTL815 ODH813:ODH815 OND813:OND815 OWZ813:OWZ815 PGV813:PGV815 PQR813:PQR815 QAN813:QAN815 QKJ813:QKJ815 QUF813:QUF815 REB813:REB815 RNX813:RNX815 RXT813:RXT815 SHP813:SHP815 SRL813:SRL815 TBH813:TBH815 TLD813:TLD815 TUZ813:TUZ815 UEV813:UEV815 UOR813:UOR815 UYN813:UYN815 VIJ813:VIJ815 VSF813:VSF815 WCB813:WCB815 WLX813:WLX815 WVT813:WVT815 L66349:L66351 JH66349:JH66351 TD66349:TD66351 ACZ66349:ACZ66351 AMV66349:AMV66351 AWR66349:AWR66351 BGN66349:BGN66351 BQJ66349:BQJ66351 CAF66349:CAF66351 CKB66349:CKB66351 CTX66349:CTX66351 DDT66349:DDT66351 DNP66349:DNP66351 DXL66349:DXL66351 EHH66349:EHH66351 ERD66349:ERD66351 FAZ66349:FAZ66351 FKV66349:FKV66351 FUR66349:FUR66351 GEN66349:GEN66351 GOJ66349:GOJ66351 GYF66349:GYF66351 HIB66349:HIB66351 HRX66349:HRX66351 IBT66349:IBT66351 ILP66349:ILP66351 IVL66349:IVL66351 JFH66349:JFH66351 JPD66349:JPD66351 JYZ66349:JYZ66351 KIV66349:KIV66351 KSR66349:KSR66351 LCN66349:LCN66351 LMJ66349:LMJ66351 LWF66349:LWF66351 MGB66349:MGB66351 MPX66349:MPX66351 MZT66349:MZT66351 NJP66349:NJP66351 NTL66349:NTL66351 ODH66349:ODH66351 OND66349:OND66351 OWZ66349:OWZ66351 PGV66349:PGV66351 PQR66349:PQR66351 QAN66349:QAN66351 QKJ66349:QKJ66351 QUF66349:QUF66351 REB66349:REB66351 RNX66349:RNX66351 RXT66349:RXT66351 SHP66349:SHP66351 SRL66349:SRL66351 TBH66349:TBH66351 TLD66349:TLD66351 TUZ66349:TUZ66351 UEV66349:UEV66351 UOR66349:UOR66351 UYN66349:UYN66351 VIJ66349:VIJ66351 VSF66349:VSF66351 WCB66349:WCB66351 WLX66349:WLX66351 WVT66349:WVT66351 L131885:L131887 JH131885:JH131887 TD131885:TD131887 ACZ131885:ACZ131887 AMV131885:AMV131887 AWR131885:AWR131887 BGN131885:BGN131887 BQJ131885:BQJ131887 CAF131885:CAF131887 CKB131885:CKB131887 CTX131885:CTX131887 DDT131885:DDT131887 DNP131885:DNP131887 DXL131885:DXL131887 EHH131885:EHH131887 ERD131885:ERD131887 FAZ131885:FAZ131887 FKV131885:FKV131887 FUR131885:FUR131887 GEN131885:GEN131887 GOJ131885:GOJ131887 GYF131885:GYF131887 HIB131885:HIB131887 HRX131885:HRX131887 IBT131885:IBT131887 ILP131885:ILP131887 IVL131885:IVL131887 JFH131885:JFH131887 JPD131885:JPD131887 JYZ131885:JYZ131887 KIV131885:KIV131887 KSR131885:KSR131887 LCN131885:LCN131887 LMJ131885:LMJ131887 LWF131885:LWF131887 MGB131885:MGB131887 MPX131885:MPX131887 MZT131885:MZT131887 NJP131885:NJP131887 NTL131885:NTL131887 ODH131885:ODH131887 OND131885:OND131887 OWZ131885:OWZ131887 PGV131885:PGV131887 PQR131885:PQR131887 QAN131885:QAN131887 QKJ131885:QKJ131887 QUF131885:QUF131887 REB131885:REB131887 RNX131885:RNX131887 RXT131885:RXT131887 SHP131885:SHP131887 SRL131885:SRL131887 TBH131885:TBH131887 TLD131885:TLD131887 TUZ131885:TUZ131887 UEV131885:UEV131887 UOR131885:UOR131887 UYN131885:UYN131887 VIJ131885:VIJ131887 VSF131885:VSF131887 WCB131885:WCB131887 WLX131885:WLX131887 WVT131885:WVT131887 L197421:L197423 JH197421:JH197423 TD197421:TD197423 ACZ197421:ACZ197423 AMV197421:AMV197423 AWR197421:AWR197423 BGN197421:BGN197423 BQJ197421:BQJ197423 CAF197421:CAF197423 CKB197421:CKB197423 CTX197421:CTX197423 DDT197421:DDT197423 DNP197421:DNP197423 DXL197421:DXL197423 EHH197421:EHH197423 ERD197421:ERD197423 FAZ197421:FAZ197423 FKV197421:FKV197423 FUR197421:FUR197423 GEN197421:GEN197423 GOJ197421:GOJ197423 GYF197421:GYF197423 HIB197421:HIB197423 HRX197421:HRX197423 IBT197421:IBT197423 ILP197421:ILP197423 IVL197421:IVL197423 JFH197421:JFH197423 JPD197421:JPD197423 JYZ197421:JYZ197423 KIV197421:KIV197423 KSR197421:KSR197423 LCN197421:LCN197423 LMJ197421:LMJ197423 LWF197421:LWF197423 MGB197421:MGB197423 MPX197421:MPX197423 MZT197421:MZT197423 NJP197421:NJP197423 NTL197421:NTL197423 ODH197421:ODH197423 OND197421:OND197423 OWZ197421:OWZ197423 PGV197421:PGV197423 PQR197421:PQR197423 QAN197421:QAN197423 QKJ197421:QKJ197423 QUF197421:QUF197423 REB197421:REB197423 RNX197421:RNX197423 RXT197421:RXT197423 SHP197421:SHP197423 SRL197421:SRL197423 TBH197421:TBH197423 TLD197421:TLD197423 TUZ197421:TUZ197423 UEV197421:UEV197423 UOR197421:UOR197423 UYN197421:UYN197423 VIJ197421:VIJ197423 VSF197421:VSF197423 WCB197421:WCB197423 WLX197421:WLX197423 WVT197421:WVT197423 L262957:L262959 JH262957:JH262959 TD262957:TD262959 ACZ262957:ACZ262959 AMV262957:AMV262959 AWR262957:AWR262959 BGN262957:BGN262959 BQJ262957:BQJ262959 CAF262957:CAF262959 CKB262957:CKB262959 CTX262957:CTX262959 DDT262957:DDT262959 DNP262957:DNP262959 DXL262957:DXL262959 EHH262957:EHH262959 ERD262957:ERD262959 FAZ262957:FAZ262959 FKV262957:FKV262959 FUR262957:FUR262959 GEN262957:GEN262959 GOJ262957:GOJ262959 GYF262957:GYF262959 HIB262957:HIB262959 HRX262957:HRX262959 IBT262957:IBT262959 ILP262957:ILP262959 IVL262957:IVL262959 JFH262957:JFH262959 JPD262957:JPD262959 JYZ262957:JYZ262959 KIV262957:KIV262959 KSR262957:KSR262959 LCN262957:LCN262959 LMJ262957:LMJ262959 LWF262957:LWF262959 MGB262957:MGB262959 MPX262957:MPX262959 MZT262957:MZT262959 NJP262957:NJP262959 NTL262957:NTL262959 ODH262957:ODH262959 OND262957:OND262959 OWZ262957:OWZ262959 PGV262957:PGV262959 PQR262957:PQR262959 QAN262957:QAN262959 QKJ262957:QKJ262959 QUF262957:QUF262959 REB262957:REB262959 RNX262957:RNX262959 RXT262957:RXT262959 SHP262957:SHP262959 SRL262957:SRL262959 TBH262957:TBH262959 TLD262957:TLD262959 TUZ262957:TUZ262959 UEV262957:UEV262959 UOR262957:UOR262959 UYN262957:UYN262959 VIJ262957:VIJ262959 VSF262957:VSF262959 WCB262957:WCB262959 WLX262957:WLX262959 WVT262957:WVT262959 L328493:L328495 JH328493:JH328495 TD328493:TD328495 ACZ328493:ACZ328495 AMV328493:AMV328495 AWR328493:AWR328495 BGN328493:BGN328495 BQJ328493:BQJ328495 CAF328493:CAF328495 CKB328493:CKB328495 CTX328493:CTX328495 DDT328493:DDT328495 DNP328493:DNP328495 DXL328493:DXL328495 EHH328493:EHH328495 ERD328493:ERD328495 FAZ328493:FAZ328495 FKV328493:FKV328495 FUR328493:FUR328495 GEN328493:GEN328495 GOJ328493:GOJ328495 GYF328493:GYF328495 HIB328493:HIB328495 HRX328493:HRX328495 IBT328493:IBT328495 ILP328493:ILP328495 IVL328493:IVL328495 JFH328493:JFH328495 JPD328493:JPD328495 JYZ328493:JYZ328495 KIV328493:KIV328495 KSR328493:KSR328495 LCN328493:LCN328495 LMJ328493:LMJ328495 LWF328493:LWF328495 MGB328493:MGB328495 MPX328493:MPX328495 MZT328493:MZT328495 NJP328493:NJP328495 NTL328493:NTL328495 ODH328493:ODH328495 OND328493:OND328495 OWZ328493:OWZ328495 PGV328493:PGV328495 PQR328493:PQR328495 QAN328493:QAN328495 QKJ328493:QKJ328495 QUF328493:QUF328495 REB328493:REB328495 RNX328493:RNX328495 RXT328493:RXT328495 SHP328493:SHP328495 SRL328493:SRL328495 TBH328493:TBH328495 TLD328493:TLD328495 TUZ328493:TUZ328495 UEV328493:UEV328495 UOR328493:UOR328495 UYN328493:UYN328495 VIJ328493:VIJ328495 VSF328493:VSF328495 WCB328493:WCB328495 WLX328493:WLX328495 WVT328493:WVT328495 L394029:L394031 JH394029:JH394031 TD394029:TD394031 ACZ394029:ACZ394031 AMV394029:AMV394031 AWR394029:AWR394031 BGN394029:BGN394031 BQJ394029:BQJ394031 CAF394029:CAF394031 CKB394029:CKB394031 CTX394029:CTX394031 DDT394029:DDT394031 DNP394029:DNP394031 DXL394029:DXL394031 EHH394029:EHH394031 ERD394029:ERD394031 FAZ394029:FAZ394031 FKV394029:FKV394031 FUR394029:FUR394031 GEN394029:GEN394031 GOJ394029:GOJ394031 GYF394029:GYF394031 HIB394029:HIB394031 HRX394029:HRX394031 IBT394029:IBT394031 ILP394029:ILP394031 IVL394029:IVL394031 JFH394029:JFH394031 JPD394029:JPD394031 JYZ394029:JYZ394031 KIV394029:KIV394031 KSR394029:KSR394031 LCN394029:LCN394031 LMJ394029:LMJ394031 LWF394029:LWF394031 MGB394029:MGB394031 MPX394029:MPX394031 MZT394029:MZT394031 NJP394029:NJP394031 NTL394029:NTL394031 ODH394029:ODH394031 OND394029:OND394031 OWZ394029:OWZ394031 PGV394029:PGV394031 PQR394029:PQR394031 QAN394029:QAN394031 QKJ394029:QKJ394031 QUF394029:QUF394031 REB394029:REB394031 RNX394029:RNX394031 RXT394029:RXT394031 SHP394029:SHP394031 SRL394029:SRL394031 TBH394029:TBH394031 TLD394029:TLD394031 TUZ394029:TUZ394031 UEV394029:UEV394031 UOR394029:UOR394031 UYN394029:UYN394031 VIJ394029:VIJ394031 VSF394029:VSF394031 WCB394029:WCB394031 WLX394029:WLX394031 WVT394029:WVT394031 L459565:L459567 JH459565:JH459567 TD459565:TD459567 ACZ459565:ACZ459567 AMV459565:AMV459567 AWR459565:AWR459567 BGN459565:BGN459567 BQJ459565:BQJ459567 CAF459565:CAF459567 CKB459565:CKB459567 CTX459565:CTX459567 DDT459565:DDT459567 DNP459565:DNP459567 DXL459565:DXL459567 EHH459565:EHH459567 ERD459565:ERD459567 FAZ459565:FAZ459567 FKV459565:FKV459567 FUR459565:FUR459567 GEN459565:GEN459567 GOJ459565:GOJ459567 GYF459565:GYF459567 HIB459565:HIB459567 HRX459565:HRX459567 IBT459565:IBT459567 ILP459565:ILP459567 IVL459565:IVL459567 JFH459565:JFH459567 JPD459565:JPD459567 JYZ459565:JYZ459567 KIV459565:KIV459567 KSR459565:KSR459567 LCN459565:LCN459567 LMJ459565:LMJ459567 LWF459565:LWF459567 MGB459565:MGB459567 MPX459565:MPX459567 MZT459565:MZT459567 NJP459565:NJP459567 NTL459565:NTL459567 ODH459565:ODH459567 OND459565:OND459567 OWZ459565:OWZ459567 PGV459565:PGV459567 PQR459565:PQR459567 QAN459565:QAN459567 QKJ459565:QKJ459567 QUF459565:QUF459567 REB459565:REB459567 RNX459565:RNX459567 RXT459565:RXT459567 SHP459565:SHP459567 SRL459565:SRL459567 TBH459565:TBH459567 TLD459565:TLD459567 TUZ459565:TUZ459567 UEV459565:UEV459567 UOR459565:UOR459567 UYN459565:UYN459567 VIJ459565:VIJ459567 VSF459565:VSF459567 WCB459565:WCB459567 WLX459565:WLX459567 WVT459565:WVT459567 L525101:L525103 JH525101:JH525103 TD525101:TD525103 ACZ525101:ACZ525103 AMV525101:AMV525103 AWR525101:AWR525103 BGN525101:BGN525103 BQJ525101:BQJ525103 CAF525101:CAF525103 CKB525101:CKB525103 CTX525101:CTX525103 DDT525101:DDT525103 DNP525101:DNP525103 DXL525101:DXL525103 EHH525101:EHH525103 ERD525101:ERD525103 FAZ525101:FAZ525103 FKV525101:FKV525103 FUR525101:FUR525103 GEN525101:GEN525103 GOJ525101:GOJ525103 GYF525101:GYF525103 HIB525101:HIB525103 HRX525101:HRX525103 IBT525101:IBT525103 ILP525101:ILP525103 IVL525101:IVL525103 JFH525101:JFH525103 JPD525101:JPD525103 JYZ525101:JYZ525103 KIV525101:KIV525103 KSR525101:KSR525103 LCN525101:LCN525103 LMJ525101:LMJ525103 LWF525101:LWF525103 MGB525101:MGB525103 MPX525101:MPX525103 MZT525101:MZT525103 NJP525101:NJP525103 NTL525101:NTL525103 ODH525101:ODH525103 OND525101:OND525103 OWZ525101:OWZ525103 PGV525101:PGV525103 PQR525101:PQR525103 QAN525101:QAN525103 QKJ525101:QKJ525103 QUF525101:QUF525103 REB525101:REB525103 RNX525101:RNX525103 RXT525101:RXT525103 SHP525101:SHP525103 SRL525101:SRL525103 TBH525101:TBH525103 TLD525101:TLD525103 TUZ525101:TUZ525103 UEV525101:UEV525103 UOR525101:UOR525103 UYN525101:UYN525103 VIJ525101:VIJ525103 VSF525101:VSF525103 WCB525101:WCB525103 WLX525101:WLX525103 WVT525101:WVT525103 L590637:L590639 JH590637:JH590639 TD590637:TD590639 ACZ590637:ACZ590639 AMV590637:AMV590639 AWR590637:AWR590639 BGN590637:BGN590639 BQJ590637:BQJ590639 CAF590637:CAF590639 CKB590637:CKB590639 CTX590637:CTX590639 DDT590637:DDT590639 DNP590637:DNP590639 DXL590637:DXL590639 EHH590637:EHH590639 ERD590637:ERD590639 FAZ590637:FAZ590639 FKV590637:FKV590639 FUR590637:FUR590639 GEN590637:GEN590639 GOJ590637:GOJ590639 GYF590637:GYF590639 HIB590637:HIB590639 HRX590637:HRX590639 IBT590637:IBT590639 ILP590637:ILP590639 IVL590637:IVL590639 JFH590637:JFH590639 JPD590637:JPD590639 JYZ590637:JYZ590639 KIV590637:KIV590639 KSR590637:KSR590639 LCN590637:LCN590639 LMJ590637:LMJ590639 LWF590637:LWF590639 MGB590637:MGB590639 MPX590637:MPX590639 MZT590637:MZT590639 NJP590637:NJP590639 NTL590637:NTL590639 ODH590637:ODH590639 OND590637:OND590639 OWZ590637:OWZ590639 PGV590637:PGV590639 PQR590637:PQR590639 QAN590637:QAN590639 QKJ590637:QKJ590639 QUF590637:QUF590639 REB590637:REB590639 RNX590637:RNX590639 RXT590637:RXT590639 SHP590637:SHP590639 SRL590637:SRL590639 TBH590637:TBH590639 TLD590637:TLD590639 TUZ590637:TUZ590639 UEV590637:UEV590639 UOR590637:UOR590639 UYN590637:UYN590639 VIJ590637:VIJ590639 VSF590637:VSF590639 WCB590637:WCB590639 WLX590637:WLX590639 WVT590637:WVT590639 L656173:L656175 JH656173:JH656175 TD656173:TD656175 ACZ656173:ACZ656175 AMV656173:AMV656175 AWR656173:AWR656175 BGN656173:BGN656175 BQJ656173:BQJ656175 CAF656173:CAF656175 CKB656173:CKB656175 CTX656173:CTX656175 DDT656173:DDT656175 DNP656173:DNP656175 DXL656173:DXL656175 EHH656173:EHH656175 ERD656173:ERD656175 FAZ656173:FAZ656175 FKV656173:FKV656175 FUR656173:FUR656175 GEN656173:GEN656175 GOJ656173:GOJ656175 GYF656173:GYF656175 HIB656173:HIB656175 HRX656173:HRX656175 IBT656173:IBT656175 ILP656173:ILP656175 IVL656173:IVL656175 JFH656173:JFH656175 JPD656173:JPD656175 JYZ656173:JYZ656175 KIV656173:KIV656175 KSR656173:KSR656175 LCN656173:LCN656175 LMJ656173:LMJ656175 LWF656173:LWF656175 MGB656173:MGB656175 MPX656173:MPX656175 MZT656173:MZT656175 NJP656173:NJP656175 NTL656173:NTL656175 ODH656173:ODH656175 OND656173:OND656175 OWZ656173:OWZ656175 PGV656173:PGV656175 PQR656173:PQR656175 QAN656173:QAN656175 QKJ656173:QKJ656175 QUF656173:QUF656175 REB656173:REB656175 RNX656173:RNX656175 RXT656173:RXT656175 SHP656173:SHP656175 SRL656173:SRL656175 TBH656173:TBH656175 TLD656173:TLD656175 TUZ656173:TUZ656175 UEV656173:UEV656175 UOR656173:UOR656175 UYN656173:UYN656175 VIJ656173:VIJ656175 VSF656173:VSF656175 WCB656173:WCB656175 WLX656173:WLX656175 WVT656173:WVT656175 L721709:L721711 JH721709:JH721711 TD721709:TD721711 ACZ721709:ACZ721711 AMV721709:AMV721711 AWR721709:AWR721711 BGN721709:BGN721711 BQJ721709:BQJ721711 CAF721709:CAF721711 CKB721709:CKB721711 CTX721709:CTX721711 DDT721709:DDT721711 DNP721709:DNP721711 DXL721709:DXL721711 EHH721709:EHH721711 ERD721709:ERD721711 FAZ721709:FAZ721711 FKV721709:FKV721711 FUR721709:FUR721711 GEN721709:GEN721711 GOJ721709:GOJ721711 GYF721709:GYF721711 HIB721709:HIB721711 HRX721709:HRX721711 IBT721709:IBT721711 ILP721709:ILP721711 IVL721709:IVL721711 JFH721709:JFH721711 JPD721709:JPD721711 JYZ721709:JYZ721711 KIV721709:KIV721711 KSR721709:KSR721711 LCN721709:LCN721711 LMJ721709:LMJ721711 LWF721709:LWF721711 MGB721709:MGB721711 MPX721709:MPX721711 MZT721709:MZT721711 NJP721709:NJP721711 NTL721709:NTL721711 ODH721709:ODH721711 OND721709:OND721711 OWZ721709:OWZ721711 PGV721709:PGV721711 PQR721709:PQR721711 QAN721709:QAN721711 QKJ721709:QKJ721711 QUF721709:QUF721711 REB721709:REB721711 RNX721709:RNX721711 RXT721709:RXT721711 SHP721709:SHP721711 SRL721709:SRL721711 TBH721709:TBH721711 TLD721709:TLD721711 TUZ721709:TUZ721711 UEV721709:UEV721711 UOR721709:UOR721711 UYN721709:UYN721711 VIJ721709:VIJ721711 VSF721709:VSF721711 WCB721709:WCB721711 WLX721709:WLX721711 WVT721709:WVT721711 L787245:L787247 JH787245:JH787247 TD787245:TD787247 ACZ787245:ACZ787247 AMV787245:AMV787247 AWR787245:AWR787247 BGN787245:BGN787247 BQJ787245:BQJ787247 CAF787245:CAF787247 CKB787245:CKB787247 CTX787245:CTX787247 DDT787245:DDT787247 DNP787245:DNP787247 DXL787245:DXL787247 EHH787245:EHH787247 ERD787245:ERD787247 FAZ787245:FAZ787247 FKV787245:FKV787247 FUR787245:FUR787247 GEN787245:GEN787247 GOJ787245:GOJ787247 GYF787245:GYF787247 HIB787245:HIB787247 HRX787245:HRX787247 IBT787245:IBT787247 ILP787245:ILP787247 IVL787245:IVL787247 JFH787245:JFH787247 JPD787245:JPD787247 JYZ787245:JYZ787247 KIV787245:KIV787247 KSR787245:KSR787247 LCN787245:LCN787247 LMJ787245:LMJ787247 LWF787245:LWF787247 MGB787245:MGB787247 MPX787245:MPX787247 MZT787245:MZT787247 NJP787245:NJP787247 NTL787245:NTL787247 ODH787245:ODH787247 OND787245:OND787247 OWZ787245:OWZ787247 PGV787245:PGV787247 PQR787245:PQR787247 QAN787245:QAN787247 QKJ787245:QKJ787247 QUF787245:QUF787247 REB787245:REB787247 RNX787245:RNX787247 RXT787245:RXT787247 SHP787245:SHP787247 SRL787245:SRL787247 TBH787245:TBH787247 TLD787245:TLD787247 TUZ787245:TUZ787247 UEV787245:UEV787247 UOR787245:UOR787247 UYN787245:UYN787247 VIJ787245:VIJ787247 VSF787245:VSF787247 WCB787245:WCB787247 WLX787245:WLX787247 WVT787245:WVT787247 L852781:L852783 JH852781:JH852783 TD852781:TD852783 ACZ852781:ACZ852783 AMV852781:AMV852783 AWR852781:AWR852783 BGN852781:BGN852783 BQJ852781:BQJ852783 CAF852781:CAF852783 CKB852781:CKB852783 CTX852781:CTX852783 DDT852781:DDT852783 DNP852781:DNP852783 DXL852781:DXL852783 EHH852781:EHH852783 ERD852781:ERD852783 FAZ852781:FAZ852783 FKV852781:FKV852783 FUR852781:FUR852783 GEN852781:GEN852783 GOJ852781:GOJ852783 GYF852781:GYF852783 HIB852781:HIB852783 HRX852781:HRX852783 IBT852781:IBT852783 ILP852781:ILP852783 IVL852781:IVL852783 JFH852781:JFH852783 JPD852781:JPD852783 JYZ852781:JYZ852783 KIV852781:KIV852783 KSR852781:KSR852783 LCN852781:LCN852783 LMJ852781:LMJ852783 LWF852781:LWF852783 MGB852781:MGB852783 MPX852781:MPX852783 MZT852781:MZT852783 NJP852781:NJP852783 NTL852781:NTL852783 ODH852781:ODH852783 OND852781:OND852783 OWZ852781:OWZ852783 PGV852781:PGV852783 PQR852781:PQR852783 QAN852781:QAN852783 QKJ852781:QKJ852783 QUF852781:QUF852783 REB852781:REB852783 RNX852781:RNX852783 RXT852781:RXT852783 SHP852781:SHP852783 SRL852781:SRL852783 TBH852781:TBH852783 TLD852781:TLD852783 TUZ852781:TUZ852783 UEV852781:UEV852783 UOR852781:UOR852783 UYN852781:UYN852783 VIJ852781:VIJ852783 VSF852781:VSF852783 WCB852781:WCB852783 WLX852781:WLX852783 WVT852781:WVT852783 L918317:L918319 JH918317:JH918319 TD918317:TD918319 ACZ918317:ACZ918319 AMV918317:AMV918319 AWR918317:AWR918319 BGN918317:BGN918319 BQJ918317:BQJ918319 CAF918317:CAF918319 CKB918317:CKB918319 CTX918317:CTX918319 DDT918317:DDT918319 DNP918317:DNP918319 DXL918317:DXL918319 EHH918317:EHH918319 ERD918317:ERD918319 FAZ918317:FAZ918319 FKV918317:FKV918319 FUR918317:FUR918319 GEN918317:GEN918319 GOJ918317:GOJ918319 GYF918317:GYF918319 HIB918317:HIB918319 HRX918317:HRX918319 IBT918317:IBT918319 ILP918317:ILP918319 IVL918317:IVL918319 JFH918317:JFH918319 JPD918317:JPD918319 JYZ918317:JYZ918319 KIV918317:KIV918319 KSR918317:KSR918319 LCN918317:LCN918319 LMJ918317:LMJ918319 LWF918317:LWF918319 MGB918317:MGB918319 MPX918317:MPX918319 MZT918317:MZT918319 NJP918317:NJP918319 NTL918317:NTL918319 ODH918317:ODH918319 OND918317:OND918319 OWZ918317:OWZ918319 PGV918317:PGV918319 PQR918317:PQR918319 QAN918317:QAN918319 QKJ918317:QKJ918319 QUF918317:QUF918319 REB918317:REB918319 RNX918317:RNX918319 RXT918317:RXT918319 SHP918317:SHP918319 SRL918317:SRL918319 TBH918317:TBH918319 TLD918317:TLD918319 TUZ918317:TUZ918319 UEV918317:UEV918319 UOR918317:UOR918319 UYN918317:UYN918319 VIJ918317:VIJ918319 VSF918317:VSF918319 WCB918317:WCB918319 WLX918317:WLX918319 WVT918317:WVT918319 L983853:L983855 JH983853:JH983855 TD983853:TD983855 ACZ983853:ACZ983855 AMV983853:AMV983855 AWR983853:AWR983855 BGN983853:BGN983855 BQJ983853:BQJ983855 CAF983853:CAF983855 CKB983853:CKB983855 CTX983853:CTX983855 DDT983853:DDT983855 DNP983853:DNP983855 DXL983853:DXL983855 EHH983853:EHH983855 ERD983853:ERD983855 FAZ983853:FAZ983855 FKV983853:FKV983855 FUR983853:FUR983855 GEN983853:GEN983855 GOJ983853:GOJ983855 GYF983853:GYF983855 HIB983853:HIB983855 HRX983853:HRX983855 IBT983853:IBT983855 ILP983853:ILP983855 IVL983853:IVL983855 JFH983853:JFH983855 JPD983853:JPD983855 JYZ983853:JYZ983855 KIV983853:KIV983855 KSR983853:KSR983855 LCN983853:LCN983855 LMJ983853:LMJ983855 LWF983853:LWF983855 MGB983853:MGB983855 MPX983853:MPX983855 MZT983853:MZT983855 NJP983853:NJP983855 NTL983853:NTL983855 ODH983853:ODH983855 OND983853:OND983855 OWZ983853:OWZ983855 PGV983853:PGV983855 PQR983853:PQR983855 QAN983853:QAN983855 QKJ983853:QKJ983855 QUF983853:QUF983855 REB983853:REB983855 RNX983853:RNX983855 RXT983853:RXT983855 SHP983853:SHP983855 SRL983853:SRL983855 TBH983853:TBH983855 TLD983853:TLD983855 TUZ983853:TUZ983855 UEV983853:UEV983855 UOR983853:UOR983855 UYN983853:UYN983855 VIJ983853:VIJ983855 VSF983853:VSF983855 WCB983853:WCB983855 WLX983853:WLX983855 WVT983853:WVT983855">
      <formula1>"DC, AC, GND,GND.1, RF, P, N/C,Sense"</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D64"/>
  <sheetViews>
    <sheetView showGridLines="0" showRowColHeaders="0" zoomScaleNormal="100" workbookViewId="0">
      <selection activeCell="B4" sqref="B4"/>
    </sheetView>
  </sheetViews>
  <sheetFormatPr defaultRowHeight="12.75" x14ac:dyDescent="0.2"/>
  <cols>
    <col min="1" max="1" width="5.42578125" customWidth="1"/>
    <col min="3" max="3" width="12.7109375" style="421" customWidth="1"/>
    <col min="4" max="4" width="80.85546875" customWidth="1"/>
  </cols>
  <sheetData>
    <row r="1" spans="1:4" ht="15.75" x14ac:dyDescent="0.25">
      <c r="A1" s="1849" t="s">
        <v>544</v>
      </c>
      <c r="B1" s="1782"/>
      <c r="C1" s="1782"/>
      <c r="D1" s="1782"/>
    </row>
    <row r="2" spans="1:4" ht="24.75" customHeight="1" thickBot="1" x14ac:dyDescent="0.25">
      <c r="A2" s="1850" t="s">
        <v>545</v>
      </c>
      <c r="B2" s="1851"/>
      <c r="C2" s="1851"/>
      <c r="D2" s="1851"/>
    </row>
    <row r="3" spans="1:4" ht="13.5" thickBot="1" x14ac:dyDescent="0.25">
      <c r="A3" s="897" t="s">
        <v>546</v>
      </c>
      <c r="B3" s="897" t="s">
        <v>547</v>
      </c>
      <c r="C3" s="897" t="s">
        <v>528</v>
      </c>
      <c r="D3" s="898" t="s">
        <v>548</v>
      </c>
    </row>
    <row r="4" spans="1:4" x14ac:dyDescent="0.2">
      <c r="A4" s="671" t="s">
        <v>549</v>
      </c>
      <c r="B4" s="671"/>
      <c r="C4" s="597"/>
      <c r="D4" s="1203" t="s">
        <v>859</v>
      </c>
    </row>
    <row r="5" spans="1:4" x14ac:dyDescent="0.2">
      <c r="A5" s="672"/>
      <c r="B5" s="672"/>
      <c r="C5" s="1204"/>
      <c r="D5" s="1205"/>
    </row>
    <row r="6" spans="1:4" x14ac:dyDescent="0.2">
      <c r="A6" s="672"/>
      <c r="B6" s="672"/>
      <c r="C6" s="598"/>
      <c r="D6" s="1205"/>
    </row>
    <row r="7" spans="1:4" x14ac:dyDescent="0.2">
      <c r="A7" s="672"/>
      <c r="B7" s="672"/>
      <c r="C7" s="1202"/>
      <c r="D7" s="420"/>
    </row>
    <row r="8" spans="1:4" x14ac:dyDescent="0.2">
      <c r="A8" s="672"/>
      <c r="B8" s="672"/>
      <c r="C8" s="598"/>
      <c r="D8" s="1205"/>
    </row>
    <row r="9" spans="1:4" x14ac:dyDescent="0.2">
      <c r="A9" s="672"/>
      <c r="B9" s="672"/>
      <c r="C9" s="1202"/>
      <c r="D9" s="420"/>
    </row>
    <row r="10" spans="1:4" x14ac:dyDescent="0.2">
      <c r="A10" s="672"/>
      <c r="B10" s="672"/>
      <c r="C10" s="1202"/>
      <c r="D10" s="420"/>
    </row>
    <row r="11" spans="1:4" x14ac:dyDescent="0.2">
      <c r="A11" s="672"/>
      <c r="B11" s="672"/>
      <c r="C11" s="598"/>
      <c r="D11" s="420"/>
    </row>
    <row r="12" spans="1:4" x14ac:dyDescent="0.2">
      <c r="A12" s="672"/>
      <c r="B12" s="672"/>
      <c r="C12" s="598"/>
      <c r="D12" s="420"/>
    </row>
    <row r="13" spans="1:4" x14ac:dyDescent="0.2">
      <c r="A13" s="672"/>
      <c r="B13" s="672"/>
      <c r="C13" s="598"/>
      <c r="D13" s="420"/>
    </row>
    <row r="14" spans="1:4" x14ac:dyDescent="0.2">
      <c r="A14" s="672"/>
      <c r="B14" s="672"/>
      <c r="C14" s="598"/>
      <c r="D14" s="420"/>
    </row>
    <row r="15" spans="1:4" x14ac:dyDescent="0.2">
      <c r="A15" s="672"/>
      <c r="B15" s="672"/>
      <c r="C15" s="598"/>
      <c r="D15" s="420"/>
    </row>
    <row r="16" spans="1:4" x14ac:dyDescent="0.2">
      <c r="A16" s="672"/>
      <c r="B16" s="672"/>
      <c r="C16" s="598"/>
      <c r="D16" s="420"/>
    </row>
    <row r="17" spans="1:4" x14ac:dyDescent="0.2">
      <c r="A17" s="672"/>
      <c r="B17" s="672"/>
      <c r="C17" s="598"/>
      <c r="D17" s="420"/>
    </row>
    <row r="18" spans="1:4" x14ac:dyDescent="0.2">
      <c r="A18" s="672"/>
      <c r="B18" s="672"/>
      <c r="C18" s="598"/>
      <c r="D18" s="420"/>
    </row>
    <row r="19" spans="1:4" x14ac:dyDescent="0.2">
      <c r="A19" s="672"/>
      <c r="B19" s="672"/>
      <c r="C19" s="598"/>
      <c r="D19" s="420"/>
    </row>
    <row r="20" spans="1:4" x14ac:dyDescent="0.2">
      <c r="A20" s="672"/>
      <c r="B20" s="672"/>
      <c r="C20" s="598"/>
      <c r="D20" s="420"/>
    </row>
    <row r="21" spans="1:4" x14ac:dyDescent="0.2">
      <c r="A21" s="672"/>
      <c r="B21" s="672"/>
      <c r="C21" s="598"/>
      <c r="D21" s="420"/>
    </row>
    <row r="22" spans="1:4" x14ac:dyDescent="0.2">
      <c r="A22" s="672"/>
      <c r="B22" s="672"/>
      <c r="C22" s="598"/>
      <c r="D22" s="420"/>
    </row>
    <row r="23" spans="1:4" x14ac:dyDescent="0.2">
      <c r="A23" s="672"/>
      <c r="B23" s="672"/>
      <c r="C23" s="598"/>
      <c r="D23" s="420"/>
    </row>
    <row r="24" spans="1:4" x14ac:dyDescent="0.2">
      <c r="A24" s="672"/>
      <c r="B24" s="672"/>
      <c r="C24" s="598"/>
      <c r="D24" s="420"/>
    </row>
    <row r="25" spans="1:4" x14ac:dyDescent="0.2">
      <c r="A25" s="672"/>
      <c r="B25" s="672"/>
      <c r="C25" s="598"/>
      <c r="D25" s="420"/>
    </row>
    <row r="26" spans="1:4" x14ac:dyDescent="0.2">
      <c r="A26" s="672"/>
      <c r="B26" s="672"/>
      <c r="C26" s="598"/>
      <c r="D26" s="420"/>
    </row>
    <row r="27" spans="1:4" x14ac:dyDescent="0.2">
      <c r="A27" s="672"/>
      <c r="B27" s="672"/>
      <c r="C27" s="598"/>
      <c r="D27" s="420"/>
    </row>
    <row r="28" spans="1:4" x14ac:dyDescent="0.2">
      <c r="A28" s="672"/>
      <c r="B28" s="672"/>
      <c r="C28" s="598"/>
      <c r="D28" s="420"/>
    </row>
    <row r="29" spans="1:4" x14ac:dyDescent="0.2">
      <c r="A29" s="672"/>
      <c r="B29" s="672"/>
      <c r="C29" s="598"/>
      <c r="D29" s="420"/>
    </row>
    <row r="30" spans="1:4" x14ac:dyDescent="0.2">
      <c r="A30" s="672"/>
      <c r="B30" s="672"/>
      <c r="C30" s="598"/>
      <c r="D30" s="420"/>
    </row>
    <row r="31" spans="1:4" x14ac:dyDescent="0.2">
      <c r="A31" s="672"/>
      <c r="B31" s="672"/>
      <c r="C31" s="598"/>
      <c r="D31" s="420"/>
    </row>
    <row r="32" spans="1:4" x14ac:dyDescent="0.2">
      <c r="A32" s="672"/>
      <c r="B32" s="672"/>
      <c r="C32" s="598"/>
      <c r="D32" s="420"/>
    </row>
    <row r="33" spans="1:4" x14ac:dyDescent="0.2">
      <c r="A33" s="672"/>
      <c r="B33" s="672"/>
      <c r="C33" s="598"/>
      <c r="D33" s="420"/>
    </row>
    <row r="34" spans="1:4" x14ac:dyDescent="0.2">
      <c r="A34" s="672"/>
      <c r="B34" s="672"/>
      <c r="C34" s="598"/>
      <c r="D34" s="420"/>
    </row>
    <row r="35" spans="1:4" x14ac:dyDescent="0.2">
      <c r="A35" s="672"/>
      <c r="B35" s="672"/>
      <c r="C35" s="598"/>
      <c r="D35" s="420"/>
    </row>
    <row r="36" spans="1:4" x14ac:dyDescent="0.2">
      <c r="A36" s="672"/>
      <c r="B36" s="672"/>
      <c r="C36" s="598"/>
      <c r="D36" s="420"/>
    </row>
    <row r="37" spans="1:4" x14ac:dyDescent="0.2">
      <c r="A37" s="672"/>
      <c r="B37" s="672"/>
      <c r="C37" s="598"/>
      <c r="D37" s="420"/>
    </row>
    <row r="38" spans="1:4" x14ac:dyDescent="0.2">
      <c r="A38" s="672"/>
      <c r="B38" s="672"/>
      <c r="C38" s="598"/>
      <c r="D38" s="420"/>
    </row>
    <row r="39" spans="1:4" x14ac:dyDescent="0.2">
      <c r="A39" s="672"/>
      <c r="B39" s="672"/>
      <c r="C39" s="598"/>
      <c r="D39" s="420"/>
    </row>
    <row r="40" spans="1:4" x14ac:dyDescent="0.2">
      <c r="A40" s="672"/>
      <c r="B40" s="672"/>
      <c r="C40" s="598"/>
      <c r="D40" s="420"/>
    </row>
    <row r="41" spans="1:4" x14ac:dyDescent="0.2">
      <c r="A41" s="672"/>
      <c r="B41" s="672"/>
      <c r="C41" s="598"/>
      <c r="D41" s="420"/>
    </row>
    <row r="42" spans="1:4" x14ac:dyDescent="0.2">
      <c r="A42" s="672"/>
      <c r="B42" s="672"/>
      <c r="C42" s="598"/>
      <c r="D42" s="420"/>
    </row>
    <row r="43" spans="1:4" x14ac:dyDescent="0.2">
      <c r="A43" s="672"/>
      <c r="B43" s="672"/>
      <c r="C43" s="598"/>
      <c r="D43" s="420"/>
    </row>
    <row r="44" spans="1:4" x14ac:dyDescent="0.2">
      <c r="A44" s="672"/>
      <c r="B44" s="672"/>
      <c r="C44" s="598"/>
      <c r="D44" s="420"/>
    </row>
    <row r="45" spans="1:4" x14ac:dyDescent="0.2">
      <c r="A45" s="672"/>
      <c r="B45" s="672"/>
      <c r="C45" s="598"/>
      <c r="D45" s="420"/>
    </row>
    <row r="46" spans="1:4" x14ac:dyDescent="0.2">
      <c r="A46" s="672"/>
      <c r="B46" s="672"/>
      <c r="C46" s="598"/>
      <c r="D46" s="673"/>
    </row>
    <row r="47" spans="1:4" x14ac:dyDescent="0.2">
      <c r="A47" s="672"/>
      <c r="B47" s="672"/>
      <c r="C47" s="598"/>
      <c r="D47" s="673"/>
    </row>
    <row r="48" spans="1:4" x14ac:dyDescent="0.2">
      <c r="A48" s="672"/>
      <c r="B48" s="672"/>
      <c r="C48" s="598"/>
      <c r="D48" s="673"/>
    </row>
    <row r="49" spans="1:4" x14ac:dyDescent="0.2">
      <c r="A49" s="672"/>
      <c r="B49" s="672"/>
      <c r="C49" s="598"/>
      <c r="D49" s="673"/>
    </row>
    <row r="50" spans="1:4" x14ac:dyDescent="0.2">
      <c r="A50" s="672"/>
      <c r="B50" s="672"/>
      <c r="C50" s="598"/>
      <c r="D50" s="673"/>
    </row>
    <row r="51" spans="1:4" x14ac:dyDescent="0.2">
      <c r="A51" s="672"/>
      <c r="B51" s="672"/>
      <c r="C51" s="598"/>
      <c r="D51" s="673"/>
    </row>
    <row r="52" spans="1:4" x14ac:dyDescent="0.2">
      <c r="A52" s="672"/>
      <c r="B52" s="672"/>
      <c r="C52" s="598"/>
      <c r="D52" s="673"/>
    </row>
    <row r="53" spans="1:4" x14ac:dyDescent="0.2">
      <c r="A53" s="672"/>
      <c r="B53" s="672"/>
      <c r="C53" s="598"/>
      <c r="D53" s="673"/>
    </row>
    <row r="54" spans="1:4" x14ac:dyDescent="0.2">
      <c r="A54" s="672"/>
      <c r="B54" s="672"/>
      <c r="C54" s="598"/>
      <c r="D54" s="673"/>
    </row>
    <row r="55" spans="1:4" x14ac:dyDescent="0.2">
      <c r="A55" s="672"/>
      <c r="B55" s="672"/>
      <c r="C55" s="598"/>
      <c r="D55" s="673"/>
    </row>
    <row r="56" spans="1:4" x14ac:dyDescent="0.2">
      <c r="A56" s="672"/>
      <c r="B56" s="672"/>
      <c r="C56" s="598"/>
      <c r="D56" s="673"/>
    </row>
    <row r="57" spans="1:4" x14ac:dyDescent="0.2">
      <c r="A57" s="672"/>
      <c r="B57" s="672"/>
      <c r="C57" s="598"/>
      <c r="D57" s="673"/>
    </row>
    <row r="58" spans="1:4" x14ac:dyDescent="0.2">
      <c r="A58" s="672"/>
      <c r="B58" s="672"/>
      <c r="C58" s="598"/>
      <c r="D58" s="673"/>
    </row>
    <row r="59" spans="1:4" x14ac:dyDescent="0.2">
      <c r="A59" s="672"/>
      <c r="B59" s="672"/>
      <c r="C59" s="598"/>
      <c r="D59" s="673"/>
    </row>
    <row r="60" spans="1:4" x14ac:dyDescent="0.2">
      <c r="A60" s="672"/>
      <c r="B60" s="672"/>
      <c r="C60" s="598"/>
      <c r="D60" s="673"/>
    </row>
    <row r="61" spans="1:4" x14ac:dyDescent="0.2">
      <c r="A61" s="672"/>
      <c r="B61" s="672"/>
      <c r="C61" s="598"/>
      <c r="D61" s="673"/>
    </row>
    <row r="62" spans="1:4" x14ac:dyDescent="0.2">
      <c r="A62" s="672"/>
      <c r="B62" s="672"/>
      <c r="C62" s="598"/>
      <c r="D62" s="673"/>
    </row>
    <row r="63" spans="1:4" x14ac:dyDescent="0.2">
      <c r="A63" s="672"/>
      <c r="B63" s="672"/>
      <c r="C63" s="598"/>
      <c r="D63" s="673"/>
    </row>
    <row r="64" spans="1:4" x14ac:dyDescent="0.2">
      <c r="B64" s="421"/>
    </row>
  </sheetData>
  <sheetProtection password="CC3C" sheet="1" objects="1" scenarios="1" selectLockedCells="1"/>
  <mergeCells count="2">
    <mergeCell ref="A1:D1"/>
    <mergeCell ref="A2:D2"/>
  </mergeCells>
  <phoneticPr fontId="118" type="noConversion"/>
  <pageMargins left="0.75" right="0.75" top="1" bottom="1" header="0.5" footer="0.5"/>
  <pageSetup scale="80" orientation="portrait" horizontalDpi="4294967292" r:id="rId1"/>
  <headerFooter alignWithMargins="0">
    <oddFooter>&amp;L&amp;8CQS# 730-02-0001
Rev C&amp;C&amp;8&amp;F&amp;R&amp;8Print Date: &amp;D
Time: &amp;T</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Z75"/>
  <sheetViews>
    <sheetView showGridLines="0" showRowColHeaders="0" zoomScaleNormal="100" workbookViewId="0">
      <selection activeCell="T1" sqref="T1:Y1"/>
    </sheetView>
  </sheetViews>
  <sheetFormatPr defaultColWidth="8.85546875" defaultRowHeight="12.75" x14ac:dyDescent="0.2"/>
  <cols>
    <col min="1" max="1" width="1.7109375" style="66" customWidth="1"/>
    <col min="2" max="14" width="3.7109375" style="66" customWidth="1"/>
    <col min="15" max="16" width="3.7109375" style="1013" customWidth="1"/>
    <col min="17" max="25" width="3.7109375" style="66" customWidth="1"/>
    <col min="26" max="26" width="8.85546875" style="57" customWidth="1"/>
    <col min="27" max="28" width="9.140625" style="70" customWidth="1"/>
    <col min="29" max="52" width="9.140625" style="57" customWidth="1"/>
    <col min="53" max="53" width="11.85546875" style="57" hidden="1" customWidth="1"/>
    <col min="54" max="54" width="4.28515625" style="71" hidden="1" customWidth="1"/>
    <col min="55" max="55" width="10.85546875" style="57" hidden="1" customWidth="1"/>
    <col min="56" max="61" width="8.85546875" style="57" hidden="1" customWidth="1"/>
    <col min="62" max="62" width="37.5703125" style="57" hidden="1" customWidth="1"/>
    <col min="63" max="78" width="8.85546875" style="66" hidden="1" customWidth="1"/>
    <col min="79" max="16384" width="8.85546875" style="66"/>
  </cols>
  <sheetData>
    <row r="1" spans="1:63" ht="16.5" thickBot="1" x14ac:dyDescent="0.3">
      <c r="B1" s="1367" t="str">
        <f>'Cover Page'!B4</f>
        <v xml:space="preserve"> Production Probes Design Capture Order Form</v>
      </c>
      <c r="C1" s="64"/>
      <c r="D1" s="64"/>
      <c r="E1" s="64"/>
      <c r="F1" s="64"/>
      <c r="G1" s="64"/>
      <c r="H1" s="65"/>
      <c r="I1" s="65"/>
      <c r="J1" s="65"/>
      <c r="K1" s="65"/>
      <c r="L1" s="65"/>
      <c r="M1" s="69"/>
      <c r="N1" s="69"/>
      <c r="O1" s="69"/>
      <c r="P1" s="66"/>
      <c r="S1" s="68" t="s">
        <v>293</v>
      </c>
      <c r="T1" s="1443"/>
      <c r="U1" s="1444"/>
      <c r="V1" s="1444"/>
      <c r="W1" s="1444"/>
      <c r="X1" s="1444"/>
      <c r="Y1" s="1445"/>
      <c r="BA1" s="2" t="s">
        <v>1</v>
      </c>
    </row>
    <row r="2" spans="1:63" ht="12.75" customHeight="1" x14ac:dyDescent="0.25">
      <c r="B2" s="1367" t="str">
        <f>'Cover Page'!B5</f>
        <v xml:space="preserve"> CQS-03-031-0001  R1.71</v>
      </c>
      <c r="C2" s="64"/>
      <c r="D2" s="64"/>
      <c r="E2" s="64"/>
      <c r="F2" s="64"/>
      <c r="G2" s="64"/>
      <c r="H2" s="65"/>
      <c r="I2" s="65"/>
      <c r="J2" s="65"/>
      <c r="K2" s="65"/>
      <c r="L2" s="65"/>
      <c r="M2" s="69"/>
      <c r="N2" s="69"/>
      <c r="O2" s="69"/>
      <c r="P2" s="66"/>
      <c r="S2" s="68" t="s">
        <v>62</v>
      </c>
      <c r="T2" s="1443"/>
      <c r="U2" s="1444"/>
      <c r="V2" s="1444"/>
      <c r="W2" s="1444"/>
      <c r="X2" s="1444"/>
      <c r="Y2" s="1445"/>
      <c r="BA2" s="57" t="s">
        <v>63</v>
      </c>
      <c r="BB2" s="72">
        <f>'Cover Page'!BD27</f>
        <v>2</v>
      </c>
      <c r="BG2" s="66"/>
      <c r="BH2" s="66"/>
      <c r="BI2" s="66"/>
      <c r="BJ2" s="66"/>
    </row>
    <row r="3" spans="1:63" ht="12.75" customHeight="1" x14ac:dyDescent="0.25">
      <c r="B3" s="63" t="s">
        <v>986</v>
      </c>
      <c r="C3" s="64"/>
      <c r="D3" s="64"/>
      <c r="E3" s="64"/>
      <c r="F3" s="64"/>
      <c r="G3" s="64"/>
      <c r="H3" s="65"/>
      <c r="I3" s="65"/>
      <c r="J3" s="65"/>
      <c r="K3" s="65"/>
      <c r="L3" s="65"/>
      <c r="M3" s="69"/>
      <c r="N3" s="69"/>
      <c r="O3" s="69"/>
      <c r="P3" s="66"/>
      <c r="S3" s="68" t="s">
        <v>627</v>
      </c>
      <c r="T3" s="1446"/>
      <c r="U3" s="1447"/>
      <c r="V3" s="1447"/>
      <c r="W3" s="1448"/>
      <c r="X3" s="1448"/>
      <c r="Y3" s="1449"/>
      <c r="BC3" s="61"/>
      <c r="BI3" s="66"/>
      <c r="BJ3" s="7" t="s">
        <v>64</v>
      </c>
      <c r="BK3" s="116" t="e">
        <f>VLOOKUP(T3,BJ4:BK22,2,0)</f>
        <v>#N/A</v>
      </c>
    </row>
    <row r="4" spans="1:63" ht="12.75" customHeight="1" x14ac:dyDescent="0.25">
      <c r="B4" s="73"/>
      <c r="E4" s="74"/>
      <c r="O4" s="66"/>
      <c r="P4" s="66"/>
      <c r="Y4" s="57"/>
      <c r="BA4" s="75" t="s">
        <v>65</v>
      </c>
      <c r="BB4" s="57"/>
      <c r="BC4" s="91" t="s">
        <v>602</v>
      </c>
      <c r="BE4" s="116" t="s">
        <v>603</v>
      </c>
      <c r="BF4" s="71">
        <f>MIN(G12:J12)</f>
        <v>0</v>
      </c>
      <c r="BI4" s="66"/>
      <c r="BJ4" s="66" t="s">
        <v>622</v>
      </c>
      <c r="BK4" s="66">
        <v>5030</v>
      </c>
    </row>
    <row r="5" spans="1:63" ht="12.75" customHeight="1" x14ac:dyDescent="0.25">
      <c r="B5" s="73"/>
      <c r="E5" s="74"/>
      <c r="K5" s="79" t="s">
        <v>958</v>
      </c>
      <c r="O5" s="66"/>
      <c r="P5" s="66"/>
      <c r="Y5" s="57"/>
      <c r="BA5" s="80" t="s">
        <v>66</v>
      </c>
      <c r="BB5" s="77" t="str">
        <f>BA5</f>
        <v>Aluminum</v>
      </c>
      <c r="BC5" s="78"/>
      <c r="BI5" s="66"/>
      <c r="BJ5" s="66" t="s">
        <v>623</v>
      </c>
      <c r="BK5" s="66">
        <v>5040</v>
      </c>
    </row>
    <row r="6" spans="1:63" x14ac:dyDescent="0.2">
      <c r="E6" s="84"/>
      <c r="F6" s="84"/>
      <c r="G6" s="84"/>
      <c r="H6" s="84"/>
      <c r="I6" s="84"/>
      <c r="J6" s="84"/>
      <c r="K6" s="84"/>
      <c r="L6" s="85" t="s">
        <v>67</v>
      </c>
      <c r="M6" s="84"/>
      <c r="N6" s="84"/>
      <c r="O6" s="84"/>
      <c r="P6" s="84"/>
      <c r="Q6" s="84"/>
      <c r="R6" s="84"/>
      <c r="S6" s="84"/>
      <c r="T6" s="1020"/>
      <c r="BA6" s="86" t="s">
        <v>68</v>
      </c>
      <c r="BB6" s="102" t="str">
        <f>BA6</f>
        <v>Copper</v>
      </c>
      <c r="BC6" s="83"/>
      <c r="BJ6" s="66" t="s">
        <v>624</v>
      </c>
      <c r="BK6" s="66">
        <v>5050</v>
      </c>
    </row>
    <row r="7" spans="1:63" ht="12.75" customHeight="1" thickBot="1" x14ac:dyDescent="0.3">
      <c r="B7" s="88" t="s">
        <v>69</v>
      </c>
      <c r="D7" s="89"/>
      <c r="E7" s="89"/>
      <c r="F7" s="89"/>
      <c r="G7" s="90"/>
      <c r="H7" s="90"/>
      <c r="N7" s="57"/>
      <c r="O7" s="66"/>
      <c r="P7" s="57"/>
      <c r="R7" s="74"/>
      <c r="T7" s="57"/>
      <c r="U7" s="57"/>
      <c r="V7" s="57"/>
      <c r="W7" s="57"/>
      <c r="Y7" s="57"/>
      <c r="AM7" s="91"/>
      <c r="BA7" s="92" t="s">
        <v>772</v>
      </c>
      <c r="BB7" s="102" t="str">
        <f>BA6</f>
        <v>Copper</v>
      </c>
      <c r="BC7" s="125">
        <f>($G$9=BA7)+0</f>
        <v>0</v>
      </c>
      <c r="BJ7" s="66" t="s">
        <v>619</v>
      </c>
      <c r="BK7" s="66">
        <v>5060</v>
      </c>
    </row>
    <row r="8" spans="1:63" ht="12.75" customHeight="1" x14ac:dyDescent="0.2">
      <c r="A8" s="482"/>
      <c r="B8" s="1494" t="s">
        <v>70</v>
      </c>
      <c r="C8" s="1495"/>
      <c r="D8" s="1495"/>
      <c r="E8" s="1495"/>
      <c r="F8" s="1495"/>
      <c r="G8" s="1498"/>
      <c r="H8" s="1499"/>
      <c r="I8" s="1499"/>
      <c r="J8" s="1499"/>
      <c r="K8" s="93"/>
      <c r="L8" s="94"/>
      <c r="M8" s="95" t="s">
        <v>72</v>
      </c>
      <c r="N8" s="1488"/>
      <c r="O8" s="1488"/>
      <c r="P8" s="1488"/>
      <c r="Q8" s="1488"/>
      <c r="R8" s="1488"/>
      <c r="S8" s="1488"/>
      <c r="T8" s="94"/>
      <c r="U8" s="96"/>
      <c r="V8" s="94"/>
      <c r="W8" s="97"/>
      <c r="AA8" s="98"/>
      <c r="BA8" s="92" t="s">
        <v>773</v>
      </c>
      <c r="BB8" s="102" t="str">
        <f>BA11</f>
        <v>Solder Bumps</v>
      </c>
      <c r="BC8" s="125">
        <f>($G$9=BA8)+0</f>
        <v>0</v>
      </c>
      <c r="BJ8" s="66" t="s">
        <v>596</v>
      </c>
      <c r="BK8" s="66">
        <v>5070</v>
      </c>
    </row>
    <row r="9" spans="1:63" ht="12.75" customHeight="1" x14ac:dyDescent="0.2">
      <c r="B9" s="1456" t="s">
        <v>74</v>
      </c>
      <c r="C9" s="1457"/>
      <c r="D9" s="1457"/>
      <c r="E9" s="1457"/>
      <c r="F9" s="1457"/>
      <c r="G9" s="1397"/>
      <c r="H9" s="1500"/>
      <c r="I9" s="1500"/>
      <c r="J9" s="1500"/>
      <c r="K9" s="99"/>
      <c r="L9" s="100"/>
      <c r="M9" s="100" t="str">
        <f>IF(G9="Other","Specify =&gt;","Composition:")</f>
        <v>Composition:</v>
      </c>
      <c r="N9" s="1485"/>
      <c r="O9" s="1487"/>
      <c r="P9" s="1501"/>
      <c r="Q9" s="1501"/>
      <c r="R9" s="1501"/>
      <c r="S9" s="1501"/>
      <c r="T9" s="101"/>
      <c r="U9" s="102"/>
      <c r="V9" s="102"/>
      <c r="W9" s="103"/>
      <c r="AA9" s="98"/>
      <c r="AB9" s="104"/>
      <c r="BA9" s="86" t="s">
        <v>73</v>
      </c>
      <c r="BB9" s="82" t="str">
        <f>BA9</f>
        <v>Gold</v>
      </c>
      <c r="BC9" s="83"/>
      <c r="BJ9" s="66" t="s">
        <v>597</v>
      </c>
      <c r="BK9" s="66">
        <v>5080</v>
      </c>
    </row>
    <row r="10" spans="1:63" ht="12.75" customHeight="1" x14ac:dyDescent="0.2">
      <c r="A10" s="482"/>
      <c r="B10" s="1456" t="s">
        <v>77</v>
      </c>
      <c r="C10" s="1457"/>
      <c r="D10" s="1457"/>
      <c r="E10" s="1457"/>
      <c r="F10" s="1457"/>
      <c r="G10" s="1397"/>
      <c r="H10" s="1504"/>
      <c r="I10" s="1504"/>
      <c r="J10" s="1504"/>
      <c r="K10" s="1504"/>
      <c r="L10" s="1033" t="str">
        <f>IF(AND(G18="Yes",padArrange&lt;&gt;"Array"),"Error: Pad Arrangement must = Array for Multi-DUT","")</f>
        <v/>
      </c>
      <c r="N10" s="102"/>
      <c r="O10" s="102"/>
      <c r="P10" s="102"/>
      <c r="Q10" s="102"/>
      <c r="R10" s="102"/>
      <c r="S10" s="102"/>
      <c r="T10" s="102"/>
      <c r="U10" s="102"/>
      <c r="V10" s="102"/>
      <c r="W10" s="103"/>
      <c r="BA10" s="86" t="s">
        <v>75</v>
      </c>
      <c r="BB10" s="82" t="str">
        <f>BA10</f>
        <v>Gold Bumps</v>
      </c>
      <c r="BC10" s="125">
        <f>($G$9=BA10)+0</f>
        <v>0</v>
      </c>
      <c r="BJ10" s="66" t="s">
        <v>625</v>
      </c>
      <c r="BK10" s="66">
        <v>5090</v>
      </c>
    </row>
    <row r="11" spans="1:63" ht="12.75" customHeight="1" x14ac:dyDescent="0.2">
      <c r="A11" s="1011">
        <f>OR($G$10="Scribe line",$G$10="2 x N")+(B11="[Step Distance]")</f>
        <v>0</v>
      </c>
      <c r="B11" s="1505" t="s">
        <v>977</v>
      </c>
      <c r="C11" s="1506"/>
      <c r="D11" s="1506"/>
      <c r="E11" s="1506"/>
      <c r="F11" s="1506"/>
      <c r="G11" s="1485"/>
      <c r="H11" s="1487"/>
      <c r="I11" s="106" t="s">
        <v>80</v>
      </c>
      <c r="J11" s="1485"/>
      <c r="K11" s="1487"/>
      <c r="L11" s="107" t="s">
        <v>762</v>
      </c>
      <c r="O11" s="66"/>
      <c r="P11" s="66"/>
      <c r="W11" s="103"/>
      <c r="AA11" s="98"/>
      <c r="BA11" s="105" t="s">
        <v>79</v>
      </c>
      <c r="BB11" s="82" t="str">
        <f>BA11</f>
        <v>Solder Bumps</v>
      </c>
      <c r="BC11" s="125">
        <f>($G$9=BA11)+0</f>
        <v>0</v>
      </c>
      <c r="BJ11" s="66" t="s">
        <v>599</v>
      </c>
      <c r="BK11" s="66">
        <v>5100</v>
      </c>
    </row>
    <row r="12" spans="1:63" ht="12.75" customHeight="1" x14ac:dyDescent="0.2">
      <c r="A12" s="482"/>
      <c r="B12" s="1456" t="str">
        <f>IF(BC13=1,"♦ Bump Size -  Height:","♦ Minimum Pad Size:")</f>
        <v>♦ Minimum Pad Size:</v>
      </c>
      <c r="C12" s="1457"/>
      <c r="D12" s="1457"/>
      <c r="E12" s="1457"/>
      <c r="F12" s="1457"/>
      <c r="G12" s="1485"/>
      <c r="H12" s="1487"/>
      <c r="I12" s="106" t="str">
        <f>IF(BC13=1,"dia:","x")</f>
        <v>x</v>
      </c>
      <c r="J12" s="1485"/>
      <c r="K12" s="1487"/>
      <c r="L12" s="1012" t="str">
        <f ca="1">IF(OR($G$11&lt;Chart!$BJ$5+$G$12,$J$11&lt;Chart!$BK$5+$J$12)*(A11=0)*A19,"Error: Pad Pattern is larger than specified die size!","")</f>
        <v/>
      </c>
      <c r="M12" s="102"/>
      <c r="N12" s="102"/>
      <c r="O12" s="66"/>
      <c r="P12" s="66"/>
      <c r="T12" s="102"/>
      <c r="U12" s="102"/>
      <c r="V12" s="102"/>
      <c r="W12" s="103"/>
      <c r="AA12" s="98"/>
      <c r="BA12" s="105" t="s">
        <v>81</v>
      </c>
      <c r="BB12" s="593">
        <f>N9</f>
        <v>0</v>
      </c>
      <c r="BC12" s="83"/>
      <c r="BD12" s="823"/>
      <c r="BJ12" s="66" t="s">
        <v>598</v>
      </c>
      <c r="BK12" s="66">
        <v>5900</v>
      </c>
    </row>
    <row r="13" spans="1:63" ht="12.75" customHeight="1" x14ac:dyDescent="0.2">
      <c r="A13" s="482"/>
      <c r="B13" s="1456" t="s">
        <v>82</v>
      </c>
      <c r="C13" s="1457"/>
      <c r="D13" s="1457"/>
      <c r="E13" s="1457"/>
      <c r="F13" s="1457"/>
      <c r="G13" s="1485"/>
      <c r="H13" s="1487"/>
      <c r="I13" s="115" t="str">
        <f>IF(ISNUMBER(G13),IF(G13&lt;50,"*** Consult Factory ***",""),"")</f>
        <v/>
      </c>
      <c r="K13" s="102"/>
      <c r="L13" s="102"/>
      <c r="M13" s="102"/>
      <c r="N13" s="1502" t="s">
        <v>83</v>
      </c>
      <c r="O13" s="1503"/>
      <c r="P13" s="66"/>
      <c r="Q13" s="1502" t="s">
        <v>84</v>
      </c>
      <c r="R13" s="1503"/>
      <c r="T13" s="102"/>
      <c r="U13" s="102"/>
      <c r="V13" s="102"/>
      <c r="W13" s="103"/>
      <c r="BA13" s="105"/>
      <c r="BB13" s="1351" t="s">
        <v>963</v>
      </c>
      <c r="BC13" s="125">
        <f>SUM(BC6:BC12)</f>
        <v>0</v>
      </c>
      <c r="BJ13" s="66" t="s">
        <v>620</v>
      </c>
      <c r="BK13" s="66">
        <v>1010</v>
      </c>
    </row>
    <row r="14" spans="1:63" ht="12.75" customHeight="1" x14ac:dyDescent="0.2">
      <c r="B14" s="1456" t="s">
        <v>85</v>
      </c>
      <c r="C14" s="1457"/>
      <c r="D14" s="1457"/>
      <c r="E14" s="1457"/>
      <c r="F14" s="1457"/>
      <c r="G14" s="1485"/>
      <c r="H14" s="1485"/>
      <c r="K14" s="99"/>
      <c r="L14" s="102"/>
      <c r="M14" s="100" t="s">
        <v>87</v>
      </c>
      <c r="N14" s="1485"/>
      <c r="O14" s="1487"/>
      <c r="P14" s="106" t="s">
        <v>80</v>
      </c>
      <c r="Q14" s="1485"/>
      <c r="R14" s="1487"/>
      <c r="S14" s="102"/>
      <c r="T14" s="102"/>
      <c r="U14" s="100" t="s">
        <v>88</v>
      </c>
      <c r="V14" s="1485"/>
      <c r="W14" s="1486"/>
      <c r="AA14" s="98"/>
      <c r="BA14" s="110"/>
      <c r="BB14" s="1350" t="s">
        <v>964</v>
      </c>
      <c r="BC14" s="127">
        <f>AND(BC13&lt;&gt;0,coreSize="VLSR (P800)")+AND(BC13=0,OR(coreSize="P800-S",coreSize="P2000"))</f>
        <v>0</v>
      </c>
      <c r="BF14" s="116" t="s">
        <v>90</v>
      </c>
      <c r="BG14" s="117">
        <f>IF(siteQty=1,1,IF(G20="All",1,siteQty))</f>
        <v>1</v>
      </c>
      <c r="BJ14" s="66" t="s">
        <v>593</v>
      </c>
      <c r="BK14" s="66">
        <v>1020</v>
      </c>
    </row>
    <row r="15" spans="1:63" ht="12.75" customHeight="1" thickBot="1" x14ac:dyDescent="0.25">
      <c r="B15" s="1491" t="s">
        <v>91</v>
      </c>
      <c r="C15" s="1492"/>
      <c r="D15" s="1492"/>
      <c r="E15" s="1492"/>
      <c r="F15" s="1492"/>
      <c r="G15" s="1492"/>
      <c r="H15" s="1492"/>
      <c r="I15" s="1492"/>
      <c r="J15" s="1492"/>
      <c r="K15" s="1492"/>
      <c r="L15" s="1493"/>
      <c r="M15" s="1493"/>
      <c r="N15" s="118"/>
      <c r="O15" s="118"/>
      <c r="P15" s="118"/>
      <c r="Q15" s="118"/>
      <c r="R15" s="118"/>
      <c r="S15" s="118"/>
      <c r="T15" s="118"/>
      <c r="U15" s="118"/>
      <c r="V15" s="118"/>
      <c r="W15" s="119"/>
      <c r="AA15" s="98"/>
      <c r="BE15" s="116"/>
      <c r="BG15" s="116"/>
      <c r="BJ15" s="66" t="s">
        <v>621</v>
      </c>
      <c r="BK15" s="66">
        <v>1030</v>
      </c>
    </row>
    <row r="16" spans="1:63" ht="12.75" customHeight="1" x14ac:dyDescent="0.2">
      <c r="O16" s="66"/>
      <c r="P16" s="66"/>
      <c r="Z16" s="66"/>
      <c r="AA16" s="66"/>
      <c r="AB16" s="66"/>
      <c r="AC16" s="66"/>
      <c r="AD16" s="66"/>
      <c r="AE16" s="66"/>
      <c r="AF16" s="66"/>
      <c r="AG16" s="66"/>
      <c r="AH16" s="66"/>
      <c r="BA16" s="75" t="s">
        <v>89</v>
      </c>
      <c r="BE16" s="120"/>
      <c r="BF16" s="120" t="s">
        <v>93</v>
      </c>
      <c r="BG16" s="121"/>
      <c r="BH16" s="91" t="s">
        <v>94</v>
      </c>
      <c r="BJ16" s="66" t="s">
        <v>592</v>
      </c>
      <c r="BK16" s="66">
        <v>1040</v>
      </c>
    </row>
    <row r="17" spans="1:63" ht="15.75" thickBot="1" x14ac:dyDescent="0.3">
      <c r="B17" s="88" t="s">
        <v>95</v>
      </c>
      <c r="D17" s="89"/>
      <c r="E17" s="89"/>
      <c r="F17" s="89"/>
      <c r="G17" s="90"/>
      <c r="H17" s="90"/>
      <c r="N17" s="57"/>
      <c r="O17" s="66"/>
      <c r="P17" s="57"/>
      <c r="R17" s="74"/>
      <c r="T17" s="57"/>
      <c r="U17" s="57"/>
      <c r="V17" s="57"/>
      <c r="W17" s="57"/>
      <c r="Z17" s="66"/>
      <c r="AA17" s="66"/>
      <c r="AB17" s="66"/>
      <c r="AC17" s="66"/>
      <c r="AD17" s="66"/>
      <c r="AE17" s="66"/>
      <c r="AF17" s="66"/>
      <c r="AG17" s="66"/>
      <c r="AH17" s="66"/>
      <c r="BA17" s="80" t="s">
        <v>71</v>
      </c>
      <c r="BB17" s="76"/>
      <c r="BC17" s="78"/>
      <c r="BE17" s="122" t="s">
        <v>78</v>
      </c>
      <c r="BF17" s="76"/>
      <c r="BG17" s="78"/>
      <c r="BH17" s="123" t="s">
        <v>86</v>
      </c>
      <c r="BJ17" s="66" t="s">
        <v>591</v>
      </c>
      <c r="BK17" s="66">
        <v>1050</v>
      </c>
    </row>
    <row r="18" spans="1:63" ht="12.75" customHeight="1" x14ac:dyDescent="0.2">
      <c r="A18" s="1011">
        <f>OR($G$18="No",$BD$20=TRUE)+(B11="♦ Die Size:                      ")</f>
        <v>2</v>
      </c>
      <c r="B18" s="1494" t="s">
        <v>97</v>
      </c>
      <c r="C18" s="1495"/>
      <c r="D18" s="1495"/>
      <c r="E18" s="1495"/>
      <c r="F18" s="1495"/>
      <c r="G18" s="1488" t="s">
        <v>31</v>
      </c>
      <c r="H18" s="1488"/>
      <c r="I18" s="96"/>
      <c r="J18" s="1496" t="s">
        <v>98</v>
      </c>
      <c r="K18" s="1496"/>
      <c r="L18" s="124">
        <v>2</v>
      </c>
      <c r="M18" s="1496" t="s">
        <v>99</v>
      </c>
      <c r="N18" s="1496"/>
      <c r="O18" s="1496"/>
      <c r="P18" s="1496"/>
      <c r="Q18" s="1496"/>
      <c r="R18" s="95" t="s">
        <v>100</v>
      </c>
      <c r="S18" s="1488"/>
      <c r="T18" s="1489"/>
      <c r="U18" s="95" t="s">
        <v>101</v>
      </c>
      <c r="V18" s="1488"/>
      <c r="W18" s="1490"/>
      <c r="Z18" s="66"/>
      <c r="AA18" s="66"/>
      <c r="AB18" s="66"/>
      <c r="AC18" s="66"/>
      <c r="AD18" s="66"/>
      <c r="AE18" s="66"/>
      <c r="AF18" s="66"/>
      <c r="AG18" s="66"/>
      <c r="AH18" s="66"/>
      <c r="BA18" s="105" t="s">
        <v>92</v>
      </c>
      <c r="BB18" s="81"/>
      <c r="BC18" s="83"/>
      <c r="BE18" s="86" t="s">
        <v>103</v>
      </c>
      <c r="BF18" s="81"/>
      <c r="BG18" s="87"/>
      <c r="BH18" s="125" t="s">
        <v>31</v>
      </c>
      <c r="BJ18" s="66" t="s">
        <v>626</v>
      </c>
      <c r="BK18" s="66">
        <v>1070</v>
      </c>
    </row>
    <row r="19" spans="1:63" ht="12.75" customHeight="1" x14ac:dyDescent="0.2">
      <c r="A19" s="1011">
        <f>IF(AND(G18="Yes",G20="All"),0,1)</f>
        <v>1</v>
      </c>
      <c r="B19" s="126"/>
      <c r="C19" s="1020"/>
      <c r="D19" s="1020"/>
      <c r="E19" s="1020"/>
      <c r="F19" s="100" t="s">
        <v>775</v>
      </c>
      <c r="G19" s="1485">
        <v>1</v>
      </c>
      <c r="H19" s="1485"/>
      <c r="I19" s="109"/>
      <c r="N19" s="109" t="str">
        <f>"(Diagonal Step Distance = "&amp;ROUND(SQRT(S18^2+V18^2),1)&amp;")"</f>
        <v>(Diagonal Step Distance = 0)</v>
      </c>
      <c r="O19" s="66"/>
      <c r="P19" s="66"/>
      <c r="W19" s="103"/>
      <c r="Z19" s="66"/>
      <c r="AA19" s="66"/>
      <c r="AB19" s="66"/>
      <c r="AC19" s="66"/>
      <c r="AD19" s="66"/>
      <c r="AE19" s="66"/>
      <c r="AF19" s="66"/>
      <c r="AG19" s="66"/>
      <c r="AH19" s="66"/>
      <c r="BA19" s="105" t="s">
        <v>96</v>
      </c>
      <c r="BB19" s="81"/>
      <c r="BC19" s="83"/>
      <c r="BE19" s="86" t="s">
        <v>107</v>
      </c>
      <c r="BF19" s="81"/>
      <c r="BG19" s="87"/>
      <c r="BH19" s="127" t="s">
        <v>36</v>
      </c>
      <c r="BJ19" s="66" t="s">
        <v>590</v>
      </c>
      <c r="BK19" s="66">
        <v>1090</v>
      </c>
    </row>
    <row r="20" spans="1:63" ht="12.75" customHeight="1" x14ac:dyDescent="0.2">
      <c r="B20" s="126"/>
      <c r="F20" s="100" t="s">
        <v>104</v>
      </c>
      <c r="G20" s="1485" t="s">
        <v>105</v>
      </c>
      <c r="H20" s="1485"/>
      <c r="I20" s="109" t="str">
        <f>IF(G20="All","Devices","Device")</f>
        <v>Device</v>
      </c>
      <c r="J20" s="109"/>
      <c r="L20" s="128" t="str">
        <f ca="1">IF(A19,IF(OR(S18&lt;=Chart!$BJ$5,V18&lt;=Chart!$BK$5),"Error: Pad Pattern is larger than step distance!",""),"")</f>
        <v>Error: Pad Pattern is larger than step distance!</v>
      </c>
      <c r="W20" s="103"/>
      <c r="Z20" s="66"/>
      <c r="AA20" s="66"/>
      <c r="AB20" s="66"/>
      <c r="AC20" s="1045"/>
      <c r="AD20" s="66"/>
      <c r="AE20" s="66"/>
      <c r="AF20" s="66"/>
      <c r="AG20" s="66"/>
      <c r="AH20" s="66"/>
      <c r="BA20" s="105" t="s">
        <v>102</v>
      </c>
      <c r="BB20" s="81"/>
      <c r="BC20" s="83"/>
      <c r="BD20" s="116" t="b">
        <f>OR(G10=BE20,G10=BE21)</f>
        <v>0</v>
      </c>
      <c r="BE20" s="92" t="s">
        <v>550</v>
      </c>
      <c r="BF20" s="82"/>
      <c r="BG20" s="83"/>
      <c r="BJ20" s="66" t="s">
        <v>594</v>
      </c>
      <c r="BK20" s="66">
        <v>1100</v>
      </c>
    </row>
    <row r="21" spans="1:63" ht="12.75" customHeight="1" x14ac:dyDescent="0.2">
      <c r="B21" s="1456" t="s">
        <v>108</v>
      </c>
      <c r="C21" s="1457"/>
      <c r="D21" s="1457"/>
      <c r="E21" s="1457"/>
      <c r="F21" s="1457"/>
      <c r="G21" s="1458"/>
      <c r="H21" s="1459"/>
      <c r="I21" s="1459"/>
      <c r="J21" s="1459"/>
      <c r="K21" s="1459"/>
      <c r="O21" s="66"/>
      <c r="P21" s="66"/>
      <c r="W21" s="103"/>
      <c r="Z21" s="66"/>
      <c r="AA21" s="66"/>
      <c r="AB21" s="66"/>
      <c r="AC21" s="66"/>
      <c r="AD21" s="66"/>
      <c r="AE21" s="66"/>
      <c r="AF21" s="66"/>
      <c r="AG21" s="66"/>
      <c r="AH21" s="66"/>
      <c r="BA21" s="86" t="s">
        <v>106</v>
      </c>
      <c r="BB21" s="81"/>
      <c r="BC21" s="83"/>
      <c r="BE21" s="110" t="s">
        <v>110</v>
      </c>
      <c r="BF21" s="113"/>
      <c r="BG21" s="114"/>
      <c r="BJ21" s="66" t="s">
        <v>595</v>
      </c>
      <c r="BK21" s="66">
        <v>1900</v>
      </c>
    </row>
    <row r="22" spans="1:63" ht="12.75" customHeight="1" x14ac:dyDescent="0.25">
      <c r="B22" s="1456" t="s">
        <v>111</v>
      </c>
      <c r="C22" s="1457"/>
      <c r="D22" s="1457"/>
      <c r="E22" s="1457"/>
      <c r="F22" s="1457"/>
      <c r="G22" s="1458"/>
      <c r="H22" s="1497"/>
      <c r="I22" s="1497"/>
      <c r="J22" s="1497"/>
      <c r="K22" s="1497"/>
      <c r="M22" s="130" t="s">
        <v>113</v>
      </c>
      <c r="N22" s="1485"/>
      <c r="O22" s="1487"/>
      <c r="P22" s="131"/>
      <c r="Q22" s="130" t="s">
        <v>114</v>
      </c>
      <c r="R22" s="1485"/>
      <c r="S22" s="1487"/>
      <c r="W22" s="103"/>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129" t="s">
        <v>81</v>
      </c>
      <c r="BB22" s="112"/>
      <c r="BC22" s="114"/>
      <c r="BI22" s="66"/>
      <c r="BJ22" s="586"/>
      <c r="BK22" s="586"/>
    </row>
    <row r="23" spans="1:63" ht="12.75" customHeight="1" x14ac:dyDescent="0.2">
      <c r="B23" s="1456" t="s">
        <v>576</v>
      </c>
      <c r="C23" s="1457"/>
      <c r="D23" s="1457"/>
      <c r="E23" s="1457"/>
      <c r="F23" s="1457"/>
      <c r="G23" s="1458"/>
      <c r="H23" s="1459"/>
      <c r="I23" s="1460"/>
      <c r="J23" s="1460"/>
      <c r="K23" s="1460"/>
      <c r="L23" s="1460"/>
      <c r="M23" s="1460"/>
      <c r="N23" s="1460"/>
      <c r="O23" s="1460"/>
      <c r="P23" s="1460"/>
      <c r="Q23" s="1460"/>
      <c r="W23" s="103"/>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E23" s="75" t="s">
        <v>117</v>
      </c>
      <c r="BH23" s="66"/>
      <c r="BI23" s="66"/>
    </row>
    <row r="24" spans="1:63" ht="12.75" customHeight="1" thickBot="1" x14ac:dyDescent="0.25">
      <c r="B24" s="1016" t="s">
        <v>763</v>
      </c>
      <c r="C24" s="118"/>
      <c r="D24" s="118"/>
      <c r="E24" s="118"/>
      <c r="F24" s="1507"/>
      <c r="G24" s="1508"/>
      <c r="H24" s="1508"/>
      <c r="I24" s="1508"/>
      <c r="J24" s="1508"/>
      <c r="K24" s="1508"/>
      <c r="L24" s="1508"/>
      <c r="M24" s="1508"/>
      <c r="N24" s="1508"/>
      <c r="O24" s="1508"/>
      <c r="P24" s="1508"/>
      <c r="Q24" s="1508"/>
      <c r="R24" s="118"/>
      <c r="S24" s="118"/>
      <c r="T24" s="118"/>
      <c r="U24" s="118"/>
      <c r="V24" s="118"/>
      <c r="W24" s="119"/>
      <c r="Z24" s="66"/>
      <c r="AA24" s="66"/>
      <c r="AB24" s="66"/>
      <c r="AC24" s="66"/>
      <c r="AD24" s="66"/>
      <c r="AE24" s="66"/>
      <c r="AF24" s="66"/>
      <c r="AG24" s="66"/>
      <c r="AH24" s="66"/>
      <c r="BA24" s="75" t="s">
        <v>115</v>
      </c>
      <c r="BE24" s="80" t="s">
        <v>118</v>
      </c>
      <c r="BF24" s="77"/>
      <c r="BG24" s="135"/>
      <c r="BH24" s="66"/>
    </row>
    <row r="25" spans="1:63" x14ac:dyDescent="0.2">
      <c r="Z25" s="66"/>
      <c r="AA25" s="66"/>
      <c r="AB25" s="66"/>
      <c r="AC25" s="66"/>
      <c r="AD25" s="66"/>
      <c r="AE25" s="66"/>
      <c r="AF25" s="66"/>
      <c r="AG25" s="66"/>
      <c r="AH25" s="66"/>
      <c r="BA25" s="134" t="s">
        <v>116</v>
      </c>
      <c r="BB25" s="76"/>
      <c r="BC25" s="78"/>
      <c r="BE25" s="105" t="s">
        <v>109</v>
      </c>
      <c r="BF25" s="82"/>
      <c r="BG25" s="108"/>
    </row>
    <row r="26" spans="1:63" ht="13.5" thickBot="1" x14ac:dyDescent="0.25">
      <c r="B26" s="107"/>
      <c r="C26" s="107"/>
      <c r="H26" s="130" t="str">
        <f>IF($BD$20,"Section not valid for Parametric","Device Power Supply Details:      ")</f>
        <v xml:space="preserve">Device Power Supply Details:      </v>
      </c>
      <c r="O26" s="66"/>
      <c r="P26" s="66"/>
      <c r="AH26" s="66"/>
      <c r="BA26" s="110" t="s">
        <v>112</v>
      </c>
      <c r="BB26" s="112"/>
      <c r="BC26" s="114"/>
      <c r="BE26" s="129" t="s">
        <v>128</v>
      </c>
      <c r="BF26" s="113"/>
      <c r="BG26" s="111"/>
    </row>
    <row r="27" spans="1:63" ht="27" customHeight="1" thickBot="1" x14ac:dyDescent="0.25">
      <c r="B27" s="1466" t="s">
        <v>120</v>
      </c>
      <c r="C27" s="1467"/>
      <c r="D27" s="1478" t="s">
        <v>880</v>
      </c>
      <c r="E27" s="1479"/>
      <c r="F27" s="1479"/>
      <c r="G27" s="1480"/>
      <c r="H27" s="1480"/>
      <c r="I27" s="1480"/>
      <c r="J27" s="1480"/>
      <c r="K27" s="1480"/>
      <c r="L27" s="1480"/>
      <c r="M27" s="1481"/>
      <c r="N27" s="1466" t="s">
        <v>122</v>
      </c>
      <c r="O27" s="1467"/>
      <c r="P27" s="1466" t="s">
        <v>123</v>
      </c>
      <c r="Q27" s="1466"/>
      <c r="R27" s="1476" t="s">
        <v>124</v>
      </c>
      <c r="S27" s="1477"/>
      <c r="T27" s="1476" t="s">
        <v>125</v>
      </c>
      <c r="U27" s="1477"/>
      <c r="V27" s="1466" t="s">
        <v>126</v>
      </c>
      <c r="W27" s="1467"/>
      <c r="X27" s="1030"/>
      <c r="BA27" s="116" t="s">
        <v>119</v>
      </c>
      <c r="BB27" s="71">
        <f>AND(H22=BA25,N22&lt;0)+0</f>
        <v>0</v>
      </c>
    </row>
    <row r="28" spans="1:63" x14ac:dyDescent="0.2">
      <c r="A28" s="1011">
        <f ca="1">MATCH(9,Chart!BQ1:BQ63,0)</f>
        <v>12</v>
      </c>
      <c r="B28" s="1468" t="str">
        <f ca="1">IF(ISNUMBER(A28),OFFSET(Chart!$BT$1,A28-1,0)," ")</f>
        <v>P01</v>
      </c>
      <c r="C28" s="1468"/>
      <c r="D28" s="1482" t="str">
        <f ca="1">IF(ISNUMBER(MATCH(B28,Chart!BY:BY,0)),VLOOKUP(DUT!B28,Pinlist!A:H,8,0),"")</f>
        <v/>
      </c>
      <c r="E28" s="1483"/>
      <c r="F28" s="1483"/>
      <c r="G28" s="1483"/>
      <c r="H28" s="1483"/>
      <c r="I28" s="1483"/>
      <c r="J28" s="1483"/>
      <c r="K28" s="1483"/>
      <c r="L28" s="1483"/>
      <c r="M28" s="1484"/>
      <c r="N28" s="1469"/>
      <c r="O28" s="1470"/>
      <c r="P28" s="1471"/>
      <c r="Q28" s="1471"/>
      <c r="R28" s="1469"/>
      <c r="S28" s="1470"/>
      <c r="T28" s="1472" t="str">
        <f>IF(R28,R28/X28,"")</f>
        <v/>
      </c>
      <c r="U28" s="1473"/>
      <c r="V28" s="1474" t="str">
        <f>IF(N28,PRODUCT(N28,R28/1000),"")</f>
        <v/>
      </c>
      <c r="W28" s="1475"/>
      <c r="X28" s="1011" t="str">
        <f>IF(R28,VLOOKUP(B28,Chart!$BT$4:$BV$63,3,0),"")</f>
        <v/>
      </c>
      <c r="Y28" s="1295" t="str">
        <f>IF(R28,IF(X28&lt;&gt;COUNTIF(Pinlist!$H$9:$H$3003,DUT!D28),B28&amp;" errors found on Pinlist page - Non-existant or blank / incorrect net names",""),"")</f>
        <v/>
      </c>
      <c r="BA28" s="116" t="s">
        <v>127</v>
      </c>
      <c r="BB28" s="71">
        <f>AND(H22=BA25,R22-N22&gt;120)+0</f>
        <v>0</v>
      </c>
    </row>
    <row r="29" spans="1:63" x14ac:dyDescent="0.2">
      <c r="A29" s="1362">
        <f ca="1">IF(ISNUMBER(OFFSET(Chart!$BQ$1,A28,0)),A28+1,"")</f>
        <v>13</v>
      </c>
      <c r="B29" s="1461" t="str">
        <f ca="1">IF(ISNUMBER(A29),OFFSET(Chart!$BT$1,A29-1,0)," ")</f>
        <v>P02</v>
      </c>
      <c r="C29" s="1462"/>
      <c r="D29" s="1463" t="str">
        <f ca="1">IF(ISNUMBER(MATCH(B29,Chart!BY:BY,0)),VLOOKUP(DUT!B29,Pinlist!A:H,8,0),"")</f>
        <v/>
      </c>
      <c r="E29" s="1464"/>
      <c r="F29" s="1464"/>
      <c r="G29" s="1464"/>
      <c r="H29" s="1464"/>
      <c r="I29" s="1464"/>
      <c r="J29" s="1464"/>
      <c r="K29" s="1464"/>
      <c r="L29" s="1464"/>
      <c r="M29" s="1465"/>
      <c r="N29" s="1452"/>
      <c r="O29" s="1453"/>
      <c r="P29" s="1439"/>
      <c r="Q29" s="1440"/>
      <c r="R29" s="1452"/>
      <c r="S29" s="1453"/>
      <c r="T29" s="1441" t="str">
        <f t="shared" ref="T29:T75" si="0">IF(R29,R29/X29,"")</f>
        <v/>
      </c>
      <c r="U29" s="1442"/>
      <c r="V29" s="1454" t="str">
        <f>IF(N29,PRODUCT(N29,R29/1000),"")</f>
        <v/>
      </c>
      <c r="W29" s="1455"/>
      <c r="X29" s="1011" t="str">
        <f>IF(R29,VLOOKUP(B29,Chart!$BT$4:$BV$63,3,0),"")</f>
        <v/>
      </c>
      <c r="Y29" s="1295" t="str">
        <f>IF(R29,IF(X29&lt;&gt;COUNTIF(Pinlist!$H$9:$H$3003,DUT!D29),B29&amp;" errors found on Pinlist page - Non-existant or blank / incorrect net names",""),"")</f>
        <v/>
      </c>
      <c r="BA29" s="116" t="s">
        <v>129</v>
      </c>
      <c r="BB29" s="71">
        <f>AND(H22=BA25,R22-N22&gt;50)+0</f>
        <v>0</v>
      </c>
    </row>
    <row r="30" spans="1:63" x14ac:dyDescent="0.2">
      <c r="A30" s="1011">
        <f ca="1">IF(ISNUMBER(OFFSET(Chart!$BQ$1,A29,0)),A29+1,"")</f>
        <v>14</v>
      </c>
      <c r="B30" s="1450" t="str">
        <f ca="1">IF(ISNUMBER(A30),OFFSET(Chart!$BT$1,A30-1,0)," ")</f>
        <v>P03</v>
      </c>
      <c r="C30" s="1451"/>
      <c r="D30" s="1436" t="str">
        <f ca="1">IF(ISNUMBER(MATCH(B30,Chart!BY:BY,0)),VLOOKUP(DUT!B30,Pinlist!A:H,8,0),"")</f>
        <v/>
      </c>
      <c r="E30" s="1437"/>
      <c r="F30" s="1437"/>
      <c r="G30" s="1437"/>
      <c r="H30" s="1437"/>
      <c r="I30" s="1437"/>
      <c r="J30" s="1437"/>
      <c r="K30" s="1437"/>
      <c r="L30" s="1437"/>
      <c r="M30" s="1438"/>
      <c r="N30" s="1452"/>
      <c r="O30" s="1453"/>
      <c r="P30" s="1439"/>
      <c r="Q30" s="1440"/>
      <c r="R30" s="1452"/>
      <c r="S30" s="1453"/>
      <c r="T30" s="1441" t="str">
        <f t="shared" si="0"/>
        <v/>
      </c>
      <c r="U30" s="1442"/>
      <c r="V30" s="1454" t="str">
        <f t="shared" ref="V30:V52" si="1">IF(N30,PRODUCT(N30,R30/1000),"")</f>
        <v/>
      </c>
      <c r="W30" s="1455"/>
      <c r="X30" s="1011" t="str">
        <f>IF(R30,VLOOKUP(B30,Chart!$BT$4:$BV$63,3,0),"")</f>
        <v/>
      </c>
      <c r="Y30" s="1295" t="str">
        <f>IF(R30,IF(X30&lt;&gt;COUNTIF(Pinlist!$H$9:$H$3003,DUT!D30),B30&amp;" errors found on Pinlist page - Non-existant or blank / incorrect net names",""),"")</f>
        <v/>
      </c>
    </row>
    <row r="31" spans="1:63" x14ac:dyDescent="0.2">
      <c r="A31" s="1011">
        <f ca="1">IF(ISNUMBER(OFFSET(Chart!$BQ$1,A30,0)),A30+1,"")</f>
        <v>15</v>
      </c>
      <c r="B31" s="1450" t="str">
        <f ca="1">IF(ISNUMBER(A31),OFFSET(Chart!$BT$1,A31-1,0)," ")</f>
        <v>P04</v>
      </c>
      <c r="C31" s="1451"/>
      <c r="D31" s="1436" t="str">
        <f ca="1">IF(ISNUMBER(MATCH(B31,Chart!BY:BY,0)),VLOOKUP(DUT!B31,Pinlist!A:H,8,0),"")</f>
        <v/>
      </c>
      <c r="E31" s="1437"/>
      <c r="F31" s="1437"/>
      <c r="G31" s="1437"/>
      <c r="H31" s="1437"/>
      <c r="I31" s="1437"/>
      <c r="J31" s="1437"/>
      <c r="K31" s="1437"/>
      <c r="L31" s="1437"/>
      <c r="M31" s="1438"/>
      <c r="N31" s="1452"/>
      <c r="O31" s="1453"/>
      <c r="P31" s="1439"/>
      <c r="Q31" s="1440"/>
      <c r="R31" s="1452"/>
      <c r="S31" s="1453"/>
      <c r="T31" s="1441" t="str">
        <f t="shared" si="0"/>
        <v/>
      </c>
      <c r="U31" s="1442"/>
      <c r="V31" s="1454" t="str">
        <f t="shared" si="1"/>
        <v/>
      </c>
      <c r="W31" s="1455"/>
      <c r="X31" s="1011" t="str">
        <f>IF(R31,VLOOKUP(B31,Chart!$BT$4:$BV$63,3,0),"")</f>
        <v/>
      </c>
      <c r="Y31" s="1295" t="str">
        <f>IF(R31,IF(X31&lt;&gt;COUNTIF(Pinlist!$H$9:$H$3003,DUT!D31),B31&amp;" errors found on Pinlist page - Non-existant or blank / incorrect net names",""),"")</f>
        <v/>
      </c>
    </row>
    <row r="32" spans="1:63" x14ac:dyDescent="0.2">
      <c r="A32" s="1011">
        <f ca="1">IF(ISNUMBER(OFFSET(Chart!$BQ$1,A31,0)),A31+1,"")</f>
        <v>16</v>
      </c>
      <c r="B32" s="1450" t="str">
        <f ca="1">IF(ISNUMBER(A32),OFFSET(Chart!$BT$1,A32-1,0)," ")</f>
        <v>P05</v>
      </c>
      <c r="C32" s="1451"/>
      <c r="D32" s="1436" t="str">
        <f ca="1">IF(ISNUMBER(MATCH(B32,Chart!BY:BY,0)),VLOOKUP(DUT!B32,Pinlist!A:H,8,0),"")</f>
        <v/>
      </c>
      <c r="E32" s="1437"/>
      <c r="F32" s="1437"/>
      <c r="G32" s="1437"/>
      <c r="H32" s="1437"/>
      <c r="I32" s="1437"/>
      <c r="J32" s="1437"/>
      <c r="K32" s="1437"/>
      <c r="L32" s="1437"/>
      <c r="M32" s="1438"/>
      <c r="N32" s="1452"/>
      <c r="O32" s="1453"/>
      <c r="P32" s="1439"/>
      <c r="Q32" s="1440"/>
      <c r="R32" s="1452"/>
      <c r="S32" s="1453"/>
      <c r="T32" s="1441" t="str">
        <f t="shared" si="0"/>
        <v/>
      </c>
      <c r="U32" s="1442"/>
      <c r="V32" s="1454" t="str">
        <f t="shared" si="1"/>
        <v/>
      </c>
      <c r="W32" s="1455"/>
      <c r="X32" s="1011" t="str">
        <f>IF(R32,VLOOKUP(B32,Chart!$BT$4:$BV$63,3,0),"")</f>
        <v/>
      </c>
      <c r="Y32" s="1295" t="str">
        <f>IF(R32,IF(X32&lt;&gt;COUNTIF(Pinlist!$H$9:$H$3003,DUT!D32),B32&amp;" errors found on Pinlist page - Non-existant or blank / incorrect net names",""),"")</f>
        <v/>
      </c>
    </row>
    <row r="33" spans="1:25" x14ac:dyDescent="0.2">
      <c r="A33" s="1011">
        <f ca="1">IF(ISNUMBER(OFFSET(Chart!$BQ$1,A32,0)),A32+1,"")</f>
        <v>17</v>
      </c>
      <c r="B33" s="1450" t="str">
        <f ca="1">IF(ISNUMBER(A33),OFFSET(Chart!$BT$1,A33-1,0)," ")</f>
        <v>P06</v>
      </c>
      <c r="C33" s="1451"/>
      <c r="D33" s="1436" t="str">
        <f ca="1">IF(ISNUMBER(MATCH(B33,Chart!BY:BY,0)),VLOOKUP(DUT!B33,Pinlist!A:H,8,0),"")</f>
        <v/>
      </c>
      <c r="E33" s="1437"/>
      <c r="F33" s="1437"/>
      <c r="G33" s="1437"/>
      <c r="H33" s="1437"/>
      <c r="I33" s="1437"/>
      <c r="J33" s="1437"/>
      <c r="K33" s="1437"/>
      <c r="L33" s="1437"/>
      <c r="M33" s="1438"/>
      <c r="N33" s="1452"/>
      <c r="O33" s="1453"/>
      <c r="P33" s="1439"/>
      <c r="Q33" s="1440"/>
      <c r="R33" s="1452"/>
      <c r="S33" s="1453"/>
      <c r="T33" s="1441" t="str">
        <f t="shared" si="0"/>
        <v/>
      </c>
      <c r="U33" s="1442"/>
      <c r="V33" s="1454" t="str">
        <f t="shared" si="1"/>
        <v/>
      </c>
      <c r="W33" s="1455"/>
      <c r="X33" s="1011" t="str">
        <f>IF(R33,VLOOKUP(B33,Chart!$BT$4:$BV$63,3,0),"")</f>
        <v/>
      </c>
      <c r="Y33" s="1295" t="str">
        <f>IF(R33,IF(X33&lt;&gt;COUNTIF(Pinlist!$H$9:$H$3003,DUT!D33),B33&amp;" errors found on Pinlist page - Non-existant or blank / incorrect net names",""),"")</f>
        <v/>
      </c>
    </row>
    <row r="34" spans="1:25" x14ac:dyDescent="0.2">
      <c r="A34" s="1011">
        <f ca="1">IF(ISNUMBER(OFFSET(Chart!$BQ$1,A33,0)),A33+1,"")</f>
        <v>18</v>
      </c>
      <c r="B34" s="1450" t="str">
        <f ca="1">IF(ISNUMBER(A34),OFFSET(Chart!$BT$1,A34-1,0)," ")</f>
        <v>P07</v>
      </c>
      <c r="C34" s="1451"/>
      <c r="D34" s="1436" t="str">
        <f ca="1">IF(ISNUMBER(MATCH(B34,Chart!BY:BY,0)),VLOOKUP(DUT!B34,Pinlist!A:H,8,0),"")</f>
        <v/>
      </c>
      <c r="E34" s="1437"/>
      <c r="F34" s="1437"/>
      <c r="G34" s="1437"/>
      <c r="H34" s="1437"/>
      <c r="I34" s="1437"/>
      <c r="J34" s="1437"/>
      <c r="K34" s="1437"/>
      <c r="L34" s="1437"/>
      <c r="M34" s="1438"/>
      <c r="N34" s="1452"/>
      <c r="O34" s="1453"/>
      <c r="P34" s="1439"/>
      <c r="Q34" s="1440"/>
      <c r="R34" s="1452"/>
      <c r="S34" s="1453"/>
      <c r="T34" s="1441" t="str">
        <f t="shared" si="0"/>
        <v/>
      </c>
      <c r="U34" s="1442"/>
      <c r="V34" s="1454" t="str">
        <f t="shared" si="1"/>
        <v/>
      </c>
      <c r="W34" s="1455"/>
      <c r="X34" s="1011" t="str">
        <f>IF(R34,VLOOKUP(B34,Chart!$BT$4:$BV$63,3,0),"")</f>
        <v/>
      </c>
      <c r="Y34" s="1295" t="str">
        <f>IF(R34,IF(X34&lt;&gt;COUNTIF(Pinlist!$H$9:$H$3003,DUT!D34),B34&amp;" errors found on Pinlist page - Non-existant or blank / incorrect net names",""),"")</f>
        <v/>
      </c>
    </row>
    <row r="35" spans="1:25" x14ac:dyDescent="0.2">
      <c r="A35" s="1011">
        <f ca="1">IF(ISNUMBER(OFFSET(Chart!$BQ$1,A34,0)),A34+1,"")</f>
        <v>19</v>
      </c>
      <c r="B35" s="1450" t="str">
        <f ca="1">IF(ISNUMBER(A35),OFFSET(Chart!$BT$1,A35-1,0)," ")</f>
        <v>P08</v>
      </c>
      <c r="C35" s="1451"/>
      <c r="D35" s="1436" t="str">
        <f ca="1">IF(ISNUMBER(MATCH(B35,Chart!BY:BY,0)),VLOOKUP(DUT!B35,Pinlist!A:H,8,0),"")</f>
        <v/>
      </c>
      <c r="E35" s="1437"/>
      <c r="F35" s="1437"/>
      <c r="G35" s="1437"/>
      <c r="H35" s="1437"/>
      <c r="I35" s="1437"/>
      <c r="J35" s="1437"/>
      <c r="K35" s="1437"/>
      <c r="L35" s="1437"/>
      <c r="M35" s="1438"/>
      <c r="N35" s="1452"/>
      <c r="O35" s="1453"/>
      <c r="P35" s="1439"/>
      <c r="Q35" s="1440"/>
      <c r="R35" s="1452"/>
      <c r="S35" s="1453"/>
      <c r="T35" s="1441" t="str">
        <f t="shared" si="0"/>
        <v/>
      </c>
      <c r="U35" s="1442"/>
      <c r="V35" s="1454" t="str">
        <f t="shared" si="1"/>
        <v/>
      </c>
      <c r="W35" s="1455"/>
      <c r="X35" s="1011" t="str">
        <f>IF(R35,VLOOKUP(B35,Chart!$BT$4:$BV$63,3,0),"")</f>
        <v/>
      </c>
      <c r="Y35" s="1295" t="str">
        <f>IF(R35,IF(X35&lt;&gt;COUNTIF(Pinlist!$H$9:$H$3003,DUT!D35),B35&amp;" errors found on Pinlist page - Non-existant or blank / incorrect net names",""),"")</f>
        <v/>
      </c>
    </row>
    <row r="36" spans="1:25" x14ac:dyDescent="0.2">
      <c r="A36" s="1011">
        <f ca="1">IF(ISNUMBER(OFFSET(Chart!$BQ$1,A35,0)),A35+1,"")</f>
        <v>20</v>
      </c>
      <c r="B36" s="1450" t="str">
        <f ca="1">IF(ISNUMBER(A36),OFFSET(Chart!$BT$1,A36-1,0)," ")</f>
        <v>P09</v>
      </c>
      <c r="C36" s="1451"/>
      <c r="D36" s="1436" t="str">
        <f ca="1">IF(ISNUMBER(MATCH(B36,Chart!BY:BY,0)),VLOOKUP(DUT!B36,Pinlist!A:H,8,0),"")</f>
        <v/>
      </c>
      <c r="E36" s="1437"/>
      <c r="F36" s="1437"/>
      <c r="G36" s="1437"/>
      <c r="H36" s="1437"/>
      <c r="I36" s="1437"/>
      <c r="J36" s="1437"/>
      <c r="K36" s="1437"/>
      <c r="L36" s="1437"/>
      <c r="M36" s="1438"/>
      <c r="N36" s="1452"/>
      <c r="O36" s="1453"/>
      <c r="P36" s="1439"/>
      <c r="Q36" s="1440"/>
      <c r="R36" s="1452"/>
      <c r="S36" s="1453"/>
      <c r="T36" s="1441" t="str">
        <f t="shared" si="0"/>
        <v/>
      </c>
      <c r="U36" s="1442"/>
      <c r="V36" s="1454" t="str">
        <f t="shared" si="1"/>
        <v/>
      </c>
      <c r="W36" s="1455"/>
      <c r="X36" s="1011" t="str">
        <f>IF(R36,VLOOKUP(B36,Chart!$BT$4:$BV$63,3,0),"")</f>
        <v/>
      </c>
      <c r="Y36" s="1295" t="str">
        <f>IF(R36,IF(X36&lt;&gt;COUNTIF(Pinlist!$H$9:$H$3003,DUT!D36),B36&amp;" errors found on Pinlist page - Non-existant or blank / incorrect net names",""),"")</f>
        <v/>
      </c>
    </row>
    <row r="37" spans="1:25" x14ac:dyDescent="0.2">
      <c r="A37" s="1011">
        <f ca="1">IF(ISNUMBER(OFFSET(Chart!$BQ$1,A36,0)),A36+1,"")</f>
        <v>21</v>
      </c>
      <c r="B37" s="1450" t="str">
        <f ca="1">IF(ISNUMBER(A37),OFFSET(Chart!$BT$1,A37-1,0)," ")</f>
        <v>P10</v>
      </c>
      <c r="C37" s="1451"/>
      <c r="D37" s="1436" t="str">
        <f ca="1">IF(ISNUMBER(MATCH(B37,Chart!BY:BY,0)),VLOOKUP(DUT!B37,Pinlist!A:H,8,0),"")</f>
        <v/>
      </c>
      <c r="E37" s="1437"/>
      <c r="F37" s="1437"/>
      <c r="G37" s="1437"/>
      <c r="H37" s="1437"/>
      <c r="I37" s="1437"/>
      <c r="J37" s="1437"/>
      <c r="K37" s="1437"/>
      <c r="L37" s="1437"/>
      <c r="M37" s="1438"/>
      <c r="N37" s="1452"/>
      <c r="O37" s="1453"/>
      <c r="P37" s="1439"/>
      <c r="Q37" s="1440"/>
      <c r="R37" s="1452"/>
      <c r="S37" s="1453"/>
      <c r="T37" s="1441" t="str">
        <f t="shared" si="0"/>
        <v/>
      </c>
      <c r="U37" s="1442"/>
      <c r="V37" s="1454" t="str">
        <f t="shared" si="1"/>
        <v/>
      </c>
      <c r="W37" s="1455"/>
      <c r="X37" s="1011" t="str">
        <f>IF(R37,VLOOKUP(B37,Chart!$BT$4:$BV$63,3,0),"")</f>
        <v/>
      </c>
      <c r="Y37" s="1295" t="str">
        <f>IF(R37,IF(X37&lt;&gt;COUNTIF(Pinlist!$H$9:$H$3003,DUT!D37),B37&amp;" errors found on Pinlist page - Non-existant or blank / incorrect net names",""),"")</f>
        <v/>
      </c>
    </row>
    <row r="38" spans="1:25" x14ac:dyDescent="0.2">
      <c r="A38" s="1011">
        <f ca="1">IF(ISNUMBER(OFFSET(Chart!$BQ$1,A37,0)),A37+1,"")</f>
        <v>22</v>
      </c>
      <c r="B38" s="1450" t="str">
        <f ca="1">IF(ISNUMBER(A38),OFFSET(Chart!$BT$1,A38-1,0)," ")</f>
        <v>P11</v>
      </c>
      <c r="C38" s="1451"/>
      <c r="D38" s="1436" t="str">
        <f ca="1">IF(ISNUMBER(MATCH(B38,Chart!BY:BY,0)),VLOOKUP(DUT!B38,Pinlist!A:H,8,0),"")</f>
        <v/>
      </c>
      <c r="E38" s="1437"/>
      <c r="F38" s="1437"/>
      <c r="G38" s="1437"/>
      <c r="H38" s="1437"/>
      <c r="I38" s="1437"/>
      <c r="J38" s="1437"/>
      <c r="K38" s="1437"/>
      <c r="L38" s="1437"/>
      <c r="M38" s="1438"/>
      <c r="N38" s="1452"/>
      <c r="O38" s="1453"/>
      <c r="P38" s="1439"/>
      <c r="Q38" s="1440"/>
      <c r="R38" s="1452"/>
      <c r="S38" s="1453"/>
      <c r="T38" s="1441" t="str">
        <f t="shared" si="0"/>
        <v/>
      </c>
      <c r="U38" s="1442"/>
      <c r="V38" s="1454" t="str">
        <f t="shared" si="1"/>
        <v/>
      </c>
      <c r="W38" s="1455"/>
      <c r="X38" s="1011" t="str">
        <f>IF(R38,VLOOKUP(B38,Chart!$BT$4:$BV$63,3,0),"")</f>
        <v/>
      </c>
      <c r="Y38" s="1295" t="str">
        <f>IF(R38,IF(X38&lt;&gt;COUNTIF(Pinlist!$H$9:$H$3003,DUT!D38),B38&amp;" errors found on Pinlist page - Non-existant or blank / incorrect net names",""),"")</f>
        <v/>
      </c>
    </row>
    <row r="39" spans="1:25" x14ac:dyDescent="0.2">
      <c r="A39" s="1011">
        <f ca="1">IF(ISNUMBER(OFFSET(Chart!$BQ$1,A38,0)),A38+1,"")</f>
        <v>23</v>
      </c>
      <c r="B39" s="1450" t="str">
        <f ca="1">IF(ISNUMBER(A39),OFFSET(Chart!$BT$1,A39-1,0)," ")</f>
        <v>P12</v>
      </c>
      <c r="C39" s="1451"/>
      <c r="D39" s="1436" t="str">
        <f ca="1">IF(ISNUMBER(MATCH(B39,Chart!BY:BY,0)),VLOOKUP(DUT!B39,Pinlist!A:H,8,0),"")</f>
        <v/>
      </c>
      <c r="E39" s="1437"/>
      <c r="F39" s="1437"/>
      <c r="G39" s="1437"/>
      <c r="H39" s="1437"/>
      <c r="I39" s="1437"/>
      <c r="J39" s="1437"/>
      <c r="K39" s="1437"/>
      <c r="L39" s="1437"/>
      <c r="M39" s="1438"/>
      <c r="N39" s="1452"/>
      <c r="O39" s="1453"/>
      <c r="P39" s="1439"/>
      <c r="Q39" s="1440"/>
      <c r="R39" s="1452"/>
      <c r="S39" s="1453"/>
      <c r="T39" s="1441" t="str">
        <f t="shared" si="0"/>
        <v/>
      </c>
      <c r="U39" s="1442"/>
      <c r="V39" s="1454" t="str">
        <f t="shared" si="1"/>
        <v/>
      </c>
      <c r="W39" s="1455"/>
      <c r="X39" s="1011" t="str">
        <f>IF(R39,VLOOKUP(B39,Chart!$BT$4:$BV$63,3,0),"")</f>
        <v/>
      </c>
      <c r="Y39" s="1295" t="str">
        <f>IF(R39,IF(X39&lt;&gt;COUNTIF(Pinlist!$H$9:$H$3003,DUT!D39),B39&amp;" errors found on Pinlist page - Non-existant or blank / incorrect net names",""),"")</f>
        <v/>
      </c>
    </row>
    <row r="40" spans="1:25" x14ac:dyDescent="0.2">
      <c r="A40" s="1011">
        <f ca="1">IF(ISNUMBER(OFFSET(Chart!$BQ$1,A39,0)),A39+1,"")</f>
        <v>24</v>
      </c>
      <c r="B40" s="1450" t="str">
        <f ca="1">IF(ISNUMBER(A40),OFFSET(Chart!$BT$1,A40-1,0)," ")</f>
        <v>P13</v>
      </c>
      <c r="C40" s="1451"/>
      <c r="D40" s="1436" t="str">
        <f ca="1">IF(ISNUMBER(MATCH(B40,Chart!BY:BY,0)),VLOOKUP(DUT!B40,Pinlist!A:H,8,0),"")</f>
        <v/>
      </c>
      <c r="E40" s="1437"/>
      <c r="F40" s="1437"/>
      <c r="G40" s="1437"/>
      <c r="H40" s="1437"/>
      <c r="I40" s="1437"/>
      <c r="J40" s="1437"/>
      <c r="K40" s="1437"/>
      <c r="L40" s="1437"/>
      <c r="M40" s="1438"/>
      <c r="N40" s="1452"/>
      <c r="O40" s="1453"/>
      <c r="P40" s="1439"/>
      <c r="Q40" s="1440"/>
      <c r="R40" s="1452"/>
      <c r="S40" s="1453"/>
      <c r="T40" s="1441" t="str">
        <f t="shared" si="0"/>
        <v/>
      </c>
      <c r="U40" s="1442"/>
      <c r="V40" s="1454" t="str">
        <f t="shared" si="1"/>
        <v/>
      </c>
      <c r="W40" s="1455"/>
      <c r="X40" s="1011" t="str">
        <f>IF(R40,VLOOKUP(B40,Chart!$BT$4:$BV$63,3,0),"")</f>
        <v/>
      </c>
      <c r="Y40" s="1295" t="str">
        <f>IF(R40,IF(X40&lt;&gt;COUNTIF(Pinlist!$H$9:$H$3003,DUT!D40),B40&amp;" errors found on Pinlist page - Non-existant or blank / incorrect net names",""),"")</f>
        <v/>
      </c>
    </row>
    <row r="41" spans="1:25" x14ac:dyDescent="0.2">
      <c r="A41" s="1011">
        <f ca="1">IF(ISNUMBER(OFFSET(Chart!$BQ$1,A40,0)),A40+1,"")</f>
        <v>25</v>
      </c>
      <c r="B41" s="1450" t="str">
        <f ca="1">IF(ISNUMBER(A41),OFFSET(Chart!$BT$1,A41-1,0)," ")</f>
        <v>P14</v>
      </c>
      <c r="C41" s="1451"/>
      <c r="D41" s="1436" t="str">
        <f ca="1">IF(ISNUMBER(MATCH(B41,Chart!BY:BY,0)),VLOOKUP(DUT!B41,Pinlist!A:H,8,0),"")</f>
        <v/>
      </c>
      <c r="E41" s="1437"/>
      <c r="F41" s="1437"/>
      <c r="G41" s="1437"/>
      <c r="H41" s="1437"/>
      <c r="I41" s="1437"/>
      <c r="J41" s="1437"/>
      <c r="K41" s="1437"/>
      <c r="L41" s="1437"/>
      <c r="M41" s="1438"/>
      <c r="N41" s="1452"/>
      <c r="O41" s="1453"/>
      <c r="P41" s="1439"/>
      <c r="Q41" s="1440"/>
      <c r="R41" s="1452"/>
      <c r="S41" s="1453"/>
      <c r="T41" s="1441" t="str">
        <f t="shared" si="0"/>
        <v/>
      </c>
      <c r="U41" s="1442"/>
      <c r="V41" s="1454" t="str">
        <f t="shared" si="1"/>
        <v/>
      </c>
      <c r="W41" s="1455"/>
      <c r="X41" s="1011" t="str">
        <f>IF(R41,VLOOKUP(B41,Chart!$BT$4:$BV$63,3,0),"")</f>
        <v/>
      </c>
      <c r="Y41" s="1295" t="str">
        <f>IF(R41,IF(X41&lt;&gt;COUNTIF(Pinlist!$H$9:$H$3003,DUT!D41),B41&amp;" errors found on Pinlist page - Non-existant or blank / incorrect net names",""),"")</f>
        <v/>
      </c>
    </row>
    <row r="42" spans="1:25" x14ac:dyDescent="0.2">
      <c r="A42" s="1011">
        <f ca="1">IF(ISNUMBER(OFFSET(Chart!$BQ$1,A41,0)),A41+1,"")</f>
        <v>26</v>
      </c>
      <c r="B42" s="1450" t="str">
        <f ca="1">IF(ISNUMBER(A42),OFFSET(Chart!$BT$1,A42-1,0)," ")</f>
        <v>P15</v>
      </c>
      <c r="C42" s="1451"/>
      <c r="D42" s="1436" t="str">
        <f ca="1">IF(ISNUMBER(MATCH(B42,Chart!BY:BY,0)),VLOOKUP(DUT!B42,Pinlist!A:H,8,0),"")</f>
        <v/>
      </c>
      <c r="E42" s="1437"/>
      <c r="F42" s="1437"/>
      <c r="G42" s="1437"/>
      <c r="H42" s="1437"/>
      <c r="I42" s="1437"/>
      <c r="J42" s="1437"/>
      <c r="K42" s="1437"/>
      <c r="L42" s="1437"/>
      <c r="M42" s="1438"/>
      <c r="N42" s="1452"/>
      <c r="O42" s="1453"/>
      <c r="P42" s="1439"/>
      <c r="Q42" s="1440"/>
      <c r="R42" s="1452"/>
      <c r="S42" s="1453"/>
      <c r="T42" s="1441" t="str">
        <f t="shared" si="0"/>
        <v/>
      </c>
      <c r="U42" s="1442"/>
      <c r="V42" s="1454" t="str">
        <f t="shared" si="1"/>
        <v/>
      </c>
      <c r="W42" s="1455"/>
      <c r="X42" s="1011" t="str">
        <f>IF(R42,VLOOKUP(B42,Chart!$BT$4:$BV$63,3,0),"")</f>
        <v/>
      </c>
      <c r="Y42" s="1295" t="str">
        <f>IF(R42,IF(X42&lt;&gt;COUNTIF(Pinlist!$H$9:$H$3003,DUT!D42),B42&amp;" errors found on Pinlist page - Non-existant or blank / incorrect net names",""),"")</f>
        <v/>
      </c>
    </row>
    <row r="43" spans="1:25" x14ac:dyDescent="0.2">
      <c r="A43" s="1011">
        <f ca="1">IF(ISNUMBER(OFFSET(Chart!$BQ$1,A42,0)),A42+1,"")</f>
        <v>27</v>
      </c>
      <c r="B43" s="1450" t="str">
        <f ca="1">IF(ISNUMBER(A43),OFFSET(Chart!$BT$1,A43-1,0)," ")</f>
        <v>P16</v>
      </c>
      <c r="C43" s="1451"/>
      <c r="D43" s="1436" t="str">
        <f ca="1">IF(ISNUMBER(MATCH(B43,Chart!BY:BY,0)),VLOOKUP(DUT!B43,Pinlist!A:H,8,0),"")</f>
        <v/>
      </c>
      <c r="E43" s="1437"/>
      <c r="F43" s="1437"/>
      <c r="G43" s="1437"/>
      <c r="H43" s="1437"/>
      <c r="I43" s="1437"/>
      <c r="J43" s="1437"/>
      <c r="K43" s="1437"/>
      <c r="L43" s="1437"/>
      <c r="M43" s="1438"/>
      <c r="N43" s="1452"/>
      <c r="O43" s="1453"/>
      <c r="P43" s="1439"/>
      <c r="Q43" s="1440"/>
      <c r="R43" s="1452"/>
      <c r="S43" s="1453"/>
      <c r="T43" s="1441" t="str">
        <f t="shared" si="0"/>
        <v/>
      </c>
      <c r="U43" s="1442"/>
      <c r="V43" s="1454" t="str">
        <f t="shared" si="1"/>
        <v/>
      </c>
      <c r="W43" s="1455"/>
      <c r="X43" s="1011" t="str">
        <f>IF(R43,VLOOKUP(B43,Chart!$BT$4:$BV$63,3,0),"")</f>
        <v/>
      </c>
      <c r="Y43" s="1295" t="str">
        <f>IF(R43,IF(X43&lt;&gt;COUNTIF(Pinlist!$H$9:$H$3003,DUT!D43),B43&amp;" errors found on Pinlist page - Non-existant or blank / incorrect net names",""),"")</f>
        <v/>
      </c>
    </row>
    <row r="44" spans="1:25" x14ac:dyDescent="0.2">
      <c r="A44" s="1011">
        <f ca="1">IF(ISNUMBER(OFFSET(Chart!$BQ$1,A43,0)),A43+1,"")</f>
        <v>28</v>
      </c>
      <c r="B44" s="1450" t="str">
        <f ca="1">IF(ISNUMBER(A44),OFFSET(Chart!$BT$1,A44-1,0)," ")</f>
        <v>P17</v>
      </c>
      <c r="C44" s="1451"/>
      <c r="D44" s="1436" t="str">
        <f ca="1">IF(ISNUMBER(MATCH(B44,Chart!BY:BY,0)),VLOOKUP(DUT!B44,Pinlist!A:H,8,0),"")</f>
        <v/>
      </c>
      <c r="E44" s="1437"/>
      <c r="F44" s="1437"/>
      <c r="G44" s="1437"/>
      <c r="H44" s="1437"/>
      <c r="I44" s="1437"/>
      <c r="J44" s="1437"/>
      <c r="K44" s="1437"/>
      <c r="L44" s="1437"/>
      <c r="M44" s="1438"/>
      <c r="N44" s="1452"/>
      <c r="O44" s="1453"/>
      <c r="P44" s="1439"/>
      <c r="Q44" s="1440"/>
      <c r="R44" s="1452"/>
      <c r="S44" s="1453"/>
      <c r="T44" s="1441" t="str">
        <f t="shared" si="0"/>
        <v/>
      </c>
      <c r="U44" s="1442"/>
      <c r="V44" s="1454" t="str">
        <f t="shared" si="1"/>
        <v/>
      </c>
      <c r="W44" s="1455"/>
      <c r="X44" s="1011" t="str">
        <f>IF(R44,VLOOKUP(B44,Chart!$BT$4:$BV$63,3,0),"")</f>
        <v/>
      </c>
      <c r="Y44" s="1295" t="str">
        <f>IF(R44,IF(X44&lt;&gt;COUNTIF(Pinlist!$H$9:$H$3003,DUT!D44),B44&amp;" errors found on Pinlist page - Non-existant or blank / incorrect net names",""),"")</f>
        <v/>
      </c>
    </row>
    <row r="45" spans="1:25" x14ac:dyDescent="0.2">
      <c r="A45" s="1011">
        <f ca="1">IF(ISNUMBER(OFFSET(Chart!$BQ$1,A44,0)),A44+1,"")</f>
        <v>29</v>
      </c>
      <c r="B45" s="1450" t="str">
        <f ca="1">IF(ISNUMBER(A45),OFFSET(Chart!$BT$1,A45-1,0)," ")</f>
        <v>P18</v>
      </c>
      <c r="C45" s="1451"/>
      <c r="D45" s="1436" t="str">
        <f ca="1">IF(ISNUMBER(MATCH(B45,Chart!BY:BY,0)),VLOOKUP(DUT!B45,Pinlist!A:H,8,0),"")</f>
        <v/>
      </c>
      <c r="E45" s="1437"/>
      <c r="F45" s="1437"/>
      <c r="G45" s="1437"/>
      <c r="H45" s="1437"/>
      <c r="I45" s="1437"/>
      <c r="J45" s="1437"/>
      <c r="K45" s="1437"/>
      <c r="L45" s="1437"/>
      <c r="M45" s="1438"/>
      <c r="N45" s="1452"/>
      <c r="O45" s="1453"/>
      <c r="P45" s="1439"/>
      <c r="Q45" s="1440"/>
      <c r="R45" s="1452"/>
      <c r="S45" s="1453"/>
      <c r="T45" s="1441" t="str">
        <f t="shared" si="0"/>
        <v/>
      </c>
      <c r="U45" s="1442"/>
      <c r="V45" s="1454" t="str">
        <f t="shared" si="1"/>
        <v/>
      </c>
      <c r="W45" s="1455"/>
      <c r="X45" s="1011" t="str">
        <f>IF(R45,VLOOKUP(B45,Chart!$BT$4:$BV$63,3,0),"")</f>
        <v/>
      </c>
      <c r="Y45" s="1295" t="str">
        <f>IF(R45,IF(X45&lt;&gt;COUNTIF(Pinlist!$H$9:$H$3003,DUT!D45),B45&amp;" errors found on Pinlist page - Non-existant or blank / incorrect net names",""),"")</f>
        <v/>
      </c>
    </row>
    <row r="46" spans="1:25" x14ac:dyDescent="0.2">
      <c r="A46" s="1011">
        <f ca="1">IF(ISNUMBER(OFFSET(Chart!$BQ$1,A45,0)),A45+1,"")</f>
        <v>30</v>
      </c>
      <c r="B46" s="1450" t="str">
        <f ca="1">IF(ISNUMBER(A46),OFFSET(Chart!$BT$1,A46-1,0)," ")</f>
        <v>P19</v>
      </c>
      <c r="C46" s="1451"/>
      <c r="D46" s="1436" t="str">
        <f ca="1">IF(ISNUMBER(MATCH(B46,Chart!BY:BY,0)),VLOOKUP(DUT!B46,Pinlist!A:H,8,0),"")</f>
        <v/>
      </c>
      <c r="E46" s="1437"/>
      <c r="F46" s="1437"/>
      <c r="G46" s="1437"/>
      <c r="H46" s="1437"/>
      <c r="I46" s="1437"/>
      <c r="J46" s="1437"/>
      <c r="K46" s="1437"/>
      <c r="L46" s="1437"/>
      <c r="M46" s="1438"/>
      <c r="N46" s="1452"/>
      <c r="O46" s="1453"/>
      <c r="P46" s="1439"/>
      <c r="Q46" s="1440"/>
      <c r="R46" s="1452"/>
      <c r="S46" s="1453"/>
      <c r="T46" s="1441" t="str">
        <f t="shared" si="0"/>
        <v/>
      </c>
      <c r="U46" s="1442"/>
      <c r="V46" s="1454" t="str">
        <f t="shared" si="1"/>
        <v/>
      </c>
      <c r="W46" s="1455"/>
      <c r="X46" s="1011" t="str">
        <f>IF(R46,VLOOKUP(B46,Chart!$BT$4:$BV$63,3,0),"")</f>
        <v/>
      </c>
      <c r="Y46" s="1295" t="str">
        <f>IF(R46,IF(X46&lt;&gt;COUNTIF(Pinlist!$H$9:$H$3003,DUT!D46),B46&amp;" errors found on Pinlist page - Non-existant or blank / incorrect net names",""),"")</f>
        <v/>
      </c>
    </row>
    <row r="47" spans="1:25" x14ac:dyDescent="0.2">
      <c r="A47" s="1011">
        <f ca="1">IF(ISNUMBER(OFFSET(Chart!$BQ$1,A46,0)),A46+1,"")</f>
        <v>31</v>
      </c>
      <c r="B47" s="1450" t="str">
        <f ca="1">IF(ISNUMBER(A47),OFFSET(Chart!$BT$1,A47-1,0)," ")</f>
        <v>P20</v>
      </c>
      <c r="C47" s="1451"/>
      <c r="D47" s="1436" t="str">
        <f ca="1">IF(ISNUMBER(MATCH(B47,Chart!BY:BY,0)),VLOOKUP(DUT!B47,Pinlist!A:H,8,0),"")</f>
        <v/>
      </c>
      <c r="E47" s="1437"/>
      <c r="F47" s="1437"/>
      <c r="G47" s="1437"/>
      <c r="H47" s="1437"/>
      <c r="I47" s="1437"/>
      <c r="J47" s="1437"/>
      <c r="K47" s="1437"/>
      <c r="L47" s="1437"/>
      <c r="M47" s="1438"/>
      <c r="N47" s="1452"/>
      <c r="O47" s="1453"/>
      <c r="P47" s="1439"/>
      <c r="Q47" s="1440"/>
      <c r="R47" s="1452"/>
      <c r="S47" s="1453"/>
      <c r="T47" s="1441" t="str">
        <f t="shared" si="0"/>
        <v/>
      </c>
      <c r="U47" s="1442"/>
      <c r="V47" s="1454" t="str">
        <f t="shared" si="1"/>
        <v/>
      </c>
      <c r="W47" s="1455"/>
      <c r="X47" s="1011" t="str">
        <f>IF(R47,VLOOKUP(B47,Chart!$BT$4:$BV$63,3,0),"")</f>
        <v/>
      </c>
      <c r="Y47" s="1295" t="str">
        <f>IF(R47,IF(X47&lt;&gt;COUNTIF(Pinlist!$H$9:$H$3003,DUT!D47),B47&amp;" errors found on Pinlist page - Non-existant or blank / incorrect net names",""),"")</f>
        <v/>
      </c>
    </row>
    <row r="48" spans="1:25" x14ac:dyDescent="0.2">
      <c r="A48" s="1011">
        <f ca="1">IF(ISNUMBER(OFFSET(Chart!$BQ$1,A47,0)),A47+1,"")</f>
        <v>32</v>
      </c>
      <c r="B48" s="1450" t="str">
        <f ca="1">IF(ISNUMBER(A48),OFFSET(Chart!$BT$1,A48-1,0)," ")</f>
        <v>P21</v>
      </c>
      <c r="C48" s="1451"/>
      <c r="D48" s="1436" t="str">
        <f ca="1">IF(ISNUMBER(MATCH(B48,Chart!BY:BY,0)),VLOOKUP(DUT!B48,Pinlist!A:H,8,0),"")</f>
        <v/>
      </c>
      <c r="E48" s="1437"/>
      <c r="F48" s="1437"/>
      <c r="G48" s="1437"/>
      <c r="H48" s="1437"/>
      <c r="I48" s="1437"/>
      <c r="J48" s="1437"/>
      <c r="K48" s="1437"/>
      <c r="L48" s="1437"/>
      <c r="M48" s="1438"/>
      <c r="N48" s="1452"/>
      <c r="O48" s="1453"/>
      <c r="P48" s="1439"/>
      <c r="Q48" s="1440"/>
      <c r="R48" s="1452"/>
      <c r="S48" s="1453"/>
      <c r="T48" s="1441" t="str">
        <f t="shared" si="0"/>
        <v/>
      </c>
      <c r="U48" s="1442"/>
      <c r="V48" s="1454" t="str">
        <f t="shared" si="1"/>
        <v/>
      </c>
      <c r="W48" s="1455"/>
      <c r="X48" s="1011" t="str">
        <f>IF(R48,VLOOKUP(B48,Chart!$BT$4:$BV$63,3,0),"")</f>
        <v/>
      </c>
      <c r="Y48" s="1295" t="str">
        <f>IF(R48,IF(X48&lt;&gt;COUNTIF(Pinlist!$H$9:$H$3003,DUT!D48),B48&amp;" errors found on Pinlist page - Non-existant or blank / incorrect net names",""),"")</f>
        <v/>
      </c>
    </row>
    <row r="49" spans="1:25" x14ac:dyDescent="0.2">
      <c r="A49" s="1011">
        <f ca="1">IF(ISNUMBER(OFFSET(Chart!$BQ$1,A48,0)),A48+1,"")</f>
        <v>33</v>
      </c>
      <c r="B49" s="1450" t="str">
        <f ca="1">IF(ISNUMBER(A49),OFFSET(Chart!$BT$1,A49-1,0)," ")</f>
        <v>P22</v>
      </c>
      <c r="C49" s="1451"/>
      <c r="D49" s="1436" t="str">
        <f ca="1">IF(ISNUMBER(MATCH(B49,Chart!BY:BY,0)),VLOOKUP(DUT!B49,Pinlist!A:H,8,0),"")</f>
        <v/>
      </c>
      <c r="E49" s="1437"/>
      <c r="F49" s="1437"/>
      <c r="G49" s="1437"/>
      <c r="H49" s="1437"/>
      <c r="I49" s="1437"/>
      <c r="J49" s="1437"/>
      <c r="K49" s="1437"/>
      <c r="L49" s="1437"/>
      <c r="M49" s="1438"/>
      <c r="N49" s="1452"/>
      <c r="O49" s="1453"/>
      <c r="P49" s="1439"/>
      <c r="Q49" s="1440"/>
      <c r="R49" s="1452"/>
      <c r="S49" s="1453"/>
      <c r="T49" s="1441" t="str">
        <f t="shared" si="0"/>
        <v/>
      </c>
      <c r="U49" s="1442"/>
      <c r="V49" s="1454" t="str">
        <f t="shared" si="1"/>
        <v/>
      </c>
      <c r="W49" s="1455"/>
      <c r="X49" s="1011" t="str">
        <f>IF(R49,VLOOKUP(B49,Chart!$BT$4:$BV$63,3,0),"")</f>
        <v/>
      </c>
      <c r="Y49" s="1295" t="str">
        <f>IF(R49,IF(X49&lt;&gt;COUNTIF(Pinlist!$H$9:$H$3003,DUT!D49),B49&amp;" errors found on Pinlist page - Non-existant or blank / incorrect net names",""),"")</f>
        <v/>
      </c>
    </row>
    <row r="50" spans="1:25" x14ac:dyDescent="0.2">
      <c r="A50" s="1011">
        <f ca="1">IF(ISNUMBER(OFFSET(Chart!$BQ$1,A49,0)),A49+1,"")</f>
        <v>34</v>
      </c>
      <c r="B50" s="1450" t="str">
        <f ca="1">IF(ISNUMBER(A50),OFFSET(Chart!$BT$1,A50-1,0)," ")</f>
        <v>P23</v>
      </c>
      <c r="C50" s="1451"/>
      <c r="D50" s="1436" t="str">
        <f ca="1">IF(ISNUMBER(MATCH(B50,Chart!BY:BY,0)),VLOOKUP(DUT!B50,Pinlist!A:H,8,0),"")</f>
        <v/>
      </c>
      <c r="E50" s="1437"/>
      <c r="F50" s="1437"/>
      <c r="G50" s="1437"/>
      <c r="H50" s="1437"/>
      <c r="I50" s="1437"/>
      <c r="J50" s="1437"/>
      <c r="K50" s="1437"/>
      <c r="L50" s="1437"/>
      <c r="M50" s="1438"/>
      <c r="N50" s="1452"/>
      <c r="O50" s="1453"/>
      <c r="P50" s="1439"/>
      <c r="Q50" s="1440"/>
      <c r="R50" s="1452"/>
      <c r="S50" s="1453"/>
      <c r="T50" s="1441" t="str">
        <f t="shared" si="0"/>
        <v/>
      </c>
      <c r="U50" s="1442"/>
      <c r="V50" s="1454" t="str">
        <f t="shared" si="1"/>
        <v/>
      </c>
      <c r="W50" s="1455"/>
      <c r="X50" s="1011" t="str">
        <f>IF(R50,VLOOKUP(B50,Chart!$BT$4:$BV$63,3,0),"")</f>
        <v/>
      </c>
      <c r="Y50" s="1295" t="str">
        <f>IF(R50,IF(X50&lt;&gt;COUNTIF(Pinlist!$H$9:$H$3003,DUT!D50),B50&amp;" errors found on Pinlist page - Non-existant or blank / incorrect net names",""),"")</f>
        <v/>
      </c>
    </row>
    <row r="51" spans="1:25" x14ac:dyDescent="0.2">
      <c r="A51" s="1011">
        <f ca="1">IF(ISNUMBER(OFFSET(Chart!$BQ$1,A50,0)),A50+1,"")</f>
        <v>35</v>
      </c>
      <c r="B51" s="1450" t="str">
        <f ca="1">IF(ISNUMBER(A51),OFFSET(Chart!$BT$1,A51-1,0)," ")</f>
        <v>P24</v>
      </c>
      <c r="C51" s="1451"/>
      <c r="D51" s="1436" t="str">
        <f ca="1">IF(ISNUMBER(MATCH(B51,Chart!BY:BY,0)),VLOOKUP(DUT!B51,Pinlist!A:H,8,0),"")</f>
        <v/>
      </c>
      <c r="E51" s="1437"/>
      <c r="F51" s="1437"/>
      <c r="G51" s="1437"/>
      <c r="H51" s="1437"/>
      <c r="I51" s="1437"/>
      <c r="J51" s="1437"/>
      <c r="K51" s="1437"/>
      <c r="L51" s="1437"/>
      <c r="M51" s="1438"/>
      <c r="N51" s="1452"/>
      <c r="O51" s="1453"/>
      <c r="P51" s="1439"/>
      <c r="Q51" s="1440"/>
      <c r="R51" s="1452"/>
      <c r="S51" s="1453"/>
      <c r="T51" s="1441" t="str">
        <f t="shared" si="0"/>
        <v/>
      </c>
      <c r="U51" s="1442"/>
      <c r="V51" s="1454" t="str">
        <f t="shared" si="1"/>
        <v/>
      </c>
      <c r="W51" s="1455"/>
      <c r="X51" s="1011" t="str">
        <f>IF(R51,VLOOKUP(B51,Chart!$BT$4:$BV$63,3,0),"")</f>
        <v/>
      </c>
      <c r="Y51" s="1295" t="str">
        <f>IF(R51,IF(X51&lt;&gt;COUNTIF(Pinlist!$H$9:$H$3003,DUT!D51),B51&amp;" errors found on Pinlist page - Non-existant or blank / incorrect net names",""),"")</f>
        <v/>
      </c>
    </row>
    <row r="52" spans="1:25" x14ac:dyDescent="0.2">
      <c r="A52" s="1011">
        <f ca="1">IF(ISNUMBER(OFFSET(Chart!$BQ$1,A51,0)),A51+1,"")</f>
        <v>36</v>
      </c>
      <c r="B52" s="1450" t="str">
        <f ca="1">IF(ISNUMBER(A52),OFFSET(Chart!$BT$1,A52-1,0)," ")</f>
        <v>P25</v>
      </c>
      <c r="C52" s="1451"/>
      <c r="D52" s="1436" t="str">
        <f ca="1">IF(ISNUMBER(MATCH(B52,Chart!BY:BY,0)),VLOOKUP(DUT!B52,Pinlist!A:H,8,0),"")</f>
        <v/>
      </c>
      <c r="E52" s="1437"/>
      <c r="F52" s="1437"/>
      <c r="G52" s="1437"/>
      <c r="H52" s="1437"/>
      <c r="I52" s="1437"/>
      <c r="J52" s="1437"/>
      <c r="K52" s="1437"/>
      <c r="L52" s="1437"/>
      <c r="M52" s="1438"/>
      <c r="N52" s="1452"/>
      <c r="O52" s="1453"/>
      <c r="P52" s="1439"/>
      <c r="Q52" s="1440"/>
      <c r="R52" s="1452"/>
      <c r="S52" s="1453"/>
      <c r="T52" s="1441" t="str">
        <f t="shared" si="0"/>
        <v/>
      </c>
      <c r="U52" s="1442"/>
      <c r="V52" s="1454" t="str">
        <f t="shared" si="1"/>
        <v/>
      </c>
      <c r="W52" s="1455"/>
      <c r="X52" s="1011" t="str">
        <f>IF(R52,VLOOKUP(B52,Chart!$BT$4:$BV$63,3,0),"")</f>
        <v/>
      </c>
      <c r="Y52" s="1295" t="str">
        <f>IF(R52,IF(X52&lt;&gt;COUNTIF(Pinlist!$H$9:$H$3003,DUT!D52),B52&amp;" errors found on Pinlist page - Non-existant or blank / incorrect net names",""),"")</f>
        <v/>
      </c>
    </row>
    <row r="53" spans="1:25" x14ac:dyDescent="0.2">
      <c r="A53" s="1011">
        <f ca="1">IF(ISNUMBER(OFFSET(Chart!$BQ$1,A52,0)),A52+1,"")</f>
        <v>37</v>
      </c>
      <c r="B53" s="1450" t="str">
        <f ca="1">IF(ISNUMBER(A53),OFFSET(Chart!$BT$1,A53-1,0)," ")</f>
        <v>P26</v>
      </c>
      <c r="C53" s="1451"/>
      <c r="D53" s="1436" t="str">
        <f ca="1">IF(ISNUMBER(MATCH(B53,Chart!BY:BY,0)),VLOOKUP(DUT!B53,Pinlist!A:H,8,0),"")</f>
        <v/>
      </c>
      <c r="E53" s="1437"/>
      <c r="F53" s="1437"/>
      <c r="G53" s="1437"/>
      <c r="H53" s="1437"/>
      <c r="I53" s="1437"/>
      <c r="J53" s="1437"/>
      <c r="K53" s="1437"/>
      <c r="L53" s="1437"/>
      <c r="M53" s="1438"/>
      <c r="N53" s="1452"/>
      <c r="O53" s="1453"/>
      <c r="P53" s="1439"/>
      <c r="Q53" s="1440"/>
      <c r="R53" s="1452"/>
      <c r="S53" s="1453"/>
      <c r="T53" s="1441" t="str">
        <f t="shared" si="0"/>
        <v/>
      </c>
      <c r="U53" s="1442"/>
      <c r="V53" s="1454" t="str">
        <f t="shared" ref="V53:V74" si="2">IF(N53,PRODUCT(N53,R53/1000),"")</f>
        <v/>
      </c>
      <c r="W53" s="1455"/>
      <c r="X53" s="1011" t="str">
        <f>IF(R53,VLOOKUP(B53,Chart!$BT$4:$BV$63,3,0),"")</f>
        <v/>
      </c>
      <c r="Y53" s="1295" t="str">
        <f>IF(R53,IF(X53&lt;&gt;COUNTIF(Pinlist!$H$9:$H$3003,DUT!D53),B53&amp;" errors found on Pinlist page - Non-existant or blank / incorrect net names",""),"")</f>
        <v/>
      </c>
    </row>
    <row r="54" spans="1:25" x14ac:dyDescent="0.2">
      <c r="A54" s="1011">
        <f ca="1">IF(ISNUMBER(OFFSET(Chart!$BQ$1,A53,0)),A53+1,"")</f>
        <v>38</v>
      </c>
      <c r="B54" s="1450" t="str">
        <f ca="1">IF(ISNUMBER(A54),OFFSET(Chart!$BT$1,A54-1,0)," ")</f>
        <v>P27</v>
      </c>
      <c r="C54" s="1451"/>
      <c r="D54" s="1436" t="str">
        <f ca="1">IF(ISNUMBER(MATCH(B54,Chart!BY:BY,0)),VLOOKUP(DUT!B54,Pinlist!A:H,8,0),"")</f>
        <v/>
      </c>
      <c r="E54" s="1437"/>
      <c r="F54" s="1437"/>
      <c r="G54" s="1437"/>
      <c r="H54" s="1437"/>
      <c r="I54" s="1437"/>
      <c r="J54" s="1437"/>
      <c r="K54" s="1437"/>
      <c r="L54" s="1437"/>
      <c r="M54" s="1438"/>
      <c r="N54" s="1452"/>
      <c r="O54" s="1453"/>
      <c r="P54" s="1439"/>
      <c r="Q54" s="1440"/>
      <c r="R54" s="1452"/>
      <c r="S54" s="1453"/>
      <c r="T54" s="1441" t="str">
        <f t="shared" si="0"/>
        <v/>
      </c>
      <c r="U54" s="1442"/>
      <c r="V54" s="1454" t="str">
        <f t="shared" si="2"/>
        <v/>
      </c>
      <c r="W54" s="1455"/>
      <c r="X54" s="1011" t="str">
        <f>IF(R54,VLOOKUP(B54,Chart!$BT$4:$BV$63,3,0),"")</f>
        <v/>
      </c>
      <c r="Y54" s="1295" t="str">
        <f>IF(R54,IF(X54&lt;&gt;COUNTIF(Pinlist!$H$9:$H$3003,DUT!D54),B54&amp;" errors found on Pinlist page - Non-existant or blank / incorrect net names",""),"")</f>
        <v/>
      </c>
    </row>
    <row r="55" spans="1:25" x14ac:dyDescent="0.2">
      <c r="A55" s="1011">
        <f ca="1">IF(ISNUMBER(OFFSET(Chart!$BQ$1,A54,0)),A54+1,"")</f>
        <v>39</v>
      </c>
      <c r="B55" s="1450" t="str">
        <f ca="1">IF(ISNUMBER(A55),OFFSET(Chart!$BT$1,A55-1,0)," ")</f>
        <v>P28</v>
      </c>
      <c r="C55" s="1451"/>
      <c r="D55" s="1436" t="str">
        <f ca="1">IF(ISNUMBER(MATCH(B55,Chart!BY:BY,0)),VLOOKUP(DUT!B55,Pinlist!A:H,8,0),"")</f>
        <v/>
      </c>
      <c r="E55" s="1437"/>
      <c r="F55" s="1437"/>
      <c r="G55" s="1437"/>
      <c r="H55" s="1437"/>
      <c r="I55" s="1437"/>
      <c r="J55" s="1437"/>
      <c r="K55" s="1437"/>
      <c r="L55" s="1437"/>
      <c r="M55" s="1438"/>
      <c r="N55" s="1452"/>
      <c r="O55" s="1453"/>
      <c r="P55" s="1439"/>
      <c r="Q55" s="1440"/>
      <c r="R55" s="1452"/>
      <c r="S55" s="1453"/>
      <c r="T55" s="1441" t="str">
        <f t="shared" si="0"/>
        <v/>
      </c>
      <c r="U55" s="1442"/>
      <c r="V55" s="1454" t="str">
        <f t="shared" si="2"/>
        <v/>
      </c>
      <c r="W55" s="1455"/>
      <c r="X55" s="1011" t="str">
        <f>IF(R55,VLOOKUP(B55,Chart!$BT$4:$BV$63,3,0),"")</f>
        <v/>
      </c>
      <c r="Y55" s="1295" t="str">
        <f>IF(R55,IF(X55&lt;&gt;COUNTIF(Pinlist!$H$9:$H$3003,DUT!D55),B55&amp;" errors found on Pinlist page - Non-existant or blank / incorrect net names",""),"")</f>
        <v/>
      </c>
    </row>
    <row r="56" spans="1:25" x14ac:dyDescent="0.2">
      <c r="A56" s="1011">
        <f ca="1">IF(ISNUMBER(OFFSET(Chart!$BQ$1,A55,0)),A55+1,"")</f>
        <v>40</v>
      </c>
      <c r="B56" s="1450" t="str">
        <f ca="1">IF(ISNUMBER(A56),OFFSET(Chart!$BT$1,A56-1,0)," ")</f>
        <v>P29</v>
      </c>
      <c r="C56" s="1451"/>
      <c r="D56" s="1436" t="str">
        <f ca="1">IF(ISNUMBER(MATCH(B56,Chart!BY:BY,0)),VLOOKUP(DUT!B56,Pinlist!A:H,8,0),"")</f>
        <v/>
      </c>
      <c r="E56" s="1437"/>
      <c r="F56" s="1437"/>
      <c r="G56" s="1437"/>
      <c r="H56" s="1437"/>
      <c r="I56" s="1437"/>
      <c r="J56" s="1437"/>
      <c r="K56" s="1437"/>
      <c r="L56" s="1437"/>
      <c r="M56" s="1438"/>
      <c r="N56" s="1452"/>
      <c r="O56" s="1453"/>
      <c r="P56" s="1439"/>
      <c r="Q56" s="1440"/>
      <c r="R56" s="1452"/>
      <c r="S56" s="1453"/>
      <c r="T56" s="1441" t="str">
        <f t="shared" si="0"/>
        <v/>
      </c>
      <c r="U56" s="1442"/>
      <c r="V56" s="1454" t="str">
        <f t="shared" si="2"/>
        <v/>
      </c>
      <c r="W56" s="1455"/>
      <c r="X56" s="1011" t="str">
        <f>IF(R56,VLOOKUP(B56,Chart!$BT$4:$BV$63,3,0),"")</f>
        <v/>
      </c>
      <c r="Y56" s="1295" t="str">
        <f>IF(R56,IF(X56&lt;&gt;COUNTIF(Pinlist!$H$9:$H$3003,DUT!D56),B56&amp;" errors found on Pinlist page - Non-existant or blank / incorrect net names",""),"")</f>
        <v/>
      </c>
    </row>
    <row r="57" spans="1:25" x14ac:dyDescent="0.2">
      <c r="A57" s="1011">
        <f ca="1">IF(ISNUMBER(OFFSET(Chart!$BQ$1,A56,0)),A56+1,"")</f>
        <v>41</v>
      </c>
      <c r="B57" s="1450" t="str">
        <f ca="1">IF(ISNUMBER(A57),OFFSET(Chart!$BT$1,A57-1,0)," ")</f>
        <v>P30</v>
      </c>
      <c r="C57" s="1451"/>
      <c r="D57" s="1436" t="str">
        <f ca="1">IF(ISNUMBER(MATCH(B57,Chart!BY:BY,0)),VLOOKUP(DUT!B57,Pinlist!A:H,8,0),"")</f>
        <v/>
      </c>
      <c r="E57" s="1437"/>
      <c r="F57" s="1437"/>
      <c r="G57" s="1437"/>
      <c r="H57" s="1437"/>
      <c r="I57" s="1437"/>
      <c r="J57" s="1437"/>
      <c r="K57" s="1437"/>
      <c r="L57" s="1437"/>
      <c r="M57" s="1438"/>
      <c r="N57" s="1452"/>
      <c r="O57" s="1453"/>
      <c r="P57" s="1439"/>
      <c r="Q57" s="1440"/>
      <c r="R57" s="1452"/>
      <c r="S57" s="1453"/>
      <c r="T57" s="1441" t="str">
        <f t="shared" si="0"/>
        <v/>
      </c>
      <c r="U57" s="1442"/>
      <c r="V57" s="1454" t="str">
        <f t="shared" si="2"/>
        <v/>
      </c>
      <c r="W57" s="1455"/>
      <c r="X57" s="1011" t="str">
        <f>IF(R57,VLOOKUP(B57,Chart!$BT$4:$BV$63,3,0),"")</f>
        <v/>
      </c>
      <c r="Y57" s="1295" t="str">
        <f>IF(R57,IF(X57&lt;&gt;COUNTIF(Pinlist!$H$9:$H$3003,DUT!D57),B57&amp;" errors found on Pinlist page - Non-existant or blank / incorrect net names",""),"")</f>
        <v/>
      </c>
    </row>
    <row r="58" spans="1:25" x14ac:dyDescent="0.2">
      <c r="A58" s="1011">
        <f ca="1">IF(ISNUMBER(OFFSET(Chart!$BQ$1,A57,0)),A57+1,"")</f>
        <v>42</v>
      </c>
      <c r="B58" s="1450" t="str">
        <f ca="1">IF(ISNUMBER(A58),OFFSET(Chart!$BT$1,A58-1,0)," ")</f>
        <v>P31</v>
      </c>
      <c r="C58" s="1451"/>
      <c r="D58" s="1436" t="str">
        <f ca="1">IF(ISNUMBER(MATCH(B58,Chart!BY:BY,0)),VLOOKUP(DUT!B58,Pinlist!A:H,8,0),"")</f>
        <v/>
      </c>
      <c r="E58" s="1437"/>
      <c r="F58" s="1437"/>
      <c r="G58" s="1437"/>
      <c r="H58" s="1437"/>
      <c r="I58" s="1437"/>
      <c r="J58" s="1437"/>
      <c r="K58" s="1437"/>
      <c r="L58" s="1437"/>
      <c r="M58" s="1438"/>
      <c r="N58" s="1452"/>
      <c r="O58" s="1453"/>
      <c r="P58" s="1439"/>
      <c r="Q58" s="1440"/>
      <c r="R58" s="1452"/>
      <c r="S58" s="1453"/>
      <c r="T58" s="1441" t="str">
        <f t="shared" si="0"/>
        <v/>
      </c>
      <c r="U58" s="1442"/>
      <c r="V58" s="1454" t="str">
        <f t="shared" si="2"/>
        <v/>
      </c>
      <c r="W58" s="1455"/>
      <c r="X58" s="1011" t="str">
        <f>IF(R58,VLOOKUP(B58,Chart!$BT$4:$BV$63,3,0),"")</f>
        <v/>
      </c>
      <c r="Y58" s="1295" t="str">
        <f>IF(R58,IF(X58&lt;&gt;COUNTIF(Pinlist!$H$9:$H$3003,DUT!D58),B58&amp;" errors found on Pinlist page - Non-existant or blank / incorrect net names",""),"")</f>
        <v/>
      </c>
    </row>
    <row r="59" spans="1:25" x14ac:dyDescent="0.2">
      <c r="A59" s="1011">
        <f ca="1">IF(ISNUMBER(OFFSET(Chart!$BQ$1,A58,0)),A58+1,"")</f>
        <v>43</v>
      </c>
      <c r="B59" s="1450" t="str">
        <f ca="1">IF(ISNUMBER(A59),OFFSET(Chart!$BT$1,A59-1,0)," ")</f>
        <v>P32</v>
      </c>
      <c r="C59" s="1451"/>
      <c r="D59" s="1436" t="str">
        <f ca="1">IF(ISNUMBER(MATCH(B59,Chart!BY:BY,0)),VLOOKUP(DUT!B59,Pinlist!A:H,8,0),"")</f>
        <v/>
      </c>
      <c r="E59" s="1437"/>
      <c r="F59" s="1437"/>
      <c r="G59" s="1437"/>
      <c r="H59" s="1437"/>
      <c r="I59" s="1437"/>
      <c r="J59" s="1437"/>
      <c r="K59" s="1437"/>
      <c r="L59" s="1437"/>
      <c r="M59" s="1438"/>
      <c r="N59" s="1452"/>
      <c r="O59" s="1453"/>
      <c r="P59" s="1439"/>
      <c r="Q59" s="1440"/>
      <c r="R59" s="1452"/>
      <c r="S59" s="1453"/>
      <c r="T59" s="1441" t="str">
        <f t="shared" si="0"/>
        <v/>
      </c>
      <c r="U59" s="1442"/>
      <c r="V59" s="1454" t="str">
        <f t="shared" si="2"/>
        <v/>
      </c>
      <c r="W59" s="1455"/>
      <c r="X59" s="1011" t="str">
        <f>IF(R59,VLOOKUP(B59,Chart!$BT$4:$BV$63,3,0),"")</f>
        <v/>
      </c>
      <c r="Y59" s="1295" t="str">
        <f>IF(R59,IF(X59&lt;&gt;COUNTIF(Pinlist!$H$9:$H$3003,DUT!D59),B59&amp;" errors found on Pinlist page - Non-existant or blank / incorrect net names",""),"")</f>
        <v/>
      </c>
    </row>
    <row r="60" spans="1:25" x14ac:dyDescent="0.2">
      <c r="A60" s="1011">
        <f ca="1">IF(ISNUMBER(OFFSET(Chart!$BQ$1,A59,0)),A59+1,"")</f>
        <v>44</v>
      </c>
      <c r="B60" s="1450" t="str">
        <f ca="1">IF(ISNUMBER(A60),OFFSET(Chart!$BT$1,A60-1,0)," ")</f>
        <v>P33</v>
      </c>
      <c r="C60" s="1451"/>
      <c r="D60" s="1436" t="str">
        <f ca="1">IF(ISNUMBER(MATCH(B60,Chart!BY:BY,0)),VLOOKUP(DUT!B60,Pinlist!A:H,8,0),"")</f>
        <v/>
      </c>
      <c r="E60" s="1437"/>
      <c r="F60" s="1437"/>
      <c r="G60" s="1437"/>
      <c r="H60" s="1437"/>
      <c r="I60" s="1437"/>
      <c r="J60" s="1437"/>
      <c r="K60" s="1437"/>
      <c r="L60" s="1437"/>
      <c r="M60" s="1438"/>
      <c r="N60" s="1452"/>
      <c r="O60" s="1453"/>
      <c r="P60" s="1439"/>
      <c r="Q60" s="1440"/>
      <c r="R60" s="1452"/>
      <c r="S60" s="1453"/>
      <c r="T60" s="1441" t="str">
        <f t="shared" si="0"/>
        <v/>
      </c>
      <c r="U60" s="1442"/>
      <c r="V60" s="1454" t="str">
        <f t="shared" si="2"/>
        <v/>
      </c>
      <c r="W60" s="1455"/>
      <c r="X60" s="1011" t="str">
        <f>IF(R60,VLOOKUP(B60,Chart!$BT$4:$BV$63,3,0),"")</f>
        <v/>
      </c>
      <c r="Y60" s="1295" t="str">
        <f>IF(R60,IF(X60&lt;&gt;COUNTIF(Pinlist!$H$9:$H$3003,DUT!D60),B60&amp;" errors found on Pinlist page - Non-existant or blank / incorrect net names",""),"")</f>
        <v/>
      </c>
    </row>
    <row r="61" spans="1:25" x14ac:dyDescent="0.2">
      <c r="A61" s="1011">
        <f ca="1">IF(ISNUMBER(OFFSET(Chart!$BQ$1,A60,0)),A60+1,"")</f>
        <v>45</v>
      </c>
      <c r="B61" s="1450" t="str">
        <f ca="1">IF(ISNUMBER(A61),OFFSET(Chart!$BT$1,A61-1,0)," ")</f>
        <v>P34</v>
      </c>
      <c r="C61" s="1451"/>
      <c r="D61" s="1436" t="str">
        <f ca="1">IF(ISNUMBER(MATCH(B61,Chart!BY:BY,0)),VLOOKUP(DUT!B61,Pinlist!A:H,8,0),"")</f>
        <v/>
      </c>
      <c r="E61" s="1437"/>
      <c r="F61" s="1437"/>
      <c r="G61" s="1437"/>
      <c r="H61" s="1437"/>
      <c r="I61" s="1437"/>
      <c r="J61" s="1437"/>
      <c r="K61" s="1437"/>
      <c r="L61" s="1437"/>
      <c r="M61" s="1438"/>
      <c r="N61" s="1452"/>
      <c r="O61" s="1453"/>
      <c r="P61" s="1439"/>
      <c r="Q61" s="1440"/>
      <c r="R61" s="1452"/>
      <c r="S61" s="1453"/>
      <c r="T61" s="1441" t="str">
        <f t="shared" si="0"/>
        <v/>
      </c>
      <c r="U61" s="1442"/>
      <c r="V61" s="1454" t="str">
        <f t="shared" si="2"/>
        <v/>
      </c>
      <c r="W61" s="1455"/>
      <c r="X61" s="1011" t="str">
        <f>IF(R61,VLOOKUP(B61,Chart!$BT$4:$BV$63,3,0),"")</f>
        <v/>
      </c>
      <c r="Y61" s="1295" t="str">
        <f>IF(R61,IF(X61&lt;&gt;COUNTIF(Pinlist!$H$9:$H$3003,DUT!D61),B61&amp;" errors found on Pinlist page - Non-existant or blank / incorrect net names",""),"")</f>
        <v/>
      </c>
    </row>
    <row r="62" spans="1:25" x14ac:dyDescent="0.2">
      <c r="A62" s="1011">
        <f ca="1">IF(ISNUMBER(OFFSET(Chart!$BQ$1,A61,0)),A61+1,"")</f>
        <v>46</v>
      </c>
      <c r="B62" s="1450" t="str">
        <f ca="1">IF(ISNUMBER(A62),OFFSET(Chart!$BT$1,A62-1,0)," ")</f>
        <v>P35</v>
      </c>
      <c r="C62" s="1451"/>
      <c r="D62" s="1436" t="str">
        <f ca="1">IF(ISNUMBER(MATCH(B62,Chart!BY:BY,0)),VLOOKUP(DUT!B62,Pinlist!A:H,8,0),"")</f>
        <v/>
      </c>
      <c r="E62" s="1437"/>
      <c r="F62" s="1437"/>
      <c r="G62" s="1437"/>
      <c r="H62" s="1437"/>
      <c r="I62" s="1437"/>
      <c r="J62" s="1437"/>
      <c r="K62" s="1437"/>
      <c r="L62" s="1437"/>
      <c r="M62" s="1438"/>
      <c r="N62" s="1452"/>
      <c r="O62" s="1453"/>
      <c r="P62" s="1439"/>
      <c r="Q62" s="1440"/>
      <c r="R62" s="1452"/>
      <c r="S62" s="1453"/>
      <c r="T62" s="1441" t="str">
        <f t="shared" si="0"/>
        <v/>
      </c>
      <c r="U62" s="1442"/>
      <c r="V62" s="1454" t="str">
        <f t="shared" si="2"/>
        <v/>
      </c>
      <c r="W62" s="1455"/>
      <c r="X62" s="1011" t="str">
        <f>IF(R62,VLOOKUP(B62,Chart!$BT$4:$BV$63,3,0),"")</f>
        <v/>
      </c>
      <c r="Y62" s="1295" t="str">
        <f>IF(R62,IF(X62&lt;&gt;COUNTIF(Pinlist!$H$9:$H$3003,DUT!D62),B62&amp;" errors found on Pinlist page - Non-existant or blank / incorrect net names",""),"")</f>
        <v/>
      </c>
    </row>
    <row r="63" spans="1:25" x14ac:dyDescent="0.2">
      <c r="A63" s="1011">
        <f ca="1">IF(ISNUMBER(OFFSET(Chart!$BQ$1,A62,0)),A62+1,"")</f>
        <v>47</v>
      </c>
      <c r="B63" s="1450" t="str">
        <f ca="1">IF(ISNUMBER(A63),OFFSET(Chart!$BT$1,A63-1,0)," ")</f>
        <v>P36</v>
      </c>
      <c r="C63" s="1451"/>
      <c r="D63" s="1436" t="str">
        <f ca="1">IF(ISNUMBER(MATCH(B63,Chart!BY:BY,0)),VLOOKUP(DUT!B63,Pinlist!A:H,8,0),"")</f>
        <v/>
      </c>
      <c r="E63" s="1437"/>
      <c r="F63" s="1437"/>
      <c r="G63" s="1437"/>
      <c r="H63" s="1437"/>
      <c r="I63" s="1437"/>
      <c r="J63" s="1437"/>
      <c r="K63" s="1437"/>
      <c r="L63" s="1437"/>
      <c r="M63" s="1438"/>
      <c r="N63" s="1452"/>
      <c r="O63" s="1453"/>
      <c r="P63" s="1439"/>
      <c r="Q63" s="1440"/>
      <c r="R63" s="1452"/>
      <c r="S63" s="1453"/>
      <c r="T63" s="1441" t="str">
        <f t="shared" si="0"/>
        <v/>
      </c>
      <c r="U63" s="1442"/>
      <c r="V63" s="1454" t="str">
        <f t="shared" si="2"/>
        <v/>
      </c>
      <c r="W63" s="1455"/>
      <c r="X63" s="1011" t="str">
        <f>IF(R63,VLOOKUP(B63,Chart!$BT$4:$BV$63,3,0),"")</f>
        <v/>
      </c>
      <c r="Y63" s="1295" t="str">
        <f>IF(R63,IF(X63&lt;&gt;COUNTIF(Pinlist!$H$9:$H$3003,DUT!D63),B63&amp;" errors found on Pinlist page - Non-existant or blank / incorrect net names",""),"")</f>
        <v/>
      </c>
    </row>
    <row r="64" spans="1:25" x14ac:dyDescent="0.2">
      <c r="A64" s="1011">
        <f ca="1">IF(ISNUMBER(OFFSET(Chart!$BQ$1,A63,0)),A63+1,"")</f>
        <v>48</v>
      </c>
      <c r="B64" s="1450" t="str">
        <f ca="1">IF(ISNUMBER(A64),OFFSET(Chart!$BT$1,A64-1,0)," ")</f>
        <v>P37</v>
      </c>
      <c r="C64" s="1451"/>
      <c r="D64" s="1436" t="str">
        <f ca="1">IF(ISNUMBER(MATCH(B64,Chart!BY:BY,0)),VLOOKUP(DUT!B64,Pinlist!A:H,8,0),"")</f>
        <v/>
      </c>
      <c r="E64" s="1437"/>
      <c r="F64" s="1437"/>
      <c r="G64" s="1437"/>
      <c r="H64" s="1437"/>
      <c r="I64" s="1437"/>
      <c r="J64" s="1437"/>
      <c r="K64" s="1437"/>
      <c r="L64" s="1437"/>
      <c r="M64" s="1438"/>
      <c r="N64" s="1452"/>
      <c r="O64" s="1453"/>
      <c r="P64" s="1439"/>
      <c r="Q64" s="1440"/>
      <c r="R64" s="1452"/>
      <c r="S64" s="1453"/>
      <c r="T64" s="1441" t="str">
        <f t="shared" si="0"/>
        <v/>
      </c>
      <c r="U64" s="1442"/>
      <c r="V64" s="1454" t="str">
        <f t="shared" si="2"/>
        <v/>
      </c>
      <c r="W64" s="1455"/>
      <c r="X64" s="1011" t="str">
        <f>IF(R64,VLOOKUP(B64,Chart!$BT$4:$BV$63,3,0),"")</f>
        <v/>
      </c>
      <c r="Y64" s="1295" t="str">
        <f>IF(R64,IF(X64&lt;&gt;COUNTIF(Pinlist!$H$9:$H$3003,DUT!D64),B64&amp;" errors found on Pinlist page - Non-existant or blank / incorrect net names",""),"")</f>
        <v/>
      </c>
    </row>
    <row r="65" spans="1:25" x14ac:dyDescent="0.2">
      <c r="A65" s="1011">
        <f ca="1">IF(ISNUMBER(OFFSET(Chart!$BQ$1,A64,0)),A64+1,"")</f>
        <v>49</v>
      </c>
      <c r="B65" s="1450" t="str">
        <f ca="1">IF(ISNUMBER(A65),OFFSET(Chart!$BT$1,A65-1,0)," ")</f>
        <v>P38</v>
      </c>
      <c r="C65" s="1451"/>
      <c r="D65" s="1436" t="str">
        <f ca="1">IF(ISNUMBER(MATCH(B65,Chart!BY:BY,0)),VLOOKUP(DUT!B65,Pinlist!A:H,8,0),"")</f>
        <v/>
      </c>
      <c r="E65" s="1437"/>
      <c r="F65" s="1437"/>
      <c r="G65" s="1437"/>
      <c r="H65" s="1437"/>
      <c r="I65" s="1437"/>
      <c r="J65" s="1437"/>
      <c r="K65" s="1437"/>
      <c r="L65" s="1437"/>
      <c r="M65" s="1438"/>
      <c r="N65" s="1452"/>
      <c r="O65" s="1453"/>
      <c r="P65" s="1439"/>
      <c r="Q65" s="1440"/>
      <c r="R65" s="1452"/>
      <c r="S65" s="1453"/>
      <c r="T65" s="1441" t="str">
        <f t="shared" si="0"/>
        <v/>
      </c>
      <c r="U65" s="1442"/>
      <c r="V65" s="1454" t="str">
        <f t="shared" si="2"/>
        <v/>
      </c>
      <c r="W65" s="1455"/>
      <c r="X65" s="1011" t="str">
        <f>IF(R65,VLOOKUP(B65,Chart!$BT$4:$BV$63,3,0),"")</f>
        <v/>
      </c>
      <c r="Y65" s="1295" t="str">
        <f>IF(R65,IF(X65&lt;&gt;COUNTIF(Pinlist!$H$9:$H$3003,DUT!D65),B65&amp;" errors found on Pinlist page - Non-existant or blank / incorrect net names",""),"")</f>
        <v/>
      </c>
    </row>
    <row r="66" spans="1:25" x14ac:dyDescent="0.2">
      <c r="A66" s="1011">
        <f ca="1">IF(ISNUMBER(OFFSET(Chart!$BQ$1,A65,0)),A65+1,"")</f>
        <v>50</v>
      </c>
      <c r="B66" s="1450" t="str">
        <f ca="1">IF(ISNUMBER(A66),OFFSET(Chart!$BT$1,A66-1,0)," ")</f>
        <v>P39</v>
      </c>
      <c r="C66" s="1451"/>
      <c r="D66" s="1436" t="str">
        <f ca="1">IF(ISNUMBER(MATCH(B66,Chart!BY:BY,0)),VLOOKUP(DUT!B66,Pinlist!A:H,8,0),"")</f>
        <v/>
      </c>
      <c r="E66" s="1437"/>
      <c r="F66" s="1437"/>
      <c r="G66" s="1437"/>
      <c r="H66" s="1437"/>
      <c r="I66" s="1437"/>
      <c r="J66" s="1437"/>
      <c r="K66" s="1437"/>
      <c r="L66" s="1437"/>
      <c r="M66" s="1438"/>
      <c r="N66" s="1452"/>
      <c r="O66" s="1453"/>
      <c r="P66" s="1439"/>
      <c r="Q66" s="1440"/>
      <c r="R66" s="1452"/>
      <c r="S66" s="1453"/>
      <c r="T66" s="1441" t="str">
        <f t="shared" si="0"/>
        <v/>
      </c>
      <c r="U66" s="1442"/>
      <c r="V66" s="1454" t="str">
        <f t="shared" si="2"/>
        <v/>
      </c>
      <c r="W66" s="1455"/>
      <c r="X66" s="1011" t="str">
        <f>IF(R66,VLOOKUP(B66,Chart!$BT$4:$BV$63,3,0),"")</f>
        <v/>
      </c>
      <c r="Y66" s="1295" t="str">
        <f>IF(R66,IF(X66&lt;&gt;COUNTIF(Pinlist!$H$9:$H$3003,DUT!D66),B66&amp;" errors found on Pinlist page - Non-existant or blank / incorrect net names",""),"")</f>
        <v/>
      </c>
    </row>
    <row r="67" spans="1:25" x14ac:dyDescent="0.2">
      <c r="A67" s="1011">
        <f ca="1">IF(ISNUMBER(OFFSET(Chart!$BQ$1,A66,0)),A66+1,"")</f>
        <v>51</v>
      </c>
      <c r="B67" s="1450" t="str">
        <f ca="1">IF(ISNUMBER(A67),OFFSET(Chart!$BT$1,A67-1,0)," ")</f>
        <v>P40</v>
      </c>
      <c r="C67" s="1451"/>
      <c r="D67" s="1436" t="str">
        <f ca="1">IF(ISNUMBER(MATCH(B67,Chart!BY:BY,0)),VLOOKUP(DUT!B67,Pinlist!A:H,8,0),"")</f>
        <v/>
      </c>
      <c r="E67" s="1437"/>
      <c r="F67" s="1437"/>
      <c r="G67" s="1437"/>
      <c r="H67" s="1437"/>
      <c r="I67" s="1437"/>
      <c r="J67" s="1437"/>
      <c r="K67" s="1437"/>
      <c r="L67" s="1437"/>
      <c r="M67" s="1438"/>
      <c r="N67" s="1452"/>
      <c r="O67" s="1453"/>
      <c r="P67" s="1439"/>
      <c r="Q67" s="1440"/>
      <c r="R67" s="1452"/>
      <c r="S67" s="1453"/>
      <c r="T67" s="1441" t="str">
        <f t="shared" si="0"/>
        <v/>
      </c>
      <c r="U67" s="1442"/>
      <c r="V67" s="1454" t="str">
        <f t="shared" si="2"/>
        <v/>
      </c>
      <c r="W67" s="1455"/>
      <c r="X67" s="1011" t="str">
        <f>IF(R67,VLOOKUP(B67,Chart!$BT$4:$BV$63,3,0),"")</f>
        <v/>
      </c>
      <c r="Y67" s="1295" t="str">
        <f>IF(R67,IF(X67&lt;&gt;COUNTIF(Pinlist!$H$9:$H$3003,DUT!D67),B67&amp;" errors found on Pinlist page - Non-existant or blank / incorrect net names",""),"")</f>
        <v/>
      </c>
    </row>
    <row r="68" spans="1:25" x14ac:dyDescent="0.2">
      <c r="A68" s="1011">
        <f ca="1">IF(ISNUMBER(OFFSET(Chart!$BQ$1,A67,0)),A67+1,"")</f>
        <v>52</v>
      </c>
      <c r="B68" s="1450" t="str">
        <f ca="1">IF(ISNUMBER(A68),OFFSET(Chart!$BT$1,A68-1,0)," ")</f>
        <v>P41</v>
      </c>
      <c r="C68" s="1451"/>
      <c r="D68" s="1436" t="str">
        <f ca="1">IF(ISNUMBER(MATCH(B68,Chart!BY:BY,0)),VLOOKUP(DUT!B68,Pinlist!A:H,8,0),"")</f>
        <v/>
      </c>
      <c r="E68" s="1437"/>
      <c r="F68" s="1437"/>
      <c r="G68" s="1437"/>
      <c r="H68" s="1437"/>
      <c r="I68" s="1437"/>
      <c r="J68" s="1437"/>
      <c r="K68" s="1437"/>
      <c r="L68" s="1437"/>
      <c r="M68" s="1438"/>
      <c r="N68" s="1452"/>
      <c r="O68" s="1453"/>
      <c r="P68" s="1439"/>
      <c r="Q68" s="1440"/>
      <c r="R68" s="1452"/>
      <c r="S68" s="1453"/>
      <c r="T68" s="1441" t="str">
        <f t="shared" si="0"/>
        <v/>
      </c>
      <c r="U68" s="1442"/>
      <c r="V68" s="1454" t="str">
        <f t="shared" si="2"/>
        <v/>
      </c>
      <c r="W68" s="1455"/>
      <c r="X68" s="1011" t="str">
        <f>IF(R68,VLOOKUP(B68,Chart!$BT$4:$BV$63,3,0),"")</f>
        <v/>
      </c>
      <c r="Y68" s="1295" t="str">
        <f>IF(R68,IF(X68&lt;&gt;COUNTIF(Pinlist!$H$9:$H$3003,DUT!D68),B68&amp;" errors found on Pinlist page - Non-existant or blank / incorrect net names",""),"")</f>
        <v/>
      </c>
    </row>
    <row r="69" spans="1:25" x14ac:dyDescent="0.2">
      <c r="A69" s="1011">
        <f ca="1">IF(ISNUMBER(OFFSET(Chart!$BQ$1,A68,0)),A68+1,"")</f>
        <v>53</v>
      </c>
      <c r="B69" s="1450" t="str">
        <f ca="1">IF(ISNUMBER(A69),OFFSET(Chart!$BT$1,A69-1,0)," ")</f>
        <v>P42</v>
      </c>
      <c r="C69" s="1451"/>
      <c r="D69" s="1436" t="str">
        <f ca="1">IF(ISNUMBER(MATCH(B69,Chart!BY:BY,0)),VLOOKUP(DUT!B69,Pinlist!A:H,8,0),"")</f>
        <v/>
      </c>
      <c r="E69" s="1437"/>
      <c r="F69" s="1437"/>
      <c r="G69" s="1437"/>
      <c r="H69" s="1437"/>
      <c r="I69" s="1437"/>
      <c r="J69" s="1437"/>
      <c r="K69" s="1437"/>
      <c r="L69" s="1437"/>
      <c r="M69" s="1438"/>
      <c r="N69" s="1452"/>
      <c r="O69" s="1453"/>
      <c r="P69" s="1439"/>
      <c r="Q69" s="1440"/>
      <c r="R69" s="1452"/>
      <c r="S69" s="1453"/>
      <c r="T69" s="1441" t="str">
        <f t="shared" si="0"/>
        <v/>
      </c>
      <c r="U69" s="1442"/>
      <c r="V69" s="1454" t="str">
        <f t="shared" si="2"/>
        <v/>
      </c>
      <c r="W69" s="1455"/>
      <c r="X69" s="1011" t="str">
        <f>IF(R69,VLOOKUP(B69,Chart!$BT$4:$BV$63,3,0),"")</f>
        <v/>
      </c>
      <c r="Y69" s="1295" t="str">
        <f>IF(R69,IF(X69&lt;&gt;COUNTIF(Pinlist!$H$9:$H$3003,DUT!D69),B69&amp;" errors found on Pinlist page - Non-existant or blank / incorrect net names",""),"")</f>
        <v/>
      </c>
    </row>
    <row r="70" spans="1:25" x14ac:dyDescent="0.2">
      <c r="A70" s="1011">
        <f ca="1">IF(ISNUMBER(OFFSET(Chart!$BQ$1,A69,0)),A69+1,"")</f>
        <v>54</v>
      </c>
      <c r="B70" s="1450" t="str">
        <f ca="1">IF(ISNUMBER(A70),OFFSET(Chart!$BT$1,A70-1,0)," ")</f>
        <v>P43</v>
      </c>
      <c r="C70" s="1451"/>
      <c r="D70" s="1436" t="str">
        <f ca="1">IF(ISNUMBER(MATCH(B70,Chart!BY:BY,0)),VLOOKUP(DUT!B70,Pinlist!A:H,8,0),"")</f>
        <v/>
      </c>
      <c r="E70" s="1437"/>
      <c r="F70" s="1437"/>
      <c r="G70" s="1437"/>
      <c r="H70" s="1437"/>
      <c r="I70" s="1437"/>
      <c r="J70" s="1437"/>
      <c r="K70" s="1437"/>
      <c r="L70" s="1437"/>
      <c r="M70" s="1438"/>
      <c r="N70" s="1452"/>
      <c r="O70" s="1453"/>
      <c r="P70" s="1439"/>
      <c r="Q70" s="1440"/>
      <c r="R70" s="1452"/>
      <c r="S70" s="1453"/>
      <c r="T70" s="1441" t="str">
        <f t="shared" si="0"/>
        <v/>
      </c>
      <c r="U70" s="1442"/>
      <c r="V70" s="1454" t="str">
        <f t="shared" si="2"/>
        <v/>
      </c>
      <c r="W70" s="1455"/>
      <c r="X70" s="1011" t="str">
        <f>IF(R70,VLOOKUP(B70,Chart!$BT$4:$BV$63,3,0),"")</f>
        <v/>
      </c>
      <c r="Y70" s="1295" t="str">
        <f>IF(R70,IF(X70&lt;&gt;COUNTIF(Pinlist!$H$9:$H$3003,DUT!D70),B70&amp;" errors found on Pinlist page - Non-existant or blank / incorrect net names",""),"")</f>
        <v/>
      </c>
    </row>
    <row r="71" spans="1:25" x14ac:dyDescent="0.2">
      <c r="A71" s="1011">
        <f ca="1">IF(ISNUMBER(OFFSET(Chart!$BQ$1,A70,0)),A70+1,"")</f>
        <v>55</v>
      </c>
      <c r="B71" s="1450" t="str">
        <f ca="1">IF(ISNUMBER(A71),OFFSET(Chart!$BT$1,A71-1,0)," ")</f>
        <v>P44</v>
      </c>
      <c r="C71" s="1451"/>
      <c r="D71" s="1436" t="str">
        <f ca="1">IF(ISNUMBER(MATCH(B71,Chart!BY:BY,0)),VLOOKUP(DUT!B71,Pinlist!A:H,8,0),"")</f>
        <v/>
      </c>
      <c r="E71" s="1437"/>
      <c r="F71" s="1437"/>
      <c r="G71" s="1437"/>
      <c r="H71" s="1437"/>
      <c r="I71" s="1437"/>
      <c r="J71" s="1437"/>
      <c r="K71" s="1437"/>
      <c r="L71" s="1437"/>
      <c r="M71" s="1438"/>
      <c r="N71" s="1452"/>
      <c r="O71" s="1453"/>
      <c r="P71" s="1439"/>
      <c r="Q71" s="1440"/>
      <c r="R71" s="1452"/>
      <c r="S71" s="1453"/>
      <c r="T71" s="1441" t="str">
        <f t="shared" si="0"/>
        <v/>
      </c>
      <c r="U71" s="1442"/>
      <c r="V71" s="1454" t="str">
        <f t="shared" si="2"/>
        <v/>
      </c>
      <c r="W71" s="1455"/>
      <c r="X71" s="1011" t="str">
        <f>IF(R71,VLOOKUP(B71,Chart!$BT$4:$BV$63,3,0),"")</f>
        <v/>
      </c>
      <c r="Y71" s="1295" t="str">
        <f>IF(R71,IF(X71&lt;&gt;COUNTIF(Pinlist!$H$9:$H$3003,DUT!D71),B71&amp;" errors found on Pinlist page - Non-existant or blank / incorrect net names",""),"")</f>
        <v/>
      </c>
    </row>
    <row r="72" spans="1:25" x14ac:dyDescent="0.2">
      <c r="A72" s="1011">
        <f ca="1">IF(ISNUMBER(OFFSET(Chart!$BQ$1,A71,0)),A71+1,"")</f>
        <v>56</v>
      </c>
      <c r="B72" s="1450" t="str">
        <f ca="1">IF(ISNUMBER(A72),OFFSET(Chart!$BT$1,A72-1,0)," ")</f>
        <v>P45</v>
      </c>
      <c r="C72" s="1451"/>
      <c r="D72" s="1436" t="str">
        <f ca="1">IF(ISNUMBER(MATCH(B72,Chart!BY:BY,0)),VLOOKUP(DUT!B72,Pinlist!A:H,8,0),"")</f>
        <v/>
      </c>
      <c r="E72" s="1437"/>
      <c r="F72" s="1437"/>
      <c r="G72" s="1437"/>
      <c r="H72" s="1437"/>
      <c r="I72" s="1437"/>
      <c r="J72" s="1437"/>
      <c r="K72" s="1437"/>
      <c r="L72" s="1437"/>
      <c r="M72" s="1438"/>
      <c r="N72" s="1452"/>
      <c r="O72" s="1453"/>
      <c r="P72" s="1439"/>
      <c r="Q72" s="1440"/>
      <c r="R72" s="1452"/>
      <c r="S72" s="1453"/>
      <c r="T72" s="1441" t="str">
        <f t="shared" si="0"/>
        <v/>
      </c>
      <c r="U72" s="1442"/>
      <c r="V72" s="1454" t="str">
        <f t="shared" si="2"/>
        <v/>
      </c>
      <c r="W72" s="1455"/>
      <c r="X72" s="1011" t="str">
        <f>IF(R72,VLOOKUP(B72,Chart!$BT$4:$BV$63,3,0),"")</f>
        <v/>
      </c>
      <c r="Y72" s="1295" t="str">
        <f>IF(R72,IF(X72&lt;&gt;COUNTIF(Pinlist!$H$9:$H$3003,DUT!D72),B72&amp;" errors found on Pinlist page - Non-existant or blank / incorrect net names",""),"")</f>
        <v/>
      </c>
    </row>
    <row r="73" spans="1:25" x14ac:dyDescent="0.2">
      <c r="A73" s="1011">
        <f ca="1">IF(ISNUMBER(OFFSET(Chart!$BQ$1,A72,0)),A72+1,"")</f>
        <v>57</v>
      </c>
      <c r="B73" s="1450" t="str">
        <f ca="1">IF(ISNUMBER(A73),OFFSET(Chart!$BT$1,A73-1,0)," ")</f>
        <v>P46</v>
      </c>
      <c r="C73" s="1451"/>
      <c r="D73" s="1436" t="str">
        <f ca="1">IF(ISNUMBER(MATCH(B73,Chart!BY:BY,0)),VLOOKUP(DUT!B73,Pinlist!A:H,8,0),"")</f>
        <v/>
      </c>
      <c r="E73" s="1437"/>
      <c r="F73" s="1437"/>
      <c r="G73" s="1437"/>
      <c r="H73" s="1437"/>
      <c r="I73" s="1437"/>
      <c r="J73" s="1437"/>
      <c r="K73" s="1437"/>
      <c r="L73" s="1437"/>
      <c r="M73" s="1438"/>
      <c r="N73" s="1452"/>
      <c r="O73" s="1453"/>
      <c r="P73" s="1439"/>
      <c r="Q73" s="1440"/>
      <c r="R73" s="1452"/>
      <c r="S73" s="1453"/>
      <c r="T73" s="1441" t="str">
        <f t="shared" si="0"/>
        <v/>
      </c>
      <c r="U73" s="1442"/>
      <c r="V73" s="1454" t="str">
        <f t="shared" si="2"/>
        <v/>
      </c>
      <c r="W73" s="1455"/>
      <c r="X73" s="1011" t="str">
        <f>IF(R73,VLOOKUP(B73,Chart!$BT$4:$BV$63,3,0),"")</f>
        <v/>
      </c>
      <c r="Y73" s="1295" t="str">
        <f>IF(R73,IF(X73&lt;&gt;COUNTIF(Pinlist!$H$9:$H$3003,DUT!D73),B73&amp;" errors found on Pinlist page - Non-existant or blank / incorrect net names",""),"")</f>
        <v/>
      </c>
    </row>
    <row r="74" spans="1:25" x14ac:dyDescent="0.2">
      <c r="A74" s="1011">
        <f ca="1">IF(ISNUMBER(OFFSET(Chart!$BQ$1,A73,0)),A73+1,"")</f>
        <v>58</v>
      </c>
      <c r="B74" s="1450" t="str">
        <f ca="1">IF(ISNUMBER(A74),OFFSET(Chart!$BT$1,A74-1,0)," ")</f>
        <v>P47</v>
      </c>
      <c r="C74" s="1451"/>
      <c r="D74" s="1436" t="str">
        <f ca="1">IF(ISNUMBER(MATCH(B74,Chart!BY:BY,0)),VLOOKUP(DUT!B74,Pinlist!A:H,8,0),"")</f>
        <v/>
      </c>
      <c r="E74" s="1437"/>
      <c r="F74" s="1437"/>
      <c r="G74" s="1437"/>
      <c r="H74" s="1437"/>
      <c r="I74" s="1437"/>
      <c r="J74" s="1437"/>
      <c r="K74" s="1437"/>
      <c r="L74" s="1437"/>
      <c r="M74" s="1438"/>
      <c r="N74" s="1452"/>
      <c r="O74" s="1453"/>
      <c r="P74" s="1439"/>
      <c r="Q74" s="1440"/>
      <c r="R74" s="1452"/>
      <c r="S74" s="1453"/>
      <c r="T74" s="1441" t="str">
        <f t="shared" si="0"/>
        <v/>
      </c>
      <c r="U74" s="1442"/>
      <c r="V74" s="1454" t="str">
        <f t="shared" si="2"/>
        <v/>
      </c>
      <c r="W74" s="1455"/>
      <c r="X74" s="1011" t="str">
        <f>IF(R74,VLOOKUP(B74,Chart!$BT$4:$BV$63,3,0),"")</f>
        <v/>
      </c>
      <c r="Y74" s="1295" t="str">
        <f>IF(R74,IF(X74&lt;&gt;COUNTIF(Pinlist!$H$9:$H$3003,DUT!D74),B74&amp;" errors found on Pinlist page - Non-existant or blank / incorrect net names",""),"")</f>
        <v/>
      </c>
    </row>
    <row r="75" spans="1:25" x14ac:dyDescent="0.2">
      <c r="A75" s="1011">
        <f ca="1">IF(ISNUMBER(OFFSET(Chart!$BQ$1,A74,0)),A74+1,"")</f>
        <v>59</v>
      </c>
      <c r="B75" s="1450" t="str">
        <f ca="1">IF(ISNUMBER(A75),OFFSET(Chart!$BT$1,A75-1,0)," ")</f>
        <v>P48</v>
      </c>
      <c r="C75" s="1451"/>
      <c r="D75" s="1436" t="str">
        <f ca="1">IF(ISNUMBER(MATCH(B75,Chart!BY:BY,0)),VLOOKUP(DUT!B75,Pinlist!A:H,8,0),"")</f>
        <v/>
      </c>
      <c r="E75" s="1437"/>
      <c r="F75" s="1437"/>
      <c r="G75" s="1437"/>
      <c r="H75" s="1437"/>
      <c r="I75" s="1437"/>
      <c r="J75" s="1437"/>
      <c r="K75" s="1437"/>
      <c r="L75" s="1437"/>
      <c r="M75" s="1438"/>
      <c r="N75" s="1452"/>
      <c r="O75" s="1453"/>
      <c r="P75" s="1439"/>
      <c r="Q75" s="1440"/>
      <c r="R75" s="1452"/>
      <c r="S75" s="1453"/>
      <c r="T75" s="1441" t="str">
        <f t="shared" si="0"/>
        <v/>
      </c>
      <c r="U75" s="1442"/>
      <c r="V75" s="1454" t="str">
        <f t="shared" ref="V75" si="3">IF(N75,PRODUCT(N75,R75/1000),"")</f>
        <v/>
      </c>
      <c r="W75" s="1455"/>
      <c r="X75" s="1011" t="str">
        <f>IF(R75,VLOOKUP(B75,Chart!$BT$4:$BV$63,3,0),"")</f>
        <v/>
      </c>
      <c r="Y75" s="1295" t="str">
        <f>IF(R75,IF(X75&lt;&gt;COUNTIF(Pinlist!$H$9:$H$3003,DUT!D75),B75&amp;" errors found on Pinlist page - Non-existant or blank / incorrect net names",""),"")</f>
        <v/>
      </c>
    </row>
  </sheetData>
  <sheetProtection password="CC3C" sheet="1" objects="1" scenarios="1" selectLockedCells="1"/>
  <mergeCells count="388">
    <mergeCell ref="B75:C75"/>
    <mergeCell ref="D75:M75"/>
    <mergeCell ref="N75:O75"/>
    <mergeCell ref="P75:Q75"/>
    <mergeCell ref="R75:S75"/>
    <mergeCell ref="T75:U75"/>
    <mergeCell ref="V75:W75"/>
    <mergeCell ref="F24:Q24"/>
    <mergeCell ref="B73:C73"/>
    <mergeCell ref="N73:O73"/>
    <mergeCell ref="P73:Q73"/>
    <mergeCell ref="R73:S73"/>
    <mergeCell ref="T73:U73"/>
    <mergeCell ref="V73:W73"/>
    <mergeCell ref="V70:W70"/>
    <mergeCell ref="B69:C69"/>
    <mergeCell ref="N69:O69"/>
    <mergeCell ref="P69:Q69"/>
    <mergeCell ref="R69:S69"/>
    <mergeCell ref="B65:C65"/>
    <mergeCell ref="N65:O65"/>
    <mergeCell ref="P65:Q65"/>
    <mergeCell ref="R65:S65"/>
    <mergeCell ref="T65:U65"/>
    <mergeCell ref="V68:W68"/>
    <mergeCell ref="P70:Q70"/>
    <mergeCell ref="R70:S70"/>
    <mergeCell ref="T70:U70"/>
    <mergeCell ref="R74:S74"/>
    <mergeCell ref="T74:U74"/>
    <mergeCell ref="V74:W74"/>
    <mergeCell ref="B71:C71"/>
    <mergeCell ref="N71:O71"/>
    <mergeCell ref="P71:Q71"/>
    <mergeCell ref="R71:S71"/>
    <mergeCell ref="T71:U71"/>
    <mergeCell ref="V71:W71"/>
    <mergeCell ref="V72:W72"/>
    <mergeCell ref="B72:C72"/>
    <mergeCell ref="R72:S72"/>
    <mergeCell ref="T72:U72"/>
    <mergeCell ref="N72:O72"/>
    <mergeCell ref="P72:Q72"/>
    <mergeCell ref="B74:C74"/>
    <mergeCell ref="N74:O74"/>
    <mergeCell ref="P74:Q74"/>
    <mergeCell ref="D71:M71"/>
    <mergeCell ref="D72:M72"/>
    <mergeCell ref="D73:M73"/>
    <mergeCell ref="D74:M74"/>
    <mergeCell ref="V66:W66"/>
    <mergeCell ref="B63:C63"/>
    <mergeCell ref="N63:O63"/>
    <mergeCell ref="P63:Q63"/>
    <mergeCell ref="R63:S63"/>
    <mergeCell ref="T63:U63"/>
    <mergeCell ref="V63:W63"/>
    <mergeCell ref="V64:W64"/>
    <mergeCell ref="N66:O66"/>
    <mergeCell ref="P66:Q66"/>
    <mergeCell ref="B70:C70"/>
    <mergeCell ref="R68:S68"/>
    <mergeCell ref="T68:U68"/>
    <mergeCell ref="N70:O70"/>
    <mergeCell ref="D70:M70"/>
    <mergeCell ref="V67:W67"/>
    <mergeCell ref="V65:W65"/>
    <mergeCell ref="B66:C66"/>
    <mergeCell ref="V69:W69"/>
    <mergeCell ref="R66:S66"/>
    <mergeCell ref="T66:U66"/>
    <mergeCell ref="T69:U69"/>
    <mergeCell ref="B68:C68"/>
    <mergeCell ref="N68:O68"/>
    <mergeCell ref="P68:Q68"/>
    <mergeCell ref="B67:C67"/>
    <mergeCell ref="D65:M65"/>
    <mergeCell ref="D66:M66"/>
    <mergeCell ref="D67:M67"/>
    <mergeCell ref="D68:M68"/>
    <mergeCell ref="D69:M69"/>
    <mergeCell ref="P67:Q67"/>
    <mergeCell ref="T67:U67"/>
    <mergeCell ref="V61:W61"/>
    <mergeCell ref="B64:C64"/>
    <mergeCell ref="B62:C62"/>
    <mergeCell ref="N62:O62"/>
    <mergeCell ref="P62:Q62"/>
    <mergeCell ref="R64:S64"/>
    <mergeCell ref="T64:U64"/>
    <mergeCell ref="N64:O64"/>
    <mergeCell ref="P64:Q64"/>
    <mergeCell ref="R62:S62"/>
    <mergeCell ref="T62:U62"/>
    <mergeCell ref="V62:W62"/>
    <mergeCell ref="D61:M61"/>
    <mergeCell ref="D62:M62"/>
    <mergeCell ref="D63:M63"/>
    <mergeCell ref="D64:M64"/>
    <mergeCell ref="B61:C61"/>
    <mergeCell ref="N61:O61"/>
    <mergeCell ref="P61:Q61"/>
    <mergeCell ref="R61:S61"/>
    <mergeCell ref="T61:U61"/>
    <mergeCell ref="R67:S67"/>
    <mergeCell ref="N67:O67"/>
    <mergeCell ref="R58:S58"/>
    <mergeCell ref="B59:C59"/>
    <mergeCell ref="N59:O59"/>
    <mergeCell ref="P59:Q59"/>
    <mergeCell ref="R59:S59"/>
    <mergeCell ref="B57:C57"/>
    <mergeCell ref="N57:O57"/>
    <mergeCell ref="D59:M59"/>
    <mergeCell ref="D60:M60"/>
    <mergeCell ref="D57:M57"/>
    <mergeCell ref="D58:M58"/>
    <mergeCell ref="R57:S57"/>
    <mergeCell ref="G20:H20"/>
    <mergeCell ref="B21:G21"/>
    <mergeCell ref="H21:K21"/>
    <mergeCell ref="B22:G22"/>
    <mergeCell ref="H22:K22"/>
    <mergeCell ref="N22:O22"/>
    <mergeCell ref="R22:S22"/>
    <mergeCell ref="B8:F8"/>
    <mergeCell ref="G8:J8"/>
    <mergeCell ref="N8:S8"/>
    <mergeCell ref="B9:F9"/>
    <mergeCell ref="G9:J9"/>
    <mergeCell ref="N9:S9"/>
    <mergeCell ref="N13:O13"/>
    <mergeCell ref="Q13:R13"/>
    <mergeCell ref="B14:F14"/>
    <mergeCell ref="G14:H14"/>
    <mergeCell ref="G10:K10"/>
    <mergeCell ref="B11:F11"/>
    <mergeCell ref="G11:H11"/>
    <mergeCell ref="J11:K11"/>
    <mergeCell ref="B10:F10"/>
    <mergeCell ref="G19:H19"/>
    <mergeCell ref="V14:W14"/>
    <mergeCell ref="B12:F12"/>
    <mergeCell ref="G12:H12"/>
    <mergeCell ref="J12:K12"/>
    <mergeCell ref="B13:F13"/>
    <mergeCell ref="G13:H13"/>
    <mergeCell ref="Q14:R14"/>
    <mergeCell ref="S18:T18"/>
    <mergeCell ref="V18:W18"/>
    <mergeCell ref="B15:K15"/>
    <mergeCell ref="L15:M15"/>
    <mergeCell ref="B18:F18"/>
    <mergeCell ref="G18:H18"/>
    <mergeCell ref="J18:K18"/>
    <mergeCell ref="M18:Q18"/>
    <mergeCell ref="N14:O14"/>
    <mergeCell ref="V27:W27"/>
    <mergeCell ref="B28:C28"/>
    <mergeCell ref="N28:O28"/>
    <mergeCell ref="P28:Q28"/>
    <mergeCell ref="R28:S28"/>
    <mergeCell ref="T28:U28"/>
    <mergeCell ref="V28:W28"/>
    <mergeCell ref="V29:W29"/>
    <mergeCell ref="R27:S27"/>
    <mergeCell ref="T27:U27"/>
    <mergeCell ref="B27:C27"/>
    <mergeCell ref="N27:O27"/>
    <mergeCell ref="P27:Q27"/>
    <mergeCell ref="D27:M27"/>
    <mergeCell ref="D28:M28"/>
    <mergeCell ref="B30:C30"/>
    <mergeCell ref="N30:O30"/>
    <mergeCell ref="P30:Q30"/>
    <mergeCell ref="R30:S30"/>
    <mergeCell ref="T30:U30"/>
    <mergeCell ref="V30:W30"/>
    <mergeCell ref="B29:C29"/>
    <mergeCell ref="N29:O29"/>
    <mergeCell ref="P29:Q29"/>
    <mergeCell ref="R29:S29"/>
    <mergeCell ref="T29:U29"/>
    <mergeCell ref="D29:M29"/>
    <mergeCell ref="D30:M30"/>
    <mergeCell ref="V31:W31"/>
    <mergeCell ref="B32:C32"/>
    <mergeCell ref="N32:O32"/>
    <mergeCell ref="P32:Q32"/>
    <mergeCell ref="R32:S32"/>
    <mergeCell ref="T32:U32"/>
    <mergeCell ref="V32:W32"/>
    <mergeCell ref="V33:W33"/>
    <mergeCell ref="R31:S31"/>
    <mergeCell ref="T31:U31"/>
    <mergeCell ref="B31:C31"/>
    <mergeCell ref="N31:O31"/>
    <mergeCell ref="P31:Q31"/>
    <mergeCell ref="D31:M31"/>
    <mergeCell ref="D32:M32"/>
    <mergeCell ref="B34:C34"/>
    <mergeCell ref="N34:O34"/>
    <mergeCell ref="P34:Q34"/>
    <mergeCell ref="R34:S34"/>
    <mergeCell ref="T34:U34"/>
    <mergeCell ref="V34:W34"/>
    <mergeCell ref="B33:C33"/>
    <mergeCell ref="N33:O33"/>
    <mergeCell ref="P33:Q33"/>
    <mergeCell ref="R33:S33"/>
    <mergeCell ref="T33:U33"/>
    <mergeCell ref="D33:M33"/>
    <mergeCell ref="D34:M34"/>
    <mergeCell ref="V35:W35"/>
    <mergeCell ref="B36:C36"/>
    <mergeCell ref="N36:O36"/>
    <mergeCell ref="P36:Q36"/>
    <mergeCell ref="R36:S36"/>
    <mergeCell ref="T36:U36"/>
    <mergeCell ref="V36:W36"/>
    <mergeCell ref="V37:W37"/>
    <mergeCell ref="R35:S35"/>
    <mergeCell ref="T35:U35"/>
    <mergeCell ref="B35:C35"/>
    <mergeCell ref="N35:O35"/>
    <mergeCell ref="P35:Q35"/>
    <mergeCell ref="D35:M35"/>
    <mergeCell ref="D36:M36"/>
    <mergeCell ref="T39:U39"/>
    <mergeCell ref="B39:C39"/>
    <mergeCell ref="N39:O39"/>
    <mergeCell ref="P39:Q39"/>
    <mergeCell ref="D39:M39"/>
    <mergeCell ref="D40:M40"/>
    <mergeCell ref="T38:U38"/>
    <mergeCell ref="V38:W38"/>
    <mergeCell ref="B37:C37"/>
    <mergeCell ref="N37:O37"/>
    <mergeCell ref="P37:Q37"/>
    <mergeCell ref="R37:S37"/>
    <mergeCell ref="T37:U37"/>
    <mergeCell ref="D37:M37"/>
    <mergeCell ref="D38:M38"/>
    <mergeCell ref="V39:W39"/>
    <mergeCell ref="B40:C40"/>
    <mergeCell ref="N40:O40"/>
    <mergeCell ref="P40:Q40"/>
    <mergeCell ref="V49:W49"/>
    <mergeCell ref="V54:W54"/>
    <mergeCell ref="V50:W50"/>
    <mergeCell ref="V48:W48"/>
    <mergeCell ref="T57:U57"/>
    <mergeCell ref="V57:W57"/>
    <mergeCell ref="V58:W58"/>
    <mergeCell ref="V59:W59"/>
    <mergeCell ref="T52:U52"/>
    <mergeCell ref="T50:U50"/>
    <mergeCell ref="V52:W52"/>
    <mergeCell ref="T51:U51"/>
    <mergeCell ref="T42:U42"/>
    <mergeCell ref="V42:W42"/>
    <mergeCell ref="T45:U45"/>
    <mergeCell ref="V45:W45"/>
    <mergeCell ref="V46:W46"/>
    <mergeCell ref="R40:S40"/>
    <mergeCell ref="T40:U40"/>
    <mergeCell ref="V40:W40"/>
    <mergeCell ref="V41:W41"/>
    <mergeCell ref="T41:U41"/>
    <mergeCell ref="V43:W43"/>
    <mergeCell ref="T46:U46"/>
    <mergeCell ref="B54:C54"/>
    <mergeCell ref="N54:O54"/>
    <mergeCell ref="B51:C51"/>
    <mergeCell ref="P56:Q56"/>
    <mergeCell ref="P54:Q54"/>
    <mergeCell ref="P57:Q57"/>
    <mergeCell ref="B60:C60"/>
    <mergeCell ref="B58:C58"/>
    <mergeCell ref="N58:O58"/>
    <mergeCell ref="B53:C53"/>
    <mergeCell ref="R54:S54"/>
    <mergeCell ref="R56:S56"/>
    <mergeCell ref="D51:M51"/>
    <mergeCell ref="D52:M52"/>
    <mergeCell ref="D53:M53"/>
    <mergeCell ref="D54:M54"/>
    <mergeCell ref="R55:S55"/>
    <mergeCell ref="D55:M55"/>
    <mergeCell ref="D56:M56"/>
    <mergeCell ref="P52:Q52"/>
    <mergeCell ref="P53:Q53"/>
    <mergeCell ref="R53:S53"/>
    <mergeCell ref="N53:O53"/>
    <mergeCell ref="R51:S51"/>
    <mergeCell ref="N51:O51"/>
    <mergeCell ref="P51:Q51"/>
    <mergeCell ref="V60:W60"/>
    <mergeCell ref="T53:U53"/>
    <mergeCell ref="V53:W53"/>
    <mergeCell ref="T55:U55"/>
    <mergeCell ref="V55:W55"/>
    <mergeCell ref="V51:W51"/>
    <mergeCell ref="R52:S52"/>
    <mergeCell ref="B56:C56"/>
    <mergeCell ref="N56:O56"/>
    <mergeCell ref="B55:C55"/>
    <mergeCell ref="N55:O55"/>
    <mergeCell ref="P55:Q55"/>
    <mergeCell ref="B52:C52"/>
    <mergeCell ref="N52:O52"/>
    <mergeCell ref="T54:U54"/>
    <mergeCell ref="T56:U56"/>
    <mergeCell ref="T60:U60"/>
    <mergeCell ref="T58:U58"/>
    <mergeCell ref="T59:U59"/>
    <mergeCell ref="V56:W56"/>
    <mergeCell ref="P58:Q58"/>
    <mergeCell ref="R60:S60"/>
    <mergeCell ref="N60:O60"/>
    <mergeCell ref="P60:Q60"/>
    <mergeCell ref="B44:C44"/>
    <mergeCell ref="N44:O44"/>
    <mergeCell ref="P44:Q44"/>
    <mergeCell ref="R44:S44"/>
    <mergeCell ref="N43:O43"/>
    <mergeCell ref="P43:Q43"/>
    <mergeCell ref="D43:M43"/>
    <mergeCell ref="D44:M44"/>
    <mergeCell ref="D47:M47"/>
    <mergeCell ref="B46:C46"/>
    <mergeCell ref="N46:O46"/>
    <mergeCell ref="P46:Q46"/>
    <mergeCell ref="B45:C45"/>
    <mergeCell ref="N45:O45"/>
    <mergeCell ref="P45:Q45"/>
    <mergeCell ref="D45:M45"/>
    <mergeCell ref="D46:M46"/>
    <mergeCell ref="R46:S46"/>
    <mergeCell ref="D42:M42"/>
    <mergeCell ref="R42:S42"/>
    <mergeCell ref="B38:C38"/>
    <mergeCell ref="N38:O38"/>
    <mergeCell ref="P38:Q38"/>
    <mergeCell ref="R38:S38"/>
    <mergeCell ref="D41:M41"/>
    <mergeCell ref="B41:C41"/>
    <mergeCell ref="N41:O41"/>
    <mergeCell ref="P41:Q41"/>
    <mergeCell ref="R41:S41"/>
    <mergeCell ref="R39:S39"/>
    <mergeCell ref="B42:C42"/>
    <mergeCell ref="N42:O42"/>
    <mergeCell ref="P42:Q42"/>
    <mergeCell ref="R49:S49"/>
    <mergeCell ref="T49:U49"/>
    <mergeCell ref="B49:C49"/>
    <mergeCell ref="N49:O49"/>
    <mergeCell ref="P49:Q49"/>
    <mergeCell ref="B48:C48"/>
    <mergeCell ref="B47:C47"/>
    <mergeCell ref="R48:S48"/>
    <mergeCell ref="D49:M49"/>
    <mergeCell ref="N48:O48"/>
    <mergeCell ref="D50:M50"/>
    <mergeCell ref="D48:M48"/>
    <mergeCell ref="P48:Q48"/>
    <mergeCell ref="T48:U48"/>
    <mergeCell ref="T1:Y1"/>
    <mergeCell ref="T2:Y2"/>
    <mergeCell ref="T3:Y3"/>
    <mergeCell ref="B50:C50"/>
    <mergeCell ref="N50:O50"/>
    <mergeCell ref="P50:Q50"/>
    <mergeCell ref="R50:S50"/>
    <mergeCell ref="T44:U44"/>
    <mergeCell ref="V44:W44"/>
    <mergeCell ref="R43:S43"/>
    <mergeCell ref="T43:U43"/>
    <mergeCell ref="B43:C43"/>
    <mergeCell ref="P47:Q47"/>
    <mergeCell ref="R47:S47"/>
    <mergeCell ref="T47:U47"/>
    <mergeCell ref="V47:W47"/>
    <mergeCell ref="R45:S45"/>
    <mergeCell ref="B23:G23"/>
    <mergeCell ref="H23:Q23"/>
    <mergeCell ref="N47:O47"/>
  </mergeCells>
  <phoneticPr fontId="118" type="noConversion"/>
  <conditionalFormatting sqref="B5:W5">
    <cfRule type="expression" dxfId="212" priority="198" stopIfTrue="1">
      <formula>OR($BB$2=1,$BB$2=3)</formula>
    </cfRule>
  </conditionalFormatting>
  <conditionalFormatting sqref="J18:L18 B20:J20 U19:W19 K19:S19 B19:I19">
    <cfRule type="expression" dxfId="211" priority="191" stopIfTrue="1">
      <formula>OR($G$18="No",$BD$20=TRUE)</formula>
    </cfRule>
  </conditionalFormatting>
  <conditionalFormatting sqref="W23 L22:S22 V22:W22">
    <cfRule type="expression" dxfId="210" priority="151" stopIfTrue="1">
      <formula>$BB$2&lt;&gt;2</formula>
    </cfRule>
    <cfRule type="expression" dxfId="209" priority="180" stopIfTrue="1">
      <formula>$H$22="Room Temp"</formula>
    </cfRule>
  </conditionalFormatting>
  <conditionalFormatting sqref="K8:S8">
    <cfRule type="expression" dxfId="208" priority="184" stopIfTrue="1">
      <formula>$G$8&lt;&gt;"Other"</formula>
    </cfRule>
  </conditionalFormatting>
  <conditionalFormatting sqref="K9:S9">
    <cfRule type="expression" dxfId="207" priority="182" stopIfTrue="1">
      <formula>AND($G$9&lt;&gt;"Other",$G$9&lt;&gt;"Solder Bumps")</formula>
    </cfRule>
  </conditionalFormatting>
  <conditionalFormatting sqref="B8:J9 B10:K10 B12:K12 B13:H13 B21:K22 B23:Q23 B6:W7">
    <cfRule type="expression" dxfId="206" priority="155" stopIfTrue="1">
      <formula>$BB$2&lt;&gt;2</formula>
    </cfRule>
  </conditionalFormatting>
  <conditionalFormatting sqref="M18:W18 N21:W21 L20">
    <cfRule type="expression" dxfId="205" priority="164" stopIfTrue="1">
      <formula>($A$18=2)</formula>
    </cfRule>
  </conditionalFormatting>
  <conditionalFormatting sqref="G11:Q11">
    <cfRule type="expression" dxfId="204" priority="149" stopIfTrue="1">
      <formula>$BB$2&lt;&gt;2</formula>
    </cfRule>
    <cfRule type="expression" dxfId="203" priority="162" stopIfTrue="1">
      <formula>$A$11</formula>
    </cfRule>
  </conditionalFormatting>
  <conditionalFormatting sqref="L12">
    <cfRule type="expression" dxfId="202" priority="161" stopIfTrue="1">
      <formula>LEFT(L12,5)="Error"</formula>
    </cfRule>
  </conditionalFormatting>
  <conditionalFormatting sqref="B17">
    <cfRule type="expression" dxfId="201" priority="152" stopIfTrue="1">
      <formula>$BB$2&lt;&gt;2</formula>
    </cfRule>
  </conditionalFormatting>
  <conditionalFormatting sqref="W20">
    <cfRule type="expression" dxfId="200" priority="146" stopIfTrue="1">
      <formula>OR($G$18="No",$G$10="Scribe line")</formula>
    </cfRule>
  </conditionalFormatting>
  <conditionalFormatting sqref="B14:H14">
    <cfRule type="expression" dxfId="199" priority="253" stopIfTrue="1">
      <formula>$BB$2&lt;&gt;2</formula>
    </cfRule>
    <cfRule type="expression" dxfId="198" priority="254" stopIfTrue="1">
      <formula>$BC$13=1</formula>
    </cfRule>
  </conditionalFormatting>
  <conditionalFormatting sqref="B15:W15">
    <cfRule type="expression" dxfId="197" priority="255" stopIfTrue="1">
      <formula>$BB$2&lt;&gt;2</formula>
    </cfRule>
    <cfRule type="expression" dxfId="196" priority="256" stopIfTrue="1">
      <formula>$BC$13=1</formula>
    </cfRule>
  </conditionalFormatting>
  <conditionalFormatting sqref="I14:P14 Q13:R14 T13:W14 S14 J13:O13">
    <cfRule type="expression" dxfId="195" priority="257" stopIfTrue="1">
      <formula>OR($BC$13&gt;0,$G$14&lt;&gt;"Yes")</formula>
    </cfRule>
  </conditionalFormatting>
  <conditionalFormatting sqref="B11 B18:H18">
    <cfRule type="expression" dxfId="194" priority="150" stopIfTrue="1">
      <formula>$BB$2&lt;&gt;2</formula>
    </cfRule>
    <cfRule type="expression" dxfId="193" priority="193" stopIfTrue="1">
      <formula>$BD$20=TRUE</formula>
    </cfRule>
  </conditionalFormatting>
  <conditionalFormatting sqref="B27:W75">
    <cfRule type="expression" dxfId="192" priority="144" stopIfTrue="1">
      <formula>$BD$20=TRUE</formula>
    </cfRule>
    <cfRule type="expression" dxfId="191" priority="145" stopIfTrue="1">
      <formula>$BB$2&lt;&gt;2</formula>
    </cfRule>
  </conditionalFormatting>
  <dataValidations count="19">
    <dataValidation type="whole" allowBlank="1" showInputMessage="1" showErrorMessage="1" errorTitle="Invalid Entry" error="Please enter a numeric value between -50 and 125" sqref="R22:S22 N22:O22">
      <formula1>-50</formula1>
      <formula2>125</formula2>
    </dataValidation>
    <dataValidation type="list" allowBlank="1" showInputMessage="1" showErrorMessage="1" errorTitle="Input Error!" error="Please select from list" sqref="G20:H20">
      <formula1>"One,All"</formula1>
    </dataValidation>
    <dataValidation type="list" allowBlank="1" showInputMessage="1" showErrorMessage="1" sqref="G10:K10">
      <formula1>$BE$17:$BE$21</formula1>
    </dataValidation>
    <dataValidation type="decimal" allowBlank="1" showInputMessage="1" showErrorMessage="1" errorTitle="Input Error!" error="Requires a positive numeric input" sqref="G13:H13">
      <formula1>0</formula1>
      <formula2>10000</formula2>
    </dataValidation>
    <dataValidation type="decimal" allowBlank="1" showInputMessage="1" showErrorMessage="1" errorTitle="Input Error!" error="Requires a positive numeric input" sqref="J12:K12 G12:H12">
      <formula1>0</formula1>
      <formula2>1000</formula2>
    </dataValidation>
    <dataValidation type="decimal" allowBlank="1" showInputMessage="1" showErrorMessage="1" errorTitle="Input Error!" error="Requires a positive numeric input" sqref="G11:H11 J11:K11">
      <formula1>0</formula1>
      <formula2>100000</formula2>
    </dataValidation>
    <dataValidation type="list" allowBlank="1" showInputMessage="1" showErrorMessage="1" sqref="H21:K21">
      <formula1>$BE$24:$BE$26</formula1>
    </dataValidation>
    <dataValidation type="list" allowBlank="1" showInputMessage="1" showErrorMessage="1" sqref="L15:M15 G14:H14">
      <formula1>$BH$17:$BH$19</formula1>
    </dataValidation>
    <dataValidation type="list" allowBlank="1" showInputMessage="1" showErrorMessage="1" sqref="P28:Q75">
      <formula1>"+Pos,-Neg,N/A"</formula1>
    </dataValidation>
    <dataValidation type="decimal" operator="greaterThanOrEqual" allowBlank="1" showInputMessage="1" showErrorMessage="1" errorTitle="Input Error!" error="Requires numeric input&gt;=zero" sqref="V18:W18 S18">
      <formula1>0</formula1>
    </dataValidation>
    <dataValidation type="whole" allowBlank="1" showInputMessage="1" showErrorMessage="1" errorTitle="Input Error!" error="Requires a whole number between 2 &amp; 16._x000a_" sqref="L18">
      <formula1>2</formula1>
      <formula2>32</formula2>
    </dataValidation>
    <dataValidation type="list" allowBlank="1" showInputMessage="1" showErrorMessage="1" sqref="G18:H18">
      <formula1>$BH$17:$BH$18</formula1>
    </dataValidation>
    <dataValidation type="list" allowBlank="1" showInputMessage="1" showErrorMessage="1" sqref="B11:F11">
      <formula1>"♦ Die Size:                      ,[Step Distance]"</formula1>
    </dataValidation>
    <dataValidation type="decimal" allowBlank="1" showInputMessage="1" showErrorMessage="1" errorTitle="Error" error="Field requires numeric input" sqref="N28:O75 R28:S75">
      <formula1>0</formula1>
      <formula2>5000</formula2>
    </dataValidation>
    <dataValidation type="list" allowBlank="1" showInputMessage="1" showErrorMessage="1" errorTitle="Input Error!" error="Please select from list" sqref="G19:H19">
      <formula1>"0,1"</formula1>
    </dataValidation>
    <dataValidation type="list" allowBlank="1" showInputMessage="1" showErrorMessage="1" sqref="G9:J9">
      <formula1>$BA$5:$BA$13</formula1>
    </dataValidation>
    <dataValidation type="list" allowBlank="1" showInputMessage="1" showErrorMessage="1" sqref="T3:Y3">
      <formula1>$BJ$4:$BJ$21</formula1>
    </dataValidation>
    <dataValidation type="list" allowBlank="1" showInputMessage="1" showErrorMessage="1" sqref="H22:K22">
      <formula1>$BA$25:$BA$26</formula1>
    </dataValidation>
    <dataValidation type="list" allowBlank="1" showInputMessage="1" showErrorMessage="1" sqref="G8:J8">
      <formula1>$BA$17:$BA$22</formula1>
    </dataValidation>
  </dataValidations>
  <pageMargins left="0.75" right="0.75" top="1" bottom="1" header="0.5" footer="0.5"/>
  <pageSetup orientation="portrait" r:id="rId1"/>
  <headerFooter alignWithMargins="0">
    <oddFooter>&amp;LCQS# 730-02-0001
Rev C&amp;C&amp;F&amp;R&amp;D
&amp;T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B3003"/>
  <sheetViews>
    <sheetView showGridLines="0" zoomScaleNormal="100" workbookViewId="0">
      <pane xSplit="1" ySplit="8" topLeftCell="B9" activePane="bottomRight" state="frozen"/>
      <selection activeCell="A4" sqref="A4"/>
      <selection pane="topRight" activeCell="A4" sqref="A4"/>
      <selection pane="bottomLeft" activeCell="A4" sqref="A4"/>
      <selection pane="bottomRight" activeCell="A9" sqref="A9"/>
    </sheetView>
  </sheetViews>
  <sheetFormatPr defaultColWidth="8.85546875" defaultRowHeight="12.75" customHeight="1" x14ac:dyDescent="0.2"/>
  <cols>
    <col min="1" max="1" width="10" style="587" bestFit="1" customWidth="1"/>
    <col min="2" max="3" width="4.28515625" style="587" customWidth="1"/>
    <col min="4" max="4" width="5.7109375" style="587" customWidth="1"/>
    <col min="5" max="5" width="7.7109375" style="1015" customWidth="1"/>
    <col min="6" max="6" width="8.28515625" style="1015" customWidth="1"/>
    <col min="7" max="7" width="17.85546875" style="1029" customWidth="1"/>
    <col min="8" max="8" width="20.5703125" style="1029" customWidth="1"/>
    <col min="9" max="9" width="6.7109375" style="587" bestFit="1" customWidth="1"/>
    <col min="10" max="10" width="6.5703125" style="587" customWidth="1"/>
    <col min="11" max="11" width="8.28515625" style="587" customWidth="1"/>
    <col min="12" max="14" width="7" style="587" customWidth="1"/>
    <col min="15" max="15" width="4.5703125" style="587" customWidth="1"/>
    <col min="16" max="19" width="8.7109375" style="587" customWidth="1"/>
    <col min="20" max="20" width="25.7109375" style="592" customWidth="1"/>
    <col min="21" max="21" width="2.7109375" style="457" customWidth="1"/>
    <col min="22" max="22" width="7.42578125" style="587" customWidth="1"/>
    <col min="23" max="26" width="6.7109375" style="587" customWidth="1"/>
    <col min="27" max="27" width="8.85546875" style="587" customWidth="1"/>
    <col min="28" max="31" width="8.7109375" style="587" customWidth="1"/>
    <col min="32" max="32" width="6.7109375" style="138" customWidth="1"/>
    <col min="33" max="33" width="25.7109375" style="592" customWidth="1"/>
    <col min="34" max="52" width="8.85546875" style="138"/>
    <col min="53" max="60" width="8.85546875" style="138" hidden="1" customWidth="1"/>
    <col min="61" max="61" width="16.85546875" style="138" hidden="1" customWidth="1"/>
    <col min="62" max="78" width="8.85546875" style="138" hidden="1" customWidth="1"/>
    <col min="79" max="16384" width="8.85546875" style="138"/>
  </cols>
  <sheetData>
    <row r="1" spans="1:71" s="232" customFormat="1" ht="12.75" customHeight="1" thickBot="1" x14ac:dyDescent="0.25">
      <c r="E1" s="1260"/>
      <c r="F1" s="1261"/>
      <c r="G1" s="634"/>
      <c r="H1" s="635"/>
      <c r="I1" s="140">
        <f>COUNTA(I9:I3008)*Multiplyer</f>
        <v>0</v>
      </c>
      <c r="J1" s="400"/>
      <c r="K1" s="400"/>
      <c r="L1" s="400"/>
      <c r="M1" s="400"/>
      <c r="N1" s="400"/>
      <c r="O1" s="400"/>
      <c r="P1" s="400"/>
      <c r="Q1" s="400"/>
      <c r="R1" s="400"/>
      <c r="S1" s="400"/>
      <c r="T1" s="635"/>
      <c r="U1" s="211"/>
      <c r="V1" s="400"/>
      <c r="W1" s="400"/>
      <c r="X1" s="400"/>
      <c r="Y1" s="400"/>
      <c r="Z1" s="400"/>
      <c r="AA1" s="400"/>
      <c r="AB1" s="400"/>
      <c r="AC1" s="400"/>
      <c r="AD1" s="400"/>
      <c r="AE1" s="400"/>
      <c r="AG1" s="635"/>
      <c r="BI1" s="637" t="s">
        <v>131</v>
      </c>
      <c r="BJ1" s="638" t="str">
        <f ca="1">'Cover Page'!BN37</f>
        <v>SMA</v>
      </c>
      <c r="BK1" s="638" t="str">
        <f ca="1">'Cover Page'!BO37</f>
        <v>MXP</v>
      </c>
      <c r="BL1" s="638" t="str">
        <f ca="1">'Cover Page'!BP37</f>
        <v>UHD</v>
      </c>
      <c r="BM1" s="638" t="str">
        <f ca="1">'Cover Page'!BQ37</f>
        <v>K-Std</v>
      </c>
      <c r="BN1" s="638" t="str">
        <f ca="1">'Cover Page'!BR37</f>
        <v>K-HS</v>
      </c>
      <c r="BO1" s="638" t="str">
        <f ca="1">'Cover Page'!BS37</f>
        <v>V-HS</v>
      </c>
      <c r="BP1" s="638" t="str">
        <f ca="1">'Cover Page'!BT37</f>
        <v>1.85mm</v>
      </c>
      <c r="BQ1" s="638" t="str">
        <f ca="1">'Cover Page'!BU37</f>
        <v>1mm</v>
      </c>
      <c r="BR1" s="638" t="str">
        <f ca="1">'Cover Page'!BV37</f>
        <v>Other</v>
      </c>
      <c r="BS1" s="638" t="str">
        <f ca="1">'Cover Page'!BW37</f>
        <v/>
      </c>
    </row>
    <row r="2" spans="1:71" s="232" customFormat="1" ht="12.75" customHeight="1" thickBot="1" x14ac:dyDescent="0.3">
      <c r="A2" s="1550" t="s">
        <v>132</v>
      </c>
      <c r="B2" s="639" t="s">
        <v>133</v>
      </c>
      <c r="C2" s="640" t="s">
        <v>134</v>
      </c>
      <c r="E2" s="1249" t="s">
        <v>786</v>
      </c>
      <c r="F2" s="1250"/>
      <c r="G2" s="1250"/>
      <c r="H2" s="1250"/>
      <c r="I2" s="642"/>
      <c r="J2" s="400"/>
      <c r="K2" s="400"/>
      <c r="L2" s="400"/>
      <c r="M2" s="400"/>
      <c r="N2" s="400"/>
      <c r="Q2" s="400"/>
      <c r="R2" s="400"/>
      <c r="S2" s="400"/>
      <c r="T2" s="635"/>
      <c r="U2" s="211"/>
      <c r="V2" s="400"/>
      <c r="W2" s="400"/>
      <c r="X2" s="400"/>
      <c r="Y2" s="400"/>
      <c r="Z2" s="400"/>
      <c r="AA2" s="400"/>
      <c r="AB2" s="400"/>
      <c r="AC2" s="400"/>
      <c r="AD2" s="400"/>
      <c r="AE2" s="400"/>
      <c r="AG2" s="635"/>
      <c r="BI2" s="646" t="s">
        <v>135</v>
      </c>
      <c r="BJ2" s="647" t="s">
        <v>136</v>
      </c>
      <c r="BK2" s="647" t="s">
        <v>137</v>
      </c>
      <c r="BL2" s="648" t="s">
        <v>138</v>
      </c>
      <c r="BM2" s="648" t="s">
        <v>139</v>
      </c>
      <c r="BN2" s="647" t="s">
        <v>140</v>
      </c>
      <c r="BO2" s="647" t="s">
        <v>141</v>
      </c>
      <c r="BP2" s="647" t="s">
        <v>142</v>
      </c>
      <c r="BQ2" s="647" t="s">
        <v>143</v>
      </c>
    </row>
    <row r="3" spans="1:71" s="232" customFormat="1" ht="12.75" customHeight="1" thickBot="1" x14ac:dyDescent="0.3">
      <c r="A3" s="1551"/>
      <c r="B3" s="668">
        <v>48</v>
      </c>
      <c r="C3" s="668">
        <v>1</v>
      </c>
      <c r="D3" s="1038" t="str">
        <f ca="1">IF(ISTEXT(Core!CD20),Core!CD20,"")</f>
        <v/>
      </c>
      <c r="F3" s="641"/>
      <c r="G3" s="649"/>
      <c r="H3" s="635"/>
      <c r="I3" s="650" t="str">
        <f>IF(Pinlist_RF_Error_flag,"***RF line speed exceeds published limits***","")</f>
        <v/>
      </c>
      <c r="J3" s="642"/>
      <c r="K3" s="400"/>
      <c r="L3" s="400"/>
      <c r="M3" s="400"/>
      <c r="N3" s="400"/>
      <c r="O3" s="1009">
        <f>COUNTIF(O9:O3008,"P")*Multiplyer</f>
        <v>0</v>
      </c>
      <c r="Q3" s="400"/>
      <c r="R3" s="400"/>
      <c r="S3" s="400"/>
      <c r="T3" s="635"/>
      <c r="U3" s="211"/>
      <c r="V3" s="400"/>
      <c r="W3" s="402"/>
      <c r="X3" s="400"/>
      <c r="Y3" s="400"/>
      <c r="Z3" s="400"/>
      <c r="AA3" s="400"/>
      <c r="AB3" s="400"/>
      <c r="AC3" s="400"/>
      <c r="AD3" s="400"/>
      <c r="AE3" s="400"/>
      <c r="AG3" s="635"/>
      <c r="BI3" s="829" t="s">
        <v>722</v>
      </c>
      <c r="BJ3" s="400">
        <f>49-C3</f>
        <v>48</v>
      </c>
      <c r="BK3" s="401" t="s">
        <v>723</v>
      </c>
      <c r="BL3" s="400">
        <f>49-B3</f>
        <v>1</v>
      </c>
    </row>
    <row r="4" spans="1:71" s="232" customFormat="1" ht="12.75" customHeight="1" x14ac:dyDescent="0.2">
      <c r="A4" s="1551"/>
      <c r="D4" s="654" t="str">
        <f ca="1">IF(Pinlist_Err,"Invalid entries detected",""&amp;Chart!BN37)</f>
        <v/>
      </c>
      <c r="F4" s="655"/>
      <c r="G4" s="634"/>
      <c r="H4" s="635"/>
      <c r="I4" s="656"/>
      <c r="J4" s="657" t="s">
        <v>581</v>
      </c>
      <c r="K4" s="400"/>
      <c r="L4" s="400"/>
      <c r="M4" s="400"/>
      <c r="N4" s="658"/>
      <c r="O4" s="678">
        <f>COUNTIF(O9:O3008,"F")*Multiplyer</f>
        <v>0</v>
      </c>
      <c r="Q4" s="400"/>
      <c r="R4" s="400"/>
      <c r="S4" s="400"/>
      <c r="T4" s="635"/>
      <c r="U4" s="211"/>
      <c r="V4" s="400"/>
      <c r="W4" s="402"/>
      <c r="X4" s="400"/>
      <c r="Y4" s="400"/>
      <c r="Z4" s="400"/>
      <c r="AA4" s="400"/>
      <c r="AB4" s="400"/>
      <c r="AC4" s="400"/>
      <c r="AD4" s="400"/>
      <c r="AE4" s="400"/>
      <c r="AG4" s="635"/>
      <c r="BI4" s="653"/>
      <c r="BJ4" s="273"/>
      <c r="BK4" s="401"/>
      <c r="BL4" s="401"/>
    </row>
    <row r="5" spans="1:71" s="232" customFormat="1" ht="12.75" customHeight="1" thickBot="1" x14ac:dyDescent="0.25">
      <c r="A5" s="1552"/>
      <c r="C5" s="140">
        <f>COUNTA(C9:C3008)*Multiplyer</f>
        <v>0</v>
      </c>
      <c r="D5" s="659"/>
      <c r="E5" s="660">
        <f>COUNT(E9:E3008)</f>
        <v>0</v>
      </c>
      <c r="F5" s="660"/>
      <c r="G5" s="401"/>
      <c r="H5" s="635"/>
      <c r="I5" s="656"/>
      <c r="J5" s="232" t="s">
        <v>582</v>
      </c>
      <c r="N5" s="400"/>
      <c r="O5" s="140">
        <f>COUNTIF(O9:O3008,"T")*Multiplyer</f>
        <v>0</v>
      </c>
      <c r="P5" s="140">
        <f>(COUNTA(P9:P3008)-COUNTIF(P9:P3008,"DNI"))*Multiplyer</f>
        <v>0</v>
      </c>
      <c r="Q5" s="400"/>
      <c r="R5" s="140">
        <f>(COUNTA(R9:R3008)-COUNTIF(R9:R3008,"DNI"))*Multiplyer</f>
        <v>0</v>
      </c>
      <c r="S5" s="400"/>
      <c r="T5" s="635"/>
      <c r="U5" s="211"/>
      <c r="V5" s="400"/>
      <c r="W5" s="661" t="s">
        <v>568</v>
      </c>
      <c r="X5" s="662"/>
      <c r="Y5" s="663"/>
      <c r="Z5" s="400"/>
      <c r="AA5" s="140">
        <f>COUNTA(AA9:AA3008)*Multiplyer</f>
        <v>0</v>
      </c>
      <c r="AB5" s="140">
        <f>COUNTA(AB9:AB3008)*Multiplyer</f>
        <v>0</v>
      </c>
      <c r="AC5" s="400"/>
      <c r="AD5" s="140">
        <f>COUNTA(AD9:AD3008)*Multiplyer</f>
        <v>0</v>
      </c>
      <c r="AE5" s="400"/>
      <c r="AG5" s="635"/>
      <c r="BI5" s="653"/>
      <c r="BJ5" s="273"/>
      <c r="BK5" s="401"/>
      <c r="BL5" s="401"/>
    </row>
    <row r="6" spans="1:71" s="232" customFormat="1" ht="12.75" customHeight="1" thickBot="1" x14ac:dyDescent="0.25">
      <c r="A6" s="1517" t="s">
        <v>144</v>
      </c>
      <c r="B6" s="1553" t="s">
        <v>551</v>
      </c>
      <c r="C6" s="1553" t="s">
        <v>552</v>
      </c>
      <c r="D6" s="1556" t="s">
        <v>145</v>
      </c>
      <c r="E6" s="1559" t="s">
        <v>665</v>
      </c>
      <c r="F6" s="1560"/>
      <c r="G6" s="1546" t="s">
        <v>147</v>
      </c>
      <c r="H6" s="1563" t="s">
        <v>121</v>
      </c>
      <c r="I6" s="1547" t="s">
        <v>567</v>
      </c>
      <c r="J6" s="1548"/>
      <c r="K6" s="1548"/>
      <c r="L6" s="1548"/>
      <c r="M6" s="1549"/>
      <c r="N6" s="1517" t="s">
        <v>148</v>
      </c>
      <c r="O6" s="1528" t="s">
        <v>556</v>
      </c>
      <c r="P6" s="1529"/>
      <c r="Q6" s="1529"/>
      <c r="R6" s="1529"/>
      <c r="S6" s="1530"/>
      <c r="T6" s="1570" t="s">
        <v>286</v>
      </c>
      <c r="U6" s="664"/>
      <c r="V6" s="1517" t="s">
        <v>149</v>
      </c>
      <c r="W6" s="1519" t="s">
        <v>150</v>
      </c>
      <c r="X6" s="1519" t="s">
        <v>151</v>
      </c>
      <c r="Y6" s="1519" t="s">
        <v>148</v>
      </c>
      <c r="Z6" s="1522" t="s">
        <v>152</v>
      </c>
      <c r="AA6" s="1523"/>
      <c r="AB6" s="1524" t="s">
        <v>153</v>
      </c>
      <c r="AC6" s="1524"/>
      <c r="AD6" s="1525"/>
      <c r="AE6" s="1525"/>
      <c r="AF6" s="1519" t="s">
        <v>154</v>
      </c>
      <c r="AG6" s="1509" t="s">
        <v>155</v>
      </c>
      <c r="BI6" s="653"/>
      <c r="BJ6" s="273"/>
      <c r="BK6" s="401"/>
      <c r="BL6" s="401"/>
    </row>
    <row r="7" spans="1:71" s="232" customFormat="1" ht="12.75" customHeight="1" x14ac:dyDescent="0.2">
      <c r="A7" s="1518"/>
      <c r="B7" s="1554"/>
      <c r="C7" s="1554"/>
      <c r="D7" s="1557"/>
      <c r="E7" s="1561"/>
      <c r="F7" s="1562"/>
      <c r="G7" s="1518"/>
      <c r="H7" s="1564"/>
      <c r="I7" s="1537" t="s">
        <v>754</v>
      </c>
      <c r="J7" s="1538"/>
      <c r="K7" s="1541" t="s">
        <v>580</v>
      </c>
      <c r="L7" s="1543" t="s">
        <v>564</v>
      </c>
      <c r="M7" s="1544" t="s">
        <v>156</v>
      </c>
      <c r="N7" s="1518"/>
      <c r="O7" s="1512" t="s">
        <v>157</v>
      </c>
      <c r="P7" s="1514" t="s">
        <v>158</v>
      </c>
      <c r="Q7" s="1516" t="s">
        <v>159</v>
      </c>
      <c r="R7" s="1514" t="s">
        <v>158</v>
      </c>
      <c r="S7" s="1573" t="s">
        <v>159</v>
      </c>
      <c r="T7" s="1571"/>
      <c r="U7" s="664"/>
      <c r="V7" s="1518"/>
      <c r="W7" s="1520"/>
      <c r="X7" s="1520"/>
      <c r="Y7" s="1520"/>
      <c r="Z7" s="1534" t="s">
        <v>160</v>
      </c>
      <c r="AA7" s="1526" t="s">
        <v>161</v>
      </c>
      <c r="AB7" s="1566" t="s">
        <v>158</v>
      </c>
      <c r="AC7" s="1568" t="s">
        <v>159</v>
      </c>
      <c r="AD7" s="1531" t="s">
        <v>158</v>
      </c>
      <c r="AE7" s="1526" t="s">
        <v>159</v>
      </c>
      <c r="AF7" s="1520"/>
      <c r="AG7" s="1510"/>
      <c r="BJ7" s="273"/>
    </row>
    <row r="8" spans="1:71" s="232" customFormat="1" ht="13.5" thickBot="1" x14ac:dyDescent="0.25">
      <c r="A8" s="1536"/>
      <c r="B8" s="1555"/>
      <c r="C8" s="1555"/>
      <c r="D8" s="1558"/>
      <c r="E8" s="914" t="s">
        <v>162</v>
      </c>
      <c r="F8" s="915" t="s">
        <v>163</v>
      </c>
      <c r="G8" s="1536"/>
      <c r="H8" s="1565"/>
      <c r="I8" s="1539"/>
      <c r="J8" s="1540"/>
      <c r="K8" s="1542"/>
      <c r="L8" s="1542"/>
      <c r="M8" s="1545"/>
      <c r="N8" s="1536"/>
      <c r="O8" s="1513"/>
      <c r="P8" s="1515"/>
      <c r="Q8" s="1515"/>
      <c r="R8" s="1515"/>
      <c r="S8" s="1574"/>
      <c r="T8" s="1572"/>
      <c r="U8" s="664"/>
      <c r="V8" s="1518"/>
      <c r="W8" s="1521"/>
      <c r="X8" s="1521"/>
      <c r="Y8" s="1521"/>
      <c r="Z8" s="1535"/>
      <c r="AA8" s="1527"/>
      <c r="AB8" s="1567"/>
      <c r="AC8" s="1569"/>
      <c r="AD8" s="1532"/>
      <c r="AE8" s="1533"/>
      <c r="AF8" s="1521"/>
      <c r="AG8" s="1511"/>
      <c r="BJ8" s="273"/>
    </row>
    <row r="9" spans="1:71" s="139" customFormat="1" ht="12.75" customHeight="1" x14ac:dyDescent="0.2">
      <c r="A9" s="1183"/>
      <c r="B9" s="1183"/>
      <c r="C9" s="1183"/>
      <c r="D9" s="1173"/>
      <c r="E9" s="1108"/>
      <c r="F9" s="1108"/>
      <c r="G9" s="1027"/>
      <c r="H9" s="1027"/>
      <c r="I9" s="1174"/>
      <c r="J9" s="1174"/>
      <c r="K9" s="1174"/>
      <c r="L9" s="1172"/>
      <c r="M9" s="1172"/>
      <c r="N9" s="1175"/>
      <c r="O9" s="1174"/>
      <c r="P9" s="1196"/>
      <c r="Q9" s="1176"/>
      <c r="R9" s="1196"/>
      <c r="S9" s="1197"/>
      <c r="T9" s="1198"/>
      <c r="U9" s="1200"/>
      <c r="V9" s="1201"/>
      <c r="W9" s="1172"/>
      <c r="X9" s="1172"/>
      <c r="Y9" s="144"/>
      <c r="Z9" s="1172"/>
      <c r="AA9" s="1172"/>
      <c r="AB9" s="1172"/>
      <c r="AC9" s="1172"/>
      <c r="AD9" s="1172"/>
      <c r="AE9" s="1172"/>
      <c r="AF9" s="145"/>
      <c r="AG9" s="419"/>
    </row>
    <row r="10" spans="1:71" s="139" customFormat="1" ht="12.75" customHeight="1" x14ac:dyDescent="0.2">
      <c r="A10" s="1183"/>
      <c r="B10" s="1183"/>
      <c r="C10" s="1183"/>
      <c r="D10" s="1173"/>
      <c r="E10" s="1108"/>
      <c r="F10" s="1108"/>
      <c r="G10" s="1027"/>
      <c r="H10" s="1027"/>
      <c r="I10" s="1174"/>
      <c r="J10" s="1174"/>
      <c r="K10" s="1174"/>
      <c r="L10" s="1172"/>
      <c r="M10" s="1172"/>
      <c r="N10" s="1175"/>
      <c r="O10" s="1174"/>
      <c r="P10" s="1196"/>
      <c r="Q10" s="1176"/>
      <c r="R10" s="1176"/>
      <c r="S10" s="1177"/>
      <c r="T10" s="1198"/>
      <c r="U10" s="1200"/>
      <c r="V10" s="1201"/>
      <c r="W10" s="1172"/>
      <c r="X10" s="1172"/>
      <c r="Y10" s="144"/>
      <c r="Z10" s="1172"/>
      <c r="AA10" s="1172"/>
      <c r="AB10" s="1172"/>
      <c r="AC10" s="1172"/>
      <c r="AD10" s="1172"/>
      <c r="AE10" s="1172"/>
      <c r="AF10" s="145"/>
      <c r="AG10" s="419"/>
    </row>
    <row r="11" spans="1:71" s="139" customFormat="1" ht="12.75" customHeight="1" x14ac:dyDescent="0.2">
      <c r="A11" s="1183"/>
      <c r="B11" s="1183"/>
      <c r="C11" s="1183"/>
      <c r="D11" s="1173"/>
      <c r="E11" s="1108"/>
      <c r="F11" s="1108"/>
      <c r="G11" s="1027"/>
      <c r="H11" s="1027"/>
      <c r="I11" s="1174"/>
      <c r="J11" s="1174"/>
      <c r="K11" s="1174"/>
      <c r="L11" s="1172"/>
      <c r="M11" s="1172"/>
      <c r="N11" s="1175"/>
      <c r="O11" s="1174"/>
      <c r="P11" s="1196"/>
      <c r="Q11" s="1176"/>
      <c r="R11" s="1176"/>
      <c r="S11" s="1177"/>
      <c r="T11" s="1198"/>
      <c r="U11" s="1200"/>
      <c r="V11" s="1201"/>
      <c r="W11" s="1172"/>
      <c r="X11" s="1172"/>
      <c r="Y11" s="144"/>
      <c r="Z11" s="1172"/>
      <c r="AA11" s="1172"/>
      <c r="AB11" s="1172"/>
      <c r="AC11" s="1172"/>
      <c r="AD11" s="1172"/>
      <c r="AE11" s="1172"/>
      <c r="AF11" s="1172"/>
      <c r="AG11" s="590"/>
    </row>
    <row r="12" spans="1:71" s="139" customFormat="1" ht="12.75" customHeight="1" x14ac:dyDescent="0.2">
      <c r="A12" s="1183"/>
      <c r="B12" s="1183"/>
      <c r="C12" s="1183"/>
      <c r="D12" s="1173"/>
      <c r="E12" s="1108"/>
      <c r="F12" s="1108"/>
      <c r="G12" s="1027"/>
      <c r="H12" s="1027"/>
      <c r="I12" s="1174"/>
      <c r="J12" s="1174"/>
      <c r="K12" s="1174"/>
      <c r="L12" s="1172"/>
      <c r="M12" s="1172"/>
      <c r="N12" s="1175"/>
      <c r="O12" s="1174"/>
      <c r="P12" s="1196"/>
      <c r="Q12" s="1176"/>
      <c r="R12" s="1176"/>
      <c r="S12" s="1177"/>
      <c r="T12" s="1198"/>
      <c r="U12" s="1200"/>
      <c r="V12" s="1201"/>
      <c r="W12" s="1172"/>
      <c r="X12" s="1172"/>
      <c r="Y12" s="144"/>
      <c r="Z12" s="1172"/>
      <c r="AA12" s="1172"/>
      <c r="AB12" s="1172"/>
      <c r="AC12" s="1172"/>
      <c r="AD12" s="1172"/>
      <c r="AE12" s="1172"/>
      <c r="AF12" s="1172"/>
      <c r="AG12" s="590"/>
    </row>
    <row r="13" spans="1:71" s="139" customFormat="1" ht="12.75" customHeight="1" x14ac:dyDescent="0.2">
      <c r="A13" s="1183"/>
      <c r="B13" s="1183"/>
      <c r="C13" s="1183"/>
      <c r="D13" s="1173"/>
      <c r="E13" s="1108"/>
      <c r="F13" s="1108"/>
      <c r="G13" s="1027"/>
      <c r="H13" s="1027"/>
      <c r="I13" s="1174"/>
      <c r="J13" s="1174"/>
      <c r="K13" s="1174"/>
      <c r="L13" s="1172"/>
      <c r="M13" s="1172"/>
      <c r="N13" s="1175"/>
      <c r="O13" s="1174"/>
      <c r="P13" s="1196"/>
      <c r="Q13" s="1176"/>
      <c r="R13" s="1176"/>
      <c r="S13" s="1177"/>
      <c r="T13" s="1198"/>
      <c r="U13" s="1200"/>
      <c r="V13" s="1201"/>
      <c r="W13" s="1172"/>
      <c r="X13" s="1172"/>
      <c r="Y13" s="144"/>
      <c r="Z13" s="1172"/>
      <c r="AA13" s="1172"/>
      <c r="AB13" s="1172"/>
      <c r="AC13" s="1172"/>
      <c r="AD13" s="1172"/>
      <c r="AE13" s="1172"/>
      <c r="AF13" s="1172"/>
      <c r="AG13" s="590"/>
    </row>
    <row r="14" spans="1:71" s="139" customFormat="1" ht="12.75" customHeight="1" x14ac:dyDescent="0.2">
      <c r="A14" s="1183"/>
      <c r="B14" s="1183"/>
      <c r="C14" s="1183"/>
      <c r="D14" s="1173"/>
      <c r="E14" s="1108"/>
      <c r="F14" s="1108"/>
      <c r="G14" s="1027"/>
      <c r="H14" s="1027"/>
      <c r="I14" s="1174"/>
      <c r="J14" s="1174"/>
      <c r="K14" s="1174"/>
      <c r="L14" s="1172"/>
      <c r="M14" s="1172"/>
      <c r="N14" s="1175"/>
      <c r="O14" s="1174"/>
      <c r="P14" s="1196"/>
      <c r="Q14" s="1176"/>
      <c r="R14" s="1176"/>
      <c r="S14" s="1177"/>
      <c r="T14" s="1198"/>
      <c r="U14" s="1200"/>
      <c r="V14" s="1201"/>
      <c r="W14" s="1172"/>
      <c r="X14" s="1172"/>
      <c r="Y14" s="144"/>
      <c r="Z14" s="1172"/>
      <c r="AA14" s="1172"/>
      <c r="AB14" s="1172"/>
      <c r="AC14" s="1172"/>
      <c r="AD14" s="1172"/>
      <c r="AE14" s="1172"/>
      <c r="AF14" s="1172"/>
      <c r="AG14" s="590"/>
    </row>
    <row r="15" spans="1:71" s="139" customFormat="1" ht="12.75" customHeight="1" x14ac:dyDescent="0.2">
      <c r="A15" s="1183"/>
      <c r="B15" s="1183"/>
      <c r="C15" s="1183"/>
      <c r="D15" s="1173"/>
      <c r="E15" s="1108"/>
      <c r="F15" s="1108"/>
      <c r="G15" s="1027"/>
      <c r="H15" s="1027"/>
      <c r="I15" s="1174"/>
      <c r="J15" s="1174"/>
      <c r="K15" s="1174"/>
      <c r="L15" s="1172"/>
      <c r="M15" s="1172"/>
      <c r="N15" s="1175"/>
      <c r="O15" s="1174"/>
      <c r="P15" s="1196"/>
      <c r="Q15" s="1176"/>
      <c r="R15" s="1176"/>
      <c r="S15" s="1177"/>
      <c r="T15" s="1178"/>
      <c r="U15" s="559"/>
      <c r="V15" s="1172"/>
      <c r="W15" s="141"/>
      <c r="X15" s="1172"/>
      <c r="Y15" s="144"/>
      <c r="Z15" s="141"/>
      <c r="AA15" s="141"/>
      <c r="AB15" s="141"/>
      <c r="AC15" s="141"/>
      <c r="AD15" s="141"/>
      <c r="AE15" s="141"/>
      <c r="AF15" s="1172"/>
      <c r="AG15" s="590"/>
    </row>
    <row r="16" spans="1:71" s="139" customFormat="1" ht="12.75" customHeight="1" x14ac:dyDescent="0.2">
      <c r="A16" s="1183"/>
      <c r="B16" s="1183"/>
      <c r="C16" s="1183"/>
      <c r="D16" s="1173"/>
      <c r="E16" s="1108"/>
      <c r="F16" s="1108"/>
      <c r="G16" s="1027"/>
      <c r="H16" s="1027"/>
      <c r="I16" s="1174"/>
      <c r="J16" s="1174"/>
      <c r="K16" s="1174"/>
      <c r="L16" s="1172"/>
      <c r="M16" s="1172"/>
      <c r="N16" s="1175"/>
      <c r="O16" s="1174"/>
      <c r="P16" s="1196"/>
      <c r="Q16" s="1176"/>
      <c r="R16" s="1176"/>
      <c r="S16" s="1177"/>
      <c r="T16" s="1178"/>
      <c r="U16" s="559"/>
      <c r="V16" s="1172"/>
      <c r="W16" s="141"/>
      <c r="X16" s="1172"/>
      <c r="Y16" s="144"/>
      <c r="Z16" s="141"/>
      <c r="AA16" s="141"/>
      <c r="AB16" s="141"/>
      <c r="AC16" s="141"/>
      <c r="AD16" s="141"/>
      <c r="AE16" s="141"/>
      <c r="AF16" s="145"/>
      <c r="AG16" s="419"/>
    </row>
    <row r="17" spans="1:33" s="139" customFormat="1" ht="12.75" customHeight="1" x14ac:dyDescent="0.2">
      <c r="A17" s="1183"/>
      <c r="B17" s="1183"/>
      <c r="C17" s="1183"/>
      <c r="D17" s="1173"/>
      <c r="E17" s="1108"/>
      <c r="F17" s="1108"/>
      <c r="G17" s="1027"/>
      <c r="H17" s="1027"/>
      <c r="I17" s="1174"/>
      <c r="J17" s="1174"/>
      <c r="K17" s="1174"/>
      <c r="L17" s="1172"/>
      <c r="M17" s="1172"/>
      <c r="N17" s="1175"/>
      <c r="O17" s="1174"/>
      <c r="P17" s="1196"/>
      <c r="Q17" s="1176"/>
      <c r="R17" s="1176"/>
      <c r="S17" s="1177"/>
      <c r="T17" s="1178"/>
      <c r="U17" s="559"/>
      <c r="V17" s="1172"/>
      <c r="W17" s="141"/>
      <c r="X17" s="1172"/>
      <c r="Y17" s="144"/>
      <c r="Z17" s="141"/>
      <c r="AA17" s="141"/>
      <c r="AB17" s="141"/>
      <c r="AC17" s="141"/>
      <c r="AD17" s="141"/>
      <c r="AE17" s="141"/>
      <c r="AF17" s="145"/>
      <c r="AG17" s="419"/>
    </row>
    <row r="18" spans="1:33" s="139" customFormat="1" ht="12.75" customHeight="1" x14ac:dyDescent="0.2">
      <c r="A18" s="1183"/>
      <c r="B18" s="1183"/>
      <c r="C18" s="1183"/>
      <c r="D18" s="1173"/>
      <c r="E18" s="1108"/>
      <c r="F18" s="1108"/>
      <c r="G18" s="1027"/>
      <c r="H18" s="1027"/>
      <c r="I18" s="1174"/>
      <c r="J18" s="1174"/>
      <c r="K18" s="1174"/>
      <c r="L18" s="1172"/>
      <c r="M18" s="1172"/>
      <c r="N18" s="1175"/>
      <c r="O18" s="1174"/>
      <c r="P18" s="1196"/>
      <c r="Q18" s="1176"/>
      <c r="R18" s="1176"/>
      <c r="S18" s="1177"/>
      <c r="T18" s="1178"/>
      <c r="U18" s="559"/>
      <c r="V18" s="141"/>
      <c r="W18" s="141"/>
      <c r="X18" s="1172"/>
      <c r="Y18" s="144"/>
      <c r="Z18" s="141"/>
      <c r="AA18" s="141"/>
      <c r="AB18" s="141"/>
      <c r="AC18" s="141"/>
      <c r="AD18" s="141"/>
      <c r="AE18" s="141"/>
      <c r="AF18" s="1172"/>
      <c r="AG18" s="590"/>
    </row>
    <row r="19" spans="1:33" s="139" customFormat="1" ht="12.75" customHeight="1" x14ac:dyDescent="0.2">
      <c r="A19" s="1183"/>
      <c r="B19" s="1183"/>
      <c r="C19" s="1183"/>
      <c r="D19" s="1173"/>
      <c r="E19" s="1108"/>
      <c r="F19" s="1108"/>
      <c r="G19" s="1027"/>
      <c r="H19" s="1027"/>
      <c r="I19" s="1174"/>
      <c r="J19" s="1174"/>
      <c r="K19" s="1174"/>
      <c r="L19" s="1172"/>
      <c r="M19" s="1172"/>
      <c r="N19" s="1175"/>
      <c r="O19" s="1174"/>
      <c r="P19" s="1196"/>
      <c r="Q19" s="1176"/>
      <c r="R19" s="1176"/>
      <c r="S19" s="1177"/>
      <c r="T19" s="1178"/>
      <c r="U19" s="559"/>
      <c r="V19" s="141"/>
      <c r="W19" s="141"/>
      <c r="X19" s="1172"/>
      <c r="Y19" s="144"/>
      <c r="Z19" s="141"/>
      <c r="AA19" s="141"/>
      <c r="AB19" s="141"/>
      <c r="AC19" s="141"/>
      <c r="AD19" s="141"/>
      <c r="AE19" s="141"/>
      <c r="AF19" s="145"/>
      <c r="AG19" s="419"/>
    </row>
    <row r="20" spans="1:33" s="139" customFormat="1" ht="12.75" customHeight="1" x14ac:dyDescent="0.2">
      <c r="A20" s="1183"/>
      <c r="B20" s="1183"/>
      <c r="C20" s="1183"/>
      <c r="D20" s="1173"/>
      <c r="E20" s="1108"/>
      <c r="F20" s="1108"/>
      <c r="G20" s="1027"/>
      <c r="H20" s="1027"/>
      <c r="I20" s="1174"/>
      <c r="J20" s="1174"/>
      <c r="K20" s="1174"/>
      <c r="L20" s="1172"/>
      <c r="M20" s="1172"/>
      <c r="N20" s="1175"/>
      <c r="O20" s="1174"/>
      <c r="P20" s="1196"/>
      <c r="Q20" s="1176"/>
      <c r="R20" s="1176"/>
      <c r="S20" s="1177"/>
      <c r="T20" s="1178"/>
      <c r="U20" s="559"/>
      <c r="V20" s="141"/>
      <c r="W20" s="141"/>
      <c r="X20" s="1172"/>
      <c r="Y20" s="144"/>
      <c r="Z20" s="141"/>
      <c r="AA20" s="141"/>
      <c r="AB20" s="141"/>
      <c r="AC20" s="141"/>
      <c r="AD20" s="141"/>
      <c r="AE20" s="141"/>
      <c r="AF20" s="145"/>
      <c r="AG20" s="419"/>
    </row>
    <row r="21" spans="1:33" s="139" customFormat="1" ht="12.75" customHeight="1" x14ac:dyDescent="0.2">
      <c r="A21" s="1183"/>
      <c r="B21" s="1183"/>
      <c r="C21" s="1183"/>
      <c r="D21" s="1173"/>
      <c r="E21" s="1108"/>
      <c r="F21" s="1108"/>
      <c r="G21" s="1027"/>
      <c r="H21" s="1027"/>
      <c r="I21" s="1174"/>
      <c r="J21" s="1174"/>
      <c r="K21" s="1174"/>
      <c r="L21" s="1172"/>
      <c r="M21" s="1172"/>
      <c r="N21" s="1175"/>
      <c r="O21" s="1174"/>
      <c r="P21" s="1196"/>
      <c r="Q21" s="1176"/>
      <c r="R21" s="1176"/>
      <c r="S21" s="1177"/>
      <c r="T21" s="1178"/>
      <c r="U21" s="559"/>
      <c r="V21" s="141"/>
      <c r="W21" s="141"/>
      <c r="X21" s="1172"/>
      <c r="Y21" s="144"/>
      <c r="Z21" s="141"/>
      <c r="AA21" s="141"/>
      <c r="AB21" s="141"/>
      <c r="AC21" s="141"/>
      <c r="AD21" s="141"/>
      <c r="AE21" s="141"/>
      <c r="AF21" s="145"/>
      <c r="AG21" s="419"/>
    </row>
    <row r="22" spans="1:33" s="139" customFormat="1" ht="12.75" customHeight="1" x14ac:dyDescent="0.2">
      <c r="A22" s="1183"/>
      <c r="B22" s="1183"/>
      <c r="C22" s="1183"/>
      <c r="D22" s="1173"/>
      <c r="E22" s="1108"/>
      <c r="F22" s="1108"/>
      <c r="G22" s="1027"/>
      <c r="H22" s="1027"/>
      <c r="I22" s="1174"/>
      <c r="J22" s="1174"/>
      <c r="K22" s="1174"/>
      <c r="L22" s="1172"/>
      <c r="M22" s="1172"/>
      <c r="N22" s="1175"/>
      <c r="O22" s="1174"/>
      <c r="P22" s="1196"/>
      <c r="Q22" s="1176"/>
      <c r="R22" s="1176"/>
      <c r="S22" s="1177"/>
      <c r="T22" s="1178"/>
      <c r="U22" s="559"/>
      <c r="V22" s="141"/>
      <c r="W22" s="141"/>
      <c r="X22" s="1172"/>
      <c r="Y22" s="144"/>
      <c r="Z22" s="141"/>
      <c r="AA22" s="141"/>
      <c r="AB22" s="141"/>
      <c r="AC22" s="141"/>
      <c r="AD22" s="141"/>
      <c r="AE22" s="141"/>
      <c r="AF22" s="145"/>
      <c r="AG22" s="419"/>
    </row>
    <row r="23" spans="1:33" s="139" customFormat="1" ht="12.75" customHeight="1" x14ac:dyDescent="0.2">
      <c r="A23" s="1183"/>
      <c r="B23" s="1183"/>
      <c r="C23" s="1183"/>
      <c r="D23" s="1173"/>
      <c r="E23" s="1108"/>
      <c r="F23" s="1108"/>
      <c r="G23" s="1027"/>
      <c r="H23" s="1027"/>
      <c r="I23" s="1174"/>
      <c r="J23" s="1174"/>
      <c r="K23" s="1174"/>
      <c r="L23" s="1172"/>
      <c r="M23" s="1172"/>
      <c r="N23" s="1175"/>
      <c r="O23" s="1174"/>
      <c r="P23" s="1196"/>
      <c r="Q23" s="1176"/>
      <c r="R23" s="1176"/>
      <c r="S23" s="1177"/>
      <c r="T23" s="1178"/>
      <c r="U23" s="559"/>
      <c r="V23" s="141"/>
      <c r="W23" s="141"/>
      <c r="X23" s="1172"/>
      <c r="Y23" s="144"/>
      <c r="Z23" s="141"/>
      <c r="AA23" s="141"/>
      <c r="AB23" s="141"/>
      <c r="AC23" s="141"/>
      <c r="AD23" s="141"/>
      <c r="AE23" s="141"/>
      <c r="AF23" s="145"/>
      <c r="AG23" s="419"/>
    </row>
    <row r="24" spans="1:33" s="139" customFormat="1" ht="12.75" customHeight="1" x14ac:dyDescent="0.2">
      <c r="A24" s="1183"/>
      <c r="B24" s="1183"/>
      <c r="C24" s="1183"/>
      <c r="D24" s="1173"/>
      <c r="E24" s="1108"/>
      <c r="F24" s="1108"/>
      <c r="G24" s="1027"/>
      <c r="H24" s="1027"/>
      <c r="I24" s="1174"/>
      <c r="J24" s="1174"/>
      <c r="K24" s="1174"/>
      <c r="L24" s="1172"/>
      <c r="M24" s="1172"/>
      <c r="N24" s="1175"/>
      <c r="O24" s="1174"/>
      <c r="P24" s="1196"/>
      <c r="Q24" s="1176"/>
      <c r="R24" s="1176"/>
      <c r="S24" s="1177"/>
      <c r="T24" s="1178"/>
      <c r="U24" s="559"/>
      <c r="V24" s="141"/>
      <c r="W24" s="141"/>
      <c r="X24" s="1172"/>
      <c r="Y24" s="144"/>
      <c r="Z24" s="141"/>
      <c r="AA24" s="141"/>
      <c r="AB24" s="141"/>
      <c r="AC24" s="141"/>
      <c r="AD24" s="141"/>
      <c r="AE24" s="141"/>
      <c r="AF24" s="145"/>
      <c r="AG24" s="419"/>
    </row>
    <row r="25" spans="1:33" s="139" customFormat="1" ht="12.75" customHeight="1" x14ac:dyDescent="0.2">
      <c r="A25" s="1183"/>
      <c r="B25" s="1183"/>
      <c r="C25" s="1183"/>
      <c r="D25" s="1173"/>
      <c r="E25" s="1108"/>
      <c r="F25" s="1108"/>
      <c r="G25" s="1027"/>
      <c r="H25" s="1027"/>
      <c r="I25" s="1174"/>
      <c r="J25" s="1174"/>
      <c r="K25" s="1174"/>
      <c r="L25" s="1172"/>
      <c r="M25" s="1172"/>
      <c r="N25" s="1175"/>
      <c r="O25" s="1174"/>
      <c r="P25" s="1196"/>
      <c r="Q25" s="1176"/>
      <c r="R25" s="1176"/>
      <c r="S25" s="1177"/>
      <c r="T25" s="1178"/>
      <c r="U25" s="559"/>
      <c r="V25" s="141"/>
      <c r="W25" s="141"/>
      <c r="X25" s="1172"/>
      <c r="Y25" s="144"/>
      <c r="Z25" s="141"/>
      <c r="AA25" s="141"/>
      <c r="AB25" s="141"/>
      <c r="AC25" s="141"/>
      <c r="AD25" s="141"/>
      <c r="AE25" s="141"/>
      <c r="AF25" s="145"/>
      <c r="AG25" s="419"/>
    </row>
    <row r="26" spans="1:33" s="139" customFormat="1" ht="12.75" customHeight="1" x14ac:dyDescent="0.2">
      <c r="A26" s="1183"/>
      <c r="B26" s="1183"/>
      <c r="C26" s="1183"/>
      <c r="D26" s="1173"/>
      <c r="E26" s="1108"/>
      <c r="F26" s="1108"/>
      <c r="G26" s="1027"/>
      <c r="H26" s="1027"/>
      <c r="I26" s="1174"/>
      <c r="J26" s="1174"/>
      <c r="K26" s="1174"/>
      <c r="L26" s="1172"/>
      <c r="M26" s="1172"/>
      <c r="N26" s="1175"/>
      <c r="O26" s="1174"/>
      <c r="P26" s="1196"/>
      <c r="Q26" s="1176"/>
      <c r="R26" s="1176"/>
      <c r="S26" s="1177"/>
      <c r="T26" s="1178"/>
      <c r="U26" s="559"/>
      <c r="V26" s="141"/>
      <c r="W26" s="141"/>
      <c r="X26" s="1172"/>
      <c r="Y26" s="144"/>
      <c r="Z26" s="141"/>
      <c r="AA26" s="141"/>
      <c r="AB26" s="141"/>
      <c r="AC26" s="141"/>
      <c r="AD26" s="141"/>
      <c r="AE26" s="141"/>
      <c r="AF26" s="145"/>
      <c r="AG26" s="419"/>
    </row>
    <row r="27" spans="1:33" s="139" customFormat="1" ht="12.75" customHeight="1" x14ac:dyDescent="0.2">
      <c r="A27" s="1183"/>
      <c r="B27" s="1183"/>
      <c r="C27" s="1183"/>
      <c r="D27" s="1173"/>
      <c r="E27" s="1108"/>
      <c r="F27" s="1108"/>
      <c r="G27" s="1027"/>
      <c r="H27" s="1027"/>
      <c r="I27" s="1174"/>
      <c r="J27" s="1174"/>
      <c r="K27" s="1174"/>
      <c r="L27" s="1172"/>
      <c r="M27" s="1172"/>
      <c r="N27" s="1175"/>
      <c r="O27" s="1174"/>
      <c r="P27" s="1196"/>
      <c r="Q27" s="1176"/>
      <c r="R27" s="1176"/>
      <c r="S27" s="1177"/>
      <c r="T27" s="1178"/>
      <c r="U27" s="559"/>
      <c r="V27" s="141"/>
      <c r="W27" s="141"/>
      <c r="X27" s="1172"/>
      <c r="Y27" s="144"/>
      <c r="Z27" s="141"/>
      <c r="AA27" s="141"/>
      <c r="AB27" s="141"/>
      <c r="AC27" s="141"/>
      <c r="AD27" s="141"/>
      <c r="AE27" s="141"/>
      <c r="AF27" s="145"/>
      <c r="AG27" s="419"/>
    </row>
    <row r="28" spans="1:33" s="139" customFormat="1" ht="12.75" customHeight="1" x14ac:dyDescent="0.2">
      <c r="A28" s="1183"/>
      <c r="B28" s="1183"/>
      <c r="C28" s="1183"/>
      <c r="D28" s="1173"/>
      <c r="E28" s="1108"/>
      <c r="F28" s="1108"/>
      <c r="G28" s="1027"/>
      <c r="H28" s="1027"/>
      <c r="I28" s="1174"/>
      <c r="J28" s="1174"/>
      <c r="K28" s="1174"/>
      <c r="L28" s="1172"/>
      <c r="M28" s="1172"/>
      <c r="N28" s="1175"/>
      <c r="O28" s="1174"/>
      <c r="P28" s="1196"/>
      <c r="Q28" s="1176"/>
      <c r="R28" s="1176"/>
      <c r="S28" s="1177"/>
      <c r="T28" s="1178"/>
      <c r="U28" s="559"/>
      <c r="V28" s="141"/>
      <c r="W28" s="141"/>
      <c r="X28" s="1172"/>
      <c r="Y28" s="144"/>
      <c r="Z28" s="141"/>
      <c r="AA28" s="141"/>
      <c r="AB28" s="141"/>
      <c r="AC28" s="141"/>
      <c r="AD28" s="141"/>
      <c r="AE28" s="141"/>
      <c r="AF28" s="145"/>
      <c r="AG28" s="419"/>
    </row>
    <row r="29" spans="1:33" s="139" customFormat="1" ht="12.75" customHeight="1" x14ac:dyDescent="0.2">
      <c r="A29" s="1183"/>
      <c r="B29" s="1183"/>
      <c r="C29" s="1183"/>
      <c r="D29" s="1173"/>
      <c r="E29" s="1108"/>
      <c r="F29" s="1108"/>
      <c r="G29" s="1027"/>
      <c r="H29" s="1027"/>
      <c r="I29" s="1174"/>
      <c r="J29" s="1174"/>
      <c r="K29" s="1174"/>
      <c r="L29" s="1172"/>
      <c r="M29" s="1172"/>
      <c r="N29" s="1175"/>
      <c r="O29" s="1174"/>
      <c r="P29" s="1196"/>
      <c r="Q29" s="1176"/>
      <c r="R29" s="1176"/>
      <c r="S29" s="1177"/>
      <c r="T29" s="1178"/>
      <c r="U29" s="559"/>
      <c r="V29" s="141"/>
      <c r="W29" s="141"/>
      <c r="X29" s="1172"/>
      <c r="Y29" s="144"/>
      <c r="Z29" s="141"/>
      <c r="AA29" s="141"/>
      <c r="AB29" s="141"/>
      <c r="AC29" s="141"/>
      <c r="AD29" s="141"/>
      <c r="AE29" s="141"/>
      <c r="AF29" s="1172"/>
      <c r="AG29" s="590"/>
    </row>
    <row r="30" spans="1:33" s="139" customFormat="1" ht="12.75" customHeight="1" x14ac:dyDescent="0.2">
      <c r="A30" s="1183"/>
      <c r="B30" s="1183"/>
      <c r="C30" s="1183"/>
      <c r="D30" s="1173"/>
      <c r="E30" s="1108"/>
      <c r="F30" s="1108"/>
      <c r="G30" s="1027"/>
      <c r="H30" s="1027"/>
      <c r="I30" s="1174"/>
      <c r="J30" s="1174"/>
      <c r="K30" s="1174"/>
      <c r="L30" s="1172"/>
      <c r="M30" s="1172"/>
      <c r="N30" s="1175"/>
      <c r="O30" s="1174"/>
      <c r="P30" s="1196"/>
      <c r="Q30" s="1176"/>
      <c r="R30" s="1176"/>
      <c r="S30" s="1177"/>
      <c r="T30" s="1178"/>
      <c r="U30" s="559"/>
      <c r="V30" s="141"/>
      <c r="W30" s="141"/>
      <c r="X30" s="1172"/>
      <c r="Y30" s="144"/>
      <c r="Z30" s="141"/>
      <c r="AA30" s="141"/>
      <c r="AB30" s="141"/>
      <c r="AC30" s="141"/>
      <c r="AD30" s="141"/>
      <c r="AE30" s="141"/>
      <c r="AF30" s="1172"/>
      <c r="AG30" s="590"/>
    </row>
    <row r="31" spans="1:33" s="139" customFormat="1" ht="12.75" customHeight="1" x14ac:dyDescent="0.2">
      <c r="A31" s="1183"/>
      <c r="B31" s="1183"/>
      <c r="C31" s="1183"/>
      <c r="D31" s="1173"/>
      <c r="E31" s="1108"/>
      <c r="F31" s="1108"/>
      <c r="G31" s="1027"/>
      <c r="H31" s="1027"/>
      <c r="I31" s="1174"/>
      <c r="J31" s="1174"/>
      <c r="K31" s="1174"/>
      <c r="L31" s="1172"/>
      <c r="M31" s="1172"/>
      <c r="N31" s="1175"/>
      <c r="O31" s="1174"/>
      <c r="P31" s="1196"/>
      <c r="Q31" s="1176"/>
      <c r="R31" s="1176"/>
      <c r="S31" s="1177"/>
      <c r="T31" s="1178"/>
      <c r="U31" s="559"/>
      <c r="V31" s="141"/>
      <c r="W31" s="141"/>
      <c r="X31" s="1172"/>
      <c r="Y31" s="144"/>
      <c r="Z31" s="141"/>
      <c r="AA31" s="141"/>
      <c r="AB31" s="141"/>
      <c r="AC31" s="141"/>
      <c r="AD31" s="141"/>
      <c r="AE31" s="141"/>
      <c r="AF31" s="1172"/>
      <c r="AG31" s="590"/>
    </row>
    <row r="32" spans="1:33" s="139" customFormat="1" ht="12.75" customHeight="1" x14ac:dyDescent="0.2">
      <c r="A32" s="1183"/>
      <c r="B32" s="1183"/>
      <c r="C32" s="1183"/>
      <c r="D32" s="1173"/>
      <c r="E32" s="1108"/>
      <c r="F32" s="1108"/>
      <c r="G32" s="1027"/>
      <c r="H32" s="1027"/>
      <c r="I32" s="1174"/>
      <c r="J32" s="1174"/>
      <c r="K32" s="1174"/>
      <c r="L32" s="1172"/>
      <c r="M32" s="1172"/>
      <c r="N32" s="1175"/>
      <c r="O32" s="1174"/>
      <c r="P32" s="1196"/>
      <c r="Q32" s="1176"/>
      <c r="R32" s="1176"/>
      <c r="S32" s="1177"/>
      <c r="T32" s="1178"/>
      <c r="U32" s="559"/>
      <c r="V32" s="141"/>
      <c r="W32" s="141"/>
      <c r="X32" s="1172"/>
      <c r="Y32" s="144"/>
      <c r="Z32" s="141"/>
      <c r="AA32" s="141"/>
      <c r="AB32" s="141"/>
      <c r="AC32" s="141"/>
      <c r="AD32" s="141"/>
      <c r="AE32" s="141"/>
      <c r="AF32" s="1172"/>
      <c r="AG32" s="590"/>
    </row>
    <row r="33" spans="1:80" s="139" customFormat="1" ht="12.75" customHeight="1" x14ac:dyDescent="0.2">
      <c r="A33" s="1183"/>
      <c r="B33" s="1183"/>
      <c r="C33" s="1183"/>
      <c r="D33" s="1173"/>
      <c r="E33" s="1108"/>
      <c r="F33" s="1108"/>
      <c r="G33" s="1027"/>
      <c r="H33" s="1027"/>
      <c r="I33" s="1174"/>
      <c r="J33" s="1174"/>
      <c r="K33" s="1174"/>
      <c r="L33" s="1172"/>
      <c r="M33" s="1172"/>
      <c r="N33" s="1175"/>
      <c r="O33" s="1174"/>
      <c r="P33" s="1196"/>
      <c r="Q33" s="1172"/>
      <c r="R33" s="1172"/>
      <c r="S33" s="148"/>
      <c r="T33" s="1178"/>
      <c r="U33" s="559"/>
      <c r="V33" s="141"/>
      <c r="W33" s="141"/>
      <c r="X33" s="1172"/>
      <c r="Y33" s="144"/>
      <c r="Z33" s="141"/>
      <c r="AA33" s="141"/>
      <c r="AB33" s="141"/>
      <c r="AC33" s="141"/>
      <c r="AD33" s="141"/>
      <c r="AE33" s="141"/>
      <c r="AF33" s="145"/>
      <c r="AG33" s="419"/>
    </row>
    <row r="34" spans="1:80" s="139" customFormat="1" ht="12.75" customHeight="1" x14ac:dyDescent="0.2">
      <c r="A34" s="1183"/>
      <c r="B34" s="1183"/>
      <c r="C34" s="1183"/>
      <c r="D34" s="1173"/>
      <c r="E34" s="1108"/>
      <c r="F34" s="1108"/>
      <c r="G34" s="1027"/>
      <c r="H34" s="1027"/>
      <c r="I34" s="1174"/>
      <c r="J34" s="1174"/>
      <c r="K34" s="1174"/>
      <c r="L34" s="1172"/>
      <c r="M34" s="1172"/>
      <c r="N34" s="1175"/>
      <c r="O34" s="1174"/>
      <c r="P34" s="1196"/>
      <c r="Q34" s="1176"/>
      <c r="R34" s="1176"/>
      <c r="S34" s="1177"/>
      <c r="T34" s="1178"/>
      <c r="U34" s="559"/>
      <c r="V34" s="141"/>
      <c r="W34" s="141"/>
      <c r="X34" s="1172"/>
      <c r="Y34" s="144"/>
      <c r="Z34" s="141"/>
      <c r="AA34" s="141"/>
      <c r="AB34" s="141"/>
      <c r="AC34" s="141"/>
      <c r="AD34" s="141"/>
      <c r="AE34" s="141"/>
      <c r="AF34" s="145"/>
      <c r="AG34" s="419"/>
    </row>
    <row r="35" spans="1:80" s="139" customFormat="1" ht="12.75" customHeight="1" x14ac:dyDescent="0.2">
      <c r="A35" s="1183"/>
      <c r="B35" s="1183"/>
      <c r="C35" s="1183"/>
      <c r="D35" s="1173"/>
      <c r="E35" s="1108"/>
      <c r="F35" s="1108"/>
      <c r="G35" s="1027"/>
      <c r="H35" s="1027"/>
      <c r="I35" s="1174"/>
      <c r="J35" s="1174"/>
      <c r="K35" s="1174"/>
      <c r="L35" s="1172"/>
      <c r="M35" s="1172"/>
      <c r="N35" s="1175"/>
      <c r="O35" s="1174"/>
      <c r="P35" s="1196"/>
      <c r="Q35" s="1176"/>
      <c r="R35" s="1176"/>
      <c r="S35" s="1177"/>
      <c r="T35" s="1178"/>
      <c r="U35" s="559"/>
      <c r="V35" s="1172"/>
      <c r="W35" s="1172"/>
      <c r="X35" s="1172"/>
      <c r="Y35" s="144"/>
      <c r="Z35" s="1172"/>
      <c r="AA35" s="1172"/>
      <c r="AB35" s="1172"/>
      <c r="AC35" s="1172"/>
      <c r="AD35" s="1172"/>
      <c r="AE35" s="1172"/>
      <c r="AF35" s="145"/>
      <c r="AG35" s="419"/>
    </row>
    <row r="36" spans="1:80" s="139" customFormat="1" ht="12.75" customHeight="1" x14ac:dyDescent="0.2">
      <c r="A36" s="1183"/>
      <c r="B36" s="1183"/>
      <c r="C36" s="1183"/>
      <c r="D36" s="1173"/>
      <c r="E36" s="1108"/>
      <c r="F36" s="1108"/>
      <c r="G36" s="1027"/>
      <c r="H36" s="1027"/>
      <c r="I36" s="1174"/>
      <c r="J36" s="1174"/>
      <c r="K36" s="1174"/>
      <c r="L36" s="1172"/>
      <c r="M36" s="1172"/>
      <c r="N36" s="1175"/>
      <c r="O36" s="1174"/>
      <c r="P36" s="1196"/>
      <c r="Q36" s="1176"/>
      <c r="R36" s="1176"/>
      <c r="S36" s="1177"/>
      <c r="T36" s="1178"/>
      <c r="U36" s="559"/>
      <c r="V36" s="1172"/>
      <c r="W36" s="1172"/>
      <c r="X36" s="1172"/>
      <c r="Y36" s="144"/>
      <c r="Z36" s="1172"/>
      <c r="AA36" s="1172"/>
      <c r="AB36" s="1172"/>
      <c r="AC36" s="1172"/>
      <c r="AD36" s="1172"/>
      <c r="AE36" s="1172"/>
      <c r="AF36" s="145"/>
      <c r="AG36" s="419"/>
    </row>
    <row r="37" spans="1:80" s="139" customFormat="1" ht="12.75" customHeight="1" x14ac:dyDescent="0.2">
      <c r="A37" s="1183"/>
      <c r="B37" s="1183"/>
      <c r="C37" s="1183"/>
      <c r="D37" s="1173"/>
      <c r="E37" s="1108"/>
      <c r="F37" s="1108"/>
      <c r="G37" s="1027"/>
      <c r="H37" s="1027"/>
      <c r="I37" s="1174"/>
      <c r="J37" s="1174"/>
      <c r="K37" s="1174"/>
      <c r="L37" s="1172"/>
      <c r="M37" s="1172"/>
      <c r="N37" s="1175"/>
      <c r="O37" s="1174"/>
      <c r="P37" s="1196"/>
      <c r="Q37" s="1176"/>
      <c r="R37" s="1176"/>
      <c r="S37" s="1177"/>
      <c r="T37" s="1178"/>
      <c r="U37" s="559"/>
      <c r="V37" s="1172"/>
      <c r="W37" s="1172"/>
      <c r="X37" s="1172"/>
      <c r="Y37" s="144"/>
      <c r="Z37" s="1172"/>
      <c r="AA37" s="1172"/>
      <c r="AB37" s="1172"/>
      <c r="AC37" s="1172"/>
      <c r="AD37" s="1172"/>
      <c r="AE37" s="1172"/>
      <c r="AF37" s="145"/>
      <c r="AG37" s="419"/>
    </row>
    <row r="38" spans="1:80" s="139" customFormat="1" ht="12.75" customHeight="1" x14ac:dyDescent="0.2">
      <c r="A38" s="1183"/>
      <c r="B38" s="1183"/>
      <c r="C38" s="1183"/>
      <c r="D38" s="1173"/>
      <c r="E38" s="1108"/>
      <c r="F38" s="1108"/>
      <c r="G38" s="1027"/>
      <c r="H38" s="1027"/>
      <c r="I38" s="1174"/>
      <c r="J38" s="1174"/>
      <c r="K38" s="1185"/>
      <c r="L38" s="1183"/>
      <c r="M38" s="1183"/>
      <c r="N38" s="1186"/>
      <c r="O38" s="1185"/>
      <c r="P38" s="1196"/>
      <c r="Q38" s="1189"/>
      <c r="R38" s="1193"/>
      <c r="S38" s="1190"/>
      <c r="T38" s="1192"/>
      <c r="U38" s="1189"/>
      <c r="V38" s="1183"/>
      <c r="W38" s="1183"/>
      <c r="X38" s="1172"/>
      <c r="Y38" s="1187"/>
      <c r="Z38" s="1183"/>
      <c r="AA38" s="1183"/>
      <c r="AB38" s="1183"/>
      <c r="AC38" s="1183"/>
      <c r="AD38" s="1183"/>
      <c r="AE38" s="1183"/>
      <c r="AF38" s="1188"/>
      <c r="AG38" s="1184"/>
      <c r="AH38" s="1182"/>
      <c r="AI38" s="1182"/>
      <c r="AJ38" s="1182"/>
      <c r="AK38" s="1182"/>
      <c r="AL38" s="1182"/>
      <c r="AM38" s="1182"/>
      <c r="AN38" s="1182"/>
      <c r="AO38" s="1182"/>
      <c r="AP38" s="1182"/>
      <c r="AQ38" s="1182"/>
      <c r="AR38" s="1182"/>
      <c r="AS38" s="1182"/>
      <c r="AT38" s="1182"/>
      <c r="AU38" s="1182"/>
      <c r="AV38" s="1182"/>
      <c r="AW38" s="1182"/>
      <c r="AX38" s="1182"/>
      <c r="AY38" s="1182"/>
      <c r="AZ38" s="1182"/>
      <c r="BA38" s="1182"/>
      <c r="BB38" s="1182"/>
      <c r="BC38" s="1182"/>
      <c r="BD38" s="1182"/>
      <c r="BE38" s="1182"/>
      <c r="BF38" s="1182"/>
      <c r="BG38" s="1182"/>
      <c r="BH38" s="1182"/>
      <c r="BI38" s="1182"/>
      <c r="BJ38" s="1182"/>
      <c r="BK38" s="1182"/>
      <c r="BL38" s="1182"/>
      <c r="BM38" s="1182"/>
      <c r="BN38" s="1182"/>
      <c r="BO38" s="1182"/>
      <c r="BP38" s="1182"/>
      <c r="BQ38" s="1182"/>
      <c r="BR38" s="1182"/>
      <c r="BS38" s="1182"/>
      <c r="BT38" s="1182"/>
      <c r="BU38" s="1182"/>
      <c r="BV38" s="1182"/>
      <c r="BW38" s="1182"/>
      <c r="BX38" s="1182"/>
      <c r="BY38" s="1182"/>
      <c r="BZ38" s="1182"/>
      <c r="CA38" s="1182"/>
      <c r="CB38" s="1182"/>
    </row>
    <row r="39" spans="1:80" s="139" customFormat="1" ht="12.75" customHeight="1" x14ac:dyDescent="0.2">
      <c r="A39" s="1183"/>
      <c r="B39" s="1183"/>
      <c r="C39" s="1183"/>
      <c r="D39" s="1173"/>
      <c r="E39" s="1108"/>
      <c r="F39" s="1108"/>
      <c r="G39" s="1027"/>
      <c r="H39" s="1027"/>
      <c r="I39" s="1174"/>
      <c r="J39" s="1174"/>
      <c r="K39" s="1185"/>
      <c r="L39" s="1183"/>
      <c r="M39" s="1183"/>
      <c r="N39" s="1186"/>
      <c r="O39" s="1185"/>
      <c r="P39" s="1196"/>
      <c r="Q39" s="1181"/>
      <c r="R39" s="1189"/>
      <c r="S39" s="1190"/>
      <c r="T39" s="1192"/>
      <c r="U39" s="1189"/>
      <c r="V39" s="1183"/>
      <c r="W39" s="1183"/>
      <c r="X39" s="1172"/>
      <c r="Y39" s="1187"/>
      <c r="Z39" s="1183"/>
      <c r="AA39" s="1183"/>
      <c r="AB39" s="1183"/>
      <c r="AC39" s="1183"/>
      <c r="AD39" s="1183"/>
      <c r="AE39" s="1183"/>
      <c r="AF39" s="1188"/>
      <c r="AG39" s="1184"/>
      <c r="AH39" s="1182"/>
      <c r="AI39" s="1182"/>
      <c r="AJ39" s="1182"/>
      <c r="AK39" s="1182"/>
      <c r="AL39" s="1182"/>
      <c r="AM39" s="1182"/>
      <c r="AN39" s="1182"/>
      <c r="AO39" s="1182"/>
      <c r="AP39" s="1182"/>
      <c r="AQ39" s="1182"/>
      <c r="AR39" s="1182"/>
      <c r="AS39" s="1182"/>
      <c r="AT39" s="1182"/>
      <c r="AU39" s="1182"/>
      <c r="AV39" s="1182"/>
      <c r="AW39" s="1182"/>
      <c r="AX39" s="1182"/>
      <c r="AY39" s="1182"/>
      <c r="AZ39" s="1182"/>
      <c r="BA39" s="1182"/>
      <c r="BB39" s="1182"/>
      <c r="BC39" s="1182"/>
      <c r="BD39" s="1182"/>
      <c r="BE39" s="1182"/>
      <c r="BF39" s="1182"/>
      <c r="BG39" s="1182"/>
      <c r="BH39" s="1182"/>
      <c r="BI39" s="1182"/>
      <c r="BJ39" s="1182"/>
      <c r="BK39" s="1182"/>
      <c r="BL39" s="1182"/>
      <c r="BM39" s="1182"/>
      <c r="BN39" s="1182"/>
      <c r="BO39" s="1182"/>
      <c r="BP39" s="1182"/>
      <c r="BQ39" s="1182"/>
      <c r="BR39" s="1182"/>
      <c r="BS39" s="1182"/>
      <c r="BT39" s="1182"/>
      <c r="BU39" s="1182"/>
      <c r="BV39" s="1182"/>
      <c r="BW39" s="1182"/>
      <c r="BX39" s="1182"/>
      <c r="BY39" s="1182"/>
      <c r="BZ39" s="1182"/>
      <c r="CA39" s="1182"/>
      <c r="CB39" s="1182"/>
    </row>
    <row r="40" spans="1:80" s="139" customFormat="1" ht="12.75" customHeight="1" x14ac:dyDescent="0.2">
      <c r="A40" s="1183"/>
      <c r="B40" s="1183"/>
      <c r="C40" s="1183"/>
      <c r="D40" s="1173"/>
      <c r="E40" s="1108"/>
      <c r="F40" s="1108"/>
      <c r="G40" s="1027"/>
      <c r="H40" s="1027"/>
      <c r="I40" s="1174"/>
      <c r="J40" s="1174"/>
      <c r="K40" s="1185"/>
      <c r="L40" s="1183"/>
      <c r="M40" s="1183"/>
      <c r="N40" s="1186"/>
      <c r="O40" s="1185"/>
      <c r="P40" s="1196"/>
      <c r="Q40" s="1189"/>
      <c r="R40" s="1191"/>
      <c r="S40" s="1190"/>
      <c r="T40" s="1192"/>
      <c r="U40" s="1189"/>
      <c r="V40" s="1183"/>
      <c r="W40" s="1183"/>
      <c r="X40" s="1172"/>
      <c r="Y40" s="1187"/>
      <c r="Z40" s="1183"/>
      <c r="AA40" s="1183"/>
      <c r="AB40" s="1183"/>
      <c r="AC40" s="1183"/>
      <c r="AD40" s="1183"/>
      <c r="AE40" s="1183"/>
      <c r="AF40" s="1188"/>
      <c r="AG40" s="1184"/>
      <c r="AH40" s="1182"/>
      <c r="AI40" s="1182"/>
      <c r="AJ40" s="1182"/>
      <c r="AK40" s="1182"/>
      <c r="AL40" s="1182"/>
      <c r="AM40" s="1182"/>
      <c r="AN40" s="1182"/>
      <c r="AO40" s="1182"/>
      <c r="AP40" s="1182"/>
      <c r="AQ40" s="1182"/>
      <c r="AR40" s="1182"/>
      <c r="AS40" s="1182"/>
      <c r="AT40" s="1182"/>
      <c r="AU40" s="1182"/>
      <c r="AV40" s="1182"/>
      <c r="AW40" s="1182"/>
      <c r="AX40" s="1182"/>
      <c r="AY40" s="1182"/>
      <c r="AZ40" s="1182"/>
      <c r="BA40" s="1182"/>
      <c r="BB40" s="1182"/>
      <c r="BC40" s="1182"/>
      <c r="BD40" s="1182"/>
      <c r="BE40" s="1182"/>
      <c r="BF40" s="1182"/>
      <c r="BG40" s="1182"/>
      <c r="BH40" s="1182"/>
      <c r="BI40" s="1182"/>
      <c r="BJ40" s="1182"/>
      <c r="BK40" s="1182"/>
      <c r="BL40" s="1182"/>
      <c r="BM40" s="1182"/>
      <c r="BN40" s="1182"/>
      <c r="BO40" s="1182"/>
      <c r="BP40" s="1182"/>
      <c r="BQ40" s="1182"/>
      <c r="BR40" s="1182"/>
      <c r="BS40" s="1182"/>
      <c r="BT40" s="1182"/>
      <c r="BU40" s="1182"/>
      <c r="BV40" s="1182"/>
      <c r="BW40" s="1182"/>
      <c r="BX40" s="1182"/>
      <c r="BY40" s="1182"/>
      <c r="BZ40" s="1182"/>
      <c r="CA40" s="1182"/>
      <c r="CB40" s="1182"/>
    </row>
    <row r="41" spans="1:80" s="139" customFormat="1" ht="12.75" customHeight="1" x14ac:dyDescent="0.2">
      <c r="A41" s="1183"/>
      <c r="B41" s="1183"/>
      <c r="C41" s="1183"/>
      <c r="D41" s="1173"/>
      <c r="E41" s="1108"/>
      <c r="F41" s="1108"/>
      <c r="G41" s="1027"/>
      <c r="H41" s="1027"/>
      <c r="I41" s="1174"/>
      <c r="J41" s="1174"/>
      <c r="K41" s="1185"/>
      <c r="L41" s="1183"/>
      <c r="M41" s="1183"/>
      <c r="N41" s="1186"/>
      <c r="O41" s="1185"/>
      <c r="P41" s="1196"/>
      <c r="Q41" s="1189"/>
      <c r="R41" s="1191"/>
      <c r="S41" s="1190"/>
      <c r="T41" s="1192"/>
      <c r="U41" s="1189"/>
      <c r="V41" s="1183"/>
      <c r="W41" s="1183"/>
      <c r="X41" s="1172"/>
      <c r="Y41" s="1187"/>
      <c r="Z41" s="1183"/>
      <c r="AA41" s="1183"/>
      <c r="AB41" s="1183"/>
      <c r="AC41" s="1183"/>
      <c r="AD41" s="1183"/>
      <c r="AE41" s="1183"/>
      <c r="AF41" s="1188"/>
      <c r="AG41" s="1184"/>
      <c r="AH41" s="1182"/>
      <c r="AI41" s="1182"/>
      <c r="AJ41" s="1182"/>
      <c r="AK41" s="1182"/>
      <c r="AL41" s="1182"/>
      <c r="AM41" s="1182"/>
      <c r="AN41" s="1182"/>
      <c r="AO41" s="1182"/>
      <c r="AP41" s="1182"/>
      <c r="AQ41" s="1182"/>
      <c r="AR41" s="1182"/>
      <c r="AS41" s="1182"/>
      <c r="AT41" s="1182"/>
      <c r="AU41" s="1182"/>
      <c r="AV41" s="1182"/>
      <c r="AW41" s="1182"/>
      <c r="AX41" s="1182"/>
      <c r="AY41" s="1182"/>
      <c r="AZ41" s="1182"/>
      <c r="BA41" s="1182"/>
      <c r="BB41" s="1182"/>
      <c r="BC41" s="1182"/>
      <c r="BD41" s="1182"/>
      <c r="BE41" s="1182"/>
      <c r="BF41" s="1182"/>
      <c r="BG41" s="1182"/>
      <c r="BH41" s="1182"/>
      <c r="BI41" s="1182"/>
      <c r="BJ41" s="1182"/>
      <c r="BK41" s="1182"/>
      <c r="BL41" s="1182"/>
      <c r="BM41" s="1182"/>
      <c r="BN41" s="1182"/>
      <c r="BO41" s="1182"/>
      <c r="BP41" s="1182"/>
      <c r="BQ41" s="1182"/>
      <c r="BR41" s="1182"/>
      <c r="BS41" s="1182"/>
      <c r="BT41" s="1182"/>
      <c r="BU41" s="1182"/>
      <c r="BV41" s="1182"/>
      <c r="BW41" s="1182"/>
      <c r="BX41" s="1182"/>
      <c r="BY41" s="1182"/>
      <c r="BZ41" s="1182"/>
      <c r="CA41" s="1182"/>
      <c r="CB41" s="1182"/>
    </row>
    <row r="42" spans="1:80" s="139" customFormat="1" ht="12.75" customHeight="1" x14ac:dyDescent="0.2">
      <c r="A42" s="1183"/>
      <c r="B42" s="1183"/>
      <c r="C42" s="1183"/>
      <c r="D42" s="1173"/>
      <c r="E42" s="1108"/>
      <c r="F42" s="1108"/>
      <c r="G42" s="1027"/>
      <c r="H42" s="1027"/>
      <c r="I42" s="1174"/>
      <c r="J42" s="1174"/>
      <c r="K42" s="1185"/>
      <c r="L42" s="1183"/>
      <c r="M42" s="1183"/>
      <c r="N42" s="1186"/>
      <c r="O42" s="1185"/>
      <c r="P42" s="1196"/>
      <c r="Q42" s="1189"/>
      <c r="R42" s="1191"/>
      <c r="S42" s="1190"/>
      <c r="T42" s="1192"/>
      <c r="U42" s="1189"/>
      <c r="V42" s="1183"/>
      <c r="W42" s="1183"/>
      <c r="X42" s="1172"/>
      <c r="Y42" s="1187"/>
      <c r="Z42" s="1183"/>
      <c r="AA42" s="1183"/>
      <c r="AB42" s="1183"/>
      <c r="AC42" s="1183"/>
      <c r="AD42" s="1183"/>
      <c r="AE42" s="1183"/>
      <c r="AF42" s="1188"/>
      <c r="AG42" s="1184"/>
      <c r="AH42" s="1182"/>
      <c r="AI42" s="1182"/>
      <c r="AJ42" s="1182"/>
      <c r="AK42" s="1182"/>
      <c r="AL42" s="1182"/>
      <c r="AM42" s="1182"/>
      <c r="AN42" s="1182"/>
      <c r="AO42" s="1182"/>
      <c r="AP42" s="1182"/>
      <c r="AQ42" s="1182"/>
      <c r="AR42" s="1182"/>
      <c r="AS42" s="1182"/>
      <c r="AT42" s="1182"/>
      <c r="AU42" s="1182"/>
      <c r="AV42" s="1182"/>
      <c r="AW42" s="1182"/>
      <c r="AX42" s="1182"/>
      <c r="AY42" s="1182"/>
      <c r="AZ42" s="1182"/>
      <c r="BA42" s="1182"/>
      <c r="BB42" s="1182"/>
      <c r="BC42" s="1182"/>
      <c r="BD42" s="1182"/>
      <c r="BE42" s="1182"/>
      <c r="BF42" s="1182"/>
      <c r="BG42" s="1182"/>
      <c r="BH42" s="1182"/>
      <c r="BI42" s="1182"/>
      <c r="BJ42" s="1182"/>
      <c r="BK42" s="1182"/>
      <c r="BL42" s="1182"/>
      <c r="BM42" s="1182"/>
      <c r="BN42" s="1182"/>
      <c r="BO42" s="1182"/>
      <c r="BP42" s="1182"/>
      <c r="BQ42" s="1182"/>
      <c r="BR42" s="1182"/>
      <c r="BS42" s="1182"/>
      <c r="BT42" s="1182"/>
      <c r="BU42" s="1182"/>
      <c r="BV42" s="1182"/>
      <c r="BW42" s="1182"/>
      <c r="BX42" s="1182"/>
      <c r="BY42" s="1182"/>
      <c r="BZ42" s="1182"/>
      <c r="CA42" s="1182"/>
      <c r="CB42" s="1182"/>
    </row>
    <row r="43" spans="1:80" s="139" customFormat="1" ht="12.75" customHeight="1" x14ac:dyDescent="0.2">
      <c r="A43" s="1183"/>
      <c r="B43" s="1183"/>
      <c r="C43" s="1183"/>
      <c r="D43" s="1173"/>
      <c r="E43" s="1108"/>
      <c r="F43" s="1108"/>
      <c r="G43" s="1027"/>
      <c r="H43" s="1027"/>
      <c r="I43" s="1174"/>
      <c r="J43" s="1174"/>
      <c r="K43" s="1185"/>
      <c r="L43" s="1183"/>
      <c r="M43" s="1183"/>
      <c r="N43" s="1186"/>
      <c r="O43" s="1185"/>
      <c r="P43" s="1196"/>
      <c r="Q43" s="1189"/>
      <c r="R43" s="1191"/>
      <c r="S43" s="1190"/>
      <c r="T43" s="1199"/>
      <c r="U43" s="1189"/>
      <c r="V43" s="1183"/>
      <c r="W43" s="1183"/>
      <c r="X43" s="1172"/>
      <c r="Y43" s="1187"/>
      <c r="Z43" s="1183"/>
      <c r="AA43" s="1183"/>
      <c r="AB43" s="1183"/>
      <c r="AC43" s="1183"/>
      <c r="AD43" s="1183"/>
      <c r="AE43" s="1183"/>
      <c r="AF43" s="1188"/>
      <c r="AG43" s="1184"/>
      <c r="AH43" s="1182"/>
      <c r="AI43" s="1182"/>
      <c r="AJ43" s="1182"/>
      <c r="AK43" s="1182"/>
      <c r="AL43" s="1182"/>
      <c r="AM43" s="1182"/>
      <c r="AN43" s="1182"/>
      <c r="AO43" s="1182"/>
      <c r="AP43" s="1182"/>
      <c r="AQ43" s="1182"/>
      <c r="AR43" s="1182"/>
      <c r="AS43" s="1182"/>
      <c r="AT43" s="1182"/>
      <c r="AU43" s="1182"/>
      <c r="AV43" s="1182"/>
      <c r="AW43" s="1182"/>
      <c r="AX43" s="1182"/>
      <c r="AY43" s="1182"/>
      <c r="AZ43" s="1182"/>
      <c r="BA43" s="1182"/>
      <c r="BB43" s="1182"/>
      <c r="BC43" s="1182"/>
      <c r="BD43" s="1182"/>
      <c r="BE43" s="1182"/>
      <c r="BF43" s="1182"/>
      <c r="BG43" s="1182"/>
      <c r="BH43" s="1182"/>
      <c r="BI43" s="1182"/>
      <c r="BJ43" s="1182"/>
      <c r="BK43" s="1182"/>
      <c r="BL43" s="1182"/>
      <c r="BM43" s="1182"/>
      <c r="BN43" s="1182"/>
      <c r="BO43" s="1182"/>
      <c r="BP43" s="1182"/>
      <c r="BQ43" s="1182"/>
      <c r="BR43" s="1182"/>
      <c r="BS43" s="1182"/>
      <c r="BT43" s="1182"/>
      <c r="BU43" s="1182"/>
      <c r="BV43" s="1182"/>
      <c r="BW43" s="1182"/>
      <c r="BX43" s="1182"/>
      <c r="BY43" s="1182"/>
      <c r="BZ43" s="1182"/>
      <c r="CA43" s="1182"/>
      <c r="CB43" s="1182"/>
    </row>
    <row r="44" spans="1:80" s="139" customFormat="1" ht="12.75" customHeight="1" x14ac:dyDescent="0.2">
      <c r="A44" s="1183"/>
      <c r="B44" s="1183"/>
      <c r="C44" s="1183"/>
      <c r="D44" s="1173"/>
      <c r="E44" s="1108"/>
      <c r="F44" s="1108"/>
      <c r="G44" s="1027"/>
      <c r="H44" s="1027"/>
      <c r="I44" s="1174"/>
      <c r="J44" s="1174"/>
      <c r="K44" s="1174"/>
      <c r="L44" s="1172"/>
      <c r="M44" s="1172"/>
      <c r="N44" s="1175"/>
      <c r="O44" s="1174"/>
      <c r="P44" s="1196"/>
      <c r="Q44" s="1176"/>
      <c r="R44" s="1176"/>
      <c r="S44" s="1177"/>
      <c r="T44" s="1178"/>
      <c r="U44" s="585"/>
      <c r="V44" s="141"/>
      <c r="W44" s="141"/>
      <c r="X44" s="1172"/>
      <c r="Y44" s="144"/>
      <c r="Z44" s="141"/>
      <c r="AA44" s="141"/>
      <c r="AB44" s="141"/>
      <c r="AC44" s="141"/>
      <c r="AD44" s="141"/>
      <c r="AE44" s="141"/>
      <c r="AF44" s="145"/>
      <c r="AG44" s="419"/>
    </row>
    <row r="45" spans="1:80" s="139" customFormat="1" ht="12.75" customHeight="1" x14ac:dyDescent="0.2">
      <c r="A45" s="1183"/>
      <c r="B45" s="1183"/>
      <c r="C45" s="1183"/>
      <c r="D45" s="1173"/>
      <c r="E45" s="1108"/>
      <c r="F45" s="1108"/>
      <c r="G45" s="1027"/>
      <c r="H45" s="1027"/>
      <c r="I45" s="1174"/>
      <c r="J45" s="1174"/>
      <c r="K45" s="1174"/>
      <c r="L45" s="1172"/>
      <c r="M45" s="1172"/>
      <c r="N45" s="1175"/>
      <c r="O45" s="1174"/>
      <c r="P45" s="1196"/>
      <c r="Q45" s="1176"/>
      <c r="R45" s="1176"/>
      <c r="S45" s="1177"/>
      <c r="T45" s="1178"/>
      <c r="U45" s="559"/>
      <c r="V45" s="141"/>
      <c r="W45" s="141"/>
      <c r="X45" s="1172"/>
      <c r="Y45" s="144"/>
      <c r="Z45" s="141"/>
      <c r="AA45" s="141"/>
      <c r="AB45" s="141"/>
      <c r="AC45" s="141"/>
      <c r="AD45" s="141"/>
      <c r="AE45" s="141"/>
      <c r="AF45" s="145"/>
      <c r="AG45" s="419"/>
    </row>
    <row r="46" spans="1:80" s="139" customFormat="1" ht="12.75" customHeight="1" x14ac:dyDescent="0.2">
      <c r="A46" s="1183"/>
      <c r="B46" s="1183"/>
      <c r="C46" s="1183"/>
      <c r="D46" s="1173"/>
      <c r="E46" s="1108"/>
      <c r="F46" s="1108"/>
      <c r="G46" s="1027"/>
      <c r="H46" s="1027"/>
      <c r="I46" s="1174"/>
      <c r="J46" s="1174"/>
      <c r="K46" s="1174"/>
      <c r="L46" s="1172"/>
      <c r="M46" s="1172"/>
      <c r="N46" s="1175"/>
      <c r="O46" s="1174"/>
      <c r="P46" s="1196"/>
      <c r="Q46" s="1176"/>
      <c r="R46" s="1176"/>
      <c r="S46" s="1177"/>
      <c r="T46" s="1178"/>
      <c r="U46" s="559"/>
      <c r="V46" s="141"/>
      <c r="W46" s="141"/>
      <c r="X46" s="1172"/>
      <c r="Y46" s="144"/>
      <c r="Z46" s="141"/>
      <c r="AA46" s="141"/>
      <c r="AB46" s="141"/>
      <c r="AC46" s="141"/>
      <c r="AD46" s="141"/>
      <c r="AE46" s="141"/>
      <c r="AF46" s="145"/>
      <c r="AG46" s="419"/>
    </row>
    <row r="47" spans="1:80" s="139" customFormat="1" ht="12.75" customHeight="1" x14ac:dyDescent="0.2">
      <c r="A47" s="1183"/>
      <c r="B47" s="1183"/>
      <c r="C47" s="1183"/>
      <c r="D47" s="1173"/>
      <c r="E47" s="1108"/>
      <c r="F47" s="1108"/>
      <c r="G47" s="1027"/>
      <c r="H47" s="1027"/>
      <c r="I47" s="1174"/>
      <c r="J47" s="1174"/>
      <c r="K47" s="1174"/>
      <c r="L47" s="1172"/>
      <c r="M47" s="1172"/>
      <c r="N47" s="1175"/>
      <c r="O47" s="1174"/>
      <c r="P47" s="1196"/>
      <c r="Q47" s="1176"/>
      <c r="R47" s="1176"/>
      <c r="S47" s="1177"/>
      <c r="T47" s="1178"/>
      <c r="U47" s="559"/>
      <c r="V47" s="141"/>
      <c r="W47" s="141"/>
      <c r="X47" s="1172"/>
      <c r="Y47" s="144"/>
      <c r="Z47" s="141"/>
      <c r="AA47" s="141"/>
      <c r="AB47" s="141"/>
      <c r="AC47" s="141"/>
      <c r="AD47" s="141"/>
      <c r="AE47" s="141"/>
      <c r="AF47" s="145"/>
      <c r="AG47" s="419"/>
    </row>
    <row r="48" spans="1:80" s="139" customFormat="1" ht="12.75" customHeight="1" x14ac:dyDescent="0.2">
      <c r="A48" s="1183"/>
      <c r="B48" s="1183"/>
      <c r="C48" s="1183"/>
      <c r="D48" s="1173"/>
      <c r="E48" s="1108"/>
      <c r="F48" s="1108"/>
      <c r="G48" s="1027"/>
      <c r="H48" s="1027"/>
      <c r="I48" s="1174"/>
      <c r="J48" s="1174"/>
      <c r="K48" s="1174"/>
      <c r="L48" s="1172"/>
      <c r="M48" s="1172"/>
      <c r="N48" s="1175"/>
      <c r="O48" s="1174"/>
      <c r="P48" s="1196"/>
      <c r="Q48" s="1176"/>
      <c r="R48" s="1176"/>
      <c r="S48" s="1177"/>
      <c r="T48" s="1178"/>
      <c r="U48" s="559"/>
      <c r="V48" s="141"/>
      <c r="W48" s="141"/>
      <c r="X48" s="1172"/>
      <c r="Y48" s="144"/>
      <c r="Z48" s="141"/>
      <c r="AA48" s="141"/>
      <c r="AB48" s="141"/>
      <c r="AC48" s="141"/>
      <c r="AD48" s="141"/>
      <c r="AE48" s="141"/>
      <c r="AF48" s="145"/>
      <c r="AG48" s="419"/>
    </row>
    <row r="49" spans="1:33" s="139" customFormat="1" ht="12.75" customHeight="1" x14ac:dyDescent="0.2">
      <c r="A49" s="1183"/>
      <c r="B49" s="1183"/>
      <c r="C49" s="1183"/>
      <c r="D49" s="1173"/>
      <c r="E49" s="1108"/>
      <c r="F49" s="1108"/>
      <c r="G49" s="1027"/>
      <c r="H49" s="1027"/>
      <c r="I49" s="1174"/>
      <c r="J49" s="1174"/>
      <c r="K49" s="1174"/>
      <c r="L49" s="1172"/>
      <c r="M49" s="1172"/>
      <c r="N49" s="1175"/>
      <c r="O49" s="1174"/>
      <c r="P49" s="1196"/>
      <c r="Q49" s="1176"/>
      <c r="R49" s="1176"/>
      <c r="S49" s="1177"/>
      <c r="T49" s="1178"/>
      <c r="U49" s="559"/>
      <c r="V49" s="141"/>
      <c r="W49" s="141"/>
      <c r="X49" s="1172"/>
      <c r="Y49" s="144"/>
      <c r="Z49" s="141"/>
      <c r="AA49" s="141"/>
      <c r="AB49" s="141"/>
      <c r="AC49" s="141"/>
      <c r="AD49" s="141"/>
      <c r="AE49" s="141"/>
      <c r="AF49" s="145"/>
      <c r="AG49" s="419"/>
    </row>
    <row r="50" spans="1:33" s="139" customFormat="1" ht="12.75" customHeight="1" x14ac:dyDescent="0.2">
      <c r="A50" s="1183"/>
      <c r="B50" s="1183"/>
      <c r="C50" s="1183"/>
      <c r="D50" s="1173"/>
      <c r="E50" s="1108"/>
      <c r="F50" s="1108"/>
      <c r="G50" s="1027"/>
      <c r="H50" s="1027"/>
      <c r="I50" s="1174"/>
      <c r="J50" s="1174"/>
      <c r="K50" s="1174"/>
      <c r="L50" s="1172"/>
      <c r="M50" s="1172"/>
      <c r="N50" s="1175"/>
      <c r="O50" s="1174"/>
      <c r="P50" s="1196"/>
      <c r="Q50" s="1176"/>
      <c r="R50" s="1176"/>
      <c r="S50" s="1177"/>
      <c r="T50" s="1178"/>
      <c r="U50" s="559"/>
      <c r="V50" s="141"/>
      <c r="W50" s="141"/>
      <c r="X50" s="141"/>
      <c r="Y50" s="144"/>
      <c r="Z50" s="141"/>
      <c r="AA50" s="141"/>
      <c r="AB50" s="141"/>
      <c r="AC50" s="141"/>
      <c r="AD50" s="141"/>
      <c r="AE50" s="141"/>
      <c r="AF50" s="145"/>
      <c r="AG50" s="419"/>
    </row>
    <row r="51" spans="1:33" s="139" customFormat="1" ht="12.75" customHeight="1" x14ac:dyDescent="0.2">
      <c r="A51" s="1183"/>
      <c r="B51" s="1183"/>
      <c r="C51" s="1183"/>
      <c r="D51" s="1173"/>
      <c r="E51" s="1108"/>
      <c r="F51" s="1108"/>
      <c r="G51" s="1027"/>
      <c r="H51" s="1027"/>
      <c r="I51" s="1174"/>
      <c r="J51" s="1174"/>
      <c r="K51" s="1174"/>
      <c r="L51" s="1172"/>
      <c r="M51" s="1172"/>
      <c r="N51" s="1175"/>
      <c r="O51" s="1174"/>
      <c r="P51" s="1196"/>
      <c r="Q51" s="1176"/>
      <c r="R51" s="1176"/>
      <c r="S51" s="1177"/>
      <c r="T51" s="1178"/>
      <c r="U51" s="559"/>
      <c r="V51" s="141"/>
      <c r="W51" s="141"/>
      <c r="X51" s="141"/>
      <c r="Y51" s="144"/>
      <c r="Z51" s="141"/>
      <c r="AA51" s="141"/>
      <c r="AB51" s="141"/>
      <c r="AC51" s="141"/>
      <c r="AD51" s="141"/>
      <c r="AE51" s="141"/>
      <c r="AF51" s="145"/>
      <c r="AG51" s="419"/>
    </row>
    <row r="52" spans="1:33" s="139" customFormat="1" ht="12.75" customHeight="1" x14ac:dyDescent="0.2">
      <c r="A52" s="1183"/>
      <c r="B52" s="1183"/>
      <c r="C52" s="1183"/>
      <c r="D52" s="1173"/>
      <c r="E52" s="1108"/>
      <c r="F52" s="1108"/>
      <c r="G52" s="1027"/>
      <c r="H52" s="1027"/>
      <c r="I52" s="1174"/>
      <c r="J52" s="1174"/>
      <c r="K52" s="1174"/>
      <c r="L52" s="1172"/>
      <c r="M52" s="1172"/>
      <c r="N52" s="1175"/>
      <c r="O52" s="1174"/>
      <c r="P52" s="1196"/>
      <c r="Q52" s="1176"/>
      <c r="R52" s="1176"/>
      <c r="S52" s="1177"/>
      <c r="T52" s="1178"/>
      <c r="U52" s="559"/>
      <c r="V52" s="141"/>
      <c r="W52" s="141"/>
      <c r="X52" s="141"/>
      <c r="Y52" s="144"/>
      <c r="Z52" s="141"/>
      <c r="AA52" s="141"/>
      <c r="AB52" s="141"/>
      <c r="AC52" s="141"/>
      <c r="AD52" s="141"/>
      <c r="AE52" s="141"/>
      <c r="AF52" s="145"/>
      <c r="AG52" s="419"/>
    </row>
    <row r="53" spans="1:33" s="139" customFormat="1" ht="12.75" customHeight="1" x14ac:dyDescent="0.2">
      <c r="A53" s="1183"/>
      <c r="B53" s="1183"/>
      <c r="C53" s="1183"/>
      <c r="D53" s="1173"/>
      <c r="E53" s="1108"/>
      <c r="F53" s="1108"/>
      <c r="G53" s="1027"/>
      <c r="H53" s="1027"/>
      <c r="I53" s="1174"/>
      <c r="J53" s="1174"/>
      <c r="K53" s="1174"/>
      <c r="L53" s="1172"/>
      <c r="M53" s="1172"/>
      <c r="N53" s="1175"/>
      <c r="O53" s="1174"/>
      <c r="P53" s="1196"/>
      <c r="Q53" s="1176"/>
      <c r="R53" s="1176"/>
      <c r="S53" s="1177"/>
      <c r="T53" s="1178"/>
      <c r="U53" s="559"/>
      <c r="V53" s="141"/>
      <c r="W53" s="141"/>
      <c r="X53" s="141"/>
      <c r="Y53" s="144"/>
      <c r="Z53" s="141"/>
      <c r="AA53" s="141"/>
      <c r="AB53" s="141"/>
      <c r="AC53" s="141"/>
      <c r="AD53" s="141"/>
      <c r="AE53" s="141"/>
      <c r="AF53" s="145"/>
      <c r="AG53" s="419"/>
    </row>
    <row r="54" spans="1:33" s="139" customFormat="1" ht="12.75" customHeight="1" x14ac:dyDescent="0.2">
      <c r="A54" s="1183"/>
      <c r="B54" s="1183"/>
      <c r="C54" s="1183"/>
      <c r="D54" s="1173"/>
      <c r="E54" s="1108"/>
      <c r="F54" s="1108"/>
      <c r="G54" s="1027"/>
      <c r="H54" s="1027"/>
      <c r="I54" s="1174"/>
      <c r="J54" s="1174"/>
      <c r="K54" s="1174"/>
      <c r="L54" s="1172"/>
      <c r="M54" s="1172"/>
      <c r="N54" s="1175"/>
      <c r="O54" s="1174"/>
      <c r="P54" s="1196"/>
      <c r="Q54" s="1176"/>
      <c r="R54" s="1176"/>
      <c r="S54" s="1177"/>
      <c r="T54" s="1178"/>
      <c r="U54" s="559"/>
      <c r="V54" s="141"/>
      <c r="W54" s="141"/>
      <c r="X54" s="141"/>
      <c r="Y54" s="144"/>
      <c r="Z54" s="141"/>
      <c r="AA54" s="141"/>
      <c r="AB54" s="141"/>
      <c r="AC54" s="141"/>
      <c r="AD54" s="141"/>
      <c r="AE54" s="141"/>
      <c r="AF54" s="145"/>
      <c r="AG54" s="419"/>
    </row>
    <row r="55" spans="1:33" s="139" customFormat="1" ht="12.75" customHeight="1" x14ac:dyDescent="0.2">
      <c r="A55" s="1183"/>
      <c r="B55" s="1183"/>
      <c r="C55" s="1183"/>
      <c r="D55" s="1173"/>
      <c r="E55" s="1108"/>
      <c r="F55" s="1108"/>
      <c r="G55" s="1027"/>
      <c r="H55" s="1027"/>
      <c r="I55" s="1174"/>
      <c r="J55" s="1174"/>
      <c r="K55" s="1174"/>
      <c r="L55" s="1172"/>
      <c r="M55" s="1172"/>
      <c r="N55" s="1175"/>
      <c r="O55" s="1174"/>
      <c r="P55" s="1196"/>
      <c r="Q55" s="1176"/>
      <c r="R55" s="1176"/>
      <c r="S55" s="1177"/>
      <c r="T55" s="1178"/>
      <c r="U55" s="559"/>
      <c r="V55" s="141"/>
      <c r="W55" s="141"/>
      <c r="X55" s="141"/>
      <c r="Y55" s="144"/>
      <c r="Z55" s="141"/>
      <c r="AA55" s="141"/>
      <c r="AB55" s="141"/>
      <c r="AC55" s="141"/>
      <c r="AD55" s="141"/>
      <c r="AE55" s="141"/>
      <c r="AF55" s="145"/>
      <c r="AG55" s="419"/>
    </row>
    <row r="56" spans="1:33" s="139" customFormat="1" ht="12.75" customHeight="1" x14ac:dyDescent="0.2">
      <c r="A56" s="1183"/>
      <c r="B56" s="1183"/>
      <c r="C56" s="1183"/>
      <c r="D56" s="1173"/>
      <c r="E56" s="1108"/>
      <c r="F56" s="1108"/>
      <c r="G56" s="1027"/>
      <c r="H56" s="1027"/>
      <c r="I56" s="1174"/>
      <c r="J56" s="1174"/>
      <c r="K56" s="1174"/>
      <c r="L56" s="1172"/>
      <c r="M56" s="1172"/>
      <c r="N56" s="1175"/>
      <c r="O56" s="1174"/>
      <c r="P56" s="1196"/>
      <c r="Q56" s="1176"/>
      <c r="R56" s="1176"/>
      <c r="S56" s="1177"/>
      <c r="T56" s="1178"/>
      <c r="U56" s="559"/>
      <c r="V56" s="141"/>
      <c r="W56" s="141"/>
      <c r="X56" s="141"/>
      <c r="Y56" s="144"/>
      <c r="Z56" s="141"/>
      <c r="AA56" s="141"/>
      <c r="AB56" s="141"/>
      <c r="AC56" s="141"/>
      <c r="AD56" s="141"/>
      <c r="AE56" s="141"/>
      <c r="AF56" s="145"/>
      <c r="AG56" s="419"/>
    </row>
    <row r="57" spans="1:33" s="139" customFormat="1" ht="12.75" customHeight="1" x14ac:dyDescent="0.2">
      <c r="A57" s="1183"/>
      <c r="B57" s="1183"/>
      <c r="C57" s="1183"/>
      <c r="D57" s="1173"/>
      <c r="E57" s="1108"/>
      <c r="F57" s="1108"/>
      <c r="G57" s="1027"/>
      <c r="H57" s="1027"/>
      <c r="I57" s="1174"/>
      <c r="J57" s="1174"/>
      <c r="K57" s="1174"/>
      <c r="L57" s="1172"/>
      <c r="M57" s="1172"/>
      <c r="N57" s="1175"/>
      <c r="O57" s="1174"/>
      <c r="P57" s="1196"/>
      <c r="Q57" s="1176"/>
      <c r="R57" s="1176"/>
      <c r="S57" s="1177"/>
      <c r="T57" s="1178"/>
      <c r="U57" s="559"/>
      <c r="V57" s="141"/>
      <c r="W57" s="141"/>
      <c r="X57" s="141"/>
      <c r="Y57" s="144"/>
      <c r="Z57" s="141"/>
      <c r="AA57" s="141"/>
      <c r="AB57" s="141"/>
      <c r="AC57" s="141"/>
      <c r="AD57" s="141"/>
      <c r="AE57" s="141"/>
      <c r="AF57" s="145"/>
      <c r="AG57" s="419"/>
    </row>
    <row r="58" spans="1:33" s="139" customFormat="1" ht="12.75" customHeight="1" x14ac:dyDescent="0.2">
      <c r="A58" s="1183"/>
      <c r="B58" s="1183"/>
      <c r="C58" s="1183"/>
      <c r="D58" s="1173"/>
      <c r="E58" s="1108"/>
      <c r="F58" s="1108"/>
      <c r="G58" s="1027"/>
      <c r="H58" s="1027"/>
      <c r="I58" s="1174"/>
      <c r="J58" s="1174"/>
      <c r="K58" s="1174"/>
      <c r="L58" s="1172"/>
      <c r="M58" s="1172"/>
      <c r="N58" s="1175"/>
      <c r="O58" s="1174"/>
      <c r="P58" s="1196"/>
      <c r="Q58" s="1176"/>
      <c r="R58" s="1176"/>
      <c r="S58" s="1177"/>
      <c r="T58" s="1178"/>
      <c r="U58" s="559"/>
      <c r="V58" s="141"/>
      <c r="W58" s="141"/>
      <c r="X58" s="141"/>
      <c r="Y58" s="144"/>
      <c r="Z58" s="141"/>
      <c r="AA58" s="141"/>
      <c r="AB58" s="141"/>
      <c r="AC58" s="141"/>
      <c r="AD58" s="141"/>
      <c r="AE58" s="141"/>
      <c r="AF58" s="145"/>
      <c r="AG58" s="419"/>
    </row>
    <row r="59" spans="1:33" s="139" customFormat="1" ht="12.75" customHeight="1" x14ac:dyDescent="0.2">
      <c r="A59" s="1183"/>
      <c r="B59" s="1183"/>
      <c r="C59" s="1183"/>
      <c r="D59" s="1173"/>
      <c r="E59" s="1108"/>
      <c r="F59" s="1108"/>
      <c r="G59" s="1027"/>
      <c r="H59" s="1027"/>
      <c r="I59" s="1174"/>
      <c r="J59" s="1174"/>
      <c r="K59" s="1174"/>
      <c r="L59" s="1172"/>
      <c r="M59" s="1172"/>
      <c r="N59" s="1175"/>
      <c r="O59" s="1174"/>
      <c r="P59" s="1196"/>
      <c r="Q59" s="1176"/>
      <c r="R59" s="1176"/>
      <c r="S59" s="1177"/>
      <c r="T59" s="1178"/>
      <c r="U59" s="559"/>
      <c r="V59" s="141"/>
      <c r="W59" s="141"/>
      <c r="X59" s="141"/>
      <c r="Y59" s="144"/>
      <c r="Z59" s="141"/>
      <c r="AA59" s="141"/>
      <c r="AB59" s="141"/>
      <c r="AC59" s="141"/>
      <c r="AD59" s="141"/>
      <c r="AE59" s="141"/>
      <c r="AF59" s="145"/>
      <c r="AG59" s="419"/>
    </row>
    <row r="60" spans="1:33" s="139" customFormat="1" ht="12.75" customHeight="1" x14ac:dyDescent="0.2">
      <c r="A60" s="1183"/>
      <c r="B60" s="1183"/>
      <c r="C60" s="1183"/>
      <c r="D60" s="1173"/>
      <c r="E60" s="1108"/>
      <c r="F60" s="1108"/>
      <c r="G60" s="1027"/>
      <c r="H60" s="1027"/>
      <c r="I60" s="1174"/>
      <c r="J60" s="1174"/>
      <c r="K60" s="1174"/>
      <c r="L60" s="1172"/>
      <c r="M60" s="1172"/>
      <c r="N60" s="1175"/>
      <c r="O60" s="1174"/>
      <c r="P60" s="1196"/>
      <c r="Q60" s="1176"/>
      <c r="R60" s="1176"/>
      <c r="S60" s="1177"/>
      <c r="T60" s="1178"/>
      <c r="U60" s="559"/>
      <c r="V60" s="141"/>
      <c r="W60" s="141"/>
      <c r="X60" s="141"/>
      <c r="Y60" s="144"/>
      <c r="Z60" s="141"/>
      <c r="AA60" s="141"/>
      <c r="AB60" s="141"/>
      <c r="AC60" s="141"/>
      <c r="AD60" s="141"/>
      <c r="AE60" s="141"/>
      <c r="AF60" s="145"/>
      <c r="AG60" s="419"/>
    </row>
    <row r="61" spans="1:33" s="139" customFormat="1" ht="12.75" customHeight="1" x14ac:dyDescent="0.2">
      <c r="A61" s="1183"/>
      <c r="B61" s="1183"/>
      <c r="C61" s="1183"/>
      <c r="D61" s="1173"/>
      <c r="E61" s="1108"/>
      <c r="F61" s="1108"/>
      <c r="G61" s="1027"/>
      <c r="H61" s="1027"/>
      <c r="I61" s="1174"/>
      <c r="J61" s="1174"/>
      <c r="K61" s="1174"/>
      <c r="L61" s="1172"/>
      <c r="M61" s="1172"/>
      <c r="N61" s="1175"/>
      <c r="O61" s="1174"/>
      <c r="P61" s="1196"/>
      <c r="Q61" s="1176"/>
      <c r="R61" s="1176"/>
      <c r="S61" s="1177"/>
      <c r="T61" s="1178"/>
      <c r="U61" s="559"/>
      <c r="V61" s="1172"/>
      <c r="W61" s="141"/>
      <c r="X61" s="141"/>
      <c r="Y61" s="144"/>
      <c r="Z61" s="141"/>
      <c r="AA61" s="141"/>
      <c r="AB61" s="141"/>
      <c r="AC61" s="141"/>
      <c r="AD61" s="141"/>
      <c r="AE61" s="141"/>
      <c r="AF61" s="145"/>
      <c r="AG61" s="419"/>
    </row>
    <row r="62" spans="1:33" s="139" customFormat="1" ht="12.75" customHeight="1" x14ac:dyDescent="0.2">
      <c r="A62" s="1183"/>
      <c r="B62" s="1183"/>
      <c r="C62" s="1183"/>
      <c r="D62" s="1173"/>
      <c r="E62" s="1108"/>
      <c r="F62" s="1108"/>
      <c r="G62" s="1027"/>
      <c r="H62" s="1027"/>
      <c r="I62" s="1174"/>
      <c r="J62" s="1174"/>
      <c r="K62" s="1174"/>
      <c r="L62" s="1172"/>
      <c r="M62" s="1172"/>
      <c r="N62" s="1175"/>
      <c r="O62" s="1174"/>
      <c r="P62" s="1196"/>
      <c r="Q62" s="1176"/>
      <c r="R62" s="1176"/>
      <c r="S62" s="1177"/>
      <c r="T62" s="1178"/>
      <c r="U62" s="559"/>
      <c r="V62" s="1172"/>
      <c r="W62" s="141"/>
      <c r="X62" s="141"/>
      <c r="Y62" s="144"/>
      <c r="Z62" s="141"/>
      <c r="AA62" s="141"/>
      <c r="AB62" s="141"/>
      <c r="AC62" s="141"/>
      <c r="AD62" s="141"/>
      <c r="AE62" s="141"/>
      <c r="AF62" s="145"/>
      <c r="AG62" s="419"/>
    </row>
    <row r="63" spans="1:33" s="139" customFormat="1" ht="12.75" customHeight="1" x14ac:dyDescent="0.2">
      <c r="A63" s="1183"/>
      <c r="B63" s="1183"/>
      <c r="C63" s="1183"/>
      <c r="D63" s="1173"/>
      <c r="E63" s="1108"/>
      <c r="F63" s="1108"/>
      <c r="G63" s="1027"/>
      <c r="H63" s="1027"/>
      <c r="I63" s="1174"/>
      <c r="J63" s="1174"/>
      <c r="K63" s="1174"/>
      <c r="L63" s="1172"/>
      <c r="M63" s="1172"/>
      <c r="N63" s="1175"/>
      <c r="O63" s="1174"/>
      <c r="P63" s="1196"/>
      <c r="Q63" s="1176"/>
      <c r="R63" s="1176"/>
      <c r="S63" s="1177"/>
      <c r="T63" s="1178"/>
      <c r="U63" s="559"/>
      <c r="V63" s="1172"/>
      <c r="W63" s="141"/>
      <c r="X63" s="141"/>
      <c r="Y63" s="144"/>
      <c r="Z63" s="141"/>
      <c r="AA63" s="141"/>
      <c r="AB63" s="141"/>
      <c r="AC63" s="141"/>
      <c r="AD63" s="141"/>
      <c r="AE63" s="141"/>
      <c r="AF63" s="145"/>
      <c r="AG63" s="419"/>
    </row>
    <row r="64" spans="1:33" s="139" customFormat="1" ht="12.75" customHeight="1" x14ac:dyDescent="0.2">
      <c r="A64" s="1183"/>
      <c r="B64" s="1183"/>
      <c r="C64" s="1183"/>
      <c r="D64" s="1173"/>
      <c r="E64" s="1108"/>
      <c r="F64" s="1108"/>
      <c r="G64" s="1027"/>
      <c r="H64" s="1027"/>
      <c r="I64" s="1174"/>
      <c r="J64" s="1174"/>
      <c r="K64" s="1174"/>
      <c r="L64" s="1172"/>
      <c r="M64" s="1172"/>
      <c r="N64" s="1175"/>
      <c r="O64" s="1174"/>
      <c r="P64" s="1196"/>
      <c r="Q64" s="1176"/>
      <c r="R64" s="1176"/>
      <c r="S64" s="1177"/>
      <c r="T64" s="1178"/>
      <c r="U64" s="559"/>
      <c r="V64" s="141"/>
      <c r="W64" s="141"/>
      <c r="X64" s="141"/>
      <c r="Y64" s="144"/>
      <c r="Z64" s="141"/>
      <c r="AA64" s="141"/>
      <c r="AB64" s="141"/>
      <c r="AC64" s="141"/>
      <c r="AD64" s="141"/>
      <c r="AE64" s="141"/>
      <c r="AF64" s="145"/>
      <c r="AG64" s="419"/>
    </row>
    <row r="65" spans="1:33" s="139" customFormat="1" ht="12.75" customHeight="1" x14ac:dyDescent="0.2">
      <c r="A65" s="1183"/>
      <c r="B65" s="1183"/>
      <c r="C65" s="1183"/>
      <c r="D65" s="1173"/>
      <c r="E65" s="1108"/>
      <c r="F65" s="1108"/>
      <c r="G65" s="1027"/>
      <c r="H65" s="1027"/>
      <c r="I65" s="1174"/>
      <c r="J65" s="1174"/>
      <c r="K65" s="1174"/>
      <c r="L65" s="1172"/>
      <c r="M65" s="1172"/>
      <c r="N65" s="1175"/>
      <c r="O65" s="1174"/>
      <c r="P65" s="1196"/>
      <c r="Q65" s="1176"/>
      <c r="R65" s="1176"/>
      <c r="S65" s="1177"/>
      <c r="T65" s="1178"/>
      <c r="U65" s="559"/>
      <c r="V65" s="141"/>
      <c r="W65" s="141"/>
      <c r="X65" s="141"/>
      <c r="Y65" s="144"/>
      <c r="Z65" s="141"/>
      <c r="AA65" s="141"/>
      <c r="AB65" s="141"/>
      <c r="AC65" s="141"/>
      <c r="AD65" s="141"/>
      <c r="AE65" s="141"/>
      <c r="AF65" s="145"/>
      <c r="AG65" s="419"/>
    </row>
    <row r="66" spans="1:33" s="139" customFormat="1" ht="12.75" customHeight="1" x14ac:dyDescent="0.2">
      <c r="A66" s="1183"/>
      <c r="B66" s="1183"/>
      <c r="C66" s="1183"/>
      <c r="D66" s="1173"/>
      <c r="E66" s="1108"/>
      <c r="F66" s="1108"/>
      <c r="G66" s="1027"/>
      <c r="H66" s="1027"/>
      <c r="I66" s="1174"/>
      <c r="J66" s="1174"/>
      <c r="K66" s="1174"/>
      <c r="L66" s="1172"/>
      <c r="M66" s="1172"/>
      <c r="N66" s="1175"/>
      <c r="O66" s="1174"/>
      <c r="P66" s="1196"/>
      <c r="Q66" s="1176"/>
      <c r="R66" s="1176"/>
      <c r="S66" s="1177"/>
      <c r="T66" s="1178"/>
      <c r="U66" s="559"/>
      <c r="V66" s="141"/>
      <c r="W66" s="141"/>
      <c r="X66" s="141"/>
      <c r="Y66" s="144"/>
      <c r="Z66" s="141"/>
      <c r="AA66" s="141"/>
      <c r="AB66" s="141"/>
      <c r="AC66" s="141"/>
      <c r="AD66" s="141"/>
      <c r="AE66" s="141"/>
      <c r="AF66" s="145"/>
      <c r="AG66" s="419"/>
    </row>
    <row r="67" spans="1:33" s="139" customFormat="1" ht="12.75" customHeight="1" x14ac:dyDescent="0.2">
      <c r="A67" s="1183"/>
      <c r="B67" s="1183"/>
      <c r="C67" s="1183"/>
      <c r="D67" s="1173"/>
      <c r="E67" s="1108"/>
      <c r="F67" s="1108"/>
      <c r="G67" s="1027"/>
      <c r="H67" s="1027"/>
      <c r="I67" s="1174"/>
      <c r="J67" s="1174"/>
      <c r="K67" s="1174"/>
      <c r="L67" s="1172"/>
      <c r="M67" s="1172"/>
      <c r="N67" s="1175"/>
      <c r="O67" s="1174"/>
      <c r="P67" s="1196"/>
      <c r="Q67" s="1176"/>
      <c r="R67" s="1176"/>
      <c r="S67" s="1177"/>
      <c r="T67" s="1178"/>
      <c r="U67" s="559"/>
      <c r="V67" s="141"/>
      <c r="W67" s="141"/>
      <c r="X67" s="141"/>
      <c r="Y67" s="144"/>
      <c r="Z67" s="141"/>
      <c r="AA67" s="141"/>
      <c r="AB67" s="141"/>
      <c r="AC67" s="141"/>
      <c r="AD67" s="141"/>
      <c r="AE67" s="141"/>
      <c r="AF67" s="145"/>
      <c r="AG67" s="419"/>
    </row>
    <row r="68" spans="1:33" s="139" customFormat="1" ht="12.75" customHeight="1" x14ac:dyDescent="0.2">
      <c r="A68" s="1183"/>
      <c r="B68" s="1183"/>
      <c r="C68" s="1183"/>
      <c r="D68" s="1173"/>
      <c r="E68" s="1108"/>
      <c r="F68" s="1108"/>
      <c r="G68" s="1027"/>
      <c r="H68" s="1027"/>
      <c r="I68" s="1174"/>
      <c r="J68" s="1174"/>
      <c r="K68" s="1174"/>
      <c r="L68" s="1172"/>
      <c r="M68" s="1172"/>
      <c r="N68" s="1175"/>
      <c r="O68" s="1174"/>
      <c r="P68" s="1196"/>
      <c r="Q68" s="1176"/>
      <c r="R68" s="1176"/>
      <c r="S68" s="1177"/>
      <c r="T68" s="1178"/>
      <c r="U68" s="559"/>
      <c r="V68" s="141"/>
      <c r="W68" s="141"/>
      <c r="X68" s="141"/>
      <c r="Y68" s="144"/>
      <c r="Z68" s="141"/>
      <c r="AA68" s="141"/>
      <c r="AB68" s="141"/>
      <c r="AC68" s="141"/>
      <c r="AD68" s="141"/>
      <c r="AE68" s="141"/>
      <c r="AF68" s="1172"/>
      <c r="AG68" s="590"/>
    </row>
    <row r="69" spans="1:33" s="139" customFormat="1" ht="12.75" customHeight="1" x14ac:dyDescent="0.2">
      <c r="A69" s="1183"/>
      <c r="B69" s="1183"/>
      <c r="C69" s="1183"/>
      <c r="D69" s="1173"/>
      <c r="E69" s="1108"/>
      <c r="F69" s="1108"/>
      <c r="G69" s="1027"/>
      <c r="H69" s="1027"/>
      <c r="I69" s="1174"/>
      <c r="J69" s="1174"/>
      <c r="K69" s="1174"/>
      <c r="L69" s="1172"/>
      <c r="M69" s="1172"/>
      <c r="N69" s="1175"/>
      <c r="O69" s="1174"/>
      <c r="P69" s="1196"/>
      <c r="Q69" s="1176"/>
      <c r="R69" s="1176"/>
      <c r="S69" s="1177"/>
      <c r="T69" s="1178"/>
      <c r="U69" s="559"/>
      <c r="V69" s="141"/>
      <c r="W69" s="141"/>
      <c r="X69" s="141"/>
      <c r="Y69" s="144"/>
      <c r="Z69" s="141"/>
      <c r="AA69" s="141"/>
      <c r="AB69" s="141"/>
      <c r="AC69" s="141"/>
      <c r="AD69" s="141"/>
      <c r="AE69" s="141"/>
      <c r="AF69" s="145"/>
      <c r="AG69" s="419"/>
    </row>
    <row r="70" spans="1:33" s="139" customFormat="1" ht="12.75" customHeight="1" x14ac:dyDescent="0.2">
      <c r="A70" s="1183"/>
      <c r="B70" s="1183"/>
      <c r="C70" s="1183"/>
      <c r="D70" s="1173"/>
      <c r="E70" s="1108"/>
      <c r="F70" s="1108"/>
      <c r="G70" s="1027"/>
      <c r="H70" s="1027"/>
      <c r="I70" s="1174"/>
      <c r="J70" s="1174"/>
      <c r="K70" s="1174"/>
      <c r="L70" s="1172"/>
      <c r="M70" s="1172"/>
      <c r="N70" s="1175"/>
      <c r="O70" s="1174"/>
      <c r="P70" s="1196"/>
      <c r="Q70" s="1176"/>
      <c r="R70" s="1176"/>
      <c r="S70" s="1177"/>
      <c r="T70" s="1178"/>
      <c r="U70" s="559"/>
      <c r="V70" s="141"/>
      <c r="W70" s="141"/>
      <c r="X70" s="141"/>
      <c r="Y70" s="144"/>
      <c r="Z70" s="141"/>
      <c r="AA70" s="141"/>
      <c r="AB70" s="141"/>
      <c r="AC70" s="141"/>
      <c r="AD70" s="141"/>
      <c r="AE70" s="141"/>
      <c r="AF70" s="1172"/>
      <c r="AG70" s="590"/>
    </row>
    <row r="71" spans="1:33" s="139" customFormat="1" ht="12.75" customHeight="1" x14ac:dyDescent="0.2">
      <c r="A71" s="1183"/>
      <c r="B71" s="1183"/>
      <c r="C71" s="1183"/>
      <c r="D71" s="1173"/>
      <c r="E71" s="1108"/>
      <c r="F71" s="1108"/>
      <c r="G71" s="1027"/>
      <c r="H71" s="1027"/>
      <c r="I71" s="1174"/>
      <c r="J71" s="1174"/>
      <c r="K71" s="1174"/>
      <c r="L71" s="1172"/>
      <c r="M71" s="1172"/>
      <c r="N71" s="1175"/>
      <c r="O71" s="1174"/>
      <c r="P71" s="1196"/>
      <c r="Q71" s="1176"/>
      <c r="R71" s="1176"/>
      <c r="S71" s="1177"/>
      <c r="T71" s="1178"/>
      <c r="U71" s="559"/>
      <c r="V71" s="141"/>
      <c r="W71" s="141"/>
      <c r="X71" s="141"/>
      <c r="Y71" s="144"/>
      <c r="Z71" s="141"/>
      <c r="AA71" s="141"/>
      <c r="AB71" s="141"/>
      <c r="AC71" s="141"/>
      <c r="AD71" s="141"/>
      <c r="AE71" s="141"/>
      <c r="AF71" s="145"/>
      <c r="AG71" s="419"/>
    </row>
    <row r="72" spans="1:33" s="139" customFormat="1" ht="12.75" customHeight="1" x14ac:dyDescent="0.2">
      <c r="A72" s="1183"/>
      <c r="B72" s="1183"/>
      <c r="C72" s="1183"/>
      <c r="D72" s="1173"/>
      <c r="E72" s="1108"/>
      <c r="F72" s="1108"/>
      <c r="G72" s="1027"/>
      <c r="H72" s="1027"/>
      <c r="I72" s="1174"/>
      <c r="J72" s="1174"/>
      <c r="K72" s="1174"/>
      <c r="L72" s="1172"/>
      <c r="M72" s="1172"/>
      <c r="N72" s="1175"/>
      <c r="O72" s="1174"/>
      <c r="P72" s="1196"/>
      <c r="Q72" s="1176"/>
      <c r="R72" s="1176"/>
      <c r="S72" s="1177"/>
      <c r="T72" s="1178"/>
      <c r="U72" s="559"/>
      <c r="V72" s="141"/>
      <c r="W72" s="141"/>
      <c r="X72" s="141"/>
      <c r="Y72" s="144"/>
      <c r="Z72" s="141"/>
      <c r="AA72" s="141"/>
      <c r="AB72" s="141"/>
      <c r="AC72" s="141"/>
      <c r="AD72" s="141"/>
      <c r="AE72" s="141"/>
      <c r="AF72" s="145"/>
      <c r="AG72" s="419"/>
    </row>
    <row r="73" spans="1:33" s="139" customFormat="1" ht="12.75" customHeight="1" x14ac:dyDescent="0.2">
      <c r="A73" s="1183"/>
      <c r="B73" s="1183"/>
      <c r="C73" s="1183"/>
      <c r="D73" s="1173"/>
      <c r="E73" s="1108"/>
      <c r="F73" s="1108"/>
      <c r="G73" s="1027"/>
      <c r="H73" s="1027"/>
      <c r="I73" s="1174"/>
      <c r="J73" s="1174"/>
      <c r="K73" s="1174"/>
      <c r="L73" s="1172"/>
      <c r="M73" s="1172"/>
      <c r="N73" s="1175"/>
      <c r="O73" s="1174"/>
      <c r="P73" s="1196"/>
      <c r="Q73" s="1176"/>
      <c r="R73" s="1176"/>
      <c r="S73" s="1177"/>
      <c r="T73" s="1178"/>
      <c r="U73" s="559"/>
      <c r="V73" s="141"/>
      <c r="W73" s="141"/>
      <c r="X73" s="141"/>
      <c r="Y73" s="144"/>
      <c r="Z73" s="141"/>
      <c r="AA73" s="141"/>
      <c r="AB73" s="141"/>
      <c r="AC73" s="141"/>
      <c r="AD73" s="141"/>
      <c r="AE73" s="141"/>
      <c r="AF73" s="145"/>
      <c r="AG73" s="419"/>
    </row>
    <row r="74" spans="1:33" s="139" customFormat="1" ht="12.75" customHeight="1" x14ac:dyDescent="0.2">
      <c r="A74" s="1183"/>
      <c r="B74" s="1183"/>
      <c r="C74" s="1183"/>
      <c r="D74" s="1173"/>
      <c r="E74" s="1108"/>
      <c r="F74" s="1108"/>
      <c r="G74" s="1027"/>
      <c r="H74" s="1027"/>
      <c r="I74" s="1174"/>
      <c r="J74" s="1174"/>
      <c r="K74" s="1174"/>
      <c r="L74" s="1172"/>
      <c r="M74" s="1172"/>
      <c r="N74" s="1175"/>
      <c r="O74" s="1174"/>
      <c r="P74" s="1196"/>
      <c r="Q74" s="1176"/>
      <c r="R74" s="1176"/>
      <c r="S74" s="1177"/>
      <c r="T74" s="1178"/>
      <c r="U74" s="559"/>
      <c r="V74" s="141"/>
      <c r="W74" s="141"/>
      <c r="X74" s="141"/>
      <c r="Y74" s="144"/>
      <c r="Z74" s="141"/>
      <c r="AA74" s="141"/>
      <c r="AB74" s="141"/>
      <c r="AC74" s="141"/>
      <c r="AD74" s="141"/>
      <c r="AE74" s="141"/>
      <c r="AF74" s="145"/>
      <c r="AG74" s="419"/>
    </row>
    <row r="75" spans="1:33" s="139" customFormat="1" ht="12.75" customHeight="1" x14ac:dyDescent="0.2">
      <c r="A75" s="1183"/>
      <c r="B75" s="1183"/>
      <c r="C75" s="1183"/>
      <c r="D75" s="1173"/>
      <c r="E75" s="1108"/>
      <c r="F75" s="1108"/>
      <c r="G75" s="1027"/>
      <c r="H75" s="1027"/>
      <c r="I75" s="1174"/>
      <c r="J75" s="1174"/>
      <c r="K75" s="1174"/>
      <c r="L75" s="1172"/>
      <c r="M75" s="1172"/>
      <c r="N75" s="1175"/>
      <c r="O75" s="1174"/>
      <c r="P75" s="1196"/>
      <c r="Q75" s="1176"/>
      <c r="R75" s="1176"/>
      <c r="S75" s="1177"/>
      <c r="T75" s="1178"/>
      <c r="U75" s="559"/>
      <c r="V75" s="141"/>
      <c r="W75" s="141"/>
      <c r="X75" s="141"/>
      <c r="Y75" s="144"/>
      <c r="Z75" s="141"/>
      <c r="AA75" s="141"/>
      <c r="AB75" s="141"/>
      <c r="AC75" s="141"/>
      <c r="AD75" s="141"/>
      <c r="AE75" s="141"/>
      <c r="AF75" s="145"/>
      <c r="AG75" s="419"/>
    </row>
    <row r="76" spans="1:33" s="139" customFormat="1" ht="12.75" customHeight="1" x14ac:dyDescent="0.2">
      <c r="A76" s="1183"/>
      <c r="B76" s="1183"/>
      <c r="C76" s="1183"/>
      <c r="D76" s="1173"/>
      <c r="E76" s="1108"/>
      <c r="F76" s="1108"/>
      <c r="G76" s="1027"/>
      <c r="H76" s="1027"/>
      <c r="I76" s="1174"/>
      <c r="J76" s="1174"/>
      <c r="K76" s="1174"/>
      <c r="L76" s="1172"/>
      <c r="M76" s="1172"/>
      <c r="N76" s="1175"/>
      <c r="O76" s="1174"/>
      <c r="P76" s="1196"/>
      <c r="Q76" s="1176"/>
      <c r="R76" s="1176"/>
      <c r="S76" s="1177"/>
      <c r="T76" s="1178"/>
      <c r="U76" s="559"/>
      <c r="V76" s="141"/>
      <c r="W76" s="141"/>
      <c r="X76" s="141"/>
      <c r="Y76" s="144"/>
      <c r="Z76" s="141"/>
      <c r="AA76" s="141"/>
      <c r="AB76" s="141"/>
      <c r="AC76" s="141"/>
      <c r="AD76" s="141"/>
      <c r="AE76" s="141"/>
      <c r="AF76" s="145"/>
      <c r="AG76" s="419"/>
    </row>
    <row r="77" spans="1:33" s="139" customFormat="1" ht="12.75" customHeight="1" x14ac:dyDescent="0.2">
      <c r="A77" s="1183"/>
      <c r="B77" s="1183"/>
      <c r="C77" s="1183"/>
      <c r="D77" s="1173"/>
      <c r="E77" s="1108"/>
      <c r="F77" s="1108"/>
      <c r="G77" s="1027"/>
      <c r="H77" s="1027"/>
      <c r="I77" s="1174"/>
      <c r="J77" s="1174"/>
      <c r="K77" s="1174"/>
      <c r="L77" s="1172"/>
      <c r="M77" s="1172"/>
      <c r="N77" s="1175"/>
      <c r="O77" s="1174"/>
      <c r="P77" s="1196"/>
      <c r="Q77" s="1176"/>
      <c r="R77" s="1176"/>
      <c r="S77" s="1177"/>
      <c r="T77" s="1178"/>
      <c r="U77" s="559"/>
      <c r="V77" s="141"/>
      <c r="W77" s="141"/>
      <c r="X77" s="141"/>
      <c r="Y77" s="144"/>
      <c r="Z77" s="141"/>
      <c r="AA77" s="141"/>
      <c r="AB77" s="141"/>
      <c r="AC77" s="141"/>
      <c r="AD77" s="141"/>
      <c r="AE77" s="141"/>
      <c r="AF77" s="145"/>
      <c r="AG77" s="419"/>
    </row>
    <row r="78" spans="1:33" s="139" customFormat="1" ht="12.75" customHeight="1" x14ac:dyDescent="0.2">
      <c r="A78" s="1183"/>
      <c r="B78" s="1183"/>
      <c r="C78" s="1183"/>
      <c r="D78" s="1173"/>
      <c r="E78" s="1108"/>
      <c r="F78" s="1108"/>
      <c r="G78" s="1027"/>
      <c r="H78" s="1027"/>
      <c r="I78" s="1174"/>
      <c r="J78" s="1174"/>
      <c r="K78" s="1174"/>
      <c r="L78" s="1172"/>
      <c r="M78" s="1172"/>
      <c r="N78" s="1175"/>
      <c r="O78" s="1174"/>
      <c r="P78" s="1196"/>
      <c r="Q78" s="1176"/>
      <c r="R78" s="1176"/>
      <c r="S78" s="1177"/>
      <c r="T78" s="1178"/>
      <c r="U78" s="559"/>
      <c r="V78" s="141"/>
      <c r="W78" s="141"/>
      <c r="X78" s="141"/>
      <c r="Y78" s="144"/>
      <c r="Z78" s="141"/>
      <c r="AA78" s="141"/>
      <c r="AB78" s="141"/>
      <c r="AC78" s="141"/>
      <c r="AD78" s="141"/>
      <c r="AE78" s="141"/>
      <c r="AF78" s="145"/>
      <c r="AG78" s="419"/>
    </row>
    <row r="79" spans="1:33" s="139" customFormat="1" ht="12.75" customHeight="1" x14ac:dyDescent="0.2">
      <c r="A79" s="1183"/>
      <c r="B79" s="1183"/>
      <c r="C79" s="1183"/>
      <c r="D79" s="1173"/>
      <c r="E79" s="1108"/>
      <c r="F79" s="1108"/>
      <c r="G79" s="1027"/>
      <c r="H79" s="1027"/>
      <c r="I79" s="1174"/>
      <c r="J79" s="1174"/>
      <c r="K79" s="1174"/>
      <c r="L79" s="1172"/>
      <c r="M79" s="1172"/>
      <c r="N79" s="1175"/>
      <c r="O79" s="1174"/>
      <c r="P79" s="1196"/>
      <c r="Q79" s="1176"/>
      <c r="R79" s="1176"/>
      <c r="S79" s="1177"/>
      <c r="T79" s="1178"/>
      <c r="U79" s="559"/>
      <c r="V79" s="141"/>
      <c r="W79" s="141"/>
      <c r="X79" s="141"/>
      <c r="Y79" s="144"/>
      <c r="Z79" s="141"/>
      <c r="AA79" s="141"/>
      <c r="AB79" s="141"/>
      <c r="AC79" s="141"/>
      <c r="AD79" s="141"/>
      <c r="AE79" s="141"/>
      <c r="AF79" s="145"/>
      <c r="AG79" s="419"/>
    </row>
    <row r="80" spans="1:33" s="139" customFormat="1" ht="12.75" customHeight="1" x14ac:dyDescent="0.2">
      <c r="A80" s="1183"/>
      <c r="B80" s="1183"/>
      <c r="C80" s="1183"/>
      <c r="D80" s="1173"/>
      <c r="E80" s="1108"/>
      <c r="F80" s="1108"/>
      <c r="G80" s="1027"/>
      <c r="H80" s="1027"/>
      <c r="I80" s="1174"/>
      <c r="J80" s="1174"/>
      <c r="K80" s="1174"/>
      <c r="L80" s="1172"/>
      <c r="M80" s="1172"/>
      <c r="N80" s="1175"/>
      <c r="O80" s="1174"/>
      <c r="P80" s="1196"/>
      <c r="Q80" s="1176"/>
      <c r="R80" s="1176"/>
      <c r="S80" s="1177"/>
      <c r="T80" s="1178"/>
      <c r="U80" s="559"/>
      <c r="V80" s="141"/>
      <c r="W80" s="141"/>
      <c r="X80" s="141"/>
      <c r="Y80" s="144"/>
      <c r="Z80" s="141"/>
      <c r="AA80" s="141"/>
      <c r="AB80" s="141"/>
      <c r="AC80" s="141"/>
      <c r="AD80" s="141"/>
      <c r="AE80" s="141"/>
      <c r="AF80" s="145"/>
      <c r="AG80" s="419"/>
    </row>
    <row r="81" spans="1:33" s="139" customFormat="1" ht="12.75" customHeight="1" x14ac:dyDescent="0.2">
      <c r="A81" s="1183"/>
      <c r="B81" s="1183"/>
      <c r="C81" s="1183"/>
      <c r="D81" s="1173"/>
      <c r="E81" s="1108"/>
      <c r="F81" s="1108"/>
      <c r="G81" s="1027"/>
      <c r="H81" s="1027"/>
      <c r="I81" s="1174"/>
      <c r="J81" s="1174"/>
      <c r="K81" s="1174"/>
      <c r="L81" s="1172"/>
      <c r="M81" s="1172"/>
      <c r="N81" s="1175"/>
      <c r="O81" s="1174"/>
      <c r="P81" s="1196"/>
      <c r="Q81" s="1176"/>
      <c r="R81" s="1176"/>
      <c r="S81" s="1177"/>
      <c r="T81" s="1178"/>
      <c r="U81" s="559"/>
      <c r="V81" s="141"/>
      <c r="W81" s="141"/>
      <c r="X81" s="141"/>
      <c r="Y81" s="144"/>
      <c r="Z81" s="141"/>
      <c r="AA81" s="141"/>
      <c r="AB81" s="141"/>
      <c r="AC81" s="141"/>
      <c r="AD81" s="141"/>
      <c r="AE81" s="141"/>
      <c r="AF81" s="145"/>
      <c r="AG81" s="419"/>
    </row>
    <row r="82" spans="1:33" s="139" customFormat="1" ht="12.75" customHeight="1" x14ac:dyDescent="0.2">
      <c r="A82" s="1183"/>
      <c r="B82" s="1183"/>
      <c r="C82" s="1183"/>
      <c r="D82" s="1173"/>
      <c r="E82" s="1108"/>
      <c r="F82" s="1108"/>
      <c r="G82" s="1027"/>
      <c r="H82" s="1027"/>
      <c r="I82" s="1174"/>
      <c r="J82" s="1174"/>
      <c r="K82" s="1174"/>
      <c r="L82" s="1172"/>
      <c r="M82" s="1172"/>
      <c r="N82" s="1175"/>
      <c r="O82" s="1174"/>
      <c r="P82" s="1196"/>
      <c r="Q82" s="1176"/>
      <c r="R82" s="1176"/>
      <c r="S82" s="1177"/>
      <c r="T82" s="1178"/>
      <c r="U82" s="559"/>
      <c r="V82" s="141"/>
      <c r="W82" s="141"/>
      <c r="X82" s="141"/>
      <c r="Y82" s="144"/>
      <c r="Z82" s="141"/>
      <c r="AA82" s="141"/>
      <c r="AB82" s="141"/>
      <c r="AC82" s="141"/>
      <c r="AD82" s="141"/>
      <c r="AE82" s="141"/>
      <c r="AF82" s="145"/>
      <c r="AG82" s="419"/>
    </row>
    <row r="83" spans="1:33" s="139" customFormat="1" ht="12.75" customHeight="1" x14ac:dyDescent="0.2">
      <c r="A83" s="1183"/>
      <c r="B83" s="1183"/>
      <c r="C83" s="1183"/>
      <c r="D83" s="1173"/>
      <c r="E83" s="1108"/>
      <c r="F83" s="1108"/>
      <c r="G83" s="1027"/>
      <c r="H83" s="1027"/>
      <c r="I83" s="1174"/>
      <c r="J83" s="1174"/>
      <c r="K83" s="1174"/>
      <c r="L83" s="1172"/>
      <c r="M83" s="1172"/>
      <c r="N83" s="1175"/>
      <c r="O83" s="1174"/>
      <c r="P83" s="1196"/>
      <c r="Q83" s="1176"/>
      <c r="R83" s="1176"/>
      <c r="S83" s="1177"/>
      <c r="T83" s="1178"/>
      <c r="U83" s="559"/>
      <c r="V83" s="141"/>
      <c r="W83" s="141"/>
      <c r="X83" s="141"/>
      <c r="Y83" s="144"/>
      <c r="Z83" s="141"/>
      <c r="AA83" s="141"/>
      <c r="AB83" s="141"/>
      <c r="AC83" s="141"/>
      <c r="AD83" s="141"/>
      <c r="AE83" s="141"/>
      <c r="AF83" s="145"/>
      <c r="AG83" s="419"/>
    </row>
    <row r="84" spans="1:33" s="139" customFormat="1" ht="12.75" customHeight="1" x14ac:dyDescent="0.2">
      <c r="A84" s="1183"/>
      <c r="B84" s="1183"/>
      <c r="C84" s="1183"/>
      <c r="D84" s="1173"/>
      <c r="E84" s="1108"/>
      <c r="F84" s="1108"/>
      <c r="G84" s="1027"/>
      <c r="H84" s="1027"/>
      <c r="I84" s="1174"/>
      <c r="J84" s="1174"/>
      <c r="K84" s="1174"/>
      <c r="L84" s="1172"/>
      <c r="M84" s="1172"/>
      <c r="N84" s="1175"/>
      <c r="O84" s="1174"/>
      <c r="P84" s="1196"/>
      <c r="Q84" s="1176"/>
      <c r="R84" s="1176"/>
      <c r="S84" s="1177"/>
      <c r="T84" s="1178"/>
      <c r="U84" s="559"/>
      <c r="V84" s="141"/>
      <c r="W84" s="141"/>
      <c r="X84" s="141"/>
      <c r="Y84" s="144"/>
      <c r="Z84" s="141"/>
      <c r="AA84" s="141"/>
      <c r="AB84" s="141"/>
      <c r="AC84" s="141"/>
      <c r="AD84" s="141"/>
      <c r="AE84" s="141"/>
      <c r="AF84" s="145"/>
      <c r="AG84" s="419"/>
    </row>
    <row r="85" spans="1:33" s="139" customFormat="1" ht="12.75" customHeight="1" x14ac:dyDescent="0.2">
      <c r="A85" s="1183"/>
      <c r="B85" s="1183"/>
      <c r="C85" s="1183"/>
      <c r="D85" s="1173"/>
      <c r="E85" s="1108"/>
      <c r="F85" s="1108"/>
      <c r="G85" s="1027"/>
      <c r="H85" s="1027"/>
      <c r="I85" s="1174"/>
      <c r="J85" s="1174"/>
      <c r="K85" s="1174"/>
      <c r="L85" s="1172"/>
      <c r="M85" s="1172"/>
      <c r="N85" s="1175"/>
      <c r="O85" s="1174"/>
      <c r="P85" s="1196"/>
      <c r="Q85" s="1176"/>
      <c r="R85" s="1176"/>
      <c r="S85" s="1177"/>
      <c r="T85" s="1178"/>
      <c r="U85" s="559"/>
      <c r="V85" s="141"/>
      <c r="W85" s="141"/>
      <c r="X85" s="141"/>
      <c r="Y85" s="144"/>
      <c r="Z85" s="141"/>
      <c r="AA85" s="141"/>
      <c r="AB85" s="141"/>
      <c r="AC85" s="141"/>
      <c r="AD85" s="141"/>
      <c r="AE85" s="141"/>
      <c r="AF85" s="145"/>
      <c r="AG85" s="419"/>
    </row>
    <row r="86" spans="1:33" s="139" customFormat="1" ht="12.75" customHeight="1" x14ac:dyDescent="0.2">
      <c r="A86" s="1183"/>
      <c r="B86" s="1183"/>
      <c r="C86" s="1183"/>
      <c r="D86" s="1173"/>
      <c r="E86" s="1108"/>
      <c r="F86" s="1108"/>
      <c r="G86" s="1027"/>
      <c r="H86" s="1027"/>
      <c r="I86" s="1174"/>
      <c r="J86" s="1174"/>
      <c r="K86" s="1174"/>
      <c r="L86" s="1172"/>
      <c r="M86" s="1172"/>
      <c r="N86" s="1175"/>
      <c r="O86" s="1174"/>
      <c r="P86" s="1196"/>
      <c r="Q86" s="1176"/>
      <c r="R86" s="1176"/>
      <c r="S86" s="1177"/>
      <c r="T86" s="1178"/>
      <c r="U86" s="559"/>
      <c r="V86" s="141"/>
      <c r="W86" s="141"/>
      <c r="X86" s="141"/>
      <c r="Y86" s="144"/>
      <c r="Z86" s="141"/>
      <c r="AA86" s="141"/>
      <c r="AB86" s="141"/>
      <c r="AC86" s="141"/>
      <c r="AD86" s="141"/>
      <c r="AE86" s="141"/>
      <c r="AF86" s="145"/>
      <c r="AG86" s="419"/>
    </row>
    <row r="87" spans="1:33" s="139" customFormat="1" ht="12.75" customHeight="1" x14ac:dyDescent="0.2">
      <c r="A87" s="1183"/>
      <c r="B87" s="1183"/>
      <c r="C87" s="1183"/>
      <c r="D87" s="1173"/>
      <c r="E87" s="1108"/>
      <c r="F87" s="1108"/>
      <c r="G87" s="1027"/>
      <c r="H87" s="1027"/>
      <c r="I87" s="1174"/>
      <c r="J87" s="1174"/>
      <c r="K87" s="1174"/>
      <c r="L87" s="1172"/>
      <c r="M87" s="1172"/>
      <c r="N87" s="1175"/>
      <c r="O87" s="1174"/>
      <c r="P87" s="1196"/>
      <c r="Q87" s="1176"/>
      <c r="R87" s="1176"/>
      <c r="S87" s="1177"/>
      <c r="T87" s="1178"/>
      <c r="U87" s="559"/>
      <c r="V87" s="141"/>
      <c r="W87" s="141"/>
      <c r="X87" s="141"/>
      <c r="Y87" s="144"/>
      <c r="Z87" s="141"/>
      <c r="AA87" s="141"/>
      <c r="AB87" s="141"/>
      <c r="AC87" s="141"/>
      <c r="AD87" s="141"/>
      <c r="AE87" s="141"/>
      <c r="AF87" s="145"/>
      <c r="AG87" s="419"/>
    </row>
    <row r="88" spans="1:33" s="139" customFormat="1" ht="12.75" customHeight="1" x14ac:dyDescent="0.2">
      <c r="A88" s="1183"/>
      <c r="B88" s="1183"/>
      <c r="C88" s="1183"/>
      <c r="D88" s="1173"/>
      <c r="E88" s="1108"/>
      <c r="F88" s="1108"/>
      <c r="G88" s="1027"/>
      <c r="H88" s="1027"/>
      <c r="I88" s="1174"/>
      <c r="J88" s="1174"/>
      <c r="K88" s="1174"/>
      <c r="L88" s="1172"/>
      <c r="M88" s="1172"/>
      <c r="N88" s="1175"/>
      <c r="O88" s="1174"/>
      <c r="P88" s="1196"/>
      <c r="Q88" s="1176"/>
      <c r="R88" s="1176"/>
      <c r="S88" s="1177"/>
      <c r="T88" s="1178"/>
      <c r="U88" s="559"/>
      <c r="V88" s="141"/>
      <c r="W88" s="141"/>
      <c r="X88" s="141"/>
      <c r="Y88" s="144"/>
      <c r="Z88" s="141"/>
      <c r="AA88" s="141"/>
      <c r="AB88" s="141"/>
      <c r="AC88" s="141"/>
      <c r="AD88" s="141"/>
      <c r="AE88" s="141"/>
      <c r="AF88" s="145"/>
      <c r="AG88" s="419"/>
    </row>
    <row r="89" spans="1:33" s="139" customFormat="1" ht="12.75" customHeight="1" x14ac:dyDescent="0.2">
      <c r="A89" s="1183"/>
      <c r="B89" s="1183"/>
      <c r="C89" s="1183"/>
      <c r="D89" s="1173"/>
      <c r="E89" s="1108"/>
      <c r="F89" s="1108"/>
      <c r="G89" s="1027"/>
      <c r="H89" s="1027"/>
      <c r="I89" s="1174"/>
      <c r="J89" s="1174"/>
      <c r="K89" s="1174"/>
      <c r="L89" s="1172"/>
      <c r="M89" s="1172"/>
      <c r="N89" s="1175"/>
      <c r="O89" s="1174"/>
      <c r="P89" s="1196"/>
      <c r="Q89" s="1176"/>
      <c r="R89" s="1176"/>
      <c r="S89" s="1177"/>
      <c r="T89" s="1178"/>
      <c r="U89" s="559"/>
      <c r="V89" s="141"/>
      <c r="W89" s="141"/>
      <c r="X89" s="141"/>
      <c r="Y89" s="144"/>
      <c r="Z89" s="141"/>
      <c r="AA89" s="141"/>
      <c r="AB89" s="141"/>
      <c r="AC89" s="141"/>
      <c r="AD89" s="141"/>
      <c r="AE89" s="141"/>
      <c r="AF89" s="145"/>
      <c r="AG89" s="419"/>
    </row>
    <row r="90" spans="1:33" s="139" customFormat="1" ht="12.75" customHeight="1" x14ac:dyDescent="0.2">
      <c r="A90" s="1183"/>
      <c r="B90" s="1183"/>
      <c r="C90" s="1183"/>
      <c r="D90" s="1173"/>
      <c r="E90" s="1108"/>
      <c r="F90" s="1108"/>
      <c r="G90" s="1027"/>
      <c r="H90" s="1027"/>
      <c r="I90" s="1174"/>
      <c r="J90" s="1174"/>
      <c r="K90" s="1174"/>
      <c r="L90" s="1172"/>
      <c r="M90" s="1172"/>
      <c r="N90" s="1175"/>
      <c r="O90" s="1174"/>
      <c r="P90" s="1196"/>
      <c r="Q90" s="1176"/>
      <c r="R90" s="1176"/>
      <c r="S90" s="1177"/>
      <c r="T90" s="1178"/>
      <c r="U90" s="559"/>
      <c r="V90" s="141"/>
      <c r="W90" s="141"/>
      <c r="X90" s="141"/>
      <c r="Y90" s="144"/>
      <c r="Z90" s="141"/>
      <c r="AA90" s="141"/>
      <c r="AB90" s="141"/>
      <c r="AC90" s="141"/>
      <c r="AD90" s="141"/>
      <c r="AE90" s="141"/>
      <c r="AF90" s="145"/>
      <c r="AG90" s="419"/>
    </row>
    <row r="91" spans="1:33" s="139" customFormat="1" ht="12.75" customHeight="1" x14ac:dyDescent="0.2">
      <c r="A91" s="1183"/>
      <c r="B91" s="1183"/>
      <c r="C91" s="1183"/>
      <c r="D91" s="1173"/>
      <c r="E91" s="1108"/>
      <c r="F91" s="1108"/>
      <c r="G91" s="1027"/>
      <c r="H91" s="1027"/>
      <c r="I91" s="1174"/>
      <c r="J91" s="1174"/>
      <c r="K91" s="1174"/>
      <c r="L91" s="1172"/>
      <c r="M91" s="1172"/>
      <c r="N91" s="1175"/>
      <c r="O91" s="1174"/>
      <c r="P91" s="1196"/>
      <c r="Q91" s="1176"/>
      <c r="R91" s="1176"/>
      <c r="S91" s="1177"/>
      <c r="T91" s="1178"/>
      <c r="U91" s="559"/>
      <c r="V91" s="141"/>
      <c r="W91" s="141"/>
      <c r="X91" s="141"/>
      <c r="Y91" s="144"/>
      <c r="Z91" s="141"/>
      <c r="AA91" s="141"/>
      <c r="AB91" s="141"/>
      <c r="AC91" s="141"/>
      <c r="AD91" s="141"/>
      <c r="AE91" s="141"/>
      <c r="AF91" s="145"/>
      <c r="AG91" s="419"/>
    </row>
    <row r="92" spans="1:33" s="139" customFormat="1" ht="12.75" customHeight="1" x14ac:dyDescent="0.2">
      <c r="A92" s="1183"/>
      <c r="B92" s="1183"/>
      <c r="C92" s="1183"/>
      <c r="D92" s="1173"/>
      <c r="E92" s="1108"/>
      <c r="F92" s="1108"/>
      <c r="G92" s="1027"/>
      <c r="H92" s="1027"/>
      <c r="I92" s="1174"/>
      <c r="J92" s="1174"/>
      <c r="K92" s="1174"/>
      <c r="L92" s="1172"/>
      <c r="M92" s="1172"/>
      <c r="N92" s="1175"/>
      <c r="O92" s="1174"/>
      <c r="P92" s="1196"/>
      <c r="Q92" s="1176"/>
      <c r="R92" s="1176"/>
      <c r="S92" s="1177"/>
      <c r="T92" s="1178"/>
      <c r="U92" s="559"/>
      <c r="V92" s="141"/>
      <c r="W92" s="141"/>
      <c r="X92" s="141"/>
      <c r="Y92" s="144"/>
      <c r="Z92" s="141"/>
      <c r="AA92" s="141"/>
      <c r="AB92" s="141"/>
      <c r="AC92" s="141"/>
      <c r="AD92" s="141"/>
      <c r="AE92" s="141"/>
      <c r="AF92" s="145"/>
      <c r="AG92" s="419"/>
    </row>
    <row r="93" spans="1:33" s="139" customFormat="1" ht="12.75" customHeight="1" x14ac:dyDescent="0.2">
      <c r="A93" s="1183"/>
      <c r="B93" s="1183"/>
      <c r="C93" s="1183"/>
      <c r="D93" s="1173"/>
      <c r="E93" s="1108"/>
      <c r="F93" s="1108"/>
      <c r="G93" s="1027"/>
      <c r="H93" s="1027"/>
      <c r="I93" s="1174"/>
      <c r="J93" s="1174"/>
      <c r="K93" s="1174"/>
      <c r="L93" s="1172"/>
      <c r="M93" s="1172"/>
      <c r="N93" s="1175"/>
      <c r="O93" s="1174"/>
      <c r="P93" s="1196"/>
      <c r="Q93" s="1176"/>
      <c r="R93" s="1176"/>
      <c r="S93" s="1177"/>
      <c r="T93" s="1178"/>
      <c r="U93" s="559"/>
      <c r="V93" s="141"/>
      <c r="W93" s="141"/>
      <c r="X93" s="141"/>
      <c r="Y93" s="144"/>
      <c r="Z93" s="141"/>
      <c r="AA93" s="141"/>
      <c r="AB93" s="141"/>
      <c r="AC93" s="141"/>
      <c r="AD93" s="141"/>
      <c r="AE93" s="141"/>
      <c r="AF93" s="145"/>
      <c r="AG93" s="419"/>
    </row>
    <row r="94" spans="1:33" s="139" customFormat="1" ht="12.75" customHeight="1" x14ac:dyDescent="0.2">
      <c r="A94" s="1183"/>
      <c r="B94" s="1183"/>
      <c r="C94" s="1183"/>
      <c r="D94" s="1173"/>
      <c r="E94" s="1108"/>
      <c r="F94" s="1108"/>
      <c r="G94" s="1027"/>
      <c r="H94" s="1027"/>
      <c r="I94" s="1174"/>
      <c r="J94" s="1174"/>
      <c r="K94" s="1174"/>
      <c r="L94" s="1172"/>
      <c r="M94" s="1172"/>
      <c r="N94" s="1175"/>
      <c r="O94" s="1174"/>
      <c r="P94" s="1196"/>
      <c r="Q94" s="1176"/>
      <c r="R94" s="1176"/>
      <c r="S94" s="1177"/>
      <c r="T94" s="1178"/>
      <c r="U94" s="559"/>
      <c r="V94" s="141"/>
      <c r="W94" s="141"/>
      <c r="X94" s="141"/>
      <c r="Y94" s="144"/>
      <c r="Z94" s="141"/>
      <c r="AA94" s="141"/>
      <c r="AB94" s="141"/>
      <c r="AC94" s="141"/>
      <c r="AD94" s="141"/>
      <c r="AE94" s="141"/>
      <c r="AF94" s="145"/>
      <c r="AG94" s="419"/>
    </row>
    <row r="95" spans="1:33" s="139" customFormat="1" ht="12.75" customHeight="1" x14ac:dyDescent="0.2">
      <c r="A95" s="1183"/>
      <c r="B95" s="1183"/>
      <c r="C95" s="1183"/>
      <c r="D95" s="1173"/>
      <c r="E95" s="1108"/>
      <c r="F95" s="1108"/>
      <c r="G95" s="1027"/>
      <c r="H95" s="1027"/>
      <c r="I95" s="1174"/>
      <c r="J95" s="1174"/>
      <c r="K95" s="1174"/>
      <c r="L95" s="1172"/>
      <c r="M95" s="1172"/>
      <c r="N95" s="1175"/>
      <c r="O95" s="1174"/>
      <c r="P95" s="1196"/>
      <c r="Q95" s="1176"/>
      <c r="R95" s="1176"/>
      <c r="S95" s="1177"/>
      <c r="T95" s="1178"/>
      <c r="U95" s="559"/>
      <c r="V95" s="141"/>
      <c r="W95" s="141"/>
      <c r="X95" s="141"/>
      <c r="Y95" s="144"/>
      <c r="Z95" s="141"/>
      <c r="AA95" s="141"/>
      <c r="AB95" s="141"/>
      <c r="AC95" s="141"/>
      <c r="AD95" s="141"/>
      <c r="AE95" s="141"/>
      <c r="AF95" s="145"/>
      <c r="AG95" s="419"/>
    </row>
    <row r="96" spans="1:33" s="139" customFormat="1" ht="12.75" customHeight="1" x14ac:dyDescent="0.2">
      <c r="A96" s="1183"/>
      <c r="B96" s="1183"/>
      <c r="C96" s="1183"/>
      <c r="D96" s="1173"/>
      <c r="E96" s="1108"/>
      <c r="F96" s="1108"/>
      <c r="G96" s="1027"/>
      <c r="H96" s="1027"/>
      <c r="I96" s="1174"/>
      <c r="J96" s="1174"/>
      <c r="K96" s="1174"/>
      <c r="L96" s="1172"/>
      <c r="M96" s="1172"/>
      <c r="N96" s="1175"/>
      <c r="O96" s="1174"/>
      <c r="P96" s="1196"/>
      <c r="Q96" s="1176"/>
      <c r="R96" s="1176"/>
      <c r="S96" s="1177"/>
      <c r="T96" s="1178"/>
      <c r="U96" s="559"/>
      <c r="V96" s="141"/>
      <c r="W96" s="141"/>
      <c r="X96" s="141"/>
      <c r="Y96" s="144"/>
      <c r="Z96" s="141"/>
      <c r="AA96" s="141"/>
      <c r="AB96" s="141"/>
      <c r="AC96" s="141"/>
      <c r="AD96" s="141"/>
      <c r="AE96" s="141"/>
      <c r="AF96" s="1172"/>
      <c r="AG96" s="590"/>
    </row>
    <row r="97" spans="1:33" s="139" customFormat="1" ht="12.75" customHeight="1" x14ac:dyDescent="0.2">
      <c r="A97" s="1183"/>
      <c r="B97" s="1183"/>
      <c r="C97" s="1183"/>
      <c r="D97" s="1173"/>
      <c r="E97" s="1108"/>
      <c r="F97" s="1108"/>
      <c r="G97" s="1027"/>
      <c r="H97" s="1027"/>
      <c r="I97" s="1174"/>
      <c r="J97" s="1174"/>
      <c r="K97" s="1174"/>
      <c r="L97" s="1172"/>
      <c r="M97" s="1172"/>
      <c r="N97" s="1175"/>
      <c r="O97" s="1174"/>
      <c r="P97" s="1196"/>
      <c r="Q97" s="1176"/>
      <c r="R97" s="1176"/>
      <c r="S97" s="1177"/>
      <c r="T97" s="1178"/>
      <c r="U97" s="559"/>
      <c r="V97" s="141"/>
      <c r="W97" s="141"/>
      <c r="X97" s="141"/>
      <c r="Y97" s="144"/>
      <c r="Z97" s="141"/>
      <c r="AA97" s="141"/>
      <c r="AB97" s="141"/>
      <c r="AC97" s="141"/>
      <c r="AD97" s="141"/>
      <c r="AE97" s="141"/>
      <c r="AF97" s="145"/>
      <c r="AG97" s="419"/>
    </row>
    <row r="98" spans="1:33" s="139" customFormat="1" ht="12.75" customHeight="1" x14ac:dyDescent="0.2">
      <c r="A98" s="1183"/>
      <c r="B98" s="1183"/>
      <c r="C98" s="1183"/>
      <c r="D98" s="1173"/>
      <c r="E98" s="1108"/>
      <c r="F98" s="1108"/>
      <c r="G98" s="1027"/>
      <c r="H98" s="1027"/>
      <c r="I98" s="1174"/>
      <c r="J98" s="1174"/>
      <c r="K98" s="1174"/>
      <c r="L98" s="1172"/>
      <c r="M98" s="1172"/>
      <c r="N98" s="1175"/>
      <c r="O98" s="1174"/>
      <c r="P98" s="1196"/>
      <c r="Q98" s="1176"/>
      <c r="R98" s="1176"/>
      <c r="S98" s="1177"/>
      <c r="T98" s="1178"/>
      <c r="U98" s="559"/>
      <c r="V98" s="141"/>
      <c r="W98" s="141"/>
      <c r="X98" s="141"/>
      <c r="Y98" s="144"/>
      <c r="Z98" s="141"/>
      <c r="AA98" s="141"/>
      <c r="AB98" s="141"/>
      <c r="AC98" s="141"/>
      <c r="AD98" s="141"/>
      <c r="AE98" s="141"/>
      <c r="AF98" s="145"/>
      <c r="AG98" s="419"/>
    </row>
    <row r="99" spans="1:33" s="139" customFormat="1" ht="12.75" customHeight="1" x14ac:dyDescent="0.2">
      <c r="A99" s="1183"/>
      <c r="B99" s="1183"/>
      <c r="C99" s="1183"/>
      <c r="D99" s="1173"/>
      <c r="E99" s="1108"/>
      <c r="F99" s="1108"/>
      <c r="G99" s="1027"/>
      <c r="H99" s="1027"/>
      <c r="I99" s="1174"/>
      <c r="J99" s="1174"/>
      <c r="K99" s="1174"/>
      <c r="L99" s="1172"/>
      <c r="M99" s="1172"/>
      <c r="N99" s="1175"/>
      <c r="O99" s="1174"/>
      <c r="P99" s="1196"/>
      <c r="Q99" s="1176"/>
      <c r="R99" s="1176"/>
      <c r="S99" s="1177"/>
      <c r="T99" s="1178"/>
      <c r="U99" s="559"/>
      <c r="V99" s="141"/>
      <c r="W99" s="141"/>
      <c r="X99" s="141"/>
      <c r="Y99" s="144"/>
      <c r="Z99" s="141"/>
      <c r="AA99" s="141"/>
      <c r="AB99" s="141"/>
      <c r="AC99" s="141"/>
      <c r="AD99" s="141"/>
      <c r="AE99" s="141"/>
      <c r="AF99" s="145"/>
      <c r="AG99" s="419"/>
    </row>
    <row r="100" spans="1:33" s="139" customFormat="1" ht="12.75" customHeight="1" x14ac:dyDescent="0.2">
      <c r="A100" s="1183"/>
      <c r="B100" s="1183"/>
      <c r="C100" s="1183"/>
      <c r="D100" s="1173"/>
      <c r="E100" s="1108"/>
      <c r="F100" s="1108"/>
      <c r="G100" s="1027"/>
      <c r="H100" s="1027"/>
      <c r="I100" s="1174"/>
      <c r="J100" s="1174"/>
      <c r="K100" s="1174"/>
      <c r="L100" s="1172"/>
      <c r="M100" s="1172"/>
      <c r="N100" s="1175"/>
      <c r="O100" s="1174"/>
      <c r="P100" s="1196"/>
      <c r="Q100" s="1176"/>
      <c r="R100" s="1176"/>
      <c r="S100" s="1177"/>
      <c r="T100" s="1178"/>
      <c r="U100" s="559"/>
      <c r="V100" s="141"/>
      <c r="W100" s="141"/>
      <c r="X100" s="141"/>
      <c r="Y100" s="144"/>
      <c r="Z100" s="141"/>
      <c r="AA100" s="141"/>
      <c r="AB100" s="141"/>
      <c r="AC100" s="141"/>
      <c r="AD100" s="141"/>
      <c r="AE100" s="141"/>
      <c r="AF100" s="145"/>
      <c r="AG100" s="419"/>
    </row>
    <row r="101" spans="1:33" s="139" customFormat="1" ht="12.75" customHeight="1" x14ac:dyDescent="0.2">
      <c r="A101" s="1183"/>
      <c r="B101" s="1183"/>
      <c r="C101" s="1183"/>
      <c r="D101" s="1173"/>
      <c r="E101" s="1108"/>
      <c r="F101" s="1108"/>
      <c r="G101" s="1027"/>
      <c r="H101" s="1027"/>
      <c r="I101" s="1174"/>
      <c r="J101" s="1174"/>
      <c r="K101" s="1174"/>
      <c r="L101" s="1172"/>
      <c r="M101" s="1172"/>
      <c r="N101" s="1175"/>
      <c r="O101" s="1174"/>
      <c r="P101" s="1196"/>
      <c r="Q101" s="1176"/>
      <c r="R101" s="1176"/>
      <c r="S101" s="1177"/>
      <c r="T101" s="1178"/>
      <c r="U101" s="559"/>
      <c r="V101" s="141"/>
      <c r="W101" s="141"/>
      <c r="X101" s="141"/>
      <c r="Y101" s="144"/>
      <c r="Z101" s="141"/>
      <c r="AA101" s="141"/>
      <c r="AB101" s="141"/>
      <c r="AC101" s="141"/>
      <c r="AD101" s="141"/>
      <c r="AE101" s="141"/>
      <c r="AF101" s="145"/>
      <c r="AG101" s="419"/>
    </row>
    <row r="102" spans="1:33" s="139" customFormat="1" ht="12.75" customHeight="1" x14ac:dyDescent="0.2">
      <c r="A102" s="1183"/>
      <c r="B102" s="1183"/>
      <c r="C102" s="1183"/>
      <c r="D102" s="1173"/>
      <c r="E102" s="1108"/>
      <c r="F102" s="1108"/>
      <c r="G102" s="1027"/>
      <c r="H102" s="1027"/>
      <c r="I102" s="1174"/>
      <c r="J102" s="1174"/>
      <c r="K102" s="1174"/>
      <c r="L102" s="1172"/>
      <c r="M102" s="1172"/>
      <c r="N102" s="1175"/>
      <c r="O102" s="1174"/>
      <c r="P102" s="1196"/>
      <c r="Q102" s="1176"/>
      <c r="R102" s="1176"/>
      <c r="S102" s="1177"/>
      <c r="T102" s="1178"/>
      <c r="U102" s="559"/>
      <c r="V102" s="141"/>
      <c r="W102" s="141"/>
      <c r="X102" s="141"/>
      <c r="Y102" s="144"/>
      <c r="Z102" s="141"/>
      <c r="AA102" s="141"/>
      <c r="AB102" s="141"/>
      <c r="AC102" s="141"/>
      <c r="AD102" s="141"/>
      <c r="AE102" s="141"/>
      <c r="AF102" s="145"/>
      <c r="AG102" s="419"/>
    </row>
    <row r="103" spans="1:33" s="139" customFormat="1" ht="12.75" customHeight="1" x14ac:dyDescent="0.2">
      <c r="A103" s="1183"/>
      <c r="B103" s="1183"/>
      <c r="C103" s="1183"/>
      <c r="D103" s="1173"/>
      <c r="E103" s="1108"/>
      <c r="F103" s="1108"/>
      <c r="G103" s="1027"/>
      <c r="H103" s="1027"/>
      <c r="I103" s="1174"/>
      <c r="J103" s="1174"/>
      <c r="K103" s="1174"/>
      <c r="L103" s="1172"/>
      <c r="M103" s="1172"/>
      <c r="N103" s="1175"/>
      <c r="O103" s="1174"/>
      <c r="P103" s="1196"/>
      <c r="Q103" s="1176"/>
      <c r="R103" s="1176"/>
      <c r="S103" s="1177"/>
      <c r="T103" s="1178"/>
      <c r="U103" s="559"/>
      <c r="V103" s="141"/>
      <c r="W103" s="141"/>
      <c r="X103" s="141"/>
      <c r="Y103" s="144"/>
      <c r="Z103" s="141"/>
      <c r="AA103" s="141"/>
      <c r="AB103" s="141"/>
      <c r="AC103" s="141"/>
      <c r="AD103" s="141"/>
      <c r="AE103" s="141"/>
      <c r="AF103" s="145"/>
      <c r="AG103" s="419"/>
    </row>
    <row r="104" spans="1:33" s="139" customFormat="1" ht="12.75" customHeight="1" x14ac:dyDescent="0.2">
      <c r="A104" s="1183"/>
      <c r="B104" s="1183"/>
      <c r="C104" s="1183"/>
      <c r="D104" s="1173"/>
      <c r="E104" s="1108"/>
      <c r="F104" s="1108"/>
      <c r="G104" s="1027"/>
      <c r="H104" s="1027"/>
      <c r="I104" s="1174"/>
      <c r="J104" s="1174"/>
      <c r="K104" s="1174"/>
      <c r="L104" s="1172"/>
      <c r="M104" s="1172"/>
      <c r="N104" s="1175"/>
      <c r="O104" s="1174"/>
      <c r="P104" s="1196"/>
      <c r="Q104" s="1176"/>
      <c r="R104" s="1176"/>
      <c r="S104" s="1177"/>
      <c r="T104" s="1178"/>
      <c r="U104" s="559"/>
      <c r="V104" s="141"/>
      <c r="W104" s="141"/>
      <c r="X104" s="141"/>
      <c r="Y104" s="144"/>
      <c r="Z104" s="141"/>
      <c r="AA104" s="141"/>
      <c r="AB104" s="141"/>
      <c r="AC104" s="141"/>
      <c r="AD104" s="141"/>
      <c r="AE104" s="141"/>
      <c r="AF104" s="145"/>
      <c r="AG104" s="419"/>
    </row>
    <row r="105" spans="1:33" s="139" customFormat="1" ht="12.75" customHeight="1" x14ac:dyDescent="0.2">
      <c r="A105" s="1183"/>
      <c r="B105" s="1183"/>
      <c r="C105" s="1183"/>
      <c r="D105" s="1173"/>
      <c r="E105" s="1108"/>
      <c r="F105" s="1108"/>
      <c r="G105" s="1027"/>
      <c r="H105" s="1027"/>
      <c r="I105" s="1174"/>
      <c r="J105" s="1174"/>
      <c r="K105" s="1174"/>
      <c r="L105" s="1172"/>
      <c r="M105" s="1172"/>
      <c r="N105" s="1175"/>
      <c r="O105" s="1174"/>
      <c r="P105" s="1196"/>
      <c r="Q105" s="1176"/>
      <c r="R105" s="1176"/>
      <c r="S105" s="1177"/>
      <c r="T105" s="1178"/>
      <c r="U105" s="559"/>
      <c r="V105" s="141"/>
      <c r="W105" s="141"/>
      <c r="X105" s="141"/>
      <c r="Y105" s="144"/>
      <c r="Z105" s="141"/>
      <c r="AA105" s="141"/>
      <c r="AB105" s="141"/>
      <c r="AC105" s="141"/>
      <c r="AD105" s="141"/>
      <c r="AE105" s="141"/>
      <c r="AF105" s="145"/>
      <c r="AG105" s="419"/>
    </row>
    <row r="106" spans="1:33" s="139" customFormat="1" ht="12.75" customHeight="1" x14ac:dyDescent="0.2">
      <c r="A106" s="1183"/>
      <c r="B106" s="1183"/>
      <c r="C106" s="1183"/>
      <c r="D106" s="1173"/>
      <c r="E106" s="1108"/>
      <c r="F106" s="1108"/>
      <c r="G106" s="1027"/>
      <c r="H106" s="1027"/>
      <c r="I106" s="1174"/>
      <c r="J106" s="1174"/>
      <c r="K106" s="1174"/>
      <c r="L106" s="1172"/>
      <c r="M106" s="1172"/>
      <c r="N106" s="1175"/>
      <c r="O106" s="1174"/>
      <c r="P106" s="1196"/>
      <c r="Q106" s="1176"/>
      <c r="R106" s="1176"/>
      <c r="S106" s="1177"/>
      <c r="T106" s="1178"/>
      <c r="U106" s="559"/>
      <c r="V106" s="141"/>
      <c r="W106" s="141"/>
      <c r="X106" s="141"/>
      <c r="Y106" s="144"/>
      <c r="Z106" s="141"/>
      <c r="AA106" s="141"/>
      <c r="AB106" s="141"/>
      <c r="AC106" s="141"/>
      <c r="AD106" s="141"/>
      <c r="AE106" s="141"/>
      <c r="AF106" s="145"/>
      <c r="AG106" s="419"/>
    </row>
    <row r="107" spans="1:33" s="139" customFormat="1" ht="12.75" customHeight="1" x14ac:dyDescent="0.2">
      <c r="A107" s="1183"/>
      <c r="B107" s="1183"/>
      <c r="C107" s="1183"/>
      <c r="D107" s="1173"/>
      <c r="E107" s="1108"/>
      <c r="F107" s="1108"/>
      <c r="G107" s="1027"/>
      <c r="H107" s="1027"/>
      <c r="I107" s="1174"/>
      <c r="J107" s="1174"/>
      <c r="K107" s="1174"/>
      <c r="L107" s="1172"/>
      <c r="M107" s="1172"/>
      <c r="N107" s="1175"/>
      <c r="O107" s="1174"/>
      <c r="P107" s="1196"/>
      <c r="Q107" s="1176"/>
      <c r="R107" s="1176"/>
      <c r="S107" s="1177"/>
      <c r="T107" s="1178"/>
      <c r="U107" s="559"/>
      <c r="V107" s="141"/>
      <c r="W107" s="141"/>
      <c r="X107" s="141"/>
      <c r="Y107" s="144"/>
      <c r="Z107" s="141"/>
      <c r="AA107" s="141"/>
      <c r="AB107" s="141"/>
      <c r="AC107" s="141"/>
      <c r="AD107" s="141"/>
      <c r="AE107" s="141"/>
      <c r="AF107" s="145"/>
      <c r="AG107" s="419"/>
    </row>
    <row r="108" spans="1:33" s="139" customFormat="1" ht="12.75" customHeight="1" x14ac:dyDescent="0.2">
      <c r="A108" s="1183"/>
      <c r="B108" s="1183"/>
      <c r="C108" s="1183"/>
      <c r="D108" s="1173"/>
      <c r="E108" s="1108"/>
      <c r="F108" s="1108"/>
      <c r="G108" s="1027"/>
      <c r="H108" s="1027"/>
      <c r="I108" s="1174"/>
      <c r="J108" s="1174"/>
      <c r="K108" s="1174"/>
      <c r="L108" s="1172"/>
      <c r="M108" s="1172"/>
      <c r="N108" s="1175"/>
      <c r="O108" s="1174"/>
      <c r="P108" s="1196"/>
      <c r="Q108" s="1176"/>
      <c r="R108" s="1176"/>
      <c r="S108" s="1177"/>
      <c r="T108" s="1178"/>
      <c r="U108" s="559"/>
      <c r="V108" s="141"/>
      <c r="W108" s="141"/>
      <c r="X108" s="141"/>
      <c r="Y108" s="144"/>
      <c r="Z108" s="141"/>
      <c r="AA108" s="141"/>
      <c r="AB108" s="141"/>
      <c r="AC108" s="141"/>
      <c r="AD108" s="141"/>
      <c r="AE108" s="141"/>
      <c r="AF108" s="145"/>
      <c r="AG108" s="419"/>
    </row>
    <row r="109" spans="1:33" s="139" customFormat="1" ht="12.75" customHeight="1" x14ac:dyDescent="0.2">
      <c r="A109" s="1183"/>
      <c r="B109" s="1183"/>
      <c r="C109" s="1183"/>
      <c r="D109" s="1173"/>
      <c r="E109" s="1108"/>
      <c r="F109" s="1108"/>
      <c r="G109" s="1027"/>
      <c r="H109" s="1027"/>
      <c r="I109" s="1174"/>
      <c r="J109" s="1174"/>
      <c r="K109" s="1174"/>
      <c r="L109" s="1172"/>
      <c r="M109" s="1172"/>
      <c r="N109" s="1175"/>
      <c r="O109" s="1174"/>
      <c r="P109" s="1196"/>
      <c r="Q109" s="1176"/>
      <c r="R109" s="1176"/>
      <c r="S109" s="1177"/>
      <c r="T109" s="1178"/>
      <c r="U109" s="559"/>
      <c r="V109" s="141"/>
      <c r="W109" s="141"/>
      <c r="X109" s="141"/>
      <c r="Y109" s="144"/>
      <c r="Z109" s="141"/>
      <c r="AA109" s="141"/>
      <c r="AB109" s="141"/>
      <c r="AC109" s="141"/>
      <c r="AD109" s="141"/>
      <c r="AE109" s="141"/>
      <c r="AF109" s="145"/>
      <c r="AG109" s="419"/>
    </row>
    <row r="110" spans="1:33" s="139" customFormat="1" ht="12.75" customHeight="1" x14ac:dyDescent="0.2">
      <c r="A110" s="1183"/>
      <c r="B110" s="1183"/>
      <c r="C110" s="1183"/>
      <c r="D110" s="1173"/>
      <c r="E110" s="1108"/>
      <c r="F110" s="1108"/>
      <c r="G110" s="1027"/>
      <c r="H110" s="1027"/>
      <c r="I110" s="1174"/>
      <c r="J110" s="1174"/>
      <c r="K110" s="1174"/>
      <c r="L110" s="1172"/>
      <c r="M110" s="1172"/>
      <c r="N110" s="1175"/>
      <c r="O110" s="1174"/>
      <c r="P110" s="1196"/>
      <c r="Q110" s="1176"/>
      <c r="R110" s="1176"/>
      <c r="S110" s="1177"/>
      <c r="T110" s="1178"/>
      <c r="U110" s="559"/>
      <c r="V110" s="141"/>
      <c r="W110" s="141"/>
      <c r="X110" s="141"/>
      <c r="Y110" s="144"/>
      <c r="Z110" s="141"/>
      <c r="AA110" s="141"/>
      <c r="AB110" s="141"/>
      <c r="AC110" s="141"/>
      <c r="AD110" s="141"/>
      <c r="AE110" s="141"/>
      <c r="AF110" s="145"/>
      <c r="AG110" s="419"/>
    </row>
    <row r="111" spans="1:33" s="139" customFormat="1" ht="12.75" customHeight="1" x14ac:dyDescent="0.2">
      <c r="A111" s="1183"/>
      <c r="B111" s="1183"/>
      <c r="C111" s="1183"/>
      <c r="D111" s="1173"/>
      <c r="E111" s="1108"/>
      <c r="F111" s="1108"/>
      <c r="G111" s="1027"/>
      <c r="H111" s="1027"/>
      <c r="I111" s="1174"/>
      <c r="J111" s="1174"/>
      <c r="K111" s="1174"/>
      <c r="L111" s="1172"/>
      <c r="M111" s="1172"/>
      <c r="N111" s="1175"/>
      <c r="O111" s="1174"/>
      <c r="P111" s="1196"/>
      <c r="Q111" s="1176"/>
      <c r="R111" s="1176"/>
      <c r="S111" s="1177"/>
      <c r="T111" s="1178"/>
      <c r="U111" s="559"/>
      <c r="V111" s="141"/>
      <c r="W111" s="141"/>
      <c r="X111" s="141"/>
      <c r="Y111" s="144"/>
      <c r="Z111" s="141"/>
      <c r="AA111" s="141"/>
      <c r="AB111" s="141"/>
      <c r="AC111" s="141"/>
      <c r="AD111" s="141"/>
      <c r="AE111" s="141"/>
      <c r="AF111" s="145"/>
      <c r="AG111" s="419"/>
    </row>
    <row r="112" spans="1:33" s="139" customFormat="1" ht="12.75" customHeight="1" x14ac:dyDescent="0.2">
      <c r="A112" s="1183"/>
      <c r="B112" s="1183"/>
      <c r="C112" s="1183"/>
      <c r="D112" s="1173"/>
      <c r="E112" s="1108"/>
      <c r="F112" s="1108"/>
      <c r="G112" s="1027"/>
      <c r="H112" s="1028"/>
      <c r="I112" s="1174"/>
      <c r="J112" s="1174"/>
      <c r="K112" s="1174"/>
      <c r="L112" s="1172"/>
      <c r="M112" s="1172"/>
      <c r="N112" s="1175"/>
      <c r="O112" s="1174"/>
      <c r="P112" s="1196"/>
      <c r="Q112" s="1176"/>
      <c r="R112" s="1176"/>
      <c r="S112" s="1177"/>
      <c r="T112" s="1178"/>
      <c r="U112" s="559"/>
      <c r="V112" s="141"/>
      <c r="W112" s="141"/>
      <c r="X112" s="141"/>
      <c r="Y112" s="144"/>
      <c r="Z112" s="141"/>
      <c r="AA112" s="141"/>
      <c r="AB112" s="141"/>
      <c r="AC112" s="141"/>
      <c r="AD112" s="141"/>
      <c r="AE112" s="141"/>
      <c r="AF112" s="145"/>
      <c r="AG112" s="419"/>
    </row>
    <row r="113" spans="1:33" s="139" customFormat="1" ht="12.75" customHeight="1" x14ac:dyDescent="0.2">
      <c r="A113" s="1183"/>
      <c r="B113" s="1183"/>
      <c r="C113" s="1183"/>
      <c r="D113" s="1173"/>
      <c r="E113" s="1108"/>
      <c r="F113" s="1108"/>
      <c r="G113" s="1027"/>
      <c r="H113" s="1027"/>
      <c r="I113" s="1174"/>
      <c r="J113" s="1174"/>
      <c r="K113" s="1174"/>
      <c r="L113" s="1172"/>
      <c r="M113" s="1172"/>
      <c r="N113" s="1175"/>
      <c r="O113" s="1174"/>
      <c r="P113" s="1196"/>
      <c r="Q113" s="1176"/>
      <c r="R113" s="1176"/>
      <c r="S113" s="1177"/>
      <c r="T113" s="1178"/>
      <c r="U113" s="559"/>
      <c r="V113" s="141"/>
      <c r="W113" s="141"/>
      <c r="X113" s="141"/>
      <c r="Y113" s="144"/>
      <c r="Z113" s="141"/>
      <c r="AA113" s="141"/>
      <c r="AB113" s="141"/>
      <c r="AC113" s="141"/>
      <c r="AD113" s="141"/>
      <c r="AE113" s="141"/>
      <c r="AF113" s="145"/>
      <c r="AG113" s="419"/>
    </row>
    <row r="114" spans="1:33" s="139" customFormat="1" ht="12.75" customHeight="1" x14ac:dyDescent="0.2">
      <c r="A114" s="1183"/>
      <c r="B114" s="1183"/>
      <c r="C114" s="1183"/>
      <c r="D114" s="1173"/>
      <c r="E114" s="1108"/>
      <c r="F114" s="1108"/>
      <c r="G114" s="1027"/>
      <c r="H114" s="1027"/>
      <c r="I114" s="1174"/>
      <c r="J114" s="1174"/>
      <c r="K114" s="1174"/>
      <c r="L114" s="1172"/>
      <c r="M114" s="1172"/>
      <c r="N114" s="1175"/>
      <c r="O114" s="1174"/>
      <c r="P114" s="1196"/>
      <c r="Q114" s="1176"/>
      <c r="R114" s="1176"/>
      <c r="S114" s="1177"/>
      <c r="T114" s="1178"/>
      <c r="U114" s="559"/>
      <c r="V114" s="141"/>
      <c r="W114" s="141"/>
      <c r="X114" s="141"/>
      <c r="Y114" s="144"/>
      <c r="Z114" s="141"/>
      <c r="AA114" s="141"/>
      <c r="AB114" s="141"/>
      <c r="AC114" s="141"/>
      <c r="AD114" s="141"/>
      <c r="AE114" s="141"/>
      <c r="AF114" s="145"/>
      <c r="AG114" s="419"/>
    </row>
    <row r="115" spans="1:33" s="139" customFormat="1" ht="12.75" customHeight="1" x14ac:dyDescent="0.2">
      <c r="A115" s="1183"/>
      <c r="B115" s="1183"/>
      <c r="C115" s="1183"/>
      <c r="D115" s="1173"/>
      <c r="E115" s="1108"/>
      <c r="F115" s="1108"/>
      <c r="G115" s="1027"/>
      <c r="H115" s="1027"/>
      <c r="I115" s="1174"/>
      <c r="J115" s="1174"/>
      <c r="K115" s="1174"/>
      <c r="L115" s="1172"/>
      <c r="M115" s="1172"/>
      <c r="N115" s="1175"/>
      <c r="O115" s="1174"/>
      <c r="P115" s="1196"/>
      <c r="Q115" s="1176"/>
      <c r="R115" s="1176"/>
      <c r="S115" s="1177"/>
      <c r="T115" s="1178"/>
      <c r="U115" s="559"/>
      <c r="V115" s="141"/>
      <c r="W115" s="141"/>
      <c r="X115" s="141"/>
      <c r="Y115" s="144"/>
      <c r="Z115" s="141"/>
      <c r="AA115" s="141"/>
      <c r="AB115" s="141"/>
      <c r="AC115" s="141"/>
      <c r="AD115" s="141"/>
      <c r="AE115" s="141"/>
      <c r="AF115" s="145"/>
      <c r="AG115" s="419"/>
    </row>
    <row r="116" spans="1:33" s="139" customFormat="1" ht="12.75" customHeight="1" x14ac:dyDescent="0.2">
      <c r="A116" s="1183"/>
      <c r="B116" s="1183"/>
      <c r="C116" s="1183"/>
      <c r="D116" s="1173"/>
      <c r="E116" s="1108"/>
      <c r="F116" s="1108"/>
      <c r="G116" s="1027"/>
      <c r="H116" s="1027"/>
      <c r="I116" s="1174"/>
      <c r="J116" s="1174"/>
      <c r="K116" s="1174"/>
      <c r="L116" s="1172"/>
      <c r="M116" s="1172"/>
      <c r="N116" s="1175"/>
      <c r="O116" s="1174"/>
      <c r="P116" s="1196"/>
      <c r="Q116" s="1176"/>
      <c r="R116" s="1176"/>
      <c r="S116" s="1177"/>
      <c r="T116" s="1178"/>
      <c r="U116" s="559"/>
      <c r="V116" s="141"/>
      <c r="W116" s="141"/>
      <c r="X116" s="141"/>
      <c r="Y116" s="144"/>
      <c r="Z116" s="141"/>
      <c r="AA116" s="141"/>
      <c r="AB116" s="141"/>
      <c r="AC116" s="141"/>
      <c r="AD116" s="141"/>
      <c r="AE116" s="141"/>
      <c r="AF116" s="141"/>
      <c r="AG116" s="590"/>
    </row>
    <row r="117" spans="1:33" s="139" customFormat="1" ht="12.75" customHeight="1" x14ac:dyDescent="0.2">
      <c r="A117" s="1183"/>
      <c r="B117" s="1183"/>
      <c r="C117" s="1183"/>
      <c r="D117" s="1173"/>
      <c r="E117" s="1108"/>
      <c r="F117" s="1108"/>
      <c r="G117" s="1027"/>
      <c r="H117" s="1027"/>
      <c r="I117" s="1174"/>
      <c r="J117" s="1174"/>
      <c r="K117" s="1174"/>
      <c r="L117" s="1172"/>
      <c r="M117" s="1172"/>
      <c r="N117" s="1175"/>
      <c r="O117" s="1174"/>
      <c r="P117" s="1196"/>
      <c r="Q117" s="1176"/>
      <c r="R117" s="1176"/>
      <c r="S117" s="1177"/>
      <c r="T117" s="1178"/>
      <c r="U117" s="559"/>
      <c r="V117" s="141"/>
      <c r="W117" s="141"/>
      <c r="X117" s="141"/>
      <c r="Y117" s="144"/>
      <c r="Z117" s="141"/>
      <c r="AA117" s="141"/>
      <c r="AB117" s="141"/>
      <c r="AC117" s="141"/>
      <c r="AD117" s="141"/>
      <c r="AE117" s="141"/>
      <c r="AF117" s="145"/>
      <c r="AG117" s="419"/>
    </row>
    <row r="118" spans="1:33" s="139" customFormat="1" ht="12.75" customHeight="1" x14ac:dyDescent="0.2">
      <c r="A118" s="1183"/>
      <c r="B118" s="1183"/>
      <c r="C118" s="1183"/>
      <c r="D118" s="1173"/>
      <c r="E118" s="1108"/>
      <c r="F118" s="1108"/>
      <c r="G118" s="1027"/>
      <c r="H118" s="1027"/>
      <c r="I118" s="1174"/>
      <c r="J118" s="1174"/>
      <c r="K118" s="1174"/>
      <c r="L118" s="1172"/>
      <c r="M118" s="1172"/>
      <c r="N118" s="1175"/>
      <c r="O118" s="1174"/>
      <c r="P118" s="1196"/>
      <c r="Q118" s="1176"/>
      <c r="R118" s="1176"/>
      <c r="S118" s="1177"/>
      <c r="T118" s="1178"/>
      <c r="U118" s="559"/>
      <c r="V118" s="141"/>
      <c r="W118" s="141"/>
      <c r="X118" s="141"/>
      <c r="Y118" s="144"/>
      <c r="Z118" s="141"/>
      <c r="AA118" s="141"/>
      <c r="AB118" s="141"/>
      <c r="AC118" s="141"/>
      <c r="AD118" s="141"/>
      <c r="AE118" s="141"/>
      <c r="AF118" s="145"/>
      <c r="AG118" s="419"/>
    </row>
    <row r="119" spans="1:33" s="139" customFormat="1" ht="12.75" customHeight="1" x14ac:dyDescent="0.2">
      <c r="A119" s="1183"/>
      <c r="B119" s="1183"/>
      <c r="C119" s="1183"/>
      <c r="D119" s="1173"/>
      <c r="E119" s="1108"/>
      <c r="F119" s="1108"/>
      <c r="G119" s="1027"/>
      <c r="H119" s="1027"/>
      <c r="I119" s="1174"/>
      <c r="J119" s="1174"/>
      <c r="K119" s="1174"/>
      <c r="L119" s="1172"/>
      <c r="M119" s="1172"/>
      <c r="N119" s="1175"/>
      <c r="O119" s="1174"/>
      <c r="P119" s="1196"/>
      <c r="Q119" s="1176"/>
      <c r="R119" s="1176"/>
      <c r="S119" s="1177"/>
      <c r="T119" s="1178"/>
      <c r="U119" s="559"/>
      <c r="V119" s="141"/>
      <c r="W119" s="141"/>
      <c r="X119" s="141"/>
      <c r="Y119" s="144"/>
      <c r="Z119" s="141"/>
      <c r="AA119" s="141"/>
      <c r="AB119" s="141"/>
      <c r="AC119" s="141"/>
      <c r="AD119" s="141"/>
      <c r="AE119" s="141"/>
      <c r="AF119" s="141"/>
      <c r="AG119" s="590"/>
    </row>
    <row r="120" spans="1:33" s="139" customFormat="1" ht="12.75" customHeight="1" x14ac:dyDescent="0.2">
      <c r="A120" s="1183"/>
      <c r="B120" s="1183"/>
      <c r="C120" s="1183"/>
      <c r="D120" s="1173"/>
      <c r="E120" s="1108"/>
      <c r="F120" s="1108"/>
      <c r="G120" s="1027"/>
      <c r="H120" s="1027"/>
      <c r="I120" s="1174"/>
      <c r="J120" s="1174"/>
      <c r="K120" s="1174"/>
      <c r="L120" s="1172"/>
      <c r="M120" s="1172"/>
      <c r="N120" s="1175"/>
      <c r="O120" s="1174"/>
      <c r="P120" s="1196"/>
      <c r="Q120" s="1176"/>
      <c r="R120" s="1176"/>
      <c r="S120" s="1177"/>
      <c r="T120" s="1178"/>
      <c r="U120" s="559"/>
      <c r="V120" s="141"/>
      <c r="W120" s="141"/>
      <c r="X120" s="141"/>
      <c r="Y120" s="144"/>
      <c r="Z120" s="141"/>
      <c r="AA120" s="141"/>
      <c r="AB120" s="141"/>
      <c r="AC120" s="141"/>
      <c r="AD120" s="141"/>
      <c r="AE120" s="141"/>
      <c r="AF120" s="145"/>
      <c r="AG120" s="419"/>
    </row>
    <row r="121" spans="1:33" s="139" customFormat="1" ht="12.75" customHeight="1" x14ac:dyDescent="0.2">
      <c r="A121" s="1183"/>
      <c r="B121" s="1183"/>
      <c r="C121" s="1183"/>
      <c r="D121" s="1173"/>
      <c r="E121" s="1108"/>
      <c r="F121" s="1108"/>
      <c r="G121" s="1027"/>
      <c r="H121" s="1027"/>
      <c r="I121" s="1174"/>
      <c r="J121" s="1174"/>
      <c r="K121" s="1174"/>
      <c r="L121" s="1172"/>
      <c r="M121" s="1172"/>
      <c r="N121" s="1175"/>
      <c r="O121" s="1174"/>
      <c r="P121" s="1196"/>
      <c r="Q121" s="1176"/>
      <c r="R121" s="1176"/>
      <c r="S121" s="1177"/>
      <c r="T121" s="1178"/>
      <c r="U121" s="559"/>
      <c r="V121" s="141"/>
      <c r="W121" s="141"/>
      <c r="X121" s="141"/>
      <c r="Y121" s="144"/>
      <c r="Z121" s="141"/>
      <c r="AA121" s="141"/>
      <c r="AB121" s="141"/>
      <c r="AC121" s="141"/>
      <c r="AD121" s="141"/>
      <c r="AE121" s="141"/>
      <c r="AF121" s="145"/>
      <c r="AG121" s="419"/>
    </row>
    <row r="122" spans="1:33" s="139" customFormat="1" ht="12.75" customHeight="1" x14ac:dyDescent="0.2">
      <c r="A122" s="1183"/>
      <c r="B122" s="1183"/>
      <c r="C122" s="1183"/>
      <c r="D122" s="1173"/>
      <c r="E122" s="1108"/>
      <c r="F122" s="1108"/>
      <c r="G122" s="1027"/>
      <c r="H122" s="1027"/>
      <c r="I122" s="1174"/>
      <c r="J122" s="1174"/>
      <c r="K122" s="1174"/>
      <c r="L122" s="1172"/>
      <c r="M122" s="1172"/>
      <c r="N122" s="1175"/>
      <c r="O122" s="1174"/>
      <c r="P122" s="1196"/>
      <c r="Q122" s="1176"/>
      <c r="R122" s="1176"/>
      <c r="S122" s="1177"/>
      <c r="T122" s="1178"/>
      <c r="U122" s="559"/>
      <c r="V122" s="141"/>
      <c r="W122" s="141"/>
      <c r="X122" s="141"/>
      <c r="Y122" s="144"/>
      <c r="Z122" s="141"/>
      <c r="AA122" s="141"/>
      <c r="AB122" s="141"/>
      <c r="AC122" s="141"/>
      <c r="AD122" s="141"/>
      <c r="AE122" s="141"/>
      <c r="AF122" s="141"/>
      <c r="AG122" s="590"/>
    </row>
    <row r="123" spans="1:33" s="139" customFormat="1" ht="12.75" customHeight="1" x14ac:dyDescent="0.2">
      <c r="A123" s="1183"/>
      <c r="B123" s="1183"/>
      <c r="C123" s="1183"/>
      <c r="D123" s="1173"/>
      <c r="E123" s="1108"/>
      <c r="F123" s="1108"/>
      <c r="G123" s="1027"/>
      <c r="H123" s="1027"/>
      <c r="I123" s="1174"/>
      <c r="J123" s="1174"/>
      <c r="K123" s="1174"/>
      <c r="L123" s="1172"/>
      <c r="M123" s="1172"/>
      <c r="N123" s="1175"/>
      <c r="O123" s="1174"/>
      <c r="P123" s="1196"/>
      <c r="Q123" s="1176"/>
      <c r="R123" s="1176"/>
      <c r="S123" s="1177"/>
      <c r="T123" s="1178"/>
      <c r="U123" s="559"/>
      <c r="V123" s="141"/>
      <c r="W123" s="141"/>
      <c r="X123" s="141"/>
      <c r="Y123" s="144"/>
      <c r="Z123" s="141"/>
      <c r="AA123" s="141"/>
      <c r="AB123" s="141"/>
      <c r="AC123" s="141"/>
      <c r="AD123" s="141"/>
      <c r="AE123" s="141"/>
      <c r="AF123" s="1172"/>
      <c r="AG123" s="590"/>
    </row>
    <row r="124" spans="1:33" s="139" customFormat="1" ht="12.75" customHeight="1" x14ac:dyDescent="0.2">
      <c r="A124" s="1183"/>
      <c r="B124" s="1183"/>
      <c r="C124" s="1183"/>
      <c r="D124" s="1173"/>
      <c r="E124" s="1108"/>
      <c r="F124" s="1108"/>
      <c r="G124" s="1027"/>
      <c r="H124" s="1027"/>
      <c r="I124" s="1174"/>
      <c r="J124" s="1174"/>
      <c r="K124" s="1174"/>
      <c r="L124" s="1172"/>
      <c r="M124" s="1172"/>
      <c r="N124" s="1175"/>
      <c r="O124" s="1174"/>
      <c r="P124" s="1196"/>
      <c r="Q124" s="1176"/>
      <c r="R124" s="1176"/>
      <c r="S124" s="1177"/>
      <c r="T124" s="1178"/>
      <c r="U124" s="559"/>
      <c r="V124" s="141"/>
      <c r="W124" s="141"/>
      <c r="X124" s="141"/>
      <c r="Y124" s="144"/>
      <c r="Z124" s="141"/>
      <c r="AA124" s="141"/>
      <c r="AB124" s="141"/>
      <c r="AC124" s="141"/>
      <c r="AD124" s="141"/>
      <c r="AE124" s="141"/>
      <c r="AF124" s="145"/>
      <c r="AG124" s="419"/>
    </row>
    <row r="125" spans="1:33" s="139" customFormat="1" ht="12.75" customHeight="1" x14ac:dyDescent="0.2">
      <c r="A125" s="1183"/>
      <c r="B125" s="1183"/>
      <c r="C125" s="1183"/>
      <c r="D125" s="1173"/>
      <c r="E125" s="1108"/>
      <c r="F125" s="1108"/>
      <c r="G125" s="1027"/>
      <c r="H125" s="1027"/>
      <c r="I125" s="1174"/>
      <c r="J125" s="1174"/>
      <c r="K125" s="1174"/>
      <c r="L125" s="1172"/>
      <c r="M125" s="1172"/>
      <c r="N125" s="1175"/>
      <c r="O125" s="1174"/>
      <c r="P125" s="1196"/>
      <c r="Q125" s="1176"/>
      <c r="R125" s="1176"/>
      <c r="S125" s="1177"/>
      <c r="T125" s="1178"/>
      <c r="U125" s="559"/>
      <c r="V125" s="141"/>
      <c r="W125" s="141"/>
      <c r="X125" s="141"/>
      <c r="Y125" s="144"/>
      <c r="Z125" s="141"/>
      <c r="AA125" s="141"/>
      <c r="AB125" s="141"/>
      <c r="AC125" s="141"/>
      <c r="AD125" s="141"/>
      <c r="AE125" s="141"/>
      <c r="AF125" s="145"/>
      <c r="AG125" s="419"/>
    </row>
    <row r="126" spans="1:33" s="139" customFormat="1" ht="12.75" customHeight="1" x14ac:dyDescent="0.2">
      <c r="A126" s="1183"/>
      <c r="B126" s="1183"/>
      <c r="C126" s="1183"/>
      <c r="D126" s="1173"/>
      <c r="E126" s="1108"/>
      <c r="F126" s="1108"/>
      <c r="G126" s="1027"/>
      <c r="H126" s="1027"/>
      <c r="I126" s="1174"/>
      <c r="J126" s="1174"/>
      <c r="K126" s="1174"/>
      <c r="L126" s="1172"/>
      <c r="M126" s="1172"/>
      <c r="N126" s="1175"/>
      <c r="O126" s="1174"/>
      <c r="P126" s="1196"/>
      <c r="Q126" s="1176"/>
      <c r="R126" s="1176"/>
      <c r="S126" s="1177"/>
      <c r="T126" s="1178"/>
      <c r="U126" s="559"/>
      <c r="V126" s="141"/>
      <c r="W126" s="141"/>
      <c r="X126" s="141"/>
      <c r="Y126" s="144"/>
      <c r="Z126" s="141"/>
      <c r="AA126" s="141"/>
      <c r="AB126" s="141"/>
      <c r="AC126" s="141"/>
      <c r="AD126" s="141"/>
      <c r="AE126" s="141"/>
      <c r="AF126" s="145"/>
      <c r="AG126" s="419"/>
    </row>
    <row r="127" spans="1:33" s="139" customFormat="1" ht="12.75" customHeight="1" x14ac:dyDescent="0.2">
      <c r="A127" s="1183"/>
      <c r="B127" s="1183"/>
      <c r="C127" s="1183"/>
      <c r="D127" s="1173"/>
      <c r="E127" s="1108"/>
      <c r="F127" s="1108"/>
      <c r="G127" s="1027"/>
      <c r="H127" s="1027"/>
      <c r="I127" s="1174"/>
      <c r="J127" s="1174"/>
      <c r="K127" s="1174"/>
      <c r="L127" s="1172"/>
      <c r="M127" s="1172"/>
      <c r="N127" s="1175"/>
      <c r="O127" s="1174"/>
      <c r="P127" s="1196"/>
      <c r="Q127" s="1176"/>
      <c r="R127" s="1176"/>
      <c r="S127" s="1177"/>
      <c r="T127" s="1178"/>
      <c r="U127" s="559"/>
      <c r="V127" s="141"/>
      <c r="W127" s="141"/>
      <c r="X127" s="141"/>
      <c r="Y127" s="144"/>
      <c r="Z127" s="141"/>
      <c r="AA127" s="141"/>
      <c r="AB127" s="141"/>
      <c r="AC127" s="141"/>
      <c r="AD127" s="141"/>
      <c r="AE127" s="141"/>
      <c r="AF127" s="145"/>
      <c r="AG127" s="419"/>
    </row>
    <row r="128" spans="1:33" s="139" customFormat="1" ht="12.75" customHeight="1" x14ac:dyDescent="0.2">
      <c r="A128" s="1183"/>
      <c r="B128" s="1183"/>
      <c r="C128" s="1183"/>
      <c r="D128" s="1173"/>
      <c r="E128" s="1108"/>
      <c r="F128" s="1108"/>
      <c r="G128" s="1027"/>
      <c r="H128" s="1027"/>
      <c r="I128" s="1174"/>
      <c r="J128" s="1174"/>
      <c r="K128" s="1174"/>
      <c r="L128" s="1172"/>
      <c r="M128" s="1172"/>
      <c r="N128" s="1175"/>
      <c r="O128" s="1174"/>
      <c r="P128" s="1196"/>
      <c r="Q128" s="1176"/>
      <c r="R128" s="1176"/>
      <c r="S128" s="1177"/>
      <c r="T128" s="1178"/>
      <c r="U128" s="559"/>
      <c r="V128" s="141"/>
      <c r="W128" s="141"/>
      <c r="X128" s="141"/>
      <c r="Y128" s="144"/>
      <c r="Z128" s="141"/>
      <c r="AA128" s="141"/>
      <c r="AB128" s="141"/>
      <c r="AC128" s="141"/>
      <c r="AD128" s="141"/>
      <c r="AE128" s="141"/>
      <c r="AF128" s="145"/>
      <c r="AG128" s="419"/>
    </row>
    <row r="129" spans="1:33" s="139" customFormat="1" ht="12.75" customHeight="1" x14ac:dyDescent="0.2">
      <c r="A129" s="1183"/>
      <c r="B129" s="1183"/>
      <c r="C129" s="1183"/>
      <c r="D129" s="1173"/>
      <c r="E129" s="1108"/>
      <c r="F129" s="1108"/>
      <c r="G129" s="1027"/>
      <c r="H129" s="1027"/>
      <c r="I129" s="1174"/>
      <c r="J129" s="1174"/>
      <c r="K129" s="1174"/>
      <c r="L129" s="1172"/>
      <c r="M129" s="1172"/>
      <c r="N129" s="1175"/>
      <c r="O129" s="1174"/>
      <c r="P129" s="1196"/>
      <c r="Q129" s="1176"/>
      <c r="R129" s="1176"/>
      <c r="S129" s="1177"/>
      <c r="T129" s="1178"/>
      <c r="U129" s="559"/>
      <c r="V129" s="141"/>
      <c r="W129" s="141"/>
      <c r="X129" s="141"/>
      <c r="Y129" s="144"/>
      <c r="Z129" s="141"/>
      <c r="AA129" s="141"/>
      <c r="AB129" s="141"/>
      <c r="AC129" s="141"/>
      <c r="AD129" s="141"/>
      <c r="AE129" s="141"/>
      <c r="AF129" s="145"/>
      <c r="AG129" s="419"/>
    </row>
    <row r="130" spans="1:33" s="139" customFormat="1" ht="12.75" customHeight="1" x14ac:dyDescent="0.2">
      <c r="A130" s="1183"/>
      <c r="B130" s="1183"/>
      <c r="C130" s="1183"/>
      <c r="D130" s="1173"/>
      <c r="E130" s="1108"/>
      <c r="F130" s="1108"/>
      <c r="G130" s="1027"/>
      <c r="H130" s="1027"/>
      <c r="I130" s="1174"/>
      <c r="J130" s="1174"/>
      <c r="K130" s="1174"/>
      <c r="L130" s="1172"/>
      <c r="M130" s="1172"/>
      <c r="N130" s="1175"/>
      <c r="O130" s="1174"/>
      <c r="P130" s="1196"/>
      <c r="Q130" s="1176"/>
      <c r="R130" s="1176"/>
      <c r="S130" s="1177"/>
      <c r="T130" s="1178"/>
      <c r="U130" s="559"/>
      <c r="V130" s="141"/>
      <c r="W130" s="141"/>
      <c r="X130" s="141"/>
      <c r="Y130" s="144"/>
      <c r="Z130" s="141"/>
      <c r="AA130" s="141"/>
      <c r="AB130" s="141"/>
      <c r="AC130" s="141"/>
      <c r="AD130" s="141"/>
      <c r="AE130" s="141"/>
      <c r="AF130" s="145"/>
      <c r="AG130" s="419"/>
    </row>
    <row r="131" spans="1:33" s="139" customFormat="1" ht="12.75" customHeight="1" x14ac:dyDescent="0.2">
      <c r="A131" s="1183"/>
      <c r="B131" s="1183"/>
      <c r="C131" s="1183"/>
      <c r="D131" s="1173"/>
      <c r="E131" s="1108"/>
      <c r="F131" s="1108"/>
      <c r="G131" s="1027"/>
      <c r="H131" s="1027"/>
      <c r="I131" s="1174"/>
      <c r="J131" s="1174"/>
      <c r="K131" s="1174"/>
      <c r="L131" s="1172"/>
      <c r="M131" s="1172"/>
      <c r="N131" s="1175"/>
      <c r="O131" s="1174"/>
      <c r="P131" s="1196"/>
      <c r="Q131" s="1176"/>
      <c r="R131" s="1176"/>
      <c r="S131" s="1177"/>
      <c r="T131" s="1178"/>
      <c r="U131" s="559"/>
      <c r="V131" s="141"/>
      <c r="W131" s="141"/>
      <c r="X131" s="141"/>
      <c r="Y131" s="144"/>
      <c r="Z131" s="141"/>
      <c r="AA131" s="141"/>
      <c r="AB131" s="141"/>
      <c r="AC131" s="141"/>
      <c r="AD131" s="141"/>
      <c r="AE131" s="141"/>
      <c r="AF131" s="145"/>
      <c r="AG131" s="419"/>
    </row>
    <row r="132" spans="1:33" s="139" customFormat="1" ht="12.75" customHeight="1" x14ac:dyDescent="0.2">
      <c r="A132" s="1183"/>
      <c r="B132" s="1183"/>
      <c r="C132" s="1183"/>
      <c r="D132" s="1173"/>
      <c r="E132" s="1108"/>
      <c r="F132" s="1108"/>
      <c r="G132" s="1027"/>
      <c r="H132" s="1027"/>
      <c r="I132" s="1174"/>
      <c r="J132" s="1174"/>
      <c r="K132" s="1174"/>
      <c r="L132" s="1172"/>
      <c r="M132" s="1172"/>
      <c r="N132" s="1175"/>
      <c r="O132" s="1174"/>
      <c r="P132" s="1196"/>
      <c r="Q132" s="1176"/>
      <c r="R132" s="1176"/>
      <c r="S132" s="1177"/>
      <c r="T132" s="1178"/>
      <c r="U132" s="559"/>
      <c r="V132" s="141"/>
      <c r="W132" s="141"/>
      <c r="X132" s="141"/>
      <c r="Y132" s="144"/>
      <c r="Z132" s="141"/>
      <c r="AA132" s="141"/>
      <c r="AB132" s="141"/>
      <c r="AC132" s="141"/>
      <c r="AD132" s="141"/>
      <c r="AE132" s="141"/>
      <c r="AF132" s="1172"/>
      <c r="AG132" s="590"/>
    </row>
    <row r="133" spans="1:33" s="139" customFormat="1" ht="12.75" customHeight="1" x14ac:dyDescent="0.2">
      <c r="A133" s="1183"/>
      <c r="B133" s="1183"/>
      <c r="C133" s="1183"/>
      <c r="D133" s="1173"/>
      <c r="E133" s="1108"/>
      <c r="F133" s="1108"/>
      <c r="G133" s="1027"/>
      <c r="H133" s="1027"/>
      <c r="I133" s="1174"/>
      <c r="J133" s="1174"/>
      <c r="K133" s="1174"/>
      <c r="L133" s="1172"/>
      <c r="M133" s="1172"/>
      <c r="N133" s="1175"/>
      <c r="O133" s="1174"/>
      <c r="P133" s="1196"/>
      <c r="Q133" s="1176"/>
      <c r="R133" s="1176"/>
      <c r="S133" s="1177"/>
      <c r="T133" s="1178"/>
      <c r="U133" s="559"/>
      <c r="V133" s="141"/>
      <c r="W133" s="141"/>
      <c r="X133" s="141"/>
      <c r="Y133" s="144"/>
      <c r="Z133" s="141"/>
      <c r="AA133" s="141"/>
      <c r="AB133" s="141"/>
      <c r="AC133" s="141"/>
      <c r="AD133" s="141"/>
      <c r="AE133" s="141"/>
      <c r="AF133" s="145"/>
      <c r="AG133" s="419"/>
    </row>
    <row r="134" spans="1:33" s="139" customFormat="1" ht="12.75" customHeight="1" x14ac:dyDescent="0.2">
      <c r="A134" s="1183"/>
      <c r="B134" s="1183"/>
      <c r="C134" s="1183"/>
      <c r="D134" s="1173"/>
      <c r="E134" s="1108"/>
      <c r="F134" s="1108"/>
      <c r="G134" s="1027"/>
      <c r="H134" s="1027"/>
      <c r="I134" s="1174"/>
      <c r="J134" s="1174"/>
      <c r="K134" s="1174"/>
      <c r="L134" s="1172"/>
      <c r="M134" s="1172"/>
      <c r="N134" s="1175"/>
      <c r="O134" s="1174"/>
      <c r="P134" s="1196"/>
      <c r="Q134" s="1176"/>
      <c r="R134" s="1176"/>
      <c r="S134" s="1177"/>
      <c r="T134" s="1178"/>
      <c r="U134" s="559"/>
      <c r="V134" s="141"/>
      <c r="W134" s="141"/>
      <c r="X134" s="141"/>
      <c r="Y134" s="144"/>
      <c r="Z134" s="141"/>
      <c r="AA134" s="141"/>
      <c r="AB134" s="141"/>
      <c r="AC134" s="141"/>
      <c r="AD134" s="141"/>
      <c r="AE134" s="141"/>
      <c r="AF134" s="145"/>
      <c r="AG134" s="419"/>
    </row>
    <row r="135" spans="1:33" s="139" customFormat="1" ht="12.75" customHeight="1" x14ac:dyDescent="0.2">
      <c r="A135" s="1183"/>
      <c r="B135" s="1183"/>
      <c r="C135" s="1183"/>
      <c r="D135" s="1173"/>
      <c r="E135" s="1108"/>
      <c r="F135" s="1108"/>
      <c r="G135" s="1027"/>
      <c r="H135" s="1027"/>
      <c r="I135" s="1174"/>
      <c r="J135" s="1174"/>
      <c r="K135" s="1174"/>
      <c r="L135" s="1172"/>
      <c r="M135" s="1172"/>
      <c r="N135" s="1175"/>
      <c r="O135" s="1174"/>
      <c r="P135" s="1196"/>
      <c r="Q135" s="1176"/>
      <c r="R135" s="1176"/>
      <c r="S135" s="1177"/>
      <c r="T135" s="1178"/>
      <c r="U135" s="559"/>
      <c r="V135" s="141"/>
      <c r="W135" s="141"/>
      <c r="X135" s="141"/>
      <c r="Y135" s="144"/>
      <c r="Z135" s="141"/>
      <c r="AA135" s="141"/>
      <c r="AB135" s="141"/>
      <c r="AC135" s="141"/>
      <c r="AD135" s="141"/>
      <c r="AE135" s="141"/>
      <c r="AF135" s="145"/>
      <c r="AG135" s="419"/>
    </row>
    <row r="136" spans="1:33" s="139" customFormat="1" ht="12.75" customHeight="1" x14ac:dyDescent="0.2">
      <c r="A136" s="1183"/>
      <c r="B136" s="1183"/>
      <c r="C136" s="1183"/>
      <c r="D136" s="1173"/>
      <c r="E136" s="1108"/>
      <c r="F136" s="1108"/>
      <c r="G136" s="1027"/>
      <c r="H136" s="1027"/>
      <c r="I136" s="1174"/>
      <c r="J136" s="1174"/>
      <c r="K136" s="1174"/>
      <c r="L136" s="1172"/>
      <c r="M136" s="1172"/>
      <c r="N136" s="1175"/>
      <c r="O136" s="1174"/>
      <c r="P136" s="1196"/>
      <c r="Q136" s="1176"/>
      <c r="R136" s="1176"/>
      <c r="S136" s="1177"/>
      <c r="T136" s="1178"/>
      <c r="U136" s="559"/>
      <c r="V136" s="141"/>
      <c r="W136" s="141"/>
      <c r="X136" s="141"/>
      <c r="Y136" s="144"/>
      <c r="Z136" s="141"/>
      <c r="AA136" s="141"/>
      <c r="AB136" s="141"/>
      <c r="AC136" s="141"/>
      <c r="AD136" s="141"/>
      <c r="AE136" s="141"/>
      <c r="AF136" s="145"/>
      <c r="AG136" s="419"/>
    </row>
    <row r="137" spans="1:33" s="139" customFormat="1" ht="12.75" customHeight="1" x14ac:dyDescent="0.2">
      <c r="A137" s="1183"/>
      <c r="B137" s="1183"/>
      <c r="C137" s="1183"/>
      <c r="D137" s="1173"/>
      <c r="E137" s="1108"/>
      <c r="F137" s="1108"/>
      <c r="G137" s="1027"/>
      <c r="H137" s="1027"/>
      <c r="I137" s="1174"/>
      <c r="J137" s="1174"/>
      <c r="K137" s="1174"/>
      <c r="L137" s="1172"/>
      <c r="M137" s="1172"/>
      <c r="N137" s="1175"/>
      <c r="O137" s="1174"/>
      <c r="P137" s="1196"/>
      <c r="Q137" s="1176"/>
      <c r="R137" s="1176"/>
      <c r="S137" s="1177"/>
      <c r="T137" s="1178"/>
      <c r="U137" s="559"/>
      <c r="V137" s="141"/>
      <c r="W137" s="141"/>
      <c r="X137" s="141"/>
      <c r="Y137" s="144"/>
      <c r="Z137" s="141"/>
      <c r="AA137" s="141"/>
      <c r="AB137" s="141"/>
      <c r="AC137" s="141"/>
      <c r="AD137" s="141"/>
      <c r="AE137" s="141"/>
      <c r="AF137" s="145"/>
      <c r="AG137" s="419"/>
    </row>
    <row r="138" spans="1:33" s="139" customFormat="1" ht="12.75" customHeight="1" x14ac:dyDescent="0.2">
      <c r="A138" s="1183"/>
      <c r="B138" s="1183"/>
      <c r="C138" s="1183"/>
      <c r="D138" s="1173"/>
      <c r="E138" s="1108"/>
      <c r="F138" s="1108"/>
      <c r="G138" s="1027"/>
      <c r="H138" s="1027"/>
      <c r="I138" s="1174"/>
      <c r="J138" s="1174"/>
      <c r="K138" s="1174"/>
      <c r="L138" s="1172"/>
      <c r="M138" s="1172"/>
      <c r="N138" s="1175"/>
      <c r="O138" s="1174"/>
      <c r="P138" s="1196"/>
      <c r="Q138" s="1176"/>
      <c r="R138" s="1176"/>
      <c r="S138" s="1177"/>
      <c r="T138" s="1178"/>
      <c r="U138" s="559"/>
      <c r="V138" s="141"/>
      <c r="W138" s="141"/>
      <c r="X138" s="141"/>
      <c r="Y138" s="144"/>
      <c r="Z138" s="141"/>
      <c r="AA138" s="141"/>
      <c r="AB138" s="141"/>
      <c r="AC138" s="141"/>
      <c r="AD138" s="141"/>
      <c r="AE138" s="141"/>
      <c r="AF138" s="145"/>
      <c r="AG138" s="419"/>
    </row>
    <row r="139" spans="1:33" s="139" customFormat="1" ht="12.75" customHeight="1" x14ac:dyDescent="0.2">
      <c r="A139" s="1183"/>
      <c r="B139" s="1183"/>
      <c r="C139" s="1183"/>
      <c r="D139" s="1173"/>
      <c r="E139" s="1108"/>
      <c r="F139" s="1108"/>
      <c r="G139" s="1027"/>
      <c r="H139" s="1027"/>
      <c r="I139" s="1174"/>
      <c r="J139" s="1174"/>
      <c r="K139" s="1174"/>
      <c r="L139" s="1172"/>
      <c r="M139" s="1172"/>
      <c r="N139" s="1175"/>
      <c r="O139" s="1174"/>
      <c r="P139" s="1196"/>
      <c r="Q139" s="1176"/>
      <c r="R139" s="1176"/>
      <c r="S139" s="1177"/>
      <c r="T139" s="1178"/>
      <c r="U139" s="559"/>
      <c r="V139" s="141"/>
      <c r="W139" s="141"/>
      <c r="X139" s="141"/>
      <c r="Y139" s="144"/>
      <c r="Z139" s="141"/>
      <c r="AA139" s="141"/>
      <c r="AB139" s="141"/>
      <c r="AC139" s="141"/>
      <c r="AD139" s="141"/>
      <c r="AE139" s="141"/>
      <c r="AF139" s="145"/>
      <c r="AG139" s="419"/>
    </row>
    <row r="140" spans="1:33" s="139" customFormat="1" ht="12.75" customHeight="1" x14ac:dyDescent="0.2">
      <c r="A140" s="1183"/>
      <c r="B140" s="1183"/>
      <c r="C140" s="1183"/>
      <c r="D140" s="1173"/>
      <c r="E140" s="1108"/>
      <c r="F140" s="1108"/>
      <c r="G140" s="1027"/>
      <c r="H140" s="1027"/>
      <c r="I140" s="1174"/>
      <c r="J140" s="1174"/>
      <c r="K140" s="1174"/>
      <c r="L140" s="1172"/>
      <c r="M140" s="1172"/>
      <c r="N140" s="1175"/>
      <c r="O140" s="1174"/>
      <c r="P140" s="1196"/>
      <c r="Q140" s="1176"/>
      <c r="R140" s="1176"/>
      <c r="S140" s="1177"/>
      <c r="T140" s="1178"/>
      <c r="U140" s="559"/>
      <c r="V140" s="141"/>
      <c r="W140" s="141"/>
      <c r="X140" s="141"/>
      <c r="Y140" s="144"/>
      <c r="Z140" s="141"/>
      <c r="AA140" s="141"/>
      <c r="AB140" s="141"/>
      <c r="AC140" s="141"/>
      <c r="AD140" s="141"/>
      <c r="AE140" s="141"/>
      <c r="AF140" s="145"/>
      <c r="AG140" s="419"/>
    </row>
    <row r="141" spans="1:33" s="139" customFormat="1" ht="12.75" customHeight="1" x14ac:dyDescent="0.2">
      <c r="A141" s="1183"/>
      <c r="B141" s="1183"/>
      <c r="C141" s="1183"/>
      <c r="D141" s="1173"/>
      <c r="E141" s="1108"/>
      <c r="F141" s="1108"/>
      <c r="G141" s="1027"/>
      <c r="H141" s="1027"/>
      <c r="I141" s="1174"/>
      <c r="J141" s="1174"/>
      <c r="K141" s="1174"/>
      <c r="L141" s="1172"/>
      <c r="M141" s="1172"/>
      <c r="N141" s="1175"/>
      <c r="O141" s="1174"/>
      <c r="P141" s="1196"/>
      <c r="Q141" s="1176"/>
      <c r="R141" s="1176"/>
      <c r="S141" s="1177"/>
      <c r="T141" s="1178"/>
      <c r="U141" s="559"/>
      <c r="V141" s="141"/>
      <c r="W141" s="141"/>
      <c r="X141" s="141"/>
      <c r="Y141" s="144"/>
      <c r="Z141" s="141"/>
      <c r="AA141" s="141"/>
      <c r="AB141" s="141"/>
      <c r="AC141" s="141"/>
      <c r="AD141" s="141"/>
      <c r="AE141" s="141"/>
      <c r="AF141" s="145"/>
      <c r="AG141" s="419"/>
    </row>
    <row r="142" spans="1:33" s="139" customFormat="1" ht="12.75" customHeight="1" x14ac:dyDescent="0.2">
      <c r="A142" s="1183"/>
      <c r="B142" s="1183"/>
      <c r="C142" s="1183"/>
      <c r="D142" s="1173"/>
      <c r="E142" s="1108"/>
      <c r="F142" s="1108"/>
      <c r="G142" s="1027"/>
      <c r="H142" s="1027"/>
      <c r="I142" s="1174"/>
      <c r="J142" s="1174"/>
      <c r="K142" s="1174"/>
      <c r="L142" s="1172"/>
      <c r="M142" s="1172"/>
      <c r="N142" s="1175"/>
      <c r="O142" s="1174"/>
      <c r="P142" s="1196"/>
      <c r="Q142" s="1176"/>
      <c r="R142" s="1176"/>
      <c r="S142" s="1177"/>
      <c r="T142" s="1178"/>
      <c r="U142" s="559"/>
      <c r="V142" s="141"/>
      <c r="W142" s="141"/>
      <c r="X142" s="141"/>
      <c r="Y142" s="144"/>
      <c r="Z142" s="141"/>
      <c r="AA142" s="141"/>
      <c r="AB142" s="141"/>
      <c r="AC142" s="141"/>
      <c r="AD142" s="141"/>
      <c r="AE142" s="141"/>
      <c r="AF142" s="145"/>
      <c r="AG142" s="419"/>
    </row>
    <row r="143" spans="1:33" s="139" customFormat="1" ht="12.75" customHeight="1" x14ac:dyDescent="0.2">
      <c r="A143" s="1183"/>
      <c r="B143" s="1183"/>
      <c r="C143" s="1183"/>
      <c r="D143" s="1173"/>
      <c r="E143" s="1108"/>
      <c r="F143" s="1108"/>
      <c r="G143" s="1027"/>
      <c r="H143" s="1027"/>
      <c r="I143" s="1174"/>
      <c r="J143" s="1174"/>
      <c r="K143" s="1174"/>
      <c r="L143" s="1172"/>
      <c r="M143" s="1172"/>
      <c r="N143" s="1175"/>
      <c r="O143" s="1174"/>
      <c r="P143" s="1196"/>
      <c r="Q143" s="1176"/>
      <c r="R143" s="1176"/>
      <c r="S143" s="1177"/>
      <c r="T143" s="1178"/>
      <c r="U143" s="559"/>
      <c r="V143" s="141"/>
      <c r="W143" s="141"/>
      <c r="X143" s="141"/>
      <c r="Y143" s="144"/>
      <c r="Z143" s="141"/>
      <c r="AA143" s="141"/>
      <c r="AB143" s="141"/>
      <c r="AC143" s="141"/>
      <c r="AD143" s="141"/>
      <c r="AE143" s="141"/>
      <c r="AF143" s="145"/>
      <c r="AG143" s="419"/>
    </row>
    <row r="144" spans="1:33" s="139" customFormat="1" ht="12.75" customHeight="1" x14ac:dyDescent="0.2">
      <c r="A144" s="1183"/>
      <c r="B144" s="1183"/>
      <c r="C144" s="1183"/>
      <c r="D144" s="1173"/>
      <c r="E144" s="1108"/>
      <c r="F144" s="1108"/>
      <c r="G144" s="1027"/>
      <c r="H144" s="1027"/>
      <c r="I144" s="1174"/>
      <c r="J144" s="1174"/>
      <c r="K144" s="1174"/>
      <c r="L144" s="1172"/>
      <c r="M144" s="1172"/>
      <c r="N144" s="1175"/>
      <c r="O144" s="143"/>
      <c r="P144" s="1196"/>
      <c r="Q144" s="146"/>
      <c r="R144" s="146"/>
      <c r="S144" s="147"/>
      <c r="T144" s="589"/>
      <c r="U144" s="559"/>
      <c r="V144" s="141"/>
      <c r="W144" s="141"/>
      <c r="X144" s="141"/>
      <c r="Y144" s="144"/>
      <c r="Z144" s="141"/>
      <c r="AA144" s="141"/>
      <c r="AB144" s="141"/>
      <c r="AC144" s="141"/>
      <c r="AD144" s="141"/>
      <c r="AE144" s="141"/>
      <c r="AF144" s="1172"/>
      <c r="AG144" s="590"/>
    </row>
    <row r="145" spans="1:33" s="139" customFormat="1" ht="12.75" customHeight="1" x14ac:dyDescent="0.2">
      <c r="A145" s="1183"/>
      <c r="B145" s="1183"/>
      <c r="C145" s="1183"/>
      <c r="D145" s="1173"/>
      <c r="E145" s="1108"/>
      <c r="F145" s="1108"/>
      <c r="G145" s="1027"/>
      <c r="H145" s="1027"/>
      <c r="I145" s="1174"/>
      <c r="J145" s="1174"/>
      <c r="K145" s="1174"/>
      <c r="L145" s="1172"/>
      <c r="M145" s="1172"/>
      <c r="N145" s="1175"/>
      <c r="O145" s="143"/>
      <c r="P145" s="1196"/>
      <c r="Q145" s="146"/>
      <c r="R145" s="146"/>
      <c r="S145" s="147"/>
      <c r="T145" s="589"/>
      <c r="U145" s="559"/>
      <c r="V145" s="141"/>
      <c r="W145" s="141"/>
      <c r="X145" s="141"/>
      <c r="Y145" s="144"/>
      <c r="Z145" s="141"/>
      <c r="AA145" s="141"/>
      <c r="AB145" s="141"/>
      <c r="AC145" s="141"/>
      <c r="AD145" s="141"/>
      <c r="AE145" s="141"/>
      <c r="AF145" s="145"/>
      <c r="AG145" s="419"/>
    </row>
    <row r="146" spans="1:33" s="139" customFormat="1" ht="12.75" customHeight="1" x14ac:dyDescent="0.2">
      <c r="A146" s="1183"/>
      <c r="B146" s="1183"/>
      <c r="C146" s="1183"/>
      <c r="D146" s="1173"/>
      <c r="E146" s="1108"/>
      <c r="F146" s="1108"/>
      <c r="G146" s="1027"/>
      <c r="H146" s="1027"/>
      <c r="I146" s="1174"/>
      <c r="J146" s="1174"/>
      <c r="K146" s="1174"/>
      <c r="L146" s="1172"/>
      <c r="M146" s="1172"/>
      <c r="N146" s="1175"/>
      <c r="O146" s="143"/>
      <c r="P146" s="1196"/>
      <c r="Q146" s="146"/>
      <c r="R146" s="146"/>
      <c r="S146" s="147"/>
      <c r="T146" s="589"/>
      <c r="U146" s="559"/>
      <c r="V146" s="141"/>
      <c r="W146" s="141"/>
      <c r="X146" s="141"/>
      <c r="Y146" s="144"/>
      <c r="Z146" s="141"/>
      <c r="AA146" s="141"/>
      <c r="AB146" s="141"/>
      <c r="AC146" s="141"/>
      <c r="AD146" s="141"/>
      <c r="AE146" s="141"/>
      <c r="AF146" s="141"/>
      <c r="AG146" s="590"/>
    </row>
    <row r="147" spans="1:33" s="139" customFormat="1" ht="12.75" customHeight="1" x14ac:dyDescent="0.2">
      <c r="A147" s="1183"/>
      <c r="B147" s="1183"/>
      <c r="C147" s="1183"/>
      <c r="D147" s="1173"/>
      <c r="E147" s="1108"/>
      <c r="F147" s="1108"/>
      <c r="G147" s="1027"/>
      <c r="H147" s="1027"/>
      <c r="I147" s="1174"/>
      <c r="J147" s="1174"/>
      <c r="K147" s="1174"/>
      <c r="L147" s="1172"/>
      <c r="M147" s="1172"/>
      <c r="N147" s="1175"/>
      <c r="O147" s="143"/>
      <c r="P147" s="1196"/>
      <c r="Q147" s="146"/>
      <c r="R147" s="146"/>
      <c r="S147" s="147"/>
      <c r="T147" s="589"/>
      <c r="U147" s="559"/>
      <c r="V147" s="141"/>
      <c r="W147" s="141"/>
      <c r="X147" s="141"/>
      <c r="Y147" s="144"/>
      <c r="Z147" s="141"/>
      <c r="AA147" s="141"/>
      <c r="AB147" s="141"/>
      <c r="AC147" s="141"/>
      <c r="AD147" s="141"/>
      <c r="AE147" s="141"/>
      <c r="AF147" s="141"/>
      <c r="AG147" s="590"/>
    </row>
    <row r="148" spans="1:33" s="139" customFormat="1" ht="12.75" customHeight="1" x14ac:dyDescent="0.2">
      <c r="A148" s="1183"/>
      <c r="B148" s="1183"/>
      <c r="C148" s="1183"/>
      <c r="D148" s="1173"/>
      <c r="E148" s="1108"/>
      <c r="F148" s="1108"/>
      <c r="G148" s="1027"/>
      <c r="H148" s="1027"/>
      <c r="I148" s="1174"/>
      <c r="J148" s="1174"/>
      <c r="K148" s="1174"/>
      <c r="L148" s="1172"/>
      <c r="M148" s="1172"/>
      <c r="N148" s="1175"/>
      <c r="O148" s="143"/>
      <c r="P148" s="1196"/>
      <c r="Q148" s="146"/>
      <c r="R148" s="146"/>
      <c r="S148" s="147"/>
      <c r="T148" s="589"/>
      <c r="U148" s="559"/>
      <c r="V148" s="141"/>
      <c r="W148" s="141"/>
      <c r="X148" s="141"/>
      <c r="Y148" s="144"/>
      <c r="Z148" s="141"/>
      <c r="AA148" s="141"/>
      <c r="AB148" s="141"/>
      <c r="AC148" s="141"/>
      <c r="AD148" s="141"/>
      <c r="AE148" s="141"/>
      <c r="AF148" s="141"/>
      <c r="AG148" s="590"/>
    </row>
    <row r="149" spans="1:33" s="139" customFormat="1" ht="12.75" customHeight="1" x14ac:dyDescent="0.2">
      <c r="A149" s="1183"/>
      <c r="B149" s="1183"/>
      <c r="C149" s="1183"/>
      <c r="D149" s="1173"/>
      <c r="E149" s="1108"/>
      <c r="F149" s="1108"/>
      <c r="G149" s="1027"/>
      <c r="H149" s="1027"/>
      <c r="I149" s="1174"/>
      <c r="J149" s="1174"/>
      <c r="K149" s="1174"/>
      <c r="L149" s="1172"/>
      <c r="M149" s="1172"/>
      <c r="N149" s="1175"/>
      <c r="O149" s="143"/>
      <c r="P149" s="1196"/>
      <c r="Q149" s="146"/>
      <c r="R149" s="146"/>
      <c r="S149" s="147"/>
      <c r="T149" s="589"/>
      <c r="U149" s="559"/>
      <c r="V149" s="141"/>
      <c r="W149" s="141"/>
      <c r="X149" s="141"/>
      <c r="Y149" s="144"/>
      <c r="Z149" s="141"/>
      <c r="AA149" s="141"/>
      <c r="AB149" s="141"/>
      <c r="AC149" s="141"/>
      <c r="AD149" s="141"/>
      <c r="AE149" s="141"/>
      <c r="AF149" s="145"/>
      <c r="AG149" s="419"/>
    </row>
    <row r="150" spans="1:33" s="139" customFormat="1" ht="12.75" customHeight="1" x14ac:dyDescent="0.2">
      <c r="A150" s="1183"/>
      <c r="B150" s="1183"/>
      <c r="C150" s="1183"/>
      <c r="D150" s="1173"/>
      <c r="E150" s="1108"/>
      <c r="F150" s="1108"/>
      <c r="G150" s="1027"/>
      <c r="H150" s="1027"/>
      <c r="I150" s="1174"/>
      <c r="J150" s="1174"/>
      <c r="K150" s="1174"/>
      <c r="L150" s="1172"/>
      <c r="M150" s="1172"/>
      <c r="N150" s="1175"/>
      <c r="O150" s="143"/>
      <c r="P150" s="1196"/>
      <c r="Q150" s="146"/>
      <c r="R150" s="146"/>
      <c r="S150" s="147"/>
      <c r="T150" s="589"/>
      <c r="U150" s="559"/>
      <c r="V150" s="141"/>
      <c r="W150" s="141"/>
      <c r="X150" s="141"/>
      <c r="Y150" s="144"/>
      <c r="Z150" s="141"/>
      <c r="AA150" s="141"/>
      <c r="AB150" s="141"/>
      <c r="AC150" s="141"/>
      <c r="AD150" s="141"/>
      <c r="AE150" s="141"/>
      <c r="AF150" s="145"/>
      <c r="AG150" s="419"/>
    </row>
    <row r="151" spans="1:33" s="139" customFormat="1" ht="12.75" customHeight="1" x14ac:dyDescent="0.2">
      <c r="A151" s="1183"/>
      <c r="B151" s="1183"/>
      <c r="C151" s="1183"/>
      <c r="D151" s="1173"/>
      <c r="E151" s="1108"/>
      <c r="F151" s="1108"/>
      <c r="G151" s="1027"/>
      <c r="H151" s="1027"/>
      <c r="I151" s="1174"/>
      <c r="J151" s="1174"/>
      <c r="K151" s="1174"/>
      <c r="L151" s="1172"/>
      <c r="M151" s="1172"/>
      <c r="N151" s="1175"/>
      <c r="O151" s="143"/>
      <c r="P151" s="1196"/>
      <c r="Q151" s="146"/>
      <c r="R151" s="146"/>
      <c r="S151" s="147"/>
      <c r="T151" s="589"/>
      <c r="U151" s="559"/>
      <c r="V151" s="141"/>
      <c r="W151" s="141"/>
      <c r="X151" s="141"/>
      <c r="Y151" s="144"/>
      <c r="Z151" s="141"/>
      <c r="AA151" s="141"/>
      <c r="AB151" s="141"/>
      <c r="AC151" s="141"/>
      <c r="AD151" s="141"/>
      <c r="AE151" s="141"/>
      <c r="AF151" s="145"/>
      <c r="AG151" s="419"/>
    </row>
    <row r="152" spans="1:33" s="139" customFormat="1" ht="12.75" customHeight="1" x14ac:dyDescent="0.2">
      <c r="A152" s="1183"/>
      <c r="B152" s="1183"/>
      <c r="C152" s="1183"/>
      <c r="D152" s="1173"/>
      <c r="E152" s="1108"/>
      <c r="F152" s="1108"/>
      <c r="G152" s="1027"/>
      <c r="H152" s="1027"/>
      <c r="I152" s="1174"/>
      <c r="J152" s="1174"/>
      <c r="K152" s="1174"/>
      <c r="L152" s="1172"/>
      <c r="M152" s="1172"/>
      <c r="N152" s="1175"/>
      <c r="O152" s="143"/>
      <c r="P152" s="1196"/>
      <c r="Q152" s="146"/>
      <c r="R152" s="146"/>
      <c r="S152" s="147"/>
      <c r="T152" s="589"/>
      <c r="U152" s="559"/>
      <c r="V152" s="141"/>
      <c r="W152" s="141"/>
      <c r="X152" s="141"/>
      <c r="Y152" s="144"/>
      <c r="Z152" s="141"/>
      <c r="AA152" s="141"/>
      <c r="AB152" s="141"/>
      <c r="AC152" s="141"/>
      <c r="AD152" s="141"/>
      <c r="AE152" s="141"/>
      <c r="AF152" s="145"/>
      <c r="AG152" s="419"/>
    </row>
    <row r="153" spans="1:33" s="139" customFormat="1" ht="12.75" customHeight="1" x14ac:dyDescent="0.2">
      <c r="A153" s="1183"/>
      <c r="B153" s="1183"/>
      <c r="C153" s="1183"/>
      <c r="D153" s="1173"/>
      <c r="E153" s="1108"/>
      <c r="F153" s="1108"/>
      <c r="G153" s="1027"/>
      <c r="H153" s="1027"/>
      <c r="I153" s="1174"/>
      <c r="J153" s="1174"/>
      <c r="K153" s="1174"/>
      <c r="L153" s="1172"/>
      <c r="M153" s="1172"/>
      <c r="N153" s="1175"/>
      <c r="O153" s="143"/>
      <c r="P153" s="1196"/>
      <c r="Q153" s="146"/>
      <c r="R153" s="146"/>
      <c r="S153" s="147"/>
      <c r="T153" s="589"/>
      <c r="U153" s="559"/>
      <c r="V153" s="141"/>
      <c r="W153" s="141"/>
      <c r="X153" s="141"/>
      <c r="Y153" s="144"/>
      <c r="Z153" s="141"/>
      <c r="AA153" s="141"/>
      <c r="AB153" s="141"/>
      <c r="AC153" s="141"/>
      <c r="AD153" s="141"/>
      <c r="AE153" s="141"/>
      <c r="AF153" s="145"/>
      <c r="AG153" s="419"/>
    </row>
    <row r="154" spans="1:33" s="139" customFormat="1" ht="12.75" customHeight="1" x14ac:dyDescent="0.2">
      <c r="A154" s="1183"/>
      <c r="B154" s="1183"/>
      <c r="C154" s="1183"/>
      <c r="D154" s="1173"/>
      <c r="E154" s="1108"/>
      <c r="F154" s="1108"/>
      <c r="G154" s="1027"/>
      <c r="H154" s="1027"/>
      <c r="I154" s="1174"/>
      <c r="J154" s="1174"/>
      <c r="K154" s="1174"/>
      <c r="L154" s="1172"/>
      <c r="M154" s="1172"/>
      <c r="N154" s="1175"/>
      <c r="O154" s="143"/>
      <c r="P154" s="1196"/>
      <c r="Q154" s="146"/>
      <c r="R154" s="146"/>
      <c r="S154" s="147"/>
      <c r="T154" s="589"/>
      <c r="U154" s="559"/>
      <c r="V154" s="141"/>
      <c r="W154" s="141"/>
      <c r="X154" s="141"/>
      <c r="Y154" s="144"/>
      <c r="Z154" s="141"/>
      <c r="AA154" s="141"/>
      <c r="AB154" s="141"/>
      <c r="AC154" s="141"/>
      <c r="AD154" s="141"/>
      <c r="AE154" s="141"/>
      <c r="AF154" s="145"/>
      <c r="AG154" s="419"/>
    </row>
    <row r="155" spans="1:33" s="139" customFormat="1" ht="12.75" customHeight="1" x14ac:dyDescent="0.2">
      <c r="A155" s="1183"/>
      <c r="B155" s="1183"/>
      <c r="C155" s="1183"/>
      <c r="D155" s="1173"/>
      <c r="E155" s="1108"/>
      <c r="F155" s="1108"/>
      <c r="G155" s="1027"/>
      <c r="H155" s="1027"/>
      <c r="I155" s="1174"/>
      <c r="J155" s="1174"/>
      <c r="K155" s="1174"/>
      <c r="L155" s="1172"/>
      <c r="M155" s="1172"/>
      <c r="N155" s="1175"/>
      <c r="O155" s="143"/>
      <c r="P155" s="1196"/>
      <c r="Q155" s="146"/>
      <c r="R155" s="146"/>
      <c r="S155" s="147"/>
      <c r="T155" s="589"/>
      <c r="U155" s="559"/>
      <c r="V155" s="141"/>
      <c r="W155" s="141"/>
      <c r="X155" s="141"/>
      <c r="Y155" s="144"/>
      <c r="Z155" s="141"/>
      <c r="AA155" s="141"/>
      <c r="AB155" s="141"/>
      <c r="AC155" s="141"/>
      <c r="AD155" s="141"/>
      <c r="AE155" s="141"/>
      <c r="AF155" s="145"/>
      <c r="AG155" s="419"/>
    </row>
    <row r="156" spans="1:33" s="139" customFormat="1" ht="12.75" customHeight="1" x14ac:dyDescent="0.2">
      <c r="A156" s="1183"/>
      <c r="B156" s="1183"/>
      <c r="C156" s="1183"/>
      <c r="D156" s="1173"/>
      <c r="E156" s="1108"/>
      <c r="F156" s="1108"/>
      <c r="G156" s="1027"/>
      <c r="H156" s="1027"/>
      <c r="I156" s="1174"/>
      <c r="J156" s="1174"/>
      <c r="K156" s="1174"/>
      <c r="L156" s="1172"/>
      <c r="M156" s="1172"/>
      <c r="N156" s="1175"/>
      <c r="O156" s="143"/>
      <c r="P156" s="1196"/>
      <c r="Q156" s="146"/>
      <c r="R156" s="146"/>
      <c r="S156" s="147"/>
      <c r="T156" s="589"/>
      <c r="U156" s="559"/>
      <c r="V156" s="141"/>
      <c r="W156" s="141"/>
      <c r="X156" s="141"/>
      <c r="Y156" s="144"/>
      <c r="Z156" s="141"/>
      <c r="AA156" s="141"/>
      <c r="AB156" s="141"/>
      <c r="AC156" s="141"/>
      <c r="AD156" s="141"/>
      <c r="AE156" s="141"/>
      <c r="AF156" s="145"/>
      <c r="AG156" s="419"/>
    </row>
    <row r="157" spans="1:33" s="139" customFormat="1" ht="12.75" customHeight="1" x14ac:dyDescent="0.2">
      <c r="A157" s="1183"/>
      <c r="B157" s="1183"/>
      <c r="C157" s="1183"/>
      <c r="D157" s="1173"/>
      <c r="E157" s="1108"/>
      <c r="F157" s="1108"/>
      <c r="G157" s="1027"/>
      <c r="H157" s="1027"/>
      <c r="I157" s="1174"/>
      <c r="J157" s="1174"/>
      <c r="K157" s="1174"/>
      <c r="L157" s="1172"/>
      <c r="M157" s="1172"/>
      <c r="N157" s="1175"/>
      <c r="O157" s="143"/>
      <c r="P157" s="1196"/>
      <c r="Q157" s="146"/>
      <c r="R157" s="146"/>
      <c r="S157" s="147"/>
      <c r="T157" s="589"/>
      <c r="U157" s="559"/>
      <c r="V157" s="141"/>
      <c r="W157" s="141"/>
      <c r="X157" s="141"/>
      <c r="Y157" s="144"/>
      <c r="Z157" s="141"/>
      <c r="AA157" s="141"/>
      <c r="AB157" s="141"/>
      <c r="AC157" s="141"/>
      <c r="AD157" s="141"/>
      <c r="AE157" s="141"/>
      <c r="AF157" s="1172"/>
      <c r="AG157" s="590"/>
    </row>
    <row r="158" spans="1:33" s="139" customFormat="1" ht="12.75" customHeight="1" x14ac:dyDescent="0.2">
      <c r="A158" s="1183"/>
      <c r="B158" s="1183"/>
      <c r="C158" s="1183"/>
      <c r="D158" s="1173"/>
      <c r="E158" s="1108"/>
      <c r="F158" s="1108"/>
      <c r="G158" s="1027"/>
      <c r="H158" s="1027"/>
      <c r="I158" s="1174"/>
      <c r="J158" s="1174"/>
      <c r="K158" s="1174"/>
      <c r="L158" s="1172"/>
      <c r="M158" s="1172"/>
      <c r="N158" s="1175"/>
      <c r="O158" s="143"/>
      <c r="P158" s="1196"/>
      <c r="Q158" s="146"/>
      <c r="R158" s="146"/>
      <c r="S158" s="147"/>
      <c r="T158" s="589"/>
      <c r="U158" s="559"/>
      <c r="V158" s="141"/>
      <c r="W158" s="141"/>
      <c r="X158" s="141"/>
      <c r="Y158" s="144"/>
      <c r="Z158" s="141"/>
      <c r="AA158" s="141"/>
      <c r="AB158" s="141"/>
      <c r="AC158" s="141"/>
      <c r="AD158" s="141"/>
      <c r="AE158" s="141"/>
      <c r="AF158" s="1172"/>
      <c r="AG158" s="590"/>
    </row>
    <row r="159" spans="1:33" s="139" customFormat="1" ht="12.75" customHeight="1" x14ac:dyDescent="0.2">
      <c r="A159" s="1183"/>
      <c r="B159" s="1183"/>
      <c r="C159" s="1183"/>
      <c r="D159" s="1173"/>
      <c r="E159" s="1108"/>
      <c r="F159" s="1108"/>
      <c r="G159" s="1027"/>
      <c r="H159" s="1027"/>
      <c r="I159" s="1174"/>
      <c r="J159" s="1174"/>
      <c r="K159" s="1174"/>
      <c r="L159" s="1172"/>
      <c r="M159" s="1172"/>
      <c r="N159" s="1175"/>
      <c r="O159" s="143"/>
      <c r="P159" s="1196"/>
      <c r="Q159" s="146"/>
      <c r="R159" s="146"/>
      <c r="S159" s="147"/>
      <c r="T159" s="589"/>
      <c r="U159" s="559"/>
      <c r="V159" s="141"/>
      <c r="W159" s="141"/>
      <c r="X159" s="141"/>
      <c r="Y159" s="144"/>
      <c r="Z159" s="141"/>
      <c r="AA159" s="141"/>
      <c r="AB159" s="141"/>
      <c r="AC159" s="141"/>
      <c r="AD159" s="141"/>
      <c r="AE159" s="141"/>
      <c r="AF159" s="1172"/>
      <c r="AG159" s="590"/>
    </row>
    <row r="160" spans="1:33" s="139" customFormat="1" ht="12.75" customHeight="1" x14ac:dyDescent="0.2">
      <c r="A160" s="1183"/>
      <c r="B160" s="1183"/>
      <c r="C160" s="1183"/>
      <c r="D160" s="1173"/>
      <c r="E160" s="1108"/>
      <c r="F160" s="1108"/>
      <c r="G160" s="1027"/>
      <c r="H160" s="1027"/>
      <c r="I160" s="1174"/>
      <c r="J160" s="1174"/>
      <c r="K160" s="1174"/>
      <c r="L160" s="1172"/>
      <c r="M160" s="1172"/>
      <c r="N160" s="1175"/>
      <c r="O160" s="143"/>
      <c r="P160" s="1196"/>
      <c r="Q160" s="146"/>
      <c r="R160" s="146"/>
      <c r="S160" s="147"/>
      <c r="T160" s="589"/>
      <c r="U160" s="559"/>
      <c r="V160" s="141"/>
      <c r="W160" s="141"/>
      <c r="X160" s="141"/>
      <c r="Y160" s="144"/>
      <c r="Z160" s="141"/>
      <c r="AA160" s="141"/>
      <c r="AB160" s="141"/>
      <c r="AC160" s="141"/>
      <c r="AD160" s="141"/>
      <c r="AE160" s="141"/>
      <c r="AF160" s="1172"/>
      <c r="AG160" s="590"/>
    </row>
    <row r="161" spans="1:33" s="139" customFormat="1" ht="12.75" customHeight="1" x14ac:dyDescent="0.2">
      <c r="A161" s="1183"/>
      <c r="B161" s="1183"/>
      <c r="C161" s="1183"/>
      <c r="D161" s="1173"/>
      <c r="E161" s="1108"/>
      <c r="F161" s="1108"/>
      <c r="G161" s="1027"/>
      <c r="H161" s="1027"/>
      <c r="I161" s="1174"/>
      <c r="J161" s="1174"/>
      <c r="K161" s="1174"/>
      <c r="L161" s="1172"/>
      <c r="M161" s="1172"/>
      <c r="N161" s="1175"/>
      <c r="O161" s="143"/>
      <c r="P161" s="1196"/>
      <c r="Q161" s="146"/>
      <c r="R161" s="146"/>
      <c r="S161" s="147"/>
      <c r="T161" s="589"/>
      <c r="U161" s="559"/>
      <c r="V161" s="141"/>
      <c r="W161" s="141"/>
      <c r="X161" s="141"/>
      <c r="Y161" s="144"/>
      <c r="Z161" s="141"/>
      <c r="AA161" s="141"/>
      <c r="AB161" s="141"/>
      <c r="AC161" s="141"/>
      <c r="AD161" s="141"/>
      <c r="AE161" s="141"/>
      <c r="AF161" s="1172"/>
      <c r="AG161" s="590"/>
    </row>
    <row r="162" spans="1:33" s="139" customFormat="1" ht="12.75" customHeight="1" x14ac:dyDescent="0.2">
      <c r="A162" s="1183"/>
      <c r="B162" s="1183"/>
      <c r="C162" s="1183"/>
      <c r="D162" s="1173"/>
      <c r="E162" s="1108"/>
      <c r="F162" s="1108"/>
      <c r="G162" s="1027"/>
      <c r="H162" s="1027"/>
      <c r="I162" s="1174"/>
      <c r="J162" s="1174"/>
      <c r="K162" s="1174"/>
      <c r="L162" s="1172"/>
      <c r="M162" s="1172"/>
      <c r="N162" s="1175"/>
      <c r="O162" s="143"/>
      <c r="P162" s="1196"/>
      <c r="Q162" s="146"/>
      <c r="R162" s="146"/>
      <c r="S162" s="147"/>
      <c r="T162" s="589"/>
      <c r="U162" s="559"/>
      <c r="V162" s="141"/>
      <c r="W162" s="141"/>
      <c r="X162" s="141"/>
      <c r="Y162" s="144"/>
      <c r="Z162" s="141"/>
      <c r="AA162" s="141"/>
      <c r="AB162" s="141"/>
      <c r="AC162" s="141"/>
      <c r="AD162" s="141"/>
      <c r="AE162" s="141"/>
      <c r="AF162" s="145"/>
      <c r="AG162" s="419"/>
    </row>
    <row r="163" spans="1:33" s="139" customFormat="1" ht="12.75" customHeight="1" x14ac:dyDescent="0.2">
      <c r="A163" s="1183"/>
      <c r="B163" s="1183"/>
      <c r="C163" s="1183"/>
      <c r="D163" s="1173"/>
      <c r="E163" s="1108"/>
      <c r="F163" s="1108"/>
      <c r="G163" s="1027"/>
      <c r="H163" s="1027"/>
      <c r="I163" s="1174"/>
      <c r="J163" s="1174"/>
      <c r="K163" s="1174"/>
      <c r="L163" s="1172"/>
      <c r="M163" s="1172"/>
      <c r="N163" s="1175"/>
      <c r="O163" s="143"/>
      <c r="P163" s="1196"/>
      <c r="Q163" s="146"/>
      <c r="R163" s="146"/>
      <c r="S163" s="147"/>
      <c r="T163" s="589"/>
      <c r="U163" s="559"/>
      <c r="V163" s="141"/>
      <c r="W163" s="141"/>
      <c r="X163" s="141"/>
      <c r="Y163" s="144"/>
      <c r="Z163" s="141"/>
      <c r="AA163" s="141"/>
      <c r="AB163" s="141"/>
      <c r="AC163" s="141"/>
      <c r="AD163" s="141"/>
      <c r="AE163" s="141"/>
      <c r="AF163" s="1172"/>
      <c r="AG163" s="590"/>
    </row>
    <row r="164" spans="1:33" s="139" customFormat="1" ht="12.75" customHeight="1" x14ac:dyDescent="0.2">
      <c r="A164" s="1183"/>
      <c r="B164" s="1183"/>
      <c r="C164" s="1183"/>
      <c r="D164" s="1173"/>
      <c r="E164" s="1108"/>
      <c r="F164" s="1108"/>
      <c r="G164" s="1027"/>
      <c r="H164" s="1027"/>
      <c r="I164" s="1174"/>
      <c r="J164" s="1174"/>
      <c r="K164" s="1174"/>
      <c r="L164" s="1172"/>
      <c r="M164" s="1172"/>
      <c r="N164" s="1175"/>
      <c r="O164" s="143"/>
      <c r="P164" s="1196"/>
      <c r="Q164" s="146"/>
      <c r="R164" s="146"/>
      <c r="S164" s="147"/>
      <c r="T164" s="589"/>
      <c r="U164" s="559"/>
      <c r="V164" s="141"/>
      <c r="W164" s="141"/>
      <c r="X164" s="141"/>
      <c r="Y164" s="144"/>
      <c r="Z164" s="141"/>
      <c r="AA164" s="141"/>
      <c r="AB164" s="141"/>
      <c r="AC164" s="141"/>
      <c r="AD164" s="141"/>
      <c r="AE164" s="141"/>
      <c r="AF164" s="1172"/>
      <c r="AG164" s="590"/>
    </row>
    <row r="165" spans="1:33" s="139" customFormat="1" ht="12.75" customHeight="1" x14ac:dyDescent="0.2">
      <c r="A165" s="1183"/>
      <c r="B165" s="1183"/>
      <c r="C165" s="1183"/>
      <c r="D165" s="1173"/>
      <c r="E165" s="1108"/>
      <c r="F165" s="1108"/>
      <c r="G165" s="1027"/>
      <c r="H165" s="1027"/>
      <c r="I165" s="1174"/>
      <c r="J165" s="1174"/>
      <c r="K165" s="1174"/>
      <c r="L165" s="1172"/>
      <c r="M165" s="1172"/>
      <c r="N165" s="1175"/>
      <c r="O165" s="143"/>
      <c r="P165" s="1196"/>
      <c r="Q165" s="146"/>
      <c r="R165" s="146"/>
      <c r="S165" s="147"/>
      <c r="T165" s="589"/>
      <c r="U165" s="559"/>
      <c r="V165" s="141"/>
      <c r="W165" s="141"/>
      <c r="X165" s="141"/>
      <c r="Y165" s="144"/>
      <c r="Z165" s="141"/>
      <c r="AA165" s="141"/>
      <c r="AB165" s="141"/>
      <c r="AC165" s="141"/>
      <c r="AD165" s="141"/>
      <c r="AE165" s="141"/>
      <c r="AF165" s="1172"/>
      <c r="AG165" s="590"/>
    </row>
    <row r="166" spans="1:33" s="139" customFormat="1" ht="12.75" customHeight="1" x14ac:dyDescent="0.2">
      <c r="A166" s="1183"/>
      <c r="B166" s="1183"/>
      <c r="C166" s="1183"/>
      <c r="D166" s="1173"/>
      <c r="E166" s="1108"/>
      <c r="F166" s="1108"/>
      <c r="G166" s="1027"/>
      <c r="H166" s="1027"/>
      <c r="I166" s="1174"/>
      <c r="J166" s="1174"/>
      <c r="K166" s="1174"/>
      <c r="L166" s="1172"/>
      <c r="M166" s="1172"/>
      <c r="N166" s="1175"/>
      <c r="O166" s="143"/>
      <c r="P166" s="1196"/>
      <c r="Q166" s="146"/>
      <c r="R166" s="146"/>
      <c r="S166" s="147"/>
      <c r="T166" s="589"/>
      <c r="U166" s="559"/>
      <c r="V166" s="141"/>
      <c r="W166" s="141"/>
      <c r="X166" s="141"/>
      <c r="Y166" s="144"/>
      <c r="Z166" s="141"/>
      <c r="AA166" s="141"/>
      <c r="AB166" s="141"/>
      <c r="AC166" s="141"/>
      <c r="AD166" s="141"/>
      <c r="AE166" s="141"/>
      <c r="AF166" s="145"/>
      <c r="AG166" s="419"/>
    </row>
    <row r="167" spans="1:33" s="139" customFormat="1" ht="12.75" customHeight="1" x14ac:dyDescent="0.2">
      <c r="A167" s="1183"/>
      <c r="B167" s="1183"/>
      <c r="C167" s="1183"/>
      <c r="D167" s="1173"/>
      <c r="E167" s="1108"/>
      <c r="F167" s="1108"/>
      <c r="G167" s="1027"/>
      <c r="H167" s="1027"/>
      <c r="I167" s="1174"/>
      <c r="J167" s="1174"/>
      <c r="K167" s="1174"/>
      <c r="L167" s="1172"/>
      <c r="M167" s="1172"/>
      <c r="N167" s="1175"/>
      <c r="O167" s="143"/>
      <c r="P167" s="1196"/>
      <c r="Q167" s="146"/>
      <c r="R167" s="146"/>
      <c r="S167" s="147"/>
      <c r="T167" s="589"/>
      <c r="U167" s="559"/>
      <c r="V167" s="141"/>
      <c r="W167" s="141"/>
      <c r="X167" s="141"/>
      <c r="Y167" s="144"/>
      <c r="Z167" s="141"/>
      <c r="AA167" s="141"/>
      <c r="AB167" s="141"/>
      <c r="AC167" s="141"/>
      <c r="AD167" s="141"/>
      <c r="AE167" s="141"/>
      <c r="AF167" s="145"/>
      <c r="AG167" s="419"/>
    </row>
    <row r="168" spans="1:33" s="139" customFormat="1" ht="12.75" customHeight="1" x14ac:dyDescent="0.2">
      <c r="A168" s="1183"/>
      <c r="B168" s="1183"/>
      <c r="C168" s="1183"/>
      <c r="D168" s="1173"/>
      <c r="E168" s="1108"/>
      <c r="F168" s="1108"/>
      <c r="G168" s="1027"/>
      <c r="H168" s="1027"/>
      <c r="I168" s="1174"/>
      <c r="J168" s="1174"/>
      <c r="K168" s="1174"/>
      <c r="L168" s="1172"/>
      <c r="M168" s="1172"/>
      <c r="N168" s="1175"/>
      <c r="O168" s="143"/>
      <c r="P168" s="1196"/>
      <c r="Q168" s="146"/>
      <c r="R168" s="146"/>
      <c r="S168" s="147"/>
      <c r="T168" s="589"/>
      <c r="U168" s="559"/>
      <c r="V168" s="141"/>
      <c r="W168" s="141"/>
      <c r="X168" s="141"/>
      <c r="Y168" s="144"/>
      <c r="Z168" s="141"/>
      <c r="AA168" s="141"/>
      <c r="AB168" s="141"/>
      <c r="AC168" s="141"/>
      <c r="AD168" s="141"/>
      <c r="AE168" s="141"/>
      <c r="AF168" s="145"/>
      <c r="AG168" s="419"/>
    </row>
    <row r="169" spans="1:33" s="139" customFormat="1" ht="12.75" customHeight="1" x14ac:dyDescent="0.2">
      <c r="A169" s="1183"/>
      <c r="B169" s="1183"/>
      <c r="C169" s="1183"/>
      <c r="D169" s="1173"/>
      <c r="E169" s="1108"/>
      <c r="F169" s="1108"/>
      <c r="G169" s="1027"/>
      <c r="H169" s="1027"/>
      <c r="I169" s="1174"/>
      <c r="J169" s="1174"/>
      <c r="K169" s="1174"/>
      <c r="L169" s="1172"/>
      <c r="M169" s="1172"/>
      <c r="N169" s="1175"/>
      <c r="O169" s="143"/>
      <c r="P169" s="1196"/>
      <c r="Q169" s="146"/>
      <c r="R169" s="146"/>
      <c r="S169" s="147"/>
      <c r="T169" s="589"/>
      <c r="U169" s="559"/>
      <c r="V169" s="141"/>
      <c r="W169" s="141"/>
      <c r="X169" s="141"/>
      <c r="Y169" s="144"/>
      <c r="Z169" s="141"/>
      <c r="AA169" s="141"/>
      <c r="AB169" s="141"/>
      <c r="AC169" s="141"/>
      <c r="AD169" s="141"/>
      <c r="AE169" s="141"/>
      <c r="AF169" s="145"/>
      <c r="AG169" s="419"/>
    </row>
    <row r="170" spans="1:33" s="139" customFormat="1" ht="12.75" customHeight="1" x14ac:dyDescent="0.2">
      <c r="A170" s="1183"/>
      <c r="B170" s="1183"/>
      <c r="C170" s="1183"/>
      <c r="D170" s="1173"/>
      <c r="E170" s="1108"/>
      <c r="F170" s="1108"/>
      <c r="G170" s="1027"/>
      <c r="H170" s="1027"/>
      <c r="I170" s="1174"/>
      <c r="J170" s="1174"/>
      <c r="K170" s="1174"/>
      <c r="L170" s="1172"/>
      <c r="M170" s="1172"/>
      <c r="N170" s="1175"/>
      <c r="O170" s="143"/>
      <c r="P170" s="1196"/>
      <c r="Q170" s="146"/>
      <c r="R170" s="146"/>
      <c r="S170" s="147"/>
      <c r="T170" s="589"/>
      <c r="U170" s="559"/>
      <c r="V170" s="141"/>
      <c r="W170" s="141"/>
      <c r="X170" s="141"/>
      <c r="Y170" s="144"/>
      <c r="Z170" s="141"/>
      <c r="AA170" s="141"/>
      <c r="AB170" s="141"/>
      <c r="AC170" s="141"/>
      <c r="AD170" s="141"/>
      <c r="AE170" s="141"/>
      <c r="AF170" s="145"/>
      <c r="AG170" s="419"/>
    </row>
    <row r="171" spans="1:33" s="139" customFormat="1" ht="12.75" customHeight="1" x14ac:dyDescent="0.2">
      <c r="A171" s="1183"/>
      <c r="B171" s="1183"/>
      <c r="C171" s="1183"/>
      <c r="D171" s="1173"/>
      <c r="E171" s="1108"/>
      <c r="F171" s="1108"/>
      <c r="G171" s="1027"/>
      <c r="H171" s="1027"/>
      <c r="I171" s="1174"/>
      <c r="J171" s="1174"/>
      <c r="K171" s="1174"/>
      <c r="L171" s="1172"/>
      <c r="M171" s="1172"/>
      <c r="N171" s="1175"/>
      <c r="O171" s="143"/>
      <c r="P171" s="1196"/>
      <c r="Q171" s="146"/>
      <c r="R171" s="146"/>
      <c r="S171" s="147"/>
      <c r="T171" s="589"/>
      <c r="U171" s="559"/>
      <c r="V171" s="141"/>
      <c r="W171" s="141"/>
      <c r="X171" s="141"/>
      <c r="Y171" s="144"/>
      <c r="Z171" s="141"/>
      <c r="AA171" s="141"/>
      <c r="AB171" s="141"/>
      <c r="AC171" s="141"/>
      <c r="AD171" s="141"/>
      <c r="AE171" s="141"/>
      <c r="AF171" s="145"/>
      <c r="AG171" s="419"/>
    </row>
    <row r="172" spans="1:33" s="139" customFormat="1" ht="12.75" customHeight="1" x14ac:dyDescent="0.2">
      <c r="A172" s="1183"/>
      <c r="B172" s="1183"/>
      <c r="C172" s="1183"/>
      <c r="D172" s="1173"/>
      <c r="E172" s="1108"/>
      <c r="F172" s="1108"/>
      <c r="G172" s="1027"/>
      <c r="H172" s="1027"/>
      <c r="I172" s="1174"/>
      <c r="J172" s="1174"/>
      <c r="K172" s="1174"/>
      <c r="L172" s="1172"/>
      <c r="M172" s="1172"/>
      <c r="N172" s="1175"/>
      <c r="O172" s="143"/>
      <c r="P172" s="1196"/>
      <c r="Q172" s="146"/>
      <c r="R172" s="146"/>
      <c r="S172" s="147"/>
      <c r="T172" s="589"/>
      <c r="U172" s="559"/>
      <c r="V172" s="141"/>
      <c r="W172" s="141"/>
      <c r="X172" s="141"/>
      <c r="Y172" s="144"/>
      <c r="Z172" s="141"/>
      <c r="AA172" s="141"/>
      <c r="AB172" s="141"/>
      <c r="AC172" s="141"/>
      <c r="AD172" s="141"/>
      <c r="AE172" s="141"/>
      <c r="AF172" s="145"/>
      <c r="AG172" s="419"/>
    </row>
    <row r="173" spans="1:33" s="139" customFormat="1" ht="12.75" customHeight="1" x14ac:dyDescent="0.2">
      <c r="A173" s="1183"/>
      <c r="B173" s="1183"/>
      <c r="C173" s="1183"/>
      <c r="D173" s="1173"/>
      <c r="E173" s="1108"/>
      <c r="F173" s="1108"/>
      <c r="G173" s="1027"/>
      <c r="H173" s="1027"/>
      <c r="I173" s="1174"/>
      <c r="J173" s="1174"/>
      <c r="K173" s="1174"/>
      <c r="L173" s="1172"/>
      <c r="M173" s="1172"/>
      <c r="N173" s="1175"/>
      <c r="O173" s="143"/>
      <c r="P173" s="1196"/>
      <c r="Q173" s="146"/>
      <c r="R173" s="146"/>
      <c r="S173" s="147"/>
      <c r="T173" s="589"/>
      <c r="U173" s="559"/>
      <c r="V173" s="141"/>
      <c r="W173" s="141"/>
      <c r="X173" s="141"/>
      <c r="Y173" s="144"/>
      <c r="Z173" s="141"/>
      <c r="AA173" s="141"/>
      <c r="AB173" s="141"/>
      <c r="AC173" s="141"/>
      <c r="AD173" s="141"/>
      <c r="AE173" s="141"/>
      <c r="AF173" s="145"/>
      <c r="AG173" s="419"/>
    </row>
    <row r="174" spans="1:33" s="139" customFormat="1" ht="12.75" customHeight="1" x14ac:dyDescent="0.2">
      <c r="A174" s="1183"/>
      <c r="B174" s="1183"/>
      <c r="C174" s="1183"/>
      <c r="D174" s="1173"/>
      <c r="E174" s="1108"/>
      <c r="F174" s="1108"/>
      <c r="G174" s="1027"/>
      <c r="H174" s="1027"/>
      <c r="I174" s="1174"/>
      <c r="J174" s="1174"/>
      <c r="K174" s="1174"/>
      <c r="L174" s="1172"/>
      <c r="M174" s="1172"/>
      <c r="N174" s="1175"/>
      <c r="O174" s="143"/>
      <c r="P174" s="1196"/>
      <c r="Q174" s="146"/>
      <c r="R174" s="146"/>
      <c r="S174" s="147"/>
      <c r="T174" s="589"/>
      <c r="U174" s="559"/>
      <c r="V174" s="141"/>
      <c r="W174" s="141"/>
      <c r="X174" s="141"/>
      <c r="Y174" s="144"/>
      <c r="Z174" s="141"/>
      <c r="AA174" s="141"/>
      <c r="AB174" s="141"/>
      <c r="AC174" s="141"/>
      <c r="AD174" s="141"/>
      <c r="AE174" s="141"/>
      <c r="AF174" s="145"/>
      <c r="AG174" s="419"/>
    </row>
    <row r="175" spans="1:33" s="139" customFormat="1" ht="12.75" customHeight="1" x14ac:dyDescent="0.2">
      <c r="A175" s="1183"/>
      <c r="B175" s="1183"/>
      <c r="C175" s="1183"/>
      <c r="D175" s="1173"/>
      <c r="E175" s="1108"/>
      <c r="F175" s="1108"/>
      <c r="G175" s="1027"/>
      <c r="H175" s="1027"/>
      <c r="I175" s="1174"/>
      <c r="J175" s="1174"/>
      <c r="K175" s="1174"/>
      <c r="L175" s="1172"/>
      <c r="M175" s="1172"/>
      <c r="N175" s="1175"/>
      <c r="O175" s="143"/>
      <c r="P175" s="1196"/>
      <c r="Q175" s="146"/>
      <c r="R175" s="146"/>
      <c r="S175" s="147"/>
      <c r="T175" s="589"/>
      <c r="U175" s="559"/>
      <c r="V175" s="141"/>
      <c r="W175" s="141"/>
      <c r="X175" s="141"/>
      <c r="Y175" s="144"/>
      <c r="Z175" s="141"/>
      <c r="AA175" s="141"/>
      <c r="AB175" s="141"/>
      <c r="AC175" s="141"/>
      <c r="AD175" s="141"/>
      <c r="AE175" s="141"/>
      <c r="AF175" s="145"/>
      <c r="AG175" s="419"/>
    </row>
    <row r="176" spans="1:33" s="139" customFormat="1" ht="12.75" customHeight="1" x14ac:dyDescent="0.2">
      <c r="A176" s="1183"/>
      <c r="B176" s="1183"/>
      <c r="C176" s="1183"/>
      <c r="D176" s="1173"/>
      <c r="E176" s="1108"/>
      <c r="F176" s="1108"/>
      <c r="G176" s="1027"/>
      <c r="H176" s="1027"/>
      <c r="I176" s="1174"/>
      <c r="J176" s="1174"/>
      <c r="K176" s="1174"/>
      <c r="L176" s="1172"/>
      <c r="M176" s="1172"/>
      <c r="N176" s="1175"/>
      <c r="O176" s="143"/>
      <c r="P176" s="1196"/>
      <c r="Q176" s="146"/>
      <c r="R176" s="146"/>
      <c r="S176" s="147"/>
      <c r="T176" s="589"/>
      <c r="U176" s="559"/>
      <c r="V176" s="141"/>
      <c r="W176" s="141"/>
      <c r="X176" s="141"/>
      <c r="Y176" s="144"/>
      <c r="Z176" s="141"/>
      <c r="AA176" s="141"/>
      <c r="AB176" s="141"/>
      <c r="AC176" s="141"/>
      <c r="AD176" s="141"/>
      <c r="AE176" s="141"/>
      <c r="AF176" s="145"/>
      <c r="AG176" s="419"/>
    </row>
    <row r="177" spans="1:33" s="139" customFormat="1" ht="12.75" customHeight="1" x14ac:dyDescent="0.2">
      <c r="A177" s="1183"/>
      <c r="B177" s="1183"/>
      <c r="C177" s="1183"/>
      <c r="D177" s="1173"/>
      <c r="E177" s="1108"/>
      <c r="F177" s="1108"/>
      <c r="G177" s="1027"/>
      <c r="H177" s="1027"/>
      <c r="I177" s="1174"/>
      <c r="J177" s="1174"/>
      <c r="K177" s="1174"/>
      <c r="L177" s="1172"/>
      <c r="M177" s="1172"/>
      <c r="N177" s="1175"/>
      <c r="O177" s="143"/>
      <c r="P177" s="1196"/>
      <c r="Q177" s="146"/>
      <c r="R177" s="146"/>
      <c r="S177" s="147"/>
      <c r="T177" s="589"/>
      <c r="U177" s="559"/>
      <c r="V177" s="141"/>
      <c r="W177" s="141"/>
      <c r="X177" s="141"/>
      <c r="Y177" s="144"/>
      <c r="Z177" s="141"/>
      <c r="AA177" s="141"/>
      <c r="AB177" s="141"/>
      <c r="AC177" s="141"/>
      <c r="AD177" s="141"/>
      <c r="AE177" s="141"/>
      <c r="AF177" s="145"/>
      <c r="AG177" s="419"/>
    </row>
    <row r="178" spans="1:33" s="139" customFormat="1" ht="12.75" customHeight="1" x14ac:dyDescent="0.2">
      <c r="A178" s="1183"/>
      <c r="B178" s="1183"/>
      <c r="C178" s="1183"/>
      <c r="D178" s="1173"/>
      <c r="E178" s="1108"/>
      <c r="F178" s="1108"/>
      <c r="G178" s="1027"/>
      <c r="H178" s="1027"/>
      <c r="I178" s="1174"/>
      <c r="J178" s="1174"/>
      <c r="K178" s="1174"/>
      <c r="L178" s="1172"/>
      <c r="M178" s="1172"/>
      <c r="N178" s="1175"/>
      <c r="O178" s="143"/>
      <c r="P178" s="1196"/>
      <c r="Q178" s="1172"/>
      <c r="R178" s="1172"/>
      <c r="S178" s="148"/>
      <c r="T178" s="589"/>
      <c r="U178" s="559"/>
      <c r="V178" s="141"/>
      <c r="W178" s="141"/>
      <c r="X178" s="141"/>
      <c r="Y178" s="144"/>
      <c r="Z178" s="141"/>
      <c r="AA178" s="141"/>
      <c r="AB178" s="141"/>
      <c r="AC178" s="141"/>
      <c r="AD178" s="141"/>
      <c r="AE178" s="141"/>
      <c r="AF178" s="145"/>
      <c r="AG178" s="419"/>
    </row>
    <row r="179" spans="1:33" s="139" customFormat="1" ht="12.75" customHeight="1" x14ac:dyDescent="0.2">
      <c r="A179" s="1183"/>
      <c r="B179" s="1183"/>
      <c r="C179" s="1183"/>
      <c r="D179" s="1173"/>
      <c r="E179" s="1108"/>
      <c r="F179" s="1108"/>
      <c r="G179" s="1027"/>
      <c r="H179" s="1027"/>
      <c r="I179" s="1174"/>
      <c r="J179" s="1174"/>
      <c r="K179" s="1174"/>
      <c r="L179" s="1172"/>
      <c r="M179" s="1172"/>
      <c r="N179" s="1175"/>
      <c r="O179" s="143"/>
      <c r="P179" s="1196"/>
      <c r="Q179" s="146"/>
      <c r="R179" s="146"/>
      <c r="S179" s="147"/>
      <c r="T179" s="589"/>
      <c r="U179" s="559"/>
      <c r="V179" s="141"/>
      <c r="W179" s="141"/>
      <c r="X179" s="141"/>
      <c r="Y179" s="144"/>
      <c r="Z179" s="141"/>
      <c r="AA179" s="141"/>
      <c r="AB179" s="141"/>
      <c r="AC179" s="141"/>
      <c r="AD179" s="141"/>
      <c r="AE179" s="141"/>
      <c r="AF179" s="1172"/>
      <c r="AG179" s="590"/>
    </row>
    <row r="180" spans="1:33" s="139" customFormat="1" ht="12.75" customHeight="1" x14ac:dyDescent="0.2">
      <c r="A180" s="1183"/>
      <c r="B180" s="1183"/>
      <c r="C180" s="1183"/>
      <c r="D180" s="1173"/>
      <c r="E180" s="1108"/>
      <c r="F180" s="1108"/>
      <c r="G180" s="1027"/>
      <c r="H180" s="1027"/>
      <c r="I180" s="1174"/>
      <c r="J180" s="1174"/>
      <c r="K180" s="1174"/>
      <c r="L180" s="1172"/>
      <c r="M180" s="1172"/>
      <c r="N180" s="1175"/>
      <c r="O180" s="143"/>
      <c r="P180" s="1196"/>
      <c r="Q180" s="1172"/>
      <c r="R180" s="1172"/>
      <c r="S180" s="148"/>
      <c r="T180" s="589"/>
      <c r="U180" s="559"/>
      <c r="V180" s="141"/>
      <c r="W180" s="141"/>
      <c r="X180" s="141"/>
      <c r="Y180" s="144"/>
      <c r="Z180" s="141"/>
      <c r="AA180" s="141"/>
      <c r="AB180" s="141"/>
      <c r="AC180" s="141"/>
      <c r="AD180" s="141"/>
      <c r="AE180" s="141"/>
      <c r="AF180" s="145"/>
      <c r="AG180" s="419"/>
    </row>
    <row r="181" spans="1:33" s="139" customFormat="1" ht="12.75" customHeight="1" x14ac:dyDescent="0.2">
      <c r="A181" s="1183"/>
      <c r="B181" s="1183"/>
      <c r="C181" s="1183"/>
      <c r="D181" s="1173"/>
      <c r="E181" s="1108"/>
      <c r="F181" s="1108"/>
      <c r="G181" s="1027"/>
      <c r="H181" s="1027"/>
      <c r="I181" s="1174"/>
      <c r="J181" s="1174"/>
      <c r="K181" s="1174"/>
      <c r="L181" s="1172"/>
      <c r="M181" s="1172"/>
      <c r="N181" s="1175"/>
      <c r="O181" s="143"/>
      <c r="P181" s="1196"/>
      <c r="Q181" s="1172"/>
      <c r="R181" s="1172"/>
      <c r="S181" s="148"/>
      <c r="T181" s="589"/>
      <c r="U181" s="559"/>
      <c r="V181" s="141"/>
      <c r="W181" s="141"/>
      <c r="X181" s="141"/>
      <c r="Y181" s="144"/>
      <c r="Z181" s="141"/>
      <c r="AA181" s="141"/>
      <c r="AB181" s="141"/>
      <c r="AC181" s="141"/>
      <c r="AD181" s="141"/>
      <c r="AE181" s="141"/>
      <c r="AF181" s="145"/>
      <c r="AG181" s="419"/>
    </row>
    <row r="182" spans="1:33" s="139" customFormat="1" ht="12.75" customHeight="1" x14ac:dyDescent="0.2">
      <c r="A182" s="1183"/>
      <c r="B182" s="1183"/>
      <c r="C182" s="1183"/>
      <c r="D182" s="1173"/>
      <c r="E182" s="1108"/>
      <c r="F182" s="1108"/>
      <c r="G182" s="1027"/>
      <c r="H182" s="1027"/>
      <c r="I182" s="1174"/>
      <c r="J182" s="1174"/>
      <c r="K182" s="1174"/>
      <c r="L182" s="1172"/>
      <c r="M182" s="1172"/>
      <c r="N182" s="1175"/>
      <c r="O182" s="143"/>
      <c r="P182" s="1196"/>
      <c r="Q182" s="1172"/>
      <c r="R182" s="1172"/>
      <c r="S182" s="148"/>
      <c r="T182" s="589"/>
      <c r="U182" s="559"/>
      <c r="V182" s="141"/>
      <c r="W182" s="141"/>
      <c r="X182" s="141"/>
      <c r="Y182" s="144"/>
      <c r="Z182" s="141"/>
      <c r="AA182" s="141"/>
      <c r="AB182" s="141"/>
      <c r="AC182" s="141"/>
      <c r="AD182" s="141"/>
      <c r="AE182" s="141"/>
      <c r="AF182" s="145"/>
      <c r="AG182" s="419"/>
    </row>
    <row r="183" spans="1:33" s="139" customFormat="1" ht="12.75" customHeight="1" x14ac:dyDescent="0.2">
      <c r="A183" s="1183"/>
      <c r="B183" s="1183"/>
      <c r="C183" s="1183"/>
      <c r="D183" s="1173"/>
      <c r="E183" s="1108"/>
      <c r="F183" s="1108"/>
      <c r="G183" s="1027"/>
      <c r="H183" s="1027"/>
      <c r="I183" s="1174"/>
      <c r="J183" s="1174"/>
      <c r="K183" s="1174"/>
      <c r="L183" s="1172"/>
      <c r="M183" s="1172"/>
      <c r="N183" s="1175"/>
      <c r="O183" s="143"/>
      <c r="P183" s="1196"/>
      <c r="Q183" s="1172"/>
      <c r="R183" s="1172"/>
      <c r="S183" s="148"/>
      <c r="T183" s="589"/>
      <c r="U183" s="559"/>
      <c r="V183" s="141"/>
      <c r="W183" s="141"/>
      <c r="X183" s="141"/>
      <c r="Y183" s="144"/>
      <c r="Z183" s="141"/>
      <c r="AA183" s="141"/>
      <c r="AB183" s="141"/>
      <c r="AC183" s="141"/>
      <c r="AD183" s="141"/>
      <c r="AE183" s="141"/>
      <c r="AF183" s="145"/>
      <c r="AG183" s="419"/>
    </row>
    <row r="184" spans="1:33" s="139" customFormat="1" ht="12.75" customHeight="1" x14ac:dyDescent="0.2">
      <c r="A184" s="1183"/>
      <c r="B184" s="1183"/>
      <c r="C184" s="1183"/>
      <c r="D184" s="1173"/>
      <c r="E184" s="1108"/>
      <c r="F184" s="1108"/>
      <c r="G184" s="1027"/>
      <c r="H184" s="1027"/>
      <c r="I184" s="1174"/>
      <c r="J184" s="1174"/>
      <c r="K184" s="1174"/>
      <c r="L184" s="1172"/>
      <c r="M184" s="1172"/>
      <c r="N184" s="1175"/>
      <c r="O184" s="143"/>
      <c r="P184" s="1196"/>
      <c r="Q184" s="1172"/>
      <c r="R184" s="1172"/>
      <c r="S184" s="148"/>
      <c r="T184" s="589"/>
      <c r="U184" s="559"/>
      <c r="V184" s="141"/>
      <c r="W184" s="141"/>
      <c r="X184" s="141"/>
      <c r="Y184" s="144"/>
      <c r="Z184" s="141"/>
      <c r="AA184" s="141"/>
      <c r="AB184" s="141"/>
      <c r="AC184" s="141"/>
      <c r="AD184" s="141"/>
      <c r="AE184" s="141"/>
      <c r="AF184" s="145"/>
      <c r="AG184" s="419"/>
    </row>
    <row r="185" spans="1:33" s="139" customFormat="1" ht="12.75" customHeight="1" x14ac:dyDescent="0.2">
      <c r="A185" s="1183"/>
      <c r="B185" s="1183"/>
      <c r="C185" s="1183"/>
      <c r="D185" s="1173"/>
      <c r="E185" s="1108"/>
      <c r="F185" s="1108"/>
      <c r="G185" s="1027"/>
      <c r="H185" s="1027"/>
      <c r="I185" s="1174"/>
      <c r="J185" s="1174"/>
      <c r="K185" s="1174"/>
      <c r="L185" s="1172"/>
      <c r="M185" s="1172"/>
      <c r="N185" s="1175"/>
      <c r="O185" s="143"/>
      <c r="P185" s="1196"/>
      <c r="Q185" s="1172"/>
      <c r="R185" s="1172"/>
      <c r="S185" s="148"/>
      <c r="T185" s="589"/>
      <c r="U185" s="559"/>
      <c r="V185" s="141"/>
      <c r="W185" s="141"/>
      <c r="X185" s="141"/>
      <c r="Y185" s="144"/>
      <c r="Z185" s="141"/>
      <c r="AA185" s="141"/>
      <c r="AB185" s="141"/>
      <c r="AC185" s="141"/>
      <c r="AD185" s="141"/>
      <c r="AE185" s="141"/>
      <c r="AF185" s="145"/>
      <c r="AG185" s="419"/>
    </row>
    <row r="186" spans="1:33" s="139" customFormat="1" ht="12.75" customHeight="1" x14ac:dyDescent="0.2">
      <c r="A186" s="1183"/>
      <c r="B186" s="1183"/>
      <c r="C186" s="1183"/>
      <c r="D186" s="1173"/>
      <c r="E186" s="1108"/>
      <c r="F186" s="1108"/>
      <c r="G186" s="1027"/>
      <c r="H186" s="1027"/>
      <c r="I186" s="1174"/>
      <c r="J186" s="1174"/>
      <c r="K186" s="1174"/>
      <c r="L186" s="1172"/>
      <c r="M186" s="1172"/>
      <c r="N186" s="1175"/>
      <c r="O186" s="143"/>
      <c r="P186" s="1196"/>
      <c r="Q186" s="1172"/>
      <c r="R186" s="1172"/>
      <c r="S186" s="148"/>
      <c r="T186" s="589"/>
      <c r="U186" s="559"/>
      <c r="V186" s="141"/>
      <c r="W186" s="141"/>
      <c r="X186" s="141"/>
      <c r="Y186" s="144"/>
      <c r="Z186" s="141"/>
      <c r="AA186" s="141"/>
      <c r="AB186" s="141"/>
      <c r="AC186" s="141"/>
      <c r="AD186" s="141"/>
      <c r="AE186" s="141"/>
      <c r="AF186" s="145"/>
      <c r="AG186" s="419"/>
    </row>
    <row r="187" spans="1:33" s="139" customFormat="1" ht="12.75" customHeight="1" x14ac:dyDescent="0.2">
      <c r="A187" s="1183"/>
      <c r="B187" s="1183"/>
      <c r="C187" s="1183"/>
      <c r="D187" s="1173"/>
      <c r="E187" s="1108"/>
      <c r="F187" s="1108"/>
      <c r="G187" s="1027"/>
      <c r="H187" s="1027"/>
      <c r="I187" s="1174"/>
      <c r="J187" s="1174"/>
      <c r="K187" s="1174"/>
      <c r="L187" s="1172"/>
      <c r="M187" s="1172"/>
      <c r="N187" s="1175"/>
      <c r="O187" s="143"/>
      <c r="P187" s="1196"/>
      <c r="Q187" s="1172"/>
      <c r="R187" s="1172"/>
      <c r="S187" s="148"/>
      <c r="T187" s="589"/>
      <c r="U187" s="559"/>
      <c r="V187" s="141"/>
      <c r="W187" s="141"/>
      <c r="X187" s="141"/>
      <c r="Y187" s="144"/>
      <c r="Z187" s="141"/>
      <c r="AA187" s="141"/>
      <c r="AB187" s="141"/>
      <c r="AC187" s="141"/>
      <c r="AD187" s="141"/>
      <c r="AE187" s="141"/>
      <c r="AF187" s="145"/>
      <c r="AG187" s="419"/>
    </row>
    <row r="188" spans="1:33" s="139" customFormat="1" ht="12.75" customHeight="1" x14ac:dyDescent="0.2">
      <c r="A188" s="1183"/>
      <c r="B188" s="1183"/>
      <c r="C188" s="1183"/>
      <c r="D188" s="1173"/>
      <c r="E188" s="1108"/>
      <c r="F188" s="1108"/>
      <c r="G188" s="1027"/>
      <c r="H188" s="1027"/>
      <c r="I188" s="1174"/>
      <c r="J188" s="1174"/>
      <c r="K188" s="1174"/>
      <c r="L188" s="1172"/>
      <c r="M188" s="1172"/>
      <c r="N188" s="1175"/>
      <c r="O188" s="143"/>
      <c r="P188" s="1196"/>
      <c r="Q188" s="1172"/>
      <c r="R188" s="1172"/>
      <c r="S188" s="148"/>
      <c r="T188" s="589"/>
      <c r="U188" s="559"/>
      <c r="V188" s="141"/>
      <c r="W188" s="141"/>
      <c r="X188" s="141"/>
      <c r="Y188" s="144"/>
      <c r="Z188" s="141"/>
      <c r="AA188" s="141"/>
      <c r="AB188" s="141"/>
      <c r="AC188" s="141"/>
      <c r="AD188" s="141"/>
      <c r="AE188" s="141"/>
      <c r="AF188" s="145"/>
      <c r="AG188" s="419"/>
    </row>
    <row r="189" spans="1:33" s="139" customFormat="1" ht="12.75" customHeight="1" x14ac:dyDescent="0.2">
      <c r="A189" s="1183"/>
      <c r="B189" s="1183"/>
      <c r="C189" s="1183"/>
      <c r="D189" s="1173"/>
      <c r="E189" s="1108"/>
      <c r="F189" s="1108"/>
      <c r="G189" s="1027"/>
      <c r="H189" s="1027"/>
      <c r="I189" s="1174"/>
      <c r="J189" s="1174"/>
      <c r="K189" s="1174"/>
      <c r="L189" s="1172"/>
      <c r="M189" s="1172"/>
      <c r="N189" s="1175"/>
      <c r="O189" s="143"/>
      <c r="P189" s="1196"/>
      <c r="Q189" s="1172"/>
      <c r="R189" s="1172"/>
      <c r="S189" s="148"/>
      <c r="T189" s="589"/>
      <c r="U189" s="559"/>
      <c r="V189" s="141"/>
      <c r="W189" s="141"/>
      <c r="X189" s="141"/>
      <c r="Y189" s="144"/>
      <c r="Z189" s="141"/>
      <c r="AA189" s="141"/>
      <c r="AB189" s="141"/>
      <c r="AC189" s="141"/>
      <c r="AD189" s="141"/>
      <c r="AE189" s="141"/>
      <c r="AF189" s="145"/>
      <c r="AG189" s="419"/>
    </row>
    <row r="190" spans="1:33" s="139" customFormat="1" ht="12.75" customHeight="1" x14ac:dyDescent="0.2">
      <c r="A190" s="1183"/>
      <c r="B190" s="1183"/>
      <c r="C190" s="1183"/>
      <c r="D190" s="1173"/>
      <c r="E190" s="1108"/>
      <c r="F190" s="1108"/>
      <c r="G190" s="1027"/>
      <c r="H190" s="1027"/>
      <c r="I190" s="1174"/>
      <c r="J190" s="1174"/>
      <c r="K190" s="1174"/>
      <c r="L190" s="1172"/>
      <c r="M190" s="1172"/>
      <c r="N190" s="1175"/>
      <c r="O190" s="143"/>
      <c r="P190" s="1196"/>
      <c r="Q190" s="146"/>
      <c r="R190" s="146"/>
      <c r="S190" s="147"/>
      <c r="T190" s="589"/>
      <c r="U190" s="559"/>
      <c r="V190" s="141"/>
      <c r="W190" s="141"/>
      <c r="X190" s="141"/>
      <c r="Y190" s="144"/>
      <c r="Z190" s="141"/>
      <c r="AA190" s="141"/>
      <c r="AB190" s="141"/>
      <c r="AC190" s="141"/>
      <c r="AD190" s="141"/>
      <c r="AE190" s="141"/>
      <c r="AF190" s="145"/>
      <c r="AG190" s="419"/>
    </row>
    <row r="191" spans="1:33" s="139" customFormat="1" ht="12.75" customHeight="1" x14ac:dyDescent="0.2">
      <c r="A191" s="1183"/>
      <c r="B191" s="1183"/>
      <c r="C191" s="1183"/>
      <c r="D191" s="1173"/>
      <c r="E191" s="1108"/>
      <c r="F191" s="1108"/>
      <c r="G191" s="1027"/>
      <c r="H191" s="1027"/>
      <c r="I191" s="1174"/>
      <c r="J191" s="1174"/>
      <c r="K191" s="1174"/>
      <c r="L191" s="1172"/>
      <c r="M191" s="1172"/>
      <c r="N191" s="1175"/>
      <c r="O191" s="143"/>
      <c r="P191" s="1196"/>
      <c r="Q191" s="146"/>
      <c r="R191" s="146"/>
      <c r="S191" s="147"/>
      <c r="T191" s="589"/>
      <c r="U191" s="559"/>
      <c r="V191" s="141"/>
      <c r="W191" s="141"/>
      <c r="X191" s="141"/>
      <c r="Y191" s="144"/>
      <c r="Z191" s="141"/>
      <c r="AA191" s="141"/>
      <c r="AB191" s="141"/>
      <c r="AC191" s="141"/>
      <c r="AD191" s="141"/>
      <c r="AE191" s="141"/>
      <c r="AF191" s="145"/>
      <c r="AG191" s="419"/>
    </row>
    <row r="192" spans="1:33" s="139" customFormat="1" ht="12.75" customHeight="1" x14ac:dyDescent="0.2">
      <c r="A192" s="1183"/>
      <c r="B192" s="1183"/>
      <c r="C192" s="1183"/>
      <c r="D192" s="1173"/>
      <c r="E192" s="1108"/>
      <c r="F192" s="1108"/>
      <c r="G192" s="1027"/>
      <c r="H192" s="1027"/>
      <c r="I192" s="1174"/>
      <c r="J192" s="1174"/>
      <c r="K192" s="1174"/>
      <c r="L192" s="1172"/>
      <c r="M192" s="1172"/>
      <c r="N192" s="1175"/>
      <c r="O192" s="143"/>
      <c r="P192" s="1196"/>
      <c r="Q192" s="146"/>
      <c r="R192" s="146"/>
      <c r="S192" s="147"/>
      <c r="T192" s="589"/>
      <c r="U192" s="559"/>
      <c r="V192" s="141"/>
      <c r="W192" s="141"/>
      <c r="X192" s="141"/>
      <c r="Y192" s="144"/>
      <c r="Z192" s="141"/>
      <c r="AA192" s="141"/>
      <c r="AB192" s="141"/>
      <c r="AC192" s="141"/>
      <c r="AD192" s="141"/>
      <c r="AE192" s="141"/>
      <c r="AF192" s="145"/>
      <c r="AG192" s="419"/>
    </row>
    <row r="193" spans="1:33" s="139" customFormat="1" ht="12.75" customHeight="1" x14ac:dyDescent="0.2">
      <c r="A193" s="1183"/>
      <c r="B193" s="1183"/>
      <c r="C193" s="1183"/>
      <c r="D193" s="1173"/>
      <c r="E193" s="1108"/>
      <c r="F193" s="1108"/>
      <c r="G193" s="1027"/>
      <c r="H193" s="1027"/>
      <c r="I193" s="1174"/>
      <c r="J193" s="1174"/>
      <c r="K193" s="1174"/>
      <c r="L193" s="1172"/>
      <c r="M193" s="1172"/>
      <c r="N193" s="1175"/>
      <c r="O193" s="143"/>
      <c r="P193" s="1196"/>
      <c r="Q193" s="146"/>
      <c r="R193" s="146"/>
      <c r="S193" s="147"/>
      <c r="T193" s="589"/>
      <c r="U193" s="559"/>
      <c r="V193" s="141"/>
      <c r="W193" s="141"/>
      <c r="X193" s="141"/>
      <c r="Y193" s="144"/>
      <c r="Z193" s="141"/>
      <c r="AA193" s="141"/>
      <c r="AB193" s="141"/>
      <c r="AC193" s="141"/>
      <c r="AD193" s="141"/>
      <c r="AE193" s="141"/>
      <c r="AF193" s="141"/>
      <c r="AG193" s="590"/>
    </row>
    <row r="194" spans="1:33" s="139" customFormat="1" ht="12.75" customHeight="1" x14ac:dyDescent="0.2">
      <c r="A194" s="1183"/>
      <c r="B194" s="1183"/>
      <c r="C194" s="1183"/>
      <c r="D194" s="1173"/>
      <c r="E194" s="1108"/>
      <c r="F194" s="1108"/>
      <c r="G194" s="1027"/>
      <c r="H194" s="1027"/>
      <c r="I194" s="1174"/>
      <c r="J194" s="1174"/>
      <c r="K194" s="1174"/>
      <c r="L194" s="1172"/>
      <c r="M194" s="1172"/>
      <c r="N194" s="1175"/>
      <c r="O194" s="143"/>
      <c r="P194" s="1196"/>
      <c r="Q194" s="1172"/>
      <c r="R194" s="1172"/>
      <c r="S194" s="148"/>
      <c r="T194" s="589"/>
      <c r="U194" s="559"/>
      <c r="V194" s="141"/>
      <c r="W194" s="141"/>
      <c r="X194" s="141"/>
      <c r="Y194" s="144"/>
      <c r="Z194" s="141"/>
      <c r="AA194" s="141"/>
      <c r="AB194" s="141"/>
      <c r="AC194" s="141"/>
      <c r="AD194" s="141"/>
      <c r="AE194" s="141"/>
      <c r="AF194" s="145"/>
      <c r="AG194" s="419"/>
    </row>
    <row r="195" spans="1:33" s="139" customFormat="1" ht="12.75" customHeight="1" x14ac:dyDescent="0.2">
      <c r="A195" s="1183"/>
      <c r="B195" s="1183"/>
      <c r="C195" s="1183"/>
      <c r="D195" s="1173"/>
      <c r="E195" s="1108"/>
      <c r="F195" s="1108"/>
      <c r="G195" s="1027"/>
      <c r="H195" s="1027"/>
      <c r="I195" s="1174"/>
      <c r="J195" s="1174"/>
      <c r="K195" s="1174"/>
      <c r="L195" s="1172"/>
      <c r="M195" s="1172"/>
      <c r="N195" s="1175"/>
      <c r="O195" s="143"/>
      <c r="P195" s="1196"/>
      <c r="Q195" s="1172"/>
      <c r="R195" s="1172"/>
      <c r="S195" s="148"/>
      <c r="T195" s="589"/>
      <c r="U195" s="559"/>
      <c r="V195" s="141"/>
      <c r="W195" s="141"/>
      <c r="X195" s="141"/>
      <c r="Y195" s="144"/>
      <c r="Z195" s="141"/>
      <c r="AA195" s="141"/>
      <c r="AB195" s="141"/>
      <c r="AC195" s="141"/>
      <c r="AD195" s="141"/>
      <c r="AE195" s="141"/>
      <c r="AF195" s="145"/>
      <c r="AG195" s="419"/>
    </row>
    <row r="196" spans="1:33" s="139" customFormat="1" ht="12.75" customHeight="1" x14ac:dyDescent="0.2">
      <c r="A196" s="1183"/>
      <c r="B196" s="1183"/>
      <c r="C196" s="1183"/>
      <c r="D196" s="1173"/>
      <c r="E196" s="1108"/>
      <c r="F196" s="1108"/>
      <c r="G196" s="1027"/>
      <c r="H196" s="1027"/>
      <c r="I196" s="1174"/>
      <c r="J196" s="1174"/>
      <c r="K196" s="1174"/>
      <c r="L196" s="1172"/>
      <c r="M196" s="1172"/>
      <c r="N196" s="1175"/>
      <c r="O196" s="143"/>
      <c r="P196" s="1196"/>
      <c r="Q196" s="1172"/>
      <c r="R196" s="1172"/>
      <c r="S196" s="148"/>
      <c r="T196" s="589"/>
      <c r="U196" s="559"/>
      <c r="V196" s="141"/>
      <c r="W196" s="141"/>
      <c r="X196" s="141"/>
      <c r="Y196" s="144"/>
      <c r="Z196" s="141"/>
      <c r="AA196" s="141"/>
      <c r="AB196" s="141"/>
      <c r="AC196" s="141"/>
      <c r="AD196" s="141"/>
      <c r="AE196" s="141"/>
      <c r="AF196" s="145"/>
      <c r="AG196" s="419"/>
    </row>
    <row r="197" spans="1:33" s="139" customFormat="1" ht="12.75" customHeight="1" x14ac:dyDescent="0.2">
      <c r="A197" s="1183"/>
      <c r="B197" s="1183"/>
      <c r="C197" s="1183"/>
      <c r="D197" s="1173"/>
      <c r="E197" s="1108"/>
      <c r="F197" s="1108"/>
      <c r="G197" s="1027"/>
      <c r="H197" s="1027"/>
      <c r="I197" s="1174"/>
      <c r="J197" s="1174"/>
      <c r="K197" s="1174"/>
      <c r="L197" s="1172"/>
      <c r="M197" s="1172"/>
      <c r="N197" s="1175"/>
      <c r="O197" s="143"/>
      <c r="P197" s="1196"/>
      <c r="Q197" s="1172"/>
      <c r="R197" s="1172"/>
      <c r="S197" s="148"/>
      <c r="T197" s="589"/>
      <c r="U197" s="559"/>
      <c r="V197" s="141"/>
      <c r="W197" s="141"/>
      <c r="X197" s="141"/>
      <c r="Y197" s="144"/>
      <c r="Z197" s="141"/>
      <c r="AA197" s="141"/>
      <c r="AB197" s="141"/>
      <c r="AC197" s="141"/>
      <c r="AD197" s="141"/>
      <c r="AE197" s="141"/>
      <c r="AF197" s="145"/>
      <c r="AG197" s="419"/>
    </row>
    <row r="198" spans="1:33" s="139" customFormat="1" ht="12.75" customHeight="1" x14ac:dyDescent="0.2">
      <c r="A198" s="1183"/>
      <c r="B198" s="1183"/>
      <c r="C198" s="1183"/>
      <c r="D198" s="1173"/>
      <c r="E198" s="1108"/>
      <c r="F198" s="1108"/>
      <c r="G198" s="1027"/>
      <c r="H198" s="1027"/>
      <c r="I198" s="1174"/>
      <c r="J198" s="1174"/>
      <c r="K198" s="1174"/>
      <c r="L198" s="1172"/>
      <c r="M198" s="1172"/>
      <c r="N198" s="1175"/>
      <c r="O198" s="143"/>
      <c r="P198" s="1196"/>
      <c r="Q198" s="1172"/>
      <c r="R198" s="1172"/>
      <c r="S198" s="148"/>
      <c r="T198" s="589"/>
      <c r="U198" s="559"/>
      <c r="V198" s="141"/>
      <c r="W198" s="141"/>
      <c r="X198" s="141"/>
      <c r="Y198" s="144"/>
      <c r="Z198" s="141"/>
      <c r="AA198" s="141"/>
      <c r="AB198" s="141"/>
      <c r="AC198" s="141"/>
      <c r="AD198" s="141"/>
      <c r="AE198" s="141"/>
      <c r="AF198" s="145"/>
      <c r="AG198" s="419"/>
    </row>
    <row r="199" spans="1:33" s="139" customFormat="1" ht="12.75" customHeight="1" x14ac:dyDescent="0.2">
      <c r="A199" s="1183"/>
      <c r="B199" s="1183"/>
      <c r="C199" s="1183"/>
      <c r="D199" s="1173"/>
      <c r="E199" s="1108"/>
      <c r="F199" s="1108"/>
      <c r="G199" s="1027"/>
      <c r="H199" s="1027"/>
      <c r="I199" s="1174"/>
      <c r="J199" s="1174"/>
      <c r="K199" s="1174"/>
      <c r="L199" s="1172"/>
      <c r="M199" s="1172"/>
      <c r="N199" s="1175"/>
      <c r="O199" s="143"/>
      <c r="P199" s="1196"/>
      <c r="Q199" s="1172"/>
      <c r="R199" s="1172"/>
      <c r="S199" s="148"/>
      <c r="T199" s="589"/>
      <c r="U199" s="559"/>
      <c r="V199" s="141"/>
      <c r="W199" s="141"/>
      <c r="X199" s="141"/>
      <c r="Y199" s="144"/>
      <c r="Z199" s="141"/>
      <c r="AA199" s="141"/>
      <c r="AB199" s="141"/>
      <c r="AC199" s="141"/>
      <c r="AD199" s="141"/>
      <c r="AE199" s="141"/>
      <c r="AF199" s="145"/>
      <c r="AG199" s="419"/>
    </row>
    <row r="200" spans="1:33" s="139" customFormat="1" ht="12.75" customHeight="1" x14ac:dyDescent="0.2">
      <c r="A200" s="1183"/>
      <c r="B200" s="1183"/>
      <c r="C200" s="1183"/>
      <c r="D200" s="1173"/>
      <c r="E200" s="1108"/>
      <c r="F200" s="1108"/>
      <c r="G200" s="1027"/>
      <c r="H200" s="1027"/>
      <c r="I200" s="1174"/>
      <c r="J200" s="1174"/>
      <c r="K200" s="1174"/>
      <c r="L200" s="1172"/>
      <c r="M200" s="1172"/>
      <c r="N200" s="1175"/>
      <c r="O200" s="143"/>
      <c r="P200" s="1196"/>
      <c r="Q200" s="1172"/>
      <c r="R200" s="1172"/>
      <c r="S200" s="148"/>
      <c r="T200" s="589"/>
      <c r="U200" s="559"/>
      <c r="V200" s="141"/>
      <c r="W200" s="141"/>
      <c r="X200" s="141"/>
      <c r="Y200" s="144"/>
      <c r="Z200" s="141"/>
      <c r="AA200" s="141"/>
      <c r="AB200" s="141"/>
      <c r="AC200" s="141"/>
      <c r="AD200" s="141"/>
      <c r="AE200" s="141"/>
      <c r="AF200" s="145"/>
      <c r="AG200" s="419"/>
    </row>
    <row r="201" spans="1:33" s="139" customFormat="1" ht="12.75" customHeight="1" x14ac:dyDescent="0.2">
      <c r="A201" s="1183"/>
      <c r="B201" s="1183"/>
      <c r="C201" s="1183"/>
      <c r="D201" s="1173"/>
      <c r="E201" s="1108"/>
      <c r="F201" s="1108"/>
      <c r="G201" s="1027"/>
      <c r="H201" s="1027"/>
      <c r="I201" s="1174"/>
      <c r="J201" s="1174"/>
      <c r="K201" s="1174"/>
      <c r="L201" s="1172"/>
      <c r="M201" s="1172"/>
      <c r="N201" s="1175"/>
      <c r="O201" s="143"/>
      <c r="P201" s="1196"/>
      <c r="Q201" s="1172"/>
      <c r="R201" s="1172"/>
      <c r="S201" s="148"/>
      <c r="T201" s="589"/>
      <c r="U201" s="559"/>
      <c r="V201" s="141"/>
      <c r="W201" s="141"/>
      <c r="X201" s="141"/>
      <c r="Y201" s="144"/>
      <c r="Z201" s="141"/>
      <c r="AA201" s="141"/>
      <c r="AB201" s="141"/>
      <c r="AC201" s="141"/>
      <c r="AD201" s="141"/>
      <c r="AE201" s="141"/>
      <c r="AF201" s="145"/>
      <c r="AG201" s="419"/>
    </row>
    <row r="202" spans="1:33" s="139" customFormat="1" ht="12.75" customHeight="1" x14ac:dyDescent="0.2">
      <c r="A202" s="1183"/>
      <c r="B202" s="1183"/>
      <c r="C202" s="1183"/>
      <c r="D202" s="1173"/>
      <c r="E202" s="1108"/>
      <c r="F202" s="1108"/>
      <c r="G202" s="1027"/>
      <c r="H202" s="1027"/>
      <c r="I202" s="1174"/>
      <c r="J202" s="1174"/>
      <c r="K202" s="1174"/>
      <c r="L202" s="1172"/>
      <c r="M202" s="1172"/>
      <c r="N202" s="1175"/>
      <c r="O202" s="143"/>
      <c r="P202" s="1196"/>
      <c r="Q202" s="1172"/>
      <c r="R202" s="1172"/>
      <c r="S202" s="148"/>
      <c r="T202" s="589"/>
      <c r="U202" s="559"/>
      <c r="V202" s="141"/>
      <c r="W202" s="141"/>
      <c r="X202" s="141"/>
      <c r="Y202" s="144"/>
      <c r="Z202" s="141"/>
      <c r="AA202" s="141"/>
      <c r="AB202" s="141"/>
      <c r="AC202" s="141"/>
      <c r="AD202" s="141"/>
      <c r="AE202" s="141"/>
      <c r="AF202" s="145"/>
      <c r="AG202" s="419"/>
    </row>
    <row r="203" spans="1:33" s="139" customFormat="1" ht="12.75" customHeight="1" x14ac:dyDescent="0.2">
      <c r="A203" s="1183"/>
      <c r="B203" s="1183"/>
      <c r="C203" s="1183"/>
      <c r="D203" s="1173"/>
      <c r="E203" s="1108"/>
      <c r="F203" s="1108"/>
      <c r="G203" s="1027"/>
      <c r="H203" s="1027"/>
      <c r="I203" s="1174"/>
      <c r="J203" s="1174"/>
      <c r="K203" s="1174"/>
      <c r="L203" s="1172"/>
      <c r="M203" s="1172"/>
      <c r="N203" s="1175"/>
      <c r="O203" s="143"/>
      <c r="P203" s="1196"/>
      <c r="Q203" s="1172"/>
      <c r="R203" s="1172"/>
      <c r="S203" s="148"/>
      <c r="T203" s="589"/>
      <c r="U203" s="559"/>
      <c r="V203" s="141"/>
      <c r="W203" s="141"/>
      <c r="X203" s="141"/>
      <c r="Y203" s="144"/>
      <c r="Z203" s="141"/>
      <c r="AA203" s="141"/>
      <c r="AB203" s="141"/>
      <c r="AC203" s="141"/>
      <c r="AD203" s="141"/>
      <c r="AE203" s="141"/>
      <c r="AF203" s="145"/>
      <c r="AG203" s="419"/>
    </row>
    <row r="204" spans="1:33" s="139" customFormat="1" ht="12.75" customHeight="1" x14ac:dyDescent="0.2">
      <c r="A204" s="1183"/>
      <c r="B204" s="1183"/>
      <c r="C204" s="1183"/>
      <c r="D204" s="1173"/>
      <c r="E204" s="1108"/>
      <c r="F204" s="1108"/>
      <c r="G204" s="1027"/>
      <c r="H204" s="1027"/>
      <c r="I204" s="1174"/>
      <c r="J204" s="1174"/>
      <c r="K204" s="1174"/>
      <c r="L204" s="1172"/>
      <c r="M204" s="1172"/>
      <c r="N204" s="1175"/>
      <c r="O204" s="143"/>
      <c r="P204" s="1196"/>
      <c r="Q204" s="1172"/>
      <c r="R204" s="1172"/>
      <c r="S204" s="148"/>
      <c r="T204" s="589"/>
      <c r="U204" s="559"/>
      <c r="V204" s="141"/>
      <c r="W204" s="141"/>
      <c r="X204" s="141"/>
      <c r="Y204" s="144"/>
      <c r="Z204" s="141"/>
      <c r="AA204" s="141"/>
      <c r="AB204" s="141"/>
      <c r="AC204" s="141"/>
      <c r="AD204" s="141"/>
      <c r="AE204" s="141"/>
      <c r="AF204" s="145"/>
      <c r="AG204" s="419"/>
    </row>
    <row r="205" spans="1:33" s="139" customFormat="1" ht="12.75" customHeight="1" x14ac:dyDescent="0.2">
      <c r="A205" s="1183"/>
      <c r="B205" s="1183"/>
      <c r="C205" s="1183"/>
      <c r="D205" s="1173"/>
      <c r="E205" s="1108"/>
      <c r="F205" s="1108"/>
      <c r="G205" s="1027"/>
      <c r="H205" s="1027"/>
      <c r="I205" s="1174"/>
      <c r="J205" s="1174"/>
      <c r="K205" s="1174"/>
      <c r="L205" s="1172"/>
      <c r="M205" s="1172"/>
      <c r="N205" s="1175"/>
      <c r="O205" s="143"/>
      <c r="P205" s="1196"/>
      <c r="Q205" s="1172"/>
      <c r="R205" s="1172"/>
      <c r="S205" s="148"/>
      <c r="T205" s="589"/>
      <c r="U205" s="559"/>
      <c r="V205" s="141"/>
      <c r="W205" s="141"/>
      <c r="X205" s="141"/>
      <c r="Y205" s="144"/>
      <c r="Z205" s="141"/>
      <c r="AA205" s="141"/>
      <c r="AB205" s="141"/>
      <c r="AC205" s="141"/>
      <c r="AD205" s="141"/>
      <c r="AE205" s="141"/>
      <c r="AF205" s="145"/>
      <c r="AG205" s="419"/>
    </row>
    <row r="206" spans="1:33" s="139" customFormat="1" ht="12.75" customHeight="1" x14ac:dyDescent="0.2">
      <c r="A206" s="1183"/>
      <c r="B206" s="1183"/>
      <c r="C206" s="1183"/>
      <c r="D206" s="1173"/>
      <c r="E206" s="1108"/>
      <c r="F206" s="1108"/>
      <c r="G206" s="1027"/>
      <c r="H206" s="1027"/>
      <c r="I206" s="1174"/>
      <c r="J206" s="1174"/>
      <c r="K206" s="1174"/>
      <c r="L206" s="1172"/>
      <c r="M206" s="1172"/>
      <c r="N206" s="1175"/>
      <c r="O206" s="143"/>
      <c r="P206" s="1196"/>
      <c r="Q206" s="141"/>
      <c r="R206" s="141"/>
      <c r="S206" s="148"/>
      <c r="T206" s="589"/>
      <c r="U206" s="559"/>
      <c r="V206" s="141"/>
      <c r="W206" s="141"/>
      <c r="X206" s="141"/>
      <c r="Y206" s="144"/>
      <c r="Z206" s="141"/>
      <c r="AA206" s="141"/>
      <c r="AB206" s="141"/>
      <c r="AC206" s="141"/>
      <c r="AD206" s="141"/>
      <c r="AE206" s="141"/>
      <c r="AF206" s="145"/>
      <c r="AG206" s="419"/>
    </row>
    <row r="207" spans="1:33" s="139" customFormat="1" ht="12.75" customHeight="1" x14ac:dyDescent="0.2">
      <c r="A207" s="1183"/>
      <c r="B207" s="1183"/>
      <c r="C207" s="1183"/>
      <c r="D207" s="1173"/>
      <c r="E207" s="1108"/>
      <c r="F207" s="1108"/>
      <c r="G207" s="1027"/>
      <c r="H207" s="1027"/>
      <c r="I207" s="1174"/>
      <c r="J207" s="1174"/>
      <c r="K207" s="1174"/>
      <c r="L207" s="1172"/>
      <c r="M207" s="1172"/>
      <c r="N207" s="1175"/>
      <c r="O207" s="143"/>
      <c r="P207" s="1196"/>
      <c r="Q207" s="1172"/>
      <c r="R207" s="1172"/>
      <c r="S207" s="148"/>
      <c r="T207" s="589"/>
      <c r="U207" s="559"/>
      <c r="V207" s="141"/>
      <c r="W207" s="141"/>
      <c r="X207" s="141"/>
      <c r="Y207" s="144"/>
      <c r="Z207" s="141"/>
      <c r="AA207" s="141"/>
      <c r="AB207" s="141"/>
      <c r="AC207" s="141"/>
      <c r="AD207" s="141"/>
      <c r="AE207" s="141"/>
      <c r="AF207" s="145"/>
      <c r="AG207" s="419"/>
    </row>
    <row r="208" spans="1:33" s="139" customFormat="1" ht="12.75" customHeight="1" x14ac:dyDescent="0.2">
      <c r="A208" s="1183"/>
      <c r="B208" s="1183"/>
      <c r="C208" s="1183"/>
      <c r="D208" s="1173"/>
      <c r="E208" s="1108"/>
      <c r="F208" s="1108"/>
      <c r="G208" s="1027"/>
      <c r="H208" s="1027"/>
      <c r="I208" s="1174"/>
      <c r="J208" s="1174"/>
      <c r="K208" s="1174"/>
      <c r="L208" s="1172"/>
      <c r="M208" s="1172"/>
      <c r="N208" s="1175"/>
      <c r="O208" s="143"/>
      <c r="P208" s="1196"/>
      <c r="Q208" s="1172"/>
      <c r="R208" s="1172"/>
      <c r="S208" s="148"/>
      <c r="T208" s="589"/>
      <c r="U208" s="559"/>
      <c r="V208" s="141"/>
      <c r="W208" s="141"/>
      <c r="X208" s="141"/>
      <c r="Y208" s="144"/>
      <c r="Z208" s="141"/>
      <c r="AA208" s="141"/>
      <c r="AB208" s="141"/>
      <c r="AC208" s="141"/>
      <c r="AD208" s="141"/>
      <c r="AE208" s="141"/>
      <c r="AF208" s="145"/>
      <c r="AG208" s="419"/>
    </row>
    <row r="209" spans="1:33" s="139" customFormat="1" ht="12.75" customHeight="1" x14ac:dyDescent="0.2">
      <c r="A209" s="1183"/>
      <c r="B209" s="1183"/>
      <c r="C209" s="1183"/>
      <c r="D209" s="1173"/>
      <c r="E209" s="1108"/>
      <c r="F209" s="1108"/>
      <c r="G209" s="1027"/>
      <c r="H209" s="1027"/>
      <c r="I209" s="1174"/>
      <c r="J209" s="1174"/>
      <c r="K209" s="1174"/>
      <c r="L209" s="1172"/>
      <c r="M209" s="1172"/>
      <c r="N209" s="1175"/>
      <c r="O209" s="143"/>
      <c r="P209" s="1196"/>
      <c r="Q209" s="141"/>
      <c r="R209" s="141"/>
      <c r="S209" s="148"/>
      <c r="T209" s="589"/>
      <c r="U209" s="559"/>
      <c r="V209" s="141"/>
      <c r="W209" s="141"/>
      <c r="X209" s="141"/>
      <c r="Y209" s="144"/>
      <c r="Z209" s="141"/>
      <c r="AA209" s="141"/>
      <c r="AB209" s="141"/>
      <c r="AC209" s="141"/>
      <c r="AD209" s="141"/>
      <c r="AE209" s="141"/>
      <c r="AF209" s="145"/>
      <c r="AG209" s="419"/>
    </row>
    <row r="210" spans="1:33" s="139" customFormat="1" ht="12.75" customHeight="1" x14ac:dyDescent="0.2">
      <c r="A210" s="1183"/>
      <c r="B210" s="1183"/>
      <c r="C210" s="1183"/>
      <c r="D210" s="1173"/>
      <c r="E210" s="1108"/>
      <c r="F210" s="1108"/>
      <c r="G210" s="1027"/>
      <c r="H210" s="1027"/>
      <c r="I210" s="1174"/>
      <c r="J210" s="1174"/>
      <c r="K210" s="1174"/>
      <c r="L210" s="1172"/>
      <c r="M210" s="1172"/>
      <c r="N210" s="1175"/>
      <c r="O210" s="143"/>
      <c r="P210" s="1196"/>
      <c r="Q210" s="141"/>
      <c r="R210" s="141"/>
      <c r="S210" s="148"/>
      <c r="T210" s="589"/>
      <c r="U210" s="559"/>
      <c r="V210" s="141"/>
      <c r="W210" s="141"/>
      <c r="X210" s="141"/>
      <c r="Y210" s="144"/>
      <c r="Z210" s="141"/>
      <c r="AA210" s="141"/>
      <c r="AB210" s="141"/>
      <c r="AC210" s="141"/>
      <c r="AD210" s="141"/>
      <c r="AE210" s="141"/>
      <c r="AF210" s="145"/>
      <c r="AG210" s="419"/>
    </row>
    <row r="211" spans="1:33" s="139" customFormat="1" ht="12.75" customHeight="1" x14ac:dyDescent="0.2">
      <c r="A211" s="1183"/>
      <c r="B211" s="1183"/>
      <c r="C211" s="1183"/>
      <c r="D211" s="1173"/>
      <c r="E211" s="1108"/>
      <c r="F211" s="1108"/>
      <c r="G211" s="1027"/>
      <c r="H211" s="1027"/>
      <c r="I211" s="1174"/>
      <c r="J211" s="1174"/>
      <c r="K211" s="1174"/>
      <c r="L211" s="1172"/>
      <c r="M211" s="1172"/>
      <c r="N211" s="1175"/>
      <c r="O211" s="143"/>
      <c r="P211" s="1196"/>
      <c r="Q211" s="141"/>
      <c r="R211" s="141"/>
      <c r="S211" s="148"/>
      <c r="T211" s="589"/>
      <c r="U211" s="559"/>
      <c r="V211" s="141"/>
      <c r="W211" s="141"/>
      <c r="X211" s="141"/>
      <c r="Y211" s="144"/>
      <c r="Z211" s="141"/>
      <c r="AA211" s="141"/>
      <c r="AB211" s="141"/>
      <c r="AC211" s="141"/>
      <c r="AD211" s="141"/>
      <c r="AE211" s="141"/>
      <c r="AF211" s="145"/>
      <c r="AG211" s="419"/>
    </row>
    <row r="212" spans="1:33" s="139" customFormat="1" ht="12.75" customHeight="1" x14ac:dyDescent="0.2">
      <c r="A212" s="1183"/>
      <c r="B212" s="1183"/>
      <c r="C212" s="1183"/>
      <c r="D212" s="1173"/>
      <c r="E212" s="1108"/>
      <c r="F212" s="1108"/>
      <c r="G212" s="1027"/>
      <c r="H212" s="1027"/>
      <c r="I212" s="1174"/>
      <c r="J212" s="1174"/>
      <c r="K212" s="1174"/>
      <c r="L212" s="1172"/>
      <c r="M212" s="1172"/>
      <c r="N212" s="1175"/>
      <c r="O212" s="143"/>
      <c r="P212" s="1196"/>
      <c r="Q212" s="141"/>
      <c r="R212" s="141"/>
      <c r="S212" s="148"/>
      <c r="T212" s="589"/>
      <c r="U212" s="559"/>
      <c r="V212" s="141"/>
      <c r="W212" s="141"/>
      <c r="X212" s="141"/>
      <c r="Y212" s="144"/>
      <c r="Z212" s="141"/>
      <c r="AA212" s="141"/>
      <c r="AB212" s="141"/>
      <c r="AC212" s="141"/>
      <c r="AD212" s="141"/>
      <c r="AE212" s="141"/>
      <c r="AF212" s="145"/>
      <c r="AG212" s="419"/>
    </row>
    <row r="213" spans="1:33" s="139" customFormat="1" ht="12.75" customHeight="1" x14ac:dyDescent="0.2">
      <c r="A213" s="1183"/>
      <c r="B213" s="1183"/>
      <c r="C213" s="1183"/>
      <c r="D213" s="1173"/>
      <c r="E213" s="1108"/>
      <c r="F213" s="1108"/>
      <c r="G213" s="1027"/>
      <c r="H213" s="1027"/>
      <c r="I213" s="1174"/>
      <c r="J213" s="1174"/>
      <c r="K213" s="1174"/>
      <c r="L213" s="1172"/>
      <c r="M213" s="1172"/>
      <c r="N213" s="1175"/>
      <c r="O213" s="143"/>
      <c r="P213" s="1196"/>
      <c r="Q213" s="141"/>
      <c r="R213" s="141"/>
      <c r="S213" s="148"/>
      <c r="T213" s="589"/>
      <c r="U213" s="559"/>
      <c r="V213" s="141"/>
      <c r="W213" s="141"/>
      <c r="X213" s="141"/>
      <c r="Y213" s="144"/>
      <c r="Z213" s="141"/>
      <c r="AA213" s="141"/>
      <c r="AB213" s="141"/>
      <c r="AC213" s="141"/>
      <c r="AD213" s="141"/>
      <c r="AE213" s="141"/>
      <c r="AF213" s="145"/>
      <c r="AG213" s="419"/>
    </row>
    <row r="214" spans="1:33" s="139" customFormat="1" ht="12.75" customHeight="1" x14ac:dyDescent="0.2">
      <c r="A214" s="1183"/>
      <c r="B214" s="1183"/>
      <c r="C214" s="1183"/>
      <c r="D214" s="1173"/>
      <c r="E214" s="1108"/>
      <c r="F214" s="1108"/>
      <c r="G214" s="1027"/>
      <c r="H214" s="1027"/>
      <c r="I214" s="1174"/>
      <c r="J214" s="1174"/>
      <c r="K214" s="1174"/>
      <c r="L214" s="1172"/>
      <c r="M214" s="1172"/>
      <c r="N214" s="1175"/>
      <c r="O214" s="143"/>
      <c r="P214" s="1196"/>
      <c r="Q214" s="141"/>
      <c r="R214" s="141"/>
      <c r="S214" s="148"/>
      <c r="T214" s="589"/>
      <c r="U214" s="559"/>
      <c r="V214" s="141"/>
      <c r="W214" s="141"/>
      <c r="X214" s="141"/>
      <c r="Y214" s="144"/>
      <c r="Z214" s="141"/>
      <c r="AA214" s="141"/>
      <c r="AB214" s="141"/>
      <c r="AC214" s="141"/>
      <c r="AD214" s="141"/>
      <c r="AE214" s="141"/>
      <c r="AF214" s="145"/>
      <c r="AG214" s="419"/>
    </row>
    <row r="215" spans="1:33" s="139" customFormat="1" ht="12.75" customHeight="1" x14ac:dyDescent="0.2">
      <c r="A215" s="1183"/>
      <c r="B215" s="1183"/>
      <c r="C215" s="1183"/>
      <c r="D215" s="1173"/>
      <c r="E215" s="1108"/>
      <c r="F215" s="1108"/>
      <c r="G215" s="1027"/>
      <c r="H215" s="1027"/>
      <c r="I215" s="1174"/>
      <c r="J215" s="1174"/>
      <c r="K215" s="1174"/>
      <c r="L215" s="1172"/>
      <c r="M215" s="1172"/>
      <c r="N215" s="1175"/>
      <c r="O215" s="143"/>
      <c r="P215" s="1196"/>
      <c r="Q215" s="141"/>
      <c r="R215" s="141"/>
      <c r="S215" s="148"/>
      <c r="T215" s="589"/>
      <c r="U215" s="559"/>
      <c r="V215" s="141"/>
      <c r="W215" s="141"/>
      <c r="X215" s="141"/>
      <c r="Y215" s="144"/>
      <c r="Z215" s="141"/>
      <c r="AA215" s="141"/>
      <c r="AB215" s="141"/>
      <c r="AC215" s="141"/>
      <c r="AD215" s="141"/>
      <c r="AE215" s="141"/>
      <c r="AF215" s="145"/>
      <c r="AG215" s="419"/>
    </row>
    <row r="216" spans="1:33" s="139" customFormat="1" ht="12.75" customHeight="1" x14ac:dyDescent="0.2">
      <c r="A216" s="1183"/>
      <c r="B216" s="1183"/>
      <c r="C216" s="1183"/>
      <c r="D216" s="1173"/>
      <c r="E216" s="1108"/>
      <c r="F216" s="1108"/>
      <c r="G216" s="1027"/>
      <c r="H216" s="1027"/>
      <c r="I216" s="1174"/>
      <c r="J216" s="1174"/>
      <c r="K216" s="1174"/>
      <c r="L216" s="1172"/>
      <c r="M216" s="1172"/>
      <c r="N216" s="1175"/>
      <c r="O216" s="143"/>
      <c r="P216" s="1196"/>
      <c r="Q216" s="141"/>
      <c r="R216" s="141"/>
      <c r="S216" s="148"/>
      <c r="T216" s="589"/>
      <c r="U216" s="559"/>
      <c r="V216" s="141"/>
      <c r="W216" s="141"/>
      <c r="X216" s="141"/>
      <c r="Y216" s="144"/>
      <c r="Z216" s="141"/>
      <c r="AA216" s="141"/>
      <c r="AB216" s="141"/>
      <c r="AC216" s="141"/>
      <c r="AD216" s="141"/>
      <c r="AE216" s="141"/>
      <c r="AF216" s="145"/>
      <c r="AG216" s="419"/>
    </row>
    <row r="217" spans="1:33" s="139" customFormat="1" ht="12.75" customHeight="1" x14ac:dyDescent="0.2">
      <c r="A217" s="1183"/>
      <c r="B217" s="1183"/>
      <c r="C217" s="1183"/>
      <c r="D217" s="1173"/>
      <c r="E217" s="1108"/>
      <c r="F217" s="1108"/>
      <c r="G217" s="1027"/>
      <c r="H217" s="1027"/>
      <c r="I217" s="1174"/>
      <c r="J217" s="1174"/>
      <c r="K217" s="1174"/>
      <c r="L217" s="1172"/>
      <c r="M217" s="1172"/>
      <c r="N217" s="1175"/>
      <c r="O217" s="143"/>
      <c r="P217" s="1196"/>
      <c r="Q217" s="141"/>
      <c r="R217" s="141"/>
      <c r="S217" s="148"/>
      <c r="T217" s="589"/>
      <c r="U217" s="559"/>
      <c r="V217" s="141"/>
      <c r="W217" s="141"/>
      <c r="X217" s="141"/>
      <c r="Y217" s="144"/>
      <c r="Z217" s="141"/>
      <c r="AA217" s="141"/>
      <c r="AB217" s="141"/>
      <c r="AC217" s="141"/>
      <c r="AD217" s="141"/>
      <c r="AE217" s="141"/>
      <c r="AF217" s="145"/>
      <c r="AG217" s="419"/>
    </row>
    <row r="218" spans="1:33" s="139" customFormat="1" ht="12.75" customHeight="1" x14ac:dyDescent="0.2">
      <c r="A218" s="1183"/>
      <c r="B218" s="1183"/>
      <c r="C218" s="1183"/>
      <c r="D218" s="1173"/>
      <c r="E218" s="1108"/>
      <c r="F218" s="1108"/>
      <c r="G218" s="1027"/>
      <c r="H218" s="1027"/>
      <c r="I218" s="1174"/>
      <c r="J218" s="1174"/>
      <c r="K218" s="1174"/>
      <c r="L218" s="1172"/>
      <c r="M218" s="1172"/>
      <c r="N218" s="1175"/>
      <c r="O218" s="143"/>
      <c r="P218" s="1196"/>
      <c r="Q218" s="141"/>
      <c r="R218" s="141"/>
      <c r="S218" s="148"/>
      <c r="T218" s="589"/>
      <c r="U218" s="559"/>
      <c r="V218" s="141"/>
      <c r="W218" s="141"/>
      <c r="X218" s="141"/>
      <c r="Y218" s="144"/>
      <c r="Z218" s="141"/>
      <c r="AA218" s="141"/>
      <c r="AB218" s="141"/>
      <c r="AC218" s="141"/>
      <c r="AD218" s="141"/>
      <c r="AE218" s="141"/>
      <c r="AF218" s="145"/>
      <c r="AG218" s="419"/>
    </row>
    <row r="219" spans="1:33" s="139" customFormat="1" ht="12.75" customHeight="1" x14ac:dyDescent="0.2">
      <c r="A219" s="1183"/>
      <c r="B219" s="1183"/>
      <c r="C219" s="1183"/>
      <c r="D219" s="1173"/>
      <c r="E219" s="1108"/>
      <c r="F219" s="1108"/>
      <c r="G219" s="1027"/>
      <c r="H219" s="1027"/>
      <c r="I219" s="1174"/>
      <c r="J219" s="1174"/>
      <c r="K219" s="1174"/>
      <c r="L219" s="1172"/>
      <c r="M219" s="1172"/>
      <c r="N219" s="1175"/>
      <c r="O219" s="143"/>
      <c r="P219" s="1196"/>
      <c r="Q219" s="1176"/>
      <c r="R219" s="1176"/>
      <c r="S219" s="1177"/>
      <c r="T219" s="589"/>
      <c r="U219" s="559"/>
      <c r="V219" s="141"/>
      <c r="W219" s="141"/>
      <c r="X219" s="141"/>
      <c r="Y219" s="144"/>
      <c r="Z219" s="141"/>
      <c r="AA219" s="141"/>
      <c r="AB219" s="141"/>
      <c r="AC219" s="141"/>
      <c r="AD219" s="141"/>
      <c r="AE219" s="141"/>
      <c r="AF219" s="145"/>
      <c r="AG219" s="419"/>
    </row>
    <row r="220" spans="1:33" s="139" customFormat="1" ht="12.75" customHeight="1" x14ac:dyDescent="0.2">
      <c r="A220" s="1183"/>
      <c r="B220" s="1183"/>
      <c r="C220" s="1183"/>
      <c r="D220" s="1173"/>
      <c r="E220" s="1108"/>
      <c r="F220" s="1108"/>
      <c r="G220" s="1027"/>
      <c r="H220" s="1027"/>
      <c r="I220" s="1174"/>
      <c r="J220" s="1174"/>
      <c r="K220" s="1174"/>
      <c r="L220" s="1172"/>
      <c r="M220" s="1172"/>
      <c r="N220" s="1175"/>
      <c r="O220" s="143"/>
      <c r="P220" s="1196"/>
      <c r="Q220" s="1176"/>
      <c r="R220" s="1176"/>
      <c r="S220" s="1177"/>
      <c r="T220" s="589"/>
      <c r="U220" s="559"/>
      <c r="V220" s="141"/>
      <c r="W220" s="141"/>
      <c r="X220" s="141"/>
      <c r="Y220" s="144"/>
      <c r="Z220" s="141"/>
      <c r="AA220" s="141"/>
      <c r="AB220" s="141"/>
      <c r="AC220" s="141"/>
      <c r="AD220" s="141"/>
      <c r="AE220" s="141"/>
      <c r="AF220" s="145"/>
      <c r="AG220" s="419"/>
    </row>
    <row r="221" spans="1:33" s="139" customFormat="1" ht="12.75" customHeight="1" x14ac:dyDescent="0.2">
      <c r="A221" s="1183"/>
      <c r="B221" s="1183"/>
      <c r="C221" s="1183"/>
      <c r="D221" s="1173"/>
      <c r="E221" s="1108"/>
      <c r="F221" s="1108"/>
      <c r="G221" s="1027"/>
      <c r="H221" s="1027"/>
      <c r="I221" s="1174"/>
      <c r="J221" s="1174"/>
      <c r="K221" s="1174"/>
      <c r="L221" s="1172"/>
      <c r="M221" s="1172"/>
      <c r="N221" s="1175"/>
      <c r="O221" s="143"/>
      <c r="P221" s="1196"/>
      <c r="Q221" s="146"/>
      <c r="R221" s="146"/>
      <c r="S221" s="147"/>
      <c r="T221" s="589"/>
      <c r="U221" s="559"/>
      <c r="V221" s="141"/>
      <c r="W221" s="141"/>
      <c r="X221" s="141"/>
      <c r="Y221" s="144"/>
      <c r="Z221" s="141"/>
      <c r="AA221" s="141"/>
      <c r="AB221" s="141"/>
      <c r="AC221" s="141"/>
      <c r="AD221" s="141"/>
      <c r="AE221" s="141"/>
      <c r="AF221" s="145"/>
      <c r="AG221" s="419"/>
    </row>
    <row r="222" spans="1:33" s="139" customFormat="1" ht="12.75" customHeight="1" x14ac:dyDescent="0.2">
      <c r="A222" s="1183"/>
      <c r="B222" s="1183"/>
      <c r="C222" s="1183"/>
      <c r="D222" s="1173"/>
      <c r="E222" s="1108"/>
      <c r="F222" s="1108"/>
      <c r="G222" s="1027"/>
      <c r="H222" s="1027"/>
      <c r="I222" s="1174"/>
      <c r="J222" s="1174"/>
      <c r="K222" s="1174"/>
      <c r="L222" s="1172"/>
      <c r="M222" s="1172"/>
      <c r="N222" s="1175"/>
      <c r="O222" s="143"/>
      <c r="P222" s="1196"/>
      <c r="Q222" s="146"/>
      <c r="R222" s="146"/>
      <c r="S222" s="147"/>
      <c r="T222" s="589"/>
      <c r="U222" s="559"/>
      <c r="V222" s="141"/>
      <c r="W222" s="141"/>
      <c r="X222" s="141"/>
      <c r="Y222" s="144"/>
      <c r="Z222" s="141"/>
      <c r="AA222" s="141"/>
      <c r="AB222" s="141"/>
      <c r="AC222" s="141"/>
      <c r="AD222" s="141"/>
      <c r="AE222" s="141"/>
      <c r="AF222" s="145"/>
      <c r="AG222" s="419"/>
    </row>
    <row r="223" spans="1:33" s="139" customFormat="1" ht="12.75" customHeight="1" x14ac:dyDescent="0.2">
      <c r="A223" s="1183"/>
      <c r="B223" s="1183"/>
      <c r="C223" s="1183"/>
      <c r="D223" s="1173"/>
      <c r="E223" s="1108"/>
      <c r="F223" s="1108"/>
      <c r="G223" s="1027"/>
      <c r="H223" s="1027"/>
      <c r="I223" s="1174"/>
      <c r="J223" s="1174"/>
      <c r="K223" s="1174"/>
      <c r="L223" s="1172"/>
      <c r="M223" s="1172"/>
      <c r="N223" s="1175"/>
      <c r="O223" s="143"/>
      <c r="P223" s="1196"/>
      <c r="Q223" s="146"/>
      <c r="R223" s="146"/>
      <c r="S223" s="147"/>
      <c r="T223" s="589"/>
      <c r="U223" s="559"/>
      <c r="V223" s="141"/>
      <c r="W223" s="141"/>
      <c r="X223" s="141"/>
      <c r="Y223" s="144"/>
      <c r="Z223" s="141"/>
      <c r="AA223" s="141"/>
      <c r="AB223" s="141"/>
      <c r="AC223" s="141"/>
      <c r="AD223" s="141"/>
      <c r="AE223" s="141"/>
      <c r="AF223" s="145"/>
      <c r="AG223" s="419"/>
    </row>
    <row r="224" spans="1:33" s="139" customFormat="1" ht="12.75" customHeight="1" x14ac:dyDescent="0.2">
      <c r="A224" s="1183"/>
      <c r="B224" s="1183"/>
      <c r="C224" s="1183"/>
      <c r="D224" s="1173"/>
      <c r="E224" s="1108"/>
      <c r="F224" s="1108"/>
      <c r="G224" s="1027"/>
      <c r="H224" s="1027"/>
      <c r="I224" s="1174"/>
      <c r="J224" s="1174"/>
      <c r="K224" s="1174"/>
      <c r="L224" s="1172"/>
      <c r="M224" s="1172"/>
      <c r="N224" s="1175"/>
      <c r="O224" s="143"/>
      <c r="P224" s="1196"/>
      <c r="Q224" s="146"/>
      <c r="R224" s="146"/>
      <c r="S224" s="147"/>
      <c r="T224" s="589"/>
      <c r="U224" s="559"/>
      <c r="V224" s="141"/>
      <c r="W224" s="141"/>
      <c r="X224" s="141"/>
      <c r="Y224" s="144"/>
      <c r="Z224" s="141"/>
      <c r="AA224" s="141"/>
      <c r="AB224" s="141"/>
      <c r="AC224" s="141"/>
      <c r="AD224" s="141"/>
      <c r="AE224" s="141"/>
      <c r="AF224" s="145"/>
      <c r="AG224" s="419"/>
    </row>
    <row r="225" spans="1:33" s="139" customFormat="1" ht="12.75" customHeight="1" x14ac:dyDescent="0.2">
      <c r="A225" s="1183"/>
      <c r="B225" s="1183"/>
      <c r="C225" s="1183"/>
      <c r="D225" s="1173"/>
      <c r="E225" s="1108"/>
      <c r="F225" s="1108"/>
      <c r="G225" s="1027"/>
      <c r="H225" s="1027"/>
      <c r="I225" s="1174"/>
      <c r="J225" s="1174"/>
      <c r="K225" s="1174"/>
      <c r="L225" s="1172"/>
      <c r="M225" s="1172"/>
      <c r="N225" s="1175"/>
      <c r="O225" s="143"/>
      <c r="P225" s="1196"/>
      <c r="Q225" s="146"/>
      <c r="R225" s="146"/>
      <c r="S225" s="147"/>
      <c r="T225" s="589"/>
      <c r="U225" s="559"/>
      <c r="V225" s="141"/>
      <c r="W225" s="141"/>
      <c r="X225" s="141"/>
      <c r="Y225" s="144"/>
      <c r="Z225" s="141"/>
      <c r="AA225" s="141"/>
      <c r="AB225" s="141"/>
      <c r="AC225" s="141"/>
      <c r="AD225" s="141"/>
      <c r="AE225" s="141"/>
      <c r="AF225" s="145"/>
      <c r="AG225" s="419"/>
    </row>
    <row r="226" spans="1:33" s="139" customFormat="1" ht="12.75" customHeight="1" x14ac:dyDescent="0.2">
      <c r="A226" s="1183"/>
      <c r="B226" s="1183"/>
      <c r="C226" s="1183"/>
      <c r="D226" s="1173"/>
      <c r="E226" s="1108"/>
      <c r="F226" s="1108"/>
      <c r="G226" s="1027"/>
      <c r="H226" s="1027"/>
      <c r="I226" s="1174"/>
      <c r="J226" s="1174"/>
      <c r="K226" s="1174"/>
      <c r="L226" s="1172"/>
      <c r="M226" s="1172"/>
      <c r="N226" s="1175"/>
      <c r="O226" s="143"/>
      <c r="P226" s="1196"/>
      <c r="Q226" s="146"/>
      <c r="R226" s="146"/>
      <c r="S226" s="147"/>
      <c r="T226" s="589"/>
      <c r="U226" s="559"/>
      <c r="V226" s="141"/>
      <c r="W226" s="141"/>
      <c r="X226" s="141"/>
      <c r="Y226" s="144"/>
      <c r="Z226" s="141"/>
      <c r="AA226" s="141"/>
      <c r="AB226" s="141"/>
      <c r="AC226" s="141"/>
      <c r="AD226" s="141"/>
      <c r="AE226" s="141"/>
      <c r="AF226" s="145"/>
      <c r="AG226" s="419"/>
    </row>
    <row r="227" spans="1:33" s="139" customFormat="1" ht="12.75" customHeight="1" x14ac:dyDescent="0.2">
      <c r="A227" s="1183"/>
      <c r="B227" s="1183"/>
      <c r="C227" s="1183"/>
      <c r="D227" s="1173"/>
      <c r="E227" s="1108"/>
      <c r="F227" s="1108"/>
      <c r="G227" s="1027"/>
      <c r="H227" s="1027"/>
      <c r="I227" s="1174"/>
      <c r="J227" s="1174"/>
      <c r="K227" s="1174"/>
      <c r="L227" s="1172"/>
      <c r="M227" s="1172"/>
      <c r="N227" s="1175"/>
      <c r="O227" s="143"/>
      <c r="P227" s="1196"/>
      <c r="Q227" s="1176"/>
      <c r="R227" s="1176"/>
      <c r="S227" s="1177"/>
      <c r="T227" s="589"/>
      <c r="U227" s="559"/>
      <c r="V227" s="141"/>
      <c r="W227" s="141"/>
      <c r="X227" s="141"/>
      <c r="Y227" s="144"/>
      <c r="Z227" s="141"/>
      <c r="AA227" s="141"/>
      <c r="AB227" s="141"/>
      <c r="AC227" s="141"/>
      <c r="AD227" s="141"/>
      <c r="AE227" s="141"/>
      <c r="AF227" s="145"/>
      <c r="AG227" s="419"/>
    </row>
    <row r="228" spans="1:33" s="139" customFormat="1" ht="12.75" customHeight="1" x14ac:dyDescent="0.2">
      <c r="A228" s="1183"/>
      <c r="B228" s="1183"/>
      <c r="C228" s="1183"/>
      <c r="D228" s="1173"/>
      <c r="E228" s="1108"/>
      <c r="F228" s="1108"/>
      <c r="G228" s="1027"/>
      <c r="H228" s="1027"/>
      <c r="I228" s="1174"/>
      <c r="J228" s="1174"/>
      <c r="K228" s="1174"/>
      <c r="L228" s="1172"/>
      <c r="M228" s="1172"/>
      <c r="N228" s="1175"/>
      <c r="O228" s="143"/>
      <c r="P228" s="1196"/>
      <c r="Q228" s="1176"/>
      <c r="R228" s="1176"/>
      <c r="S228" s="1177"/>
      <c r="T228" s="589"/>
      <c r="U228" s="559"/>
      <c r="V228" s="141"/>
      <c r="W228" s="141"/>
      <c r="X228" s="141"/>
      <c r="Y228" s="144"/>
      <c r="Z228" s="141"/>
      <c r="AA228" s="141"/>
      <c r="AB228" s="141"/>
      <c r="AC228" s="141"/>
      <c r="AD228" s="141"/>
      <c r="AE228" s="141"/>
      <c r="AF228" s="145"/>
      <c r="AG228" s="419"/>
    </row>
    <row r="229" spans="1:33" s="139" customFormat="1" ht="12.75" customHeight="1" x14ac:dyDescent="0.2">
      <c r="A229" s="1183"/>
      <c r="B229" s="1183"/>
      <c r="C229" s="1183"/>
      <c r="D229" s="1173"/>
      <c r="E229" s="1108"/>
      <c r="F229" s="1108"/>
      <c r="G229" s="1027"/>
      <c r="H229" s="1027"/>
      <c r="I229" s="1174"/>
      <c r="J229" s="1174"/>
      <c r="K229" s="1174"/>
      <c r="L229" s="1172"/>
      <c r="M229" s="1172"/>
      <c r="N229" s="1175"/>
      <c r="O229" s="143"/>
      <c r="P229" s="1196"/>
      <c r="Q229" s="1176"/>
      <c r="R229" s="1176"/>
      <c r="S229" s="1177"/>
      <c r="T229" s="589"/>
      <c r="U229" s="559"/>
      <c r="V229" s="141"/>
      <c r="W229" s="141"/>
      <c r="X229" s="141"/>
      <c r="Y229" s="144"/>
      <c r="Z229" s="141"/>
      <c r="AA229" s="141"/>
      <c r="AB229" s="141"/>
      <c r="AC229" s="141"/>
      <c r="AD229" s="141"/>
      <c r="AE229" s="141"/>
      <c r="AF229" s="145"/>
      <c r="AG229" s="419"/>
    </row>
    <row r="230" spans="1:33" s="139" customFormat="1" ht="12.75" customHeight="1" x14ac:dyDescent="0.2">
      <c r="A230" s="1183"/>
      <c r="B230" s="1183"/>
      <c r="C230" s="1183"/>
      <c r="D230" s="1173"/>
      <c r="E230" s="1108"/>
      <c r="F230" s="1108"/>
      <c r="G230" s="1027"/>
      <c r="H230" s="1027"/>
      <c r="I230" s="1174"/>
      <c r="J230" s="1174"/>
      <c r="K230" s="1174"/>
      <c r="L230" s="1172"/>
      <c r="M230" s="1172"/>
      <c r="N230" s="1175"/>
      <c r="O230" s="143"/>
      <c r="P230" s="1196"/>
      <c r="Q230" s="1176"/>
      <c r="R230" s="1176"/>
      <c r="S230" s="1177"/>
      <c r="T230" s="589"/>
      <c r="U230" s="559"/>
      <c r="V230" s="141"/>
      <c r="W230" s="141"/>
      <c r="X230" s="141"/>
      <c r="Y230" s="144"/>
      <c r="Z230" s="141"/>
      <c r="AA230" s="141"/>
      <c r="AB230" s="141"/>
      <c r="AC230" s="141"/>
      <c r="AD230" s="141"/>
      <c r="AE230" s="141"/>
      <c r="AF230" s="145"/>
      <c r="AG230" s="419"/>
    </row>
    <row r="231" spans="1:33" s="139" customFormat="1" ht="12.75" customHeight="1" x14ac:dyDescent="0.2">
      <c r="A231" s="1183"/>
      <c r="B231" s="1183"/>
      <c r="C231" s="1183"/>
      <c r="D231" s="1173"/>
      <c r="E231" s="1108"/>
      <c r="F231" s="1108"/>
      <c r="G231" s="1027"/>
      <c r="H231" s="1027"/>
      <c r="I231" s="1174"/>
      <c r="J231" s="1174"/>
      <c r="K231" s="1174"/>
      <c r="L231" s="1172"/>
      <c r="M231" s="1172"/>
      <c r="N231" s="1175"/>
      <c r="O231" s="143"/>
      <c r="P231" s="1196"/>
      <c r="Q231" s="1176"/>
      <c r="R231" s="1176"/>
      <c r="S231" s="1177"/>
      <c r="T231" s="589"/>
      <c r="U231" s="559"/>
      <c r="V231" s="141"/>
      <c r="W231" s="141"/>
      <c r="X231" s="141"/>
      <c r="Y231" s="144"/>
      <c r="Z231" s="141"/>
      <c r="AA231" s="141"/>
      <c r="AB231" s="141"/>
      <c r="AC231" s="141"/>
      <c r="AD231" s="141"/>
      <c r="AE231" s="141"/>
      <c r="AF231" s="1172"/>
      <c r="AG231" s="590"/>
    </row>
    <row r="232" spans="1:33" s="139" customFormat="1" ht="12.75" customHeight="1" x14ac:dyDescent="0.2">
      <c r="A232" s="1183"/>
      <c r="B232" s="1183"/>
      <c r="C232" s="1183"/>
      <c r="D232" s="1173"/>
      <c r="E232" s="1108"/>
      <c r="F232" s="1108"/>
      <c r="G232" s="1027"/>
      <c r="H232" s="1027"/>
      <c r="I232" s="1174"/>
      <c r="J232" s="1174"/>
      <c r="K232" s="1174"/>
      <c r="L232" s="1172"/>
      <c r="M232" s="1172"/>
      <c r="N232" s="1175"/>
      <c r="O232" s="143"/>
      <c r="P232" s="1196"/>
      <c r="Q232" s="141"/>
      <c r="R232" s="141"/>
      <c r="S232" s="148"/>
      <c r="T232" s="589"/>
      <c r="U232" s="559"/>
      <c r="V232" s="141"/>
      <c r="W232" s="141"/>
      <c r="X232" s="141"/>
      <c r="Y232" s="144"/>
      <c r="Z232" s="141"/>
      <c r="AA232" s="141"/>
      <c r="AB232" s="141"/>
      <c r="AC232" s="141"/>
      <c r="AD232" s="141"/>
      <c r="AE232" s="141"/>
      <c r="AF232" s="145"/>
      <c r="AG232" s="419"/>
    </row>
    <row r="233" spans="1:33" s="139" customFormat="1" ht="12.75" customHeight="1" x14ac:dyDescent="0.2">
      <c r="A233" s="1183"/>
      <c r="B233" s="1183"/>
      <c r="C233" s="1183"/>
      <c r="D233" s="1173"/>
      <c r="E233" s="1108"/>
      <c r="F233" s="1108"/>
      <c r="G233" s="1027"/>
      <c r="H233" s="1027"/>
      <c r="I233" s="1174"/>
      <c r="J233" s="1174"/>
      <c r="K233" s="1174"/>
      <c r="L233" s="1172"/>
      <c r="M233" s="1172"/>
      <c r="N233" s="1175"/>
      <c r="O233" s="143"/>
      <c r="P233" s="1196"/>
      <c r="Q233" s="1176"/>
      <c r="R233" s="1176"/>
      <c r="S233" s="1177"/>
      <c r="T233" s="589"/>
      <c r="U233" s="559"/>
      <c r="V233" s="141"/>
      <c r="W233" s="141"/>
      <c r="X233" s="141"/>
      <c r="Y233" s="144"/>
      <c r="Z233" s="141"/>
      <c r="AA233" s="141"/>
      <c r="AB233" s="141"/>
      <c r="AC233" s="141"/>
      <c r="AD233" s="141"/>
      <c r="AE233" s="141"/>
      <c r="AF233" s="1172"/>
      <c r="AG233" s="590"/>
    </row>
    <row r="234" spans="1:33" s="139" customFormat="1" ht="12.75" customHeight="1" x14ac:dyDescent="0.2">
      <c r="A234" s="1183"/>
      <c r="B234" s="1183"/>
      <c r="C234" s="1183"/>
      <c r="D234" s="1173"/>
      <c r="E234" s="1108"/>
      <c r="F234" s="1108"/>
      <c r="G234" s="1027"/>
      <c r="H234" s="1027"/>
      <c r="I234" s="1174"/>
      <c r="J234" s="1174"/>
      <c r="K234" s="1174"/>
      <c r="L234" s="1172"/>
      <c r="M234" s="1172"/>
      <c r="N234" s="1175"/>
      <c r="O234" s="143"/>
      <c r="P234" s="1196"/>
      <c r="Q234" s="1176"/>
      <c r="R234" s="1176"/>
      <c r="S234" s="1177"/>
      <c r="T234" s="589"/>
      <c r="U234" s="559"/>
      <c r="V234" s="141"/>
      <c r="W234" s="141"/>
      <c r="X234" s="141"/>
      <c r="Y234" s="144"/>
      <c r="Z234" s="141"/>
      <c r="AA234" s="141"/>
      <c r="AB234" s="141"/>
      <c r="AC234" s="141"/>
      <c r="AD234" s="141"/>
      <c r="AE234" s="141"/>
      <c r="AF234" s="145"/>
      <c r="AG234" s="419"/>
    </row>
    <row r="235" spans="1:33" s="139" customFormat="1" ht="12.75" customHeight="1" x14ac:dyDescent="0.2">
      <c r="A235" s="1183"/>
      <c r="B235" s="1183"/>
      <c r="C235" s="1183"/>
      <c r="D235" s="1173"/>
      <c r="E235" s="1108"/>
      <c r="F235" s="1108"/>
      <c r="G235" s="1027"/>
      <c r="H235" s="1027"/>
      <c r="I235" s="1174"/>
      <c r="J235" s="1174"/>
      <c r="K235" s="1174"/>
      <c r="L235" s="1172"/>
      <c r="M235" s="1172"/>
      <c r="N235" s="1175"/>
      <c r="O235" s="143"/>
      <c r="P235" s="1196"/>
      <c r="Q235" s="141"/>
      <c r="R235" s="141"/>
      <c r="S235" s="148"/>
      <c r="T235" s="589"/>
      <c r="U235" s="559"/>
      <c r="V235" s="141"/>
      <c r="W235" s="141"/>
      <c r="X235" s="141"/>
      <c r="Y235" s="144"/>
      <c r="Z235" s="141"/>
      <c r="AA235" s="141"/>
      <c r="AB235" s="141"/>
      <c r="AC235" s="141"/>
      <c r="AD235" s="141"/>
      <c r="AE235" s="141"/>
      <c r="AF235" s="145"/>
      <c r="AG235" s="419"/>
    </row>
    <row r="236" spans="1:33" s="139" customFormat="1" ht="12.75" customHeight="1" x14ac:dyDescent="0.2">
      <c r="A236" s="1183"/>
      <c r="B236" s="1183"/>
      <c r="C236" s="1183"/>
      <c r="D236" s="1173"/>
      <c r="E236" s="1108"/>
      <c r="F236" s="1108"/>
      <c r="G236" s="1027"/>
      <c r="H236" s="1027"/>
      <c r="I236" s="1174"/>
      <c r="J236" s="1174"/>
      <c r="K236" s="1174"/>
      <c r="L236" s="1172"/>
      <c r="M236" s="1172"/>
      <c r="N236" s="1175"/>
      <c r="O236" s="143"/>
      <c r="P236" s="1196"/>
      <c r="Q236" s="141"/>
      <c r="R236" s="141"/>
      <c r="S236" s="148"/>
      <c r="T236" s="589"/>
      <c r="U236" s="559"/>
      <c r="V236" s="141"/>
      <c r="W236" s="141"/>
      <c r="X236" s="141"/>
      <c r="Y236" s="144"/>
      <c r="Z236" s="141"/>
      <c r="AA236" s="141"/>
      <c r="AB236" s="141"/>
      <c r="AC236" s="141"/>
      <c r="AD236" s="141"/>
      <c r="AE236" s="141"/>
      <c r="AF236" s="145"/>
      <c r="AG236" s="419"/>
    </row>
    <row r="237" spans="1:33" s="139" customFormat="1" ht="12.75" customHeight="1" x14ac:dyDescent="0.2">
      <c r="A237" s="1183"/>
      <c r="B237" s="1183"/>
      <c r="C237" s="1183"/>
      <c r="D237" s="1173"/>
      <c r="E237" s="1108"/>
      <c r="F237" s="1108"/>
      <c r="G237" s="1027"/>
      <c r="H237" s="1027"/>
      <c r="I237" s="1174"/>
      <c r="J237" s="1174"/>
      <c r="K237" s="1174"/>
      <c r="L237" s="1172"/>
      <c r="M237" s="1172"/>
      <c r="N237" s="1175"/>
      <c r="O237" s="143"/>
      <c r="P237" s="1196"/>
      <c r="Q237" s="1176"/>
      <c r="R237" s="1176"/>
      <c r="S237" s="1177"/>
      <c r="T237" s="589"/>
      <c r="U237" s="559"/>
      <c r="V237" s="141"/>
      <c r="W237" s="141"/>
      <c r="X237" s="141"/>
      <c r="Y237" s="144"/>
      <c r="Z237" s="141"/>
      <c r="AA237" s="141"/>
      <c r="AB237" s="141"/>
      <c r="AC237" s="141"/>
      <c r="AD237" s="141"/>
      <c r="AE237" s="141"/>
      <c r="AF237" s="145"/>
      <c r="AG237" s="419"/>
    </row>
    <row r="238" spans="1:33" s="139" customFormat="1" ht="12.75" customHeight="1" x14ac:dyDescent="0.2">
      <c r="A238" s="1183"/>
      <c r="B238" s="1183"/>
      <c r="C238" s="1183"/>
      <c r="D238" s="1173"/>
      <c r="E238" s="1108"/>
      <c r="F238" s="1108"/>
      <c r="G238" s="1027"/>
      <c r="H238" s="1027"/>
      <c r="I238" s="1174"/>
      <c r="J238" s="1174"/>
      <c r="K238" s="1174"/>
      <c r="L238" s="1172"/>
      <c r="M238" s="1172"/>
      <c r="N238" s="1175"/>
      <c r="O238" s="143"/>
      <c r="P238" s="1196"/>
      <c r="Q238" s="1176"/>
      <c r="R238" s="1176"/>
      <c r="S238" s="1177"/>
      <c r="T238" s="589"/>
      <c r="U238" s="559"/>
      <c r="V238" s="141"/>
      <c r="W238" s="141"/>
      <c r="X238" s="141"/>
      <c r="Y238" s="144"/>
      <c r="Z238" s="141"/>
      <c r="AA238" s="141"/>
      <c r="AB238" s="141"/>
      <c r="AC238" s="141"/>
      <c r="AD238" s="141"/>
      <c r="AE238" s="141"/>
      <c r="AF238" s="145"/>
      <c r="AG238" s="419"/>
    </row>
    <row r="239" spans="1:33" s="139" customFormat="1" ht="12.75" customHeight="1" x14ac:dyDescent="0.2">
      <c r="A239" s="1183"/>
      <c r="B239" s="1183"/>
      <c r="C239" s="1183"/>
      <c r="D239" s="1173"/>
      <c r="E239" s="1108"/>
      <c r="F239" s="1108"/>
      <c r="G239" s="1027"/>
      <c r="H239" s="1027"/>
      <c r="I239" s="1174"/>
      <c r="J239" s="1174"/>
      <c r="K239" s="1174"/>
      <c r="L239" s="1172"/>
      <c r="M239" s="1172"/>
      <c r="N239" s="1175"/>
      <c r="O239" s="143"/>
      <c r="P239" s="1196"/>
      <c r="Q239" s="1176"/>
      <c r="R239" s="1176"/>
      <c r="S239" s="1177"/>
      <c r="T239" s="589"/>
      <c r="U239" s="559"/>
      <c r="V239" s="141"/>
      <c r="W239" s="141"/>
      <c r="X239" s="141"/>
      <c r="Y239" s="144"/>
      <c r="Z239" s="141"/>
      <c r="AA239" s="141"/>
      <c r="AB239" s="141"/>
      <c r="AC239" s="141"/>
      <c r="AD239" s="141"/>
      <c r="AE239" s="141"/>
      <c r="AF239" s="145"/>
      <c r="AG239" s="419"/>
    </row>
    <row r="240" spans="1:33" s="139" customFormat="1" ht="12.75" customHeight="1" x14ac:dyDescent="0.2">
      <c r="A240" s="1183"/>
      <c r="B240" s="1183"/>
      <c r="C240" s="1183"/>
      <c r="D240" s="1173"/>
      <c r="E240" s="1108"/>
      <c r="F240" s="1108"/>
      <c r="G240" s="1027"/>
      <c r="H240" s="1027"/>
      <c r="I240" s="1174"/>
      <c r="J240" s="1174"/>
      <c r="K240" s="1174"/>
      <c r="L240" s="1172"/>
      <c r="M240" s="1172"/>
      <c r="N240" s="1175"/>
      <c r="O240" s="143"/>
      <c r="P240" s="1196"/>
      <c r="Q240" s="1176"/>
      <c r="R240" s="1176"/>
      <c r="S240" s="1177"/>
      <c r="T240" s="589"/>
      <c r="U240" s="559"/>
      <c r="V240" s="141"/>
      <c r="W240" s="141"/>
      <c r="X240" s="141"/>
      <c r="Y240" s="144"/>
      <c r="Z240" s="141"/>
      <c r="AA240" s="141"/>
      <c r="AB240" s="141"/>
      <c r="AC240" s="141"/>
      <c r="AD240" s="141"/>
      <c r="AE240" s="141"/>
      <c r="AF240" s="145"/>
      <c r="AG240" s="419"/>
    </row>
    <row r="241" spans="1:33" s="139" customFormat="1" ht="12.75" customHeight="1" x14ac:dyDescent="0.2">
      <c r="A241" s="1183"/>
      <c r="B241" s="1183"/>
      <c r="C241" s="1183"/>
      <c r="D241" s="1173"/>
      <c r="E241" s="1108"/>
      <c r="F241" s="1108"/>
      <c r="G241" s="1027"/>
      <c r="H241" s="1027"/>
      <c r="I241" s="1174"/>
      <c r="J241" s="1174"/>
      <c r="K241" s="1174"/>
      <c r="L241" s="1172"/>
      <c r="M241" s="1172"/>
      <c r="N241" s="1175"/>
      <c r="O241" s="143"/>
      <c r="P241" s="1196"/>
      <c r="Q241" s="1176"/>
      <c r="R241" s="1176"/>
      <c r="S241" s="1177"/>
      <c r="T241" s="589"/>
      <c r="U241" s="559"/>
      <c r="V241" s="141"/>
      <c r="W241" s="141"/>
      <c r="X241" s="141"/>
      <c r="Y241" s="144"/>
      <c r="Z241" s="141"/>
      <c r="AA241" s="141"/>
      <c r="AB241" s="141"/>
      <c r="AC241" s="141"/>
      <c r="AD241" s="141"/>
      <c r="AE241" s="141"/>
      <c r="AF241" s="145"/>
      <c r="AG241" s="419"/>
    </row>
    <row r="242" spans="1:33" s="139" customFormat="1" ht="12.75" customHeight="1" x14ac:dyDescent="0.2">
      <c r="A242" s="1183"/>
      <c r="B242" s="1183"/>
      <c r="C242" s="1183"/>
      <c r="D242" s="1173"/>
      <c r="E242" s="1108"/>
      <c r="F242" s="1108"/>
      <c r="G242" s="1027"/>
      <c r="H242" s="1027"/>
      <c r="I242" s="1174"/>
      <c r="J242" s="1174"/>
      <c r="K242" s="1174"/>
      <c r="L242" s="1172"/>
      <c r="M242" s="1172"/>
      <c r="N242" s="1175"/>
      <c r="O242" s="143"/>
      <c r="P242" s="1196"/>
      <c r="Q242" s="1176"/>
      <c r="R242" s="1176"/>
      <c r="S242" s="1177"/>
      <c r="T242" s="589"/>
      <c r="U242" s="559"/>
      <c r="V242" s="141"/>
      <c r="W242" s="141"/>
      <c r="X242" s="141"/>
      <c r="Y242" s="144"/>
      <c r="Z242" s="141"/>
      <c r="AA242" s="141"/>
      <c r="AB242" s="141"/>
      <c r="AC242" s="141"/>
      <c r="AD242" s="141"/>
      <c r="AE242" s="141"/>
      <c r="AF242" s="145"/>
      <c r="AG242" s="419"/>
    </row>
    <row r="243" spans="1:33" s="139" customFormat="1" ht="12.75" customHeight="1" x14ac:dyDescent="0.2">
      <c r="A243" s="1183"/>
      <c r="B243" s="1183"/>
      <c r="C243" s="1183"/>
      <c r="D243" s="1173"/>
      <c r="E243" s="1108"/>
      <c r="F243" s="1108"/>
      <c r="G243" s="1027"/>
      <c r="H243" s="1027"/>
      <c r="I243" s="1174"/>
      <c r="J243" s="1174"/>
      <c r="K243" s="1174"/>
      <c r="L243" s="1172"/>
      <c r="M243" s="1172"/>
      <c r="N243" s="1175"/>
      <c r="O243" s="143"/>
      <c r="P243" s="1196"/>
      <c r="Q243" s="1176"/>
      <c r="R243" s="1176"/>
      <c r="S243" s="1177"/>
      <c r="T243" s="589"/>
      <c r="U243" s="559"/>
      <c r="V243" s="141"/>
      <c r="W243" s="141"/>
      <c r="X243" s="141"/>
      <c r="Y243" s="144"/>
      <c r="Z243" s="141"/>
      <c r="AA243" s="141"/>
      <c r="AB243" s="141"/>
      <c r="AC243" s="141"/>
      <c r="AD243" s="141"/>
      <c r="AE243" s="141"/>
      <c r="AF243" s="145"/>
      <c r="AG243" s="419"/>
    </row>
    <row r="244" spans="1:33" s="139" customFormat="1" ht="12.75" customHeight="1" x14ac:dyDescent="0.2">
      <c r="A244" s="1183"/>
      <c r="B244" s="1183"/>
      <c r="C244" s="1183"/>
      <c r="D244" s="1173"/>
      <c r="E244" s="1108"/>
      <c r="F244" s="1108"/>
      <c r="G244" s="1027"/>
      <c r="H244" s="1027"/>
      <c r="I244" s="1174"/>
      <c r="J244" s="1174"/>
      <c r="K244" s="1174"/>
      <c r="L244" s="1172"/>
      <c r="M244" s="1172"/>
      <c r="N244" s="1175"/>
      <c r="O244" s="143"/>
      <c r="P244" s="1196"/>
      <c r="Q244" s="1176"/>
      <c r="R244" s="1176"/>
      <c r="S244" s="1177"/>
      <c r="T244" s="589"/>
      <c r="U244" s="559"/>
      <c r="V244" s="141"/>
      <c r="W244" s="141"/>
      <c r="X244" s="141"/>
      <c r="Y244" s="144"/>
      <c r="Z244" s="141"/>
      <c r="AA244" s="141"/>
      <c r="AB244" s="141"/>
      <c r="AC244" s="141"/>
      <c r="AD244" s="141"/>
      <c r="AE244" s="141"/>
      <c r="AF244" s="145"/>
      <c r="AG244" s="419"/>
    </row>
    <row r="245" spans="1:33" s="139" customFormat="1" ht="12.75" customHeight="1" x14ac:dyDescent="0.2">
      <c r="A245" s="1183"/>
      <c r="B245" s="1183"/>
      <c r="C245" s="1183"/>
      <c r="D245" s="1173"/>
      <c r="E245" s="1108"/>
      <c r="F245" s="1108"/>
      <c r="G245" s="1027"/>
      <c r="H245" s="1027"/>
      <c r="I245" s="1174"/>
      <c r="J245" s="1174"/>
      <c r="K245" s="1174"/>
      <c r="L245" s="1172"/>
      <c r="M245" s="1172"/>
      <c r="N245" s="1175"/>
      <c r="O245" s="143"/>
      <c r="P245" s="1196"/>
      <c r="Q245" s="1176"/>
      <c r="R245" s="1176"/>
      <c r="S245" s="1177"/>
      <c r="T245" s="589"/>
      <c r="U245" s="559"/>
      <c r="V245" s="141"/>
      <c r="W245" s="141"/>
      <c r="X245" s="141"/>
      <c r="Y245" s="144"/>
      <c r="Z245" s="141"/>
      <c r="AA245" s="141"/>
      <c r="AB245" s="141"/>
      <c r="AC245" s="141"/>
      <c r="AD245" s="141"/>
      <c r="AE245" s="141"/>
      <c r="AF245" s="145"/>
      <c r="AG245" s="419"/>
    </row>
    <row r="246" spans="1:33" s="139" customFormat="1" ht="12.75" customHeight="1" x14ac:dyDescent="0.2">
      <c r="A246" s="1183"/>
      <c r="B246" s="1183"/>
      <c r="C246" s="1183"/>
      <c r="D246" s="1173"/>
      <c r="E246" s="1108"/>
      <c r="F246" s="1108"/>
      <c r="G246" s="1027"/>
      <c r="H246" s="1027"/>
      <c r="I246" s="1174"/>
      <c r="J246" s="1174"/>
      <c r="K246" s="1174"/>
      <c r="L246" s="1172"/>
      <c r="M246" s="1172"/>
      <c r="N246" s="1175"/>
      <c r="O246" s="143"/>
      <c r="P246" s="1196"/>
      <c r="Q246" s="1176"/>
      <c r="R246" s="1176"/>
      <c r="S246" s="1177"/>
      <c r="T246" s="589"/>
      <c r="U246" s="559"/>
      <c r="V246" s="141"/>
      <c r="W246" s="141"/>
      <c r="X246" s="141"/>
      <c r="Y246" s="144"/>
      <c r="Z246" s="141"/>
      <c r="AA246" s="141"/>
      <c r="AB246" s="141"/>
      <c r="AC246" s="141"/>
      <c r="AD246" s="141"/>
      <c r="AE246" s="141"/>
      <c r="AF246" s="1172"/>
      <c r="AG246" s="590"/>
    </row>
    <row r="247" spans="1:33" s="139" customFormat="1" ht="12.75" customHeight="1" x14ac:dyDescent="0.2">
      <c r="A247" s="1183"/>
      <c r="B247" s="1183"/>
      <c r="C247" s="1183"/>
      <c r="D247" s="1173"/>
      <c r="E247" s="1108"/>
      <c r="F247" s="1108"/>
      <c r="G247" s="1027"/>
      <c r="H247" s="1027"/>
      <c r="I247" s="1174"/>
      <c r="J247" s="1174"/>
      <c r="K247" s="1174"/>
      <c r="L247" s="1172"/>
      <c r="M247" s="1172"/>
      <c r="N247" s="1175"/>
      <c r="O247" s="143"/>
      <c r="P247" s="1196"/>
      <c r="Q247" s="1176"/>
      <c r="R247" s="1176"/>
      <c r="S247" s="1177"/>
      <c r="T247" s="589"/>
      <c r="U247" s="559"/>
      <c r="V247" s="141"/>
      <c r="W247" s="141"/>
      <c r="X247" s="141"/>
      <c r="Y247" s="144"/>
      <c r="Z247" s="141"/>
      <c r="AA247" s="141"/>
      <c r="AB247" s="141"/>
      <c r="AC247" s="141"/>
      <c r="AD247" s="141"/>
      <c r="AE247" s="141"/>
      <c r="AF247" s="145"/>
      <c r="AG247" s="419"/>
    </row>
    <row r="248" spans="1:33" s="139" customFormat="1" ht="12.75" customHeight="1" x14ac:dyDescent="0.2">
      <c r="A248" s="1183"/>
      <c r="B248" s="1183"/>
      <c r="C248" s="1183"/>
      <c r="D248" s="1173"/>
      <c r="E248" s="1108"/>
      <c r="F248" s="1108"/>
      <c r="G248" s="1027"/>
      <c r="H248" s="1027"/>
      <c r="I248" s="1174"/>
      <c r="J248" s="1174"/>
      <c r="K248" s="1174"/>
      <c r="L248" s="1172"/>
      <c r="M248" s="1172"/>
      <c r="N248" s="1175"/>
      <c r="O248" s="143"/>
      <c r="P248" s="1196"/>
      <c r="Q248" s="1176"/>
      <c r="R248" s="1176"/>
      <c r="S248" s="1177"/>
      <c r="T248" s="589"/>
      <c r="U248" s="559"/>
      <c r="V248" s="141"/>
      <c r="W248" s="141"/>
      <c r="X248" s="141"/>
      <c r="Y248" s="144"/>
      <c r="Z248" s="141"/>
      <c r="AA248" s="141"/>
      <c r="AB248" s="141"/>
      <c r="AC248" s="141"/>
      <c r="AD248" s="141"/>
      <c r="AE248" s="141"/>
      <c r="AF248" s="145"/>
      <c r="AG248" s="419"/>
    </row>
    <row r="249" spans="1:33" s="139" customFormat="1" ht="12.75" customHeight="1" x14ac:dyDescent="0.2">
      <c r="A249" s="1183"/>
      <c r="B249" s="1183"/>
      <c r="C249" s="1183"/>
      <c r="D249" s="1173"/>
      <c r="E249" s="1108"/>
      <c r="F249" s="1108"/>
      <c r="G249" s="1027"/>
      <c r="H249" s="1027"/>
      <c r="I249" s="1174"/>
      <c r="J249" s="1174"/>
      <c r="K249" s="1174"/>
      <c r="L249" s="1172"/>
      <c r="M249" s="1172"/>
      <c r="N249" s="1175"/>
      <c r="O249" s="143"/>
      <c r="P249" s="1196"/>
      <c r="Q249" s="1176"/>
      <c r="R249" s="1176"/>
      <c r="S249" s="1177"/>
      <c r="T249" s="589"/>
      <c r="U249" s="559"/>
      <c r="V249" s="141"/>
      <c r="W249" s="141"/>
      <c r="X249" s="141"/>
      <c r="Y249" s="144"/>
      <c r="Z249" s="141"/>
      <c r="AA249" s="141"/>
      <c r="AB249" s="141"/>
      <c r="AC249" s="141"/>
      <c r="AD249" s="141"/>
      <c r="AE249" s="141"/>
      <c r="AF249" s="145"/>
      <c r="AG249" s="419"/>
    </row>
    <row r="250" spans="1:33" s="139" customFormat="1" ht="12.75" customHeight="1" x14ac:dyDescent="0.2">
      <c r="A250" s="1183"/>
      <c r="B250" s="1183"/>
      <c r="C250" s="1183"/>
      <c r="D250" s="1173"/>
      <c r="E250" s="1108"/>
      <c r="F250" s="1108"/>
      <c r="G250" s="1027"/>
      <c r="H250" s="1027"/>
      <c r="I250" s="1174"/>
      <c r="J250" s="1174"/>
      <c r="K250" s="1174"/>
      <c r="L250" s="1172"/>
      <c r="M250" s="1172"/>
      <c r="N250" s="1175"/>
      <c r="O250" s="143"/>
      <c r="P250" s="1196"/>
      <c r="Q250" s="1176"/>
      <c r="R250" s="1176"/>
      <c r="S250" s="1177"/>
      <c r="T250" s="589"/>
      <c r="U250" s="559"/>
      <c r="V250" s="141"/>
      <c r="W250" s="141"/>
      <c r="X250" s="141"/>
      <c r="Y250" s="144"/>
      <c r="Z250" s="141"/>
      <c r="AA250" s="141"/>
      <c r="AB250" s="141"/>
      <c r="AC250" s="141"/>
      <c r="AD250" s="141"/>
      <c r="AE250" s="141"/>
      <c r="AF250" s="145"/>
      <c r="AG250" s="419"/>
    </row>
    <row r="251" spans="1:33" s="139" customFormat="1" ht="12.75" customHeight="1" x14ac:dyDescent="0.2">
      <c r="A251" s="1183"/>
      <c r="B251" s="1183"/>
      <c r="C251" s="1183"/>
      <c r="D251" s="1173"/>
      <c r="E251" s="1108"/>
      <c r="F251" s="1108"/>
      <c r="G251" s="1027"/>
      <c r="H251" s="1027"/>
      <c r="I251" s="1174"/>
      <c r="J251" s="1174"/>
      <c r="K251" s="1174"/>
      <c r="L251" s="1172"/>
      <c r="M251" s="1172"/>
      <c r="N251" s="1175"/>
      <c r="O251" s="143"/>
      <c r="P251" s="1196"/>
      <c r="Q251" s="1176"/>
      <c r="R251" s="1176"/>
      <c r="S251" s="1177"/>
      <c r="T251" s="589"/>
      <c r="U251" s="559"/>
      <c r="V251" s="141"/>
      <c r="W251" s="141"/>
      <c r="X251" s="141"/>
      <c r="Y251" s="144"/>
      <c r="Z251" s="141"/>
      <c r="AA251" s="141"/>
      <c r="AB251" s="141"/>
      <c r="AC251" s="141"/>
      <c r="AD251" s="141"/>
      <c r="AE251" s="141"/>
      <c r="AF251" s="145"/>
      <c r="AG251" s="419"/>
    </row>
    <row r="252" spans="1:33" s="139" customFormat="1" ht="12.75" customHeight="1" x14ac:dyDescent="0.2">
      <c r="A252" s="1183"/>
      <c r="B252" s="1183"/>
      <c r="C252" s="1183"/>
      <c r="D252" s="1173"/>
      <c r="E252" s="1108"/>
      <c r="F252" s="1108"/>
      <c r="G252" s="1027"/>
      <c r="H252" s="1027"/>
      <c r="I252" s="1174"/>
      <c r="J252" s="1174"/>
      <c r="K252" s="1174"/>
      <c r="L252" s="1172"/>
      <c r="M252" s="1172"/>
      <c r="N252" s="1175"/>
      <c r="O252" s="143"/>
      <c r="P252" s="1196"/>
      <c r="Q252" s="1176"/>
      <c r="R252" s="1176"/>
      <c r="S252" s="1177"/>
      <c r="T252" s="589"/>
      <c r="U252" s="559"/>
      <c r="V252" s="141"/>
      <c r="W252" s="141"/>
      <c r="X252" s="141"/>
      <c r="Y252" s="144"/>
      <c r="Z252" s="141"/>
      <c r="AA252" s="141"/>
      <c r="AB252" s="141"/>
      <c r="AC252" s="141"/>
      <c r="AD252" s="141"/>
      <c r="AE252" s="141"/>
      <c r="AF252" s="1172"/>
      <c r="AG252" s="590"/>
    </row>
    <row r="253" spans="1:33" s="139" customFormat="1" ht="12.75" customHeight="1" x14ac:dyDescent="0.2">
      <c r="A253" s="1183"/>
      <c r="B253" s="1183"/>
      <c r="C253" s="1183"/>
      <c r="D253" s="1173"/>
      <c r="E253" s="1108"/>
      <c r="F253" s="1108"/>
      <c r="G253" s="1027"/>
      <c r="H253" s="1027"/>
      <c r="I253" s="1174"/>
      <c r="J253" s="1174"/>
      <c r="K253" s="1174"/>
      <c r="L253" s="1172"/>
      <c r="M253" s="1172"/>
      <c r="N253" s="1175"/>
      <c r="O253" s="143"/>
      <c r="P253" s="1196"/>
      <c r="Q253" s="1176"/>
      <c r="R253" s="1176"/>
      <c r="S253" s="1177"/>
      <c r="T253" s="589"/>
      <c r="U253" s="559"/>
      <c r="V253" s="141"/>
      <c r="W253" s="141"/>
      <c r="X253" s="141"/>
      <c r="Y253" s="144"/>
      <c r="Z253" s="141"/>
      <c r="AA253" s="141"/>
      <c r="AB253" s="141"/>
      <c r="AC253" s="141"/>
      <c r="AD253" s="141"/>
      <c r="AE253" s="141"/>
      <c r="AF253" s="145"/>
      <c r="AG253" s="419"/>
    </row>
    <row r="254" spans="1:33" s="139" customFormat="1" ht="12.75" customHeight="1" x14ac:dyDescent="0.2">
      <c r="A254" s="1183"/>
      <c r="B254" s="1183"/>
      <c r="C254" s="1183"/>
      <c r="D254" s="1173"/>
      <c r="E254" s="1108"/>
      <c r="F254" s="1108"/>
      <c r="G254" s="1027"/>
      <c r="H254" s="1027"/>
      <c r="I254" s="1174"/>
      <c r="J254" s="1174"/>
      <c r="K254" s="1174"/>
      <c r="L254" s="1172"/>
      <c r="M254" s="1172"/>
      <c r="N254" s="1175"/>
      <c r="O254" s="143"/>
      <c r="P254" s="1196"/>
      <c r="Q254" s="141"/>
      <c r="R254" s="141"/>
      <c r="S254" s="148"/>
      <c r="T254" s="589"/>
      <c r="U254" s="559"/>
      <c r="V254" s="141"/>
      <c r="W254" s="141"/>
      <c r="X254" s="141"/>
      <c r="Y254" s="144"/>
      <c r="Z254" s="141"/>
      <c r="AA254" s="141"/>
      <c r="AB254" s="141"/>
      <c r="AC254" s="141"/>
      <c r="AD254" s="141"/>
      <c r="AE254" s="141"/>
      <c r="AF254" s="145"/>
      <c r="AG254" s="419"/>
    </row>
    <row r="255" spans="1:33" s="139" customFormat="1" ht="12.75" customHeight="1" x14ac:dyDescent="0.2">
      <c r="A255" s="1183"/>
      <c r="B255" s="1183"/>
      <c r="C255" s="1183"/>
      <c r="D255" s="1173"/>
      <c r="E255" s="1108"/>
      <c r="F255" s="1108"/>
      <c r="G255" s="1027"/>
      <c r="H255" s="1027"/>
      <c r="I255" s="1174"/>
      <c r="J255" s="1174"/>
      <c r="K255" s="1174"/>
      <c r="L255" s="1172"/>
      <c r="M255" s="1172"/>
      <c r="N255" s="1175"/>
      <c r="O255" s="143"/>
      <c r="P255" s="1196"/>
      <c r="Q255" s="141"/>
      <c r="R255" s="141"/>
      <c r="S255" s="148"/>
      <c r="T255" s="589"/>
      <c r="U255" s="559"/>
      <c r="V255" s="141"/>
      <c r="W255" s="141"/>
      <c r="X255" s="141"/>
      <c r="Y255" s="144"/>
      <c r="Z255" s="141"/>
      <c r="AA255" s="141"/>
      <c r="AB255" s="141"/>
      <c r="AC255" s="141"/>
      <c r="AD255" s="141"/>
      <c r="AE255" s="141"/>
      <c r="AF255" s="145"/>
      <c r="AG255" s="419"/>
    </row>
    <row r="256" spans="1:33" s="139" customFormat="1" ht="12.75" customHeight="1" x14ac:dyDescent="0.2">
      <c r="A256" s="1183"/>
      <c r="B256" s="1183"/>
      <c r="C256" s="1183"/>
      <c r="D256" s="1173"/>
      <c r="E256" s="1108"/>
      <c r="F256" s="1108"/>
      <c r="G256" s="1027"/>
      <c r="H256" s="1027"/>
      <c r="I256" s="1174"/>
      <c r="J256" s="1174"/>
      <c r="K256" s="1174"/>
      <c r="L256" s="1172"/>
      <c r="M256" s="1172"/>
      <c r="N256" s="1175"/>
      <c r="O256" s="143"/>
      <c r="P256" s="1196"/>
      <c r="Q256" s="141"/>
      <c r="R256" s="141"/>
      <c r="S256" s="148"/>
      <c r="T256" s="589"/>
      <c r="U256" s="559"/>
      <c r="V256" s="141"/>
      <c r="W256" s="141"/>
      <c r="X256" s="141"/>
      <c r="Y256" s="144"/>
      <c r="Z256" s="141"/>
      <c r="AA256" s="141"/>
      <c r="AB256" s="141"/>
      <c r="AC256" s="141"/>
      <c r="AD256" s="141"/>
      <c r="AE256" s="141"/>
      <c r="AF256" s="145"/>
      <c r="AG256" s="419"/>
    </row>
    <row r="257" spans="1:33" s="139" customFormat="1" ht="12.75" customHeight="1" x14ac:dyDescent="0.2">
      <c r="A257" s="1183"/>
      <c r="B257" s="1183"/>
      <c r="C257" s="1183"/>
      <c r="D257" s="1173"/>
      <c r="E257" s="1108"/>
      <c r="F257" s="1108"/>
      <c r="G257" s="1027"/>
      <c r="H257" s="1027"/>
      <c r="I257" s="1174"/>
      <c r="J257" s="1174"/>
      <c r="K257" s="1174"/>
      <c r="L257" s="1172"/>
      <c r="M257" s="1172"/>
      <c r="N257" s="1175"/>
      <c r="O257" s="143"/>
      <c r="P257" s="1196"/>
      <c r="Q257" s="141"/>
      <c r="R257" s="141"/>
      <c r="S257" s="148"/>
      <c r="T257" s="589"/>
      <c r="U257" s="559"/>
      <c r="V257" s="141"/>
      <c r="W257" s="141"/>
      <c r="X257" s="141"/>
      <c r="Y257" s="144"/>
      <c r="Z257" s="141"/>
      <c r="AA257" s="141"/>
      <c r="AB257" s="141"/>
      <c r="AC257" s="141"/>
      <c r="AD257" s="141"/>
      <c r="AE257" s="141"/>
      <c r="AF257" s="145"/>
      <c r="AG257" s="419"/>
    </row>
    <row r="258" spans="1:33" s="139" customFormat="1" ht="12.75" customHeight="1" x14ac:dyDescent="0.2">
      <c r="A258" s="1183"/>
      <c r="B258" s="1183"/>
      <c r="C258" s="1183"/>
      <c r="D258" s="1173"/>
      <c r="E258" s="1108"/>
      <c r="F258" s="1108"/>
      <c r="G258" s="1027"/>
      <c r="H258" s="1027"/>
      <c r="I258" s="1174"/>
      <c r="J258" s="1174"/>
      <c r="K258" s="1174"/>
      <c r="L258" s="1172"/>
      <c r="M258" s="1172"/>
      <c r="N258" s="1175"/>
      <c r="O258" s="143"/>
      <c r="P258" s="1196"/>
      <c r="Q258" s="141"/>
      <c r="R258" s="141"/>
      <c r="S258" s="148"/>
      <c r="T258" s="589"/>
      <c r="U258" s="559"/>
      <c r="V258" s="141"/>
      <c r="W258" s="141"/>
      <c r="X258" s="141"/>
      <c r="Y258" s="144"/>
      <c r="Z258" s="141"/>
      <c r="AA258" s="141"/>
      <c r="AB258" s="141"/>
      <c r="AC258" s="141"/>
      <c r="AD258" s="141"/>
      <c r="AE258" s="141"/>
      <c r="AF258" s="145"/>
      <c r="AG258" s="419"/>
    </row>
    <row r="259" spans="1:33" s="139" customFormat="1" ht="12.75" customHeight="1" x14ac:dyDescent="0.2">
      <c r="A259" s="1183"/>
      <c r="B259" s="1183"/>
      <c r="C259" s="1183"/>
      <c r="D259" s="1173"/>
      <c r="E259" s="1108"/>
      <c r="F259" s="1108"/>
      <c r="G259" s="1027"/>
      <c r="H259" s="1027"/>
      <c r="I259" s="1174"/>
      <c r="J259" s="1174"/>
      <c r="K259" s="1174"/>
      <c r="L259" s="1172"/>
      <c r="M259" s="1172"/>
      <c r="N259" s="1175"/>
      <c r="O259" s="143"/>
      <c r="P259" s="1196"/>
      <c r="Q259" s="141"/>
      <c r="R259" s="141"/>
      <c r="S259" s="148"/>
      <c r="T259" s="589"/>
      <c r="U259" s="559"/>
      <c r="V259" s="141"/>
      <c r="W259" s="141"/>
      <c r="X259" s="141"/>
      <c r="Y259" s="144"/>
      <c r="Z259" s="141"/>
      <c r="AA259" s="141"/>
      <c r="AB259" s="141"/>
      <c r="AC259" s="141"/>
      <c r="AD259" s="141"/>
      <c r="AE259" s="141"/>
      <c r="AF259" s="145"/>
      <c r="AG259" s="419"/>
    </row>
    <row r="260" spans="1:33" s="139" customFormat="1" ht="12.75" customHeight="1" x14ac:dyDescent="0.2">
      <c r="A260" s="1183"/>
      <c r="B260" s="1183"/>
      <c r="C260" s="1183"/>
      <c r="D260" s="1173"/>
      <c r="E260" s="1108"/>
      <c r="F260" s="1108"/>
      <c r="G260" s="1027"/>
      <c r="H260" s="1027"/>
      <c r="I260" s="1174"/>
      <c r="J260" s="1174"/>
      <c r="K260" s="1174"/>
      <c r="L260" s="1172"/>
      <c r="M260" s="1172"/>
      <c r="N260" s="1175"/>
      <c r="O260" s="143"/>
      <c r="P260" s="1196"/>
      <c r="Q260" s="141"/>
      <c r="R260" s="141"/>
      <c r="S260" s="148"/>
      <c r="T260" s="589"/>
      <c r="U260" s="559"/>
      <c r="V260" s="141"/>
      <c r="W260" s="141"/>
      <c r="X260" s="141"/>
      <c r="Y260" s="144"/>
      <c r="Z260" s="141"/>
      <c r="AA260" s="141"/>
      <c r="AB260" s="141"/>
      <c r="AC260" s="141"/>
      <c r="AD260" s="141"/>
      <c r="AE260" s="141"/>
      <c r="AF260" s="145"/>
      <c r="AG260" s="419"/>
    </row>
    <row r="261" spans="1:33" s="139" customFormat="1" ht="12.75" customHeight="1" x14ac:dyDescent="0.2">
      <c r="A261" s="1183"/>
      <c r="B261" s="1183"/>
      <c r="C261" s="1183"/>
      <c r="D261" s="1173"/>
      <c r="E261" s="1108"/>
      <c r="F261" s="1108"/>
      <c r="G261" s="1027"/>
      <c r="H261" s="1027"/>
      <c r="I261" s="1174"/>
      <c r="J261" s="1174"/>
      <c r="K261" s="1174"/>
      <c r="L261" s="1172"/>
      <c r="M261" s="1172"/>
      <c r="N261" s="1175"/>
      <c r="O261" s="143"/>
      <c r="P261" s="1196"/>
      <c r="Q261" s="141"/>
      <c r="R261" s="141"/>
      <c r="S261" s="148"/>
      <c r="T261" s="589"/>
      <c r="U261" s="559"/>
      <c r="V261" s="141"/>
      <c r="W261" s="141"/>
      <c r="X261" s="141"/>
      <c r="Y261" s="144"/>
      <c r="Z261" s="141"/>
      <c r="AA261" s="141"/>
      <c r="AB261" s="141"/>
      <c r="AC261" s="141"/>
      <c r="AD261" s="141"/>
      <c r="AE261" s="141"/>
      <c r="AF261" s="145"/>
      <c r="AG261" s="419"/>
    </row>
    <row r="262" spans="1:33" s="139" customFormat="1" ht="12.75" customHeight="1" x14ac:dyDescent="0.2">
      <c r="A262" s="1183"/>
      <c r="B262" s="1183"/>
      <c r="C262" s="1183"/>
      <c r="D262" s="1173"/>
      <c r="E262" s="1108"/>
      <c r="F262" s="1108"/>
      <c r="G262" s="1027"/>
      <c r="H262" s="1027"/>
      <c r="I262" s="1174"/>
      <c r="J262" s="1174"/>
      <c r="K262" s="1174"/>
      <c r="L262" s="1172"/>
      <c r="M262" s="1172"/>
      <c r="N262" s="1175"/>
      <c r="O262" s="143"/>
      <c r="P262" s="1196"/>
      <c r="Q262" s="141"/>
      <c r="R262" s="141"/>
      <c r="S262" s="148"/>
      <c r="T262" s="589"/>
      <c r="U262" s="559"/>
      <c r="V262" s="141"/>
      <c r="W262" s="141"/>
      <c r="X262" s="141"/>
      <c r="Y262" s="144"/>
      <c r="Z262" s="141"/>
      <c r="AA262" s="141"/>
      <c r="AB262" s="141"/>
      <c r="AC262" s="141"/>
      <c r="AD262" s="141"/>
      <c r="AE262" s="141"/>
      <c r="AF262" s="145"/>
      <c r="AG262" s="419"/>
    </row>
    <row r="263" spans="1:33" s="139" customFormat="1" ht="12.75" customHeight="1" x14ac:dyDescent="0.2">
      <c r="A263" s="1183"/>
      <c r="B263" s="1183"/>
      <c r="C263" s="1183"/>
      <c r="D263" s="1173"/>
      <c r="E263" s="1108"/>
      <c r="F263" s="1108"/>
      <c r="G263" s="1027"/>
      <c r="H263" s="1027"/>
      <c r="I263" s="1174"/>
      <c r="J263" s="1174"/>
      <c r="K263" s="1174"/>
      <c r="L263" s="1172"/>
      <c r="M263" s="1172"/>
      <c r="N263" s="1175"/>
      <c r="O263" s="143"/>
      <c r="P263" s="1196"/>
      <c r="Q263" s="141"/>
      <c r="R263" s="141"/>
      <c r="S263" s="148"/>
      <c r="T263" s="589"/>
      <c r="U263" s="559"/>
      <c r="V263" s="141"/>
      <c r="W263" s="141"/>
      <c r="X263" s="141"/>
      <c r="Y263" s="144"/>
      <c r="Z263" s="141"/>
      <c r="AA263" s="141"/>
      <c r="AB263" s="141"/>
      <c r="AC263" s="141"/>
      <c r="AD263" s="141"/>
      <c r="AE263" s="141"/>
      <c r="AF263" s="145"/>
      <c r="AG263" s="419"/>
    </row>
    <row r="264" spans="1:33" s="139" customFormat="1" ht="12.75" customHeight="1" x14ac:dyDescent="0.2">
      <c r="A264" s="1183"/>
      <c r="B264" s="1183"/>
      <c r="C264" s="1183"/>
      <c r="D264" s="1173"/>
      <c r="E264" s="1108"/>
      <c r="F264" s="1108"/>
      <c r="G264" s="1027"/>
      <c r="H264" s="1027"/>
      <c r="I264" s="1174"/>
      <c r="J264" s="1174"/>
      <c r="K264" s="1174"/>
      <c r="L264" s="1172"/>
      <c r="M264" s="1172"/>
      <c r="N264" s="1175"/>
      <c r="O264" s="143"/>
      <c r="P264" s="1196"/>
      <c r="Q264" s="141"/>
      <c r="R264" s="141"/>
      <c r="S264" s="148"/>
      <c r="T264" s="589"/>
      <c r="U264" s="559"/>
      <c r="V264" s="141"/>
      <c r="W264" s="141"/>
      <c r="X264" s="141"/>
      <c r="Y264" s="144"/>
      <c r="Z264" s="141"/>
      <c r="AA264" s="141"/>
      <c r="AB264" s="141"/>
      <c r="AC264" s="141"/>
      <c r="AD264" s="141"/>
      <c r="AE264" s="141"/>
      <c r="AF264" s="145"/>
      <c r="AG264" s="419"/>
    </row>
    <row r="265" spans="1:33" s="139" customFormat="1" ht="12.75" customHeight="1" x14ac:dyDescent="0.2">
      <c r="A265" s="1183"/>
      <c r="B265" s="1183"/>
      <c r="C265" s="1183"/>
      <c r="D265" s="1173"/>
      <c r="E265" s="1108"/>
      <c r="F265" s="1108"/>
      <c r="G265" s="1027"/>
      <c r="H265" s="1027"/>
      <c r="I265" s="1174"/>
      <c r="J265" s="1174"/>
      <c r="K265" s="1174"/>
      <c r="L265" s="1172"/>
      <c r="M265" s="1172"/>
      <c r="N265" s="1175"/>
      <c r="O265" s="143"/>
      <c r="P265" s="1196"/>
      <c r="Q265" s="141"/>
      <c r="R265" s="141"/>
      <c r="S265" s="148"/>
      <c r="T265" s="589"/>
      <c r="U265" s="559"/>
      <c r="V265" s="141"/>
      <c r="W265" s="141"/>
      <c r="X265" s="141"/>
      <c r="Y265" s="144"/>
      <c r="Z265" s="141"/>
      <c r="AA265" s="141"/>
      <c r="AB265" s="141"/>
      <c r="AC265" s="141"/>
      <c r="AD265" s="141"/>
      <c r="AE265" s="141"/>
      <c r="AF265" s="145"/>
      <c r="AG265" s="419"/>
    </row>
    <row r="266" spans="1:33" s="139" customFormat="1" ht="12.75" customHeight="1" x14ac:dyDescent="0.2">
      <c r="A266" s="1183"/>
      <c r="B266" s="1183"/>
      <c r="C266" s="1183"/>
      <c r="D266" s="1173"/>
      <c r="E266" s="1108"/>
      <c r="F266" s="1108"/>
      <c r="G266" s="1027"/>
      <c r="H266" s="1027"/>
      <c r="I266" s="1174"/>
      <c r="J266" s="1174"/>
      <c r="K266" s="1174"/>
      <c r="L266" s="1172"/>
      <c r="M266" s="1172"/>
      <c r="N266" s="1175"/>
      <c r="O266" s="143"/>
      <c r="P266" s="1196"/>
      <c r="Q266" s="141"/>
      <c r="R266" s="141"/>
      <c r="S266" s="148"/>
      <c r="T266" s="589"/>
      <c r="U266" s="559"/>
      <c r="V266" s="141"/>
      <c r="W266" s="141"/>
      <c r="X266" s="141"/>
      <c r="Y266" s="144"/>
      <c r="Z266" s="141"/>
      <c r="AA266" s="141"/>
      <c r="AB266" s="141"/>
      <c r="AC266" s="141"/>
      <c r="AD266" s="141"/>
      <c r="AE266" s="141"/>
      <c r="AF266" s="145"/>
      <c r="AG266" s="419"/>
    </row>
    <row r="267" spans="1:33" s="139" customFormat="1" ht="12.75" customHeight="1" x14ac:dyDescent="0.2">
      <c r="A267" s="1183"/>
      <c r="B267" s="1183"/>
      <c r="C267" s="1183"/>
      <c r="D267" s="1173"/>
      <c r="E267" s="1108"/>
      <c r="F267" s="1108"/>
      <c r="G267" s="1027"/>
      <c r="H267" s="1027"/>
      <c r="I267" s="1174"/>
      <c r="J267" s="1174"/>
      <c r="K267" s="1174"/>
      <c r="L267" s="1172"/>
      <c r="M267" s="1172"/>
      <c r="N267" s="1175"/>
      <c r="O267" s="143"/>
      <c r="P267" s="1196"/>
      <c r="Q267" s="141"/>
      <c r="R267" s="141"/>
      <c r="S267" s="148"/>
      <c r="T267" s="589"/>
      <c r="U267" s="559"/>
      <c r="V267" s="141"/>
      <c r="W267" s="141"/>
      <c r="X267" s="141"/>
      <c r="Y267" s="144"/>
      <c r="Z267" s="141"/>
      <c r="AA267" s="141"/>
      <c r="AB267" s="141"/>
      <c r="AC267" s="141"/>
      <c r="AD267" s="141"/>
      <c r="AE267" s="141"/>
      <c r="AF267" s="145"/>
      <c r="AG267" s="419"/>
    </row>
    <row r="268" spans="1:33" s="139" customFormat="1" ht="12.75" customHeight="1" x14ac:dyDescent="0.2">
      <c r="A268" s="1183"/>
      <c r="B268" s="1183"/>
      <c r="C268" s="1183"/>
      <c r="D268" s="1173"/>
      <c r="E268" s="1108"/>
      <c r="F268" s="1108"/>
      <c r="G268" s="1027"/>
      <c r="H268" s="1027"/>
      <c r="I268" s="1174"/>
      <c r="J268" s="1174"/>
      <c r="K268" s="1174"/>
      <c r="L268" s="1172"/>
      <c r="M268" s="1172"/>
      <c r="N268" s="1175"/>
      <c r="O268" s="143"/>
      <c r="P268" s="1196"/>
      <c r="Q268" s="141"/>
      <c r="R268" s="141"/>
      <c r="S268" s="148"/>
      <c r="T268" s="589"/>
      <c r="U268" s="559"/>
      <c r="V268" s="141"/>
      <c r="W268" s="141"/>
      <c r="X268" s="141"/>
      <c r="Y268" s="144"/>
      <c r="Z268" s="141"/>
      <c r="AA268" s="141"/>
      <c r="AB268" s="141"/>
      <c r="AC268" s="141"/>
      <c r="AD268" s="141"/>
      <c r="AE268" s="141"/>
      <c r="AF268" s="145"/>
      <c r="AG268" s="419"/>
    </row>
    <row r="269" spans="1:33" s="139" customFormat="1" ht="12.75" customHeight="1" x14ac:dyDescent="0.2">
      <c r="A269" s="1183"/>
      <c r="B269" s="1183"/>
      <c r="C269" s="1183"/>
      <c r="D269" s="1173"/>
      <c r="E269" s="1108"/>
      <c r="F269" s="1108"/>
      <c r="G269" s="1027"/>
      <c r="H269" s="1027"/>
      <c r="I269" s="1174"/>
      <c r="J269" s="1174"/>
      <c r="K269" s="1174"/>
      <c r="L269" s="1172"/>
      <c r="M269" s="1172"/>
      <c r="N269" s="1175"/>
      <c r="O269" s="143"/>
      <c r="P269" s="1196"/>
      <c r="Q269" s="141"/>
      <c r="R269" s="141"/>
      <c r="S269" s="148"/>
      <c r="T269" s="589"/>
      <c r="U269" s="559"/>
      <c r="V269" s="141"/>
      <c r="W269" s="141"/>
      <c r="X269" s="141"/>
      <c r="Y269" s="144"/>
      <c r="Z269" s="141"/>
      <c r="AA269" s="141"/>
      <c r="AB269" s="141"/>
      <c r="AC269" s="141"/>
      <c r="AD269" s="141"/>
      <c r="AE269" s="141"/>
      <c r="AF269" s="145"/>
      <c r="AG269" s="419"/>
    </row>
    <row r="270" spans="1:33" s="139" customFormat="1" ht="12.75" customHeight="1" x14ac:dyDescent="0.2">
      <c r="A270" s="1183"/>
      <c r="B270" s="1183"/>
      <c r="C270" s="1183"/>
      <c r="D270" s="1173"/>
      <c r="E270" s="1108"/>
      <c r="F270" s="1108"/>
      <c r="G270" s="1027"/>
      <c r="H270" s="1027"/>
      <c r="I270" s="1174"/>
      <c r="J270" s="1174"/>
      <c r="K270" s="1174"/>
      <c r="L270" s="1172"/>
      <c r="M270" s="1172"/>
      <c r="N270" s="1175"/>
      <c r="O270" s="143"/>
      <c r="P270" s="1196"/>
      <c r="Q270" s="141"/>
      <c r="R270" s="141"/>
      <c r="S270" s="148"/>
      <c r="T270" s="589"/>
      <c r="U270" s="559"/>
      <c r="V270" s="141"/>
      <c r="W270" s="141"/>
      <c r="X270" s="141"/>
      <c r="Y270" s="144"/>
      <c r="Z270" s="141"/>
      <c r="AA270" s="141"/>
      <c r="AB270" s="141"/>
      <c r="AC270" s="141"/>
      <c r="AD270" s="141"/>
      <c r="AE270" s="141"/>
      <c r="AF270" s="145"/>
      <c r="AG270" s="419"/>
    </row>
    <row r="271" spans="1:33" s="139" customFormat="1" ht="12.75" customHeight="1" x14ac:dyDescent="0.2">
      <c r="A271" s="1183"/>
      <c r="B271" s="1183"/>
      <c r="C271" s="1183"/>
      <c r="D271" s="1173"/>
      <c r="E271" s="1108"/>
      <c r="F271" s="1108"/>
      <c r="G271" s="1027"/>
      <c r="H271" s="1027"/>
      <c r="I271" s="1174"/>
      <c r="J271" s="1174"/>
      <c r="K271" s="1174"/>
      <c r="L271" s="1172"/>
      <c r="M271" s="1172"/>
      <c r="N271" s="1175"/>
      <c r="O271" s="143"/>
      <c r="P271" s="1196"/>
      <c r="Q271" s="141"/>
      <c r="R271" s="141"/>
      <c r="S271" s="148"/>
      <c r="T271" s="589"/>
      <c r="U271" s="559"/>
      <c r="V271" s="141"/>
      <c r="W271" s="141"/>
      <c r="X271" s="141"/>
      <c r="Y271" s="144"/>
      <c r="Z271" s="141"/>
      <c r="AA271" s="141"/>
      <c r="AB271" s="141"/>
      <c r="AC271" s="141"/>
      <c r="AD271" s="141"/>
      <c r="AE271" s="141"/>
      <c r="AF271" s="145"/>
      <c r="AG271" s="419"/>
    </row>
    <row r="272" spans="1:33" s="139" customFormat="1" ht="12.75" customHeight="1" x14ac:dyDescent="0.2">
      <c r="A272" s="1183"/>
      <c r="B272" s="1183"/>
      <c r="C272" s="1183"/>
      <c r="D272" s="1173"/>
      <c r="E272" s="1108"/>
      <c r="F272" s="1108"/>
      <c r="G272" s="1027"/>
      <c r="H272" s="1027"/>
      <c r="I272" s="1174"/>
      <c r="J272" s="1174"/>
      <c r="K272" s="1174"/>
      <c r="L272" s="1172"/>
      <c r="M272" s="1172"/>
      <c r="N272" s="1175"/>
      <c r="O272" s="143"/>
      <c r="P272" s="1196"/>
      <c r="Q272" s="141"/>
      <c r="R272" s="141"/>
      <c r="S272" s="148"/>
      <c r="T272" s="589"/>
      <c r="U272" s="559"/>
      <c r="V272" s="141"/>
      <c r="W272" s="141"/>
      <c r="X272" s="141"/>
      <c r="Y272" s="144"/>
      <c r="Z272" s="141"/>
      <c r="AA272" s="141"/>
      <c r="AB272" s="141"/>
      <c r="AC272" s="141"/>
      <c r="AD272" s="141"/>
      <c r="AE272" s="141"/>
      <c r="AF272" s="145"/>
      <c r="AG272" s="419"/>
    </row>
    <row r="273" spans="1:33" s="139" customFormat="1" ht="12.75" customHeight="1" x14ac:dyDescent="0.2">
      <c r="A273" s="1183"/>
      <c r="B273" s="1183"/>
      <c r="C273" s="1183"/>
      <c r="D273" s="1173"/>
      <c r="E273" s="1108"/>
      <c r="F273" s="1108"/>
      <c r="G273" s="1027"/>
      <c r="H273" s="1027"/>
      <c r="I273" s="1174"/>
      <c r="J273" s="1174"/>
      <c r="K273" s="1174"/>
      <c r="L273" s="1172"/>
      <c r="M273" s="1172"/>
      <c r="N273" s="1175"/>
      <c r="O273" s="143"/>
      <c r="P273" s="1196"/>
      <c r="Q273" s="141"/>
      <c r="R273" s="141"/>
      <c r="S273" s="148"/>
      <c r="T273" s="589"/>
      <c r="U273" s="559"/>
      <c r="V273" s="141"/>
      <c r="W273" s="141"/>
      <c r="X273" s="141"/>
      <c r="Y273" s="144"/>
      <c r="Z273" s="141"/>
      <c r="AA273" s="141"/>
      <c r="AB273" s="141"/>
      <c r="AC273" s="141"/>
      <c r="AD273" s="141"/>
      <c r="AE273" s="141"/>
      <c r="AF273" s="145"/>
      <c r="AG273" s="419"/>
    </row>
    <row r="274" spans="1:33" s="139" customFormat="1" ht="12.75" customHeight="1" x14ac:dyDescent="0.2">
      <c r="A274" s="1183"/>
      <c r="B274" s="1183"/>
      <c r="C274" s="1183"/>
      <c r="D274" s="1173"/>
      <c r="E274" s="1108"/>
      <c r="F274" s="1108"/>
      <c r="G274" s="1027"/>
      <c r="H274" s="1027"/>
      <c r="I274" s="1174"/>
      <c r="J274" s="1174"/>
      <c r="K274" s="1174"/>
      <c r="L274" s="1172"/>
      <c r="M274" s="1172"/>
      <c r="N274" s="1175"/>
      <c r="O274" s="143"/>
      <c r="P274" s="1196"/>
      <c r="Q274" s="141"/>
      <c r="R274" s="141"/>
      <c r="S274" s="148"/>
      <c r="T274" s="589"/>
      <c r="U274" s="559"/>
      <c r="V274" s="141"/>
      <c r="W274" s="141"/>
      <c r="X274" s="141"/>
      <c r="Y274" s="144"/>
      <c r="Z274" s="141"/>
      <c r="AA274" s="141"/>
      <c r="AB274" s="141"/>
      <c r="AC274" s="141"/>
      <c r="AD274" s="141"/>
      <c r="AE274" s="141"/>
      <c r="AF274" s="145"/>
      <c r="AG274" s="419"/>
    </row>
    <row r="275" spans="1:33" s="139" customFormat="1" ht="12.75" customHeight="1" x14ac:dyDescent="0.2">
      <c r="A275" s="1183"/>
      <c r="B275" s="1183"/>
      <c r="C275" s="1183"/>
      <c r="D275" s="1173"/>
      <c r="E275" s="1108"/>
      <c r="F275" s="1108"/>
      <c r="G275" s="1027"/>
      <c r="H275" s="1027"/>
      <c r="I275" s="1174"/>
      <c r="J275" s="1174"/>
      <c r="K275" s="1174"/>
      <c r="L275" s="1172"/>
      <c r="M275" s="1172"/>
      <c r="N275" s="1175"/>
      <c r="O275" s="143"/>
      <c r="P275" s="1196"/>
      <c r="Q275" s="141"/>
      <c r="R275" s="141"/>
      <c r="S275" s="148"/>
      <c r="T275" s="589"/>
      <c r="U275" s="559"/>
      <c r="V275" s="141"/>
      <c r="W275" s="141"/>
      <c r="X275" s="141"/>
      <c r="Y275" s="144"/>
      <c r="Z275" s="141"/>
      <c r="AA275" s="141"/>
      <c r="AB275" s="141"/>
      <c r="AC275" s="141"/>
      <c r="AD275" s="141"/>
      <c r="AE275" s="141"/>
      <c r="AF275" s="145"/>
      <c r="AG275" s="419"/>
    </row>
    <row r="276" spans="1:33" s="139" customFormat="1" ht="12.75" customHeight="1" x14ac:dyDescent="0.2">
      <c r="A276" s="1183"/>
      <c r="B276" s="1183"/>
      <c r="C276" s="1183"/>
      <c r="D276" s="1173"/>
      <c r="E276" s="1108"/>
      <c r="F276" s="1108"/>
      <c r="G276" s="1027"/>
      <c r="H276" s="1027"/>
      <c r="I276" s="1174"/>
      <c r="J276" s="1174"/>
      <c r="K276" s="1174"/>
      <c r="L276" s="1172"/>
      <c r="M276" s="1172"/>
      <c r="N276" s="1175"/>
      <c r="O276" s="143"/>
      <c r="P276" s="1196"/>
      <c r="Q276" s="141"/>
      <c r="R276" s="141"/>
      <c r="S276" s="148"/>
      <c r="T276" s="589"/>
      <c r="U276" s="559"/>
      <c r="V276" s="141"/>
      <c r="W276" s="141"/>
      <c r="X276" s="141"/>
      <c r="Y276" s="144"/>
      <c r="Z276" s="141"/>
      <c r="AA276" s="141"/>
      <c r="AB276" s="141"/>
      <c r="AC276" s="141"/>
      <c r="AD276" s="141"/>
      <c r="AE276" s="141"/>
      <c r="AF276" s="145"/>
      <c r="AG276" s="419"/>
    </row>
    <row r="277" spans="1:33" s="139" customFormat="1" ht="12.75" customHeight="1" x14ac:dyDescent="0.2">
      <c r="A277" s="1183"/>
      <c r="B277" s="1183"/>
      <c r="C277" s="1183"/>
      <c r="D277" s="1173"/>
      <c r="E277" s="1108"/>
      <c r="F277" s="1108"/>
      <c r="G277" s="1027"/>
      <c r="H277" s="1027"/>
      <c r="I277" s="1174"/>
      <c r="J277" s="1174"/>
      <c r="K277" s="1174"/>
      <c r="L277" s="1172"/>
      <c r="M277" s="1172"/>
      <c r="N277" s="1175"/>
      <c r="O277" s="143"/>
      <c r="P277" s="1196"/>
      <c r="Q277" s="141"/>
      <c r="R277" s="141"/>
      <c r="S277" s="148"/>
      <c r="T277" s="589"/>
      <c r="U277" s="559"/>
      <c r="V277" s="141"/>
      <c r="W277" s="141"/>
      <c r="X277" s="141"/>
      <c r="Y277" s="144"/>
      <c r="Z277" s="141"/>
      <c r="AA277" s="141"/>
      <c r="AB277" s="141"/>
      <c r="AC277" s="141"/>
      <c r="AD277" s="141"/>
      <c r="AE277" s="141"/>
      <c r="AF277" s="145"/>
      <c r="AG277" s="419"/>
    </row>
    <row r="278" spans="1:33" s="139" customFormat="1" ht="12.75" customHeight="1" x14ac:dyDescent="0.2">
      <c r="A278" s="1183"/>
      <c r="B278" s="1183"/>
      <c r="C278" s="1183"/>
      <c r="D278" s="1173"/>
      <c r="E278" s="1108"/>
      <c r="F278" s="1108"/>
      <c r="G278" s="1027"/>
      <c r="H278" s="1027"/>
      <c r="I278" s="1174"/>
      <c r="J278" s="1174"/>
      <c r="K278" s="1174"/>
      <c r="L278" s="1172"/>
      <c r="M278" s="1172"/>
      <c r="N278" s="1175"/>
      <c r="O278" s="143"/>
      <c r="P278" s="1196"/>
      <c r="Q278" s="141"/>
      <c r="R278" s="141"/>
      <c r="S278" s="148"/>
      <c r="T278" s="589"/>
      <c r="U278" s="559"/>
      <c r="V278" s="141"/>
      <c r="W278" s="141"/>
      <c r="X278" s="141"/>
      <c r="Y278" s="144"/>
      <c r="Z278" s="141"/>
      <c r="AA278" s="141"/>
      <c r="AB278" s="141"/>
      <c r="AC278" s="141"/>
      <c r="AD278" s="141"/>
      <c r="AE278" s="141"/>
      <c r="AF278" s="145"/>
      <c r="AG278" s="419"/>
    </row>
    <row r="279" spans="1:33" s="139" customFormat="1" ht="12.75" customHeight="1" x14ac:dyDescent="0.2">
      <c r="A279" s="1183"/>
      <c r="B279" s="1183"/>
      <c r="C279" s="1183"/>
      <c r="D279" s="1173"/>
      <c r="E279" s="1108"/>
      <c r="F279" s="1108"/>
      <c r="G279" s="1027"/>
      <c r="H279" s="1027"/>
      <c r="I279" s="1174"/>
      <c r="J279" s="1174"/>
      <c r="K279" s="1174"/>
      <c r="L279" s="1172"/>
      <c r="M279" s="1172"/>
      <c r="N279" s="1175"/>
      <c r="O279" s="143"/>
      <c r="P279" s="1196"/>
      <c r="Q279" s="141"/>
      <c r="R279" s="141"/>
      <c r="S279" s="148"/>
      <c r="T279" s="589"/>
      <c r="U279" s="559"/>
      <c r="V279" s="141"/>
      <c r="W279" s="141"/>
      <c r="X279" s="141"/>
      <c r="Y279" s="144"/>
      <c r="Z279" s="141"/>
      <c r="AA279" s="141"/>
      <c r="AB279" s="141"/>
      <c r="AC279" s="141"/>
      <c r="AD279" s="141"/>
      <c r="AE279" s="141"/>
      <c r="AF279" s="145"/>
      <c r="AG279" s="419"/>
    </row>
    <row r="280" spans="1:33" s="139" customFormat="1" ht="12.75" customHeight="1" x14ac:dyDescent="0.2">
      <c r="A280" s="1183"/>
      <c r="B280" s="1183"/>
      <c r="C280" s="1183"/>
      <c r="D280" s="1173"/>
      <c r="E280" s="1108"/>
      <c r="F280" s="1108"/>
      <c r="G280" s="1027"/>
      <c r="H280" s="1027"/>
      <c r="I280" s="1174"/>
      <c r="J280" s="1174"/>
      <c r="K280" s="1174"/>
      <c r="L280" s="1172"/>
      <c r="M280" s="1172"/>
      <c r="N280" s="1175"/>
      <c r="O280" s="143"/>
      <c r="P280" s="1196"/>
      <c r="Q280" s="141"/>
      <c r="R280" s="141"/>
      <c r="S280" s="148"/>
      <c r="T280" s="589"/>
      <c r="U280" s="559"/>
      <c r="V280" s="141"/>
      <c r="W280" s="141"/>
      <c r="X280" s="141"/>
      <c r="Y280" s="144"/>
      <c r="Z280" s="141"/>
      <c r="AA280" s="141"/>
      <c r="AB280" s="141"/>
      <c r="AC280" s="141"/>
      <c r="AD280" s="141"/>
      <c r="AE280" s="141"/>
      <c r="AF280" s="145"/>
      <c r="AG280" s="419"/>
    </row>
    <row r="281" spans="1:33" s="139" customFormat="1" ht="12.75" customHeight="1" x14ac:dyDescent="0.2">
      <c r="A281" s="1183"/>
      <c r="B281" s="1183"/>
      <c r="C281" s="1183"/>
      <c r="D281" s="1173"/>
      <c r="E281" s="1108"/>
      <c r="F281" s="1108"/>
      <c r="G281" s="1027"/>
      <c r="H281" s="1028"/>
      <c r="I281" s="1174"/>
      <c r="J281" s="1174"/>
      <c r="K281" s="1174"/>
      <c r="L281" s="1172"/>
      <c r="M281" s="1172"/>
      <c r="N281" s="1175"/>
      <c r="O281" s="143"/>
      <c r="P281" s="1196"/>
      <c r="Q281" s="141"/>
      <c r="R281" s="141"/>
      <c r="S281" s="148"/>
      <c r="T281" s="589"/>
      <c r="U281" s="559"/>
      <c r="V281" s="141"/>
      <c r="W281" s="141"/>
      <c r="X281" s="141"/>
      <c r="Y281" s="144"/>
      <c r="Z281" s="141"/>
      <c r="AA281" s="141"/>
      <c r="AB281" s="141"/>
      <c r="AC281" s="141"/>
      <c r="AD281" s="141"/>
      <c r="AE281" s="141"/>
      <c r="AF281" s="145"/>
      <c r="AG281" s="419"/>
    </row>
    <row r="282" spans="1:33" s="139" customFormat="1" ht="12.75" customHeight="1" x14ac:dyDescent="0.2">
      <c r="A282" s="1183"/>
      <c r="B282" s="1183"/>
      <c r="C282" s="1183"/>
      <c r="D282" s="1173"/>
      <c r="E282" s="1108"/>
      <c r="F282" s="1108"/>
      <c r="G282" s="1027"/>
      <c r="H282" s="1027"/>
      <c r="I282" s="1174"/>
      <c r="J282" s="1174"/>
      <c r="K282" s="1174"/>
      <c r="L282" s="1172"/>
      <c r="M282" s="1172"/>
      <c r="N282" s="1175"/>
      <c r="O282" s="143"/>
      <c r="P282" s="1196"/>
      <c r="Q282" s="141"/>
      <c r="R282" s="141"/>
      <c r="S282" s="148"/>
      <c r="T282" s="589"/>
      <c r="U282" s="559"/>
      <c r="V282" s="141"/>
      <c r="W282" s="141"/>
      <c r="X282" s="141"/>
      <c r="Y282" s="144"/>
      <c r="Z282" s="141"/>
      <c r="AA282" s="141"/>
      <c r="AB282" s="141"/>
      <c r="AC282" s="141"/>
      <c r="AD282" s="141"/>
      <c r="AE282" s="141"/>
      <c r="AF282" s="145"/>
      <c r="AG282" s="419"/>
    </row>
    <row r="283" spans="1:33" s="139" customFormat="1" ht="12.75" customHeight="1" x14ac:dyDescent="0.2">
      <c r="A283" s="1183"/>
      <c r="B283" s="1183"/>
      <c r="C283" s="1183"/>
      <c r="D283" s="1173"/>
      <c r="E283" s="1108"/>
      <c r="F283" s="1108"/>
      <c r="G283" s="1027"/>
      <c r="H283" s="1027"/>
      <c r="I283" s="1174"/>
      <c r="J283" s="1174"/>
      <c r="K283" s="1174"/>
      <c r="L283" s="1172"/>
      <c r="M283" s="1172"/>
      <c r="N283" s="1175"/>
      <c r="O283" s="143"/>
      <c r="P283" s="1196"/>
      <c r="Q283" s="141"/>
      <c r="R283" s="141"/>
      <c r="S283" s="148"/>
      <c r="T283" s="589"/>
      <c r="U283" s="559"/>
      <c r="V283" s="141"/>
      <c r="W283" s="141"/>
      <c r="X283" s="141"/>
      <c r="Y283" s="144"/>
      <c r="Z283" s="141"/>
      <c r="AA283" s="141"/>
      <c r="AB283" s="141"/>
      <c r="AC283" s="141"/>
      <c r="AD283" s="141"/>
      <c r="AE283" s="141"/>
      <c r="AF283" s="145"/>
      <c r="AG283" s="419"/>
    </row>
    <row r="284" spans="1:33" s="139" customFormat="1" ht="12.75" customHeight="1" x14ac:dyDescent="0.2">
      <c r="A284" s="1183"/>
      <c r="B284" s="1183"/>
      <c r="C284" s="1183"/>
      <c r="D284" s="1173"/>
      <c r="E284" s="1108"/>
      <c r="F284" s="1108"/>
      <c r="G284" s="1027"/>
      <c r="H284" s="1027"/>
      <c r="I284" s="1174"/>
      <c r="J284" s="1174"/>
      <c r="K284" s="1174"/>
      <c r="L284" s="1172"/>
      <c r="M284" s="1172"/>
      <c r="N284" s="1175"/>
      <c r="O284" s="143"/>
      <c r="P284" s="1196"/>
      <c r="Q284" s="141"/>
      <c r="R284" s="141"/>
      <c r="S284" s="148"/>
      <c r="T284" s="589"/>
      <c r="U284" s="559"/>
      <c r="V284" s="141"/>
      <c r="W284" s="141"/>
      <c r="X284" s="141"/>
      <c r="Y284" s="144"/>
      <c r="Z284" s="141"/>
      <c r="AA284" s="141"/>
      <c r="AB284" s="141"/>
      <c r="AC284" s="141"/>
      <c r="AD284" s="141"/>
      <c r="AE284" s="141"/>
      <c r="AF284" s="145"/>
      <c r="AG284" s="419"/>
    </row>
    <row r="285" spans="1:33" s="139" customFormat="1" ht="12.75" customHeight="1" x14ac:dyDescent="0.2">
      <c r="A285" s="1183"/>
      <c r="B285" s="1183"/>
      <c r="C285" s="1183"/>
      <c r="D285" s="1173"/>
      <c r="E285" s="1108"/>
      <c r="F285" s="1108"/>
      <c r="G285" s="1027"/>
      <c r="H285" s="1027"/>
      <c r="I285" s="1174"/>
      <c r="J285" s="1174"/>
      <c r="K285" s="1174"/>
      <c r="L285" s="1172"/>
      <c r="M285" s="1172"/>
      <c r="N285" s="1175"/>
      <c r="O285" s="143"/>
      <c r="P285" s="1196"/>
      <c r="Q285" s="141"/>
      <c r="R285" s="141"/>
      <c r="S285" s="148"/>
      <c r="T285" s="589"/>
      <c r="U285" s="559"/>
      <c r="V285" s="141"/>
      <c r="W285" s="141"/>
      <c r="X285" s="141"/>
      <c r="Y285" s="144"/>
      <c r="Z285" s="141"/>
      <c r="AA285" s="141"/>
      <c r="AB285" s="141"/>
      <c r="AC285" s="141"/>
      <c r="AD285" s="141"/>
      <c r="AE285" s="141"/>
      <c r="AF285" s="145"/>
      <c r="AG285" s="419"/>
    </row>
    <row r="286" spans="1:33" s="139" customFormat="1" ht="12.75" customHeight="1" x14ac:dyDescent="0.2">
      <c r="A286" s="1183"/>
      <c r="B286" s="1183"/>
      <c r="C286" s="1183"/>
      <c r="D286" s="1173"/>
      <c r="E286" s="1108"/>
      <c r="F286" s="1108"/>
      <c r="G286" s="1027"/>
      <c r="H286" s="1027"/>
      <c r="I286" s="1174"/>
      <c r="J286" s="1174"/>
      <c r="K286" s="1174"/>
      <c r="L286" s="1172"/>
      <c r="M286" s="1172"/>
      <c r="N286" s="1175"/>
      <c r="O286" s="143"/>
      <c r="P286" s="1196"/>
      <c r="Q286" s="141"/>
      <c r="R286" s="141"/>
      <c r="S286" s="148"/>
      <c r="T286" s="589"/>
      <c r="U286" s="559"/>
      <c r="V286" s="141"/>
      <c r="W286" s="141"/>
      <c r="X286" s="141"/>
      <c r="Y286" s="144"/>
      <c r="Z286" s="141"/>
      <c r="AA286" s="141"/>
      <c r="AB286" s="141"/>
      <c r="AC286" s="141"/>
      <c r="AD286" s="141"/>
      <c r="AE286" s="141"/>
      <c r="AF286" s="145"/>
      <c r="AG286" s="419"/>
    </row>
    <row r="287" spans="1:33" s="139" customFormat="1" ht="12.75" customHeight="1" x14ac:dyDescent="0.2">
      <c r="A287" s="1183"/>
      <c r="B287" s="1183"/>
      <c r="C287" s="1183"/>
      <c r="D287" s="1173"/>
      <c r="E287" s="1108"/>
      <c r="F287" s="1108"/>
      <c r="G287" s="1027"/>
      <c r="H287" s="1027"/>
      <c r="I287" s="1174"/>
      <c r="J287" s="1174"/>
      <c r="K287" s="1174"/>
      <c r="L287" s="1172"/>
      <c r="M287" s="1172"/>
      <c r="N287" s="1175"/>
      <c r="O287" s="143"/>
      <c r="P287" s="1196"/>
      <c r="Q287" s="141"/>
      <c r="R287" s="141"/>
      <c r="S287" s="148"/>
      <c r="T287" s="589"/>
      <c r="U287" s="559"/>
      <c r="V287" s="141"/>
      <c r="W287" s="141"/>
      <c r="X287" s="141"/>
      <c r="Y287" s="144"/>
      <c r="Z287" s="141"/>
      <c r="AA287" s="141"/>
      <c r="AB287" s="141"/>
      <c r="AC287" s="141"/>
      <c r="AD287" s="141"/>
      <c r="AE287" s="141"/>
      <c r="AF287" s="145"/>
      <c r="AG287" s="419"/>
    </row>
    <row r="288" spans="1:33" s="139" customFormat="1" ht="12.75" customHeight="1" x14ac:dyDescent="0.2">
      <c r="A288" s="1183"/>
      <c r="B288" s="1183"/>
      <c r="C288" s="1183"/>
      <c r="D288" s="1173"/>
      <c r="E288" s="1108"/>
      <c r="F288" s="1108"/>
      <c r="G288" s="1027"/>
      <c r="H288" s="1027"/>
      <c r="I288" s="1174"/>
      <c r="J288" s="1174"/>
      <c r="K288" s="1174"/>
      <c r="L288" s="1172"/>
      <c r="M288" s="1172"/>
      <c r="N288" s="1175"/>
      <c r="O288" s="143"/>
      <c r="P288" s="1196"/>
      <c r="Q288" s="141"/>
      <c r="R288" s="141"/>
      <c r="S288" s="148"/>
      <c r="T288" s="589"/>
      <c r="U288" s="559"/>
      <c r="V288" s="141"/>
      <c r="W288" s="141"/>
      <c r="X288" s="141"/>
      <c r="Y288" s="144"/>
      <c r="Z288" s="141"/>
      <c r="AA288" s="141"/>
      <c r="AB288" s="141"/>
      <c r="AC288" s="141"/>
      <c r="AD288" s="141"/>
      <c r="AE288" s="141"/>
      <c r="AF288" s="145"/>
      <c r="AG288" s="419"/>
    </row>
    <row r="289" spans="1:33" s="139" customFormat="1" ht="12.75" customHeight="1" x14ac:dyDescent="0.2">
      <c r="A289" s="1183"/>
      <c r="B289" s="1183"/>
      <c r="C289" s="1183"/>
      <c r="D289" s="1173"/>
      <c r="E289" s="1108"/>
      <c r="F289" s="1108"/>
      <c r="G289" s="1027"/>
      <c r="H289" s="1027"/>
      <c r="I289" s="1174"/>
      <c r="J289" s="1174"/>
      <c r="K289" s="1174"/>
      <c r="L289" s="1172"/>
      <c r="M289" s="1172"/>
      <c r="N289" s="1175"/>
      <c r="O289" s="143"/>
      <c r="P289" s="1196"/>
      <c r="Q289" s="141"/>
      <c r="R289" s="141"/>
      <c r="S289" s="148"/>
      <c r="T289" s="589"/>
      <c r="U289" s="559"/>
      <c r="V289" s="141"/>
      <c r="W289" s="141"/>
      <c r="X289" s="141"/>
      <c r="Y289" s="144"/>
      <c r="Z289" s="141"/>
      <c r="AA289" s="141"/>
      <c r="AB289" s="141"/>
      <c r="AC289" s="141"/>
      <c r="AD289" s="141"/>
      <c r="AE289" s="141"/>
      <c r="AF289" s="145"/>
      <c r="AG289" s="419"/>
    </row>
    <row r="290" spans="1:33" s="139" customFormat="1" ht="12.75" customHeight="1" x14ac:dyDescent="0.2">
      <c r="A290" s="1183"/>
      <c r="B290" s="1183"/>
      <c r="C290" s="1183"/>
      <c r="D290" s="1173"/>
      <c r="E290" s="1108"/>
      <c r="F290" s="1108"/>
      <c r="G290" s="1027"/>
      <c r="H290" s="1027"/>
      <c r="I290" s="1174"/>
      <c r="J290" s="1174"/>
      <c r="K290" s="1174"/>
      <c r="L290" s="1172"/>
      <c r="M290" s="1172"/>
      <c r="N290" s="1175"/>
      <c r="O290" s="143"/>
      <c r="P290" s="1196"/>
      <c r="Q290" s="141"/>
      <c r="R290" s="141"/>
      <c r="S290" s="148"/>
      <c r="T290" s="589"/>
      <c r="U290" s="559"/>
      <c r="V290" s="141"/>
      <c r="W290" s="141"/>
      <c r="X290" s="141"/>
      <c r="Y290" s="144"/>
      <c r="Z290" s="141"/>
      <c r="AA290" s="141"/>
      <c r="AB290" s="141"/>
      <c r="AC290" s="141"/>
      <c r="AD290" s="141"/>
      <c r="AE290" s="141"/>
      <c r="AF290" s="145"/>
      <c r="AG290" s="419"/>
    </row>
    <row r="291" spans="1:33" s="139" customFormat="1" ht="12.75" customHeight="1" x14ac:dyDescent="0.2">
      <c r="A291" s="1183"/>
      <c r="B291" s="1183"/>
      <c r="C291" s="1183"/>
      <c r="D291" s="1173"/>
      <c r="E291" s="1108"/>
      <c r="F291" s="1108"/>
      <c r="G291" s="1027"/>
      <c r="H291" s="1027"/>
      <c r="I291" s="1174"/>
      <c r="J291" s="1174"/>
      <c r="K291" s="1174"/>
      <c r="L291" s="1172"/>
      <c r="M291" s="1172"/>
      <c r="N291" s="1175"/>
      <c r="O291" s="143"/>
      <c r="P291" s="1196"/>
      <c r="Q291" s="141"/>
      <c r="R291" s="141"/>
      <c r="S291" s="148"/>
      <c r="T291" s="589"/>
      <c r="U291" s="559"/>
      <c r="V291" s="141"/>
      <c r="W291" s="141"/>
      <c r="X291" s="141"/>
      <c r="Y291" s="144"/>
      <c r="Z291" s="141"/>
      <c r="AA291" s="141"/>
      <c r="AB291" s="141"/>
      <c r="AC291" s="141"/>
      <c r="AD291" s="141"/>
      <c r="AE291" s="141"/>
      <c r="AF291" s="145"/>
      <c r="AG291" s="419"/>
    </row>
    <row r="292" spans="1:33" s="139" customFormat="1" ht="12.75" customHeight="1" x14ac:dyDescent="0.2">
      <c r="A292" s="1183"/>
      <c r="B292" s="1183"/>
      <c r="C292" s="1183"/>
      <c r="D292" s="1173"/>
      <c r="E292" s="1108"/>
      <c r="F292" s="1108"/>
      <c r="G292" s="1027"/>
      <c r="H292" s="1027"/>
      <c r="I292" s="1174"/>
      <c r="J292" s="1174"/>
      <c r="K292" s="1174"/>
      <c r="L292" s="1172"/>
      <c r="M292" s="1172"/>
      <c r="N292" s="1175"/>
      <c r="O292" s="143"/>
      <c r="P292" s="1196"/>
      <c r="Q292" s="141"/>
      <c r="R292" s="141"/>
      <c r="S292" s="148"/>
      <c r="T292" s="589"/>
      <c r="U292" s="559"/>
      <c r="V292" s="141"/>
      <c r="W292" s="141"/>
      <c r="X292" s="141"/>
      <c r="Y292" s="144"/>
      <c r="Z292" s="141"/>
      <c r="AA292" s="141"/>
      <c r="AB292" s="141"/>
      <c r="AC292" s="141"/>
      <c r="AD292" s="141"/>
      <c r="AE292" s="141"/>
      <c r="AF292" s="145"/>
      <c r="AG292" s="419"/>
    </row>
    <row r="293" spans="1:33" s="139" customFormat="1" ht="12.75" customHeight="1" x14ac:dyDescent="0.2">
      <c r="A293" s="1183"/>
      <c r="B293" s="1183"/>
      <c r="C293" s="1183"/>
      <c r="D293" s="1173"/>
      <c r="E293" s="1108"/>
      <c r="F293" s="1108"/>
      <c r="G293" s="1027"/>
      <c r="H293" s="1027"/>
      <c r="I293" s="1174"/>
      <c r="J293" s="1174"/>
      <c r="K293" s="1174"/>
      <c r="L293" s="1172"/>
      <c r="M293" s="1172"/>
      <c r="N293" s="1175"/>
      <c r="O293" s="143"/>
      <c r="P293" s="1196"/>
      <c r="Q293" s="141"/>
      <c r="R293" s="141"/>
      <c r="S293" s="148"/>
      <c r="T293" s="589"/>
      <c r="U293" s="559"/>
      <c r="V293" s="141"/>
      <c r="W293" s="141"/>
      <c r="X293" s="141"/>
      <c r="Y293" s="144"/>
      <c r="Z293" s="141"/>
      <c r="AA293" s="141"/>
      <c r="AB293" s="141"/>
      <c r="AC293" s="141"/>
      <c r="AD293" s="141"/>
      <c r="AE293" s="141"/>
      <c r="AF293" s="145"/>
      <c r="AG293" s="419"/>
    </row>
    <row r="294" spans="1:33" s="139" customFormat="1" ht="12.75" customHeight="1" x14ac:dyDescent="0.2">
      <c r="A294" s="1183"/>
      <c r="B294" s="1183"/>
      <c r="C294" s="1183"/>
      <c r="D294" s="1173"/>
      <c r="E294" s="1108"/>
      <c r="F294" s="1108"/>
      <c r="G294" s="1027"/>
      <c r="H294" s="1027"/>
      <c r="I294" s="1174"/>
      <c r="J294" s="1174"/>
      <c r="K294" s="1174"/>
      <c r="L294" s="1172"/>
      <c r="M294" s="1172"/>
      <c r="N294" s="1175"/>
      <c r="O294" s="143"/>
      <c r="P294" s="1196"/>
      <c r="Q294" s="141"/>
      <c r="R294" s="141"/>
      <c r="S294" s="148"/>
      <c r="T294" s="589"/>
      <c r="U294" s="559"/>
      <c r="V294" s="141"/>
      <c r="W294" s="141"/>
      <c r="X294" s="141"/>
      <c r="Y294" s="144"/>
      <c r="Z294" s="141"/>
      <c r="AA294" s="141"/>
      <c r="AB294" s="141"/>
      <c r="AC294" s="141"/>
      <c r="AD294" s="141"/>
      <c r="AE294" s="141"/>
      <c r="AF294" s="145"/>
      <c r="AG294" s="419"/>
    </row>
    <row r="295" spans="1:33" s="139" customFormat="1" ht="12.75" customHeight="1" x14ac:dyDescent="0.2">
      <c r="A295" s="1183"/>
      <c r="B295" s="1183"/>
      <c r="C295" s="1183"/>
      <c r="D295" s="1173"/>
      <c r="E295" s="1108"/>
      <c r="F295" s="1108"/>
      <c r="G295" s="1027"/>
      <c r="H295" s="1027"/>
      <c r="I295" s="1174"/>
      <c r="J295" s="1174"/>
      <c r="K295" s="1174"/>
      <c r="L295" s="1172"/>
      <c r="M295" s="1172"/>
      <c r="N295" s="1175"/>
      <c r="O295" s="143"/>
      <c r="P295" s="1196"/>
      <c r="Q295" s="141"/>
      <c r="R295" s="141"/>
      <c r="S295" s="148"/>
      <c r="T295" s="589"/>
      <c r="U295" s="559"/>
      <c r="V295" s="141"/>
      <c r="W295" s="141"/>
      <c r="X295" s="141"/>
      <c r="Y295" s="144"/>
      <c r="Z295" s="141"/>
      <c r="AA295" s="141"/>
      <c r="AB295" s="141"/>
      <c r="AC295" s="141"/>
      <c r="AD295" s="141"/>
      <c r="AE295" s="141"/>
      <c r="AF295" s="145"/>
      <c r="AG295" s="419"/>
    </row>
    <row r="296" spans="1:33" s="139" customFormat="1" ht="12.75" customHeight="1" x14ac:dyDescent="0.2">
      <c r="A296" s="1183"/>
      <c r="B296" s="1183"/>
      <c r="C296" s="1183"/>
      <c r="D296" s="1173"/>
      <c r="E296" s="1108"/>
      <c r="F296" s="1108"/>
      <c r="G296" s="1027"/>
      <c r="H296" s="1027"/>
      <c r="I296" s="1174"/>
      <c r="J296" s="1174"/>
      <c r="K296" s="1174"/>
      <c r="L296" s="1172"/>
      <c r="M296" s="1172"/>
      <c r="N296" s="1175"/>
      <c r="O296" s="143"/>
      <c r="P296" s="1196"/>
      <c r="Q296" s="141"/>
      <c r="R296" s="141"/>
      <c r="S296" s="148"/>
      <c r="T296" s="589"/>
      <c r="U296" s="559"/>
      <c r="V296" s="141"/>
      <c r="W296" s="141"/>
      <c r="X296" s="141"/>
      <c r="Y296" s="144"/>
      <c r="Z296" s="141"/>
      <c r="AA296" s="141"/>
      <c r="AB296" s="141"/>
      <c r="AC296" s="141"/>
      <c r="AD296" s="141"/>
      <c r="AE296" s="141"/>
      <c r="AF296" s="145"/>
      <c r="AG296" s="419"/>
    </row>
    <row r="297" spans="1:33" s="139" customFormat="1" ht="12.75" customHeight="1" x14ac:dyDescent="0.2">
      <c r="A297" s="1183"/>
      <c r="B297" s="1183"/>
      <c r="C297" s="1183"/>
      <c r="D297" s="1173"/>
      <c r="E297" s="1108"/>
      <c r="F297" s="1108"/>
      <c r="G297" s="1027"/>
      <c r="H297" s="1027"/>
      <c r="I297" s="1174"/>
      <c r="J297" s="1174"/>
      <c r="K297" s="1174"/>
      <c r="L297" s="1172"/>
      <c r="M297" s="1172"/>
      <c r="N297" s="1175"/>
      <c r="O297" s="143"/>
      <c r="P297" s="1196"/>
      <c r="Q297" s="141"/>
      <c r="R297" s="141"/>
      <c r="S297" s="148"/>
      <c r="T297" s="589"/>
      <c r="U297" s="559"/>
      <c r="V297" s="141"/>
      <c r="W297" s="141"/>
      <c r="X297" s="141"/>
      <c r="Y297" s="144"/>
      <c r="Z297" s="141"/>
      <c r="AA297" s="141"/>
      <c r="AB297" s="141"/>
      <c r="AC297" s="141"/>
      <c r="AD297" s="141"/>
      <c r="AE297" s="141"/>
      <c r="AF297" s="145"/>
      <c r="AG297" s="419"/>
    </row>
    <row r="298" spans="1:33" s="139" customFormat="1" ht="12.75" customHeight="1" x14ac:dyDescent="0.2">
      <c r="A298" s="1183"/>
      <c r="B298" s="1183"/>
      <c r="C298" s="1183"/>
      <c r="D298" s="1173"/>
      <c r="E298" s="1108"/>
      <c r="F298" s="1108"/>
      <c r="G298" s="1027"/>
      <c r="H298" s="1027"/>
      <c r="I298" s="1174"/>
      <c r="J298" s="1174"/>
      <c r="K298" s="1174"/>
      <c r="L298" s="1172"/>
      <c r="M298" s="1172"/>
      <c r="N298" s="1175"/>
      <c r="O298" s="143"/>
      <c r="P298" s="1196"/>
      <c r="Q298" s="141"/>
      <c r="R298" s="141"/>
      <c r="S298" s="148"/>
      <c r="T298" s="589"/>
      <c r="U298" s="559"/>
      <c r="V298" s="141"/>
      <c r="W298" s="141"/>
      <c r="X298" s="141"/>
      <c r="Y298" s="144"/>
      <c r="Z298" s="141"/>
      <c r="AA298" s="141"/>
      <c r="AB298" s="141"/>
      <c r="AC298" s="141"/>
      <c r="AD298" s="141"/>
      <c r="AE298" s="141"/>
      <c r="AF298" s="145"/>
      <c r="AG298" s="419"/>
    </row>
    <row r="299" spans="1:33" s="139" customFormat="1" ht="12.75" customHeight="1" x14ac:dyDescent="0.2">
      <c r="A299" s="1183"/>
      <c r="B299" s="1183"/>
      <c r="C299" s="1183"/>
      <c r="D299" s="1173"/>
      <c r="E299" s="1108"/>
      <c r="F299" s="1108"/>
      <c r="G299" s="1027"/>
      <c r="H299" s="1027"/>
      <c r="I299" s="1174"/>
      <c r="J299" s="1174"/>
      <c r="K299" s="1174"/>
      <c r="L299" s="1172"/>
      <c r="M299" s="1172"/>
      <c r="N299" s="1175"/>
      <c r="O299" s="143"/>
      <c r="P299" s="1196"/>
      <c r="Q299" s="141"/>
      <c r="R299" s="141"/>
      <c r="S299" s="148"/>
      <c r="T299" s="589"/>
      <c r="U299" s="559"/>
      <c r="V299" s="141"/>
      <c r="W299" s="141"/>
      <c r="X299" s="141"/>
      <c r="Y299" s="144"/>
      <c r="Z299" s="141"/>
      <c r="AA299" s="141"/>
      <c r="AB299" s="141"/>
      <c r="AC299" s="141"/>
      <c r="AD299" s="141"/>
      <c r="AE299" s="141"/>
      <c r="AF299" s="145"/>
      <c r="AG299" s="419"/>
    </row>
    <row r="300" spans="1:33" s="139" customFormat="1" ht="12.75" customHeight="1" x14ac:dyDescent="0.2">
      <c r="A300" s="1183"/>
      <c r="B300" s="1183"/>
      <c r="C300" s="1183"/>
      <c r="D300" s="1173"/>
      <c r="E300" s="1108"/>
      <c r="F300" s="1108"/>
      <c r="G300" s="1027"/>
      <c r="H300" s="1027"/>
      <c r="I300" s="1174"/>
      <c r="J300" s="1174"/>
      <c r="K300" s="1174"/>
      <c r="L300" s="1172"/>
      <c r="M300" s="1172"/>
      <c r="N300" s="1175"/>
      <c r="O300" s="143"/>
      <c r="P300" s="1196"/>
      <c r="Q300" s="141"/>
      <c r="R300" s="141"/>
      <c r="S300" s="148"/>
      <c r="T300" s="591"/>
      <c r="U300" s="559"/>
      <c r="V300" s="141"/>
      <c r="W300" s="141"/>
      <c r="X300" s="141"/>
      <c r="Y300" s="144"/>
      <c r="Z300" s="141"/>
      <c r="AA300" s="141"/>
      <c r="AB300" s="141"/>
      <c r="AC300" s="141"/>
      <c r="AD300" s="141"/>
      <c r="AE300" s="141"/>
      <c r="AF300" s="145"/>
      <c r="AG300" s="419"/>
    </row>
    <row r="301" spans="1:33" s="139" customFormat="1" ht="12.75" customHeight="1" x14ac:dyDescent="0.2">
      <c r="A301" s="1183"/>
      <c r="B301" s="1183"/>
      <c r="C301" s="1183"/>
      <c r="D301" s="1173"/>
      <c r="E301" s="1108"/>
      <c r="F301" s="1108"/>
      <c r="G301" s="1027"/>
      <c r="H301" s="1027"/>
      <c r="I301" s="1174"/>
      <c r="J301" s="1174"/>
      <c r="K301" s="1174"/>
      <c r="L301" s="1172"/>
      <c r="M301" s="1172"/>
      <c r="N301" s="1175"/>
      <c r="O301" s="143"/>
      <c r="P301" s="1196"/>
      <c r="Q301" s="141"/>
      <c r="R301" s="141"/>
      <c r="S301" s="148"/>
      <c r="T301" s="591"/>
      <c r="U301" s="559"/>
      <c r="V301" s="141"/>
      <c r="W301" s="141"/>
      <c r="X301" s="141"/>
      <c r="Y301" s="144"/>
      <c r="Z301" s="141"/>
      <c r="AA301" s="141"/>
      <c r="AB301" s="141"/>
      <c r="AC301" s="141"/>
      <c r="AD301" s="141"/>
      <c r="AE301" s="141"/>
      <c r="AF301" s="145"/>
      <c r="AG301" s="419"/>
    </row>
    <row r="302" spans="1:33" s="139" customFormat="1" ht="12.75" customHeight="1" x14ac:dyDescent="0.2">
      <c r="A302" s="1183"/>
      <c r="B302" s="1183"/>
      <c r="C302" s="1183"/>
      <c r="D302" s="1173"/>
      <c r="E302" s="1108"/>
      <c r="F302" s="1108"/>
      <c r="G302" s="1027"/>
      <c r="H302" s="1027"/>
      <c r="I302" s="1174"/>
      <c r="J302" s="1174"/>
      <c r="K302" s="1174"/>
      <c r="L302" s="1172"/>
      <c r="M302" s="1172"/>
      <c r="N302" s="1175"/>
      <c r="O302" s="143"/>
      <c r="P302" s="1196"/>
      <c r="Q302" s="141"/>
      <c r="R302" s="141"/>
      <c r="S302" s="148"/>
      <c r="T302" s="591"/>
      <c r="U302" s="559"/>
      <c r="V302" s="141"/>
      <c r="W302" s="141"/>
      <c r="X302" s="141"/>
      <c r="Y302" s="144"/>
      <c r="Z302" s="141"/>
      <c r="AA302" s="141"/>
      <c r="AB302" s="141"/>
      <c r="AC302" s="141"/>
      <c r="AD302" s="141"/>
      <c r="AE302" s="141"/>
      <c r="AF302" s="145"/>
      <c r="AG302" s="419"/>
    </row>
    <row r="303" spans="1:33" s="139" customFormat="1" ht="12.75" customHeight="1" x14ac:dyDescent="0.2">
      <c r="A303" s="1183"/>
      <c r="B303" s="1183"/>
      <c r="C303" s="1183"/>
      <c r="D303" s="1173"/>
      <c r="E303" s="1108"/>
      <c r="F303" s="1108"/>
      <c r="G303" s="1027"/>
      <c r="H303" s="1027"/>
      <c r="I303" s="1174"/>
      <c r="J303" s="1174"/>
      <c r="K303" s="1174"/>
      <c r="L303" s="1172"/>
      <c r="M303" s="1172"/>
      <c r="N303" s="1175"/>
      <c r="O303" s="143"/>
      <c r="P303" s="1196"/>
      <c r="Q303" s="141"/>
      <c r="R303" s="141"/>
      <c r="S303" s="148"/>
      <c r="T303" s="419"/>
      <c r="U303" s="559"/>
      <c r="V303" s="141"/>
      <c r="W303" s="141"/>
      <c r="X303" s="141"/>
      <c r="Y303" s="144"/>
      <c r="Z303" s="141"/>
      <c r="AA303" s="141"/>
      <c r="AB303" s="141"/>
      <c r="AC303" s="141"/>
      <c r="AD303" s="141"/>
      <c r="AE303" s="141"/>
      <c r="AF303" s="145"/>
      <c r="AG303" s="419"/>
    </row>
    <row r="304" spans="1:33" s="139" customFormat="1" ht="12.75" customHeight="1" x14ac:dyDescent="0.2">
      <c r="A304" s="1183"/>
      <c r="B304" s="1183"/>
      <c r="C304" s="1183"/>
      <c r="D304" s="1173"/>
      <c r="E304" s="1108"/>
      <c r="F304" s="1108"/>
      <c r="G304" s="1027"/>
      <c r="H304" s="1027"/>
      <c r="I304" s="1174"/>
      <c r="J304" s="1174"/>
      <c r="K304" s="1174"/>
      <c r="L304" s="1172"/>
      <c r="M304" s="1172"/>
      <c r="N304" s="1175"/>
      <c r="O304" s="143"/>
      <c r="P304" s="1196"/>
      <c r="Q304" s="141"/>
      <c r="R304" s="141"/>
      <c r="S304" s="148"/>
      <c r="T304" s="419"/>
      <c r="U304" s="559"/>
      <c r="V304" s="141"/>
      <c r="W304" s="141"/>
      <c r="X304" s="141"/>
      <c r="Y304" s="144"/>
      <c r="Z304" s="141"/>
      <c r="AA304" s="141"/>
      <c r="AB304" s="141"/>
      <c r="AC304" s="141"/>
      <c r="AD304" s="141"/>
      <c r="AE304" s="141"/>
      <c r="AF304" s="145"/>
      <c r="AG304" s="419"/>
    </row>
    <row r="305" spans="1:33" s="139" customFormat="1" ht="12.75" customHeight="1" x14ac:dyDescent="0.2">
      <c r="A305" s="1183"/>
      <c r="B305" s="1183"/>
      <c r="C305" s="1183"/>
      <c r="D305" s="1173"/>
      <c r="E305" s="1108"/>
      <c r="F305" s="1108"/>
      <c r="G305" s="1027"/>
      <c r="H305" s="1027"/>
      <c r="I305" s="1174"/>
      <c r="J305" s="1174"/>
      <c r="K305" s="1174"/>
      <c r="L305" s="1172"/>
      <c r="M305" s="1172"/>
      <c r="N305" s="1175"/>
      <c r="O305" s="143"/>
      <c r="P305" s="1196"/>
      <c r="Q305" s="146"/>
      <c r="R305" s="146"/>
      <c r="S305" s="147"/>
      <c r="T305" s="589"/>
      <c r="U305" s="559"/>
      <c r="V305" s="141"/>
      <c r="W305" s="141"/>
      <c r="X305" s="141"/>
      <c r="Y305" s="144"/>
      <c r="Z305" s="141"/>
      <c r="AA305" s="141"/>
      <c r="AB305" s="141"/>
      <c r="AC305" s="141"/>
      <c r="AD305" s="141"/>
      <c r="AE305" s="141"/>
      <c r="AF305" s="145"/>
      <c r="AG305" s="419"/>
    </row>
    <row r="306" spans="1:33" s="139" customFormat="1" ht="12.75" customHeight="1" x14ac:dyDescent="0.2">
      <c r="A306" s="1183"/>
      <c r="B306" s="1183"/>
      <c r="C306" s="1183"/>
      <c r="D306" s="1173"/>
      <c r="E306" s="1108"/>
      <c r="F306" s="1108"/>
      <c r="G306" s="1027"/>
      <c r="H306" s="1027"/>
      <c r="I306" s="1174"/>
      <c r="J306" s="1174"/>
      <c r="K306" s="1174"/>
      <c r="L306" s="1172"/>
      <c r="M306" s="1172"/>
      <c r="N306" s="1175"/>
      <c r="O306" s="143"/>
      <c r="P306" s="1196"/>
      <c r="Q306" s="141"/>
      <c r="R306" s="141"/>
      <c r="S306" s="148"/>
      <c r="T306" s="419"/>
      <c r="U306" s="559"/>
      <c r="V306" s="141"/>
      <c r="W306" s="141"/>
      <c r="X306" s="141"/>
      <c r="Y306" s="144"/>
      <c r="Z306" s="141"/>
      <c r="AA306" s="141"/>
      <c r="AB306" s="141"/>
      <c r="AC306" s="141"/>
      <c r="AD306" s="141"/>
      <c r="AE306" s="141"/>
      <c r="AF306" s="145"/>
      <c r="AG306" s="419"/>
    </row>
    <row r="307" spans="1:33" s="139" customFormat="1" ht="12.75" customHeight="1" x14ac:dyDescent="0.2">
      <c r="A307" s="1183"/>
      <c r="B307" s="1183"/>
      <c r="C307" s="1183"/>
      <c r="D307" s="1173"/>
      <c r="E307" s="1108"/>
      <c r="F307" s="1108"/>
      <c r="G307" s="1027"/>
      <c r="H307" s="1027"/>
      <c r="I307" s="1174"/>
      <c r="J307" s="1174"/>
      <c r="K307" s="1174"/>
      <c r="L307" s="1172"/>
      <c r="M307" s="1172"/>
      <c r="N307" s="1175"/>
      <c r="O307" s="143"/>
      <c r="P307" s="1196"/>
      <c r="Q307" s="141"/>
      <c r="R307" s="141"/>
      <c r="S307" s="148"/>
      <c r="T307" s="419"/>
      <c r="U307" s="559"/>
      <c r="V307" s="141"/>
      <c r="W307" s="141"/>
      <c r="X307" s="141"/>
      <c r="Y307" s="144"/>
      <c r="Z307" s="141"/>
      <c r="AA307" s="141"/>
      <c r="AB307" s="141"/>
      <c r="AC307" s="141"/>
      <c r="AD307" s="141"/>
      <c r="AE307" s="141"/>
      <c r="AF307" s="145"/>
      <c r="AG307" s="419"/>
    </row>
    <row r="308" spans="1:33" s="139" customFormat="1" ht="12.75" customHeight="1" x14ac:dyDescent="0.2">
      <c r="A308" s="1183"/>
      <c r="B308" s="1183"/>
      <c r="C308" s="1183"/>
      <c r="D308" s="1173"/>
      <c r="E308" s="1108"/>
      <c r="F308" s="1108"/>
      <c r="G308" s="1027"/>
      <c r="H308" s="1027"/>
      <c r="I308" s="1174"/>
      <c r="J308" s="1174"/>
      <c r="K308" s="1174"/>
      <c r="L308" s="1172"/>
      <c r="M308" s="1172"/>
      <c r="N308" s="1175"/>
      <c r="O308" s="143"/>
      <c r="P308" s="1196"/>
      <c r="Q308" s="141"/>
      <c r="R308" s="141"/>
      <c r="S308" s="148"/>
      <c r="T308" s="419"/>
      <c r="U308" s="559"/>
      <c r="V308" s="141"/>
      <c r="W308" s="141"/>
      <c r="X308" s="141"/>
      <c r="Y308" s="144"/>
      <c r="Z308" s="141"/>
      <c r="AA308" s="141"/>
      <c r="AB308" s="141"/>
      <c r="AC308" s="141"/>
      <c r="AD308" s="141"/>
      <c r="AE308" s="141"/>
      <c r="AF308" s="145"/>
      <c r="AG308" s="419"/>
    </row>
    <row r="309" spans="1:33" s="139" customFormat="1" ht="12.75" customHeight="1" x14ac:dyDescent="0.2">
      <c r="A309" s="1183"/>
      <c r="B309" s="1183"/>
      <c r="C309" s="1183"/>
      <c r="D309" s="1173"/>
      <c r="E309" s="1108"/>
      <c r="F309" s="1108"/>
      <c r="G309" s="1027"/>
      <c r="H309" s="1027"/>
      <c r="I309" s="1174"/>
      <c r="J309" s="1174"/>
      <c r="K309" s="1174"/>
      <c r="L309" s="1172"/>
      <c r="M309" s="1172"/>
      <c r="N309" s="1175"/>
      <c r="O309" s="143"/>
      <c r="P309" s="1196"/>
      <c r="Q309" s="141"/>
      <c r="R309" s="141"/>
      <c r="S309" s="148"/>
      <c r="T309" s="419"/>
      <c r="U309" s="559"/>
      <c r="V309" s="141"/>
      <c r="W309" s="141"/>
      <c r="X309" s="141"/>
      <c r="Y309" s="144"/>
      <c r="Z309" s="141"/>
      <c r="AA309" s="141"/>
      <c r="AB309" s="141"/>
      <c r="AC309" s="141"/>
      <c r="AD309" s="141"/>
      <c r="AE309" s="141"/>
      <c r="AF309" s="145"/>
      <c r="AG309" s="419"/>
    </row>
    <row r="310" spans="1:33" s="139" customFormat="1" ht="12.75" customHeight="1" x14ac:dyDescent="0.2">
      <c r="A310" s="1183"/>
      <c r="B310" s="1183"/>
      <c r="C310" s="1183"/>
      <c r="D310" s="1173"/>
      <c r="E310" s="1108"/>
      <c r="F310" s="1108"/>
      <c r="G310" s="1027"/>
      <c r="H310" s="1027"/>
      <c r="I310" s="1174"/>
      <c r="J310" s="1174"/>
      <c r="K310" s="1174"/>
      <c r="L310" s="1172"/>
      <c r="M310" s="1172"/>
      <c r="N310" s="1175"/>
      <c r="O310" s="143"/>
      <c r="P310" s="1196"/>
      <c r="Q310" s="141"/>
      <c r="R310" s="141"/>
      <c r="S310" s="148"/>
      <c r="T310" s="419"/>
      <c r="U310" s="559"/>
      <c r="V310" s="141"/>
      <c r="W310" s="141"/>
      <c r="X310" s="141"/>
      <c r="Y310" s="144"/>
      <c r="Z310" s="141"/>
      <c r="AA310" s="141"/>
      <c r="AB310" s="141"/>
      <c r="AC310" s="141"/>
      <c r="AD310" s="141"/>
      <c r="AE310" s="141"/>
      <c r="AF310" s="145"/>
      <c r="AG310" s="419"/>
    </row>
    <row r="311" spans="1:33" s="139" customFormat="1" ht="12.75" customHeight="1" x14ac:dyDescent="0.2">
      <c r="A311" s="1183"/>
      <c r="B311" s="1183"/>
      <c r="C311" s="1183"/>
      <c r="D311" s="1173"/>
      <c r="E311" s="1108"/>
      <c r="F311" s="1108"/>
      <c r="G311" s="1027"/>
      <c r="H311" s="1027"/>
      <c r="I311" s="1174"/>
      <c r="J311" s="1174"/>
      <c r="K311" s="1174"/>
      <c r="L311" s="1172"/>
      <c r="M311" s="1172"/>
      <c r="N311" s="1175"/>
      <c r="O311" s="143"/>
      <c r="P311" s="1196"/>
      <c r="Q311" s="141"/>
      <c r="R311" s="141"/>
      <c r="S311" s="148"/>
      <c r="T311" s="419"/>
      <c r="U311" s="559"/>
      <c r="V311" s="141"/>
      <c r="W311" s="141"/>
      <c r="X311" s="141"/>
      <c r="Y311" s="144"/>
      <c r="Z311" s="141"/>
      <c r="AA311" s="141"/>
      <c r="AB311" s="141"/>
      <c r="AC311" s="141"/>
      <c r="AD311" s="141"/>
      <c r="AE311" s="141"/>
      <c r="AF311" s="145"/>
      <c r="AG311" s="419"/>
    </row>
    <row r="312" spans="1:33" s="139" customFormat="1" ht="12.75" customHeight="1" x14ac:dyDescent="0.2">
      <c r="A312" s="1183"/>
      <c r="B312" s="1183"/>
      <c r="C312" s="1183"/>
      <c r="D312" s="1173"/>
      <c r="E312" s="1108"/>
      <c r="F312" s="1108"/>
      <c r="G312" s="1027"/>
      <c r="H312" s="1027"/>
      <c r="I312" s="1174"/>
      <c r="J312" s="1174"/>
      <c r="K312" s="1174"/>
      <c r="L312" s="1172"/>
      <c r="M312" s="1172"/>
      <c r="N312" s="1175"/>
      <c r="O312" s="143"/>
      <c r="P312" s="1196"/>
      <c r="Q312" s="141"/>
      <c r="R312" s="141"/>
      <c r="S312" s="148"/>
      <c r="T312" s="419"/>
      <c r="U312" s="559"/>
      <c r="V312" s="141"/>
      <c r="W312" s="141"/>
      <c r="X312" s="141"/>
      <c r="Y312" s="144"/>
      <c r="Z312" s="141"/>
      <c r="AA312" s="141"/>
      <c r="AB312" s="141"/>
      <c r="AC312" s="141"/>
      <c r="AD312" s="141"/>
      <c r="AE312" s="141"/>
      <c r="AF312" s="145"/>
      <c r="AG312" s="419"/>
    </row>
    <row r="313" spans="1:33" s="139" customFormat="1" ht="12.75" customHeight="1" x14ac:dyDescent="0.2">
      <c r="A313" s="1183"/>
      <c r="B313" s="1183"/>
      <c r="C313" s="1183"/>
      <c r="D313" s="1173"/>
      <c r="E313" s="1108"/>
      <c r="F313" s="1108"/>
      <c r="G313" s="1027"/>
      <c r="H313" s="1027"/>
      <c r="I313" s="1174"/>
      <c r="J313" s="1174"/>
      <c r="K313" s="1174"/>
      <c r="L313" s="1172"/>
      <c r="M313" s="1172"/>
      <c r="N313" s="1175"/>
      <c r="O313" s="143"/>
      <c r="P313" s="1196"/>
      <c r="Q313" s="141"/>
      <c r="R313" s="141"/>
      <c r="S313" s="148"/>
      <c r="T313" s="419"/>
      <c r="U313" s="559"/>
      <c r="V313" s="141"/>
      <c r="W313" s="141"/>
      <c r="X313" s="141"/>
      <c r="Y313" s="144"/>
      <c r="Z313" s="141"/>
      <c r="AA313" s="141"/>
      <c r="AB313" s="141"/>
      <c r="AC313" s="141"/>
      <c r="AD313" s="141"/>
      <c r="AE313" s="141"/>
      <c r="AF313" s="145"/>
      <c r="AG313" s="419"/>
    </row>
    <row r="314" spans="1:33" s="139" customFormat="1" ht="12.75" customHeight="1" x14ac:dyDescent="0.2">
      <c r="A314" s="1183"/>
      <c r="B314" s="1183"/>
      <c r="C314" s="1183"/>
      <c r="D314" s="1173"/>
      <c r="E314" s="1108"/>
      <c r="F314" s="1108"/>
      <c r="G314" s="1027"/>
      <c r="H314" s="1027"/>
      <c r="I314" s="1174"/>
      <c r="J314" s="1174"/>
      <c r="K314" s="1174"/>
      <c r="L314" s="1172"/>
      <c r="M314" s="1172"/>
      <c r="N314" s="1175"/>
      <c r="O314" s="143"/>
      <c r="P314" s="1196"/>
      <c r="Q314" s="141"/>
      <c r="R314" s="141"/>
      <c r="S314" s="148"/>
      <c r="T314" s="419"/>
      <c r="U314" s="559"/>
      <c r="V314" s="141"/>
      <c r="W314" s="141"/>
      <c r="X314" s="141"/>
      <c r="Y314" s="144"/>
      <c r="Z314" s="141"/>
      <c r="AA314" s="141"/>
      <c r="AB314" s="141"/>
      <c r="AC314" s="141"/>
      <c r="AD314" s="141"/>
      <c r="AE314" s="141"/>
      <c r="AF314" s="145"/>
      <c r="AG314" s="419"/>
    </row>
    <row r="315" spans="1:33" s="139" customFormat="1" ht="12.75" customHeight="1" x14ac:dyDescent="0.2">
      <c r="A315" s="1183"/>
      <c r="B315" s="1183"/>
      <c r="C315" s="1183"/>
      <c r="D315" s="1173"/>
      <c r="E315" s="1108"/>
      <c r="F315" s="1108"/>
      <c r="G315" s="1027"/>
      <c r="H315" s="1027"/>
      <c r="I315" s="1174"/>
      <c r="J315" s="1174"/>
      <c r="K315" s="1174"/>
      <c r="L315" s="1172"/>
      <c r="M315" s="1172"/>
      <c r="N315" s="1175"/>
      <c r="O315" s="143"/>
      <c r="P315" s="1196"/>
      <c r="Q315" s="141"/>
      <c r="R315" s="141"/>
      <c r="S315" s="148"/>
      <c r="T315" s="419"/>
      <c r="U315" s="559"/>
      <c r="V315" s="141"/>
      <c r="W315" s="141"/>
      <c r="X315" s="141"/>
      <c r="Y315" s="144"/>
      <c r="Z315" s="141"/>
      <c r="AA315" s="141"/>
      <c r="AB315" s="141"/>
      <c r="AC315" s="141"/>
      <c r="AD315" s="141"/>
      <c r="AE315" s="141"/>
      <c r="AF315" s="145"/>
      <c r="AG315" s="419"/>
    </row>
    <row r="316" spans="1:33" s="139" customFormat="1" ht="12.75" customHeight="1" x14ac:dyDescent="0.2">
      <c r="A316" s="1183"/>
      <c r="B316" s="1183"/>
      <c r="C316" s="1183"/>
      <c r="D316" s="1173"/>
      <c r="E316" s="1108"/>
      <c r="F316" s="1108"/>
      <c r="G316" s="1027"/>
      <c r="H316" s="1027"/>
      <c r="I316" s="1174"/>
      <c r="J316" s="1174"/>
      <c r="K316" s="1174"/>
      <c r="L316" s="1172"/>
      <c r="M316" s="1172"/>
      <c r="N316" s="1175"/>
      <c r="O316" s="143"/>
      <c r="P316" s="1196"/>
      <c r="Q316" s="141"/>
      <c r="R316" s="141"/>
      <c r="S316" s="148"/>
      <c r="T316" s="419"/>
      <c r="U316" s="559"/>
      <c r="V316" s="141"/>
      <c r="W316" s="141"/>
      <c r="X316" s="141"/>
      <c r="Y316" s="144"/>
      <c r="Z316" s="141"/>
      <c r="AA316" s="141"/>
      <c r="AB316" s="141"/>
      <c r="AC316" s="141"/>
      <c r="AD316" s="141"/>
      <c r="AE316" s="141"/>
      <c r="AF316" s="145"/>
      <c r="AG316" s="419"/>
    </row>
    <row r="317" spans="1:33" s="139" customFormat="1" ht="12.75" customHeight="1" x14ac:dyDescent="0.2">
      <c r="A317" s="1183"/>
      <c r="B317" s="1183"/>
      <c r="C317" s="1183"/>
      <c r="D317" s="1173"/>
      <c r="E317" s="1108"/>
      <c r="F317" s="1108"/>
      <c r="G317" s="1027"/>
      <c r="H317" s="1027"/>
      <c r="I317" s="1174"/>
      <c r="J317" s="1174"/>
      <c r="K317" s="1174"/>
      <c r="L317" s="1172"/>
      <c r="M317" s="1172"/>
      <c r="N317" s="1175"/>
      <c r="O317" s="143"/>
      <c r="P317" s="1196"/>
      <c r="Q317" s="141"/>
      <c r="R317" s="141"/>
      <c r="S317" s="148"/>
      <c r="T317" s="419"/>
      <c r="U317" s="559"/>
      <c r="V317" s="141"/>
      <c r="W317" s="141"/>
      <c r="X317" s="141"/>
      <c r="Y317" s="144"/>
      <c r="Z317" s="141"/>
      <c r="AA317" s="141"/>
      <c r="AB317" s="141"/>
      <c r="AC317" s="141"/>
      <c r="AD317" s="141"/>
      <c r="AE317" s="141"/>
      <c r="AF317" s="145"/>
      <c r="AG317" s="419"/>
    </row>
    <row r="318" spans="1:33" s="139" customFormat="1" ht="12.75" customHeight="1" x14ac:dyDescent="0.2">
      <c r="A318" s="1183"/>
      <c r="B318" s="1183"/>
      <c r="C318" s="1183"/>
      <c r="D318" s="1173"/>
      <c r="E318" s="1108"/>
      <c r="F318" s="1108"/>
      <c r="G318" s="1027"/>
      <c r="H318" s="1027"/>
      <c r="I318" s="1174"/>
      <c r="J318" s="1174"/>
      <c r="K318" s="1174"/>
      <c r="L318" s="1172"/>
      <c r="M318" s="1172"/>
      <c r="N318" s="1175"/>
      <c r="O318" s="143"/>
      <c r="P318" s="1196"/>
      <c r="Q318" s="141"/>
      <c r="R318" s="141"/>
      <c r="S318" s="148"/>
      <c r="T318" s="419"/>
      <c r="U318" s="559"/>
      <c r="V318" s="141"/>
      <c r="W318" s="141"/>
      <c r="X318" s="141"/>
      <c r="Y318" s="144"/>
      <c r="Z318" s="141"/>
      <c r="AA318" s="141"/>
      <c r="AB318" s="141"/>
      <c r="AC318" s="141"/>
      <c r="AD318" s="141"/>
      <c r="AE318" s="141"/>
      <c r="AF318" s="145"/>
      <c r="AG318" s="419"/>
    </row>
    <row r="319" spans="1:33" s="139" customFormat="1" ht="12.75" customHeight="1" x14ac:dyDescent="0.2">
      <c r="A319" s="1183"/>
      <c r="B319" s="1183"/>
      <c r="C319" s="1183"/>
      <c r="D319" s="1173"/>
      <c r="E319" s="1108"/>
      <c r="F319" s="1108"/>
      <c r="G319" s="1027"/>
      <c r="H319" s="1027"/>
      <c r="I319" s="1174"/>
      <c r="J319" s="1174"/>
      <c r="K319" s="1174"/>
      <c r="L319" s="1172"/>
      <c r="M319" s="1172"/>
      <c r="N319" s="1175"/>
      <c r="O319" s="143"/>
      <c r="P319" s="1196"/>
      <c r="Q319" s="141"/>
      <c r="R319" s="141"/>
      <c r="S319" s="148"/>
      <c r="T319" s="419"/>
      <c r="U319" s="559"/>
      <c r="V319" s="141"/>
      <c r="W319" s="141"/>
      <c r="X319" s="141"/>
      <c r="Y319" s="144"/>
      <c r="Z319" s="141"/>
      <c r="AA319" s="141"/>
      <c r="AB319" s="141"/>
      <c r="AC319" s="141"/>
      <c r="AD319" s="141"/>
      <c r="AE319" s="141"/>
      <c r="AF319" s="145"/>
      <c r="AG319" s="419"/>
    </row>
    <row r="320" spans="1:33" s="139" customFormat="1" ht="12.75" customHeight="1" x14ac:dyDescent="0.2">
      <c r="A320" s="1183"/>
      <c r="B320" s="1183"/>
      <c r="C320" s="1183"/>
      <c r="D320" s="1173"/>
      <c r="E320" s="1108"/>
      <c r="F320" s="1108"/>
      <c r="G320" s="1027"/>
      <c r="H320" s="1027"/>
      <c r="I320" s="1174"/>
      <c r="J320" s="1174"/>
      <c r="K320" s="1174"/>
      <c r="L320" s="1172"/>
      <c r="M320" s="1172"/>
      <c r="N320" s="1175"/>
      <c r="O320" s="143"/>
      <c r="P320" s="1196"/>
      <c r="Q320" s="141"/>
      <c r="R320" s="141"/>
      <c r="S320" s="148"/>
      <c r="T320" s="419"/>
      <c r="U320" s="559"/>
      <c r="V320" s="141"/>
      <c r="W320" s="141"/>
      <c r="X320" s="141"/>
      <c r="Y320" s="144"/>
      <c r="Z320" s="141"/>
      <c r="AA320" s="141"/>
      <c r="AB320" s="141"/>
      <c r="AC320" s="141"/>
      <c r="AD320" s="141"/>
      <c r="AE320" s="141"/>
      <c r="AF320" s="145"/>
      <c r="AG320" s="419"/>
    </row>
    <row r="321" spans="1:33" s="139" customFormat="1" ht="12.75" customHeight="1" x14ac:dyDescent="0.2">
      <c r="A321" s="1183"/>
      <c r="B321" s="1183"/>
      <c r="C321" s="1183"/>
      <c r="D321" s="1173"/>
      <c r="E321" s="1108"/>
      <c r="F321" s="1108"/>
      <c r="G321" s="1027"/>
      <c r="H321" s="1027"/>
      <c r="I321" s="1174"/>
      <c r="J321" s="1174"/>
      <c r="K321" s="1174"/>
      <c r="L321" s="1172"/>
      <c r="M321" s="1172"/>
      <c r="N321" s="1175"/>
      <c r="O321" s="143"/>
      <c r="P321" s="1196"/>
      <c r="Q321" s="141"/>
      <c r="R321" s="141"/>
      <c r="S321" s="148"/>
      <c r="T321" s="419"/>
      <c r="U321" s="559"/>
      <c r="V321" s="141"/>
      <c r="W321" s="141"/>
      <c r="X321" s="141"/>
      <c r="Y321" s="144"/>
      <c r="Z321" s="141"/>
      <c r="AA321" s="141"/>
      <c r="AB321" s="141"/>
      <c r="AC321" s="141"/>
      <c r="AD321" s="141"/>
      <c r="AE321" s="141"/>
      <c r="AF321" s="145"/>
      <c r="AG321" s="419"/>
    </row>
    <row r="322" spans="1:33" s="139" customFormat="1" ht="12.75" customHeight="1" x14ac:dyDescent="0.2">
      <c r="A322" s="1183"/>
      <c r="B322" s="1183"/>
      <c r="C322" s="1183"/>
      <c r="D322" s="1173"/>
      <c r="E322" s="1108"/>
      <c r="F322" s="1108"/>
      <c r="G322" s="1027"/>
      <c r="H322" s="1027"/>
      <c r="I322" s="1174"/>
      <c r="J322" s="1174"/>
      <c r="K322" s="1174"/>
      <c r="L322" s="1172"/>
      <c r="M322" s="1172"/>
      <c r="N322" s="1175"/>
      <c r="O322" s="143"/>
      <c r="P322" s="1196"/>
      <c r="Q322" s="141"/>
      <c r="R322" s="141"/>
      <c r="S322" s="148"/>
      <c r="T322" s="419"/>
      <c r="U322" s="559"/>
      <c r="V322" s="141"/>
      <c r="W322" s="141"/>
      <c r="X322" s="141"/>
      <c r="Y322" s="144"/>
      <c r="Z322" s="141"/>
      <c r="AA322" s="141"/>
      <c r="AB322" s="141"/>
      <c r="AC322" s="141"/>
      <c r="AD322" s="141"/>
      <c r="AE322" s="141"/>
      <c r="AF322" s="145"/>
      <c r="AG322" s="419"/>
    </row>
    <row r="323" spans="1:33" s="139" customFormat="1" ht="12.75" customHeight="1" x14ac:dyDescent="0.2">
      <c r="A323" s="1183"/>
      <c r="B323" s="1183"/>
      <c r="C323" s="1183"/>
      <c r="D323" s="1173"/>
      <c r="E323" s="1108"/>
      <c r="F323" s="1108"/>
      <c r="G323" s="1027"/>
      <c r="H323" s="1027"/>
      <c r="I323" s="1174"/>
      <c r="J323" s="1174"/>
      <c r="K323" s="1174"/>
      <c r="L323" s="1172"/>
      <c r="M323" s="1172"/>
      <c r="N323" s="1175"/>
      <c r="O323" s="143"/>
      <c r="P323" s="1196"/>
      <c r="Q323" s="141"/>
      <c r="R323" s="141"/>
      <c r="S323" s="148"/>
      <c r="T323" s="419"/>
      <c r="U323" s="559"/>
      <c r="V323" s="141"/>
      <c r="W323" s="141"/>
      <c r="X323" s="141"/>
      <c r="Y323" s="144"/>
      <c r="Z323" s="141"/>
      <c r="AA323" s="141"/>
      <c r="AB323" s="141"/>
      <c r="AC323" s="141"/>
      <c r="AD323" s="141"/>
      <c r="AE323" s="141"/>
      <c r="AF323" s="145"/>
      <c r="AG323" s="419"/>
    </row>
    <row r="324" spans="1:33" s="139" customFormat="1" ht="12.75" customHeight="1" x14ac:dyDescent="0.2">
      <c r="A324" s="1183"/>
      <c r="B324" s="1183"/>
      <c r="C324" s="1183"/>
      <c r="D324" s="1173"/>
      <c r="E324" s="1108"/>
      <c r="F324" s="1108"/>
      <c r="G324" s="1027"/>
      <c r="H324" s="1027"/>
      <c r="I324" s="1174"/>
      <c r="J324" s="1174"/>
      <c r="K324" s="1174"/>
      <c r="L324" s="1172"/>
      <c r="M324" s="1172"/>
      <c r="N324" s="1175"/>
      <c r="O324" s="143"/>
      <c r="P324" s="1196"/>
      <c r="Q324" s="141"/>
      <c r="R324" s="141"/>
      <c r="S324" s="148"/>
      <c r="T324" s="419"/>
      <c r="U324" s="559"/>
      <c r="V324" s="141"/>
      <c r="W324" s="141"/>
      <c r="X324" s="141"/>
      <c r="Y324" s="144"/>
      <c r="Z324" s="141"/>
      <c r="AA324" s="141"/>
      <c r="AB324" s="141"/>
      <c r="AC324" s="141"/>
      <c r="AD324" s="141"/>
      <c r="AE324" s="141"/>
      <c r="AF324" s="145"/>
      <c r="AG324" s="419"/>
    </row>
    <row r="325" spans="1:33" s="139" customFormat="1" ht="12.75" customHeight="1" x14ac:dyDescent="0.2">
      <c r="A325" s="1183"/>
      <c r="B325" s="1183"/>
      <c r="C325" s="1183"/>
      <c r="D325" s="1173"/>
      <c r="E325" s="1108"/>
      <c r="F325" s="1108"/>
      <c r="G325" s="1027"/>
      <c r="H325" s="1027"/>
      <c r="I325" s="1174"/>
      <c r="J325" s="1174"/>
      <c r="K325" s="1174"/>
      <c r="L325" s="1172"/>
      <c r="M325" s="1172"/>
      <c r="N325" s="1175"/>
      <c r="O325" s="143"/>
      <c r="P325" s="1196"/>
      <c r="Q325" s="141"/>
      <c r="R325" s="141"/>
      <c r="S325" s="148"/>
      <c r="T325" s="419"/>
      <c r="U325" s="559"/>
      <c r="V325" s="141"/>
      <c r="W325" s="141"/>
      <c r="X325" s="141"/>
      <c r="Y325" s="144"/>
      <c r="Z325" s="141"/>
      <c r="AA325" s="141"/>
      <c r="AB325" s="141"/>
      <c r="AC325" s="141"/>
      <c r="AD325" s="141"/>
      <c r="AE325" s="141"/>
      <c r="AF325" s="145"/>
      <c r="AG325" s="419"/>
    </row>
    <row r="326" spans="1:33" s="139" customFormat="1" ht="12.75" customHeight="1" x14ac:dyDescent="0.2">
      <c r="A326" s="1183"/>
      <c r="B326" s="1183"/>
      <c r="C326" s="1183"/>
      <c r="D326" s="1173"/>
      <c r="E326" s="1108"/>
      <c r="F326" s="1108"/>
      <c r="G326" s="1027"/>
      <c r="H326" s="1027"/>
      <c r="I326" s="1174"/>
      <c r="J326" s="1174"/>
      <c r="K326" s="1174"/>
      <c r="L326" s="1172"/>
      <c r="M326" s="1172"/>
      <c r="N326" s="1175"/>
      <c r="O326" s="143"/>
      <c r="P326" s="1196"/>
      <c r="Q326" s="141"/>
      <c r="R326" s="141"/>
      <c r="S326" s="148"/>
      <c r="T326" s="419"/>
      <c r="U326" s="559"/>
      <c r="V326" s="141"/>
      <c r="W326" s="141"/>
      <c r="X326" s="141"/>
      <c r="Y326" s="144"/>
      <c r="Z326" s="141"/>
      <c r="AA326" s="141"/>
      <c r="AB326" s="141"/>
      <c r="AC326" s="141"/>
      <c r="AD326" s="141"/>
      <c r="AE326" s="141"/>
      <c r="AF326" s="145"/>
      <c r="AG326" s="419"/>
    </row>
    <row r="327" spans="1:33" s="139" customFormat="1" ht="12.75" customHeight="1" x14ac:dyDescent="0.2">
      <c r="A327" s="1183"/>
      <c r="B327" s="1183"/>
      <c r="C327" s="1183"/>
      <c r="D327" s="1173"/>
      <c r="E327" s="1108"/>
      <c r="F327" s="1108"/>
      <c r="G327" s="1027"/>
      <c r="H327" s="1027"/>
      <c r="I327" s="1174"/>
      <c r="J327" s="1174"/>
      <c r="K327" s="1174"/>
      <c r="L327" s="1172"/>
      <c r="M327" s="1172"/>
      <c r="N327" s="1175"/>
      <c r="O327" s="143"/>
      <c r="P327" s="1196"/>
      <c r="Q327" s="141"/>
      <c r="R327" s="141"/>
      <c r="S327" s="148"/>
      <c r="T327" s="419"/>
      <c r="U327" s="559"/>
      <c r="V327" s="141"/>
      <c r="W327" s="141"/>
      <c r="X327" s="141"/>
      <c r="Y327" s="144"/>
      <c r="Z327" s="141"/>
      <c r="AA327" s="141"/>
      <c r="AB327" s="141"/>
      <c r="AC327" s="141"/>
      <c r="AD327" s="141"/>
      <c r="AE327" s="141"/>
      <c r="AF327" s="145"/>
      <c r="AG327" s="419"/>
    </row>
    <row r="328" spans="1:33" s="139" customFormat="1" ht="12.75" customHeight="1" x14ac:dyDescent="0.2">
      <c r="A328" s="1183"/>
      <c r="B328" s="1183"/>
      <c r="C328" s="1183"/>
      <c r="D328" s="1173"/>
      <c r="E328" s="1108"/>
      <c r="F328" s="1108"/>
      <c r="G328" s="1027"/>
      <c r="H328" s="1027"/>
      <c r="I328" s="1174"/>
      <c r="J328" s="1174"/>
      <c r="K328" s="1174"/>
      <c r="L328" s="1172"/>
      <c r="M328" s="1172"/>
      <c r="N328" s="1175"/>
      <c r="O328" s="143"/>
      <c r="P328" s="1196"/>
      <c r="Q328" s="141"/>
      <c r="R328" s="141"/>
      <c r="S328" s="148"/>
      <c r="T328" s="419"/>
      <c r="U328" s="559"/>
      <c r="V328" s="141"/>
      <c r="W328" s="141"/>
      <c r="X328" s="141"/>
      <c r="Y328" s="144"/>
      <c r="Z328" s="141"/>
      <c r="AA328" s="141"/>
      <c r="AB328" s="141"/>
      <c r="AC328" s="141"/>
      <c r="AD328" s="141"/>
      <c r="AE328" s="141"/>
      <c r="AF328" s="145"/>
      <c r="AG328" s="419"/>
    </row>
    <row r="329" spans="1:33" s="139" customFormat="1" ht="12.75" customHeight="1" x14ac:dyDescent="0.2">
      <c r="A329" s="1183"/>
      <c r="B329" s="1183"/>
      <c r="C329" s="1183"/>
      <c r="D329" s="1173"/>
      <c r="E329" s="1108"/>
      <c r="F329" s="1108"/>
      <c r="G329" s="1027"/>
      <c r="H329" s="1027"/>
      <c r="I329" s="1174"/>
      <c r="J329" s="1174"/>
      <c r="K329" s="1174"/>
      <c r="L329" s="1172"/>
      <c r="M329" s="1172"/>
      <c r="N329" s="1175"/>
      <c r="O329" s="143"/>
      <c r="P329" s="1196"/>
      <c r="Q329" s="141"/>
      <c r="R329" s="141"/>
      <c r="S329" s="148"/>
      <c r="T329" s="419"/>
      <c r="U329" s="559"/>
      <c r="V329" s="141"/>
      <c r="W329" s="141"/>
      <c r="X329" s="141"/>
      <c r="Y329" s="144"/>
      <c r="Z329" s="141"/>
      <c r="AA329" s="141"/>
      <c r="AB329" s="141"/>
      <c r="AC329" s="141"/>
      <c r="AD329" s="141"/>
      <c r="AE329" s="141"/>
      <c r="AF329" s="145"/>
      <c r="AG329" s="419"/>
    </row>
    <row r="330" spans="1:33" s="139" customFormat="1" ht="12.75" customHeight="1" x14ac:dyDescent="0.2">
      <c r="A330" s="1183"/>
      <c r="B330" s="1183"/>
      <c r="C330" s="1183"/>
      <c r="D330" s="1173"/>
      <c r="E330" s="1108"/>
      <c r="F330" s="1108"/>
      <c r="G330" s="1027"/>
      <c r="H330" s="1027"/>
      <c r="I330" s="1174"/>
      <c r="J330" s="1174"/>
      <c r="K330" s="1174"/>
      <c r="L330" s="1172"/>
      <c r="M330" s="1172"/>
      <c r="N330" s="1175"/>
      <c r="O330" s="143"/>
      <c r="P330" s="1196"/>
      <c r="Q330" s="141"/>
      <c r="R330" s="141"/>
      <c r="S330" s="148"/>
      <c r="T330" s="419"/>
      <c r="U330" s="559"/>
      <c r="V330" s="141"/>
      <c r="W330" s="141"/>
      <c r="X330" s="141"/>
      <c r="Y330" s="144"/>
      <c r="Z330" s="141"/>
      <c r="AA330" s="141"/>
      <c r="AB330" s="141"/>
      <c r="AC330" s="141"/>
      <c r="AD330" s="141"/>
      <c r="AE330" s="141"/>
      <c r="AF330" s="145"/>
      <c r="AG330" s="419"/>
    </row>
    <row r="331" spans="1:33" s="139" customFormat="1" ht="12.75" customHeight="1" x14ac:dyDescent="0.2">
      <c r="A331" s="1183"/>
      <c r="B331" s="1183"/>
      <c r="C331" s="1183"/>
      <c r="D331" s="1173"/>
      <c r="E331" s="1108"/>
      <c r="F331" s="1108"/>
      <c r="G331" s="1027"/>
      <c r="H331" s="1027"/>
      <c r="I331" s="1174"/>
      <c r="J331" s="1174"/>
      <c r="K331" s="1174"/>
      <c r="L331" s="1172"/>
      <c r="M331" s="1172"/>
      <c r="N331" s="1175"/>
      <c r="O331" s="143"/>
      <c r="P331" s="1196"/>
      <c r="Q331" s="141"/>
      <c r="R331" s="141"/>
      <c r="S331" s="148"/>
      <c r="T331" s="419"/>
      <c r="U331" s="559"/>
      <c r="V331" s="141"/>
      <c r="W331" s="141"/>
      <c r="X331" s="141"/>
      <c r="Y331" s="144"/>
      <c r="Z331" s="141"/>
      <c r="AA331" s="141"/>
      <c r="AB331" s="141"/>
      <c r="AC331" s="141"/>
      <c r="AD331" s="141"/>
      <c r="AE331" s="141"/>
      <c r="AF331" s="145"/>
      <c r="AG331" s="419"/>
    </row>
    <row r="332" spans="1:33" s="139" customFormat="1" ht="12.75" customHeight="1" x14ac:dyDescent="0.2">
      <c r="A332" s="1183"/>
      <c r="B332" s="1183"/>
      <c r="C332" s="1183"/>
      <c r="D332" s="1173"/>
      <c r="E332" s="1108"/>
      <c r="F332" s="1108"/>
      <c r="G332" s="1027"/>
      <c r="H332" s="1027"/>
      <c r="I332" s="1174"/>
      <c r="J332" s="1174"/>
      <c r="K332" s="1174"/>
      <c r="L332" s="1172"/>
      <c r="M332" s="1172"/>
      <c r="N332" s="1175"/>
      <c r="O332" s="143"/>
      <c r="P332" s="1196"/>
      <c r="Q332" s="141"/>
      <c r="R332" s="141"/>
      <c r="S332" s="148"/>
      <c r="T332" s="419"/>
      <c r="U332" s="559"/>
      <c r="V332" s="141"/>
      <c r="W332" s="141"/>
      <c r="X332" s="141"/>
      <c r="Y332" s="144"/>
      <c r="Z332" s="141"/>
      <c r="AA332" s="141"/>
      <c r="AB332" s="141"/>
      <c r="AC332" s="141"/>
      <c r="AD332" s="141"/>
      <c r="AE332" s="141"/>
      <c r="AF332" s="145"/>
      <c r="AG332" s="419"/>
    </row>
    <row r="333" spans="1:33" s="139" customFormat="1" ht="12.75" customHeight="1" x14ac:dyDescent="0.2">
      <c r="A333" s="1183"/>
      <c r="B333" s="1183"/>
      <c r="C333" s="1183"/>
      <c r="D333" s="1173"/>
      <c r="E333" s="1108"/>
      <c r="F333" s="1108"/>
      <c r="G333" s="1027"/>
      <c r="H333" s="1027"/>
      <c r="I333" s="1174"/>
      <c r="J333" s="1174"/>
      <c r="K333" s="1174"/>
      <c r="L333" s="1172"/>
      <c r="M333" s="1172"/>
      <c r="N333" s="1175"/>
      <c r="O333" s="143"/>
      <c r="P333" s="1196"/>
      <c r="Q333" s="141"/>
      <c r="R333" s="141"/>
      <c r="S333" s="148"/>
      <c r="T333" s="419"/>
      <c r="U333" s="559"/>
      <c r="V333" s="141"/>
      <c r="W333" s="141"/>
      <c r="X333" s="141"/>
      <c r="Y333" s="144"/>
      <c r="Z333" s="141"/>
      <c r="AA333" s="141"/>
      <c r="AB333" s="141"/>
      <c r="AC333" s="141"/>
      <c r="AD333" s="141"/>
      <c r="AE333" s="141"/>
      <c r="AF333" s="145"/>
      <c r="AG333" s="419"/>
    </row>
    <row r="334" spans="1:33" s="139" customFormat="1" ht="12.75" customHeight="1" x14ac:dyDescent="0.2">
      <c r="A334" s="1183"/>
      <c r="B334" s="1183"/>
      <c r="C334" s="1183"/>
      <c r="D334" s="1173"/>
      <c r="E334" s="1108"/>
      <c r="F334" s="1108"/>
      <c r="G334" s="1027"/>
      <c r="H334" s="1027"/>
      <c r="I334" s="1174"/>
      <c r="J334" s="1174"/>
      <c r="K334" s="1174"/>
      <c r="L334" s="1172"/>
      <c r="M334" s="1172"/>
      <c r="N334" s="1175"/>
      <c r="O334" s="143"/>
      <c r="P334" s="1196"/>
      <c r="Q334" s="141"/>
      <c r="R334" s="141"/>
      <c r="S334" s="148"/>
      <c r="T334" s="419"/>
      <c r="U334" s="559"/>
      <c r="V334" s="141"/>
      <c r="W334" s="141"/>
      <c r="X334" s="141"/>
      <c r="Y334" s="144"/>
      <c r="Z334" s="141"/>
      <c r="AA334" s="141"/>
      <c r="AB334" s="141"/>
      <c r="AC334" s="141"/>
      <c r="AD334" s="141"/>
      <c r="AE334" s="141"/>
      <c r="AF334" s="145"/>
      <c r="AG334" s="419"/>
    </row>
    <row r="335" spans="1:33" s="139" customFormat="1" ht="12.75" customHeight="1" x14ac:dyDescent="0.2">
      <c r="A335" s="1183"/>
      <c r="B335" s="1183"/>
      <c r="C335" s="1183"/>
      <c r="D335" s="1173"/>
      <c r="E335" s="1108"/>
      <c r="F335" s="1108"/>
      <c r="G335" s="1027"/>
      <c r="H335" s="1027"/>
      <c r="I335" s="1174"/>
      <c r="J335" s="1174"/>
      <c r="K335" s="1174"/>
      <c r="L335" s="1172"/>
      <c r="M335" s="1172"/>
      <c r="N335" s="1175"/>
      <c r="O335" s="143"/>
      <c r="P335" s="1196"/>
      <c r="Q335" s="141"/>
      <c r="R335" s="141"/>
      <c r="S335" s="148"/>
      <c r="T335" s="419"/>
      <c r="U335" s="559"/>
      <c r="V335" s="141"/>
      <c r="W335" s="141"/>
      <c r="X335" s="141"/>
      <c r="Y335" s="144"/>
      <c r="Z335" s="141"/>
      <c r="AA335" s="141"/>
      <c r="AB335" s="141"/>
      <c r="AC335" s="141"/>
      <c r="AD335" s="141"/>
      <c r="AE335" s="141"/>
      <c r="AF335" s="145"/>
      <c r="AG335" s="419"/>
    </row>
    <row r="336" spans="1:33" s="139" customFormat="1" ht="12.75" customHeight="1" x14ac:dyDescent="0.2">
      <c r="A336" s="1183"/>
      <c r="B336" s="1183"/>
      <c r="C336" s="1183"/>
      <c r="D336" s="1173"/>
      <c r="E336" s="1108"/>
      <c r="F336" s="1108"/>
      <c r="G336" s="1027"/>
      <c r="H336" s="1027"/>
      <c r="I336" s="1174"/>
      <c r="J336" s="1174"/>
      <c r="K336" s="1174"/>
      <c r="L336" s="1172"/>
      <c r="M336" s="1172"/>
      <c r="N336" s="1175"/>
      <c r="O336" s="143"/>
      <c r="P336" s="1196"/>
      <c r="Q336" s="141"/>
      <c r="R336" s="141"/>
      <c r="S336" s="148"/>
      <c r="T336" s="419"/>
      <c r="U336" s="559"/>
      <c r="V336" s="141"/>
      <c r="W336" s="141"/>
      <c r="X336" s="141"/>
      <c r="Y336" s="144"/>
      <c r="Z336" s="141"/>
      <c r="AA336" s="141"/>
      <c r="AB336" s="141"/>
      <c r="AC336" s="141"/>
      <c r="AD336" s="141"/>
      <c r="AE336" s="141"/>
      <c r="AF336" s="145"/>
      <c r="AG336" s="419"/>
    </row>
    <row r="337" spans="1:33" s="139" customFormat="1" ht="12.75" customHeight="1" x14ac:dyDescent="0.2">
      <c r="A337" s="1183"/>
      <c r="B337" s="1183"/>
      <c r="C337" s="1183"/>
      <c r="D337" s="1173"/>
      <c r="E337" s="1108"/>
      <c r="F337" s="1108"/>
      <c r="G337" s="1027"/>
      <c r="H337" s="1027"/>
      <c r="I337" s="1174"/>
      <c r="J337" s="1174"/>
      <c r="K337" s="1174"/>
      <c r="L337" s="1172"/>
      <c r="M337" s="1172"/>
      <c r="N337" s="1175"/>
      <c r="O337" s="143"/>
      <c r="P337" s="1196"/>
      <c r="Q337" s="141"/>
      <c r="R337" s="141"/>
      <c r="S337" s="148"/>
      <c r="T337" s="419"/>
      <c r="U337" s="559"/>
      <c r="V337" s="141"/>
      <c r="W337" s="141"/>
      <c r="X337" s="141"/>
      <c r="Y337" s="144"/>
      <c r="Z337" s="141"/>
      <c r="AA337" s="141"/>
      <c r="AB337" s="141"/>
      <c r="AC337" s="141"/>
      <c r="AD337" s="141"/>
      <c r="AE337" s="141"/>
      <c r="AF337" s="145"/>
      <c r="AG337" s="419"/>
    </row>
    <row r="338" spans="1:33" s="139" customFormat="1" ht="12.75" customHeight="1" x14ac:dyDescent="0.2">
      <c r="A338" s="1183"/>
      <c r="B338" s="1183"/>
      <c r="C338" s="1183"/>
      <c r="D338" s="1173"/>
      <c r="E338" s="1108"/>
      <c r="F338" s="1108"/>
      <c r="G338" s="1027"/>
      <c r="H338" s="1027"/>
      <c r="I338" s="1174"/>
      <c r="J338" s="1174"/>
      <c r="K338" s="1174"/>
      <c r="L338" s="1172"/>
      <c r="M338" s="1172"/>
      <c r="N338" s="1175"/>
      <c r="O338" s="143"/>
      <c r="P338" s="1196"/>
      <c r="Q338" s="141"/>
      <c r="R338" s="141"/>
      <c r="S338" s="148"/>
      <c r="T338" s="419"/>
      <c r="U338" s="559"/>
      <c r="V338" s="141"/>
      <c r="W338" s="141"/>
      <c r="X338" s="141"/>
      <c r="Y338" s="144"/>
      <c r="Z338" s="141"/>
      <c r="AA338" s="141"/>
      <c r="AB338" s="141"/>
      <c r="AC338" s="141"/>
      <c r="AD338" s="141"/>
      <c r="AE338" s="141"/>
      <c r="AF338" s="145"/>
      <c r="AG338" s="419"/>
    </row>
    <row r="339" spans="1:33" s="139" customFormat="1" ht="12.75" customHeight="1" x14ac:dyDescent="0.2">
      <c r="A339" s="1183"/>
      <c r="B339" s="1183"/>
      <c r="C339" s="1183"/>
      <c r="D339" s="1173"/>
      <c r="E339" s="1108"/>
      <c r="F339" s="1108"/>
      <c r="G339" s="1027"/>
      <c r="H339" s="1027"/>
      <c r="I339" s="1174"/>
      <c r="J339" s="1174"/>
      <c r="K339" s="1174"/>
      <c r="L339" s="1172"/>
      <c r="M339" s="1172"/>
      <c r="N339" s="1175"/>
      <c r="O339" s="143"/>
      <c r="P339" s="1196"/>
      <c r="Q339" s="141"/>
      <c r="R339" s="141"/>
      <c r="S339" s="148"/>
      <c r="T339" s="419"/>
      <c r="U339" s="559"/>
      <c r="V339" s="141"/>
      <c r="W339" s="141"/>
      <c r="X339" s="141"/>
      <c r="Y339" s="144"/>
      <c r="Z339" s="141"/>
      <c r="AA339" s="141"/>
      <c r="AB339" s="141"/>
      <c r="AC339" s="141"/>
      <c r="AD339" s="141"/>
      <c r="AE339" s="141"/>
      <c r="AF339" s="145"/>
      <c r="AG339" s="419"/>
    </row>
    <row r="340" spans="1:33" s="139" customFormat="1" ht="12.75" customHeight="1" x14ac:dyDescent="0.2">
      <c r="A340" s="1183"/>
      <c r="B340" s="1183"/>
      <c r="C340" s="1183"/>
      <c r="D340" s="1173"/>
      <c r="E340" s="1108"/>
      <c r="F340" s="1108"/>
      <c r="G340" s="1027"/>
      <c r="H340" s="1027"/>
      <c r="I340" s="1174"/>
      <c r="J340" s="1174"/>
      <c r="K340" s="1174"/>
      <c r="L340" s="1172"/>
      <c r="M340" s="1172"/>
      <c r="N340" s="1175"/>
      <c r="O340" s="143"/>
      <c r="P340" s="1196"/>
      <c r="Q340" s="141"/>
      <c r="R340" s="141"/>
      <c r="S340" s="148"/>
      <c r="T340" s="419"/>
      <c r="U340" s="559"/>
      <c r="V340" s="141"/>
      <c r="W340" s="141"/>
      <c r="X340" s="141"/>
      <c r="Y340" s="144"/>
      <c r="Z340" s="141"/>
      <c r="AA340" s="141"/>
      <c r="AB340" s="141"/>
      <c r="AC340" s="141"/>
      <c r="AD340" s="141"/>
      <c r="AE340" s="141"/>
      <c r="AF340" s="145"/>
      <c r="AG340" s="419"/>
    </row>
    <row r="341" spans="1:33" s="139" customFormat="1" ht="12.75" customHeight="1" x14ac:dyDescent="0.2">
      <c r="A341" s="1183"/>
      <c r="B341" s="1183"/>
      <c r="C341" s="1183"/>
      <c r="D341" s="1173"/>
      <c r="E341" s="1108"/>
      <c r="F341" s="1108"/>
      <c r="G341" s="1027"/>
      <c r="H341" s="1027"/>
      <c r="I341" s="1174"/>
      <c r="J341" s="1174"/>
      <c r="K341" s="1174"/>
      <c r="L341" s="1172"/>
      <c r="M341" s="1172"/>
      <c r="N341" s="1175"/>
      <c r="O341" s="143"/>
      <c r="P341" s="1196"/>
      <c r="Q341" s="141"/>
      <c r="R341" s="141"/>
      <c r="S341" s="148"/>
      <c r="T341" s="419"/>
      <c r="U341" s="559"/>
      <c r="V341" s="141"/>
      <c r="W341" s="141"/>
      <c r="X341" s="141"/>
      <c r="Y341" s="144"/>
      <c r="Z341" s="141"/>
      <c r="AA341" s="141"/>
      <c r="AB341" s="141"/>
      <c r="AC341" s="141"/>
      <c r="AD341" s="141"/>
      <c r="AE341" s="141"/>
      <c r="AF341" s="145"/>
      <c r="AG341" s="419"/>
    </row>
    <row r="342" spans="1:33" s="139" customFormat="1" ht="12.75" customHeight="1" x14ac:dyDescent="0.2">
      <c r="A342" s="1183"/>
      <c r="B342" s="1183"/>
      <c r="C342" s="1183"/>
      <c r="D342" s="1173"/>
      <c r="E342" s="1108"/>
      <c r="F342" s="1108"/>
      <c r="G342" s="1027"/>
      <c r="H342" s="1027"/>
      <c r="I342" s="1174"/>
      <c r="J342" s="1174"/>
      <c r="K342" s="1174"/>
      <c r="L342" s="1172"/>
      <c r="M342" s="1172"/>
      <c r="N342" s="1175"/>
      <c r="O342" s="143"/>
      <c r="P342" s="1196"/>
      <c r="Q342" s="141"/>
      <c r="R342" s="141"/>
      <c r="S342" s="148"/>
      <c r="T342" s="419"/>
      <c r="U342" s="559"/>
      <c r="V342" s="141"/>
      <c r="W342" s="141"/>
      <c r="X342" s="141"/>
      <c r="Y342" s="144"/>
      <c r="Z342" s="141"/>
      <c r="AA342" s="141"/>
      <c r="AB342" s="141"/>
      <c r="AC342" s="141"/>
      <c r="AD342" s="141"/>
      <c r="AE342" s="141"/>
      <c r="AF342" s="145"/>
      <c r="AG342" s="419"/>
    </row>
    <row r="343" spans="1:33" s="139" customFormat="1" ht="12.75" customHeight="1" x14ac:dyDescent="0.2">
      <c r="A343" s="1183"/>
      <c r="B343" s="1183"/>
      <c r="C343" s="1183"/>
      <c r="D343" s="1173"/>
      <c r="E343" s="1108"/>
      <c r="F343" s="1108"/>
      <c r="G343" s="1027"/>
      <c r="H343" s="1027"/>
      <c r="I343" s="1174"/>
      <c r="J343" s="1174"/>
      <c r="K343" s="1174"/>
      <c r="L343" s="1172"/>
      <c r="M343" s="1172"/>
      <c r="N343" s="1175"/>
      <c r="O343" s="143"/>
      <c r="P343" s="1196"/>
      <c r="Q343" s="141"/>
      <c r="R343" s="141"/>
      <c r="S343" s="148"/>
      <c r="T343" s="419"/>
      <c r="U343" s="559"/>
      <c r="V343" s="141"/>
      <c r="W343" s="141"/>
      <c r="X343" s="141"/>
      <c r="Y343" s="144"/>
      <c r="Z343" s="141"/>
      <c r="AA343" s="141"/>
      <c r="AB343" s="141"/>
      <c r="AC343" s="141"/>
      <c r="AD343" s="141"/>
      <c r="AE343" s="141"/>
      <c r="AF343" s="145"/>
      <c r="AG343" s="419"/>
    </row>
    <row r="344" spans="1:33" s="139" customFormat="1" ht="12.75" customHeight="1" x14ac:dyDescent="0.2">
      <c r="A344" s="1183"/>
      <c r="B344" s="1183"/>
      <c r="C344" s="1183"/>
      <c r="D344" s="1173"/>
      <c r="E344" s="1108"/>
      <c r="F344" s="1108"/>
      <c r="G344" s="1027"/>
      <c r="H344" s="1027"/>
      <c r="I344" s="1174"/>
      <c r="J344" s="1174"/>
      <c r="K344" s="1174"/>
      <c r="L344" s="1172"/>
      <c r="M344" s="1172"/>
      <c r="N344" s="1175"/>
      <c r="O344" s="143"/>
      <c r="P344" s="1196"/>
      <c r="Q344" s="141"/>
      <c r="R344" s="141"/>
      <c r="S344" s="148"/>
      <c r="T344" s="419"/>
      <c r="U344" s="559"/>
      <c r="V344" s="141"/>
      <c r="W344" s="141"/>
      <c r="X344" s="141"/>
      <c r="Y344" s="144"/>
      <c r="Z344" s="141"/>
      <c r="AA344" s="141"/>
      <c r="AB344" s="141"/>
      <c r="AC344" s="141"/>
      <c r="AD344" s="141"/>
      <c r="AE344" s="141"/>
      <c r="AF344" s="145"/>
      <c r="AG344" s="419"/>
    </row>
    <row r="345" spans="1:33" s="139" customFormat="1" ht="12.75" customHeight="1" x14ac:dyDescent="0.2">
      <c r="A345" s="1183"/>
      <c r="B345" s="1183"/>
      <c r="C345" s="1183"/>
      <c r="D345" s="1173"/>
      <c r="E345" s="1108"/>
      <c r="F345" s="1108"/>
      <c r="G345" s="1027"/>
      <c r="H345" s="1027"/>
      <c r="I345" s="1174"/>
      <c r="J345" s="1174"/>
      <c r="K345" s="1174"/>
      <c r="L345" s="1172"/>
      <c r="M345" s="1172"/>
      <c r="N345" s="1175"/>
      <c r="O345" s="143"/>
      <c r="P345" s="1196"/>
      <c r="Q345" s="141"/>
      <c r="R345" s="141"/>
      <c r="S345" s="148"/>
      <c r="T345" s="419"/>
      <c r="U345" s="559"/>
      <c r="V345" s="141"/>
      <c r="W345" s="141"/>
      <c r="X345" s="141"/>
      <c r="Y345" s="144"/>
      <c r="Z345" s="141"/>
      <c r="AA345" s="141"/>
      <c r="AB345" s="141"/>
      <c r="AC345" s="141"/>
      <c r="AD345" s="141"/>
      <c r="AE345" s="141"/>
      <c r="AF345" s="145"/>
      <c r="AG345" s="419"/>
    </row>
    <row r="346" spans="1:33" s="139" customFormat="1" ht="12.75" customHeight="1" x14ac:dyDescent="0.2">
      <c r="A346" s="1183"/>
      <c r="B346" s="1183"/>
      <c r="C346" s="1183"/>
      <c r="D346" s="1173"/>
      <c r="E346" s="1108"/>
      <c r="F346" s="1108"/>
      <c r="G346" s="1027"/>
      <c r="H346" s="1027"/>
      <c r="I346" s="1174"/>
      <c r="J346" s="1174"/>
      <c r="K346" s="1174"/>
      <c r="L346" s="1172"/>
      <c r="M346" s="1172"/>
      <c r="N346" s="1175"/>
      <c r="O346" s="143"/>
      <c r="P346" s="1196"/>
      <c r="Q346" s="141"/>
      <c r="R346" s="141"/>
      <c r="S346" s="148"/>
      <c r="T346" s="419"/>
      <c r="U346" s="559"/>
      <c r="V346" s="141"/>
      <c r="W346" s="141"/>
      <c r="X346" s="141"/>
      <c r="Y346" s="144"/>
      <c r="Z346" s="141"/>
      <c r="AA346" s="141"/>
      <c r="AB346" s="141"/>
      <c r="AC346" s="141"/>
      <c r="AD346" s="141"/>
      <c r="AE346" s="141"/>
      <c r="AF346" s="145"/>
      <c r="AG346" s="419"/>
    </row>
    <row r="347" spans="1:33" s="139" customFormat="1" ht="12.75" customHeight="1" x14ac:dyDescent="0.2">
      <c r="A347" s="1183"/>
      <c r="B347" s="1183"/>
      <c r="C347" s="1183"/>
      <c r="D347" s="1173"/>
      <c r="E347" s="1108"/>
      <c r="F347" s="1108"/>
      <c r="G347" s="1027"/>
      <c r="H347" s="1027"/>
      <c r="I347" s="1174"/>
      <c r="J347" s="1174"/>
      <c r="K347" s="1174"/>
      <c r="L347" s="1172"/>
      <c r="M347" s="1172"/>
      <c r="N347" s="1175"/>
      <c r="O347" s="143"/>
      <c r="P347" s="1196"/>
      <c r="Q347" s="141"/>
      <c r="R347" s="141"/>
      <c r="S347" s="148"/>
      <c r="T347" s="419"/>
      <c r="U347" s="559"/>
      <c r="V347" s="141"/>
      <c r="W347" s="141"/>
      <c r="X347" s="141"/>
      <c r="Y347" s="144"/>
      <c r="Z347" s="141"/>
      <c r="AA347" s="141"/>
      <c r="AB347" s="141"/>
      <c r="AC347" s="141"/>
      <c r="AD347" s="141"/>
      <c r="AE347" s="141"/>
      <c r="AF347" s="145"/>
      <c r="AG347" s="419"/>
    </row>
    <row r="348" spans="1:33" s="139" customFormat="1" ht="12.75" customHeight="1" x14ac:dyDescent="0.2">
      <c r="A348" s="1183"/>
      <c r="B348" s="1183"/>
      <c r="C348" s="1183"/>
      <c r="D348" s="1173"/>
      <c r="E348" s="1108"/>
      <c r="F348" s="1108"/>
      <c r="G348" s="1027"/>
      <c r="H348" s="1027"/>
      <c r="I348" s="1174"/>
      <c r="J348" s="1174"/>
      <c r="K348" s="1174"/>
      <c r="L348" s="1172"/>
      <c r="M348" s="1172"/>
      <c r="N348" s="1175"/>
      <c r="O348" s="143"/>
      <c r="P348" s="1196"/>
      <c r="Q348" s="141"/>
      <c r="R348" s="141"/>
      <c r="S348" s="148"/>
      <c r="T348" s="419"/>
      <c r="U348" s="559"/>
      <c r="V348" s="141"/>
      <c r="W348" s="141"/>
      <c r="X348" s="141"/>
      <c r="Y348" s="144"/>
      <c r="Z348" s="141"/>
      <c r="AA348" s="141"/>
      <c r="AB348" s="141"/>
      <c r="AC348" s="141"/>
      <c r="AD348" s="141"/>
      <c r="AE348" s="141"/>
      <c r="AF348" s="145"/>
      <c r="AG348" s="419"/>
    </row>
    <row r="349" spans="1:33" s="139" customFormat="1" ht="12.75" customHeight="1" x14ac:dyDescent="0.2">
      <c r="A349" s="1183"/>
      <c r="B349" s="1183"/>
      <c r="C349" s="1183"/>
      <c r="D349" s="1173"/>
      <c r="E349" s="1108"/>
      <c r="F349" s="1108"/>
      <c r="G349" s="1027"/>
      <c r="H349" s="1027"/>
      <c r="I349" s="1174"/>
      <c r="J349" s="1174"/>
      <c r="K349" s="1174"/>
      <c r="L349" s="1172"/>
      <c r="M349" s="1172"/>
      <c r="N349" s="1175"/>
      <c r="O349" s="143"/>
      <c r="P349" s="1196"/>
      <c r="Q349" s="141"/>
      <c r="R349" s="141"/>
      <c r="S349" s="148"/>
      <c r="T349" s="419"/>
      <c r="U349" s="559"/>
      <c r="V349" s="141"/>
      <c r="W349" s="141"/>
      <c r="X349" s="141"/>
      <c r="Y349" s="144"/>
      <c r="Z349" s="141"/>
      <c r="AA349" s="141"/>
      <c r="AB349" s="141"/>
      <c r="AC349" s="141"/>
      <c r="AD349" s="141"/>
      <c r="AE349" s="141"/>
      <c r="AF349" s="145"/>
      <c r="AG349" s="419"/>
    </row>
    <row r="350" spans="1:33" s="139" customFormat="1" ht="12.75" customHeight="1" x14ac:dyDescent="0.2">
      <c r="A350" s="1183"/>
      <c r="B350" s="1183"/>
      <c r="C350" s="1183"/>
      <c r="D350" s="1173"/>
      <c r="E350" s="1108"/>
      <c r="F350" s="1108"/>
      <c r="G350" s="1027"/>
      <c r="H350" s="1027"/>
      <c r="I350" s="1174"/>
      <c r="J350" s="1174"/>
      <c r="K350" s="1174"/>
      <c r="L350" s="1172"/>
      <c r="M350" s="1172"/>
      <c r="N350" s="1175"/>
      <c r="O350" s="143"/>
      <c r="P350" s="1196"/>
      <c r="Q350" s="141"/>
      <c r="R350" s="141"/>
      <c r="S350" s="148"/>
      <c r="T350" s="419"/>
      <c r="U350" s="559"/>
      <c r="V350" s="141"/>
      <c r="W350" s="141"/>
      <c r="X350" s="141"/>
      <c r="Y350" s="144"/>
      <c r="Z350" s="141"/>
      <c r="AA350" s="141"/>
      <c r="AB350" s="141"/>
      <c r="AC350" s="141"/>
      <c r="AD350" s="141"/>
      <c r="AE350" s="141"/>
      <c r="AF350" s="145"/>
      <c r="AG350" s="419"/>
    </row>
    <row r="351" spans="1:33" s="139" customFormat="1" ht="12.75" customHeight="1" x14ac:dyDescent="0.2">
      <c r="A351" s="1183"/>
      <c r="B351" s="1183"/>
      <c r="C351" s="1183"/>
      <c r="D351" s="1173"/>
      <c r="E351" s="1108"/>
      <c r="F351" s="1108"/>
      <c r="G351" s="1027"/>
      <c r="H351" s="1027"/>
      <c r="I351" s="1174"/>
      <c r="J351" s="1174"/>
      <c r="K351" s="1174"/>
      <c r="L351" s="1172"/>
      <c r="M351" s="1172"/>
      <c r="N351" s="1175"/>
      <c r="O351" s="143"/>
      <c r="P351" s="1196"/>
      <c r="Q351" s="141"/>
      <c r="R351" s="141"/>
      <c r="S351" s="148"/>
      <c r="T351" s="419"/>
      <c r="U351" s="559"/>
      <c r="V351" s="141"/>
      <c r="W351" s="141"/>
      <c r="X351" s="141"/>
      <c r="Y351" s="144"/>
      <c r="Z351" s="141"/>
      <c r="AA351" s="141"/>
      <c r="AB351" s="141"/>
      <c r="AC351" s="141"/>
      <c r="AD351" s="141"/>
      <c r="AE351" s="141"/>
      <c r="AF351" s="145"/>
      <c r="AG351" s="419"/>
    </row>
    <row r="352" spans="1:33" s="139" customFormat="1" ht="12.75" customHeight="1" x14ac:dyDescent="0.2">
      <c r="A352" s="1183"/>
      <c r="B352" s="1183"/>
      <c r="C352" s="1183"/>
      <c r="D352" s="1173"/>
      <c r="E352" s="1108"/>
      <c r="F352" s="1108"/>
      <c r="G352" s="1027"/>
      <c r="H352" s="1027"/>
      <c r="I352" s="1174"/>
      <c r="J352" s="1174"/>
      <c r="K352" s="1174"/>
      <c r="L352" s="1172"/>
      <c r="M352" s="1172"/>
      <c r="N352" s="1175"/>
      <c r="O352" s="143"/>
      <c r="P352" s="1196"/>
      <c r="Q352" s="141"/>
      <c r="R352" s="141"/>
      <c r="S352" s="148"/>
      <c r="T352" s="419"/>
      <c r="U352" s="559"/>
      <c r="V352" s="141"/>
      <c r="W352" s="141"/>
      <c r="X352" s="141"/>
      <c r="Y352" s="144"/>
      <c r="Z352" s="141"/>
      <c r="AA352" s="141"/>
      <c r="AB352" s="141"/>
      <c r="AC352" s="141"/>
      <c r="AD352" s="141"/>
      <c r="AE352" s="141"/>
      <c r="AF352" s="145"/>
      <c r="AG352" s="419"/>
    </row>
    <row r="353" spans="1:33" s="139" customFormat="1" ht="12.75" customHeight="1" x14ac:dyDescent="0.2">
      <c r="A353" s="1183"/>
      <c r="B353" s="1183"/>
      <c r="C353" s="1183"/>
      <c r="D353" s="1173"/>
      <c r="E353" s="1108"/>
      <c r="F353" s="1108"/>
      <c r="G353" s="1027"/>
      <c r="H353" s="1027"/>
      <c r="I353" s="1174"/>
      <c r="J353" s="1174"/>
      <c r="K353" s="1174"/>
      <c r="L353" s="1172"/>
      <c r="M353" s="1172"/>
      <c r="N353" s="1175"/>
      <c r="O353" s="143"/>
      <c r="P353" s="1196"/>
      <c r="Q353" s="141"/>
      <c r="R353" s="141"/>
      <c r="S353" s="148"/>
      <c r="T353" s="419"/>
      <c r="U353" s="559"/>
      <c r="V353" s="141"/>
      <c r="W353" s="141"/>
      <c r="X353" s="141"/>
      <c r="Y353" s="144"/>
      <c r="Z353" s="141"/>
      <c r="AA353" s="141"/>
      <c r="AB353" s="141"/>
      <c r="AC353" s="141"/>
      <c r="AD353" s="141"/>
      <c r="AE353" s="141"/>
      <c r="AF353" s="145"/>
      <c r="AG353" s="419"/>
    </row>
    <row r="354" spans="1:33" s="139" customFormat="1" ht="12.75" customHeight="1" x14ac:dyDescent="0.2">
      <c r="A354" s="1183"/>
      <c r="B354" s="1183"/>
      <c r="C354" s="1183"/>
      <c r="D354" s="1173"/>
      <c r="E354" s="1108"/>
      <c r="F354" s="1108"/>
      <c r="G354" s="1027"/>
      <c r="H354" s="1027"/>
      <c r="I354" s="1174"/>
      <c r="J354" s="1174"/>
      <c r="K354" s="1174"/>
      <c r="L354" s="1172"/>
      <c r="M354" s="1172"/>
      <c r="N354" s="1175"/>
      <c r="O354" s="143"/>
      <c r="P354" s="1196"/>
      <c r="Q354" s="141"/>
      <c r="R354" s="141"/>
      <c r="S354" s="148"/>
      <c r="T354" s="419"/>
      <c r="U354" s="559"/>
      <c r="V354" s="141"/>
      <c r="W354" s="141"/>
      <c r="X354" s="141"/>
      <c r="Y354" s="144"/>
      <c r="Z354" s="141"/>
      <c r="AA354" s="141"/>
      <c r="AB354" s="141"/>
      <c r="AC354" s="141"/>
      <c r="AD354" s="141"/>
      <c r="AE354" s="141"/>
      <c r="AF354" s="145"/>
      <c r="AG354" s="419"/>
    </row>
    <row r="355" spans="1:33" s="139" customFormat="1" ht="12.75" customHeight="1" x14ac:dyDescent="0.2">
      <c r="A355" s="1183"/>
      <c r="B355" s="1183"/>
      <c r="C355" s="1183"/>
      <c r="D355" s="1173"/>
      <c r="E355" s="1108"/>
      <c r="F355" s="1108"/>
      <c r="G355" s="1027"/>
      <c r="H355" s="1027"/>
      <c r="I355" s="1174"/>
      <c r="J355" s="1174"/>
      <c r="K355" s="1174"/>
      <c r="L355" s="1172"/>
      <c r="M355" s="1172"/>
      <c r="N355" s="1175"/>
      <c r="O355" s="143"/>
      <c r="P355" s="1196"/>
      <c r="Q355" s="141"/>
      <c r="R355" s="141"/>
      <c r="S355" s="148"/>
      <c r="T355" s="419"/>
      <c r="U355" s="559"/>
      <c r="V355" s="141"/>
      <c r="W355" s="141"/>
      <c r="X355" s="141"/>
      <c r="Y355" s="144"/>
      <c r="Z355" s="141"/>
      <c r="AA355" s="141"/>
      <c r="AB355" s="141"/>
      <c r="AC355" s="141"/>
      <c r="AD355" s="141"/>
      <c r="AE355" s="141"/>
      <c r="AF355" s="145"/>
      <c r="AG355" s="419"/>
    </row>
    <row r="356" spans="1:33" s="139" customFormat="1" ht="12.75" customHeight="1" x14ac:dyDescent="0.2">
      <c r="A356" s="1183"/>
      <c r="B356" s="1183"/>
      <c r="C356" s="1183"/>
      <c r="D356" s="1173"/>
      <c r="E356" s="1108"/>
      <c r="F356" s="1108"/>
      <c r="G356" s="1027"/>
      <c r="H356" s="1027"/>
      <c r="I356" s="1174"/>
      <c r="J356" s="1174"/>
      <c r="K356" s="1174"/>
      <c r="L356" s="1172"/>
      <c r="M356" s="1172"/>
      <c r="N356" s="1175"/>
      <c r="O356" s="143"/>
      <c r="P356" s="1196"/>
      <c r="Q356" s="141"/>
      <c r="R356" s="141"/>
      <c r="S356" s="148"/>
      <c r="T356" s="419"/>
      <c r="U356" s="559"/>
      <c r="V356" s="141"/>
      <c r="W356" s="141"/>
      <c r="X356" s="141"/>
      <c r="Y356" s="144"/>
      <c r="Z356" s="141"/>
      <c r="AA356" s="141"/>
      <c r="AB356" s="141"/>
      <c r="AC356" s="141"/>
      <c r="AD356" s="141"/>
      <c r="AE356" s="141"/>
      <c r="AF356" s="145"/>
      <c r="AG356" s="419"/>
    </row>
    <row r="357" spans="1:33" s="139" customFormat="1" ht="12.75" customHeight="1" x14ac:dyDescent="0.2">
      <c r="A357" s="1183"/>
      <c r="B357" s="1183"/>
      <c r="C357" s="1183"/>
      <c r="D357" s="1173"/>
      <c r="E357" s="1108"/>
      <c r="F357" s="1108"/>
      <c r="G357" s="1027"/>
      <c r="H357" s="1027"/>
      <c r="I357" s="1174"/>
      <c r="J357" s="1174"/>
      <c r="K357" s="1174"/>
      <c r="L357" s="1172"/>
      <c r="M357" s="1172"/>
      <c r="N357" s="1175"/>
      <c r="O357" s="143"/>
      <c r="P357" s="1196"/>
      <c r="Q357" s="141"/>
      <c r="R357" s="141"/>
      <c r="S357" s="148"/>
      <c r="T357" s="419"/>
      <c r="U357" s="559"/>
      <c r="V357" s="141"/>
      <c r="W357" s="141"/>
      <c r="X357" s="141"/>
      <c r="Y357" s="144"/>
      <c r="Z357" s="141"/>
      <c r="AA357" s="141"/>
      <c r="AB357" s="141"/>
      <c r="AC357" s="141"/>
      <c r="AD357" s="141"/>
      <c r="AE357" s="141"/>
      <c r="AF357" s="145"/>
      <c r="AG357" s="419"/>
    </row>
    <row r="358" spans="1:33" s="139" customFormat="1" ht="12.75" customHeight="1" x14ac:dyDescent="0.2">
      <c r="A358" s="1183"/>
      <c r="B358" s="1183"/>
      <c r="C358" s="1183"/>
      <c r="D358" s="1173"/>
      <c r="E358" s="1108"/>
      <c r="F358" s="1108"/>
      <c r="G358" s="1027"/>
      <c r="H358" s="1027"/>
      <c r="I358" s="1174"/>
      <c r="J358" s="1174"/>
      <c r="K358" s="1174"/>
      <c r="L358" s="1172"/>
      <c r="M358" s="1172"/>
      <c r="N358" s="1175"/>
      <c r="O358" s="143"/>
      <c r="P358" s="1196"/>
      <c r="Q358" s="141"/>
      <c r="R358" s="141"/>
      <c r="S358" s="148"/>
      <c r="T358" s="419"/>
      <c r="U358" s="559"/>
      <c r="V358" s="141"/>
      <c r="W358" s="141"/>
      <c r="X358" s="141"/>
      <c r="Y358" s="144"/>
      <c r="Z358" s="141"/>
      <c r="AA358" s="141"/>
      <c r="AB358" s="141"/>
      <c r="AC358" s="141"/>
      <c r="AD358" s="141"/>
      <c r="AE358" s="141"/>
      <c r="AF358" s="145"/>
      <c r="AG358" s="419"/>
    </row>
    <row r="359" spans="1:33" s="139" customFormat="1" ht="12.75" customHeight="1" x14ac:dyDescent="0.2">
      <c r="A359" s="1183"/>
      <c r="B359" s="1183"/>
      <c r="C359" s="1183"/>
      <c r="D359" s="1173"/>
      <c r="E359" s="1108"/>
      <c r="F359" s="1108"/>
      <c r="G359" s="1027"/>
      <c r="H359" s="1027"/>
      <c r="I359" s="1174"/>
      <c r="J359" s="1174"/>
      <c r="K359" s="1174"/>
      <c r="L359" s="1172"/>
      <c r="M359" s="1172"/>
      <c r="N359" s="1175"/>
      <c r="O359" s="143"/>
      <c r="P359" s="1196"/>
      <c r="Q359" s="141"/>
      <c r="R359" s="141"/>
      <c r="S359" s="148"/>
      <c r="T359" s="419"/>
      <c r="U359" s="559"/>
      <c r="V359" s="141"/>
      <c r="W359" s="141"/>
      <c r="X359" s="141"/>
      <c r="Y359" s="144"/>
      <c r="Z359" s="141"/>
      <c r="AA359" s="141"/>
      <c r="AB359" s="141"/>
      <c r="AC359" s="141"/>
      <c r="AD359" s="141"/>
      <c r="AE359" s="141"/>
      <c r="AF359" s="145"/>
      <c r="AG359" s="419"/>
    </row>
    <row r="360" spans="1:33" s="139" customFormat="1" ht="12.75" customHeight="1" x14ac:dyDescent="0.2">
      <c r="A360" s="1183"/>
      <c r="B360" s="1183"/>
      <c r="C360" s="1183"/>
      <c r="D360" s="1173"/>
      <c r="E360" s="1108"/>
      <c r="F360" s="1108"/>
      <c r="G360" s="1027"/>
      <c r="H360" s="1027"/>
      <c r="I360" s="1174"/>
      <c r="J360" s="1174"/>
      <c r="K360" s="1174"/>
      <c r="L360" s="1172"/>
      <c r="M360" s="1172"/>
      <c r="N360" s="1175"/>
      <c r="O360" s="143"/>
      <c r="P360" s="1196"/>
      <c r="Q360" s="141"/>
      <c r="R360" s="141"/>
      <c r="S360" s="148"/>
      <c r="T360" s="419"/>
      <c r="U360" s="559"/>
      <c r="V360" s="141"/>
      <c r="W360" s="141"/>
      <c r="X360" s="141"/>
      <c r="Y360" s="144"/>
      <c r="Z360" s="141"/>
      <c r="AA360" s="141"/>
      <c r="AB360" s="141"/>
      <c r="AC360" s="141"/>
      <c r="AD360" s="141"/>
      <c r="AE360" s="141"/>
      <c r="AF360" s="145"/>
      <c r="AG360" s="419"/>
    </row>
    <row r="361" spans="1:33" s="139" customFormat="1" ht="12.75" customHeight="1" x14ac:dyDescent="0.2">
      <c r="A361" s="1183"/>
      <c r="B361" s="1183"/>
      <c r="C361" s="1183"/>
      <c r="D361" s="1173"/>
      <c r="E361" s="1108"/>
      <c r="F361" s="1108"/>
      <c r="G361" s="1027"/>
      <c r="H361" s="1027"/>
      <c r="I361" s="1174"/>
      <c r="J361" s="1174"/>
      <c r="K361" s="1174"/>
      <c r="L361" s="1172"/>
      <c r="M361" s="1172"/>
      <c r="N361" s="1175"/>
      <c r="O361" s="143"/>
      <c r="P361" s="1196"/>
      <c r="Q361" s="141"/>
      <c r="R361" s="141"/>
      <c r="S361" s="148"/>
      <c r="T361" s="419"/>
      <c r="U361" s="559"/>
      <c r="V361" s="141"/>
      <c r="W361" s="141"/>
      <c r="X361" s="141"/>
      <c r="Y361" s="144"/>
      <c r="Z361" s="141"/>
      <c r="AA361" s="141"/>
      <c r="AB361" s="141"/>
      <c r="AC361" s="141"/>
      <c r="AD361" s="141"/>
      <c r="AE361" s="141"/>
      <c r="AF361" s="145"/>
      <c r="AG361" s="419"/>
    </row>
    <row r="362" spans="1:33" s="139" customFormat="1" ht="12.75" customHeight="1" x14ac:dyDescent="0.2">
      <c r="A362" s="1183"/>
      <c r="B362" s="1183"/>
      <c r="C362" s="1183"/>
      <c r="D362" s="1173"/>
      <c r="E362" s="1108"/>
      <c r="F362" s="1108"/>
      <c r="G362" s="1027"/>
      <c r="H362" s="1027"/>
      <c r="I362" s="1174"/>
      <c r="J362" s="1174"/>
      <c r="K362" s="1174"/>
      <c r="L362" s="1172"/>
      <c r="M362" s="1172"/>
      <c r="N362" s="1175"/>
      <c r="O362" s="143"/>
      <c r="P362" s="1196"/>
      <c r="Q362" s="141"/>
      <c r="R362" s="141"/>
      <c r="S362" s="148"/>
      <c r="T362" s="419"/>
      <c r="U362" s="559"/>
      <c r="V362" s="141"/>
      <c r="W362" s="141"/>
      <c r="X362" s="141"/>
      <c r="Y362" s="144"/>
      <c r="Z362" s="141"/>
      <c r="AA362" s="141"/>
      <c r="AB362" s="141"/>
      <c r="AC362" s="141"/>
      <c r="AD362" s="141"/>
      <c r="AE362" s="141"/>
      <c r="AF362" s="145"/>
      <c r="AG362" s="419"/>
    </row>
    <row r="363" spans="1:33" s="139" customFormat="1" ht="12.75" customHeight="1" x14ac:dyDescent="0.2">
      <c r="A363" s="1183"/>
      <c r="B363" s="1183"/>
      <c r="C363" s="1183"/>
      <c r="D363" s="1173"/>
      <c r="E363" s="1108"/>
      <c r="F363" s="1108"/>
      <c r="G363" s="1027"/>
      <c r="H363" s="1027"/>
      <c r="I363" s="1174"/>
      <c r="J363" s="1174"/>
      <c r="K363" s="1174"/>
      <c r="L363" s="1172"/>
      <c r="M363" s="1172"/>
      <c r="N363" s="1175"/>
      <c r="O363" s="143"/>
      <c r="P363" s="1196"/>
      <c r="Q363" s="141"/>
      <c r="R363" s="141"/>
      <c r="S363" s="148"/>
      <c r="T363" s="419"/>
      <c r="U363" s="559"/>
      <c r="V363" s="141"/>
      <c r="W363" s="141"/>
      <c r="X363" s="141"/>
      <c r="Y363" s="144"/>
      <c r="Z363" s="141"/>
      <c r="AA363" s="141"/>
      <c r="AB363" s="141"/>
      <c r="AC363" s="141"/>
      <c r="AD363" s="141"/>
      <c r="AE363" s="141"/>
      <c r="AF363" s="145"/>
      <c r="AG363" s="419"/>
    </row>
    <row r="364" spans="1:33" s="139" customFormat="1" ht="12.75" customHeight="1" x14ac:dyDescent="0.2">
      <c r="A364" s="1183"/>
      <c r="B364" s="1183"/>
      <c r="C364" s="1183"/>
      <c r="D364" s="1173"/>
      <c r="E364" s="1108"/>
      <c r="F364" s="1108"/>
      <c r="G364" s="1027"/>
      <c r="H364" s="1027"/>
      <c r="I364" s="1174"/>
      <c r="J364" s="1174"/>
      <c r="K364" s="1174"/>
      <c r="L364" s="1172"/>
      <c r="M364" s="1172"/>
      <c r="N364" s="1175"/>
      <c r="O364" s="143"/>
      <c r="P364" s="1196"/>
      <c r="Q364" s="141"/>
      <c r="R364" s="141"/>
      <c r="S364" s="148"/>
      <c r="T364" s="419"/>
      <c r="U364" s="559"/>
      <c r="V364" s="141"/>
      <c r="W364" s="141"/>
      <c r="X364" s="141"/>
      <c r="Y364" s="144"/>
      <c r="Z364" s="141"/>
      <c r="AA364" s="141"/>
      <c r="AB364" s="141"/>
      <c r="AC364" s="141"/>
      <c r="AD364" s="141"/>
      <c r="AE364" s="141"/>
      <c r="AF364" s="145"/>
      <c r="AG364" s="419"/>
    </row>
    <row r="365" spans="1:33" s="139" customFormat="1" ht="12.75" customHeight="1" x14ac:dyDescent="0.2">
      <c r="A365" s="1183"/>
      <c r="B365" s="1183"/>
      <c r="C365" s="1183"/>
      <c r="D365" s="1173"/>
      <c r="E365" s="1108"/>
      <c r="F365" s="1108"/>
      <c r="G365" s="1027"/>
      <c r="H365" s="1027"/>
      <c r="I365" s="1174"/>
      <c r="J365" s="1174"/>
      <c r="K365" s="1174"/>
      <c r="L365" s="1172"/>
      <c r="M365" s="1172"/>
      <c r="N365" s="1175"/>
      <c r="O365" s="143"/>
      <c r="P365" s="1196"/>
      <c r="Q365" s="141"/>
      <c r="R365" s="141"/>
      <c r="S365" s="148"/>
      <c r="T365" s="419"/>
      <c r="U365" s="559"/>
      <c r="V365" s="141"/>
      <c r="W365" s="141"/>
      <c r="X365" s="141"/>
      <c r="Y365" s="144"/>
      <c r="Z365" s="141"/>
      <c r="AA365" s="141"/>
      <c r="AB365" s="141"/>
      <c r="AC365" s="141"/>
      <c r="AD365" s="141"/>
      <c r="AE365" s="141"/>
      <c r="AF365" s="145"/>
      <c r="AG365" s="419"/>
    </row>
    <row r="366" spans="1:33" s="139" customFormat="1" ht="12.75" customHeight="1" x14ac:dyDescent="0.2">
      <c r="A366" s="1183"/>
      <c r="B366" s="1183"/>
      <c r="C366" s="1183"/>
      <c r="D366" s="1173"/>
      <c r="E366" s="1108"/>
      <c r="F366" s="1108"/>
      <c r="G366" s="1027"/>
      <c r="H366" s="1027"/>
      <c r="I366" s="1174"/>
      <c r="J366" s="1174"/>
      <c r="K366" s="1174"/>
      <c r="L366" s="1172"/>
      <c r="M366" s="1172"/>
      <c r="N366" s="1175"/>
      <c r="O366" s="143"/>
      <c r="P366" s="1196"/>
      <c r="Q366" s="141"/>
      <c r="R366" s="141"/>
      <c r="S366" s="148"/>
      <c r="T366" s="419"/>
      <c r="U366" s="559"/>
      <c r="V366" s="141"/>
      <c r="W366" s="141"/>
      <c r="X366" s="141"/>
      <c r="Y366" s="144"/>
      <c r="Z366" s="141"/>
      <c r="AA366" s="141"/>
      <c r="AB366" s="141"/>
      <c r="AC366" s="141"/>
      <c r="AD366" s="141"/>
      <c r="AE366" s="141"/>
      <c r="AF366" s="145"/>
      <c r="AG366" s="419"/>
    </row>
    <row r="367" spans="1:33" s="139" customFormat="1" ht="12.75" customHeight="1" x14ac:dyDescent="0.2">
      <c r="A367" s="1183"/>
      <c r="B367" s="1183"/>
      <c r="C367" s="1183"/>
      <c r="D367" s="1173"/>
      <c r="E367" s="1108"/>
      <c r="F367" s="1108"/>
      <c r="G367" s="1027"/>
      <c r="H367" s="1027"/>
      <c r="I367" s="1174"/>
      <c r="J367" s="1174"/>
      <c r="K367" s="1174"/>
      <c r="L367" s="1172"/>
      <c r="M367" s="1172"/>
      <c r="N367" s="1175"/>
      <c r="O367" s="143"/>
      <c r="P367" s="1196"/>
      <c r="Q367" s="141"/>
      <c r="R367" s="141"/>
      <c r="S367" s="148"/>
      <c r="T367" s="419"/>
      <c r="U367" s="559"/>
      <c r="V367" s="141"/>
      <c r="W367" s="141"/>
      <c r="X367" s="141"/>
      <c r="Y367" s="144"/>
      <c r="Z367" s="141"/>
      <c r="AA367" s="141"/>
      <c r="AB367" s="141"/>
      <c r="AC367" s="141"/>
      <c r="AD367" s="141"/>
      <c r="AE367" s="141"/>
      <c r="AF367" s="145"/>
      <c r="AG367" s="419"/>
    </row>
    <row r="368" spans="1:33" s="139" customFormat="1" ht="12.75" customHeight="1" x14ac:dyDescent="0.2">
      <c r="A368" s="1183"/>
      <c r="B368" s="1183"/>
      <c r="C368" s="1183"/>
      <c r="D368" s="1173"/>
      <c r="E368" s="1108"/>
      <c r="F368" s="1108"/>
      <c r="G368" s="1027"/>
      <c r="H368" s="1027"/>
      <c r="I368" s="1174"/>
      <c r="J368" s="1174"/>
      <c r="K368" s="1174"/>
      <c r="L368" s="1172"/>
      <c r="M368" s="1172"/>
      <c r="N368" s="1175"/>
      <c r="O368" s="143"/>
      <c r="P368" s="1196"/>
      <c r="Q368" s="141"/>
      <c r="R368" s="141"/>
      <c r="S368" s="148"/>
      <c r="T368" s="419"/>
      <c r="U368" s="559"/>
      <c r="V368" s="141"/>
      <c r="W368" s="141"/>
      <c r="X368" s="141"/>
      <c r="Y368" s="144"/>
      <c r="Z368" s="141"/>
      <c r="AA368" s="141"/>
      <c r="AB368" s="141"/>
      <c r="AC368" s="141"/>
      <c r="AD368" s="141"/>
      <c r="AE368" s="141"/>
      <c r="AF368" s="145"/>
      <c r="AG368" s="419"/>
    </row>
    <row r="369" spans="1:33" s="139" customFormat="1" ht="12.75" customHeight="1" x14ac:dyDescent="0.2">
      <c r="A369" s="1183"/>
      <c r="B369" s="1183"/>
      <c r="C369" s="1183"/>
      <c r="D369" s="1173"/>
      <c r="E369" s="1108"/>
      <c r="F369" s="1108"/>
      <c r="G369" s="1027"/>
      <c r="H369" s="1027"/>
      <c r="I369" s="1174"/>
      <c r="J369" s="1174"/>
      <c r="K369" s="1174"/>
      <c r="L369" s="1172"/>
      <c r="M369" s="1172"/>
      <c r="N369" s="1175"/>
      <c r="O369" s="143"/>
      <c r="P369" s="1196"/>
      <c r="Q369" s="141"/>
      <c r="R369" s="141"/>
      <c r="S369" s="148"/>
      <c r="T369" s="419"/>
      <c r="U369" s="559"/>
      <c r="V369" s="141"/>
      <c r="W369" s="141"/>
      <c r="X369" s="141"/>
      <c r="Y369" s="144"/>
      <c r="Z369" s="141"/>
      <c r="AA369" s="141"/>
      <c r="AB369" s="141"/>
      <c r="AC369" s="141"/>
      <c r="AD369" s="141"/>
      <c r="AE369" s="141"/>
      <c r="AF369" s="145"/>
      <c r="AG369" s="419"/>
    </row>
    <row r="370" spans="1:33" s="139" customFormat="1" ht="12.75" customHeight="1" x14ac:dyDescent="0.2">
      <c r="A370" s="1183"/>
      <c r="B370" s="1183"/>
      <c r="C370" s="1183"/>
      <c r="D370" s="1173"/>
      <c r="E370" s="1108"/>
      <c r="F370" s="1108"/>
      <c r="G370" s="1027"/>
      <c r="H370" s="1027"/>
      <c r="I370" s="1174"/>
      <c r="J370" s="1174"/>
      <c r="K370" s="1174"/>
      <c r="L370" s="1172"/>
      <c r="M370" s="1172"/>
      <c r="N370" s="1175"/>
      <c r="O370" s="143"/>
      <c r="P370" s="1196"/>
      <c r="Q370" s="141"/>
      <c r="R370" s="141"/>
      <c r="S370" s="148"/>
      <c r="T370" s="419"/>
      <c r="U370" s="559"/>
      <c r="V370" s="141"/>
      <c r="W370" s="141"/>
      <c r="X370" s="141"/>
      <c r="Y370" s="144"/>
      <c r="Z370" s="141"/>
      <c r="AA370" s="141"/>
      <c r="AB370" s="141"/>
      <c r="AC370" s="141"/>
      <c r="AD370" s="141"/>
      <c r="AE370" s="141"/>
      <c r="AF370" s="145"/>
      <c r="AG370" s="419"/>
    </row>
    <row r="371" spans="1:33" s="139" customFormat="1" ht="12.75" customHeight="1" x14ac:dyDescent="0.2">
      <c r="A371" s="1183"/>
      <c r="B371" s="1183"/>
      <c r="C371" s="1183"/>
      <c r="D371" s="1173"/>
      <c r="E371" s="1108"/>
      <c r="F371" s="1108"/>
      <c r="G371" s="1027"/>
      <c r="H371" s="1027"/>
      <c r="I371" s="1174"/>
      <c r="J371" s="1174"/>
      <c r="K371" s="1174"/>
      <c r="L371" s="1172"/>
      <c r="M371" s="1172"/>
      <c r="N371" s="1175"/>
      <c r="O371" s="143"/>
      <c r="P371" s="1196"/>
      <c r="Q371" s="141"/>
      <c r="R371" s="141"/>
      <c r="S371" s="148"/>
      <c r="T371" s="419"/>
      <c r="U371" s="559"/>
      <c r="V371" s="141"/>
      <c r="W371" s="141"/>
      <c r="X371" s="141"/>
      <c r="Y371" s="144"/>
      <c r="Z371" s="141"/>
      <c r="AA371" s="141"/>
      <c r="AB371" s="141"/>
      <c r="AC371" s="141"/>
      <c r="AD371" s="141"/>
      <c r="AE371" s="141"/>
      <c r="AF371" s="145"/>
      <c r="AG371" s="419"/>
    </row>
    <row r="372" spans="1:33" s="139" customFormat="1" ht="12.75" customHeight="1" x14ac:dyDescent="0.2">
      <c r="A372" s="1183"/>
      <c r="B372" s="1183"/>
      <c r="C372" s="1183"/>
      <c r="D372" s="1173"/>
      <c r="E372" s="1108"/>
      <c r="F372" s="1108"/>
      <c r="G372" s="1027"/>
      <c r="H372" s="1027"/>
      <c r="I372" s="1174"/>
      <c r="J372" s="1174"/>
      <c r="K372" s="1174"/>
      <c r="L372" s="1172"/>
      <c r="M372" s="1172"/>
      <c r="N372" s="1175"/>
      <c r="O372" s="143"/>
      <c r="P372" s="1196"/>
      <c r="Q372" s="141"/>
      <c r="R372" s="141"/>
      <c r="S372" s="148"/>
      <c r="T372" s="419"/>
      <c r="U372" s="559"/>
      <c r="V372" s="141"/>
      <c r="W372" s="141"/>
      <c r="X372" s="141"/>
      <c r="Y372" s="144"/>
      <c r="Z372" s="141"/>
      <c r="AA372" s="141"/>
      <c r="AB372" s="141"/>
      <c r="AC372" s="141"/>
      <c r="AD372" s="141"/>
      <c r="AE372" s="141"/>
      <c r="AF372" s="145"/>
      <c r="AG372" s="419"/>
    </row>
    <row r="373" spans="1:33" s="139" customFormat="1" ht="12.75" customHeight="1" x14ac:dyDescent="0.2">
      <c r="A373" s="1183"/>
      <c r="B373" s="1183"/>
      <c r="C373" s="1183"/>
      <c r="D373" s="1173"/>
      <c r="E373" s="1108"/>
      <c r="F373" s="1108"/>
      <c r="G373" s="1027"/>
      <c r="H373" s="1027"/>
      <c r="I373" s="1174"/>
      <c r="J373" s="1174"/>
      <c r="K373" s="1174"/>
      <c r="L373" s="1172"/>
      <c r="M373" s="1172"/>
      <c r="N373" s="1175"/>
      <c r="O373" s="143"/>
      <c r="P373" s="1196"/>
      <c r="Q373" s="141"/>
      <c r="R373" s="141"/>
      <c r="S373" s="148"/>
      <c r="T373" s="419"/>
      <c r="U373" s="559"/>
      <c r="V373" s="141"/>
      <c r="W373" s="141"/>
      <c r="X373" s="141"/>
      <c r="Y373" s="144"/>
      <c r="Z373" s="141"/>
      <c r="AA373" s="141"/>
      <c r="AB373" s="141"/>
      <c r="AC373" s="141"/>
      <c r="AD373" s="141"/>
      <c r="AE373" s="141"/>
      <c r="AF373" s="145"/>
      <c r="AG373" s="419"/>
    </row>
    <row r="374" spans="1:33" s="139" customFormat="1" ht="12.75" customHeight="1" x14ac:dyDescent="0.2">
      <c r="A374" s="1183"/>
      <c r="B374" s="1183"/>
      <c r="C374" s="1183"/>
      <c r="D374" s="1173"/>
      <c r="E374" s="1108"/>
      <c r="F374" s="1108"/>
      <c r="G374" s="1027"/>
      <c r="H374" s="1027"/>
      <c r="I374" s="1174"/>
      <c r="J374" s="1174"/>
      <c r="K374" s="1174"/>
      <c r="L374" s="1172"/>
      <c r="M374" s="1172"/>
      <c r="N374" s="1175"/>
      <c r="O374" s="143"/>
      <c r="P374" s="1196"/>
      <c r="Q374" s="141"/>
      <c r="R374" s="141"/>
      <c r="S374" s="148"/>
      <c r="T374" s="419"/>
      <c r="U374" s="559"/>
      <c r="V374" s="141"/>
      <c r="W374" s="141"/>
      <c r="X374" s="141"/>
      <c r="Y374" s="144"/>
      <c r="Z374" s="141"/>
      <c r="AA374" s="141"/>
      <c r="AB374" s="141"/>
      <c r="AC374" s="141"/>
      <c r="AD374" s="141"/>
      <c r="AE374" s="141"/>
      <c r="AF374" s="145"/>
      <c r="AG374" s="419"/>
    </row>
    <row r="375" spans="1:33" s="139" customFormat="1" ht="12.75" customHeight="1" x14ac:dyDescent="0.2">
      <c r="A375" s="1183"/>
      <c r="B375" s="1183"/>
      <c r="C375" s="1183"/>
      <c r="D375" s="1173"/>
      <c r="E375" s="1108"/>
      <c r="F375" s="1108"/>
      <c r="G375" s="1027"/>
      <c r="H375" s="1027"/>
      <c r="I375" s="1174"/>
      <c r="J375" s="1174"/>
      <c r="K375" s="1174"/>
      <c r="L375" s="1172"/>
      <c r="M375" s="1172"/>
      <c r="N375" s="1175"/>
      <c r="O375" s="143"/>
      <c r="P375" s="1196"/>
      <c r="Q375" s="141"/>
      <c r="R375" s="141"/>
      <c r="S375" s="148"/>
      <c r="T375" s="419"/>
      <c r="U375" s="559"/>
      <c r="V375" s="141"/>
      <c r="W375" s="141"/>
      <c r="X375" s="141"/>
      <c r="Y375" s="144"/>
      <c r="Z375" s="141"/>
      <c r="AA375" s="141"/>
      <c r="AB375" s="141"/>
      <c r="AC375" s="141"/>
      <c r="AD375" s="141"/>
      <c r="AE375" s="141"/>
      <c r="AF375" s="145"/>
      <c r="AG375" s="419"/>
    </row>
    <row r="376" spans="1:33" s="139" customFormat="1" ht="12.75" customHeight="1" x14ac:dyDescent="0.2">
      <c r="A376" s="1183"/>
      <c r="B376" s="1183"/>
      <c r="C376" s="1183"/>
      <c r="D376" s="1173"/>
      <c r="E376" s="1108"/>
      <c r="F376" s="1108"/>
      <c r="G376" s="1027"/>
      <c r="H376" s="1027"/>
      <c r="I376" s="1174"/>
      <c r="J376" s="1174"/>
      <c r="K376" s="1174"/>
      <c r="L376" s="1172"/>
      <c r="M376" s="1172"/>
      <c r="N376" s="1175"/>
      <c r="O376" s="143"/>
      <c r="P376" s="1196"/>
      <c r="Q376" s="141"/>
      <c r="R376" s="141"/>
      <c r="S376" s="148"/>
      <c r="T376" s="419"/>
      <c r="U376" s="559"/>
      <c r="V376" s="141"/>
      <c r="W376" s="141"/>
      <c r="X376" s="141"/>
      <c r="Y376" s="144"/>
      <c r="Z376" s="141"/>
      <c r="AA376" s="141"/>
      <c r="AB376" s="141"/>
      <c r="AC376" s="141"/>
      <c r="AD376" s="141"/>
      <c r="AE376" s="141"/>
      <c r="AF376" s="145"/>
      <c r="AG376" s="419"/>
    </row>
    <row r="377" spans="1:33" s="139" customFormat="1" ht="12.75" customHeight="1" x14ac:dyDescent="0.2">
      <c r="A377" s="1183"/>
      <c r="B377" s="1183"/>
      <c r="C377" s="1183"/>
      <c r="D377" s="1173"/>
      <c r="E377" s="1108"/>
      <c r="F377" s="1108"/>
      <c r="G377" s="1027"/>
      <c r="H377" s="1027"/>
      <c r="I377" s="1174"/>
      <c r="J377" s="1174"/>
      <c r="K377" s="1174"/>
      <c r="L377" s="1172"/>
      <c r="M377" s="1172"/>
      <c r="N377" s="1175"/>
      <c r="O377" s="143"/>
      <c r="P377" s="1196"/>
      <c r="Q377" s="141"/>
      <c r="R377" s="141"/>
      <c r="S377" s="148"/>
      <c r="T377" s="419"/>
      <c r="U377" s="559"/>
      <c r="V377" s="141"/>
      <c r="W377" s="141"/>
      <c r="X377" s="141"/>
      <c r="Y377" s="144"/>
      <c r="Z377" s="141"/>
      <c r="AA377" s="141"/>
      <c r="AB377" s="141"/>
      <c r="AC377" s="141"/>
      <c r="AD377" s="141"/>
      <c r="AE377" s="141"/>
      <c r="AF377" s="145"/>
      <c r="AG377" s="419"/>
    </row>
    <row r="378" spans="1:33" s="139" customFormat="1" ht="12.75" customHeight="1" x14ac:dyDescent="0.2">
      <c r="A378" s="1183"/>
      <c r="B378" s="1183"/>
      <c r="C378" s="1183"/>
      <c r="D378" s="1173"/>
      <c r="E378" s="1108"/>
      <c r="F378" s="1108"/>
      <c r="G378" s="1027"/>
      <c r="H378" s="1027"/>
      <c r="I378" s="1174"/>
      <c r="J378" s="1174"/>
      <c r="K378" s="1174"/>
      <c r="L378" s="1172"/>
      <c r="M378" s="1172"/>
      <c r="N378" s="1175"/>
      <c r="O378" s="143"/>
      <c r="P378" s="1196"/>
      <c r="Q378" s="141"/>
      <c r="R378" s="141"/>
      <c r="S378" s="148"/>
      <c r="T378" s="419"/>
      <c r="U378" s="559"/>
      <c r="V378" s="141"/>
      <c r="W378" s="141"/>
      <c r="X378" s="141"/>
      <c r="Y378" s="144"/>
      <c r="Z378" s="141"/>
      <c r="AA378" s="141"/>
      <c r="AB378" s="141"/>
      <c r="AC378" s="141"/>
      <c r="AD378" s="141"/>
      <c r="AE378" s="141"/>
      <c r="AF378" s="145"/>
      <c r="AG378" s="419"/>
    </row>
    <row r="379" spans="1:33" s="139" customFormat="1" ht="12.75" customHeight="1" x14ac:dyDescent="0.2">
      <c r="A379" s="1183"/>
      <c r="B379" s="1183"/>
      <c r="C379" s="1183"/>
      <c r="D379" s="1173"/>
      <c r="E379" s="1108"/>
      <c r="F379" s="1108"/>
      <c r="G379" s="1027"/>
      <c r="H379" s="1027"/>
      <c r="I379" s="1174"/>
      <c r="J379" s="1174"/>
      <c r="K379" s="1174"/>
      <c r="L379" s="1172"/>
      <c r="M379" s="1172"/>
      <c r="N379" s="1175"/>
      <c r="O379" s="143"/>
      <c r="P379" s="1196"/>
      <c r="Q379" s="141"/>
      <c r="R379" s="141"/>
      <c r="S379" s="148"/>
      <c r="T379" s="419"/>
      <c r="U379" s="559"/>
      <c r="V379" s="141"/>
      <c r="W379" s="141"/>
      <c r="X379" s="141"/>
      <c r="Y379" s="144"/>
      <c r="Z379" s="141"/>
      <c r="AA379" s="141"/>
      <c r="AB379" s="141"/>
      <c r="AC379" s="141"/>
      <c r="AD379" s="141"/>
      <c r="AE379" s="141"/>
      <c r="AF379" s="145"/>
      <c r="AG379" s="419"/>
    </row>
    <row r="380" spans="1:33" s="139" customFormat="1" ht="12.75" customHeight="1" x14ac:dyDescent="0.2">
      <c r="A380" s="1183"/>
      <c r="B380" s="1183"/>
      <c r="C380" s="1183"/>
      <c r="D380" s="1173"/>
      <c r="E380" s="1108"/>
      <c r="F380" s="1108"/>
      <c r="G380" s="1027"/>
      <c r="H380" s="1027"/>
      <c r="I380" s="1174"/>
      <c r="J380" s="1174"/>
      <c r="K380" s="1174"/>
      <c r="L380" s="1172"/>
      <c r="M380" s="1172"/>
      <c r="N380" s="1175"/>
      <c r="O380" s="143"/>
      <c r="P380" s="1196"/>
      <c r="Q380" s="141"/>
      <c r="R380" s="141"/>
      <c r="S380" s="148"/>
      <c r="T380" s="419"/>
      <c r="U380" s="559"/>
      <c r="V380" s="141"/>
      <c r="W380" s="141"/>
      <c r="X380" s="141"/>
      <c r="Y380" s="144"/>
      <c r="Z380" s="141"/>
      <c r="AA380" s="141"/>
      <c r="AB380" s="141"/>
      <c r="AC380" s="141"/>
      <c r="AD380" s="141"/>
      <c r="AE380" s="141"/>
      <c r="AF380" s="145"/>
      <c r="AG380" s="419"/>
    </row>
    <row r="381" spans="1:33" s="139" customFormat="1" ht="12.75" customHeight="1" x14ac:dyDescent="0.2">
      <c r="A381" s="1183"/>
      <c r="B381" s="1183"/>
      <c r="C381" s="1183"/>
      <c r="D381" s="1173"/>
      <c r="E381" s="1108"/>
      <c r="F381" s="1108"/>
      <c r="G381" s="1027"/>
      <c r="H381" s="1027"/>
      <c r="I381" s="1174"/>
      <c r="J381" s="1174"/>
      <c r="K381" s="1174"/>
      <c r="L381" s="1172"/>
      <c r="M381" s="1172"/>
      <c r="N381" s="1175"/>
      <c r="O381" s="143"/>
      <c r="P381" s="1196"/>
      <c r="Q381" s="141"/>
      <c r="R381" s="141"/>
      <c r="S381" s="148"/>
      <c r="T381" s="419"/>
      <c r="U381" s="559"/>
      <c r="V381" s="141"/>
      <c r="W381" s="141"/>
      <c r="X381" s="141"/>
      <c r="Y381" s="144"/>
      <c r="Z381" s="141"/>
      <c r="AA381" s="141"/>
      <c r="AB381" s="141"/>
      <c r="AC381" s="141"/>
      <c r="AD381" s="141"/>
      <c r="AE381" s="141"/>
      <c r="AF381" s="145"/>
      <c r="AG381" s="419"/>
    </row>
    <row r="382" spans="1:33" s="139" customFormat="1" ht="12.75" customHeight="1" x14ac:dyDescent="0.2">
      <c r="A382" s="1183"/>
      <c r="B382" s="1183"/>
      <c r="C382" s="1183"/>
      <c r="D382" s="1173"/>
      <c r="E382" s="1108"/>
      <c r="F382" s="1108"/>
      <c r="G382" s="1027"/>
      <c r="H382" s="1027"/>
      <c r="I382" s="1174"/>
      <c r="J382" s="1174"/>
      <c r="K382" s="1174"/>
      <c r="L382" s="1172"/>
      <c r="M382" s="1172"/>
      <c r="N382" s="1175"/>
      <c r="O382" s="143"/>
      <c r="P382" s="1196"/>
      <c r="Q382" s="141"/>
      <c r="R382" s="141"/>
      <c r="S382" s="148"/>
      <c r="T382" s="419"/>
      <c r="U382" s="559"/>
      <c r="V382" s="141"/>
      <c r="W382" s="141"/>
      <c r="X382" s="141"/>
      <c r="Y382" s="144"/>
      <c r="Z382" s="141"/>
      <c r="AA382" s="141"/>
      <c r="AB382" s="141"/>
      <c r="AC382" s="141"/>
      <c r="AD382" s="141"/>
      <c r="AE382" s="141"/>
      <c r="AF382" s="145"/>
      <c r="AG382" s="419"/>
    </row>
    <row r="383" spans="1:33" s="139" customFormat="1" ht="12.75" customHeight="1" x14ac:dyDescent="0.2">
      <c r="A383" s="1183"/>
      <c r="B383" s="1183"/>
      <c r="C383" s="1183"/>
      <c r="D383" s="1173"/>
      <c r="E383" s="1108"/>
      <c r="F383" s="1108"/>
      <c r="G383" s="1027"/>
      <c r="H383" s="1027"/>
      <c r="I383" s="1174"/>
      <c r="J383" s="1174"/>
      <c r="K383" s="1174"/>
      <c r="L383" s="1172"/>
      <c r="M383" s="1172"/>
      <c r="N383" s="1175"/>
      <c r="O383" s="143"/>
      <c r="P383" s="1196"/>
      <c r="Q383" s="141"/>
      <c r="R383" s="141"/>
      <c r="S383" s="148"/>
      <c r="T383" s="419"/>
      <c r="U383" s="559"/>
      <c r="V383" s="141"/>
      <c r="W383" s="141"/>
      <c r="X383" s="141"/>
      <c r="Y383" s="144"/>
      <c r="Z383" s="141"/>
      <c r="AA383" s="141"/>
      <c r="AB383" s="141"/>
      <c r="AC383" s="141"/>
      <c r="AD383" s="141"/>
      <c r="AE383" s="141"/>
      <c r="AF383" s="145"/>
      <c r="AG383" s="419"/>
    </row>
    <row r="384" spans="1:33" s="139" customFormat="1" ht="12.75" customHeight="1" x14ac:dyDescent="0.2">
      <c r="A384" s="1183"/>
      <c r="B384" s="1183"/>
      <c r="C384" s="1183"/>
      <c r="D384" s="1173"/>
      <c r="E384" s="1108"/>
      <c r="F384" s="1108"/>
      <c r="G384" s="1027"/>
      <c r="H384" s="1027"/>
      <c r="I384" s="1174"/>
      <c r="J384" s="1174"/>
      <c r="K384" s="1174"/>
      <c r="L384" s="1172"/>
      <c r="M384" s="1172"/>
      <c r="N384" s="1175"/>
      <c r="O384" s="143"/>
      <c r="P384" s="1196"/>
      <c r="Q384" s="141"/>
      <c r="R384" s="141"/>
      <c r="S384" s="148"/>
      <c r="T384" s="419"/>
      <c r="U384" s="559"/>
      <c r="V384" s="141"/>
      <c r="W384" s="141"/>
      <c r="X384" s="141"/>
      <c r="Y384" s="144"/>
      <c r="Z384" s="141"/>
      <c r="AA384" s="141"/>
      <c r="AB384" s="141"/>
      <c r="AC384" s="141"/>
      <c r="AD384" s="141"/>
      <c r="AE384" s="141"/>
      <c r="AF384" s="145"/>
      <c r="AG384" s="419"/>
    </row>
    <row r="385" spans="1:33" s="139" customFormat="1" ht="12.75" customHeight="1" x14ac:dyDescent="0.2">
      <c r="A385" s="141"/>
      <c r="B385" s="141"/>
      <c r="C385" s="141"/>
      <c r="D385" s="142"/>
      <c r="E385" s="1014"/>
      <c r="F385" s="1014"/>
      <c r="G385" s="1027"/>
      <c r="H385" s="1027"/>
      <c r="I385" s="1174"/>
      <c r="J385" s="1174"/>
      <c r="K385" s="1174"/>
      <c r="L385" s="1172"/>
      <c r="M385" s="1172"/>
      <c r="N385" s="1175"/>
      <c r="O385" s="143"/>
      <c r="P385" s="1196"/>
      <c r="Q385" s="141"/>
      <c r="R385" s="141"/>
      <c r="S385" s="148"/>
      <c r="T385" s="419"/>
      <c r="U385" s="559"/>
      <c r="V385" s="141"/>
      <c r="W385" s="141"/>
      <c r="X385" s="141"/>
      <c r="Y385" s="144"/>
      <c r="Z385" s="141"/>
      <c r="AA385" s="141"/>
      <c r="AB385" s="141"/>
      <c r="AC385" s="141"/>
      <c r="AD385" s="141"/>
      <c r="AE385" s="141"/>
      <c r="AF385" s="145"/>
      <c r="AG385" s="419"/>
    </row>
    <row r="386" spans="1:33" s="139" customFormat="1" ht="12.75" customHeight="1" x14ac:dyDescent="0.2">
      <c r="A386" s="141"/>
      <c r="B386" s="141"/>
      <c r="C386" s="141"/>
      <c r="D386" s="142"/>
      <c r="E386" s="1014"/>
      <c r="F386" s="1014"/>
      <c r="G386" s="1027"/>
      <c r="H386" s="1027"/>
      <c r="I386" s="1174"/>
      <c r="J386" s="1174"/>
      <c r="K386" s="1174"/>
      <c r="L386" s="1172"/>
      <c r="M386" s="1172"/>
      <c r="N386" s="1175"/>
      <c r="O386" s="143"/>
      <c r="P386" s="1196"/>
      <c r="Q386" s="141"/>
      <c r="R386" s="141"/>
      <c r="S386" s="148"/>
      <c r="T386" s="419"/>
      <c r="U386" s="559"/>
      <c r="V386" s="141"/>
      <c r="W386" s="141"/>
      <c r="X386" s="141"/>
      <c r="Y386" s="144"/>
      <c r="Z386" s="141"/>
      <c r="AA386" s="141"/>
      <c r="AB386" s="141"/>
      <c r="AC386" s="141"/>
      <c r="AD386" s="141"/>
      <c r="AE386" s="141"/>
      <c r="AF386" s="145"/>
      <c r="AG386" s="419"/>
    </row>
    <row r="387" spans="1:33" s="139" customFormat="1" ht="12.75" customHeight="1" x14ac:dyDescent="0.2">
      <c r="A387" s="141"/>
      <c r="B387" s="141"/>
      <c r="C387" s="141"/>
      <c r="D387" s="142"/>
      <c r="E387" s="1014"/>
      <c r="F387" s="1014"/>
      <c r="G387" s="1027"/>
      <c r="H387" s="1027"/>
      <c r="I387" s="1174"/>
      <c r="J387" s="1174"/>
      <c r="K387" s="1174"/>
      <c r="L387" s="1172"/>
      <c r="M387" s="1172"/>
      <c r="N387" s="1175"/>
      <c r="O387" s="143"/>
      <c r="P387" s="1196"/>
      <c r="Q387" s="141"/>
      <c r="R387" s="141"/>
      <c r="S387" s="148"/>
      <c r="T387" s="419"/>
      <c r="U387" s="559"/>
      <c r="V387" s="141"/>
      <c r="W387" s="141"/>
      <c r="X387" s="141"/>
      <c r="Y387" s="144"/>
      <c r="Z387" s="141"/>
      <c r="AA387" s="141"/>
      <c r="AB387" s="141"/>
      <c r="AC387" s="141"/>
      <c r="AD387" s="141"/>
      <c r="AE387" s="141"/>
      <c r="AF387" s="145"/>
      <c r="AG387" s="419"/>
    </row>
    <row r="388" spans="1:33" s="139" customFormat="1" ht="12.75" customHeight="1" x14ac:dyDescent="0.2">
      <c r="A388" s="141"/>
      <c r="B388" s="141"/>
      <c r="C388" s="141"/>
      <c r="D388" s="142"/>
      <c r="E388" s="1014"/>
      <c r="F388" s="1014"/>
      <c r="G388" s="1027"/>
      <c r="H388" s="1027"/>
      <c r="I388" s="1174"/>
      <c r="J388" s="1174"/>
      <c r="K388" s="1174"/>
      <c r="L388" s="1172"/>
      <c r="M388" s="1172"/>
      <c r="N388" s="1175"/>
      <c r="O388" s="143"/>
      <c r="P388" s="1196"/>
      <c r="Q388" s="141"/>
      <c r="R388" s="141"/>
      <c r="S388" s="148"/>
      <c r="T388" s="419"/>
      <c r="U388" s="559"/>
      <c r="V388" s="141"/>
      <c r="W388" s="141"/>
      <c r="X388" s="141"/>
      <c r="Y388" s="144"/>
      <c r="Z388" s="141"/>
      <c r="AA388" s="141"/>
      <c r="AB388" s="141"/>
      <c r="AC388" s="141"/>
      <c r="AD388" s="141"/>
      <c r="AE388" s="141"/>
      <c r="AF388" s="145"/>
      <c r="AG388" s="419"/>
    </row>
    <row r="389" spans="1:33" s="139" customFormat="1" ht="12.75" customHeight="1" x14ac:dyDescent="0.2">
      <c r="A389" s="141"/>
      <c r="B389" s="141"/>
      <c r="C389" s="141"/>
      <c r="D389" s="142"/>
      <c r="E389" s="1014"/>
      <c r="F389" s="1014"/>
      <c r="G389" s="1027"/>
      <c r="H389" s="1027"/>
      <c r="I389" s="1174"/>
      <c r="J389" s="1174"/>
      <c r="K389" s="1174"/>
      <c r="L389" s="1172"/>
      <c r="M389" s="1172"/>
      <c r="N389" s="1175"/>
      <c r="O389" s="143"/>
      <c r="P389" s="1196"/>
      <c r="Q389" s="141"/>
      <c r="R389" s="141"/>
      <c r="S389" s="148"/>
      <c r="T389" s="419"/>
      <c r="U389" s="559"/>
      <c r="V389" s="141"/>
      <c r="W389" s="141"/>
      <c r="X389" s="141"/>
      <c r="Y389" s="144"/>
      <c r="Z389" s="141"/>
      <c r="AA389" s="141"/>
      <c r="AB389" s="141"/>
      <c r="AC389" s="141"/>
      <c r="AD389" s="141"/>
      <c r="AE389" s="141"/>
      <c r="AF389" s="145"/>
      <c r="AG389" s="419"/>
    </row>
    <row r="390" spans="1:33" s="139" customFormat="1" ht="12.75" customHeight="1" x14ac:dyDescent="0.2">
      <c r="A390" s="141"/>
      <c r="B390" s="141"/>
      <c r="C390" s="141"/>
      <c r="D390" s="142"/>
      <c r="E390" s="1014"/>
      <c r="F390" s="1014"/>
      <c r="G390" s="1027"/>
      <c r="H390" s="1027"/>
      <c r="I390" s="1174"/>
      <c r="J390" s="1174"/>
      <c r="K390" s="1174"/>
      <c r="L390" s="1172"/>
      <c r="M390" s="1172"/>
      <c r="N390" s="1175"/>
      <c r="O390" s="143"/>
      <c r="P390" s="1196"/>
      <c r="Q390" s="141"/>
      <c r="R390" s="141"/>
      <c r="S390" s="148"/>
      <c r="T390" s="419"/>
      <c r="U390" s="559"/>
      <c r="V390" s="141"/>
      <c r="W390" s="141"/>
      <c r="X390" s="141"/>
      <c r="Y390" s="144"/>
      <c r="Z390" s="141"/>
      <c r="AA390" s="141"/>
      <c r="AB390" s="141"/>
      <c r="AC390" s="141"/>
      <c r="AD390" s="141"/>
      <c r="AE390" s="141"/>
      <c r="AF390" s="145"/>
      <c r="AG390" s="419"/>
    </row>
    <row r="391" spans="1:33" s="139" customFormat="1" ht="12.75" customHeight="1" x14ac:dyDescent="0.2">
      <c r="A391" s="141"/>
      <c r="B391" s="141"/>
      <c r="C391" s="141"/>
      <c r="D391" s="142"/>
      <c r="E391" s="1014"/>
      <c r="F391" s="1014"/>
      <c r="G391" s="1027"/>
      <c r="H391" s="1027"/>
      <c r="I391" s="1174"/>
      <c r="J391" s="1174"/>
      <c r="K391" s="1174"/>
      <c r="L391" s="1172"/>
      <c r="M391" s="1172"/>
      <c r="N391" s="1175"/>
      <c r="O391" s="143"/>
      <c r="P391" s="1196"/>
      <c r="Q391" s="141"/>
      <c r="R391" s="141"/>
      <c r="S391" s="148"/>
      <c r="T391" s="419"/>
      <c r="U391" s="559"/>
      <c r="V391" s="141"/>
      <c r="W391" s="141"/>
      <c r="X391" s="141"/>
      <c r="Y391" s="144"/>
      <c r="Z391" s="141"/>
      <c r="AA391" s="141"/>
      <c r="AB391" s="141"/>
      <c r="AC391" s="141"/>
      <c r="AD391" s="141"/>
      <c r="AE391" s="141"/>
      <c r="AF391" s="145"/>
      <c r="AG391" s="419"/>
    </row>
    <row r="392" spans="1:33" s="139" customFormat="1" ht="12.75" customHeight="1" x14ac:dyDescent="0.2">
      <c r="A392" s="141"/>
      <c r="B392" s="141"/>
      <c r="C392" s="141"/>
      <c r="D392" s="142"/>
      <c r="E392" s="1014"/>
      <c r="F392" s="1014"/>
      <c r="G392" s="1027"/>
      <c r="H392" s="1027"/>
      <c r="I392" s="1174"/>
      <c r="J392" s="1174"/>
      <c r="K392" s="1174"/>
      <c r="L392" s="1172"/>
      <c r="M392" s="1172"/>
      <c r="N392" s="1175"/>
      <c r="O392" s="143"/>
      <c r="P392" s="1196"/>
      <c r="Q392" s="141"/>
      <c r="R392" s="141"/>
      <c r="S392" s="148"/>
      <c r="T392" s="419"/>
      <c r="U392" s="559"/>
      <c r="V392" s="141"/>
      <c r="W392" s="141"/>
      <c r="X392" s="141"/>
      <c r="Y392" s="144"/>
      <c r="Z392" s="141"/>
      <c r="AA392" s="141"/>
      <c r="AB392" s="141"/>
      <c r="AC392" s="141"/>
      <c r="AD392" s="141"/>
      <c r="AE392" s="141"/>
      <c r="AF392" s="145"/>
      <c r="AG392" s="419"/>
    </row>
    <row r="393" spans="1:33" s="139" customFormat="1" ht="12.75" customHeight="1" x14ac:dyDescent="0.2">
      <c r="A393" s="141"/>
      <c r="B393" s="141"/>
      <c r="C393" s="141"/>
      <c r="D393" s="142"/>
      <c r="E393" s="1014"/>
      <c r="F393" s="1014"/>
      <c r="G393" s="1027"/>
      <c r="H393" s="1027"/>
      <c r="I393" s="1174"/>
      <c r="J393" s="1174"/>
      <c r="K393" s="1174"/>
      <c r="L393" s="1172"/>
      <c r="M393" s="1172"/>
      <c r="N393" s="1175"/>
      <c r="O393" s="143"/>
      <c r="P393" s="1196"/>
      <c r="Q393" s="141"/>
      <c r="R393" s="141"/>
      <c r="S393" s="148"/>
      <c r="T393" s="419"/>
      <c r="U393" s="559"/>
      <c r="V393" s="141"/>
      <c r="W393" s="141"/>
      <c r="X393" s="141"/>
      <c r="Y393" s="144"/>
      <c r="Z393" s="141"/>
      <c r="AA393" s="141"/>
      <c r="AB393" s="141"/>
      <c r="AC393" s="141"/>
      <c r="AD393" s="141"/>
      <c r="AE393" s="141"/>
      <c r="AF393" s="145"/>
      <c r="AG393" s="419"/>
    </row>
    <row r="394" spans="1:33" s="139" customFormat="1" ht="12.75" customHeight="1" x14ac:dyDescent="0.2">
      <c r="A394" s="141"/>
      <c r="B394" s="141"/>
      <c r="C394" s="141"/>
      <c r="D394" s="142"/>
      <c r="E394" s="1014"/>
      <c r="F394" s="1014"/>
      <c r="G394" s="1027"/>
      <c r="H394" s="1027"/>
      <c r="I394" s="1174"/>
      <c r="J394" s="1174"/>
      <c r="K394" s="1174"/>
      <c r="L394" s="1172"/>
      <c r="M394" s="1172"/>
      <c r="N394" s="1175"/>
      <c r="O394" s="143"/>
      <c r="P394" s="1196"/>
      <c r="Q394" s="141"/>
      <c r="R394" s="141"/>
      <c r="S394" s="148"/>
      <c r="T394" s="419"/>
      <c r="U394" s="559"/>
      <c r="V394" s="141"/>
      <c r="W394" s="141"/>
      <c r="X394" s="141"/>
      <c r="Y394" s="144"/>
      <c r="Z394" s="141"/>
      <c r="AA394" s="141"/>
      <c r="AB394" s="141"/>
      <c r="AC394" s="141"/>
      <c r="AD394" s="141"/>
      <c r="AE394" s="141"/>
      <c r="AF394" s="145"/>
      <c r="AG394" s="419"/>
    </row>
    <row r="395" spans="1:33" s="139" customFormat="1" ht="12.75" customHeight="1" x14ac:dyDescent="0.2">
      <c r="A395" s="141"/>
      <c r="B395" s="141"/>
      <c r="C395" s="141"/>
      <c r="D395" s="142"/>
      <c r="E395" s="1014"/>
      <c r="F395" s="1014"/>
      <c r="G395" s="1027"/>
      <c r="H395" s="1027"/>
      <c r="I395" s="1174"/>
      <c r="J395" s="1174"/>
      <c r="K395" s="1174"/>
      <c r="L395" s="1172"/>
      <c r="M395" s="1172"/>
      <c r="N395" s="1175"/>
      <c r="O395" s="143"/>
      <c r="P395" s="1196"/>
      <c r="Q395" s="141"/>
      <c r="R395" s="141"/>
      <c r="S395" s="148"/>
      <c r="T395" s="419"/>
      <c r="U395" s="559"/>
      <c r="V395" s="141"/>
      <c r="W395" s="141"/>
      <c r="X395" s="141"/>
      <c r="Y395" s="144"/>
      <c r="Z395" s="141"/>
      <c r="AA395" s="141"/>
      <c r="AB395" s="141"/>
      <c r="AC395" s="141"/>
      <c r="AD395" s="141"/>
      <c r="AE395" s="141"/>
      <c r="AF395" s="145"/>
      <c r="AG395" s="419"/>
    </row>
    <row r="396" spans="1:33" s="139" customFormat="1" ht="12.75" customHeight="1" x14ac:dyDescent="0.2">
      <c r="A396" s="141"/>
      <c r="B396" s="141"/>
      <c r="C396" s="141"/>
      <c r="D396" s="142"/>
      <c r="E396" s="1014"/>
      <c r="F396" s="1014"/>
      <c r="G396" s="1027"/>
      <c r="H396" s="1027"/>
      <c r="I396" s="1174"/>
      <c r="J396" s="1174"/>
      <c r="K396" s="1174"/>
      <c r="L396" s="1172"/>
      <c r="M396" s="1172"/>
      <c r="N396" s="1175"/>
      <c r="O396" s="143"/>
      <c r="P396" s="1196"/>
      <c r="Q396" s="141"/>
      <c r="R396" s="141"/>
      <c r="S396" s="148"/>
      <c r="T396" s="419"/>
      <c r="U396" s="559"/>
      <c r="V396" s="141"/>
      <c r="W396" s="141"/>
      <c r="X396" s="141"/>
      <c r="Y396" s="144"/>
      <c r="Z396" s="141"/>
      <c r="AA396" s="141"/>
      <c r="AB396" s="141"/>
      <c r="AC396" s="141"/>
      <c r="AD396" s="141"/>
      <c r="AE396" s="141"/>
      <c r="AF396" s="145"/>
      <c r="AG396" s="419"/>
    </row>
    <row r="397" spans="1:33" s="139" customFormat="1" ht="12.75" customHeight="1" x14ac:dyDescent="0.2">
      <c r="A397" s="141"/>
      <c r="B397" s="141"/>
      <c r="C397" s="141"/>
      <c r="D397" s="142"/>
      <c r="E397" s="1014"/>
      <c r="F397" s="1014"/>
      <c r="G397" s="1027"/>
      <c r="H397" s="1027"/>
      <c r="I397" s="1174"/>
      <c r="J397" s="1174"/>
      <c r="K397" s="1174"/>
      <c r="L397" s="1172"/>
      <c r="M397" s="1172"/>
      <c r="N397" s="1175"/>
      <c r="O397" s="143"/>
      <c r="P397" s="1196"/>
      <c r="Q397" s="141"/>
      <c r="R397" s="141"/>
      <c r="S397" s="148"/>
      <c r="T397" s="419"/>
      <c r="U397" s="559"/>
      <c r="V397" s="141"/>
      <c r="W397" s="141"/>
      <c r="X397" s="141"/>
      <c r="Y397" s="144"/>
      <c r="Z397" s="141"/>
      <c r="AA397" s="141"/>
      <c r="AB397" s="141"/>
      <c r="AC397" s="141"/>
      <c r="AD397" s="141"/>
      <c r="AE397" s="141"/>
      <c r="AF397" s="145"/>
      <c r="AG397" s="419"/>
    </row>
    <row r="398" spans="1:33" s="139" customFormat="1" ht="12.75" customHeight="1" x14ac:dyDescent="0.2">
      <c r="A398" s="141"/>
      <c r="B398" s="141"/>
      <c r="C398" s="141"/>
      <c r="D398" s="142"/>
      <c r="E398" s="1014"/>
      <c r="F398" s="1014"/>
      <c r="G398" s="1027"/>
      <c r="H398" s="1027"/>
      <c r="I398" s="1174"/>
      <c r="J398" s="1174"/>
      <c r="K398" s="1174"/>
      <c r="L398" s="1172"/>
      <c r="M398" s="1172"/>
      <c r="N398" s="1175"/>
      <c r="O398" s="143"/>
      <c r="P398" s="1196"/>
      <c r="Q398" s="141"/>
      <c r="R398" s="141"/>
      <c r="S398" s="148"/>
      <c r="T398" s="419"/>
      <c r="U398" s="559"/>
      <c r="V398" s="141"/>
      <c r="W398" s="141"/>
      <c r="X398" s="141"/>
      <c r="Y398" s="144"/>
      <c r="Z398" s="141"/>
      <c r="AA398" s="141"/>
      <c r="AB398" s="141"/>
      <c r="AC398" s="141"/>
      <c r="AD398" s="141"/>
      <c r="AE398" s="141"/>
      <c r="AF398" s="145"/>
      <c r="AG398" s="419"/>
    </row>
    <row r="399" spans="1:33" s="139" customFormat="1" ht="12.75" customHeight="1" x14ac:dyDescent="0.2">
      <c r="A399" s="141"/>
      <c r="B399" s="141"/>
      <c r="C399" s="141"/>
      <c r="D399" s="142"/>
      <c r="E399" s="1014"/>
      <c r="F399" s="1014"/>
      <c r="G399" s="1027"/>
      <c r="H399" s="1027"/>
      <c r="I399" s="1174"/>
      <c r="J399" s="1174"/>
      <c r="K399" s="1174"/>
      <c r="L399" s="1172"/>
      <c r="M399" s="1172"/>
      <c r="N399" s="1175"/>
      <c r="O399" s="143"/>
      <c r="P399" s="1196"/>
      <c r="Q399" s="141"/>
      <c r="R399" s="141"/>
      <c r="S399" s="148"/>
      <c r="T399" s="419"/>
      <c r="U399" s="559"/>
      <c r="V399" s="141"/>
      <c r="W399" s="141"/>
      <c r="X399" s="141"/>
      <c r="Y399" s="144"/>
      <c r="Z399" s="141"/>
      <c r="AA399" s="141"/>
      <c r="AB399" s="141"/>
      <c r="AC399" s="141"/>
      <c r="AD399" s="141"/>
      <c r="AE399" s="141"/>
      <c r="AF399" s="145"/>
      <c r="AG399" s="419"/>
    </row>
    <row r="400" spans="1:33" s="139" customFormat="1" ht="12.75" customHeight="1" x14ac:dyDescent="0.2">
      <c r="A400" s="141"/>
      <c r="B400" s="141"/>
      <c r="C400" s="141"/>
      <c r="D400" s="142"/>
      <c r="E400" s="1014"/>
      <c r="F400" s="1014"/>
      <c r="G400" s="1027"/>
      <c r="H400" s="1027"/>
      <c r="I400" s="1174"/>
      <c r="J400" s="1174"/>
      <c r="K400" s="1174"/>
      <c r="L400" s="1172"/>
      <c r="M400" s="1172"/>
      <c r="N400" s="1175"/>
      <c r="O400" s="143"/>
      <c r="P400" s="1196"/>
      <c r="Q400" s="141"/>
      <c r="R400" s="141"/>
      <c r="S400" s="148"/>
      <c r="T400" s="419"/>
      <c r="U400" s="559"/>
      <c r="V400" s="141"/>
      <c r="W400" s="141"/>
      <c r="X400" s="141"/>
      <c r="Y400" s="144"/>
      <c r="Z400" s="141"/>
      <c r="AA400" s="141"/>
      <c r="AB400" s="141"/>
      <c r="AC400" s="141"/>
      <c r="AD400" s="141"/>
      <c r="AE400" s="141"/>
      <c r="AF400" s="145"/>
      <c r="AG400" s="419"/>
    </row>
    <row r="401" spans="1:33" s="139" customFormat="1" ht="12.75" customHeight="1" x14ac:dyDescent="0.2">
      <c r="A401" s="141"/>
      <c r="B401" s="141"/>
      <c r="C401" s="141"/>
      <c r="D401" s="142"/>
      <c r="E401" s="1014"/>
      <c r="F401" s="1014"/>
      <c r="G401" s="1027"/>
      <c r="H401" s="1027"/>
      <c r="I401" s="1174"/>
      <c r="J401" s="1174"/>
      <c r="K401" s="1174"/>
      <c r="L401" s="1172"/>
      <c r="M401" s="1172"/>
      <c r="N401" s="1175"/>
      <c r="O401" s="143"/>
      <c r="P401" s="1196"/>
      <c r="Q401" s="141"/>
      <c r="R401" s="141"/>
      <c r="S401" s="148"/>
      <c r="T401" s="419"/>
      <c r="U401" s="559"/>
      <c r="V401" s="141"/>
      <c r="W401" s="141"/>
      <c r="X401" s="141"/>
      <c r="Y401" s="144"/>
      <c r="Z401" s="141"/>
      <c r="AA401" s="141"/>
      <c r="AB401" s="141"/>
      <c r="AC401" s="141"/>
      <c r="AD401" s="141"/>
      <c r="AE401" s="141"/>
      <c r="AF401" s="145"/>
      <c r="AG401" s="419"/>
    </row>
    <row r="402" spans="1:33" s="139" customFormat="1" ht="12.75" customHeight="1" x14ac:dyDescent="0.2">
      <c r="A402" s="141"/>
      <c r="B402" s="141"/>
      <c r="C402" s="141"/>
      <c r="D402" s="142"/>
      <c r="E402" s="1014"/>
      <c r="F402" s="1014"/>
      <c r="G402" s="1027"/>
      <c r="H402" s="1027"/>
      <c r="I402" s="1174"/>
      <c r="J402" s="1174"/>
      <c r="K402" s="1174"/>
      <c r="L402" s="1172"/>
      <c r="M402" s="1172"/>
      <c r="N402" s="1175"/>
      <c r="O402" s="143"/>
      <c r="P402" s="1196"/>
      <c r="Q402" s="141"/>
      <c r="R402" s="141"/>
      <c r="S402" s="148"/>
      <c r="T402" s="419"/>
      <c r="U402" s="559"/>
      <c r="V402" s="141"/>
      <c r="W402" s="141"/>
      <c r="X402" s="141"/>
      <c r="Y402" s="144"/>
      <c r="Z402" s="141"/>
      <c r="AA402" s="141"/>
      <c r="AB402" s="141"/>
      <c r="AC402" s="141"/>
      <c r="AD402" s="141"/>
      <c r="AE402" s="141"/>
      <c r="AF402" s="145"/>
      <c r="AG402" s="419"/>
    </row>
    <row r="403" spans="1:33" s="139" customFormat="1" ht="12.75" customHeight="1" x14ac:dyDescent="0.2">
      <c r="A403" s="141"/>
      <c r="B403" s="141"/>
      <c r="C403" s="141"/>
      <c r="D403" s="142"/>
      <c r="E403" s="1014"/>
      <c r="F403" s="1014"/>
      <c r="G403" s="1027"/>
      <c r="H403" s="1027"/>
      <c r="I403" s="1174"/>
      <c r="J403" s="1174"/>
      <c r="K403" s="1174"/>
      <c r="L403" s="1172"/>
      <c r="M403" s="1172"/>
      <c r="N403" s="1175"/>
      <c r="O403" s="143"/>
      <c r="P403" s="1196"/>
      <c r="Q403" s="141"/>
      <c r="R403" s="141"/>
      <c r="S403" s="148"/>
      <c r="T403" s="419"/>
      <c r="U403" s="559"/>
      <c r="V403" s="141"/>
      <c r="W403" s="141"/>
      <c r="X403" s="141"/>
      <c r="Y403" s="144"/>
      <c r="Z403" s="141"/>
      <c r="AA403" s="141"/>
      <c r="AB403" s="141"/>
      <c r="AC403" s="141"/>
      <c r="AD403" s="141"/>
      <c r="AE403" s="141"/>
      <c r="AF403" s="145"/>
      <c r="AG403" s="419"/>
    </row>
    <row r="404" spans="1:33" s="139" customFormat="1" ht="12.75" customHeight="1" x14ac:dyDescent="0.2">
      <c r="A404" s="141"/>
      <c r="B404" s="141"/>
      <c r="C404" s="141"/>
      <c r="D404" s="142"/>
      <c r="E404" s="1014"/>
      <c r="F404" s="1014"/>
      <c r="G404" s="1027"/>
      <c r="H404" s="1027"/>
      <c r="I404" s="1174"/>
      <c r="J404" s="1174"/>
      <c r="K404" s="1174"/>
      <c r="L404" s="1172"/>
      <c r="M404" s="1172"/>
      <c r="N404" s="1175"/>
      <c r="O404" s="143"/>
      <c r="P404" s="1196"/>
      <c r="Q404" s="141"/>
      <c r="R404" s="141"/>
      <c r="S404" s="148"/>
      <c r="T404" s="419"/>
      <c r="U404" s="559"/>
      <c r="V404" s="141"/>
      <c r="W404" s="141"/>
      <c r="X404" s="141"/>
      <c r="Y404" s="144"/>
      <c r="Z404" s="141"/>
      <c r="AA404" s="141"/>
      <c r="AB404" s="141"/>
      <c r="AC404" s="141"/>
      <c r="AD404" s="141"/>
      <c r="AE404" s="141"/>
      <c r="AF404" s="145"/>
      <c r="AG404" s="419"/>
    </row>
    <row r="405" spans="1:33" s="139" customFormat="1" ht="12.75" customHeight="1" x14ac:dyDescent="0.2">
      <c r="A405" s="141"/>
      <c r="B405" s="141"/>
      <c r="C405" s="141"/>
      <c r="D405" s="142"/>
      <c r="E405" s="1014"/>
      <c r="F405" s="1014"/>
      <c r="G405" s="1027"/>
      <c r="H405" s="1027"/>
      <c r="I405" s="1174"/>
      <c r="J405" s="1174"/>
      <c r="K405" s="1174"/>
      <c r="L405" s="1172"/>
      <c r="M405" s="1172"/>
      <c r="N405" s="1175"/>
      <c r="O405" s="143"/>
      <c r="P405" s="1196"/>
      <c r="Q405" s="141"/>
      <c r="R405" s="141"/>
      <c r="S405" s="148"/>
      <c r="T405" s="419"/>
      <c r="U405" s="559"/>
      <c r="V405" s="141"/>
      <c r="W405" s="141"/>
      <c r="X405" s="141"/>
      <c r="Y405" s="144"/>
      <c r="Z405" s="141"/>
      <c r="AA405" s="141"/>
      <c r="AB405" s="141"/>
      <c r="AC405" s="141"/>
      <c r="AD405" s="141"/>
      <c r="AE405" s="141"/>
      <c r="AF405" s="145"/>
      <c r="AG405" s="419"/>
    </row>
    <row r="406" spans="1:33" s="139" customFormat="1" ht="12.75" customHeight="1" x14ac:dyDescent="0.2">
      <c r="A406" s="141"/>
      <c r="B406" s="141"/>
      <c r="C406" s="141"/>
      <c r="D406" s="142"/>
      <c r="E406" s="1014"/>
      <c r="F406" s="1014"/>
      <c r="G406" s="1027"/>
      <c r="H406" s="1027"/>
      <c r="I406" s="1174"/>
      <c r="J406" s="1174"/>
      <c r="K406" s="1174"/>
      <c r="L406" s="1172"/>
      <c r="M406" s="1172"/>
      <c r="N406" s="1175"/>
      <c r="O406" s="143"/>
      <c r="P406" s="1196"/>
      <c r="Q406" s="141"/>
      <c r="R406" s="141"/>
      <c r="S406" s="148"/>
      <c r="T406" s="419"/>
      <c r="U406" s="559"/>
      <c r="V406" s="141"/>
      <c r="W406" s="141"/>
      <c r="X406" s="141"/>
      <c r="Y406" s="144"/>
      <c r="Z406" s="141"/>
      <c r="AA406" s="141"/>
      <c r="AB406" s="141"/>
      <c r="AC406" s="141"/>
      <c r="AD406" s="141"/>
      <c r="AE406" s="141"/>
      <c r="AF406" s="145"/>
      <c r="AG406" s="419"/>
    </row>
    <row r="407" spans="1:33" s="139" customFormat="1" ht="12.75" customHeight="1" x14ac:dyDescent="0.2">
      <c r="A407" s="141"/>
      <c r="B407" s="141"/>
      <c r="C407" s="141"/>
      <c r="D407" s="142"/>
      <c r="E407" s="1014"/>
      <c r="F407" s="1014"/>
      <c r="G407" s="1027"/>
      <c r="H407" s="1027"/>
      <c r="I407" s="1174"/>
      <c r="J407" s="1174"/>
      <c r="K407" s="1174"/>
      <c r="L407" s="1172"/>
      <c r="M407" s="1172"/>
      <c r="N407" s="1175"/>
      <c r="O407" s="143"/>
      <c r="P407" s="1196"/>
      <c r="Q407" s="141"/>
      <c r="R407" s="141"/>
      <c r="S407" s="148"/>
      <c r="T407" s="419"/>
      <c r="U407" s="559"/>
      <c r="V407" s="141"/>
      <c r="W407" s="141"/>
      <c r="X407" s="141"/>
      <c r="Y407" s="144"/>
      <c r="Z407" s="141"/>
      <c r="AA407" s="141"/>
      <c r="AB407" s="141"/>
      <c r="AC407" s="141"/>
      <c r="AD407" s="141"/>
      <c r="AE407" s="141"/>
      <c r="AF407" s="145"/>
      <c r="AG407" s="419"/>
    </row>
    <row r="408" spans="1:33" s="139" customFormat="1" ht="12.75" customHeight="1" x14ac:dyDescent="0.2">
      <c r="A408" s="141"/>
      <c r="B408" s="141"/>
      <c r="C408" s="141"/>
      <c r="D408" s="142"/>
      <c r="E408" s="1014"/>
      <c r="F408" s="1014"/>
      <c r="G408" s="1027"/>
      <c r="H408" s="1027"/>
      <c r="I408" s="1174"/>
      <c r="J408" s="1174"/>
      <c r="K408" s="1174"/>
      <c r="L408" s="1172"/>
      <c r="M408" s="1172"/>
      <c r="N408" s="1175"/>
      <c r="O408" s="143"/>
      <c r="P408" s="1196"/>
      <c r="Q408" s="141"/>
      <c r="R408" s="141"/>
      <c r="S408" s="148"/>
      <c r="T408" s="419"/>
      <c r="U408" s="559"/>
      <c r="V408" s="141"/>
      <c r="W408" s="141"/>
      <c r="X408" s="141"/>
      <c r="Y408" s="144"/>
      <c r="Z408" s="141"/>
      <c r="AA408" s="141"/>
      <c r="AB408" s="141"/>
      <c r="AC408" s="141"/>
      <c r="AD408" s="141"/>
      <c r="AE408" s="141"/>
      <c r="AF408" s="145"/>
      <c r="AG408" s="419"/>
    </row>
    <row r="409" spans="1:33" s="139" customFormat="1" ht="12.75" customHeight="1" x14ac:dyDescent="0.2">
      <c r="A409" s="141"/>
      <c r="B409" s="141"/>
      <c r="C409" s="141"/>
      <c r="D409" s="142"/>
      <c r="E409" s="1014"/>
      <c r="F409" s="1014"/>
      <c r="G409" s="1027"/>
      <c r="H409" s="1027"/>
      <c r="I409" s="1174"/>
      <c r="J409" s="1174"/>
      <c r="K409" s="1174"/>
      <c r="L409" s="1172"/>
      <c r="M409" s="1172"/>
      <c r="N409" s="1175"/>
      <c r="O409" s="143"/>
      <c r="P409" s="1196"/>
      <c r="Q409" s="141"/>
      <c r="R409" s="141"/>
      <c r="S409" s="148"/>
      <c r="T409" s="419"/>
      <c r="U409" s="559"/>
      <c r="V409" s="141"/>
      <c r="W409" s="141"/>
      <c r="X409" s="141"/>
      <c r="Y409" s="144"/>
      <c r="Z409" s="141"/>
      <c r="AA409" s="141"/>
      <c r="AB409" s="141"/>
      <c r="AC409" s="141"/>
      <c r="AD409" s="141"/>
      <c r="AE409" s="141"/>
      <c r="AF409" s="145"/>
      <c r="AG409" s="419"/>
    </row>
    <row r="410" spans="1:33" s="139" customFormat="1" ht="12.75" customHeight="1" x14ac:dyDescent="0.2">
      <c r="A410" s="141"/>
      <c r="B410" s="141"/>
      <c r="C410" s="141"/>
      <c r="D410" s="142"/>
      <c r="E410" s="1014"/>
      <c r="F410" s="1014"/>
      <c r="G410" s="1027"/>
      <c r="H410" s="1027"/>
      <c r="I410" s="1174"/>
      <c r="J410" s="1174"/>
      <c r="K410" s="1174"/>
      <c r="L410" s="1172"/>
      <c r="M410" s="1172"/>
      <c r="N410" s="1175"/>
      <c r="O410" s="143"/>
      <c r="P410" s="1196"/>
      <c r="Q410" s="141"/>
      <c r="R410" s="141"/>
      <c r="S410" s="148"/>
      <c r="T410" s="419"/>
      <c r="U410" s="559"/>
      <c r="V410" s="141"/>
      <c r="W410" s="141"/>
      <c r="X410" s="141"/>
      <c r="Y410" s="144"/>
      <c r="Z410" s="141"/>
      <c r="AA410" s="141"/>
      <c r="AB410" s="141"/>
      <c r="AC410" s="141"/>
      <c r="AD410" s="141"/>
      <c r="AE410" s="141"/>
      <c r="AF410" s="145"/>
      <c r="AG410" s="419"/>
    </row>
    <row r="411" spans="1:33" s="139" customFormat="1" ht="12.75" customHeight="1" x14ac:dyDescent="0.2">
      <c r="A411" s="141"/>
      <c r="B411" s="141"/>
      <c r="C411" s="141"/>
      <c r="D411" s="142"/>
      <c r="E411" s="1014"/>
      <c r="F411" s="1014"/>
      <c r="G411" s="1027"/>
      <c r="H411" s="1027"/>
      <c r="I411" s="1174"/>
      <c r="J411" s="1174"/>
      <c r="K411" s="1174"/>
      <c r="L411" s="1172"/>
      <c r="M411" s="1172"/>
      <c r="N411" s="1175"/>
      <c r="O411" s="143"/>
      <c r="P411" s="1196"/>
      <c r="Q411" s="141"/>
      <c r="R411" s="141"/>
      <c r="S411" s="148"/>
      <c r="T411" s="419"/>
      <c r="U411" s="559"/>
      <c r="V411" s="141"/>
      <c r="W411" s="141"/>
      <c r="X411" s="141"/>
      <c r="Y411" s="144"/>
      <c r="Z411" s="141"/>
      <c r="AA411" s="141"/>
      <c r="AB411" s="141"/>
      <c r="AC411" s="141"/>
      <c r="AD411" s="141"/>
      <c r="AE411" s="141"/>
      <c r="AF411" s="145"/>
      <c r="AG411" s="419"/>
    </row>
    <row r="412" spans="1:33" s="139" customFormat="1" ht="12.75" customHeight="1" x14ac:dyDescent="0.2">
      <c r="A412" s="141"/>
      <c r="B412" s="141"/>
      <c r="C412" s="141"/>
      <c r="D412" s="142"/>
      <c r="E412" s="1014"/>
      <c r="F412" s="1014"/>
      <c r="G412" s="1027"/>
      <c r="H412" s="1027"/>
      <c r="I412" s="1174"/>
      <c r="J412" s="1174"/>
      <c r="K412" s="1174"/>
      <c r="L412" s="1172"/>
      <c r="M412" s="1172"/>
      <c r="N412" s="1175"/>
      <c r="O412" s="143"/>
      <c r="P412" s="1196"/>
      <c r="Q412" s="141"/>
      <c r="R412" s="141"/>
      <c r="S412" s="148"/>
      <c r="T412" s="419"/>
      <c r="U412" s="559"/>
      <c r="V412" s="141"/>
      <c r="W412" s="141"/>
      <c r="X412" s="141"/>
      <c r="Y412" s="144"/>
      <c r="Z412" s="141"/>
      <c r="AA412" s="141"/>
      <c r="AB412" s="141"/>
      <c r="AC412" s="141"/>
      <c r="AD412" s="141"/>
      <c r="AE412" s="141"/>
      <c r="AF412" s="145"/>
      <c r="AG412" s="419"/>
    </row>
    <row r="413" spans="1:33" s="139" customFormat="1" ht="12.75" customHeight="1" x14ac:dyDescent="0.2">
      <c r="A413" s="141"/>
      <c r="B413" s="141"/>
      <c r="C413" s="141"/>
      <c r="D413" s="142"/>
      <c r="E413" s="1014"/>
      <c r="F413" s="1014"/>
      <c r="G413" s="1027"/>
      <c r="H413" s="1027"/>
      <c r="I413" s="1174"/>
      <c r="J413" s="1174"/>
      <c r="K413" s="1174"/>
      <c r="L413" s="1172"/>
      <c r="M413" s="1172"/>
      <c r="N413" s="1175"/>
      <c r="O413" s="143"/>
      <c r="P413" s="1196"/>
      <c r="Q413" s="141"/>
      <c r="R413" s="141"/>
      <c r="S413" s="148"/>
      <c r="T413" s="419"/>
      <c r="U413" s="559"/>
      <c r="V413" s="141"/>
      <c r="W413" s="141"/>
      <c r="X413" s="141"/>
      <c r="Y413" s="144"/>
      <c r="Z413" s="141"/>
      <c r="AA413" s="141"/>
      <c r="AB413" s="141"/>
      <c r="AC413" s="141"/>
      <c r="AD413" s="141"/>
      <c r="AE413" s="141"/>
      <c r="AF413" s="145"/>
      <c r="AG413" s="419"/>
    </row>
    <row r="414" spans="1:33" s="139" customFormat="1" ht="12.75" customHeight="1" x14ac:dyDescent="0.2">
      <c r="A414" s="141"/>
      <c r="B414" s="141"/>
      <c r="C414" s="141"/>
      <c r="D414" s="142"/>
      <c r="E414" s="1014"/>
      <c r="F414" s="1014"/>
      <c r="G414" s="1027"/>
      <c r="H414" s="1027"/>
      <c r="I414" s="1174"/>
      <c r="J414" s="1174"/>
      <c r="K414" s="1174"/>
      <c r="L414" s="1172"/>
      <c r="M414" s="1172"/>
      <c r="N414" s="1175"/>
      <c r="O414" s="143"/>
      <c r="P414" s="1196"/>
      <c r="Q414" s="141"/>
      <c r="R414" s="141"/>
      <c r="S414" s="148"/>
      <c r="T414" s="419"/>
      <c r="U414" s="559"/>
      <c r="V414" s="141"/>
      <c r="W414" s="141"/>
      <c r="X414" s="141"/>
      <c r="Y414" s="144"/>
      <c r="Z414" s="141"/>
      <c r="AA414" s="141"/>
      <c r="AB414" s="141"/>
      <c r="AC414" s="141"/>
      <c r="AD414" s="141"/>
      <c r="AE414" s="141"/>
      <c r="AF414" s="145"/>
      <c r="AG414" s="419"/>
    </row>
    <row r="415" spans="1:33" s="139" customFormat="1" ht="12.75" customHeight="1" x14ac:dyDescent="0.2">
      <c r="A415" s="141"/>
      <c r="B415" s="141"/>
      <c r="C415" s="141"/>
      <c r="D415" s="142"/>
      <c r="E415" s="1014"/>
      <c r="F415" s="1014"/>
      <c r="G415" s="1027"/>
      <c r="H415" s="1027"/>
      <c r="I415" s="1174"/>
      <c r="J415" s="1174"/>
      <c r="K415" s="1174"/>
      <c r="L415" s="1172"/>
      <c r="M415" s="1172"/>
      <c r="N415" s="1175"/>
      <c r="O415" s="143"/>
      <c r="P415" s="1196"/>
      <c r="Q415" s="141"/>
      <c r="R415" s="141"/>
      <c r="S415" s="148"/>
      <c r="T415" s="419"/>
      <c r="U415" s="559"/>
      <c r="V415" s="141"/>
      <c r="W415" s="141"/>
      <c r="X415" s="141"/>
      <c r="Y415" s="144"/>
      <c r="Z415" s="141"/>
      <c r="AA415" s="141"/>
      <c r="AB415" s="141"/>
      <c r="AC415" s="141"/>
      <c r="AD415" s="141"/>
      <c r="AE415" s="141"/>
      <c r="AF415" s="145"/>
      <c r="AG415" s="419"/>
    </row>
    <row r="416" spans="1:33" s="139" customFormat="1" ht="12.75" customHeight="1" x14ac:dyDescent="0.2">
      <c r="A416" s="141"/>
      <c r="B416" s="141"/>
      <c r="C416" s="141"/>
      <c r="D416" s="142"/>
      <c r="E416" s="1014"/>
      <c r="F416" s="1014"/>
      <c r="G416" s="1027"/>
      <c r="H416" s="1027"/>
      <c r="I416" s="1174"/>
      <c r="J416" s="1174"/>
      <c r="K416" s="1174"/>
      <c r="L416" s="1172"/>
      <c r="M416" s="1172"/>
      <c r="N416" s="1175"/>
      <c r="O416" s="143"/>
      <c r="P416" s="1196"/>
      <c r="Q416" s="141"/>
      <c r="R416" s="141"/>
      <c r="S416" s="148"/>
      <c r="T416" s="419"/>
      <c r="U416" s="559"/>
      <c r="V416" s="141"/>
      <c r="W416" s="141"/>
      <c r="X416" s="141"/>
      <c r="Y416" s="144"/>
      <c r="Z416" s="141"/>
      <c r="AA416" s="141"/>
      <c r="AB416" s="141"/>
      <c r="AC416" s="141"/>
      <c r="AD416" s="141"/>
      <c r="AE416" s="141"/>
      <c r="AF416" s="145"/>
      <c r="AG416" s="419"/>
    </row>
    <row r="417" spans="1:33" s="139" customFormat="1" ht="12.75" customHeight="1" x14ac:dyDescent="0.2">
      <c r="A417" s="141"/>
      <c r="B417" s="141"/>
      <c r="C417" s="141"/>
      <c r="D417" s="142"/>
      <c r="E417" s="1014"/>
      <c r="F417" s="1014"/>
      <c r="G417" s="1027"/>
      <c r="H417" s="1027"/>
      <c r="I417" s="1174"/>
      <c r="J417" s="1174"/>
      <c r="K417" s="1174"/>
      <c r="L417" s="1172"/>
      <c r="M417" s="1172"/>
      <c r="N417" s="1175"/>
      <c r="O417" s="143"/>
      <c r="P417" s="1196"/>
      <c r="Q417" s="141"/>
      <c r="R417" s="141"/>
      <c r="S417" s="148"/>
      <c r="T417" s="419"/>
      <c r="U417" s="559"/>
      <c r="V417" s="141"/>
      <c r="W417" s="141"/>
      <c r="X417" s="141"/>
      <c r="Y417" s="144"/>
      <c r="Z417" s="141"/>
      <c r="AA417" s="141"/>
      <c r="AB417" s="141"/>
      <c r="AC417" s="141"/>
      <c r="AD417" s="141"/>
      <c r="AE417" s="141"/>
      <c r="AF417" s="145"/>
      <c r="AG417" s="419"/>
    </row>
    <row r="418" spans="1:33" s="139" customFormat="1" ht="12.75" customHeight="1" x14ac:dyDescent="0.2">
      <c r="A418" s="141"/>
      <c r="B418" s="141"/>
      <c r="C418" s="141"/>
      <c r="D418" s="142"/>
      <c r="E418" s="1014"/>
      <c r="F418" s="1014"/>
      <c r="G418" s="1027"/>
      <c r="H418" s="1027"/>
      <c r="I418" s="1174"/>
      <c r="J418" s="1174"/>
      <c r="K418" s="1174"/>
      <c r="L418" s="1172"/>
      <c r="M418" s="1172"/>
      <c r="N418" s="1175"/>
      <c r="O418" s="143"/>
      <c r="P418" s="1196"/>
      <c r="Q418" s="141"/>
      <c r="R418" s="141"/>
      <c r="S418" s="148"/>
      <c r="T418" s="419"/>
      <c r="U418" s="559"/>
      <c r="V418" s="141"/>
      <c r="W418" s="141"/>
      <c r="X418" s="141"/>
      <c r="Y418" s="144"/>
      <c r="Z418" s="141"/>
      <c r="AA418" s="141"/>
      <c r="AB418" s="141"/>
      <c r="AC418" s="141"/>
      <c r="AD418" s="141"/>
      <c r="AE418" s="141"/>
      <c r="AF418" s="145"/>
      <c r="AG418" s="419"/>
    </row>
    <row r="419" spans="1:33" s="139" customFormat="1" ht="12.75" customHeight="1" x14ac:dyDescent="0.2">
      <c r="A419" s="141"/>
      <c r="B419" s="141"/>
      <c r="C419" s="141"/>
      <c r="D419" s="142"/>
      <c r="E419" s="1014"/>
      <c r="F419" s="1014"/>
      <c r="G419" s="1027"/>
      <c r="H419" s="1027"/>
      <c r="I419" s="1174"/>
      <c r="J419" s="1174"/>
      <c r="K419" s="1174"/>
      <c r="L419" s="1172"/>
      <c r="M419" s="1172"/>
      <c r="N419" s="1175"/>
      <c r="O419" s="143"/>
      <c r="P419" s="1196"/>
      <c r="Q419" s="141"/>
      <c r="R419" s="141"/>
      <c r="S419" s="148"/>
      <c r="T419" s="419"/>
      <c r="U419" s="559"/>
      <c r="V419" s="141"/>
      <c r="W419" s="141"/>
      <c r="X419" s="141"/>
      <c r="Y419" s="144"/>
      <c r="Z419" s="141"/>
      <c r="AA419" s="141"/>
      <c r="AB419" s="141"/>
      <c r="AC419" s="141"/>
      <c r="AD419" s="141"/>
      <c r="AE419" s="141"/>
      <c r="AF419" s="145"/>
      <c r="AG419" s="419"/>
    </row>
    <row r="420" spans="1:33" s="139" customFormat="1" ht="12.75" customHeight="1" x14ac:dyDescent="0.2">
      <c r="A420" s="141"/>
      <c r="B420" s="141"/>
      <c r="C420" s="141"/>
      <c r="D420" s="142"/>
      <c r="E420" s="1014"/>
      <c r="F420" s="1014"/>
      <c r="G420" s="1027"/>
      <c r="H420" s="1027"/>
      <c r="I420" s="1174"/>
      <c r="J420" s="1174"/>
      <c r="K420" s="1174"/>
      <c r="L420" s="1172"/>
      <c r="M420" s="1172"/>
      <c r="N420" s="1175"/>
      <c r="O420" s="143"/>
      <c r="P420" s="1196"/>
      <c r="Q420" s="141"/>
      <c r="R420" s="141"/>
      <c r="S420" s="148"/>
      <c r="T420" s="419"/>
      <c r="U420" s="559"/>
      <c r="V420" s="141"/>
      <c r="W420" s="141"/>
      <c r="X420" s="141"/>
      <c r="Y420" s="144"/>
      <c r="Z420" s="141"/>
      <c r="AA420" s="141"/>
      <c r="AB420" s="141"/>
      <c r="AC420" s="141"/>
      <c r="AD420" s="141"/>
      <c r="AE420" s="141"/>
      <c r="AF420" s="145"/>
      <c r="AG420" s="419"/>
    </row>
    <row r="421" spans="1:33" s="139" customFormat="1" ht="12.75" customHeight="1" x14ac:dyDescent="0.2">
      <c r="A421" s="141"/>
      <c r="B421" s="141"/>
      <c r="C421" s="141"/>
      <c r="D421" s="142"/>
      <c r="E421" s="1014"/>
      <c r="F421" s="1014"/>
      <c r="G421" s="1027"/>
      <c r="H421" s="1027"/>
      <c r="I421" s="1174"/>
      <c r="J421" s="1174"/>
      <c r="K421" s="1174"/>
      <c r="L421" s="1172"/>
      <c r="M421" s="1172"/>
      <c r="N421" s="1175"/>
      <c r="O421" s="143"/>
      <c r="P421" s="1196"/>
      <c r="Q421" s="141"/>
      <c r="R421" s="141"/>
      <c r="S421" s="148"/>
      <c r="T421" s="419"/>
      <c r="U421" s="559"/>
      <c r="V421" s="141"/>
      <c r="W421" s="141"/>
      <c r="X421" s="141"/>
      <c r="Y421" s="144"/>
      <c r="Z421" s="141"/>
      <c r="AA421" s="141"/>
      <c r="AB421" s="141"/>
      <c r="AC421" s="141"/>
      <c r="AD421" s="141"/>
      <c r="AE421" s="141"/>
      <c r="AF421" s="145"/>
      <c r="AG421" s="419"/>
    </row>
    <row r="422" spans="1:33" s="139" customFormat="1" ht="12.75" customHeight="1" x14ac:dyDescent="0.2">
      <c r="A422" s="141"/>
      <c r="B422" s="141"/>
      <c r="C422" s="141"/>
      <c r="D422" s="142"/>
      <c r="E422" s="1014"/>
      <c r="F422" s="1014"/>
      <c r="G422" s="1027"/>
      <c r="H422" s="1027"/>
      <c r="I422" s="1174"/>
      <c r="J422" s="1174"/>
      <c r="K422" s="1174"/>
      <c r="L422" s="1172"/>
      <c r="M422" s="1172"/>
      <c r="N422" s="1175"/>
      <c r="O422" s="143"/>
      <c r="P422" s="1196"/>
      <c r="Q422" s="141"/>
      <c r="R422" s="141"/>
      <c r="S422" s="148"/>
      <c r="T422" s="419"/>
      <c r="U422" s="559"/>
      <c r="V422" s="141"/>
      <c r="W422" s="141"/>
      <c r="X422" s="141"/>
      <c r="Y422" s="144"/>
      <c r="Z422" s="141"/>
      <c r="AA422" s="141"/>
      <c r="AB422" s="141"/>
      <c r="AC422" s="141"/>
      <c r="AD422" s="141"/>
      <c r="AE422" s="141"/>
      <c r="AF422" s="145"/>
      <c r="AG422" s="419"/>
    </row>
    <row r="423" spans="1:33" s="139" customFormat="1" ht="12.75" customHeight="1" x14ac:dyDescent="0.2">
      <c r="A423" s="141"/>
      <c r="B423" s="141"/>
      <c r="C423" s="141"/>
      <c r="D423" s="142"/>
      <c r="E423" s="1014"/>
      <c r="F423" s="1014"/>
      <c r="G423" s="1027"/>
      <c r="H423" s="1027"/>
      <c r="I423" s="1174"/>
      <c r="J423" s="1174"/>
      <c r="K423" s="1174"/>
      <c r="L423" s="1172"/>
      <c r="M423" s="1172"/>
      <c r="N423" s="1175"/>
      <c r="O423" s="143"/>
      <c r="P423" s="1196"/>
      <c r="Q423" s="141"/>
      <c r="R423" s="141"/>
      <c r="S423" s="148"/>
      <c r="T423" s="419"/>
      <c r="U423" s="559"/>
      <c r="V423" s="141"/>
      <c r="W423" s="141"/>
      <c r="X423" s="141"/>
      <c r="Y423" s="144"/>
      <c r="Z423" s="141"/>
      <c r="AA423" s="141"/>
      <c r="AB423" s="141"/>
      <c r="AC423" s="141"/>
      <c r="AD423" s="141"/>
      <c r="AE423" s="141"/>
      <c r="AF423" s="145"/>
      <c r="AG423" s="419"/>
    </row>
    <row r="424" spans="1:33" s="139" customFormat="1" ht="12.75" customHeight="1" x14ac:dyDescent="0.2">
      <c r="A424" s="141"/>
      <c r="B424" s="141"/>
      <c r="C424" s="141"/>
      <c r="D424" s="142"/>
      <c r="E424" s="1014"/>
      <c r="F424" s="1014"/>
      <c r="G424" s="1027"/>
      <c r="H424" s="1027"/>
      <c r="I424" s="1174"/>
      <c r="J424" s="1174"/>
      <c r="K424" s="1174"/>
      <c r="L424" s="1172"/>
      <c r="M424" s="1172"/>
      <c r="N424" s="1175"/>
      <c r="O424" s="143"/>
      <c r="P424" s="1196"/>
      <c r="Q424" s="141"/>
      <c r="R424" s="141"/>
      <c r="S424" s="148"/>
      <c r="T424" s="419"/>
      <c r="U424" s="559"/>
      <c r="V424" s="141"/>
      <c r="W424" s="141"/>
      <c r="X424" s="141"/>
      <c r="Y424" s="144"/>
      <c r="Z424" s="141"/>
      <c r="AA424" s="141"/>
      <c r="AB424" s="141"/>
      <c r="AC424" s="141"/>
      <c r="AD424" s="141"/>
      <c r="AE424" s="141"/>
      <c r="AF424" s="145"/>
      <c r="AG424" s="419"/>
    </row>
    <row r="425" spans="1:33" s="139" customFormat="1" ht="12.75" customHeight="1" x14ac:dyDescent="0.2">
      <c r="A425" s="141"/>
      <c r="B425" s="141"/>
      <c r="C425" s="141"/>
      <c r="D425" s="142"/>
      <c r="E425" s="1014"/>
      <c r="F425" s="1014"/>
      <c r="G425" s="1027"/>
      <c r="H425" s="1027"/>
      <c r="I425" s="1174"/>
      <c r="J425" s="1174"/>
      <c r="K425" s="1174"/>
      <c r="L425" s="1172"/>
      <c r="M425" s="1172"/>
      <c r="N425" s="1175"/>
      <c r="O425" s="143"/>
      <c r="P425" s="1196"/>
      <c r="Q425" s="141"/>
      <c r="R425" s="141"/>
      <c r="S425" s="148"/>
      <c r="T425" s="419"/>
      <c r="U425" s="559"/>
      <c r="V425" s="141"/>
      <c r="W425" s="141"/>
      <c r="X425" s="141"/>
      <c r="Y425" s="144"/>
      <c r="Z425" s="141"/>
      <c r="AA425" s="141"/>
      <c r="AB425" s="141"/>
      <c r="AC425" s="141"/>
      <c r="AD425" s="141"/>
      <c r="AE425" s="141"/>
      <c r="AF425" s="145"/>
      <c r="AG425" s="419"/>
    </row>
    <row r="426" spans="1:33" s="139" customFormat="1" ht="12.75" customHeight="1" x14ac:dyDescent="0.2">
      <c r="A426" s="141"/>
      <c r="B426" s="141"/>
      <c r="C426" s="141"/>
      <c r="D426" s="142"/>
      <c r="E426" s="1014"/>
      <c r="F426" s="1014"/>
      <c r="G426" s="1027"/>
      <c r="H426" s="1027"/>
      <c r="I426" s="1174"/>
      <c r="J426" s="1174"/>
      <c r="K426" s="1174"/>
      <c r="L426" s="1172"/>
      <c r="M426" s="1172"/>
      <c r="N426" s="1175"/>
      <c r="O426" s="143"/>
      <c r="P426" s="1196"/>
      <c r="Q426" s="141"/>
      <c r="R426" s="141"/>
      <c r="S426" s="148"/>
      <c r="T426" s="419"/>
      <c r="U426" s="559"/>
      <c r="V426" s="141"/>
      <c r="W426" s="141"/>
      <c r="X426" s="141"/>
      <c r="Y426" s="144"/>
      <c r="Z426" s="141"/>
      <c r="AA426" s="141"/>
      <c r="AB426" s="141"/>
      <c r="AC426" s="141"/>
      <c r="AD426" s="141"/>
      <c r="AE426" s="141"/>
      <c r="AF426" s="145"/>
      <c r="AG426" s="419"/>
    </row>
    <row r="427" spans="1:33" s="139" customFormat="1" ht="12.75" customHeight="1" x14ac:dyDescent="0.2">
      <c r="A427" s="141"/>
      <c r="B427" s="141"/>
      <c r="C427" s="141"/>
      <c r="D427" s="142"/>
      <c r="E427" s="1014"/>
      <c r="F427" s="1014"/>
      <c r="G427" s="1027"/>
      <c r="H427" s="1027"/>
      <c r="I427" s="1174"/>
      <c r="J427" s="1174"/>
      <c r="K427" s="1174"/>
      <c r="L427" s="1172"/>
      <c r="M427" s="1172"/>
      <c r="N427" s="1175"/>
      <c r="O427" s="143"/>
      <c r="P427" s="1196"/>
      <c r="Q427" s="141"/>
      <c r="R427" s="141"/>
      <c r="S427" s="148"/>
      <c r="T427" s="419"/>
      <c r="U427" s="559"/>
      <c r="V427" s="141"/>
      <c r="W427" s="141"/>
      <c r="X427" s="141"/>
      <c r="Y427" s="144"/>
      <c r="Z427" s="141"/>
      <c r="AA427" s="141"/>
      <c r="AB427" s="141"/>
      <c r="AC427" s="141"/>
      <c r="AD427" s="141"/>
      <c r="AE427" s="141"/>
      <c r="AF427" s="145"/>
      <c r="AG427" s="419"/>
    </row>
    <row r="428" spans="1:33" s="139" customFormat="1" ht="12.75" customHeight="1" x14ac:dyDescent="0.2">
      <c r="A428" s="141"/>
      <c r="B428" s="141"/>
      <c r="C428" s="141"/>
      <c r="D428" s="142"/>
      <c r="E428" s="1014"/>
      <c r="F428" s="1014"/>
      <c r="G428" s="1027"/>
      <c r="H428" s="1027"/>
      <c r="I428" s="1174"/>
      <c r="J428" s="1174"/>
      <c r="K428" s="1174"/>
      <c r="L428" s="1172"/>
      <c r="M428" s="1172"/>
      <c r="N428" s="1175"/>
      <c r="O428" s="143"/>
      <c r="P428" s="1196"/>
      <c r="Q428" s="141"/>
      <c r="R428" s="141"/>
      <c r="S428" s="148"/>
      <c r="T428" s="419"/>
      <c r="U428" s="559"/>
      <c r="V428" s="141"/>
      <c r="W428" s="141"/>
      <c r="X428" s="141"/>
      <c r="Y428" s="144"/>
      <c r="Z428" s="141"/>
      <c r="AA428" s="141"/>
      <c r="AB428" s="141"/>
      <c r="AC428" s="141"/>
      <c r="AD428" s="141"/>
      <c r="AE428" s="141"/>
      <c r="AF428" s="145"/>
      <c r="AG428" s="419"/>
    </row>
    <row r="429" spans="1:33" s="139" customFormat="1" ht="12.75" customHeight="1" x14ac:dyDescent="0.2">
      <c r="A429" s="141"/>
      <c r="B429" s="141"/>
      <c r="C429" s="141"/>
      <c r="D429" s="142"/>
      <c r="E429" s="1014"/>
      <c r="F429" s="1014"/>
      <c r="G429" s="1027"/>
      <c r="H429" s="1027"/>
      <c r="I429" s="1174"/>
      <c r="J429" s="1174"/>
      <c r="K429" s="1174"/>
      <c r="L429" s="1172"/>
      <c r="M429" s="1172"/>
      <c r="N429" s="1175"/>
      <c r="O429" s="143"/>
      <c r="P429" s="1196"/>
      <c r="Q429" s="141"/>
      <c r="R429" s="141"/>
      <c r="S429" s="148"/>
      <c r="T429" s="419"/>
      <c r="U429" s="559"/>
      <c r="V429" s="141"/>
      <c r="W429" s="141"/>
      <c r="X429" s="141"/>
      <c r="Y429" s="144"/>
      <c r="Z429" s="141"/>
      <c r="AA429" s="141"/>
      <c r="AB429" s="141"/>
      <c r="AC429" s="141"/>
      <c r="AD429" s="141"/>
      <c r="AE429" s="141"/>
      <c r="AF429" s="145"/>
      <c r="AG429" s="419"/>
    </row>
    <row r="430" spans="1:33" s="139" customFormat="1" ht="12.75" customHeight="1" x14ac:dyDescent="0.2">
      <c r="A430" s="141"/>
      <c r="B430" s="141"/>
      <c r="C430" s="141"/>
      <c r="D430" s="142"/>
      <c r="E430" s="1014"/>
      <c r="F430" s="1014"/>
      <c r="G430" s="1027"/>
      <c r="H430" s="1027"/>
      <c r="I430" s="1174"/>
      <c r="J430" s="1174"/>
      <c r="K430" s="1174"/>
      <c r="L430" s="1172"/>
      <c r="M430" s="1172"/>
      <c r="N430" s="1175"/>
      <c r="O430" s="143"/>
      <c r="P430" s="1196"/>
      <c r="Q430" s="141"/>
      <c r="R430" s="141"/>
      <c r="S430" s="148"/>
      <c r="T430" s="419"/>
      <c r="U430" s="559"/>
      <c r="V430" s="141"/>
      <c r="W430" s="141"/>
      <c r="X430" s="141"/>
      <c r="Y430" s="144"/>
      <c r="Z430" s="141"/>
      <c r="AA430" s="141"/>
      <c r="AB430" s="141"/>
      <c r="AC430" s="141"/>
      <c r="AD430" s="141"/>
      <c r="AE430" s="141"/>
      <c r="AF430" s="145"/>
      <c r="AG430" s="419"/>
    </row>
    <row r="431" spans="1:33" s="139" customFormat="1" ht="12.75" customHeight="1" x14ac:dyDescent="0.2">
      <c r="A431" s="141"/>
      <c r="B431" s="141"/>
      <c r="C431" s="141"/>
      <c r="D431" s="142"/>
      <c r="E431" s="1014"/>
      <c r="F431" s="1014"/>
      <c r="G431" s="1027"/>
      <c r="H431" s="1027"/>
      <c r="I431" s="1174"/>
      <c r="J431" s="1174"/>
      <c r="K431" s="1174"/>
      <c r="L431" s="1172"/>
      <c r="M431" s="1172"/>
      <c r="N431" s="1175"/>
      <c r="O431" s="143"/>
      <c r="P431" s="1196"/>
      <c r="Q431" s="141"/>
      <c r="R431" s="141"/>
      <c r="S431" s="148"/>
      <c r="T431" s="419"/>
      <c r="U431" s="559"/>
      <c r="V431" s="141"/>
      <c r="W431" s="141"/>
      <c r="X431" s="141"/>
      <c r="Y431" s="144"/>
      <c r="Z431" s="141"/>
      <c r="AA431" s="141"/>
      <c r="AB431" s="141"/>
      <c r="AC431" s="141"/>
      <c r="AD431" s="141"/>
      <c r="AE431" s="141"/>
      <c r="AF431" s="145"/>
      <c r="AG431" s="419"/>
    </row>
    <row r="432" spans="1:33" s="139" customFormat="1" ht="12.75" customHeight="1" x14ac:dyDescent="0.2">
      <c r="A432" s="141"/>
      <c r="B432" s="141"/>
      <c r="C432" s="141"/>
      <c r="D432" s="142"/>
      <c r="E432" s="1014"/>
      <c r="F432" s="1014"/>
      <c r="G432" s="1027"/>
      <c r="H432" s="1027"/>
      <c r="I432" s="1174"/>
      <c r="J432" s="1174"/>
      <c r="K432" s="1174"/>
      <c r="L432" s="1172"/>
      <c r="M432" s="1172"/>
      <c r="N432" s="1175"/>
      <c r="O432" s="143"/>
      <c r="P432" s="1196"/>
      <c r="Q432" s="141"/>
      <c r="R432" s="141"/>
      <c r="S432" s="148"/>
      <c r="T432" s="419"/>
      <c r="U432" s="559"/>
      <c r="V432" s="141"/>
      <c r="W432" s="141"/>
      <c r="X432" s="141"/>
      <c r="Y432" s="144"/>
      <c r="Z432" s="141"/>
      <c r="AA432" s="141"/>
      <c r="AB432" s="141"/>
      <c r="AC432" s="141"/>
      <c r="AD432" s="141"/>
      <c r="AE432" s="141"/>
      <c r="AF432" s="145"/>
      <c r="AG432" s="419"/>
    </row>
    <row r="433" spans="1:33" s="139" customFormat="1" ht="12.75" customHeight="1" x14ac:dyDescent="0.2">
      <c r="A433" s="141"/>
      <c r="B433" s="141"/>
      <c r="C433" s="141"/>
      <c r="D433" s="142"/>
      <c r="E433" s="1014"/>
      <c r="F433" s="1014"/>
      <c r="G433" s="1027"/>
      <c r="H433" s="1027"/>
      <c r="I433" s="1174"/>
      <c r="J433" s="1174"/>
      <c r="K433" s="1174"/>
      <c r="L433" s="1172"/>
      <c r="M433" s="1172"/>
      <c r="N433" s="1175"/>
      <c r="O433" s="143"/>
      <c r="P433" s="1196"/>
      <c r="Q433" s="141"/>
      <c r="R433" s="141"/>
      <c r="S433" s="148"/>
      <c r="T433" s="419"/>
      <c r="U433" s="559"/>
      <c r="V433" s="141"/>
      <c r="W433" s="141"/>
      <c r="X433" s="141"/>
      <c r="Y433" s="144"/>
      <c r="Z433" s="141"/>
      <c r="AA433" s="141"/>
      <c r="AB433" s="141"/>
      <c r="AC433" s="141"/>
      <c r="AD433" s="141"/>
      <c r="AE433" s="141"/>
      <c r="AF433" s="145"/>
      <c r="AG433" s="419"/>
    </row>
    <row r="434" spans="1:33" s="139" customFormat="1" ht="12.75" customHeight="1" x14ac:dyDescent="0.2">
      <c r="A434" s="141"/>
      <c r="B434" s="141"/>
      <c r="C434" s="141"/>
      <c r="D434" s="142"/>
      <c r="E434" s="1014"/>
      <c r="F434" s="1014"/>
      <c r="G434" s="1027"/>
      <c r="H434" s="1027"/>
      <c r="I434" s="1174"/>
      <c r="J434" s="1174"/>
      <c r="K434" s="1174"/>
      <c r="L434" s="1172"/>
      <c r="M434" s="1172"/>
      <c r="N434" s="1175"/>
      <c r="O434" s="143"/>
      <c r="P434" s="1196"/>
      <c r="Q434" s="141"/>
      <c r="R434" s="141"/>
      <c r="S434" s="148"/>
      <c r="T434" s="419"/>
      <c r="U434" s="559"/>
      <c r="V434" s="141"/>
      <c r="W434" s="141"/>
      <c r="X434" s="141"/>
      <c r="Y434" s="144"/>
      <c r="Z434" s="141"/>
      <c r="AA434" s="141"/>
      <c r="AB434" s="141"/>
      <c r="AC434" s="141"/>
      <c r="AD434" s="141"/>
      <c r="AE434" s="141"/>
      <c r="AF434" s="145"/>
      <c r="AG434" s="419"/>
    </row>
    <row r="435" spans="1:33" s="139" customFormat="1" ht="12.75" customHeight="1" x14ac:dyDescent="0.2">
      <c r="A435" s="141"/>
      <c r="B435" s="141"/>
      <c r="C435" s="141"/>
      <c r="D435" s="142"/>
      <c r="E435" s="1014"/>
      <c r="F435" s="1014"/>
      <c r="G435" s="1027"/>
      <c r="H435" s="1027"/>
      <c r="I435" s="1174"/>
      <c r="J435" s="1174"/>
      <c r="K435" s="1174"/>
      <c r="L435" s="1172"/>
      <c r="M435" s="1172"/>
      <c r="N435" s="1175"/>
      <c r="O435" s="143"/>
      <c r="P435" s="1196"/>
      <c r="Q435" s="141"/>
      <c r="R435" s="141"/>
      <c r="S435" s="148"/>
      <c r="T435" s="419"/>
      <c r="U435" s="559"/>
      <c r="V435" s="141"/>
      <c r="W435" s="141"/>
      <c r="X435" s="141"/>
      <c r="Y435" s="144"/>
      <c r="Z435" s="141"/>
      <c r="AA435" s="141"/>
      <c r="AB435" s="141"/>
      <c r="AC435" s="141"/>
      <c r="AD435" s="141"/>
      <c r="AE435" s="141"/>
      <c r="AF435" s="145"/>
      <c r="AG435" s="419"/>
    </row>
    <row r="436" spans="1:33" s="139" customFormat="1" ht="12.75" customHeight="1" x14ac:dyDescent="0.2">
      <c r="A436" s="141"/>
      <c r="B436" s="141"/>
      <c r="C436" s="141"/>
      <c r="D436" s="142"/>
      <c r="E436" s="1014"/>
      <c r="F436" s="1014"/>
      <c r="G436" s="1027"/>
      <c r="H436" s="1027"/>
      <c r="I436" s="1174"/>
      <c r="J436" s="1174"/>
      <c r="K436" s="1174"/>
      <c r="L436" s="1172"/>
      <c r="M436" s="1172"/>
      <c r="N436" s="1175"/>
      <c r="O436" s="143"/>
      <c r="P436" s="1196"/>
      <c r="Q436" s="141"/>
      <c r="R436" s="141"/>
      <c r="S436" s="148"/>
      <c r="T436" s="419"/>
      <c r="U436" s="559"/>
      <c r="V436" s="141"/>
      <c r="W436" s="141"/>
      <c r="X436" s="141"/>
      <c r="Y436" s="144"/>
      <c r="Z436" s="141"/>
      <c r="AA436" s="141"/>
      <c r="AB436" s="141"/>
      <c r="AC436" s="141"/>
      <c r="AD436" s="141"/>
      <c r="AE436" s="141"/>
      <c r="AF436" s="145"/>
      <c r="AG436" s="419"/>
    </row>
    <row r="437" spans="1:33" s="139" customFormat="1" ht="12.75" customHeight="1" x14ac:dyDescent="0.2">
      <c r="A437" s="141"/>
      <c r="B437" s="141"/>
      <c r="C437" s="141"/>
      <c r="D437" s="142"/>
      <c r="E437" s="1014"/>
      <c r="F437" s="1014"/>
      <c r="G437" s="1027"/>
      <c r="H437" s="1027"/>
      <c r="I437" s="1174"/>
      <c r="J437" s="1174"/>
      <c r="K437" s="1174"/>
      <c r="L437" s="1172"/>
      <c r="M437" s="1172"/>
      <c r="N437" s="1175"/>
      <c r="O437" s="143"/>
      <c r="P437" s="1196"/>
      <c r="Q437" s="141"/>
      <c r="R437" s="141"/>
      <c r="S437" s="148"/>
      <c r="T437" s="419"/>
      <c r="U437" s="559"/>
      <c r="V437" s="141"/>
      <c r="W437" s="141"/>
      <c r="X437" s="141"/>
      <c r="Y437" s="144"/>
      <c r="Z437" s="141"/>
      <c r="AA437" s="141"/>
      <c r="AB437" s="141"/>
      <c r="AC437" s="141"/>
      <c r="AD437" s="141"/>
      <c r="AE437" s="141"/>
      <c r="AF437" s="145"/>
      <c r="AG437" s="419"/>
    </row>
    <row r="438" spans="1:33" s="139" customFormat="1" ht="12.75" customHeight="1" x14ac:dyDescent="0.2">
      <c r="A438" s="141"/>
      <c r="B438" s="141"/>
      <c r="C438" s="141"/>
      <c r="D438" s="142"/>
      <c r="E438" s="1014"/>
      <c r="F438" s="1014"/>
      <c r="G438" s="1027"/>
      <c r="H438" s="1027"/>
      <c r="I438" s="1174"/>
      <c r="J438" s="1174"/>
      <c r="K438" s="1174"/>
      <c r="L438" s="1172"/>
      <c r="M438" s="1172"/>
      <c r="N438" s="1175"/>
      <c r="O438" s="143"/>
      <c r="P438" s="1196"/>
      <c r="Q438" s="141"/>
      <c r="R438" s="141"/>
      <c r="S438" s="148"/>
      <c r="T438" s="419"/>
      <c r="U438" s="559"/>
      <c r="V438" s="141"/>
      <c r="W438" s="141"/>
      <c r="X438" s="141"/>
      <c r="Y438" s="144"/>
      <c r="Z438" s="141"/>
      <c r="AA438" s="141"/>
      <c r="AB438" s="141"/>
      <c r="AC438" s="141"/>
      <c r="AD438" s="141"/>
      <c r="AE438" s="141"/>
      <c r="AF438" s="145"/>
      <c r="AG438" s="419"/>
    </row>
    <row r="439" spans="1:33" s="139" customFormat="1" ht="12.75" customHeight="1" x14ac:dyDescent="0.2">
      <c r="A439" s="141"/>
      <c r="B439" s="141"/>
      <c r="C439" s="141"/>
      <c r="D439" s="142"/>
      <c r="E439" s="1014"/>
      <c r="F439" s="1014"/>
      <c r="G439" s="1027"/>
      <c r="H439" s="1027"/>
      <c r="I439" s="1174"/>
      <c r="J439" s="1174"/>
      <c r="K439" s="1174"/>
      <c r="L439" s="1172"/>
      <c r="M439" s="1172"/>
      <c r="N439" s="1175"/>
      <c r="O439" s="143"/>
      <c r="P439" s="1196"/>
      <c r="Q439" s="141"/>
      <c r="R439" s="141"/>
      <c r="S439" s="148"/>
      <c r="T439" s="419"/>
      <c r="U439" s="559"/>
      <c r="V439" s="141"/>
      <c r="W439" s="141"/>
      <c r="X439" s="141"/>
      <c r="Y439" s="144"/>
      <c r="Z439" s="141"/>
      <c r="AA439" s="141"/>
      <c r="AB439" s="141"/>
      <c r="AC439" s="141"/>
      <c r="AD439" s="141"/>
      <c r="AE439" s="141"/>
      <c r="AF439" s="145"/>
      <c r="AG439" s="419"/>
    </row>
    <row r="440" spans="1:33" s="139" customFormat="1" ht="12.75" customHeight="1" x14ac:dyDescent="0.2">
      <c r="A440" s="141"/>
      <c r="B440" s="141"/>
      <c r="C440" s="141"/>
      <c r="D440" s="142"/>
      <c r="E440" s="1014"/>
      <c r="F440" s="1014"/>
      <c r="G440" s="1027"/>
      <c r="H440" s="1027"/>
      <c r="I440" s="1174"/>
      <c r="J440" s="1174"/>
      <c r="K440" s="1174"/>
      <c r="L440" s="1172"/>
      <c r="M440" s="1172"/>
      <c r="N440" s="1175"/>
      <c r="O440" s="143"/>
      <c r="P440" s="1196"/>
      <c r="Q440" s="141"/>
      <c r="R440" s="141"/>
      <c r="S440" s="148"/>
      <c r="T440" s="419"/>
      <c r="U440" s="559"/>
      <c r="V440" s="141"/>
      <c r="W440" s="141"/>
      <c r="X440" s="141"/>
      <c r="Y440" s="144"/>
      <c r="Z440" s="141"/>
      <c r="AA440" s="141"/>
      <c r="AB440" s="141"/>
      <c r="AC440" s="141"/>
      <c r="AD440" s="141"/>
      <c r="AE440" s="141"/>
      <c r="AF440" s="145"/>
      <c r="AG440" s="419"/>
    </row>
    <row r="441" spans="1:33" s="139" customFormat="1" ht="12.75" customHeight="1" x14ac:dyDescent="0.2">
      <c r="A441" s="141"/>
      <c r="B441" s="141"/>
      <c r="C441" s="141"/>
      <c r="D441" s="142"/>
      <c r="E441" s="1014"/>
      <c r="F441" s="1014"/>
      <c r="G441" s="1027"/>
      <c r="H441" s="1027"/>
      <c r="I441" s="1174"/>
      <c r="J441" s="1174"/>
      <c r="K441" s="1174"/>
      <c r="L441" s="1172"/>
      <c r="M441" s="1172"/>
      <c r="N441" s="1175"/>
      <c r="O441" s="143"/>
      <c r="P441" s="1196"/>
      <c r="Q441" s="141"/>
      <c r="R441" s="141"/>
      <c r="S441" s="148"/>
      <c r="T441" s="419"/>
      <c r="U441" s="559"/>
      <c r="V441" s="141"/>
      <c r="W441" s="141"/>
      <c r="X441" s="141"/>
      <c r="Y441" s="144"/>
      <c r="Z441" s="141"/>
      <c r="AA441" s="141"/>
      <c r="AB441" s="141"/>
      <c r="AC441" s="141"/>
      <c r="AD441" s="141"/>
      <c r="AE441" s="141"/>
      <c r="AF441" s="145"/>
      <c r="AG441" s="419"/>
    </row>
    <row r="442" spans="1:33" s="139" customFormat="1" ht="12.75" customHeight="1" x14ac:dyDescent="0.2">
      <c r="A442" s="141"/>
      <c r="B442" s="141"/>
      <c r="C442" s="141"/>
      <c r="D442" s="142"/>
      <c r="E442" s="1014"/>
      <c r="F442" s="1014"/>
      <c r="G442" s="1027"/>
      <c r="H442" s="1027"/>
      <c r="I442" s="1174"/>
      <c r="J442" s="1174"/>
      <c r="K442" s="1174"/>
      <c r="L442" s="1172"/>
      <c r="M442" s="1172"/>
      <c r="N442" s="1175"/>
      <c r="O442" s="143"/>
      <c r="P442" s="1196"/>
      <c r="Q442" s="141"/>
      <c r="R442" s="141"/>
      <c r="S442" s="148"/>
      <c r="T442" s="419"/>
      <c r="U442" s="559"/>
      <c r="V442" s="141"/>
      <c r="W442" s="141"/>
      <c r="X442" s="141"/>
      <c r="Y442" s="144"/>
      <c r="Z442" s="141"/>
      <c r="AA442" s="141"/>
      <c r="AB442" s="141"/>
      <c r="AC442" s="141"/>
      <c r="AD442" s="141"/>
      <c r="AE442" s="141"/>
      <c r="AF442" s="145"/>
      <c r="AG442" s="419"/>
    </row>
    <row r="443" spans="1:33" s="139" customFormat="1" ht="12.75" customHeight="1" x14ac:dyDescent="0.2">
      <c r="A443" s="141"/>
      <c r="B443" s="141"/>
      <c r="C443" s="141"/>
      <c r="D443" s="142"/>
      <c r="E443" s="1014"/>
      <c r="F443" s="1014"/>
      <c r="G443" s="1027"/>
      <c r="H443" s="1027"/>
      <c r="I443" s="1174"/>
      <c r="J443" s="1174"/>
      <c r="K443" s="1174"/>
      <c r="L443" s="1172"/>
      <c r="M443" s="1172"/>
      <c r="N443" s="1175"/>
      <c r="O443" s="143"/>
      <c r="P443" s="1196"/>
      <c r="Q443" s="141"/>
      <c r="R443" s="141"/>
      <c r="S443" s="148"/>
      <c r="T443" s="419"/>
      <c r="U443" s="559"/>
      <c r="V443" s="141"/>
      <c r="W443" s="141"/>
      <c r="X443" s="141"/>
      <c r="Y443" s="144"/>
      <c r="Z443" s="141"/>
      <c r="AA443" s="141"/>
      <c r="AB443" s="141"/>
      <c r="AC443" s="141"/>
      <c r="AD443" s="141"/>
      <c r="AE443" s="141"/>
      <c r="AF443" s="145"/>
      <c r="AG443" s="419"/>
    </row>
    <row r="444" spans="1:33" s="139" customFormat="1" ht="12.75" customHeight="1" x14ac:dyDescent="0.2">
      <c r="A444" s="141"/>
      <c r="B444" s="141"/>
      <c r="C444" s="141"/>
      <c r="D444" s="142"/>
      <c r="E444" s="1014"/>
      <c r="F444" s="1014"/>
      <c r="G444" s="1027"/>
      <c r="H444" s="1027"/>
      <c r="I444" s="1174"/>
      <c r="J444" s="1174"/>
      <c r="K444" s="1174"/>
      <c r="L444" s="1172"/>
      <c r="M444" s="1172"/>
      <c r="N444" s="1175"/>
      <c r="O444" s="143"/>
      <c r="P444" s="1196"/>
      <c r="Q444" s="141"/>
      <c r="R444" s="141"/>
      <c r="S444" s="148"/>
      <c r="T444" s="419"/>
      <c r="U444" s="559"/>
      <c r="V444" s="141"/>
      <c r="W444" s="141"/>
      <c r="X444" s="141"/>
      <c r="Y444" s="144"/>
      <c r="Z444" s="141"/>
      <c r="AA444" s="141"/>
      <c r="AB444" s="141"/>
      <c r="AC444" s="141"/>
      <c r="AD444" s="141"/>
      <c r="AE444" s="141"/>
      <c r="AF444" s="145"/>
      <c r="AG444" s="419"/>
    </row>
    <row r="445" spans="1:33" s="139" customFormat="1" ht="12.75" customHeight="1" x14ac:dyDescent="0.2">
      <c r="A445" s="141"/>
      <c r="B445" s="141"/>
      <c r="C445" s="141"/>
      <c r="D445" s="142"/>
      <c r="E445" s="1014"/>
      <c r="F445" s="1014"/>
      <c r="G445" s="1027"/>
      <c r="H445" s="1027"/>
      <c r="I445" s="1174"/>
      <c r="J445" s="1174"/>
      <c r="K445" s="1174"/>
      <c r="L445" s="1172"/>
      <c r="M445" s="1172"/>
      <c r="N445" s="1175"/>
      <c r="O445" s="143"/>
      <c r="P445" s="1196"/>
      <c r="Q445" s="141"/>
      <c r="R445" s="141"/>
      <c r="S445" s="148"/>
      <c r="T445" s="419"/>
      <c r="U445" s="559"/>
      <c r="V445" s="141"/>
      <c r="W445" s="141"/>
      <c r="X445" s="141"/>
      <c r="Y445" s="144"/>
      <c r="Z445" s="141"/>
      <c r="AA445" s="141"/>
      <c r="AB445" s="141"/>
      <c r="AC445" s="141"/>
      <c r="AD445" s="141"/>
      <c r="AE445" s="141"/>
      <c r="AF445" s="145"/>
      <c r="AG445" s="419"/>
    </row>
    <row r="446" spans="1:33" s="139" customFormat="1" ht="12.75" customHeight="1" x14ac:dyDescent="0.2">
      <c r="A446" s="141"/>
      <c r="B446" s="141"/>
      <c r="C446" s="141"/>
      <c r="D446" s="142"/>
      <c r="E446" s="1014"/>
      <c r="F446" s="1014"/>
      <c r="G446" s="1027"/>
      <c r="H446" s="1027"/>
      <c r="I446" s="1174"/>
      <c r="J446" s="1174"/>
      <c r="K446" s="1174"/>
      <c r="L446" s="1172"/>
      <c r="M446" s="1172"/>
      <c r="N446" s="1175"/>
      <c r="O446" s="143"/>
      <c r="P446" s="1196"/>
      <c r="Q446" s="141"/>
      <c r="R446" s="141"/>
      <c r="S446" s="148"/>
      <c r="T446" s="419"/>
      <c r="U446" s="559"/>
      <c r="V446" s="141"/>
      <c r="W446" s="141"/>
      <c r="X446" s="141"/>
      <c r="Y446" s="144"/>
      <c r="Z446" s="141"/>
      <c r="AA446" s="141"/>
      <c r="AB446" s="141"/>
      <c r="AC446" s="141"/>
      <c r="AD446" s="141"/>
      <c r="AE446" s="141"/>
      <c r="AF446" s="145"/>
      <c r="AG446" s="419"/>
    </row>
    <row r="447" spans="1:33" s="139" customFormat="1" ht="12.75" customHeight="1" x14ac:dyDescent="0.2">
      <c r="A447" s="141"/>
      <c r="B447" s="141"/>
      <c r="C447" s="141"/>
      <c r="D447" s="142"/>
      <c r="E447" s="1014"/>
      <c r="F447" s="1014"/>
      <c r="G447" s="1027"/>
      <c r="H447" s="1027"/>
      <c r="I447" s="1174"/>
      <c r="J447" s="1174"/>
      <c r="K447" s="1174"/>
      <c r="L447" s="1172"/>
      <c r="M447" s="1172"/>
      <c r="N447" s="1175"/>
      <c r="O447" s="143"/>
      <c r="P447" s="1196"/>
      <c r="Q447" s="141"/>
      <c r="R447" s="141"/>
      <c r="S447" s="148"/>
      <c r="T447" s="419"/>
      <c r="U447" s="559"/>
      <c r="V447" s="141"/>
      <c r="W447" s="141"/>
      <c r="X447" s="141"/>
      <c r="Y447" s="144"/>
      <c r="Z447" s="141"/>
      <c r="AA447" s="141"/>
      <c r="AB447" s="141"/>
      <c r="AC447" s="141"/>
      <c r="AD447" s="141"/>
      <c r="AE447" s="141"/>
      <c r="AF447" s="145"/>
      <c r="AG447" s="419"/>
    </row>
    <row r="448" spans="1:33" s="139" customFormat="1" ht="12.75" customHeight="1" x14ac:dyDescent="0.2">
      <c r="A448" s="141"/>
      <c r="B448" s="141"/>
      <c r="C448" s="141"/>
      <c r="D448" s="142"/>
      <c r="E448" s="1014"/>
      <c r="F448" s="1014"/>
      <c r="G448" s="1027"/>
      <c r="H448" s="1027"/>
      <c r="I448" s="1174"/>
      <c r="J448" s="1174"/>
      <c r="K448" s="1174"/>
      <c r="L448" s="1172"/>
      <c r="M448" s="1172"/>
      <c r="N448" s="1175"/>
      <c r="O448" s="143"/>
      <c r="P448" s="1196"/>
      <c r="Q448" s="141"/>
      <c r="R448" s="141"/>
      <c r="S448" s="148"/>
      <c r="T448" s="419"/>
      <c r="U448" s="559"/>
      <c r="V448" s="141"/>
      <c r="W448" s="141"/>
      <c r="X448" s="141"/>
      <c r="Y448" s="144"/>
      <c r="Z448" s="141"/>
      <c r="AA448" s="141"/>
      <c r="AB448" s="141"/>
      <c r="AC448" s="141"/>
      <c r="AD448" s="141"/>
      <c r="AE448" s="141"/>
      <c r="AF448" s="145"/>
      <c r="AG448" s="419"/>
    </row>
    <row r="449" spans="1:33" s="139" customFormat="1" ht="12.75" customHeight="1" x14ac:dyDescent="0.2">
      <c r="A449" s="141"/>
      <c r="B449" s="141"/>
      <c r="C449" s="141"/>
      <c r="D449" s="142"/>
      <c r="E449" s="1014"/>
      <c r="F449" s="1014"/>
      <c r="G449" s="1027"/>
      <c r="H449" s="1027"/>
      <c r="I449" s="1174"/>
      <c r="J449" s="1174"/>
      <c r="K449" s="1174"/>
      <c r="L449" s="1172"/>
      <c r="M449" s="1172"/>
      <c r="N449" s="1175"/>
      <c r="O449" s="143"/>
      <c r="P449" s="1196"/>
      <c r="Q449" s="141"/>
      <c r="R449" s="141"/>
      <c r="S449" s="148"/>
      <c r="T449" s="419"/>
      <c r="U449" s="559"/>
      <c r="V449" s="141"/>
      <c r="W449" s="141"/>
      <c r="X449" s="141"/>
      <c r="Y449" s="144"/>
      <c r="Z449" s="141"/>
      <c r="AA449" s="141"/>
      <c r="AB449" s="141"/>
      <c r="AC449" s="141"/>
      <c r="AD449" s="141"/>
      <c r="AE449" s="141"/>
      <c r="AF449" s="145"/>
      <c r="AG449" s="419"/>
    </row>
    <row r="450" spans="1:33" s="139" customFormat="1" ht="12.75" customHeight="1" x14ac:dyDescent="0.2">
      <c r="A450" s="141"/>
      <c r="B450" s="141"/>
      <c r="C450" s="141"/>
      <c r="D450" s="142"/>
      <c r="E450" s="1014"/>
      <c r="F450" s="1014"/>
      <c r="G450" s="1027"/>
      <c r="H450" s="1027"/>
      <c r="I450" s="1174"/>
      <c r="J450" s="1174"/>
      <c r="K450" s="1174"/>
      <c r="L450" s="1172"/>
      <c r="M450" s="1172"/>
      <c r="N450" s="1175"/>
      <c r="O450" s="143"/>
      <c r="P450" s="1196"/>
      <c r="Q450" s="141"/>
      <c r="R450" s="141"/>
      <c r="S450" s="148"/>
      <c r="T450" s="419"/>
      <c r="U450" s="559"/>
      <c r="V450" s="141"/>
      <c r="W450" s="141"/>
      <c r="X450" s="141"/>
      <c r="Y450" s="144"/>
      <c r="Z450" s="141"/>
      <c r="AA450" s="141"/>
      <c r="AB450" s="141"/>
      <c r="AC450" s="141"/>
      <c r="AD450" s="141"/>
      <c r="AE450" s="141"/>
      <c r="AF450" s="145"/>
      <c r="AG450" s="419"/>
    </row>
    <row r="451" spans="1:33" s="139" customFormat="1" ht="12.75" customHeight="1" x14ac:dyDescent="0.2">
      <c r="A451" s="141"/>
      <c r="B451" s="141"/>
      <c r="C451" s="141"/>
      <c r="D451" s="142"/>
      <c r="E451" s="1014"/>
      <c r="F451" s="1014"/>
      <c r="G451" s="1027"/>
      <c r="H451" s="1027"/>
      <c r="I451" s="1174"/>
      <c r="J451" s="1174"/>
      <c r="K451" s="1174"/>
      <c r="L451" s="1172"/>
      <c r="M451" s="1172"/>
      <c r="N451" s="1175"/>
      <c r="O451" s="143"/>
      <c r="P451" s="1196"/>
      <c r="Q451" s="141"/>
      <c r="R451" s="141"/>
      <c r="S451" s="148"/>
      <c r="T451" s="419"/>
      <c r="U451" s="559"/>
      <c r="V451" s="141"/>
      <c r="W451" s="141"/>
      <c r="X451" s="141"/>
      <c r="Y451" s="144"/>
      <c r="Z451" s="141"/>
      <c r="AA451" s="141"/>
      <c r="AB451" s="141"/>
      <c r="AC451" s="141"/>
      <c r="AD451" s="141"/>
      <c r="AE451" s="141"/>
      <c r="AF451" s="145"/>
      <c r="AG451" s="419"/>
    </row>
    <row r="452" spans="1:33" s="139" customFormat="1" ht="12.75" customHeight="1" x14ac:dyDescent="0.2">
      <c r="A452" s="141"/>
      <c r="B452" s="141"/>
      <c r="C452" s="141"/>
      <c r="D452" s="142"/>
      <c r="E452" s="1014"/>
      <c r="F452" s="1014"/>
      <c r="G452" s="1027"/>
      <c r="H452" s="1027"/>
      <c r="I452" s="1174"/>
      <c r="J452" s="1174"/>
      <c r="K452" s="1174"/>
      <c r="L452" s="1172"/>
      <c r="M452" s="1172"/>
      <c r="N452" s="1175"/>
      <c r="O452" s="143"/>
      <c r="P452" s="1196"/>
      <c r="Q452" s="141"/>
      <c r="R452" s="141"/>
      <c r="S452" s="148"/>
      <c r="T452" s="419"/>
      <c r="U452" s="559"/>
      <c r="V452" s="141"/>
      <c r="W452" s="141"/>
      <c r="X452" s="141"/>
      <c r="Y452" s="144"/>
      <c r="Z452" s="141"/>
      <c r="AA452" s="141"/>
      <c r="AB452" s="141"/>
      <c r="AC452" s="141"/>
      <c r="AD452" s="141"/>
      <c r="AE452" s="141"/>
      <c r="AF452" s="145"/>
      <c r="AG452" s="419"/>
    </row>
    <row r="453" spans="1:33" s="139" customFormat="1" ht="12.75" customHeight="1" x14ac:dyDescent="0.2">
      <c r="A453" s="141"/>
      <c r="B453" s="141"/>
      <c r="C453" s="141"/>
      <c r="D453" s="142"/>
      <c r="E453" s="1014"/>
      <c r="F453" s="1014"/>
      <c r="G453" s="1027"/>
      <c r="H453" s="1027"/>
      <c r="I453" s="1174"/>
      <c r="J453" s="1174"/>
      <c r="K453" s="1174"/>
      <c r="L453" s="1172"/>
      <c r="M453" s="1172"/>
      <c r="N453" s="1175"/>
      <c r="O453" s="143"/>
      <c r="P453" s="1196"/>
      <c r="Q453" s="141"/>
      <c r="R453" s="141"/>
      <c r="S453" s="148"/>
      <c r="T453" s="419"/>
      <c r="U453" s="559"/>
      <c r="V453" s="141"/>
      <c r="W453" s="141"/>
      <c r="X453" s="141"/>
      <c r="Y453" s="144"/>
      <c r="Z453" s="141"/>
      <c r="AA453" s="141"/>
      <c r="AB453" s="141"/>
      <c r="AC453" s="141"/>
      <c r="AD453" s="141"/>
      <c r="AE453" s="141"/>
      <c r="AF453" s="145"/>
      <c r="AG453" s="419"/>
    </row>
    <row r="454" spans="1:33" s="139" customFormat="1" ht="12.75" customHeight="1" x14ac:dyDescent="0.2">
      <c r="A454" s="141"/>
      <c r="B454" s="141"/>
      <c r="C454" s="141"/>
      <c r="D454" s="142"/>
      <c r="E454" s="1014"/>
      <c r="F454" s="1014"/>
      <c r="G454" s="1027"/>
      <c r="H454" s="1027"/>
      <c r="I454" s="1174"/>
      <c r="J454" s="1174"/>
      <c r="K454" s="1174"/>
      <c r="L454" s="1172"/>
      <c r="M454" s="1172"/>
      <c r="N454" s="1175"/>
      <c r="O454" s="143"/>
      <c r="P454" s="1196"/>
      <c r="Q454" s="141"/>
      <c r="R454" s="141"/>
      <c r="S454" s="148"/>
      <c r="T454" s="419"/>
      <c r="U454" s="559"/>
      <c r="V454" s="141"/>
      <c r="W454" s="141"/>
      <c r="X454" s="141"/>
      <c r="Y454" s="144"/>
      <c r="Z454" s="141"/>
      <c r="AA454" s="141"/>
      <c r="AB454" s="141"/>
      <c r="AC454" s="141"/>
      <c r="AD454" s="141"/>
      <c r="AE454" s="141"/>
      <c r="AF454" s="145"/>
      <c r="AG454" s="419"/>
    </row>
    <row r="455" spans="1:33" s="139" customFormat="1" ht="12.75" customHeight="1" x14ac:dyDescent="0.2">
      <c r="A455" s="141"/>
      <c r="B455" s="141"/>
      <c r="C455" s="141"/>
      <c r="D455" s="142"/>
      <c r="E455" s="1014"/>
      <c r="F455" s="1014"/>
      <c r="G455" s="1027"/>
      <c r="H455" s="1027"/>
      <c r="I455" s="1174"/>
      <c r="J455" s="1174"/>
      <c r="K455" s="1174"/>
      <c r="L455" s="1172"/>
      <c r="M455" s="1172"/>
      <c r="N455" s="1175"/>
      <c r="O455" s="143"/>
      <c r="P455" s="1196"/>
      <c r="Q455" s="141"/>
      <c r="R455" s="141"/>
      <c r="S455" s="148"/>
      <c r="T455" s="419"/>
      <c r="U455" s="559"/>
      <c r="V455" s="141"/>
      <c r="W455" s="141"/>
      <c r="X455" s="141"/>
      <c r="Y455" s="144"/>
      <c r="Z455" s="141"/>
      <c r="AA455" s="141"/>
      <c r="AB455" s="141"/>
      <c r="AC455" s="141"/>
      <c r="AD455" s="141"/>
      <c r="AE455" s="141"/>
      <c r="AF455" s="145"/>
      <c r="AG455" s="419"/>
    </row>
    <row r="456" spans="1:33" s="139" customFormat="1" ht="12.75" customHeight="1" x14ac:dyDescent="0.2">
      <c r="A456" s="141"/>
      <c r="B456" s="141"/>
      <c r="C456" s="141"/>
      <c r="D456" s="142"/>
      <c r="E456" s="1014"/>
      <c r="F456" s="1014"/>
      <c r="G456" s="1027"/>
      <c r="H456" s="1027"/>
      <c r="I456" s="1174"/>
      <c r="J456" s="1174"/>
      <c r="K456" s="1174"/>
      <c r="L456" s="1172"/>
      <c r="M456" s="1172"/>
      <c r="N456" s="1175"/>
      <c r="O456" s="143"/>
      <c r="P456" s="1196"/>
      <c r="Q456" s="141"/>
      <c r="R456" s="141"/>
      <c r="S456" s="148"/>
      <c r="T456" s="419"/>
      <c r="U456" s="559"/>
      <c r="V456" s="141"/>
      <c r="W456" s="141"/>
      <c r="X456" s="141"/>
      <c r="Y456" s="144"/>
      <c r="Z456" s="141"/>
      <c r="AA456" s="141"/>
      <c r="AB456" s="141"/>
      <c r="AC456" s="141"/>
      <c r="AD456" s="141"/>
      <c r="AE456" s="141"/>
      <c r="AF456" s="145"/>
      <c r="AG456" s="419"/>
    </row>
    <row r="457" spans="1:33" s="139" customFormat="1" ht="12.75" customHeight="1" x14ac:dyDescent="0.2">
      <c r="A457" s="141"/>
      <c r="B457" s="141"/>
      <c r="C457" s="141"/>
      <c r="D457" s="142"/>
      <c r="E457" s="1014"/>
      <c r="F457" s="1014"/>
      <c r="G457" s="1027"/>
      <c r="H457" s="1027"/>
      <c r="I457" s="1174"/>
      <c r="J457" s="1174"/>
      <c r="K457" s="1174"/>
      <c r="L457" s="1172"/>
      <c r="M457" s="1172"/>
      <c r="N457" s="1175"/>
      <c r="O457" s="143"/>
      <c r="P457" s="1196"/>
      <c r="Q457" s="141"/>
      <c r="R457" s="141"/>
      <c r="S457" s="148"/>
      <c r="T457" s="419"/>
      <c r="U457" s="559"/>
      <c r="V457" s="141"/>
      <c r="W457" s="141"/>
      <c r="X457" s="141"/>
      <c r="Y457" s="144"/>
      <c r="Z457" s="141"/>
      <c r="AA457" s="141"/>
      <c r="AB457" s="141"/>
      <c r="AC457" s="141"/>
      <c r="AD457" s="141"/>
      <c r="AE457" s="141"/>
      <c r="AF457" s="145"/>
      <c r="AG457" s="419"/>
    </row>
    <row r="458" spans="1:33" s="139" customFormat="1" ht="12.75" customHeight="1" x14ac:dyDescent="0.2">
      <c r="A458" s="141"/>
      <c r="B458" s="141"/>
      <c r="C458" s="141"/>
      <c r="D458" s="142"/>
      <c r="E458" s="1014"/>
      <c r="F458" s="1014"/>
      <c r="G458" s="1027"/>
      <c r="H458" s="1027"/>
      <c r="I458" s="1174"/>
      <c r="J458" s="1174"/>
      <c r="K458" s="1174"/>
      <c r="L458" s="1172"/>
      <c r="M458" s="1172"/>
      <c r="N458" s="1175"/>
      <c r="O458" s="143"/>
      <c r="P458" s="1196"/>
      <c r="Q458" s="141"/>
      <c r="R458" s="141"/>
      <c r="S458" s="148"/>
      <c r="T458" s="419"/>
      <c r="U458" s="559"/>
      <c r="V458" s="141"/>
      <c r="W458" s="141"/>
      <c r="X458" s="141"/>
      <c r="Y458" s="144"/>
      <c r="Z458" s="141"/>
      <c r="AA458" s="141"/>
      <c r="AB458" s="141"/>
      <c r="AC458" s="141"/>
      <c r="AD458" s="141"/>
      <c r="AE458" s="141"/>
      <c r="AF458" s="145"/>
      <c r="AG458" s="419"/>
    </row>
    <row r="459" spans="1:33" s="139" customFormat="1" ht="12.75" customHeight="1" x14ac:dyDescent="0.2">
      <c r="A459" s="141"/>
      <c r="B459" s="141"/>
      <c r="C459" s="141"/>
      <c r="D459" s="142"/>
      <c r="E459" s="1014"/>
      <c r="F459" s="1014"/>
      <c r="G459" s="1027"/>
      <c r="H459" s="1027"/>
      <c r="I459" s="1174"/>
      <c r="J459" s="1174"/>
      <c r="K459" s="1174"/>
      <c r="L459" s="1172"/>
      <c r="M459" s="1172"/>
      <c r="N459" s="1175"/>
      <c r="O459" s="143"/>
      <c r="P459" s="1196"/>
      <c r="Q459" s="141"/>
      <c r="R459" s="141"/>
      <c r="S459" s="148"/>
      <c r="T459" s="419"/>
      <c r="U459" s="559"/>
      <c r="V459" s="141"/>
      <c r="W459" s="141"/>
      <c r="X459" s="141"/>
      <c r="Y459" s="144"/>
      <c r="Z459" s="141"/>
      <c r="AA459" s="141"/>
      <c r="AB459" s="141"/>
      <c r="AC459" s="141"/>
      <c r="AD459" s="141"/>
      <c r="AE459" s="141"/>
      <c r="AF459" s="145"/>
      <c r="AG459" s="419"/>
    </row>
    <row r="460" spans="1:33" s="139" customFormat="1" ht="12.75" customHeight="1" x14ac:dyDescent="0.2">
      <c r="A460" s="141"/>
      <c r="B460" s="141"/>
      <c r="C460" s="141"/>
      <c r="D460" s="142"/>
      <c r="E460" s="1014"/>
      <c r="F460" s="1014"/>
      <c r="G460" s="1027"/>
      <c r="H460" s="1027"/>
      <c r="I460" s="1174"/>
      <c r="J460" s="1174"/>
      <c r="K460" s="1174"/>
      <c r="L460" s="1172"/>
      <c r="M460" s="1172"/>
      <c r="N460" s="1175"/>
      <c r="O460" s="143"/>
      <c r="P460" s="1196"/>
      <c r="Q460" s="141"/>
      <c r="R460" s="141"/>
      <c r="S460" s="148"/>
      <c r="T460" s="419"/>
      <c r="U460" s="559"/>
      <c r="V460" s="141"/>
      <c r="W460" s="141"/>
      <c r="X460" s="141"/>
      <c r="Y460" s="144"/>
      <c r="Z460" s="141"/>
      <c r="AA460" s="141"/>
      <c r="AB460" s="141"/>
      <c r="AC460" s="141"/>
      <c r="AD460" s="141"/>
      <c r="AE460" s="141"/>
      <c r="AF460" s="145"/>
      <c r="AG460" s="419"/>
    </row>
    <row r="461" spans="1:33" s="139" customFormat="1" ht="12.75" customHeight="1" x14ac:dyDescent="0.2">
      <c r="A461" s="141"/>
      <c r="B461" s="141"/>
      <c r="C461" s="141"/>
      <c r="D461" s="142"/>
      <c r="E461" s="1014"/>
      <c r="F461" s="1014"/>
      <c r="G461" s="1027"/>
      <c r="H461" s="1027"/>
      <c r="I461" s="1174"/>
      <c r="J461" s="1174"/>
      <c r="K461" s="1174"/>
      <c r="L461" s="1172"/>
      <c r="M461" s="1172"/>
      <c r="N461" s="1175"/>
      <c r="O461" s="143"/>
      <c r="P461" s="1196"/>
      <c r="Q461" s="141"/>
      <c r="R461" s="141"/>
      <c r="S461" s="148"/>
      <c r="T461" s="419"/>
      <c r="U461" s="559"/>
      <c r="V461" s="141"/>
      <c r="W461" s="141"/>
      <c r="X461" s="141"/>
      <c r="Y461" s="144"/>
      <c r="Z461" s="141"/>
      <c r="AA461" s="141"/>
      <c r="AB461" s="141"/>
      <c r="AC461" s="141"/>
      <c r="AD461" s="141"/>
      <c r="AE461" s="141"/>
      <c r="AF461" s="145"/>
      <c r="AG461" s="419"/>
    </row>
    <row r="462" spans="1:33" s="139" customFormat="1" ht="12.75" customHeight="1" x14ac:dyDescent="0.2">
      <c r="A462" s="141"/>
      <c r="B462" s="141"/>
      <c r="C462" s="141"/>
      <c r="D462" s="142"/>
      <c r="E462" s="1014"/>
      <c r="F462" s="1014"/>
      <c r="G462" s="1027"/>
      <c r="H462" s="1027"/>
      <c r="I462" s="1174"/>
      <c r="J462" s="1174"/>
      <c r="K462" s="1174"/>
      <c r="L462" s="1172"/>
      <c r="M462" s="1172"/>
      <c r="N462" s="1175"/>
      <c r="O462" s="143"/>
      <c r="P462" s="1196"/>
      <c r="Q462" s="141"/>
      <c r="R462" s="141"/>
      <c r="S462" s="148"/>
      <c r="T462" s="419"/>
      <c r="U462" s="559"/>
      <c r="V462" s="141"/>
      <c r="W462" s="141"/>
      <c r="X462" s="141"/>
      <c r="Y462" s="144"/>
      <c r="Z462" s="141"/>
      <c r="AA462" s="141"/>
      <c r="AB462" s="141"/>
      <c r="AC462" s="141"/>
      <c r="AD462" s="141"/>
      <c r="AE462" s="141"/>
      <c r="AF462" s="145"/>
      <c r="AG462" s="419"/>
    </row>
    <row r="463" spans="1:33" s="139" customFormat="1" ht="12.75" customHeight="1" x14ac:dyDescent="0.2">
      <c r="A463" s="141"/>
      <c r="B463" s="141"/>
      <c r="C463" s="141"/>
      <c r="D463" s="142"/>
      <c r="E463" s="1014"/>
      <c r="F463" s="1014"/>
      <c r="G463" s="1027"/>
      <c r="H463" s="1027"/>
      <c r="I463" s="1174"/>
      <c r="J463" s="1174"/>
      <c r="K463" s="1174"/>
      <c r="L463" s="1172"/>
      <c r="M463" s="1172"/>
      <c r="N463" s="1175"/>
      <c r="O463" s="143"/>
      <c r="P463" s="1196"/>
      <c r="Q463" s="141"/>
      <c r="R463" s="141"/>
      <c r="S463" s="148"/>
      <c r="T463" s="419"/>
      <c r="U463" s="559"/>
      <c r="V463" s="141"/>
      <c r="W463" s="141"/>
      <c r="X463" s="141"/>
      <c r="Y463" s="144"/>
      <c r="Z463" s="141"/>
      <c r="AA463" s="141"/>
      <c r="AB463" s="141"/>
      <c r="AC463" s="141"/>
      <c r="AD463" s="141"/>
      <c r="AE463" s="141"/>
      <c r="AF463" s="145"/>
      <c r="AG463" s="419"/>
    </row>
    <row r="464" spans="1:33" s="139" customFormat="1" ht="12.75" customHeight="1" x14ac:dyDescent="0.2">
      <c r="A464" s="141"/>
      <c r="B464" s="141"/>
      <c r="C464" s="141"/>
      <c r="D464" s="142"/>
      <c r="E464" s="1014"/>
      <c r="F464" s="1014"/>
      <c r="G464" s="1027"/>
      <c r="H464" s="1027"/>
      <c r="I464" s="1174"/>
      <c r="J464" s="1174"/>
      <c r="K464" s="1174"/>
      <c r="L464" s="1172"/>
      <c r="M464" s="1172"/>
      <c r="N464" s="1175"/>
      <c r="O464" s="143"/>
      <c r="P464" s="1196"/>
      <c r="Q464" s="141"/>
      <c r="R464" s="141"/>
      <c r="S464" s="148"/>
      <c r="T464" s="419"/>
      <c r="U464" s="559"/>
      <c r="V464" s="141"/>
      <c r="W464" s="141"/>
      <c r="X464" s="141"/>
      <c r="Y464" s="144"/>
      <c r="Z464" s="141"/>
      <c r="AA464" s="141"/>
      <c r="AB464" s="141"/>
      <c r="AC464" s="141"/>
      <c r="AD464" s="141"/>
      <c r="AE464" s="141"/>
      <c r="AF464" s="145"/>
      <c r="AG464" s="419"/>
    </row>
    <row r="465" spans="1:33" s="139" customFormat="1" ht="12.75" customHeight="1" x14ac:dyDescent="0.2">
      <c r="A465" s="141"/>
      <c r="B465" s="141"/>
      <c r="C465" s="141"/>
      <c r="D465" s="142"/>
      <c r="E465" s="1014"/>
      <c r="F465" s="1014"/>
      <c r="G465" s="1027"/>
      <c r="H465" s="1027"/>
      <c r="I465" s="1174"/>
      <c r="J465" s="1174"/>
      <c r="K465" s="1174"/>
      <c r="L465" s="1172"/>
      <c r="M465" s="1172"/>
      <c r="N465" s="1175"/>
      <c r="O465" s="143"/>
      <c r="P465" s="1196"/>
      <c r="Q465" s="141"/>
      <c r="R465" s="141"/>
      <c r="S465" s="148"/>
      <c r="T465" s="419"/>
      <c r="U465" s="559"/>
      <c r="V465" s="141"/>
      <c r="W465" s="141"/>
      <c r="X465" s="141"/>
      <c r="Y465" s="144"/>
      <c r="Z465" s="141"/>
      <c r="AA465" s="141"/>
      <c r="AB465" s="141"/>
      <c r="AC465" s="141"/>
      <c r="AD465" s="141"/>
      <c r="AE465" s="141"/>
      <c r="AF465" s="145"/>
      <c r="AG465" s="419"/>
    </row>
    <row r="466" spans="1:33" s="139" customFormat="1" ht="12.75" customHeight="1" x14ac:dyDescent="0.2">
      <c r="A466" s="141"/>
      <c r="B466" s="141"/>
      <c r="C466" s="141"/>
      <c r="D466" s="142"/>
      <c r="E466" s="1014"/>
      <c r="F466" s="1014"/>
      <c r="G466" s="1027"/>
      <c r="H466" s="1027"/>
      <c r="I466" s="1174"/>
      <c r="J466" s="1174"/>
      <c r="K466" s="1174"/>
      <c r="L466" s="1172"/>
      <c r="M466" s="1172"/>
      <c r="N466" s="1175"/>
      <c r="O466" s="143"/>
      <c r="P466" s="1196"/>
      <c r="Q466" s="141"/>
      <c r="R466" s="141"/>
      <c r="S466" s="148"/>
      <c r="T466" s="419"/>
      <c r="U466" s="559"/>
      <c r="V466" s="141"/>
      <c r="W466" s="141"/>
      <c r="X466" s="141"/>
      <c r="Y466" s="144"/>
      <c r="Z466" s="141"/>
      <c r="AA466" s="141"/>
      <c r="AB466" s="141"/>
      <c r="AC466" s="141"/>
      <c r="AD466" s="141"/>
      <c r="AE466" s="141"/>
      <c r="AF466" s="145"/>
      <c r="AG466" s="419"/>
    </row>
    <row r="467" spans="1:33" s="139" customFormat="1" ht="12.75" customHeight="1" x14ac:dyDescent="0.2">
      <c r="A467" s="141"/>
      <c r="B467" s="141"/>
      <c r="C467" s="141"/>
      <c r="D467" s="142"/>
      <c r="E467" s="1014"/>
      <c r="F467" s="1014"/>
      <c r="G467" s="1027"/>
      <c r="H467" s="1027"/>
      <c r="I467" s="1174"/>
      <c r="J467" s="1174"/>
      <c r="K467" s="1174"/>
      <c r="L467" s="1172"/>
      <c r="M467" s="1172"/>
      <c r="N467" s="1175"/>
      <c r="O467" s="143"/>
      <c r="P467" s="1196"/>
      <c r="Q467" s="141"/>
      <c r="R467" s="141"/>
      <c r="S467" s="148"/>
      <c r="T467" s="419"/>
      <c r="U467" s="559"/>
      <c r="V467" s="141"/>
      <c r="W467" s="141"/>
      <c r="X467" s="141"/>
      <c r="Y467" s="144"/>
      <c r="Z467" s="141"/>
      <c r="AA467" s="141"/>
      <c r="AB467" s="141"/>
      <c r="AC467" s="141"/>
      <c r="AD467" s="141"/>
      <c r="AE467" s="141"/>
      <c r="AF467" s="145"/>
      <c r="AG467" s="419"/>
    </row>
    <row r="468" spans="1:33" s="139" customFormat="1" ht="12.75" customHeight="1" x14ac:dyDescent="0.2">
      <c r="A468" s="141"/>
      <c r="B468" s="141"/>
      <c r="C468" s="141"/>
      <c r="D468" s="142"/>
      <c r="E468" s="1014"/>
      <c r="F468" s="1014"/>
      <c r="G468" s="1027"/>
      <c r="H468" s="1027"/>
      <c r="I468" s="1174"/>
      <c r="J468" s="1174"/>
      <c r="K468" s="1174"/>
      <c r="L468" s="1172"/>
      <c r="M468" s="1172"/>
      <c r="N468" s="1175"/>
      <c r="O468" s="143"/>
      <c r="P468" s="1196"/>
      <c r="Q468" s="141"/>
      <c r="R468" s="141"/>
      <c r="S468" s="148"/>
      <c r="T468" s="419"/>
      <c r="U468" s="559"/>
      <c r="V468" s="141"/>
      <c r="W468" s="141"/>
      <c r="X468" s="141"/>
      <c r="Y468" s="144"/>
      <c r="Z468" s="141"/>
      <c r="AA468" s="141"/>
      <c r="AB468" s="141"/>
      <c r="AC468" s="141"/>
      <c r="AD468" s="141"/>
      <c r="AE468" s="141"/>
      <c r="AF468" s="145"/>
      <c r="AG468" s="419"/>
    </row>
    <row r="469" spans="1:33" s="139" customFormat="1" ht="12.75" customHeight="1" x14ac:dyDescent="0.2">
      <c r="A469" s="141"/>
      <c r="B469" s="141"/>
      <c r="C469" s="141"/>
      <c r="D469" s="142"/>
      <c r="E469" s="1014"/>
      <c r="F469" s="1014"/>
      <c r="G469" s="1027"/>
      <c r="H469" s="1027"/>
      <c r="I469" s="1174"/>
      <c r="J469" s="1174"/>
      <c r="K469" s="1174"/>
      <c r="L469" s="1172"/>
      <c r="M469" s="1172"/>
      <c r="N469" s="1175"/>
      <c r="O469" s="143"/>
      <c r="P469" s="1196"/>
      <c r="Q469" s="141"/>
      <c r="R469" s="141"/>
      <c r="S469" s="148"/>
      <c r="T469" s="419"/>
      <c r="U469" s="559"/>
      <c r="V469" s="141"/>
      <c r="W469" s="141"/>
      <c r="X469" s="141"/>
      <c r="Y469" s="144"/>
      <c r="Z469" s="141"/>
      <c r="AA469" s="141"/>
      <c r="AB469" s="141"/>
      <c r="AC469" s="141"/>
      <c r="AD469" s="141"/>
      <c r="AE469" s="141"/>
      <c r="AF469" s="145"/>
      <c r="AG469" s="419"/>
    </row>
    <row r="470" spans="1:33" s="139" customFormat="1" ht="12.75" customHeight="1" x14ac:dyDescent="0.2">
      <c r="A470" s="141"/>
      <c r="B470" s="141"/>
      <c r="C470" s="141"/>
      <c r="D470" s="142"/>
      <c r="E470" s="1014"/>
      <c r="F470" s="1014"/>
      <c r="G470" s="1027"/>
      <c r="H470" s="1027"/>
      <c r="I470" s="1174"/>
      <c r="J470" s="1174"/>
      <c r="K470" s="1174"/>
      <c r="L470" s="1172"/>
      <c r="M470" s="1172"/>
      <c r="N470" s="1175"/>
      <c r="O470" s="143"/>
      <c r="P470" s="1196"/>
      <c r="Q470" s="141"/>
      <c r="R470" s="141"/>
      <c r="S470" s="148"/>
      <c r="T470" s="419"/>
      <c r="U470" s="559"/>
      <c r="V470" s="141"/>
      <c r="W470" s="141"/>
      <c r="X470" s="141"/>
      <c r="Y470" s="144"/>
      <c r="Z470" s="141"/>
      <c r="AA470" s="141"/>
      <c r="AB470" s="141"/>
      <c r="AC470" s="141"/>
      <c r="AD470" s="141"/>
      <c r="AE470" s="141"/>
      <c r="AF470" s="145"/>
      <c r="AG470" s="419"/>
    </row>
    <row r="471" spans="1:33" s="139" customFormat="1" ht="12.75" customHeight="1" x14ac:dyDescent="0.2">
      <c r="A471" s="141"/>
      <c r="B471" s="141"/>
      <c r="C471" s="141"/>
      <c r="D471" s="142"/>
      <c r="E471" s="1014"/>
      <c r="F471" s="1014"/>
      <c r="G471" s="1027"/>
      <c r="H471" s="1027"/>
      <c r="I471" s="1174"/>
      <c r="J471" s="1174"/>
      <c r="K471" s="1174"/>
      <c r="L471" s="1172"/>
      <c r="M471" s="1172"/>
      <c r="N471" s="1175"/>
      <c r="O471" s="143"/>
      <c r="P471" s="1196"/>
      <c r="Q471" s="141"/>
      <c r="R471" s="141"/>
      <c r="S471" s="148"/>
      <c r="T471" s="419"/>
      <c r="U471" s="559"/>
      <c r="V471" s="141"/>
      <c r="W471" s="141"/>
      <c r="X471" s="141"/>
      <c r="Y471" s="144"/>
      <c r="Z471" s="141"/>
      <c r="AA471" s="141"/>
      <c r="AB471" s="141"/>
      <c r="AC471" s="141"/>
      <c r="AD471" s="141"/>
      <c r="AE471" s="141"/>
      <c r="AF471" s="145"/>
      <c r="AG471" s="419"/>
    </row>
    <row r="472" spans="1:33" s="139" customFormat="1" ht="12.75" customHeight="1" x14ac:dyDescent="0.2">
      <c r="A472" s="141"/>
      <c r="B472" s="141"/>
      <c r="C472" s="141"/>
      <c r="D472" s="142"/>
      <c r="E472" s="1014"/>
      <c r="F472" s="1014"/>
      <c r="G472" s="1027"/>
      <c r="H472" s="1027"/>
      <c r="I472" s="1174"/>
      <c r="J472" s="1174"/>
      <c r="K472" s="1174"/>
      <c r="L472" s="1172"/>
      <c r="M472" s="1172"/>
      <c r="N472" s="1175"/>
      <c r="O472" s="143"/>
      <c r="P472" s="1196"/>
      <c r="Q472" s="141"/>
      <c r="R472" s="141"/>
      <c r="S472" s="148"/>
      <c r="T472" s="419"/>
      <c r="U472" s="559"/>
      <c r="V472" s="141"/>
      <c r="W472" s="141"/>
      <c r="X472" s="141"/>
      <c r="Y472" s="144"/>
      <c r="Z472" s="141"/>
      <c r="AA472" s="141"/>
      <c r="AB472" s="141"/>
      <c r="AC472" s="141"/>
      <c r="AD472" s="141"/>
      <c r="AE472" s="141"/>
      <c r="AF472" s="145"/>
      <c r="AG472" s="419"/>
    </row>
    <row r="473" spans="1:33" s="139" customFormat="1" ht="12.75" customHeight="1" x14ac:dyDescent="0.2">
      <c r="A473" s="141"/>
      <c r="B473" s="141"/>
      <c r="C473" s="141"/>
      <c r="D473" s="142"/>
      <c r="E473" s="1014"/>
      <c r="F473" s="1014"/>
      <c r="G473" s="1027"/>
      <c r="H473" s="1027"/>
      <c r="I473" s="1174"/>
      <c r="J473" s="1174"/>
      <c r="K473" s="1174"/>
      <c r="L473" s="1172"/>
      <c r="M473" s="1172"/>
      <c r="N473" s="1175"/>
      <c r="O473" s="143"/>
      <c r="P473" s="1196"/>
      <c r="Q473" s="141"/>
      <c r="R473" s="141"/>
      <c r="S473" s="148"/>
      <c r="T473" s="419"/>
      <c r="U473" s="559"/>
      <c r="V473" s="141"/>
      <c r="W473" s="141"/>
      <c r="X473" s="141"/>
      <c r="Y473" s="144"/>
      <c r="Z473" s="141"/>
      <c r="AA473" s="141"/>
      <c r="AB473" s="141"/>
      <c r="AC473" s="141"/>
      <c r="AD473" s="141"/>
      <c r="AE473" s="141"/>
      <c r="AF473" s="145"/>
      <c r="AG473" s="419"/>
    </row>
    <row r="474" spans="1:33" s="139" customFormat="1" ht="12.75" customHeight="1" x14ac:dyDescent="0.2">
      <c r="A474" s="141"/>
      <c r="B474" s="141"/>
      <c r="C474" s="141"/>
      <c r="D474" s="142"/>
      <c r="E474" s="1014"/>
      <c r="F474" s="1014"/>
      <c r="G474" s="1027"/>
      <c r="H474" s="1027"/>
      <c r="I474" s="1174"/>
      <c r="J474" s="1174"/>
      <c r="K474" s="1174"/>
      <c r="L474" s="1172"/>
      <c r="M474" s="1172"/>
      <c r="N474" s="1175"/>
      <c r="O474" s="143"/>
      <c r="P474" s="1196"/>
      <c r="Q474" s="141"/>
      <c r="R474" s="141"/>
      <c r="S474" s="148"/>
      <c r="T474" s="419"/>
      <c r="U474" s="559"/>
      <c r="V474" s="141"/>
      <c r="W474" s="141"/>
      <c r="X474" s="141"/>
      <c r="Y474" s="144"/>
      <c r="Z474" s="141"/>
      <c r="AA474" s="141"/>
      <c r="AB474" s="141"/>
      <c r="AC474" s="141"/>
      <c r="AD474" s="141"/>
      <c r="AE474" s="141"/>
      <c r="AF474" s="145"/>
      <c r="AG474" s="419"/>
    </row>
    <row r="475" spans="1:33" s="139" customFormat="1" ht="12.75" customHeight="1" x14ac:dyDescent="0.2">
      <c r="A475" s="141"/>
      <c r="B475" s="141"/>
      <c r="C475" s="141"/>
      <c r="D475" s="142"/>
      <c r="E475" s="1014"/>
      <c r="F475" s="1014"/>
      <c r="G475" s="1027"/>
      <c r="H475" s="1027"/>
      <c r="I475" s="1174"/>
      <c r="J475" s="1174"/>
      <c r="K475" s="1174"/>
      <c r="L475" s="1172"/>
      <c r="M475" s="1172"/>
      <c r="N475" s="1175"/>
      <c r="O475" s="143"/>
      <c r="P475" s="1196"/>
      <c r="Q475" s="141"/>
      <c r="R475" s="141"/>
      <c r="S475" s="148"/>
      <c r="T475" s="419"/>
      <c r="U475" s="559"/>
      <c r="V475" s="141"/>
      <c r="W475" s="141"/>
      <c r="X475" s="141"/>
      <c r="Y475" s="144"/>
      <c r="Z475" s="141"/>
      <c r="AA475" s="141"/>
      <c r="AB475" s="141"/>
      <c r="AC475" s="141"/>
      <c r="AD475" s="141"/>
      <c r="AE475" s="141"/>
      <c r="AF475" s="145"/>
      <c r="AG475" s="419"/>
    </row>
    <row r="476" spans="1:33" s="139" customFormat="1" ht="12.75" customHeight="1" x14ac:dyDescent="0.2">
      <c r="A476" s="141"/>
      <c r="B476" s="141"/>
      <c r="C476" s="141"/>
      <c r="D476" s="142"/>
      <c r="E476" s="1014"/>
      <c r="F476" s="1014"/>
      <c r="G476" s="1027"/>
      <c r="H476" s="1027"/>
      <c r="I476" s="1174"/>
      <c r="J476" s="1174"/>
      <c r="K476" s="1174"/>
      <c r="L476" s="1172"/>
      <c r="M476" s="1172"/>
      <c r="N476" s="1175"/>
      <c r="O476" s="143"/>
      <c r="P476" s="1196"/>
      <c r="Q476" s="141"/>
      <c r="R476" s="141"/>
      <c r="S476" s="148"/>
      <c r="T476" s="419"/>
      <c r="U476" s="559"/>
      <c r="V476" s="141"/>
      <c r="W476" s="141"/>
      <c r="X476" s="141"/>
      <c r="Y476" s="144"/>
      <c r="Z476" s="141"/>
      <c r="AA476" s="141"/>
      <c r="AB476" s="141"/>
      <c r="AC476" s="141"/>
      <c r="AD476" s="141"/>
      <c r="AE476" s="141"/>
      <c r="AF476" s="145"/>
      <c r="AG476" s="419"/>
    </row>
    <row r="477" spans="1:33" s="139" customFormat="1" ht="12.75" customHeight="1" x14ac:dyDescent="0.2">
      <c r="A477" s="141"/>
      <c r="B477" s="141"/>
      <c r="C477" s="141"/>
      <c r="D477" s="142"/>
      <c r="E477" s="1014"/>
      <c r="F477" s="1014"/>
      <c r="G477" s="1027"/>
      <c r="H477" s="1027"/>
      <c r="I477" s="1174"/>
      <c r="J477" s="1174"/>
      <c r="K477" s="1174"/>
      <c r="L477" s="1172"/>
      <c r="M477" s="1172"/>
      <c r="N477" s="1175"/>
      <c r="O477" s="143"/>
      <c r="P477" s="1196"/>
      <c r="Q477" s="141"/>
      <c r="R477" s="141"/>
      <c r="S477" s="148"/>
      <c r="T477" s="419"/>
      <c r="U477" s="559"/>
      <c r="V477" s="141"/>
      <c r="W477" s="141"/>
      <c r="X477" s="141"/>
      <c r="Y477" s="144"/>
      <c r="Z477" s="141"/>
      <c r="AA477" s="141"/>
      <c r="AB477" s="141"/>
      <c r="AC477" s="141"/>
      <c r="AD477" s="141"/>
      <c r="AE477" s="141"/>
      <c r="AF477" s="145"/>
      <c r="AG477" s="419"/>
    </row>
    <row r="478" spans="1:33" s="139" customFormat="1" ht="12.75" customHeight="1" x14ac:dyDescent="0.2">
      <c r="A478" s="141"/>
      <c r="B478" s="141"/>
      <c r="C478" s="141"/>
      <c r="D478" s="142"/>
      <c r="E478" s="1014"/>
      <c r="F478" s="1014"/>
      <c r="G478" s="1027"/>
      <c r="H478" s="1027"/>
      <c r="I478" s="1174"/>
      <c r="J478" s="1174"/>
      <c r="K478" s="1174"/>
      <c r="L478" s="1172"/>
      <c r="M478" s="1172"/>
      <c r="N478" s="1175"/>
      <c r="O478" s="143"/>
      <c r="P478" s="1196"/>
      <c r="Q478" s="141"/>
      <c r="R478" s="141"/>
      <c r="S478" s="148"/>
      <c r="T478" s="419"/>
      <c r="U478" s="559"/>
      <c r="V478" s="141"/>
      <c r="W478" s="141"/>
      <c r="X478" s="141"/>
      <c r="Y478" s="144"/>
      <c r="Z478" s="141"/>
      <c r="AA478" s="141"/>
      <c r="AB478" s="141"/>
      <c r="AC478" s="141"/>
      <c r="AD478" s="141"/>
      <c r="AE478" s="141"/>
      <c r="AF478" s="145"/>
      <c r="AG478" s="419"/>
    </row>
    <row r="479" spans="1:33" s="139" customFormat="1" ht="12.75" customHeight="1" x14ac:dyDescent="0.2">
      <c r="A479" s="141"/>
      <c r="B479" s="141"/>
      <c r="C479" s="141"/>
      <c r="D479" s="142"/>
      <c r="E479" s="1014"/>
      <c r="F479" s="1014"/>
      <c r="G479" s="1027"/>
      <c r="H479" s="1027"/>
      <c r="I479" s="1174"/>
      <c r="J479" s="1174"/>
      <c r="K479" s="1174"/>
      <c r="L479" s="1172"/>
      <c r="M479" s="1172"/>
      <c r="N479" s="1175"/>
      <c r="O479" s="143"/>
      <c r="P479" s="1196"/>
      <c r="Q479" s="141"/>
      <c r="R479" s="141"/>
      <c r="S479" s="148"/>
      <c r="T479" s="419"/>
      <c r="U479" s="559"/>
      <c r="V479" s="141"/>
      <c r="W479" s="141"/>
      <c r="X479" s="141"/>
      <c r="Y479" s="144"/>
      <c r="Z479" s="141"/>
      <c r="AA479" s="141"/>
      <c r="AB479" s="141"/>
      <c r="AC479" s="141"/>
      <c r="AD479" s="141"/>
      <c r="AE479" s="141"/>
      <c r="AF479" s="145"/>
      <c r="AG479" s="419"/>
    </row>
    <row r="480" spans="1:33" s="139" customFormat="1" ht="12.75" customHeight="1" x14ac:dyDescent="0.2">
      <c r="A480" s="141"/>
      <c r="B480" s="141"/>
      <c r="C480" s="141"/>
      <c r="D480" s="142"/>
      <c r="E480" s="1014"/>
      <c r="F480" s="1014"/>
      <c r="G480" s="1027"/>
      <c r="H480" s="1027"/>
      <c r="I480" s="1174"/>
      <c r="J480" s="1174"/>
      <c r="K480" s="1174"/>
      <c r="L480" s="1172"/>
      <c r="M480" s="1172"/>
      <c r="N480" s="1175"/>
      <c r="O480" s="143"/>
      <c r="P480" s="1196"/>
      <c r="Q480" s="141"/>
      <c r="R480" s="141"/>
      <c r="S480" s="148"/>
      <c r="T480" s="419"/>
      <c r="U480" s="559"/>
      <c r="V480" s="141"/>
      <c r="W480" s="141"/>
      <c r="X480" s="141"/>
      <c r="Y480" s="144"/>
      <c r="Z480" s="141"/>
      <c r="AA480" s="141"/>
      <c r="AB480" s="141"/>
      <c r="AC480" s="141"/>
      <c r="AD480" s="141"/>
      <c r="AE480" s="141"/>
      <c r="AF480" s="145"/>
      <c r="AG480" s="419"/>
    </row>
    <row r="481" spans="1:33" s="139" customFormat="1" ht="12.75" customHeight="1" x14ac:dyDescent="0.2">
      <c r="A481" s="141"/>
      <c r="B481" s="141"/>
      <c r="C481" s="141"/>
      <c r="D481" s="142"/>
      <c r="E481" s="1014"/>
      <c r="F481" s="1014"/>
      <c r="G481" s="1027"/>
      <c r="H481" s="1027"/>
      <c r="I481" s="1174"/>
      <c r="J481" s="1174"/>
      <c r="K481" s="1174"/>
      <c r="L481" s="1172"/>
      <c r="M481" s="1172"/>
      <c r="N481" s="1175"/>
      <c r="O481" s="143"/>
      <c r="P481" s="1196"/>
      <c r="Q481" s="141"/>
      <c r="R481" s="141"/>
      <c r="S481" s="148"/>
      <c r="T481" s="419"/>
      <c r="U481" s="559"/>
      <c r="V481" s="141"/>
      <c r="W481" s="141"/>
      <c r="X481" s="141"/>
      <c r="Y481" s="144"/>
      <c r="Z481" s="141"/>
      <c r="AA481" s="141"/>
      <c r="AB481" s="141"/>
      <c r="AC481" s="141"/>
      <c r="AD481" s="141"/>
      <c r="AE481" s="141"/>
      <c r="AF481" s="145"/>
      <c r="AG481" s="419"/>
    </row>
    <row r="482" spans="1:33" s="139" customFormat="1" ht="12.75" customHeight="1" x14ac:dyDescent="0.2">
      <c r="A482" s="141"/>
      <c r="B482" s="141"/>
      <c r="C482" s="141"/>
      <c r="D482" s="142"/>
      <c r="E482" s="1014"/>
      <c r="F482" s="1014"/>
      <c r="G482" s="1027"/>
      <c r="H482" s="1027"/>
      <c r="I482" s="1174"/>
      <c r="J482" s="1174"/>
      <c r="K482" s="1174"/>
      <c r="L482" s="1172"/>
      <c r="M482" s="1172"/>
      <c r="N482" s="1175"/>
      <c r="O482" s="143"/>
      <c r="P482" s="1196"/>
      <c r="Q482" s="141"/>
      <c r="R482" s="141"/>
      <c r="S482" s="148"/>
      <c r="T482" s="419"/>
      <c r="U482" s="559"/>
      <c r="V482" s="141"/>
      <c r="W482" s="141"/>
      <c r="X482" s="141"/>
      <c r="Y482" s="144"/>
      <c r="Z482" s="141"/>
      <c r="AA482" s="141"/>
      <c r="AB482" s="141"/>
      <c r="AC482" s="141"/>
      <c r="AD482" s="141"/>
      <c r="AE482" s="141"/>
      <c r="AF482" s="145"/>
      <c r="AG482" s="419"/>
    </row>
    <row r="483" spans="1:33" s="139" customFormat="1" ht="12.75" customHeight="1" x14ac:dyDescent="0.2">
      <c r="A483" s="141"/>
      <c r="B483" s="141"/>
      <c r="C483" s="141"/>
      <c r="D483" s="142"/>
      <c r="E483" s="1014"/>
      <c r="F483" s="1014"/>
      <c r="G483" s="1027"/>
      <c r="H483" s="1027"/>
      <c r="I483" s="1174"/>
      <c r="J483" s="1174"/>
      <c r="K483" s="1174"/>
      <c r="L483" s="1172"/>
      <c r="M483" s="1172"/>
      <c r="N483" s="1175"/>
      <c r="O483" s="143"/>
      <c r="P483" s="1196"/>
      <c r="Q483" s="141"/>
      <c r="R483" s="141"/>
      <c r="S483" s="148"/>
      <c r="T483" s="419"/>
      <c r="U483" s="559"/>
      <c r="V483" s="141"/>
      <c r="W483" s="141"/>
      <c r="X483" s="141"/>
      <c r="Y483" s="144"/>
      <c r="Z483" s="141"/>
      <c r="AA483" s="141"/>
      <c r="AB483" s="141"/>
      <c r="AC483" s="141"/>
      <c r="AD483" s="141"/>
      <c r="AE483" s="141"/>
      <c r="AF483" s="145"/>
      <c r="AG483" s="419"/>
    </row>
    <row r="484" spans="1:33" s="139" customFormat="1" ht="12.75" customHeight="1" x14ac:dyDescent="0.2">
      <c r="A484" s="141"/>
      <c r="B484" s="141"/>
      <c r="C484" s="141"/>
      <c r="D484" s="142"/>
      <c r="E484" s="1014"/>
      <c r="F484" s="1014"/>
      <c r="G484" s="1027"/>
      <c r="H484" s="1027"/>
      <c r="I484" s="1174"/>
      <c r="J484" s="1174"/>
      <c r="K484" s="1174"/>
      <c r="L484" s="1172"/>
      <c r="M484" s="1172"/>
      <c r="N484" s="1175"/>
      <c r="O484" s="143"/>
      <c r="P484" s="1196"/>
      <c r="Q484" s="141"/>
      <c r="R484" s="141"/>
      <c r="S484" s="148"/>
      <c r="T484" s="419"/>
      <c r="U484" s="559"/>
      <c r="V484" s="141"/>
      <c r="W484" s="141"/>
      <c r="X484" s="141"/>
      <c r="Y484" s="144"/>
      <c r="Z484" s="141"/>
      <c r="AA484" s="141"/>
      <c r="AB484" s="141"/>
      <c r="AC484" s="141"/>
      <c r="AD484" s="141"/>
      <c r="AE484" s="141"/>
      <c r="AF484" s="145"/>
      <c r="AG484" s="419"/>
    </row>
    <row r="485" spans="1:33" s="139" customFormat="1" ht="12.75" customHeight="1" x14ac:dyDescent="0.2">
      <c r="A485" s="141"/>
      <c r="B485" s="141"/>
      <c r="C485" s="141"/>
      <c r="D485" s="142"/>
      <c r="E485" s="1014"/>
      <c r="F485" s="1014"/>
      <c r="G485" s="1027"/>
      <c r="H485" s="1027"/>
      <c r="I485" s="1174"/>
      <c r="J485" s="1174"/>
      <c r="K485" s="1174"/>
      <c r="L485" s="1172"/>
      <c r="M485" s="1172"/>
      <c r="N485" s="1175"/>
      <c r="O485" s="143"/>
      <c r="P485" s="1196"/>
      <c r="Q485" s="141"/>
      <c r="R485" s="141"/>
      <c r="S485" s="148"/>
      <c r="T485" s="419"/>
      <c r="U485" s="559"/>
      <c r="V485" s="141"/>
      <c r="W485" s="141"/>
      <c r="X485" s="141"/>
      <c r="Y485" s="144"/>
      <c r="Z485" s="141"/>
      <c r="AA485" s="141"/>
      <c r="AB485" s="141"/>
      <c r="AC485" s="141"/>
      <c r="AD485" s="141"/>
      <c r="AE485" s="141"/>
      <c r="AF485" s="145"/>
      <c r="AG485" s="419"/>
    </row>
    <row r="486" spans="1:33" s="139" customFormat="1" ht="12.75" customHeight="1" x14ac:dyDescent="0.2">
      <c r="A486" s="141"/>
      <c r="B486" s="141"/>
      <c r="C486" s="141"/>
      <c r="D486" s="142"/>
      <c r="E486" s="1014"/>
      <c r="F486" s="1014"/>
      <c r="G486" s="1027"/>
      <c r="H486" s="1027"/>
      <c r="I486" s="1174"/>
      <c r="J486" s="1174"/>
      <c r="K486" s="1174"/>
      <c r="L486" s="1172"/>
      <c r="M486" s="1172"/>
      <c r="N486" s="1175"/>
      <c r="O486" s="143"/>
      <c r="P486" s="1196"/>
      <c r="Q486" s="141"/>
      <c r="R486" s="141"/>
      <c r="S486" s="148"/>
      <c r="T486" s="419"/>
      <c r="U486" s="559"/>
      <c r="V486" s="141"/>
      <c r="W486" s="141"/>
      <c r="X486" s="141"/>
      <c r="Y486" s="144"/>
      <c r="Z486" s="141"/>
      <c r="AA486" s="141"/>
      <c r="AB486" s="141"/>
      <c r="AC486" s="141"/>
      <c r="AD486" s="141"/>
      <c r="AE486" s="141"/>
      <c r="AF486" s="145"/>
      <c r="AG486" s="419"/>
    </row>
    <row r="487" spans="1:33" s="139" customFormat="1" ht="12.75" customHeight="1" x14ac:dyDescent="0.2">
      <c r="A487" s="141"/>
      <c r="B487" s="141"/>
      <c r="C487" s="141"/>
      <c r="D487" s="142"/>
      <c r="E487" s="1014"/>
      <c r="F487" s="1014"/>
      <c r="G487" s="1027"/>
      <c r="H487" s="1027"/>
      <c r="I487" s="1174"/>
      <c r="J487" s="1174"/>
      <c r="K487" s="1174"/>
      <c r="L487" s="1172"/>
      <c r="M487" s="1172"/>
      <c r="N487" s="1175"/>
      <c r="O487" s="143"/>
      <c r="P487" s="1196"/>
      <c r="Q487" s="141"/>
      <c r="R487" s="141"/>
      <c r="S487" s="148"/>
      <c r="T487" s="419"/>
      <c r="U487" s="559"/>
      <c r="V487" s="141"/>
      <c r="W487" s="141"/>
      <c r="X487" s="141"/>
      <c r="Y487" s="144"/>
      <c r="Z487" s="141"/>
      <c r="AA487" s="141"/>
      <c r="AB487" s="141"/>
      <c r="AC487" s="141"/>
      <c r="AD487" s="141"/>
      <c r="AE487" s="141"/>
      <c r="AF487" s="145"/>
      <c r="AG487" s="419"/>
    </row>
    <row r="488" spans="1:33" s="139" customFormat="1" ht="12.75" customHeight="1" x14ac:dyDescent="0.2">
      <c r="A488" s="141"/>
      <c r="B488" s="141"/>
      <c r="C488" s="141"/>
      <c r="D488" s="142"/>
      <c r="E488" s="1014"/>
      <c r="F488" s="1014"/>
      <c r="G488" s="1027"/>
      <c r="H488" s="1027"/>
      <c r="I488" s="1174"/>
      <c r="J488" s="1174"/>
      <c r="K488" s="1174"/>
      <c r="L488" s="1172"/>
      <c r="M488" s="1172"/>
      <c r="N488" s="1175"/>
      <c r="O488" s="143"/>
      <c r="P488" s="1196"/>
      <c r="Q488" s="141"/>
      <c r="R488" s="141"/>
      <c r="S488" s="148"/>
      <c r="T488" s="419"/>
      <c r="U488" s="559"/>
      <c r="V488" s="141"/>
      <c r="W488" s="141"/>
      <c r="X488" s="141"/>
      <c r="Y488" s="144"/>
      <c r="Z488" s="141"/>
      <c r="AA488" s="141"/>
      <c r="AB488" s="141"/>
      <c r="AC488" s="141"/>
      <c r="AD488" s="141"/>
      <c r="AE488" s="141"/>
      <c r="AF488" s="145"/>
      <c r="AG488" s="419"/>
    </row>
    <row r="489" spans="1:33" s="139" customFormat="1" ht="12.75" customHeight="1" x14ac:dyDescent="0.2">
      <c r="A489" s="141"/>
      <c r="B489" s="141"/>
      <c r="C489" s="141"/>
      <c r="D489" s="142"/>
      <c r="E489" s="1014"/>
      <c r="F489" s="1014"/>
      <c r="G489" s="1027"/>
      <c r="H489" s="1027"/>
      <c r="I489" s="1174"/>
      <c r="J489" s="1174"/>
      <c r="K489" s="1174"/>
      <c r="L489" s="1172"/>
      <c r="M489" s="1172"/>
      <c r="N489" s="1175"/>
      <c r="O489" s="143"/>
      <c r="P489" s="1196"/>
      <c r="Q489" s="141"/>
      <c r="R489" s="141"/>
      <c r="S489" s="148"/>
      <c r="T489" s="419"/>
      <c r="U489" s="559"/>
      <c r="V489" s="141"/>
      <c r="W489" s="141"/>
      <c r="X489" s="141"/>
      <c r="Y489" s="144"/>
      <c r="Z489" s="141"/>
      <c r="AA489" s="141"/>
      <c r="AB489" s="141"/>
      <c r="AC489" s="141"/>
      <c r="AD489" s="141"/>
      <c r="AE489" s="141"/>
      <c r="AF489" s="145"/>
      <c r="AG489" s="419"/>
    </row>
    <row r="490" spans="1:33" s="139" customFormat="1" ht="12.75" customHeight="1" x14ac:dyDescent="0.2">
      <c r="A490" s="141"/>
      <c r="B490" s="141"/>
      <c r="C490" s="141"/>
      <c r="D490" s="142"/>
      <c r="E490" s="1014"/>
      <c r="F490" s="1014"/>
      <c r="G490" s="1027"/>
      <c r="H490" s="1027"/>
      <c r="I490" s="1174"/>
      <c r="J490" s="1174"/>
      <c r="K490" s="1174"/>
      <c r="L490" s="1172"/>
      <c r="M490" s="1172"/>
      <c r="N490" s="1175"/>
      <c r="O490" s="143"/>
      <c r="P490" s="1196"/>
      <c r="Q490" s="141"/>
      <c r="R490" s="141"/>
      <c r="S490" s="148"/>
      <c r="T490" s="419"/>
      <c r="U490" s="559"/>
      <c r="V490" s="141"/>
      <c r="W490" s="141"/>
      <c r="X490" s="141"/>
      <c r="Y490" s="144"/>
      <c r="Z490" s="141"/>
      <c r="AA490" s="141"/>
      <c r="AB490" s="141"/>
      <c r="AC490" s="141"/>
      <c r="AD490" s="141"/>
      <c r="AE490" s="141"/>
      <c r="AF490" s="145"/>
      <c r="AG490" s="419"/>
    </row>
    <row r="491" spans="1:33" s="139" customFormat="1" ht="12.75" customHeight="1" x14ac:dyDescent="0.2">
      <c r="A491" s="141"/>
      <c r="B491" s="141"/>
      <c r="C491" s="141"/>
      <c r="D491" s="142"/>
      <c r="E491" s="1014"/>
      <c r="F491" s="1014"/>
      <c r="G491" s="1027"/>
      <c r="H491" s="1027"/>
      <c r="I491" s="1174"/>
      <c r="J491" s="1174"/>
      <c r="K491" s="1174"/>
      <c r="L491" s="1172"/>
      <c r="M491" s="1172"/>
      <c r="N491" s="1175"/>
      <c r="O491" s="143"/>
      <c r="P491" s="1196"/>
      <c r="Q491" s="141"/>
      <c r="R491" s="141"/>
      <c r="S491" s="148"/>
      <c r="T491" s="419"/>
      <c r="U491" s="559"/>
      <c r="V491" s="141"/>
      <c r="W491" s="141"/>
      <c r="X491" s="141"/>
      <c r="Y491" s="144"/>
      <c r="Z491" s="141"/>
      <c r="AA491" s="141"/>
      <c r="AB491" s="141"/>
      <c r="AC491" s="141"/>
      <c r="AD491" s="141"/>
      <c r="AE491" s="141"/>
      <c r="AF491" s="145"/>
      <c r="AG491" s="419"/>
    </row>
    <row r="492" spans="1:33" s="139" customFormat="1" ht="12.75" customHeight="1" x14ac:dyDescent="0.2">
      <c r="A492" s="141"/>
      <c r="B492" s="141"/>
      <c r="C492" s="141"/>
      <c r="D492" s="142"/>
      <c r="E492" s="1014"/>
      <c r="F492" s="1014"/>
      <c r="G492" s="1027"/>
      <c r="H492" s="1027"/>
      <c r="I492" s="1174"/>
      <c r="J492" s="1174"/>
      <c r="K492" s="1174"/>
      <c r="L492" s="1172"/>
      <c r="M492" s="1172"/>
      <c r="N492" s="1175"/>
      <c r="O492" s="143"/>
      <c r="P492" s="1196"/>
      <c r="Q492" s="141"/>
      <c r="R492" s="141"/>
      <c r="S492" s="148"/>
      <c r="T492" s="419"/>
      <c r="U492" s="559"/>
      <c r="V492" s="141"/>
      <c r="W492" s="141"/>
      <c r="X492" s="141"/>
      <c r="Y492" s="144"/>
      <c r="Z492" s="141"/>
      <c r="AA492" s="141"/>
      <c r="AB492" s="141"/>
      <c r="AC492" s="141"/>
      <c r="AD492" s="141"/>
      <c r="AE492" s="141"/>
      <c r="AF492" s="145"/>
      <c r="AG492" s="419"/>
    </row>
    <row r="493" spans="1:33" s="139" customFormat="1" ht="12.75" customHeight="1" x14ac:dyDescent="0.2">
      <c r="A493" s="141"/>
      <c r="B493" s="141"/>
      <c r="C493" s="141"/>
      <c r="D493" s="142"/>
      <c r="E493" s="1014"/>
      <c r="F493" s="1014"/>
      <c r="G493" s="1027"/>
      <c r="H493" s="1027"/>
      <c r="I493" s="1174"/>
      <c r="J493" s="1174"/>
      <c r="K493" s="1174"/>
      <c r="L493" s="1172"/>
      <c r="M493" s="1172"/>
      <c r="N493" s="1175"/>
      <c r="O493" s="143"/>
      <c r="P493" s="1196"/>
      <c r="Q493" s="141"/>
      <c r="R493" s="141"/>
      <c r="S493" s="148"/>
      <c r="T493" s="419"/>
      <c r="U493" s="559"/>
      <c r="V493" s="141"/>
      <c r="W493" s="141"/>
      <c r="X493" s="141"/>
      <c r="Y493" s="144"/>
      <c r="Z493" s="141"/>
      <c r="AA493" s="141"/>
      <c r="AB493" s="141"/>
      <c r="AC493" s="141"/>
      <c r="AD493" s="141"/>
      <c r="AE493" s="141"/>
      <c r="AF493" s="145"/>
      <c r="AG493" s="419"/>
    </row>
    <row r="494" spans="1:33" s="139" customFormat="1" ht="12.75" customHeight="1" x14ac:dyDescent="0.2">
      <c r="A494" s="141"/>
      <c r="B494" s="141"/>
      <c r="C494" s="141"/>
      <c r="D494" s="142"/>
      <c r="E494" s="1014"/>
      <c r="F494" s="1014"/>
      <c r="G494" s="1027"/>
      <c r="H494" s="1027"/>
      <c r="I494" s="1174"/>
      <c r="J494" s="1174"/>
      <c r="K494" s="1174"/>
      <c r="L494" s="1172"/>
      <c r="M494" s="1172"/>
      <c r="N494" s="1175"/>
      <c r="O494" s="143"/>
      <c r="P494" s="1196"/>
      <c r="Q494" s="141"/>
      <c r="R494" s="141"/>
      <c r="S494" s="148"/>
      <c r="T494" s="419"/>
      <c r="U494" s="559"/>
      <c r="V494" s="141"/>
      <c r="W494" s="141"/>
      <c r="X494" s="141"/>
      <c r="Y494" s="144"/>
      <c r="Z494" s="141"/>
      <c r="AA494" s="141"/>
      <c r="AB494" s="141"/>
      <c r="AC494" s="141"/>
      <c r="AD494" s="141"/>
      <c r="AE494" s="141"/>
      <c r="AF494" s="145"/>
      <c r="AG494" s="419"/>
    </row>
    <row r="495" spans="1:33" s="139" customFormat="1" ht="12.75" customHeight="1" x14ac:dyDescent="0.2">
      <c r="A495" s="141"/>
      <c r="B495" s="141"/>
      <c r="C495" s="141"/>
      <c r="D495" s="142"/>
      <c r="E495" s="1014"/>
      <c r="F495" s="1014"/>
      <c r="G495" s="1027"/>
      <c r="H495" s="1027"/>
      <c r="I495" s="1174"/>
      <c r="J495" s="1174"/>
      <c r="K495" s="1174"/>
      <c r="L495" s="1172"/>
      <c r="M495" s="1172"/>
      <c r="N495" s="1175"/>
      <c r="O495" s="143"/>
      <c r="P495" s="1196"/>
      <c r="Q495" s="141"/>
      <c r="R495" s="141"/>
      <c r="S495" s="148"/>
      <c r="T495" s="419"/>
      <c r="U495" s="559"/>
      <c r="V495" s="141"/>
      <c r="W495" s="141"/>
      <c r="X495" s="141"/>
      <c r="Y495" s="144"/>
      <c r="Z495" s="141"/>
      <c r="AA495" s="141"/>
      <c r="AB495" s="141"/>
      <c r="AC495" s="141"/>
      <c r="AD495" s="141"/>
      <c r="AE495" s="141"/>
      <c r="AF495" s="145"/>
      <c r="AG495" s="419"/>
    </row>
    <row r="496" spans="1:33" s="139" customFormat="1" ht="12.75" customHeight="1" x14ac:dyDescent="0.2">
      <c r="A496" s="141"/>
      <c r="B496" s="141"/>
      <c r="C496" s="141"/>
      <c r="D496" s="142"/>
      <c r="E496" s="1014"/>
      <c r="F496" s="1014"/>
      <c r="G496" s="1027"/>
      <c r="H496" s="1027"/>
      <c r="I496" s="1174"/>
      <c r="J496" s="1174"/>
      <c r="K496" s="1174"/>
      <c r="L496" s="1172"/>
      <c r="M496" s="1172"/>
      <c r="N496" s="1175"/>
      <c r="O496" s="143"/>
      <c r="P496" s="1196"/>
      <c r="Q496" s="141"/>
      <c r="R496" s="141"/>
      <c r="S496" s="148"/>
      <c r="T496" s="419"/>
      <c r="U496" s="559"/>
      <c r="V496" s="141"/>
      <c r="W496" s="141"/>
      <c r="X496" s="141"/>
      <c r="Y496" s="144"/>
      <c r="Z496" s="141"/>
      <c r="AA496" s="141"/>
      <c r="AB496" s="141"/>
      <c r="AC496" s="141"/>
      <c r="AD496" s="141"/>
      <c r="AE496" s="141"/>
      <c r="AF496" s="145"/>
      <c r="AG496" s="419"/>
    </row>
    <row r="497" spans="1:33" s="139" customFormat="1" ht="12.75" customHeight="1" x14ac:dyDescent="0.2">
      <c r="A497" s="141"/>
      <c r="B497" s="141"/>
      <c r="C497" s="141"/>
      <c r="D497" s="142"/>
      <c r="E497" s="1014"/>
      <c r="F497" s="1014"/>
      <c r="G497" s="1027"/>
      <c r="H497" s="1027"/>
      <c r="I497" s="1174"/>
      <c r="J497" s="1174"/>
      <c r="K497" s="1174"/>
      <c r="L497" s="1172"/>
      <c r="M497" s="1172"/>
      <c r="N497" s="1175"/>
      <c r="O497" s="143"/>
      <c r="P497" s="1196"/>
      <c r="Q497" s="141"/>
      <c r="R497" s="141"/>
      <c r="S497" s="148"/>
      <c r="T497" s="419"/>
      <c r="U497" s="559"/>
      <c r="V497" s="141"/>
      <c r="W497" s="141"/>
      <c r="X497" s="141"/>
      <c r="Y497" s="144"/>
      <c r="Z497" s="141"/>
      <c r="AA497" s="141"/>
      <c r="AB497" s="141"/>
      <c r="AC497" s="141"/>
      <c r="AD497" s="141"/>
      <c r="AE497" s="141"/>
      <c r="AF497" s="145"/>
      <c r="AG497" s="419"/>
    </row>
    <row r="498" spans="1:33" s="139" customFormat="1" ht="12.75" customHeight="1" x14ac:dyDescent="0.2">
      <c r="A498" s="141"/>
      <c r="B498" s="141"/>
      <c r="C498" s="141"/>
      <c r="D498" s="142"/>
      <c r="E498" s="1014"/>
      <c r="F498" s="1014"/>
      <c r="G498" s="1027"/>
      <c r="H498" s="1027"/>
      <c r="I498" s="1174"/>
      <c r="J498" s="1174"/>
      <c r="K498" s="1174"/>
      <c r="L498" s="1172"/>
      <c r="M498" s="1172"/>
      <c r="N498" s="1175"/>
      <c r="O498" s="143"/>
      <c r="P498" s="1196"/>
      <c r="Q498" s="141"/>
      <c r="R498" s="141"/>
      <c r="S498" s="148"/>
      <c r="T498" s="419"/>
      <c r="U498" s="559"/>
      <c r="V498" s="141"/>
      <c r="W498" s="141"/>
      <c r="X498" s="141"/>
      <c r="Y498" s="144"/>
      <c r="Z498" s="141"/>
      <c r="AA498" s="141"/>
      <c r="AB498" s="141"/>
      <c r="AC498" s="141"/>
      <c r="AD498" s="141"/>
      <c r="AE498" s="141"/>
      <c r="AF498" s="145"/>
      <c r="AG498" s="419"/>
    </row>
    <row r="499" spans="1:33" s="139" customFormat="1" ht="12.75" customHeight="1" x14ac:dyDescent="0.2">
      <c r="A499" s="141"/>
      <c r="B499" s="141"/>
      <c r="C499" s="141"/>
      <c r="D499" s="142"/>
      <c r="E499" s="1014"/>
      <c r="F499" s="1014"/>
      <c r="G499" s="1027"/>
      <c r="H499" s="1027"/>
      <c r="I499" s="1174"/>
      <c r="J499" s="1174"/>
      <c r="K499" s="1174"/>
      <c r="L499" s="1172"/>
      <c r="M499" s="1172"/>
      <c r="N499" s="1175"/>
      <c r="O499" s="143"/>
      <c r="P499" s="1196"/>
      <c r="Q499" s="141"/>
      <c r="R499" s="141"/>
      <c r="S499" s="148"/>
      <c r="T499" s="419"/>
      <c r="U499" s="559"/>
      <c r="V499" s="141"/>
      <c r="W499" s="141"/>
      <c r="X499" s="141"/>
      <c r="Y499" s="144"/>
      <c r="Z499" s="141"/>
      <c r="AA499" s="141"/>
      <c r="AB499" s="141"/>
      <c r="AC499" s="141"/>
      <c r="AD499" s="141"/>
      <c r="AE499" s="141"/>
      <c r="AF499" s="145"/>
      <c r="AG499" s="419"/>
    </row>
    <row r="500" spans="1:33" s="139" customFormat="1" ht="12.75" customHeight="1" x14ac:dyDescent="0.2">
      <c r="A500" s="141"/>
      <c r="B500" s="141"/>
      <c r="C500" s="141"/>
      <c r="D500" s="142"/>
      <c r="E500" s="1014"/>
      <c r="F500" s="1014"/>
      <c r="G500" s="1027"/>
      <c r="H500" s="1027"/>
      <c r="I500" s="1174"/>
      <c r="J500" s="1174"/>
      <c r="K500" s="1174"/>
      <c r="L500" s="1172"/>
      <c r="M500" s="1172"/>
      <c r="N500" s="1175"/>
      <c r="O500" s="143"/>
      <c r="P500" s="1196"/>
      <c r="Q500" s="141"/>
      <c r="R500" s="141"/>
      <c r="S500" s="148"/>
      <c r="T500" s="419"/>
      <c r="U500" s="559"/>
      <c r="V500" s="141"/>
      <c r="W500" s="141"/>
      <c r="X500" s="141"/>
      <c r="Y500" s="144"/>
      <c r="Z500" s="141"/>
      <c r="AA500" s="141"/>
      <c r="AB500" s="141"/>
      <c r="AC500" s="141"/>
      <c r="AD500" s="141"/>
      <c r="AE500" s="141"/>
      <c r="AF500" s="145"/>
      <c r="AG500" s="419"/>
    </row>
    <row r="501" spans="1:33" s="139" customFormat="1" ht="12.75" customHeight="1" x14ac:dyDescent="0.2">
      <c r="A501" s="141"/>
      <c r="B501" s="141"/>
      <c r="C501" s="141"/>
      <c r="D501" s="142"/>
      <c r="E501" s="1014"/>
      <c r="F501" s="1014"/>
      <c r="G501" s="1027"/>
      <c r="H501" s="1027"/>
      <c r="I501" s="1174"/>
      <c r="J501" s="1174"/>
      <c r="K501" s="1174"/>
      <c r="L501" s="1172"/>
      <c r="M501" s="1172"/>
      <c r="N501" s="1175"/>
      <c r="O501" s="143"/>
      <c r="P501" s="1196"/>
      <c r="Q501" s="141"/>
      <c r="R501" s="141"/>
      <c r="S501" s="148"/>
      <c r="T501" s="419"/>
      <c r="U501" s="559"/>
      <c r="V501" s="141"/>
      <c r="W501" s="141"/>
      <c r="X501" s="141"/>
      <c r="Y501" s="144"/>
      <c r="Z501" s="141"/>
      <c r="AA501" s="141"/>
      <c r="AB501" s="141"/>
      <c r="AC501" s="141"/>
      <c r="AD501" s="141"/>
      <c r="AE501" s="141"/>
      <c r="AF501" s="145"/>
      <c r="AG501" s="419"/>
    </row>
    <row r="502" spans="1:33" s="139" customFormat="1" ht="12.75" customHeight="1" x14ac:dyDescent="0.2">
      <c r="A502" s="141"/>
      <c r="B502" s="141"/>
      <c r="C502" s="141"/>
      <c r="D502" s="142"/>
      <c r="E502" s="1014"/>
      <c r="F502" s="1014"/>
      <c r="G502" s="1027"/>
      <c r="H502" s="1027"/>
      <c r="I502" s="1174"/>
      <c r="J502" s="1174"/>
      <c r="K502" s="1174"/>
      <c r="L502" s="1172"/>
      <c r="M502" s="1172"/>
      <c r="N502" s="1175"/>
      <c r="O502" s="143"/>
      <c r="P502" s="1196"/>
      <c r="Q502" s="141"/>
      <c r="R502" s="141"/>
      <c r="S502" s="148"/>
      <c r="T502" s="419"/>
      <c r="U502" s="559"/>
      <c r="V502" s="141"/>
      <c r="W502" s="141"/>
      <c r="X502" s="141"/>
      <c r="Y502" s="144"/>
      <c r="Z502" s="141"/>
      <c r="AA502" s="141"/>
      <c r="AB502" s="141"/>
      <c r="AC502" s="141"/>
      <c r="AD502" s="141"/>
      <c r="AE502" s="141"/>
      <c r="AF502" s="145"/>
      <c r="AG502" s="419"/>
    </row>
    <row r="503" spans="1:33" s="139" customFormat="1" ht="12.75" customHeight="1" x14ac:dyDescent="0.2">
      <c r="A503" s="141"/>
      <c r="B503" s="141"/>
      <c r="C503" s="141"/>
      <c r="D503" s="142"/>
      <c r="E503" s="1014"/>
      <c r="F503" s="1014"/>
      <c r="G503" s="1027"/>
      <c r="H503" s="1027"/>
      <c r="I503" s="1174"/>
      <c r="J503" s="1174"/>
      <c r="K503" s="1174"/>
      <c r="L503" s="1172"/>
      <c r="M503" s="1172"/>
      <c r="N503" s="1175"/>
      <c r="O503" s="143"/>
      <c r="P503" s="1196"/>
      <c r="Q503" s="141"/>
      <c r="R503" s="141"/>
      <c r="S503" s="148"/>
      <c r="T503" s="419"/>
      <c r="U503" s="559"/>
      <c r="V503" s="141"/>
      <c r="W503" s="141"/>
      <c r="X503" s="141"/>
      <c r="Y503" s="144"/>
      <c r="Z503" s="141"/>
      <c r="AA503" s="141"/>
      <c r="AB503" s="141"/>
      <c r="AC503" s="141"/>
      <c r="AD503" s="141"/>
      <c r="AE503" s="141"/>
      <c r="AF503" s="145"/>
      <c r="AG503" s="419"/>
    </row>
    <row r="504" spans="1:33" s="139" customFormat="1" ht="12.75" customHeight="1" x14ac:dyDescent="0.2">
      <c r="A504" s="141"/>
      <c r="B504" s="141"/>
      <c r="C504" s="141"/>
      <c r="D504" s="142"/>
      <c r="E504" s="1014"/>
      <c r="F504" s="1014"/>
      <c r="G504" s="1027"/>
      <c r="H504" s="1027"/>
      <c r="I504" s="1174"/>
      <c r="J504" s="1174"/>
      <c r="K504" s="1174"/>
      <c r="L504" s="1172"/>
      <c r="M504" s="1172"/>
      <c r="N504" s="1175"/>
      <c r="O504" s="143"/>
      <c r="P504" s="1196"/>
      <c r="Q504" s="141"/>
      <c r="R504" s="141"/>
      <c r="S504" s="148"/>
      <c r="T504" s="419"/>
      <c r="U504" s="559"/>
      <c r="V504" s="141"/>
      <c r="W504" s="141"/>
      <c r="X504" s="141"/>
      <c r="Y504" s="144"/>
      <c r="Z504" s="141"/>
      <c r="AA504" s="141"/>
      <c r="AB504" s="141"/>
      <c r="AC504" s="141"/>
      <c r="AD504" s="141"/>
      <c r="AE504" s="141"/>
      <c r="AF504" s="145"/>
      <c r="AG504" s="419"/>
    </row>
    <row r="505" spans="1:33" s="139" customFormat="1" ht="12.75" customHeight="1" x14ac:dyDescent="0.2">
      <c r="A505" s="141"/>
      <c r="B505" s="141"/>
      <c r="C505" s="141"/>
      <c r="D505" s="142"/>
      <c r="E505" s="1014"/>
      <c r="F505" s="1014"/>
      <c r="G505" s="1027"/>
      <c r="H505" s="1027"/>
      <c r="I505" s="1174"/>
      <c r="J505" s="1174"/>
      <c r="K505" s="1174"/>
      <c r="L505" s="1172"/>
      <c r="M505" s="1172"/>
      <c r="N505" s="1175"/>
      <c r="O505" s="143"/>
      <c r="P505" s="1196"/>
      <c r="Q505" s="141"/>
      <c r="R505" s="141"/>
      <c r="S505" s="148"/>
      <c r="T505" s="419"/>
      <c r="U505" s="559"/>
      <c r="V505" s="141"/>
      <c r="W505" s="141"/>
      <c r="X505" s="141"/>
      <c r="Y505" s="144"/>
      <c r="Z505" s="141"/>
      <c r="AA505" s="141"/>
      <c r="AB505" s="141"/>
      <c r="AC505" s="141"/>
      <c r="AD505" s="141"/>
      <c r="AE505" s="141"/>
      <c r="AF505" s="145"/>
      <c r="AG505" s="419"/>
    </row>
    <row r="506" spans="1:33" s="139" customFormat="1" ht="12.75" customHeight="1" x14ac:dyDescent="0.2">
      <c r="A506" s="141"/>
      <c r="B506" s="141"/>
      <c r="C506" s="141"/>
      <c r="D506" s="142"/>
      <c r="E506" s="1014"/>
      <c r="F506" s="1014"/>
      <c r="G506" s="1027"/>
      <c r="H506" s="1027"/>
      <c r="I506" s="1174"/>
      <c r="J506" s="1174"/>
      <c r="K506" s="1174"/>
      <c r="L506" s="1172"/>
      <c r="M506" s="1172"/>
      <c r="N506" s="1175"/>
      <c r="O506" s="143"/>
      <c r="P506" s="1196"/>
      <c r="Q506" s="141"/>
      <c r="R506" s="141"/>
      <c r="S506" s="148"/>
      <c r="T506" s="419"/>
      <c r="U506" s="559"/>
      <c r="V506" s="141"/>
      <c r="W506" s="141"/>
      <c r="X506" s="141"/>
      <c r="Y506" s="144"/>
      <c r="Z506" s="141"/>
      <c r="AA506" s="141"/>
      <c r="AB506" s="141"/>
      <c r="AC506" s="141"/>
      <c r="AD506" s="141"/>
      <c r="AE506" s="141"/>
      <c r="AF506" s="145"/>
      <c r="AG506" s="419"/>
    </row>
    <row r="507" spans="1:33" s="139" customFormat="1" ht="12.75" customHeight="1" x14ac:dyDescent="0.2">
      <c r="A507" s="141"/>
      <c r="B507" s="141"/>
      <c r="C507" s="141"/>
      <c r="D507" s="142"/>
      <c r="E507" s="1014"/>
      <c r="F507" s="1014"/>
      <c r="G507" s="1027"/>
      <c r="H507" s="1027"/>
      <c r="I507" s="1174"/>
      <c r="J507" s="1174"/>
      <c r="K507" s="1174"/>
      <c r="L507" s="1172"/>
      <c r="M507" s="1172"/>
      <c r="N507" s="1175"/>
      <c r="O507" s="143"/>
      <c r="P507" s="1196"/>
      <c r="Q507" s="141"/>
      <c r="R507" s="141"/>
      <c r="S507" s="148"/>
      <c r="T507" s="419"/>
      <c r="U507" s="559"/>
      <c r="V507" s="141"/>
      <c r="W507" s="141"/>
      <c r="X507" s="141"/>
      <c r="Y507" s="144"/>
      <c r="Z507" s="141"/>
      <c r="AA507" s="141"/>
      <c r="AB507" s="141"/>
      <c r="AC507" s="141"/>
      <c r="AD507" s="141"/>
      <c r="AE507" s="141"/>
      <c r="AF507" s="145"/>
      <c r="AG507" s="419"/>
    </row>
    <row r="508" spans="1:33" s="139" customFormat="1" ht="12.75" customHeight="1" x14ac:dyDescent="0.2">
      <c r="A508" s="141"/>
      <c r="B508" s="141"/>
      <c r="C508" s="141"/>
      <c r="D508" s="142"/>
      <c r="E508" s="1014"/>
      <c r="F508" s="1014"/>
      <c r="G508" s="1027"/>
      <c r="H508" s="1027"/>
      <c r="I508" s="1174"/>
      <c r="J508" s="1174"/>
      <c r="K508" s="1174"/>
      <c r="L508" s="1172"/>
      <c r="M508" s="1172"/>
      <c r="N508" s="1175"/>
      <c r="O508" s="143"/>
      <c r="P508" s="1196"/>
      <c r="Q508" s="141"/>
      <c r="R508" s="141"/>
      <c r="S508" s="148"/>
      <c r="T508" s="419"/>
      <c r="U508" s="559"/>
      <c r="V508" s="141"/>
      <c r="W508" s="141"/>
      <c r="X508" s="141"/>
      <c r="Y508" s="144"/>
      <c r="Z508" s="141"/>
      <c r="AA508" s="141"/>
      <c r="AB508" s="141"/>
      <c r="AC508" s="141"/>
      <c r="AD508" s="141"/>
      <c r="AE508" s="141"/>
      <c r="AF508" s="145"/>
      <c r="AG508" s="419"/>
    </row>
    <row r="509" spans="1:33" s="139" customFormat="1" ht="12.75" customHeight="1" x14ac:dyDescent="0.2">
      <c r="A509" s="141"/>
      <c r="B509" s="141"/>
      <c r="C509" s="141"/>
      <c r="D509" s="142"/>
      <c r="E509" s="1014"/>
      <c r="F509" s="1014"/>
      <c r="G509" s="1027"/>
      <c r="H509" s="1027"/>
      <c r="I509" s="1174"/>
      <c r="J509" s="1174"/>
      <c r="K509" s="1174"/>
      <c r="L509" s="1172"/>
      <c r="M509" s="1172"/>
      <c r="N509" s="1175"/>
      <c r="O509" s="143"/>
      <c r="P509" s="1196"/>
      <c r="Q509" s="141"/>
      <c r="R509" s="141"/>
      <c r="S509" s="148"/>
      <c r="T509" s="419"/>
      <c r="U509" s="559"/>
      <c r="V509" s="141"/>
      <c r="W509" s="141"/>
      <c r="X509" s="141"/>
      <c r="Y509" s="144"/>
      <c r="Z509" s="141"/>
      <c r="AA509" s="141"/>
      <c r="AB509" s="141"/>
      <c r="AC509" s="141"/>
      <c r="AD509" s="141"/>
      <c r="AE509" s="141"/>
      <c r="AF509" s="145"/>
      <c r="AG509" s="419"/>
    </row>
    <row r="510" spans="1:33" s="139" customFormat="1" ht="12.75" customHeight="1" x14ac:dyDescent="0.2">
      <c r="A510" s="141"/>
      <c r="B510" s="141"/>
      <c r="C510" s="141"/>
      <c r="D510" s="142"/>
      <c r="E510" s="1014"/>
      <c r="F510" s="1014"/>
      <c r="G510" s="1027"/>
      <c r="H510" s="1027"/>
      <c r="I510" s="1174"/>
      <c r="J510" s="1174"/>
      <c r="K510" s="1174"/>
      <c r="L510" s="1172"/>
      <c r="M510" s="1172"/>
      <c r="N510" s="1175"/>
      <c r="O510" s="143"/>
      <c r="P510" s="1196"/>
      <c r="Q510" s="141"/>
      <c r="R510" s="141"/>
      <c r="S510" s="148"/>
      <c r="T510" s="419"/>
      <c r="U510" s="559"/>
      <c r="V510" s="141"/>
      <c r="W510" s="141"/>
      <c r="X510" s="141"/>
      <c r="Y510" s="144"/>
      <c r="Z510" s="141"/>
      <c r="AA510" s="141"/>
      <c r="AB510" s="141"/>
      <c r="AC510" s="141"/>
      <c r="AD510" s="141"/>
      <c r="AE510" s="141"/>
      <c r="AF510" s="145"/>
      <c r="AG510" s="419"/>
    </row>
    <row r="511" spans="1:33" s="139" customFormat="1" ht="12.75" customHeight="1" x14ac:dyDescent="0.2">
      <c r="A511" s="141"/>
      <c r="B511" s="141"/>
      <c r="C511" s="141"/>
      <c r="D511" s="142"/>
      <c r="E511" s="1014"/>
      <c r="F511" s="1014"/>
      <c r="G511" s="1027"/>
      <c r="H511" s="1027"/>
      <c r="I511" s="1174"/>
      <c r="J511" s="1174"/>
      <c r="K511" s="1174"/>
      <c r="L511" s="1172"/>
      <c r="M511" s="1172"/>
      <c r="N511" s="1175"/>
      <c r="O511" s="143"/>
      <c r="P511" s="1196"/>
      <c r="Q511" s="141"/>
      <c r="R511" s="141"/>
      <c r="S511" s="148"/>
      <c r="T511" s="419"/>
      <c r="U511" s="559"/>
      <c r="V511" s="141"/>
      <c r="W511" s="141"/>
      <c r="X511" s="141"/>
      <c r="Y511" s="144"/>
      <c r="Z511" s="141"/>
      <c r="AA511" s="141"/>
      <c r="AB511" s="141"/>
      <c r="AC511" s="141"/>
      <c r="AD511" s="141"/>
      <c r="AE511" s="141"/>
      <c r="AF511" s="145"/>
      <c r="AG511" s="419"/>
    </row>
    <row r="512" spans="1:33" s="139" customFormat="1" ht="12.75" customHeight="1" x14ac:dyDescent="0.2">
      <c r="A512" s="141"/>
      <c r="B512" s="141"/>
      <c r="C512" s="141"/>
      <c r="D512" s="142"/>
      <c r="E512" s="1014"/>
      <c r="F512" s="1014"/>
      <c r="G512" s="1027"/>
      <c r="H512" s="1027"/>
      <c r="I512" s="1174"/>
      <c r="J512" s="1174"/>
      <c r="K512" s="1174"/>
      <c r="L512" s="1172"/>
      <c r="M512" s="1172"/>
      <c r="N512" s="1175"/>
      <c r="O512" s="143"/>
      <c r="P512" s="1196"/>
      <c r="Q512" s="141"/>
      <c r="R512" s="141"/>
      <c r="S512" s="148"/>
      <c r="T512" s="419"/>
      <c r="U512" s="559"/>
      <c r="V512" s="141"/>
      <c r="W512" s="141"/>
      <c r="X512" s="141"/>
      <c r="Y512" s="144"/>
      <c r="Z512" s="141"/>
      <c r="AA512" s="141"/>
      <c r="AB512" s="141"/>
      <c r="AC512" s="141"/>
      <c r="AD512" s="141"/>
      <c r="AE512" s="141"/>
      <c r="AF512" s="145"/>
      <c r="AG512" s="419"/>
    </row>
    <row r="513" spans="1:33" s="139" customFormat="1" ht="12.75" customHeight="1" x14ac:dyDescent="0.2">
      <c r="A513" s="141"/>
      <c r="B513" s="141"/>
      <c r="C513" s="141"/>
      <c r="D513" s="142"/>
      <c r="E513" s="1014"/>
      <c r="F513" s="1014"/>
      <c r="G513" s="1027"/>
      <c r="H513" s="1027"/>
      <c r="I513" s="1174"/>
      <c r="J513" s="1174"/>
      <c r="K513" s="1174"/>
      <c r="L513" s="1172"/>
      <c r="M513" s="1172"/>
      <c r="N513" s="1175"/>
      <c r="O513" s="143"/>
      <c r="P513" s="1196"/>
      <c r="Q513" s="141"/>
      <c r="R513" s="141"/>
      <c r="S513" s="148"/>
      <c r="T513" s="419"/>
      <c r="U513" s="559"/>
      <c r="V513" s="141"/>
      <c r="W513" s="141"/>
      <c r="X513" s="141"/>
      <c r="Y513" s="144"/>
      <c r="Z513" s="141"/>
      <c r="AA513" s="141"/>
      <c r="AB513" s="141"/>
      <c r="AC513" s="141"/>
      <c r="AD513" s="141"/>
      <c r="AE513" s="141"/>
      <c r="AF513" s="145"/>
      <c r="AG513" s="419"/>
    </row>
    <row r="514" spans="1:33" s="139" customFormat="1" ht="12.75" customHeight="1" x14ac:dyDescent="0.2">
      <c r="A514" s="141"/>
      <c r="B514" s="141"/>
      <c r="C514" s="141"/>
      <c r="D514" s="142"/>
      <c r="E514" s="1014"/>
      <c r="F514" s="1014"/>
      <c r="G514" s="1027"/>
      <c r="H514" s="1027"/>
      <c r="I514" s="1174"/>
      <c r="J514" s="1174"/>
      <c r="K514" s="1174"/>
      <c r="L514" s="1172"/>
      <c r="M514" s="1172"/>
      <c r="N514" s="1175"/>
      <c r="O514" s="143"/>
      <c r="P514" s="1196"/>
      <c r="Q514" s="141"/>
      <c r="R514" s="141"/>
      <c r="S514" s="148"/>
      <c r="T514" s="419"/>
      <c r="U514" s="559"/>
      <c r="V514" s="141"/>
      <c r="W514" s="141"/>
      <c r="X514" s="141"/>
      <c r="Y514" s="144"/>
      <c r="Z514" s="141"/>
      <c r="AA514" s="141"/>
      <c r="AB514" s="141"/>
      <c r="AC514" s="141"/>
      <c r="AD514" s="141"/>
      <c r="AE514" s="141"/>
      <c r="AF514" s="145"/>
      <c r="AG514" s="419"/>
    </row>
    <row r="515" spans="1:33" s="139" customFormat="1" ht="12.75" customHeight="1" x14ac:dyDescent="0.2">
      <c r="A515" s="141"/>
      <c r="B515" s="141"/>
      <c r="C515" s="141"/>
      <c r="D515" s="142"/>
      <c r="E515" s="1014"/>
      <c r="F515" s="1014"/>
      <c r="G515" s="1027"/>
      <c r="H515" s="1027"/>
      <c r="I515" s="1174"/>
      <c r="J515" s="1174"/>
      <c r="K515" s="1174"/>
      <c r="L515" s="1172"/>
      <c r="M515" s="1172"/>
      <c r="N515" s="1175"/>
      <c r="O515" s="143"/>
      <c r="P515" s="1196"/>
      <c r="Q515" s="141"/>
      <c r="R515" s="141"/>
      <c r="S515" s="148"/>
      <c r="T515" s="419"/>
      <c r="U515" s="559"/>
      <c r="V515" s="141"/>
      <c r="W515" s="141"/>
      <c r="X515" s="141"/>
      <c r="Y515" s="144"/>
      <c r="Z515" s="141"/>
      <c r="AA515" s="141"/>
      <c r="AB515" s="141"/>
      <c r="AC515" s="141"/>
      <c r="AD515" s="141"/>
      <c r="AE515" s="141"/>
      <c r="AF515" s="145"/>
      <c r="AG515" s="419"/>
    </row>
    <row r="516" spans="1:33" s="139" customFormat="1" ht="12.75" customHeight="1" x14ac:dyDescent="0.2">
      <c r="A516" s="141"/>
      <c r="B516" s="141"/>
      <c r="C516" s="141"/>
      <c r="D516" s="142"/>
      <c r="E516" s="1014"/>
      <c r="F516" s="1014"/>
      <c r="G516" s="1027"/>
      <c r="H516" s="1027"/>
      <c r="I516" s="1174"/>
      <c r="J516" s="1174"/>
      <c r="K516" s="1174"/>
      <c r="L516" s="1172"/>
      <c r="M516" s="1172"/>
      <c r="N516" s="1175"/>
      <c r="O516" s="143"/>
      <c r="P516" s="1196"/>
      <c r="Q516" s="141"/>
      <c r="R516" s="141"/>
      <c r="S516" s="148"/>
      <c r="T516" s="419"/>
      <c r="U516" s="559"/>
      <c r="V516" s="141"/>
      <c r="W516" s="141"/>
      <c r="X516" s="141"/>
      <c r="Y516" s="144"/>
      <c r="Z516" s="141"/>
      <c r="AA516" s="141"/>
      <c r="AB516" s="141"/>
      <c r="AC516" s="141"/>
      <c r="AD516" s="141"/>
      <c r="AE516" s="141"/>
      <c r="AF516" s="145"/>
      <c r="AG516" s="419"/>
    </row>
    <row r="517" spans="1:33" s="139" customFormat="1" ht="12.75" customHeight="1" x14ac:dyDescent="0.2">
      <c r="A517" s="141"/>
      <c r="B517" s="141"/>
      <c r="C517" s="141"/>
      <c r="D517" s="142"/>
      <c r="E517" s="1014"/>
      <c r="F517" s="1014"/>
      <c r="G517" s="1027"/>
      <c r="H517" s="1027"/>
      <c r="I517" s="1174"/>
      <c r="J517" s="1174"/>
      <c r="K517" s="1174"/>
      <c r="L517" s="1172"/>
      <c r="M517" s="1172"/>
      <c r="N517" s="1175"/>
      <c r="O517" s="143"/>
      <c r="P517" s="1196"/>
      <c r="Q517" s="141"/>
      <c r="R517" s="141"/>
      <c r="S517" s="148"/>
      <c r="T517" s="419"/>
      <c r="U517" s="559"/>
      <c r="V517" s="141"/>
      <c r="W517" s="141"/>
      <c r="X517" s="141"/>
      <c r="Y517" s="144"/>
      <c r="Z517" s="141"/>
      <c r="AA517" s="141"/>
      <c r="AB517" s="141"/>
      <c r="AC517" s="141"/>
      <c r="AD517" s="141"/>
      <c r="AE517" s="141"/>
      <c r="AF517" s="145"/>
      <c r="AG517" s="419"/>
    </row>
    <row r="518" spans="1:33" s="139" customFormat="1" ht="12.75" customHeight="1" x14ac:dyDescent="0.2">
      <c r="A518" s="141"/>
      <c r="B518" s="141"/>
      <c r="C518" s="141"/>
      <c r="D518" s="142"/>
      <c r="E518" s="1014"/>
      <c r="F518" s="1014"/>
      <c r="G518" s="1027"/>
      <c r="H518" s="1027"/>
      <c r="I518" s="1174"/>
      <c r="J518" s="1174"/>
      <c r="K518" s="1174"/>
      <c r="L518" s="1172"/>
      <c r="M518" s="1172"/>
      <c r="N518" s="1175"/>
      <c r="O518" s="143"/>
      <c r="P518" s="1196"/>
      <c r="Q518" s="141"/>
      <c r="R518" s="141"/>
      <c r="S518" s="148"/>
      <c r="T518" s="419"/>
      <c r="U518" s="559"/>
      <c r="V518" s="141"/>
      <c r="W518" s="141"/>
      <c r="X518" s="141"/>
      <c r="Y518" s="144"/>
      <c r="Z518" s="141"/>
      <c r="AA518" s="141"/>
      <c r="AB518" s="141"/>
      <c r="AC518" s="141"/>
      <c r="AD518" s="141"/>
      <c r="AE518" s="141"/>
      <c r="AF518" s="145"/>
      <c r="AG518" s="419"/>
    </row>
    <row r="519" spans="1:33" s="139" customFormat="1" ht="12.75" customHeight="1" x14ac:dyDescent="0.2">
      <c r="A519" s="141"/>
      <c r="B519" s="141"/>
      <c r="C519" s="141"/>
      <c r="D519" s="142"/>
      <c r="E519" s="1014"/>
      <c r="F519" s="1014"/>
      <c r="G519" s="1027"/>
      <c r="H519" s="1027"/>
      <c r="I519" s="1174"/>
      <c r="J519" s="1174"/>
      <c r="K519" s="1174"/>
      <c r="L519" s="1172"/>
      <c r="M519" s="1172"/>
      <c r="N519" s="1175"/>
      <c r="O519" s="143"/>
      <c r="P519" s="1196"/>
      <c r="Q519" s="141"/>
      <c r="R519" s="141"/>
      <c r="S519" s="148"/>
      <c r="T519" s="419"/>
      <c r="U519" s="559"/>
      <c r="V519" s="141"/>
      <c r="W519" s="141"/>
      <c r="X519" s="141"/>
      <c r="Y519" s="144"/>
      <c r="Z519" s="141"/>
      <c r="AA519" s="141"/>
      <c r="AB519" s="141"/>
      <c r="AC519" s="141"/>
      <c r="AD519" s="141"/>
      <c r="AE519" s="141"/>
      <c r="AF519" s="145"/>
      <c r="AG519" s="419"/>
    </row>
    <row r="520" spans="1:33" s="139" customFormat="1" ht="12.75" customHeight="1" x14ac:dyDescent="0.2">
      <c r="A520" s="141"/>
      <c r="B520" s="141"/>
      <c r="C520" s="141"/>
      <c r="D520" s="142"/>
      <c r="E520" s="1014"/>
      <c r="F520" s="1014"/>
      <c r="G520" s="1027"/>
      <c r="H520" s="1027"/>
      <c r="I520" s="1174"/>
      <c r="J520" s="1174"/>
      <c r="K520" s="1174"/>
      <c r="L520" s="1172"/>
      <c r="M520" s="1172"/>
      <c r="N520" s="1175"/>
      <c r="O520" s="143"/>
      <c r="P520" s="1196"/>
      <c r="Q520" s="141"/>
      <c r="R520" s="141"/>
      <c r="S520" s="148"/>
      <c r="T520" s="419"/>
      <c r="U520" s="559"/>
      <c r="V520" s="141"/>
      <c r="W520" s="141"/>
      <c r="X520" s="141"/>
      <c r="Y520" s="144"/>
      <c r="Z520" s="141"/>
      <c r="AA520" s="141"/>
      <c r="AB520" s="141"/>
      <c r="AC520" s="141"/>
      <c r="AD520" s="141"/>
      <c r="AE520" s="141"/>
      <c r="AF520" s="145"/>
      <c r="AG520" s="419"/>
    </row>
    <row r="521" spans="1:33" s="139" customFormat="1" ht="12.75" customHeight="1" x14ac:dyDescent="0.2">
      <c r="A521" s="141"/>
      <c r="B521" s="141"/>
      <c r="C521" s="141"/>
      <c r="D521" s="142"/>
      <c r="E521" s="1014"/>
      <c r="F521" s="1014"/>
      <c r="G521" s="1027"/>
      <c r="H521" s="1027"/>
      <c r="I521" s="1174"/>
      <c r="J521" s="1174"/>
      <c r="K521" s="1174"/>
      <c r="L521" s="1172"/>
      <c r="M521" s="1172"/>
      <c r="N521" s="1175"/>
      <c r="O521" s="143"/>
      <c r="P521" s="1196"/>
      <c r="Q521" s="141"/>
      <c r="R521" s="141"/>
      <c r="S521" s="148"/>
      <c r="T521" s="419"/>
      <c r="U521" s="559"/>
      <c r="V521" s="141"/>
      <c r="W521" s="141"/>
      <c r="X521" s="141"/>
      <c r="Y521" s="144"/>
      <c r="Z521" s="141"/>
      <c r="AA521" s="141"/>
      <c r="AB521" s="141"/>
      <c r="AC521" s="141"/>
      <c r="AD521" s="141"/>
      <c r="AE521" s="141"/>
      <c r="AF521" s="145"/>
      <c r="AG521" s="419"/>
    </row>
    <row r="522" spans="1:33" s="139" customFormat="1" ht="12.75" customHeight="1" x14ac:dyDescent="0.2">
      <c r="A522" s="141"/>
      <c r="B522" s="141"/>
      <c r="C522" s="141"/>
      <c r="D522" s="142"/>
      <c r="E522" s="1014"/>
      <c r="F522" s="1014"/>
      <c r="G522" s="1027"/>
      <c r="H522" s="1027"/>
      <c r="I522" s="1174"/>
      <c r="J522" s="1174"/>
      <c r="K522" s="1174"/>
      <c r="L522" s="1172"/>
      <c r="M522" s="1172"/>
      <c r="N522" s="1175"/>
      <c r="O522" s="143"/>
      <c r="P522" s="1196"/>
      <c r="Q522" s="141"/>
      <c r="R522" s="141"/>
      <c r="S522" s="148"/>
      <c r="T522" s="419"/>
      <c r="U522" s="559"/>
      <c r="V522" s="141"/>
      <c r="W522" s="141"/>
      <c r="X522" s="141"/>
      <c r="Y522" s="144"/>
      <c r="Z522" s="141"/>
      <c r="AA522" s="141"/>
      <c r="AB522" s="141"/>
      <c r="AC522" s="141"/>
      <c r="AD522" s="141"/>
      <c r="AE522" s="141"/>
      <c r="AF522" s="145"/>
      <c r="AG522" s="419"/>
    </row>
    <row r="523" spans="1:33" s="139" customFormat="1" ht="12.75" customHeight="1" x14ac:dyDescent="0.2">
      <c r="A523" s="141"/>
      <c r="B523" s="141"/>
      <c r="C523" s="141"/>
      <c r="D523" s="142"/>
      <c r="E523" s="1014"/>
      <c r="F523" s="1014"/>
      <c r="G523" s="1027"/>
      <c r="H523" s="1027"/>
      <c r="I523" s="1174"/>
      <c r="J523" s="1174"/>
      <c r="K523" s="1174"/>
      <c r="L523" s="1172"/>
      <c r="M523" s="1172"/>
      <c r="N523" s="1175"/>
      <c r="O523" s="143"/>
      <c r="P523" s="1196"/>
      <c r="Q523" s="141"/>
      <c r="R523" s="141"/>
      <c r="S523" s="148"/>
      <c r="T523" s="419"/>
      <c r="U523" s="559"/>
      <c r="V523" s="141"/>
      <c r="W523" s="141"/>
      <c r="X523" s="141"/>
      <c r="Y523" s="144"/>
      <c r="Z523" s="141"/>
      <c r="AA523" s="141"/>
      <c r="AB523" s="141"/>
      <c r="AC523" s="141"/>
      <c r="AD523" s="141"/>
      <c r="AE523" s="141"/>
      <c r="AF523" s="145"/>
      <c r="AG523" s="419"/>
    </row>
    <row r="524" spans="1:33" s="139" customFormat="1" ht="12.75" customHeight="1" x14ac:dyDescent="0.2">
      <c r="A524" s="141"/>
      <c r="B524" s="141"/>
      <c r="C524" s="141"/>
      <c r="D524" s="142"/>
      <c r="E524" s="1014"/>
      <c r="F524" s="1014"/>
      <c r="G524" s="1027"/>
      <c r="H524" s="1027"/>
      <c r="I524" s="1174"/>
      <c r="J524" s="1174"/>
      <c r="K524" s="1174"/>
      <c r="L524" s="1172"/>
      <c r="M524" s="1172"/>
      <c r="N524" s="1175"/>
      <c r="O524" s="143"/>
      <c r="P524" s="1196"/>
      <c r="Q524" s="141"/>
      <c r="R524" s="141"/>
      <c r="S524" s="148"/>
      <c r="T524" s="419"/>
      <c r="U524" s="559"/>
      <c r="V524" s="141"/>
      <c r="W524" s="141"/>
      <c r="X524" s="141"/>
      <c r="Y524" s="144"/>
      <c r="Z524" s="141"/>
      <c r="AA524" s="141"/>
      <c r="AB524" s="141"/>
      <c r="AC524" s="141"/>
      <c r="AD524" s="141"/>
      <c r="AE524" s="141"/>
      <c r="AF524" s="145"/>
      <c r="AG524" s="419"/>
    </row>
    <row r="525" spans="1:33" s="139" customFormat="1" ht="12.75" customHeight="1" x14ac:dyDescent="0.2">
      <c r="A525" s="141"/>
      <c r="B525" s="141"/>
      <c r="C525" s="141"/>
      <c r="D525" s="142"/>
      <c r="E525" s="1014"/>
      <c r="F525" s="1014"/>
      <c r="G525" s="1027"/>
      <c r="H525" s="1027"/>
      <c r="I525" s="1174"/>
      <c r="J525" s="1174"/>
      <c r="K525" s="1174"/>
      <c r="L525" s="1172"/>
      <c r="M525" s="1172"/>
      <c r="N525" s="1175"/>
      <c r="O525" s="143"/>
      <c r="P525" s="1196"/>
      <c r="Q525" s="141"/>
      <c r="R525" s="141"/>
      <c r="S525" s="148"/>
      <c r="T525" s="419"/>
      <c r="U525" s="559"/>
      <c r="V525" s="141"/>
      <c r="W525" s="141"/>
      <c r="X525" s="141"/>
      <c r="Y525" s="144"/>
      <c r="Z525" s="141"/>
      <c r="AA525" s="141"/>
      <c r="AB525" s="141"/>
      <c r="AC525" s="141"/>
      <c r="AD525" s="141"/>
      <c r="AE525" s="141"/>
      <c r="AF525" s="145"/>
      <c r="AG525" s="419"/>
    </row>
    <row r="526" spans="1:33" s="139" customFormat="1" ht="12.75" customHeight="1" x14ac:dyDescent="0.2">
      <c r="A526" s="141"/>
      <c r="B526" s="141"/>
      <c r="C526" s="141"/>
      <c r="D526" s="142"/>
      <c r="E526" s="1014"/>
      <c r="F526" s="1014"/>
      <c r="G526" s="1027"/>
      <c r="H526" s="1027"/>
      <c r="I526" s="1174"/>
      <c r="J526" s="1174"/>
      <c r="K526" s="1174"/>
      <c r="L526" s="1172"/>
      <c r="M526" s="1172"/>
      <c r="N526" s="1175"/>
      <c r="O526" s="143"/>
      <c r="P526" s="1196"/>
      <c r="Q526" s="141"/>
      <c r="R526" s="141"/>
      <c r="S526" s="148"/>
      <c r="T526" s="419"/>
      <c r="U526" s="559"/>
      <c r="V526" s="141"/>
      <c r="W526" s="141"/>
      <c r="X526" s="141"/>
      <c r="Y526" s="144"/>
      <c r="Z526" s="141"/>
      <c r="AA526" s="141"/>
      <c r="AB526" s="141"/>
      <c r="AC526" s="141"/>
      <c r="AD526" s="141"/>
      <c r="AE526" s="141"/>
      <c r="AF526" s="145"/>
      <c r="AG526" s="419"/>
    </row>
    <row r="527" spans="1:33" s="139" customFormat="1" ht="12.75" customHeight="1" x14ac:dyDescent="0.2">
      <c r="A527" s="141"/>
      <c r="B527" s="141"/>
      <c r="C527" s="141"/>
      <c r="D527" s="142"/>
      <c r="E527" s="1014"/>
      <c r="F527" s="1014"/>
      <c r="G527" s="1027"/>
      <c r="H527" s="1027"/>
      <c r="I527" s="1174"/>
      <c r="J527" s="1174"/>
      <c r="K527" s="1174"/>
      <c r="L527" s="1172"/>
      <c r="M527" s="1172"/>
      <c r="N527" s="1175"/>
      <c r="O527" s="143"/>
      <c r="P527" s="1196"/>
      <c r="Q527" s="141"/>
      <c r="R527" s="141"/>
      <c r="S527" s="148"/>
      <c r="T527" s="419"/>
      <c r="U527" s="559"/>
      <c r="V527" s="141"/>
      <c r="W527" s="141"/>
      <c r="X527" s="141"/>
      <c r="Y527" s="144"/>
      <c r="Z527" s="141"/>
      <c r="AA527" s="141"/>
      <c r="AB527" s="141"/>
      <c r="AC527" s="141"/>
      <c r="AD527" s="141"/>
      <c r="AE527" s="141"/>
      <c r="AF527" s="145"/>
      <c r="AG527" s="419"/>
    </row>
    <row r="528" spans="1:33" s="139" customFormat="1" ht="12.75" customHeight="1" x14ac:dyDescent="0.2">
      <c r="A528" s="141"/>
      <c r="B528" s="141"/>
      <c r="C528" s="141"/>
      <c r="D528" s="142"/>
      <c r="E528" s="1014"/>
      <c r="F528" s="1014"/>
      <c r="G528" s="1027"/>
      <c r="H528" s="1027"/>
      <c r="I528" s="1174"/>
      <c r="J528" s="1174"/>
      <c r="K528" s="1174"/>
      <c r="L528" s="1172"/>
      <c r="M528" s="1172"/>
      <c r="N528" s="1175"/>
      <c r="O528" s="143"/>
      <c r="P528" s="1196"/>
      <c r="Q528" s="141"/>
      <c r="R528" s="141"/>
      <c r="S528" s="148"/>
      <c r="T528" s="419"/>
      <c r="U528" s="559"/>
      <c r="V528" s="141"/>
      <c r="W528" s="141"/>
      <c r="X528" s="141"/>
      <c r="Y528" s="144"/>
      <c r="Z528" s="141"/>
      <c r="AA528" s="141"/>
      <c r="AB528" s="141"/>
      <c r="AC528" s="141"/>
      <c r="AD528" s="141"/>
      <c r="AE528" s="141"/>
      <c r="AF528" s="145"/>
      <c r="AG528" s="419"/>
    </row>
    <row r="529" spans="1:33" s="139" customFormat="1" ht="12.75" customHeight="1" x14ac:dyDescent="0.2">
      <c r="A529" s="141"/>
      <c r="B529" s="141"/>
      <c r="C529" s="141"/>
      <c r="D529" s="142"/>
      <c r="E529" s="1014"/>
      <c r="F529" s="1014"/>
      <c r="G529" s="1027"/>
      <c r="H529" s="1027"/>
      <c r="I529" s="1174"/>
      <c r="J529" s="1174"/>
      <c r="K529" s="1174"/>
      <c r="L529" s="1172"/>
      <c r="M529" s="1172"/>
      <c r="N529" s="1175"/>
      <c r="O529" s="143"/>
      <c r="P529" s="1196"/>
      <c r="Q529" s="141"/>
      <c r="R529" s="141"/>
      <c r="S529" s="148"/>
      <c r="T529" s="419"/>
      <c r="U529" s="559"/>
      <c r="V529" s="141"/>
      <c r="W529" s="141"/>
      <c r="X529" s="141"/>
      <c r="Y529" s="144"/>
      <c r="Z529" s="141"/>
      <c r="AA529" s="141"/>
      <c r="AB529" s="141"/>
      <c r="AC529" s="141"/>
      <c r="AD529" s="141"/>
      <c r="AE529" s="141"/>
      <c r="AF529" s="145"/>
      <c r="AG529" s="419"/>
    </row>
    <row r="530" spans="1:33" s="139" customFormat="1" ht="12.75" customHeight="1" x14ac:dyDescent="0.2">
      <c r="A530" s="141"/>
      <c r="B530" s="141"/>
      <c r="C530" s="141"/>
      <c r="D530" s="142"/>
      <c r="E530" s="1014"/>
      <c r="F530" s="1014"/>
      <c r="G530" s="1027"/>
      <c r="H530" s="1027"/>
      <c r="I530" s="1174"/>
      <c r="J530" s="1174"/>
      <c r="K530" s="1174"/>
      <c r="L530" s="1172"/>
      <c r="M530" s="1172"/>
      <c r="N530" s="1175"/>
      <c r="O530" s="143"/>
      <c r="P530" s="1196"/>
      <c r="Q530" s="141"/>
      <c r="R530" s="141"/>
      <c r="S530" s="148"/>
      <c r="T530" s="419"/>
      <c r="U530" s="559"/>
      <c r="V530" s="141"/>
      <c r="W530" s="141"/>
      <c r="X530" s="141"/>
      <c r="Y530" s="144"/>
      <c r="Z530" s="141"/>
      <c r="AA530" s="141"/>
      <c r="AB530" s="141"/>
      <c r="AC530" s="141"/>
      <c r="AD530" s="141"/>
      <c r="AE530" s="141"/>
      <c r="AF530" s="145"/>
      <c r="AG530" s="419"/>
    </row>
    <row r="531" spans="1:33" s="139" customFormat="1" ht="12.75" customHeight="1" x14ac:dyDescent="0.2">
      <c r="A531" s="141"/>
      <c r="B531" s="141"/>
      <c r="C531" s="141"/>
      <c r="D531" s="142"/>
      <c r="E531" s="1014"/>
      <c r="F531" s="1014"/>
      <c r="G531" s="1027"/>
      <c r="H531" s="1027"/>
      <c r="I531" s="1174"/>
      <c r="J531" s="1174"/>
      <c r="K531" s="1174"/>
      <c r="L531" s="1172"/>
      <c r="M531" s="1172"/>
      <c r="N531" s="1175"/>
      <c r="O531" s="143"/>
      <c r="P531" s="1196"/>
      <c r="Q531" s="141"/>
      <c r="R531" s="141"/>
      <c r="S531" s="148"/>
      <c r="T531" s="419"/>
      <c r="U531" s="559"/>
      <c r="V531" s="141"/>
      <c r="W531" s="141"/>
      <c r="X531" s="141"/>
      <c r="Y531" s="144"/>
      <c r="Z531" s="141"/>
      <c r="AA531" s="141"/>
      <c r="AB531" s="141"/>
      <c r="AC531" s="141"/>
      <c r="AD531" s="141"/>
      <c r="AE531" s="141"/>
      <c r="AF531" s="145"/>
      <c r="AG531" s="419"/>
    </row>
    <row r="532" spans="1:33" s="139" customFormat="1" ht="12.75" customHeight="1" x14ac:dyDescent="0.2">
      <c r="A532" s="141"/>
      <c r="B532" s="141"/>
      <c r="C532" s="141"/>
      <c r="D532" s="142"/>
      <c r="E532" s="1014"/>
      <c r="F532" s="1014"/>
      <c r="G532" s="1027"/>
      <c r="H532" s="1027"/>
      <c r="I532" s="1174"/>
      <c r="J532" s="1174"/>
      <c r="K532" s="1174"/>
      <c r="L532" s="1172"/>
      <c r="M532" s="1172"/>
      <c r="N532" s="1175"/>
      <c r="O532" s="143"/>
      <c r="P532" s="1196"/>
      <c r="Q532" s="141"/>
      <c r="R532" s="141"/>
      <c r="S532" s="148"/>
      <c r="T532" s="419"/>
      <c r="U532" s="559"/>
      <c r="V532" s="141"/>
      <c r="W532" s="141"/>
      <c r="X532" s="141"/>
      <c r="Y532" s="144"/>
      <c r="Z532" s="141"/>
      <c r="AA532" s="141"/>
      <c r="AB532" s="141"/>
      <c r="AC532" s="141"/>
      <c r="AD532" s="141"/>
      <c r="AE532" s="141"/>
      <c r="AF532" s="145"/>
      <c r="AG532" s="419"/>
    </row>
    <row r="533" spans="1:33" s="139" customFormat="1" ht="12.75" customHeight="1" x14ac:dyDescent="0.2">
      <c r="A533" s="141"/>
      <c r="B533" s="141"/>
      <c r="C533" s="141"/>
      <c r="D533" s="142"/>
      <c r="E533" s="1014"/>
      <c r="F533" s="1014"/>
      <c r="G533" s="1027"/>
      <c r="H533" s="1027"/>
      <c r="I533" s="1174"/>
      <c r="J533" s="1174"/>
      <c r="K533" s="1174"/>
      <c r="L533" s="1172"/>
      <c r="M533" s="1172"/>
      <c r="N533" s="1175"/>
      <c r="O533" s="143"/>
      <c r="P533" s="1196"/>
      <c r="Q533" s="141"/>
      <c r="R533" s="141"/>
      <c r="S533" s="148"/>
      <c r="T533" s="419"/>
      <c r="U533" s="559"/>
      <c r="V533" s="141"/>
      <c r="W533" s="141"/>
      <c r="X533" s="141"/>
      <c r="Y533" s="144"/>
      <c r="Z533" s="141"/>
      <c r="AA533" s="141"/>
      <c r="AB533" s="141"/>
      <c r="AC533" s="141"/>
      <c r="AD533" s="141"/>
      <c r="AE533" s="141"/>
      <c r="AF533" s="145"/>
      <c r="AG533" s="419"/>
    </row>
    <row r="534" spans="1:33" s="139" customFormat="1" ht="12.75" customHeight="1" x14ac:dyDescent="0.2">
      <c r="A534" s="141"/>
      <c r="B534" s="141"/>
      <c r="C534" s="141"/>
      <c r="D534" s="142"/>
      <c r="E534" s="1014"/>
      <c r="F534" s="1014"/>
      <c r="G534" s="1027"/>
      <c r="H534" s="1027"/>
      <c r="I534" s="1174"/>
      <c r="J534" s="1174"/>
      <c r="K534" s="1174"/>
      <c r="L534" s="1172"/>
      <c r="M534" s="1172"/>
      <c r="N534" s="1175"/>
      <c r="O534" s="143"/>
      <c r="P534" s="1196"/>
      <c r="Q534" s="141"/>
      <c r="R534" s="141"/>
      <c r="S534" s="148"/>
      <c r="T534" s="419"/>
      <c r="U534" s="559"/>
      <c r="V534" s="141"/>
      <c r="W534" s="141"/>
      <c r="X534" s="141"/>
      <c r="Y534" s="144"/>
      <c r="Z534" s="141"/>
      <c r="AA534" s="141"/>
      <c r="AB534" s="141"/>
      <c r="AC534" s="141"/>
      <c r="AD534" s="141"/>
      <c r="AE534" s="141"/>
      <c r="AF534" s="145"/>
      <c r="AG534" s="419"/>
    </row>
    <row r="535" spans="1:33" s="139" customFormat="1" ht="12.75" customHeight="1" x14ac:dyDescent="0.2">
      <c r="A535" s="141"/>
      <c r="B535" s="141"/>
      <c r="C535" s="141"/>
      <c r="D535" s="142"/>
      <c r="E535" s="1014"/>
      <c r="F535" s="1014"/>
      <c r="G535" s="1027"/>
      <c r="H535" s="1027"/>
      <c r="I535" s="1174"/>
      <c r="J535" s="1174"/>
      <c r="K535" s="1174"/>
      <c r="L535" s="1172"/>
      <c r="M535" s="1172"/>
      <c r="N535" s="1175"/>
      <c r="O535" s="143"/>
      <c r="P535" s="1196"/>
      <c r="Q535" s="141"/>
      <c r="R535" s="141"/>
      <c r="S535" s="148"/>
      <c r="T535" s="419"/>
      <c r="U535" s="559"/>
      <c r="V535" s="141"/>
      <c r="W535" s="141"/>
      <c r="X535" s="141"/>
      <c r="Y535" s="144"/>
      <c r="Z535" s="141"/>
      <c r="AA535" s="141"/>
      <c r="AB535" s="141"/>
      <c r="AC535" s="141"/>
      <c r="AD535" s="141"/>
      <c r="AE535" s="141"/>
      <c r="AF535" s="145"/>
      <c r="AG535" s="419"/>
    </row>
    <row r="536" spans="1:33" s="139" customFormat="1" ht="12.75" customHeight="1" x14ac:dyDescent="0.2">
      <c r="A536" s="141"/>
      <c r="B536" s="141"/>
      <c r="C536" s="141"/>
      <c r="D536" s="142"/>
      <c r="E536" s="1014"/>
      <c r="F536" s="1014"/>
      <c r="G536" s="1027"/>
      <c r="H536" s="1027"/>
      <c r="I536" s="1174"/>
      <c r="J536" s="1174"/>
      <c r="K536" s="1174"/>
      <c r="L536" s="1172"/>
      <c r="M536" s="1172"/>
      <c r="N536" s="1175"/>
      <c r="O536" s="143"/>
      <c r="P536" s="1196"/>
      <c r="Q536" s="141"/>
      <c r="R536" s="141"/>
      <c r="S536" s="148"/>
      <c r="T536" s="419"/>
      <c r="U536" s="559"/>
      <c r="V536" s="141"/>
      <c r="W536" s="141"/>
      <c r="X536" s="141"/>
      <c r="Y536" s="144"/>
      <c r="Z536" s="141"/>
      <c r="AA536" s="141"/>
      <c r="AB536" s="141"/>
      <c r="AC536" s="141"/>
      <c r="AD536" s="141"/>
      <c r="AE536" s="141"/>
      <c r="AF536" s="145"/>
      <c r="AG536" s="419"/>
    </row>
    <row r="537" spans="1:33" s="139" customFormat="1" ht="12.75" customHeight="1" x14ac:dyDescent="0.2">
      <c r="A537" s="141"/>
      <c r="B537" s="141"/>
      <c r="C537" s="141"/>
      <c r="D537" s="142"/>
      <c r="E537" s="1014"/>
      <c r="F537" s="1014"/>
      <c r="G537" s="1027"/>
      <c r="H537" s="1027"/>
      <c r="I537" s="1174"/>
      <c r="J537" s="1174"/>
      <c r="K537" s="1174"/>
      <c r="L537" s="1172"/>
      <c r="M537" s="1172"/>
      <c r="N537" s="1175"/>
      <c r="O537" s="143"/>
      <c r="P537" s="1196"/>
      <c r="Q537" s="141"/>
      <c r="R537" s="141"/>
      <c r="S537" s="148"/>
      <c r="T537" s="419"/>
      <c r="U537" s="559"/>
      <c r="V537" s="141"/>
      <c r="W537" s="141"/>
      <c r="X537" s="141"/>
      <c r="Y537" s="144"/>
      <c r="Z537" s="141"/>
      <c r="AA537" s="141"/>
      <c r="AB537" s="141"/>
      <c r="AC537" s="141"/>
      <c r="AD537" s="141"/>
      <c r="AE537" s="141"/>
      <c r="AF537" s="145"/>
      <c r="AG537" s="419"/>
    </row>
    <row r="538" spans="1:33" s="139" customFormat="1" ht="12.75" customHeight="1" x14ac:dyDescent="0.2">
      <c r="A538" s="141"/>
      <c r="B538" s="141"/>
      <c r="C538" s="141"/>
      <c r="D538" s="142"/>
      <c r="E538" s="1014"/>
      <c r="F538" s="1014"/>
      <c r="G538" s="1027"/>
      <c r="H538" s="1027"/>
      <c r="I538" s="1174"/>
      <c r="J538" s="1174"/>
      <c r="K538" s="1174"/>
      <c r="L538" s="1172"/>
      <c r="M538" s="1172"/>
      <c r="N538" s="1175"/>
      <c r="O538" s="143"/>
      <c r="P538" s="1196"/>
      <c r="Q538" s="141"/>
      <c r="R538" s="141"/>
      <c r="S538" s="148"/>
      <c r="T538" s="419"/>
      <c r="U538" s="559"/>
      <c r="V538" s="141"/>
      <c r="W538" s="141"/>
      <c r="X538" s="141"/>
      <c r="Y538" s="144"/>
      <c r="Z538" s="141"/>
      <c r="AA538" s="141"/>
      <c r="AB538" s="141"/>
      <c r="AC538" s="141"/>
      <c r="AD538" s="141"/>
      <c r="AE538" s="141"/>
      <c r="AF538" s="145"/>
      <c r="AG538" s="419"/>
    </row>
    <row r="539" spans="1:33" s="139" customFormat="1" ht="12.75" customHeight="1" x14ac:dyDescent="0.2">
      <c r="A539" s="141"/>
      <c r="B539" s="141"/>
      <c r="C539" s="141"/>
      <c r="D539" s="142"/>
      <c r="E539" s="1014"/>
      <c r="F539" s="1014"/>
      <c r="G539" s="1027"/>
      <c r="H539" s="1027"/>
      <c r="I539" s="1174"/>
      <c r="J539" s="1174"/>
      <c r="K539" s="1174"/>
      <c r="L539" s="1172"/>
      <c r="M539" s="1172"/>
      <c r="N539" s="1175"/>
      <c r="O539" s="143"/>
      <c r="P539" s="1196"/>
      <c r="Q539" s="141"/>
      <c r="R539" s="141"/>
      <c r="S539" s="148"/>
      <c r="T539" s="419"/>
      <c r="U539" s="559"/>
      <c r="V539" s="141"/>
      <c r="W539" s="141"/>
      <c r="X539" s="141"/>
      <c r="Y539" s="144"/>
      <c r="Z539" s="141"/>
      <c r="AA539" s="141"/>
      <c r="AB539" s="141"/>
      <c r="AC539" s="141"/>
      <c r="AD539" s="141"/>
      <c r="AE539" s="141"/>
      <c r="AF539" s="145"/>
      <c r="AG539" s="419"/>
    </row>
    <row r="540" spans="1:33" s="139" customFormat="1" ht="12.75" customHeight="1" x14ac:dyDescent="0.2">
      <c r="A540" s="141"/>
      <c r="B540" s="141"/>
      <c r="C540" s="141"/>
      <c r="D540" s="142"/>
      <c r="E540" s="1014"/>
      <c r="F540" s="1014"/>
      <c r="G540" s="1027"/>
      <c r="H540" s="1027"/>
      <c r="I540" s="1174"/>
      <c r="J540" s="1174"/>
      <c r="K540" s="1174"/>
      <c r="L540" s="1172"/>
      <c r="M540" s="1172"/>
      <c r="N540" s="1175"/>
      <c r="O540" s="143"/>
      <c r="P540" s="1196"/>
      <c r="Q540" s="141"/>
      <c r="R540" s="141"/>
      <c r="S540" s="148"/>
      <c r="T540" s="419"/>
      <c r="U540" s="559"/>
      <c r="V540" s="141"/>
      <c r="W540" s="141"/>
      <c r="X540" s="141"/>
      <c r="Y540" s="144"/>
      <c r="Z540" s="141"/>
      <c r="AA540" s="141"/>
      <c r="AB540" s="141"/>
      <c r="AC540" s="141"/>
      <c r="AD540" s="141"/>
      <c r="AE540" s="141"/>
      <c r="AF540" s="145"/>
      <c r="AG540" s="419"/>
    </row>
    <row r="541" spans="1:33" s="139" customFormat="1" ht="12.75" customHeight="1" x14ac:dyDescent="0.2">
      <c r="A541" s="141"/>
      <c r="B541" s="141"/>
      <c r="C541" s="141"/>
      <c r="D541" s="142"/>
      <c r="E541" s="1014"/>
      <c r="F541" s="1014"/>
      <c r="G541" s="1027"/>
      <c r="H541" s="1027"/>
      <c r="I541" s="1174"/>
      <c r="J541" s="1174"/>
      <c r="K541" s="1174"/>
      <c r="L541" s="1172"/>
      <c r="M541" s="1172"/>
      <c r="N541" s="1175"/>
      <c r="O541" s="143"/>
      <c r="P541" s="1196"/>
      <c r="Q541" s="141"/>
      <c r="R541" s="141"/>
      <c r="S541" s="148"/>
      <c r="T541" s="419"/>
      <c r="U541" s="559"/>
      <c r="V541" s="141"/>
      <c r="W541" s="141"/>
      <c r="X541" s="141"/>
      <c r="Y541" s="144"/>
      <c r="Z541" s="141"/>
      <c r="AA541" s="141"/>
      <c r="AB541" s="141"/>
      <c r="AC541" s="141"/>
      <c r="AD541" s="141"/>
      <c r="AE541" s="141"/>
      <c r="AF541" s="145"/>
      <c r="AG541" s="419"/>
    </row>
    <row r="542" spans="1:33" s="139" customFormat="1" ht="12.75" customHeight="1" x14ac:dyDescent="0.2">
      <c r="A542" s="141"/>
      <c r="B542" s="141"/>
      <c r="C542" s="141"/>
      <c r="D542" s="142"/>
      <c r="E542" s="1014"/>
      <c r="F542" s="1014"/>
      <c r="G542" s="1027"/>
      <c r="H542" s="1027"/>
      <c r="I542" s="1174"/>
      <c r="J542" s="1174"/>
      <c r="K542" s="1174"/>
      <c r="L542" s="1172"/>
      <c r="M542" s="1172"/>
      <c r="N542" s="1175"/>
      <c r="O542" s="143"/>
      <c r="P542" s="1196"/>
      <c r="Q542" s="141"/>
      <c r="R542" s="141"/>
      <c r="S542" s="148"/>
      <c r="T542" s="419"/>
      <c r="U542" s="559"/>
      <c r="V542" s="141"/>
      <c r="W542" s="141"/>
      <c r="X542" s="141"/>
      <c r="Y542" s="144"/>
      <c r="Z542" s="141"/>
      <c r="AA542" s="141"/>
      <c r="AB542" s="141"/>
      <c r="AC542" s="141"/>
      <c r="AD542" s="141"/>
      <c r="AE542" s="141"/>
      <c r="AF542" s="145"/>
      <c r="AG542" s="419"/>
    </row>
    <row r="543" spans="1:33" s="139" customFormat="1" ht="12.75" customHeight="1" x14ac:dyDescent="0.2">
      <c r="A543" s="141"/>
      <c r="B543" s="141"/>
      <c r="C543" s="141"/>
      <c r="D543" s="142"/>
      <c r="E543" s="1014"/>
      <c r="F543" s="1014"/>
      <c r="G543" s="1027"/>
      <c r="H543" s="1027"/>
      <c r="I543" s="1174"/>
      <c r="J543" s="1174"/>
      <c r="K543" s="1174"/>
      <c r="L543" s="1172"/>
      <c r="M543" s="1172"/>
      <c r="N543" s="1175"/>
      <c r="O543" s="143"/>
      <c r="P543" s="1196"/>
      <c r="Q543" s="141"/>
      <c r="R543" s="141"/>
      <c r="S543" s="148"/>
      <c r="T543" s="419"/>
      <c r="U543" s="559"/>
      <c r="V543" s="141"/>
      <c r="W543" s="141"/>
      <c r="X543" s="141"/>
      <c r="Y543" s="144"/>
      <c r="Z543" s="141"/>
      <c r="AA543" s="141"/>
      <c r="AB543" s="141"/>
      <c r="AC543" s="141"/>
      <c r="AD543" s="141"/>
      <c r="AE543" s="141"/>
      <c r="AF543" s="145"/>
      <c r="AG543" s="419"/>
    </row>
    <row r="544" spans="1:33" s="139" customFormat="1" ht="12.75" customHeight="1" x14ac:dyDescent="0.2">
      <c r="A544" s="141"/>
      <c r="B544" s="141"/>
      <c r="C544" s="141"/>
      <c r="D544" s="142"/>
      <c r="E544" s="1014"/>
      <c r="F544" s="1014"/>
      <c r="G544" s="1027"/>
      <c r="H544" s="1027"/>
      <c r="I544" s="1174"/>
      <c r="J544" s="1174"/>
      <c r="K544" s="1174"/>
      <c r="L544" s="1172"/>
      <c r="M544" s="1172"/>
      <c r="N544" s="1175"/>
      <c r="O544" s="143"/>
      <c r="P544" s="1196"/>
      <c r="Q544" s="141"/>
      <c r="R544" s="141"/>
      <c r="S544" s="148"/>
      <c r="T544" s="419"/>
      <c r="U544" s="559"/>
      <c r="V544" s="141"/>
      <c r="W544" s="141"/>
      <c r="X544" s="141"/>
      <c r="Y544" s="144"/>
      <c r="Z544" s="141"/>
      <c r="AA544" s="141"/>
      <c r="AB544" s="141"/>
      <c r="AC544" s="141"/>
      <c r="AD544" s="141"/>
      <c r="AE544" s="141"/>
      <c r="AF544" s="145"/>
      <c r="AG544" s="419"/>
    </row>
    <row r="545" spans="1:33" s="139" customFormat="1" ht="12.75" customHeight="1" x14ac:dyDescent="0.2">
      <c r="A545" s="141"/>
      <c r="B545" s="141"/>
      <c r="C545" s="141"/>
      <c r="D545" s="142"/>
      <c r="E545" s="1014"/>
      <c r="F545" s="1014"/>
      <c r="G545" s="1027"/>
      <c r="H545" s="1027"/>
      <c r="I545" s="1174"/>
      <c r="J545" s="1174"/>
      <c r="K545" s="1174"/>
      <c r="L545" s="1172"/>
      <c r="M545" s="1172"/>
      <c r="N545" s="1175"/>
      <c r="O545" s="143"/>
      <c r="P545" s="1196"/>
      <c r="Q545" s="141"/>
      <c r="R545" s="141"/>
      <c r="S545" s="148"/>
      <c r="T545" s="419"/>
      <c r="U545" s="559"/>
      <c r="V545" s="141"/>
      <c r="W545" s="141"/>
      <c r="X545" s="141"/>
      <c r="Y545" s="144"/>
      <c r="Z545" s="141"/>
      <c r="AA545" s="141"/>
      <c r="AB545" s="141"/>
      <c r="AC545" s="141"/>
      <c r="AD545" s="141"/>
      <c r="AE545" s="141"/>
      <c r="AF545" s="145"/>
      <c r="AG545" s="419"/>
    </row>
    <row r="546" spans="1:33" s="139" customFormat="1" ht="12.75" customHeight="1" x14ac:dyDescent="0.2">
      <c r="A546" s="141"/>
      <c r="B546" s="141"/>
      <c r="C546" s="141"/>
      <c r="D546" s="142"/>
      <c r="E546" s="1014"/>
      <c r="F546" s="1014"/>
      <c r="G546" s="1027"/>
      <c r="H546" s="1027"/>
      <c r="I546" s="1174"/>
      <c r="J546" s="1174"/>
      <c r="K546" s="1174"/>
      <c r="L546" s="1172"/>
      <c r="M546" s="1172"/>
      <c r="N546" s="1175"/>
      <c r="O546" s="143"/>
      <c r="P546" s="1196"/>
      <c r="Q546" s="141"/>
      <c r="R546" s="141"/>
      <c r="S546" s="148"/>
      <c r="T546" s="419"/>
      <c r="U546" s="559"/>
      <c r="V546" s="141"/>
      <c r="W546" s="141"/>
      <c r="X546" s="141"/>
      <c r="Y546" s="144"/>
      <c r="Z546" s="141"/>
      <c r="AA546" s="141"/>
      <c r="AB546" s="141"/>
      <c r="AC546" s="141"/>
      <c r="AD546" s="141"/>
      <c r="AE546" s="141"/>
      <c r="AF546" s="145"/>
      <c r="AG546" s="419"/>
    </row>
    <row r="547" spans="1:33" s="139" customFormat="1" ht="12.75" customHeight="1" x14ac:dyDescent="0.2">
      <c r="A547" s="141"/>
      <c r="B547" s="141"/>
      <c r="C547" s="141"/>
      <c r="D547" s="142"/>
      <c r="E547" s="1014"/>
      <c r="F547" s="1014"/>
      <c r="G547" s="1027"/>
      <c r="H547" s="1027"/>
      <c r="I547" s="1174"/>
      <c r="J547" s="1174"/>
      <c r="K547" s="1174"/>
      <c r="L547" s="1172"/>
      <c r="M547" s="1172"/>
      <c r="N547" s="1175"/>
      <c r="O547" s="143"/>
      <c r="P547" s="1196"/>
      <c r="Q547" s="141"/>
      <c r="R547" s="141"/>
      <c r="S547" s="148"/>
      <c r="T547" s="419"/>
      <c r="U547" s="559"/>
      <c r="V547" s="141"/>
      <c r="W547" s="141"/>
      <c r="X547" s="141"/>
      <c r="Y547" s="144"/>
      <c r="Z547" s="141"/>
      <c r="AA547" s="141"/>
      <c r="AB547" s="141"/>
      <c r="AC547" s="141"/>
      <c r="AD547" s="141"/>
      <c r="AE547" s="141"/>
      <c r="AF547" s="145"/>
      <c r="AG547" s="419"/>
    </row>
    <row r="548" spans="1:33" s="139" customFormat="1" ht="12.75" customHeight="1" x14ac:dyDescent="0.2">
      <c r="A548" s="141"/>
      <c r="B548" s="141"/>
      <c r="C548" s="141"/>
      <c r="D548" s="142"/>
      <c r="E548" s="1014"/>
      <c r="F548" s="1014"/>
      <c r="G548" s="1027"/>
      <c r="H548" s="1027"/>
      <c r="I548" s="1174"/>
      <c r="J548" s="1174"/>
      <c r="K548" s="1174"/>
      <c r="L548" s="1172"/>
      <c r="M548" s="1172"/>
      <c r="N548" s="1175"/>
      <c r="O548" s="143"/>
      <c r="P548" s="1196"/>
      <c r="Q548" s="141"/>
      <c r="R548" s="141"/>
      <c r="S548" s="148"/>
      <c r="T548" s="419"/>
      <c r="U548" s="559"/>
      <c r="V548" s="141"/>
      <c r="W548" s="141"/>
      <c r="X548" s="141"/>
      <c r="Y548" s="144"/>
      <c r="Z548" s="141"/>
      <c r="AA548" s="141"/>
      <c r="AB548" s="141"/>
      <c r="AC548" s="141"/>
      <c r="AD548" s="141"/>
      <c r="AE548" s="141"/>
      <c r="AF548" s="145"/>
      <c r="AG548" s="419"/>
    </row>
    <row r="549" spans="1:33" s="139" customFormat="1" ht="12.75" customHeight="1" x14ac:dyDescent="0.2">
      <c r="A549" s="141"/>
      <c r="B549" s="141"/>
      <c r="C549" s="141"/>
      <c r="D549" s="142"/>
      <c r="E549" s="1014"/>
      <c r="F549" s="1014"/>
      <c r="G549" s="1027"/>
      <c r="H549" s="1027"/>
      <c r="I549" s="1174"/>
      <c r="J549" s="1174"/>
      <c r="K549" s="1174"/>
      <c r="L549" s="1172"/>
      <c r="M549" s="1172"/>
      <c r="N549" s="1175"/>
      <c r="O549" s="143"/>
      <c r="P549" s="1196"/>
      <c r="Q549" s="141"/>
      <c r="R549" s="141"/>
      <c r="S549" s="148"/>
      <c r="T549" s="419"/>
      <c r="U549" s="559"/>
      <c r="V549" s="141"/>
      <c r="W549" s="141"/>
      <c r="X549" s="141"/>
      <c r="Y549" s="144"/>
      <c r="Z549" s="141"/>
      <c r="AA549" s="141"/>
      <c r="AB549" s="141"/>
      <c r="AC549" s="141"/>
      <c r="AD549" s="141"/>
      <c r="AE549" s="141"/>
      <c r="AF549" s="145"/>
      <c r="AG549" s="419"/>
    </row>
    <row r="550" spans="1:33" s="139" customFormat="1" ht="12.75" customHeight="1" x14ac:dyDescent="0.2">
      <c r="A550" s="141"/>
      <c r="B550" s="141"/>
      <c r="C550" s="141"/>
      <c r="D550" s="142"/>
      <c r="E550" s="1014"/>
      <c r="F550" s="1014"/>
      <c r="G550" s="1027"/>
      <c r="H550" s="1027"/>
      <c r="I550" s="1174"/>
      <c r="J550" s="1174"/>
      <c r="K550" s="1174"/>
      <c r="L550" s="1172"/>
      <c r="M550" s="1172"/>
      <c r="N550" s="1175"/>
      <c r="O550" s="143"/>
      <c r="P550" s="1196"/>
      <c r="Q550" s="141"/>
      <c r="R550" s="141"/>
      <c r="S550" s="148"/>
      <c r="T550" s="419"/>
      <c r="U550" s="559"/>
      <c r="V550" s="141"/>
      <c r="W550" s="141"/>
      <c r="X550" s="141"/>
      <c r="Y550" s="144"/>
      <c r="Z550" s="141"/>
      <c r="AA550" s="141"/>
      <c r="AB550" s="141"/>
      <c r="AC550" s="141"/>
      <c r="AD550" s="141"/>
      <c r="AE550" s="141"/>
      <c r="AF550" s="145"/>
      <c r="AG550" s="419"/>
    </row>
    <row r="551" spans="1:33" s="139" customFormat="1" ht="12.75" customHeight="1" x14ac:dyDescent="0.2">
      <c r="A551" s="141"/>
      <c r="B551" s="141"/>
      <c r="C551" s="141"/>
      <c r="D551" s="142"/>
      <c r="E551" s="1014"/>
      <c r="F551" s="1014"/>
      <c r="G551" s="1027"/>
      <c r="H551" s="1027"/>
      <c r="I551" s="1174"/>
      <c r="J551" s="1174"/>
      <c r="K551" s="1174"/>
      <c r="L551" s="1172"/>
      <c r="M551" s="1172"/>
      <c r="N551" s="1175"/>
      <c r="O551" s="143"/>
      <c r="P551" s="1196"/>
      <c r="Q551" s="141"/>
      <c r="R551" s="141"/>
      <c r="S551" s="148"/>
      <c r="T551" s="419"/>
      <c r="U551" s="559"/>
      <c r="V551" s="141"/>
      <c r="W551" s="141"/>
      <c r="X551" s="141"/>
      <c r="Y551" s="144"/>
      <c r="Z551" s="141"/>
      <c r="AA551" s="141"/>
      <c r="AB551" s="141"/>
      <c r="AC551" s="141"/>
      <c r="AD551" s="141"/>
      <c r="AE551" s="141"/>
      <c r="AF551" s="145"/>
      <c r="AG551" s="419"/>
    </row>
    <row r="552" spans="1:33" s="139" customFormat="1" ht="12.75" customHeight="1" x14ac:dyDescent="0.2">
      <c r="A552" s="141"/>
      <c r="B552" s="141"/>
      <c r="C552" s="141"/>
      <c r="D552" s="142"/>
      <c r="E552" s="1014"/>
      <c r="F552" s="1014"/>
      <c r="G552" s="1027"/>
      <c r="H552" s="1027"/>
      <c r="I552" s="1174"/>
      <c r="J552" s="1174"/>
      <c r="K552" s="1174"/>
      <c r="L552" s="1172"/>
      <c r="M552" s="1172"/>
      <c r="N552" s="1175"/>
      <c r="O552" s="143"/>
      <c r="P552" s="1196"/>
      <c r="Q552" s="141"/>
      <c r="R552" s="141"/>
      <c r="S552" s="148"/>
      <c r="T552" s="419"/>
      <c r="U552" s="559"/>
      <c r="V552" s="141"/>
      <c r="W552" s="141"/>
      <c r="X552" s="141"/>
      <c r="Y552" s="144"/>
      <c r="Z552" s="141"/>
      <c r="AA552" s="141"/>
      <c r="AB552" s="141"/>
      <c r="AC552" s="141"/>
      <c r="AD552" s="141"/>
      <c r="AE552" s="141"/>
      <c r="AF552" s="145"/>
      <c r="AG552" s="419"/>
    </row>
    <row r="553" spans="1:33" s="139" customFormat="1" ht="12.75" customHeight="1" x14ac:dyDescent="0.2">
      <c r="A553" s="141"/>
      <c r="B553" s="141"/>
      <c r="C553" s="141"/>
      <c r="D553" s="142"/>
      <c r="E553" s="1014"/>
      <c r="F553" s="1014"/>
      <c r="G553" s="1027"/>
      <c r="H553" s="1027"/>
      <c r="I553" s="1174"/>
      <c r="J553" s="1174"/>
      <c r="K553" s="1174"/>
      <c r="L553" s="1172"/>
      <c r="M553" s="1172"/>
      <c r="N553" s="1175"/>
      <c r="O553" s="143"/>
      <c r="P553" s="1196"/>
      <c r="Q553" s="141"/>
      <c r="R553" s="141"/>
      <c r="S553" s="148"/>
      <c r="T553" s="419"/>
      <c r="U553" s="559"/>
      <c r="V553" s="141"/>
      <c r="W553" s="141"/>
      <c r="X553" s="141"/>
      <c r="Y553" s="144"/>
      <c r="Z553" s="141"/>
      <c r="AA553" s="141"/>
      <c r="AB553" s="141"/>
      <c r="AC553" s="141"/>
      <c r="AD553" s="141"/>
      <c r="AE553" s="141"/>
      <c r="AF553" s="145"/>
      <c r="AG553" s="419"/>
    </row>
    <row r="554" spans="1:33" s="139" customFormat="1" ht="12.75" customHeight="1" x14ac:dyDescent="0.2">
      <c r="A554" s="141"/>
      <c r="B554" s="141"/>
      <c r="C554" s="141"/>
      <c r="D554" s="142"/>
      <c r="E554" s="1014"/>
      <c r="F554" s="1014"/>
      <c r="G554" s="1027"/>
      <c r="H554" s="1027"/>
      <c r="I554" s="1174"/>
      <c r="J554" s="1174"/>
      <c r="K554" s="1174"/>
      <c r="L554" s="1172"/>
      <c r="M554" s="1172"/>
      <c r="N554" s="1175"/>
      <c r="O554" s="143"/>
      <c r="P554" s="1196"/>
      <c r="Q554" s="141"/>
      <c r="R554" s="141"/>
      <c r="S554" s="148"/>
      <c r="T554" s="419"/>
      <c r="U554" s="559"/>
      <c r="V554" s="141"/>
      <c r="W554" s="141"/>
      <c r="X554" s="141"/>
      <c r="Y554" s="144"/>
      <c r="Z554" s="141"/>
      <c r="AA554" s="141"/>
      <c r="AB554" s="141"/>
      <c r="AC554" s="141"/>
      <c r="AD554" s="141"/>
      <c r="AE554" s="141"/>
      <c r="AF554" s="145"/>
      <c r="AG554" s="419"/>
    </row>
    <row r="555" spans="1:33" s="139" customFormat="1" ht="12.75" customHeight="1" x14ac:dyDescent="0.2">
      <c r="A555" s="141"/>
      <c r="B555" s="141"/>
      <c r="C555" s="141"/>
      <c r="D555" s="142"/>
      <c r="E555" s="1014"/>
      <c r="F555" s="1014"/>
      <c r="G555" s="1027"/>
      <c r="H555" s="1027"/>
      <c r="I555" s="1174"/>
      <c r="J555" s="1174"/>
      <c r="K555" s="1174"/>
      <c r="L555" s="1172"/>
      <c r="M555" s="1172"/>
      <c r="N555" s="1175"/>
      <c r="O555" s="143"/>
      <c r="P555" s="1196"/>
      <c r="Q555" s="141"/>
      <c r="R555" s="141"/>
      <c r="S555" s="148"/>
      <c r="T555" s="419"/>
      <c r="U555" s="559"/>
      <c r="V555" s="141"/>
      <c r="W555" s="141"/>
      <c r="X555" s="141"/>
      <c r="Y555" s="144"/>
      <c r="Z555" s="141"/>
      <c r="AA555" s="141"/>
      <c r="AB555" s="141"/>
      <c r="AC555" s="141"/>
      <c r="AD555" s="141"/>
      <c r="AE555" s="141"/>
      <c r="AF555" s="145"/>
      <c r="AG555" s="419"/>
    </row>
    <row r="556" spans="1:33" s="139" customFormat="1" ht="12.75" customHeight="1" x14ac:dyDescent="0.2">
      <c r="A556" s="141"/>
      <c r="B556" s="141"/>
      <c r="C556" s="141"/>
      <c r="D556" s="142"/>
      <c r="E556" s="1014"/>
      <c r="F556" s="1014"/>
      <c r="G556" s="1027"/>
      <c r="H556" s="1027"/>
      <c r="I556" s="1174"/>
      <c r="J556" s="1174"/>
      <c r="K556" s="1174"/>
      <c r="L556" s="1172"/>
      <c r="M556" s="1172"/>
      <c r="N556" s="1175"/>
      <c r="O556" s="143"/>
      <c r="P556" s="1196"/>
      <c r="Q556" s="141"/>
      <c r="R556" s="141"/>
      <c r="S556" s="148"/>
      <c r="T556" s="419"/>
      <c r="U556" s="559"/>
      <c r="V556" s="141"/>
      <c r="W556" s="141"/>
      <c r="X556" s="141"/>
      <c r="Y556" s="144"/>
      <c r="Z556" s="141"/>
      <c r="AA556" s="141"/>
      <c r="AB556" s="141"/>
      <c r="AC556" s="141"/>
      <c r="AD556" s="141"/>
      <c r="AE556" s="141"/>
      <c r="AF556" s="145"/>
      <c r="AG556" s="419"/>
    </row>
    <row r="557" spans="1:33" s="139" customFormat="1" ht="12.75" customHeight="1" x14ac:dyDescent="0.2">
      <c r="A557" s="141"/>
      <c r="B557" s="141"/>
      <c r="C557" s="141"/>
      <c r="D557" s="142"/>
      <c r="E557" s="1014"/>
      <c r="F557" s="1014"/>
      <c r="G557" s="1027"/>
      <c r="H557" s="1027"/>
      <c r="I557" s="1174"/>
      <c r="J557" s="1174"/>
      <c r="K557" s="1174"/>
      <c r="L557" s="1172"/>
      <c r="M557" s="1172"/>
      <c r="N557" s="1175"/>
      <c r="O557" s="143"/>
      <c r="P557" s="1196"/>
      <c r="Q557" s="141"/>
      <c r="R557" s="141"/>
      <c r="S557" s="148"/>
      <c r="T557" s="419"/>
      <c r="U557" s="559"/>
      <c r="V557" s="141"/>
      <c r="W557" s="141"/>
      <c r="X557" s="141"/>
      <c r="Y557" s="144"/>
      <c r="Z557" s="141"/>
      <c r="AA557" s="141"/>
      <c r="AB557" s="141"/>
      <c r="AC557" s="141"/>
      <c r="AD557" s="141"/>
      <c r="AE557" s="141"/>
      <c r="AF557" s="145"/>
      <c r="AG557" s="419"/>
    </row>
    <row r="558" spans="1:33" s="139" customFormat="1" ht="12.75" customHeight="1" x14ac:dyDescent="0.2">
      <c r="A558" s="141"/>
      <c r="B558" s="141"/>
      <c r="C558" s="141"/>
      <c r="D558" s="142"/>
      <c r="E558" s="1014"/>
      <c r="F558" s="1014"/>
      <c r="G558" s="1027"/>
      <c r="H558" s="1027"/>
      <c r="I558" s="1174"/>
      <c r="J558" s="1174"/>
      <c r="K558" s="1174"/>
      <c r="L558" s="1172"/>
      <c r="M558" s="1172"/>
      <c r="N558" s="1175"/>
      <c r="O558" s="143"/>
      <c r="P558" s="1196"/>
      <c r="Q558" s="141"/>
      <c r="R558" s="141"/>
      <c r="S558" s="148"/>
      <c r="T558" s="419"/>
      <c r="U558" s="559"/>
      <c r="V558" s="141"/>
      <c r="W558" s="141"/>
      <c r="X558" s="141"/>
      <c r="Y558" s="144"/>
      <c r="Z558" s="141"/>
      <c r="AA558" s="141"/>
      <c r="AB558" s="141"/>
      <c r="AC558" s="141"/>
      <c r="AD558" s="141"/>
      <c r="AE558" s="141"/>
      <c r="AF558" s="145"/>
      <c r="AG558" s="419"/>
    </row>
    <row r="559" spans="1:33" s="139" customFormat="1" ht="12.75" customHeight="1" x14ac:dyDescent="0.2">
      <c r="A559" s="141"/>
      <c r="B559" s="141"/>
      <c r="C559" s="141"/>
      <c r="D559" s="142"/>
      <c r="E559" s="1014"/>
      <c r="F559" s="1014"/>
      <c r="G559" s="1027"/>
      <c r="H559" s="1027"/>
      <c r="I559" s="1174"/>
      <c r="J559" s="1174"/>
      <c r="K559" s="1174"/>
      <c r="L559" s="1172"/>
      <c r="M559" s="1172"/>
      <c r="N559" s="1175"/>
      <c r="O559" s="143"/>
      <c r="P559" s="1196"/>
      <c r="Q559" s="141"/>
      <c r="R559" s="141"/>
      <c r="S559" s="148"/>
      <c r="T559" s="419"/>
      <c r="U559" s="559"/>
      <c r="V559" s="141"/>
      <c r="W559" s="141"/>
      <c r="X559" s="141"/>
      <c r="Y559" s="144"/>
      <c r="Z559" s="141"/>
      <c r="AA559" s="141"/>
      <c r="AB559" s="141"/>
      <c r="AC559" s="141"/>
      <c r="AD559" s="141"/>
      <c r="AE559" s="141"/>
      <c r="AF559" s="145"/>
      <c r="AG559" s="419"/>
    </row>
    <row r="560" spans="1:33" s="139" customFormat="1" ht="12.75" customHeight="1" x14ac:dyDescent="0.2">
      <c r="A560" s="141"/>
      <c r="B560" s="141"/>
      <c r="C560" s="141"/>
      <c r="D560" s="142"/>
      <c r="E560" s="1014"/>
      <c r="F560" s="1014"/>
      <c r="G560" s="1027"/>
      <c r="H560" s="1027"/>
      <c r="I560" s="1174"/>
      <c r="J560" s="1174"/>
      <c r="K560" s="1174"/>
      <c r="L560" s="1172"/>
      <c r="M560" s="1172"/>
      <c r="N560" s="1175"/>
      <c r="O560" s="143"/>
      <c r="P560" s="1196"/>
      <c r="Q560" s="141"/>
      <c r="R560" s="141"/>
      <c r="S560" s="148"/>
      <c r="T560" s="419"/>
      <c r="U560" s="559"/>
      <c r="V560" s="141"/>
      <c r="W560" s="141"/>
      <c r="X560" s="141"/>
      <c r="Y560" s="144"/>
      <c r="Z560" s="141"/>
      <c r="AA560" s="141"/>
      <c r="AB560" s="141"/>
      <c r="AC560" s="141"/>
      <c r="AD560" s="141"/>
      <c r="AE560" s="141"/>
      <c r="AF560" s="145"/>
      <c r="AG560" s="419"/>
    </row>
    <row r="561" spans="1:33" s="139" customFormat="1" ht="12.75" customHeight="1" x14ac:dyDescent="0.2">
      <c r="A561" s="141"/>
      <c r="B561" s="141"/>
      <c r="C561" s="141"/>
      <c r="D561" s="142"/>
      <c r="E561" s="1014"/>
      <c r="F561" s="1014"/>
      <c r="G561" s="1027"/>
      <c r="H561" s="1027"/>
      <c r="I561" s="1174"/>
      <c r="J561" s="1174"/>
      <c r="K561" s="1174"/>
      <c r="L561" s="1172"/>
      <c r="M561" s="1172"/>
      <c r="N561" s="1175"/>
      <c r="O561" s="143"/>
      <c r="P561" s="1196"/>
      <c r="Q561" s="141"/>
      <c r="R561" s="141"/>
      <c r="S561" s="148"/>
      <c r="T561" s="419"/>
      <c r="U561" s="559"/>
      <c r="V561" s="141"/>
      <c r="W561" s="141"/>
      <c r="X561" s="141"/>
      <c r="Y561" s="144"/>
      <c r="Z561" s="141"/>
      <c r="AA561" s="141"/>
      <c r="AB561" s="141"/>
      <c r="AC561" s="141"/>
      <c r="AD561" s="141"/>
      <c r="AE561" s="141"/>
      <c r="AF561" s="145"/>
      <c r="AG561" s="419"/>
    </row>
    <row r="562" spans="1:33" s="139" customFormat="1" ht="12.75" customHeight="1" x14ac:dyDescent="0.2">
      <c r="A562" s="141"/>
      <c r="B562" s="141"/>
      <c r="C562" s="141"/>
      <c r="D562" s="142"/>
      <c r="E562" s="1014"/>
      <c r="F562" s="1014"/>
      <c r="G562" s="1027"/>
      <c r="H562" s="1027"/>
      <c r="I562" s="1174"/>
      <c r="J562" s="1174"/>
      <c r="K562" s="1174"/>
      <c r="L562" s="1172"/>
      <c r="M562" s="1172"/>
      <c r="N562" s="1175"/>
      <c r="O562" s="143"/>
      <c r="P562" s="1196"/>
      <c r="Q562" s="141"/>
      <c r="R562" s="141"/>
      <c r="S562" s="148"/>
      <c r="T562" s="419"/>
      <c r="U562" s="559"/>
      <c r="V562" s="141"/>
      <c r="W562" s="141"/>
      <c r="X562" s="141"/>
      <c r="Y562" s="144"/>
      <c r="Z562" s="141"/>
      <c r="AA562" s="141"/>
      <c r="AB562" s="141"/>
      <c r="AC562" s="141"/>
      <c r="AD562" s="141"/>
      <c r="AE562" s="141"/>
      <c r="AF562" s="145"/>
      <c r="AG562" s="419"/>
    </row>
    <row r="563" spans="1:33" s="139" customFormat="1" ht="12.75" customHeight="1" x14ac:dyDescent="0.2">
      <c r="A563" s="141"/>
      <c r="B563" s="141"/>
      <c r="C563" s="141"/>
      <c r="D563" s="142"/>
      <c r="E563" s="1014"/>
      <c r="F563" s="1014"/>
      <c r="G563" s="1027"/>
      <c r="H563" s="1027"/>
      <c r="I563" s="1174"/>
      <c r="J563" s="1174"/>
      <c r="K563" s="1174"/>
      <c r="L563" s="1172"/>
      <c r="M563" s="1172"/>
      <c r="N563" s="1175"/>
      <c r="O563" s="143"/>
      <c r="P563" s="1196"/>
      <c r="Q563" s="141"/>
      <c r="R563" s="141"/>
      <c r="S563" s="148"/>
      <c r="T563" s="419"/>
      <c r="U563" s="559"/>
      <c r="V563" s="141"/>
      <c r="W563" s="141"/>
      <c r="X563" s="141"/>
      <c r="Y563" s="144"/>
      <c r="Z563" s="141"/>
      <c r="AA563" s="141"/>
      <c r="AB563" s="141"/>
      <c r="AC563" s="141"/>
      <c r="AD563" s="141"/>
      <c r="AE563" s="141"/>
      <c r="AF563" s="145"/>
      <c r="AG563" s="419"/>
    </row>
    <row r="564" spans="1:33" s="139" customFormat="1" ht="12.75" customHeight="1" x14ac:dyDescent="0.2">
      <c r="A564" s="141"/>
      <c r="B564" s="141"/>
      <c r="C564" s="141"/>
      <c r="D564" s="142"/>
      <c r="E564" s="1014"/>
      <c r="F564" s="1014"/>
      <c r="G564" s="1027"/>
      <c r="H564" s="1027"/>
      <c r="I564" s="1174"/>
      <c r="J564" s="1174"/>
      <c r="K564" s="1174"/>
      <c r="L564" s="1172"/>
      <c r="M564" s="1172"/>
      <c r="N564" s="1175"/>
      <c r="O564" s="143"/>
      <c r="P564" s="1196"/>
      <c r="Q564" s="141"/>
      <c r="R564" s="141"/>
      <c r="S564" s="148"/>
      <c r="T564" s="419"/>
      <c r="U564" s="559"/>
      <c r="V564" s="141"/>
      <c r="W564" s="141"/>
      <c r="X564" s="141"/>
      <c r="Y564" s="144"/>
      <c r="Z564" s="141"/>
      <c r="AA564" s="141"/>
      <c r="AB564" s="141"/>
      <c r="AC564" s="141"/>
      <c r="AD564" s="141"/>
      <c r="AE564" s="141"/>
      <c r="AF564" s="145"/>
      <c r="AG564" s="419"/>
    </row>
    <row r="565" spans="1:33" s="139" customFormat="1" ht="12.75" customHeight="1" x14ac:dyDescent="0.2">
      <c r="A565" s="141"/>
      <c r="B565" s="141"/>
      <c r="C565" s="141"/>
      <c r="D565" s="142"/>
      <c r="E565" s="1014"/>
      <c r="F565" s="1014"/>
      <c r="G565" s="1027"/>
      <c r="H565" s="1027"/>
      <c r="I565" s="1174"/>
      <c r="J565" s="1174"/>
      <c r="K565" s="1174"/>
      <c r="L565" s="1172"/>
      <c r="M565" s="1172"/>
      <c r="N565" s="1175"/>
      <c r="O565" s="143"/>
      <c r="P565" s="1196"/>
      <c r="Q565" s="141"/>
      <c r="R565" s="141"/>
      <c r="S565" s="148"/>
      <c r="T565" s="419"/>
      <c r="U565" s="559"/>
      <c r="V565" s="141"/>
      <c r="W565" s="141"/>
      <c r="X565" s="141"/>
      <c r="Y565" s="144"/>
      <c r="Z565" s="141"/>
      <c r="AA565" s="141"/>
      <c r="AB565" s="141"/>
      <c r="AC565" s="141"/>
      <c r="AD565" s="141"/>
      <c r="AE565" s="141"/>
      <c r="AF565" s="145"/>
      <c r="AG565" s="419"/>
    </row>
    <row r="566" spans="1:33" s="139" customFormat="1" ht="12.75" customHeight="1" x14ac:dyDescent="0.2">
      <c r="A566" s="141"/>
      <c r="B566" s="141"/>
      <c r="C566" s="141"/>
      <c r="D566" s="142"/>
      <c r="E566" s="1014"/>
      <c r="F566" s="1014"/>
      <c r="G566" s="1027"/>
      <c r="H566" s="1027"/>
      <c r="I566" s="1174"/>
      <c r="J566" s="1174"/>
      <c r="K566" s="1174"/>
      <c r="L566" s="1172"/>
      <c r="M566" s="1172"/>
      <c r="N566" s="1175"/>
      <c r="O566" s="143"/>
      <c r="P566" s="1196"/>
      <c r="Q566" s="141"/>
      <c r="R566" s="141"/>
      <c r="S566" s="148"/>
      <c r="T566" s="419"/>
      <c r="U566" s="559"/>
      <c r="V566" s="141"/>
      <c r="W566" s="141"/>
      <c r="X566" s="141"/>
      <c r="Y566" s="144"/>
      <c r="Z566" s="141"/>
      <c r="AA566" s="141"/>
      <c r="AB566" s="141"/>
      <c r="AC566" s="141"/>
      <c r="AD566" s="141"/>
      <c r="AE566" s="141"/>
      <c r="AF566" s="145"/>
      <c r="AG566" s="419"/>
    </row>
    <row r="567" spans="1:33" s="139" customFormat="1" ht="12.75" customHeight="1" x14ac:dyDescent="0.2">
      <c r="A567" s="141"/>
      <c r="B567" s="141"/>
      <c r="C567" s="141"/>
      <c r="D567" s="142"/>
      <c r="E567" s="1014"/>
      <c r="F567" s="1014"/>
      <c r="G567" s="1027"/>
      <c r="H567" s="1027"/>
      <c r="I567" s="1174"/>
      <c r="J567" s="1174"/>
      <c r="K567" s="1174"/>
      <c r="L567" s="1172"/>
      <c r="M567" s="1172"/>
      <c r="N567" s="1175"/>
      <c r="O567" s="143"/>
      <c r="P567" s="1196"/>
      <c r="Q567" s="141"/>
      <c r="R567" s="141"/>
      <c r="S567" s="148"/>
      <c r="T567" s="419"/>
      <c r="U567" s="559"/>
      <c r="V567" s="141"/>
      <c r="W567" s="141"/>
      <c r="X567" s="141"/>
      <c r="Y567" s="144"/>
      <c r="Z567" s="141"/>
      <c r="AA567" s="141"/>
      <c r="AB567" s="141"/>
      <c r="AC567" s="141"/>
      <c r="AD567" s="141"/>
      <c r="AE567" s="141"/>
      <c r="AF567" s="145"/>
      <c r="AG567" s="419"/>
    </row>
    <row r="568" spans="1:33" s="139" customFormat="1" ht="12.75" customHeight="1" x14ac:dyDescent="0.2">
      <c r="A568" s="141"/>
      <c r="B568" s="141"/>
      <c r="C568" s="141"/>
      <c r="D568" s="142"/>
      <c r="E568" s="1014"/>
      <c r="F568" s="1014"/>
      <c r="G568" s="1027"/>
      <c r="H568" s="1027"/>
      <c r="I568" s="1174"/>
      <c r="J568" s="1174"/>
      <c r="K568" s="1174"/>
      <c r="L568" s="1172"/>
      <c r="M568" s="1172"/>
      <c r="N568" s="1175"/>
      <c r="O568" s="143"/>
      <c r="P568" s="1196"/>
      <c r="Q568" s="141"/>
      <c r="R568" s="141"/>
      <c r="S568" s="148"/>
      <c r="T568" s="419"/>
      <c r="U568" s="559"/>
      <c r="V568" s="141"/>
      <c r="W568" s="141"/>
      <c r="X568" s="141"/>
      <c r="Y568" s="144"/>
      <c r="Z568" s="141"/>
      <c r="AA568" s="141"/>
      <c r="AB568" s="141"/>
      <c r="AC568" s="141"/>
      <c r="AD568" s="141"/>
      <c r="AE568" s="141"/>
      <c r="AF568" s="145"/>
      <c r="AG568" s="419"/>
    </row>
    <row r="569" spans="1:33" s="139" customFormat="1" ht="12.75" customHeight="1" x14ac:dyDescent="0.2">
      <c r="A569" s="141"/>
      <c r="B569" s="141"/>
      <c r="C569" s="141"/>
      <c r="D569" s="142"/>
      <c r="E569" s="1014"/>
      <c r="F569" s="1014"/>
      <c r="G569" s="1027"/>
      <c r="H569" s="1027"/>
      <c r="I569" s="1174"/>
      <c r="J569" s="1174"/>
      <c r="K569" s="1174"/>
      <c r="L569" s="1172"/>
      <c r="M569" s="1172"/>
      <c r="N569" s="1175"/>
      <c r="O569" s="143"/>
      <c r="P569" s="1196"/>
      <c r="Q569" s="141"/>
      <c r="R569" s="141"/>
      <c r="S569" s="148"/>
      <c r="T569" s="419"/>
      <c r="U569" s="559"/>
      <c r="V569" s="141"/>
      <c r="W569" s="141"/>
      <c r="X569" s="141"/>
      <c r="Y569" s="144"/>
      <c r="Z569" s="141"/>
      <c r="AA569" s="141"/>
      <c r="AB569" s="141"/>
      <c r="AC569" s="141"/>
      <c r="AD569" s="141"/>
      <c r="AE569" s="141"/>
      <c r="AF569" s="145"/>
      <c r="AG569" s="419"/>
    </row>
    <row r="570" spans="1:33" s="139" customFormat="1" ht="12.75" customHeight="1" x14ac:dyDescent="0.2">
      <c r="A570" s="141"/>
      <c r="B570" s="141"/>
      <c r="C570" s="141"/>
      <c r="D570" s="142"/>
      <c r="E570" s="1014"/>
      <c r="F570" s="1014"/>
      <c r="G570" s="1027"/>
      <c r="H570" s="1027"/>
      <c r="I570" s="1174"/>
      <c r="J570" s="1174"/>
      <c r="K570" s="1174"/>
      <c r="L570" s="1172"/>
      <c r="M570" s="1172"/>
      <c r="N570" s="1175"/>
      <c r="O570" s="143"/>
      <c r="P570" s="1196"/>
      <c r="Q570" s="141"/>
      <c r="R570" s="141"/>
      <c r="S570" s="148"/>
      <c r="T570" s="419"/>
      <c r="U570" s="559"/>
      <c r="V570" s="141"/>
      <c r="W570" s="141"/>
      <c r="X570" s="141"/>
      <c r="Y570" s="144"/>
      <c r="Z570" s="141"/>
      <c r="AA570" s="141"/>
      <c r="AB570" s="141"/>
      <c r="AC570" s="141"/>
      <c r="AD570" s="141"/>
      <c r="AE570" s="141"/>
      <c r="AF570" s="145"/>
      <c r="AG570" s="419"/>
    </row>
    <row r="571" spans="1:33" s="139" customFormat="1" ht="12.75" customHeight="1" x14ac:dyDescent="0.2">
      <c r="A571" s="141"/>
      <c r="B571" s="141"/>
      <c r="C571" s="141"/>
      <c r="D571" s="142"/>
      <c r="E571" s="1014"/>
      <c r="F571" s="1014"/>
      <c r="G571" s="1027"/>
      <c r="H571" s="1027"/>
      <c r="I571" s="1174"/>
      <c r="J571" s="1174"/>
      <c r="K571" s="1174"/>
      <c r="L571" s="1172"/>
      <c r="M571" s="1172"/>
      <c r="N571" s="1175"/>
      <c r="O571" s="143"/>
      <c r="P571" s="1196"/>
      <c r="Q571" s="141"/>
      <c r="R571" s="141"/>
      <c r="S571" s="148"/>
      <c r="T571" s="419"/>
      <c r="U571" s="559"/>
      <c r="V571" s="141"/>
      <c r="W571" s="141"/>
      <c r="X571" s="141"/>
      <c r="Y571" s="144"/>
      <c r="Z571" s="141"/>
      <c r="AA571" s="141"/>
      <c r="AB571" s="141"/>
      <c r="AC571" s="141"/>
      <c r="AD571" s="141"/>
      <c r="AE571" s="141"/>
      <c r="AF571" s="145"/>
      <c r="AG571" s="419"/>
    </row>
    <row r="572" spans="1:33" s="139" customFormat="1" ht="12.75" customHeight="1" x14ac:dyDescent="0.2">
      <c r="A572" s="141"/>
      <c r="B572" s="141"/>
      <c r="C572" s="141"/>
      <c r="D572" s="142"/>
      <c r="E572" s="1014"/>
      <c r="F572" s="1014"/>
      <c r="G572" s="1027"/>
      <c r="H572" s="1027"/>
      <c r="I572" s="1174"/>
      <c r="J572" s="1174"/>
      <c r="K572" s="1174"/>
      <c r="L572" s="1172"/>
      <c r="M572" s="1172"/>
      <c r="N572" s="1175"/>
      <c r="O572" s="143"/>
      <c r="P572" s="1196"/>
      <c r="Q572" s="141"/>
      <c r="R572" s="141"/>
      <c r="S572" s="148"/>
      <c r="T572" s="419"/>
      <c r="U572" s="559"/>
      <c r="V572" s="141"/>
      <c r="W572" s="141"/>
      <c r="X572" s="141"/>
      <c r="Y572" s="144"/>
      <c r="Z572" s="141"/>
      <c r="AA572" s="141"/>
      <c r="AB572" s="141"/>
      <c r="AC572" s="141"/>
      <c r="AD572" s="141"/>
      <c r="AE572" s="141"/>
      <c r="AF572" s="145"/>
      <c r="AG572" s="419"/>
    </row>
    <row r="573" spans="1:33" s="139" customFormat="1" ht="12.75" customHeight="1" x14ac:dyDescent="0.2">
      <c r="A573" s="141"/>
      <c r="B573" s="141"/>
      <c r="C573" s="141"/>
      <c r="D573" s="142"/>
      <c r="E573" s="1014"/>
      <c r="F573" s="1014"/>
      <c r="G573" s="1027"/>
      <c r="H573" s="1027"/>
      <c r="I573" s="1174"/>
      <c r="J573" s="1174"/>
      <c r="K573" s="1174"/>
      <c r="L573" s="1172"/>
      <c r="M573" s="1172"/>
      <c r="N573" s="1175"/>
      <c r="O573" s="143"/>
      <c r="P573" s="1196"/>
      <c r="Q573" s="141"/>
      <c r="R573" s="141"/>
      <c r="S573" s="148"/>
      <c r="T573" s="419"/>
      <c r="U573" s="559"/>
      <c r="V573" s="141"/>
      <c r="W573" s="141"/>
      <c r="X573" s="141"/>
      <c r="Y573" s="144"/>
      <c r="Z573" s="141"/>
      <c r="AA573" s="141"/>
      <c r="AB573" s="141"/>
      <c r="AC573" s="141"/>
      <c r="AD573" s="141"/>
      <c r="AE573" s="141"/>
      <c r="AF573" s="145"/>
      <c r="AG573" s="419"/>
    </row>
    <row r="574" spans="1:33" s="139" customFormat="1" ht="12.75" customHeight="1" x14ac:dyDescent="0.2">
      <c r="A574" s="141"/>
      <c r="B574" s="141"/>
      <c r="C574" s="141"/>
      <c r="D574" s="142"/>
      <c r="E574" s="1014"/>
      <c r="F574" s="1014"/>
      <c r="G574" s="1027"/>
      <c r="H574" s="1027"/>
      <c r="I574" s="1174"/>
      <c r="J574" s="1174"/>
      <c r="K574" s="1174"/>
      <c r="L574" s="1172"/>
      <c r="M574" s="1172"/>
      <c r="N574" s="1175"/>
      <c r="O574" s="143"/>
      <c r="P574" s="1196"/>
      <c r="Q574" s="141"/>
      <c r="R574" s="141"/>
      <c r="S574" s="148"/>
      <c r="T574" s="419"/>
      <c r="U574" s="559"/>
      <c r="V574" s="141"/>
      <c r="W574" s="141"/>
      <c r="X574" s="141"/>
      <c r="Y574" s="144"/>
      <c r="Z574" s="141"/>
      <c r="AA574" s="141"/>
      <c r="AB574" s="141"/>
      <c r="AC574" s="141"/>
      <c r="AD574" s="141"/>
      <c r="AE574" s="141"/>
      <c r="AF574" s="145"/>
      <c r="AG574" s="419"/>
    </row>
    <row r="575" spans="1:33" s="139" customFormat="1" ht="12.75" customHeight="1" x14ac:dyDescent="0.2">
      <c r="A575" s="141"/>
      <c r="B575" s="141"/>
      <c r="C575" s="141"/>
      <c r="D575" s="142"/>
      <c r="E575" s="1014"/>
      <c r="F575" s="1014"/>
      <c r="G575" s="1027"/>
      <c r="H575" s="1027"/>
      <c r="I575" s="1174"/>
      <c r="J575" s="1174"/>
      <c r="K575" s="1174"/>
      <c r="L575" s="1172"/>
      <c r="M575" s="1172"/>
      <c r="N575" s="1175"/>
      <c r="O575" s="143"/>
      <c r="P575" s="1196"/>
      <c r="Q575" s="141"/>
      <c r="R575" s="141"/>
      <c r="S575" s="148"/>
      <c r="T575" s="419"/>
      <c r="U575" s="559"/>
      <c r="V575" s="141"/>
      <c r="W575" s="141"/>
      <c r="X575" s="141"/>
      <c r="Y575" s="144"/>
      <c r="Z575" s="141"/>
      <c r="AA575" s="141"/>
      <c r="AB575" s="141"/>
      <c r="AC575" s="141"/>
      <c r="AD575" s="141"/>
      <c r="AE575" s="141"/>
      <c r="AF575" s="145"/>
      <c r="AG575" s="419"/>
    </row>
    <row r="576" spans="1:33" s="139" customFormat="1" ht="12.75" customHeight="1" x14ac:dyDescent="0.2">
      <c r="A576" s="141"/>
      <c r="B576" s="141"/>
      <c r="C576" s="141"/>
      <c r="D576" s="142"/>
      <c r="E576" s="1014"/>
      <c r="F576" s="1014"/>
      <c r="G576" s="1027"/>
      <c r="H576" s="1027"/>
      <c r="I576" s="1174"/>
      <c r="J576" s="1174"/>
      <c r="K576" s="1174"/>
      <c r="L576" s="1172"/>
      <c r="M576" s="1172"/>
      <c r="N576" s="1175"/>
      <c r="O576" s="143"/>
      <c r="P576" s="1196"/>
      <c r="Q576" s="141"/>
      <c r="R576" s="141"/>
      <c r="S576" s="148"/>
      <c r="T576" s="419"/>
      <c r="U576" s="559"/>
      <c r="V576" s="141"/>
      <c r="W576" s="141"/>
      <c r="X576" s="141"/>
      <c r="Y576" s="144"/>
      <c r="Z576" s="141"/>
      <c r="AA576" s="141"/>
      <c r="AB576" s="141"/>
      <c r="AC576" s="141"/>
      <c r="AD576" s="141"/>
      <c r="AE576" s="141"/>
      <c r="AF576" s="145"/>
      <c r="AG576" s="419"/>
    </row>
    <row r="577" spans="1:33" s="139" customFormat="1" ht="12.75" customHeight="1" x14ac:dyDescent="0.2">
      <c r="A577" s="141"/>
      <c r="B577" s="141"/>
      <c r="C577" s="141"/>
      <c r="D577" s="142"/>
      <c r="E577" s="1014"/>
      <c r="F577" s="1014"/>
      <c r="G577" s="1027"/>
      <c r="H577" s="1027"/>
      <c r="I577" s="1174"/>
      <c r="J577" s="1174"/>
      <c r="K577" s="1174"/>
      <c r="L577" s="1172"/>
      <c r="M577" s="1172"/>
      <c r="N577" s="1175"/>
      <c r="O577" s="143"/>
      <c r="P577" s="1196"/>
      <c r="Q577" s="141"/>
      <c r="R577" s="141"/>
      <c r="S577" s="148"/>
      <c r="T577" s="419"/>
      <c r="U577" s="559"/>
      <c r="V577" s="141"/>
      <c r="W577" s="141"/>
      <c r="X577" s="141"/>
      <c r="Y577" s="144"/>
      <c r="Z577" s="141"/>
      <c r="AA577" s="141"/>
      <c r="AB577" s="141"/>
      <c r="AC577" s="141"/>
      <c r="AD577" s="141"/>
      <c r="AE577" s="141"/>
      <c r="AF577" s="145"/>
      <c r="AG577" s="419"/>
    </row>
    <row r="578" spans="1:33" s="139" customFormat="1" ht="12.75" customHeight="1" x14ac:dyDescent="0.2">
      <c r="A578" s="141"/>
      <c r="B578" s="141"/>
      <c r="C578" s="141"/>
      <c r="D578" s="142"/>
      <c r="E578" s="1014"/>
      <c r="F578" s="1014"/>
      <c r="G578" s="1027"/>
      <c r="H578" s="1027"/>
      <c r="I578" s="1174"/>
      <c r="J578" s="1174"/>
      <c r="K578" s="1174"/>
      <c r="L578" s="1172"/>
      <c r="M578" s="1172"/>
      <c r="N578" s="1175"/>
      <c r="O578" s="143"/>
      <c r="P578" s="1196"/>
      <c r="Q578" s="141"/>
      <c r="R578" s="141"/>
      <c r="S578" s="148"/>
      <c r="T578" s="419"/>
      <c r="U578" s="559"/>
      <c r="V578" s="141"/>
      <c r="W578" s="141"/>
      <c r="X578" s="141"/>
      <c r="Y578" s="144"/>
      <c r="Z578" s="141"/>
      <c r="AA578" s="141"/>
      <c r="AB578" s="141"/>
      <c r="AC578" s="141"/>
      <c r="AD578" s="141"/>
      <c r="AE578" s="141"/>
      <c r="AF578" s="145"/>
      <c r="AG578" s="419"/>
    </row>
    <row r="579" spans="1:33" s="139" customFormat="1" ht="12.75" customHeight="1" x14ac:dyDescent="0.2">
      <c r="A579" s="141"/>
      <c r="B579" s="141"/>
      <c r="C579" s="141"/>
      <c r="D579" s="142"/>
      <c r="E579" s="1014"/>
      <c r="F579" s="1014"/>
      <c r="G579" s="1027"/>
      <c r="H579" s="1027"/>
      <c r="I579" s="1174"/>
      <c r="J579" s="1174"/>
      <c r="K579" s="1174"/>
      <c r="L579" s="1172"/>
      <c r="M579" s="1172"/>
      <c r="N579" s="1175"/>
      <c r="O579" s="143"/>
      <c r="P579" s="1196"/>
      <c r="Q579" s="141"/>
      <c r="R579" s="141"/>
      <c r="S579" s="148"/>
      <c r="T579" s="419"/>
      <c r="U579" s="559"/>
      <c r="V579" s="141"/>
      <c r="W579" s="141"/>
      <c r="X579" s="141"/>
      <c r="Y579" s="144"/>
      <c r="Z579" s="141"/>
      <c r="AA579" s="141"/>
      <c r="AB579" s="141"/>
      <c r="AC579" s="141"/>
      <c r="AD579" s="141"/>
      <c r="AE579" s="141"/>
      <c r="AF579" s="145"/>
      <c r="AG579" s="419"/>
    </row>
    <row r="580" spans="1:33" s="139" customFormat="1" ht="12.75" customHeight="1" x14ac:dyDescent="0.2">
      <c r="A580" s="141"/>
      <c r="B580" s="141"/>
      <c r="C580" s="141"/>
      <c r="D580" s="142"/>
      <c r="E580" s="1014"/>
      <c r="F580" s="1014"/>
      <c r="G580" s="1027"/>
      <c r="H580" s="1027"/>
      <c r="I580" s="1174"/>
      <c r="J580" s="1174"/>
      <c r="K580" s="1174"/>
      <c r="L580" s="1172"/>
      <c r="M580" s="1172"/>
      <c r="N580" s="1175"/>
      <c r="O580" s="143"/>
      <c r="P580" s="1196"/>
      <c r="Q580" s="141"/>
      <c r="R580" s="141"/>
      <c r="S580" s="148"/>
      <c r="T580" s="419"/>
      <c r="U580" s="559"/>
      <c r="V580" s="141"/>
      <c r="W580" s="141"/>
      <c r="X580" s="141"/>
      <c r="Y580" s="144"/>
      <c r="Z580" s="141"/>
      <c r="AA580" s="141"/>
      <c r="AB580" s="141"/>
      <c r="AC580" s="141"/>
      <c r="AD580" s="141"/>
      <c r="AE580" s="141"/>
      <c r="AF580" s="145"/>
      <c r="AG580" s="419"/>
    </row>
    <row r="581" spans="1:33" s="139" customFormat="1" ht="12.75" customHeight="1" x14ac:dyDescent="0.2">
      <c r="A581" s="141"/>
      <c r="B581" s="141"/>
      <c r="C581" s="141"/>
      <c r="D581" s="142"/>
      <c r="E581" s="1014"/>
      <c r="F581" s="1014"/>
      <c r="G581" s="1027"/>
      <c r="H581" s="1027"/>
      <c r="I581" s="1174"/>
      <c r="J581" s="1174"/>
      <c r="K581" s="1174"/>
      <c r="L581" s="1172"/>
      <c r="M581" s="1172"/>
      <c r="N581" s="1175"/>
      <c r="O581" s="143"/>
      <c r="P581" s="1196"/>
      <c r="Q581" s="141"/>
      <c r="R581" s="141"/>
      <c r="S581" s="148"/>
      <c r="T581" s="419"/>
      <c r="U581" s="559"/>
      <c r="V581" s="141"/>
      <c r="W581" s="141"/>
      <c r="X581" s="141"/>
      <c r="Y581" s="144"/>
      <c r="Z581" s="141"/>
      <c r="AA581" s="141"/>
      <c r="AB581" s="141"/>
      <c r="AC581" s="141"/>
      <c r="AD581" s="141"/>
      <c r="AE581" s="141"/>
      <c r="AF581" s="145"/>
      <c r="AG581" s="419"/>
    </row>
    <row r="582" spans="1:33" s="139" customFormat="1" ht="12.75" customHeight="1" x14ac:dyDescent="0.2">
      <c r="A582" s="141"/>
      <c r="B582" s="141"/>
      <c r="C582" s="141"/>
      <c r="D582" s="142"/>
      <c r="E582" s="1014"/>
      <c r="F582" s="1014"/>
      <c r="G582" s="1027"/>
      <c r="H582" s="1027"/>
      <c r="I582" s="1174"/>
      <c r="J582" s="1174"/>
      <c r="K582" s="1174"/>
      <c r="L582" s="1172"/>
      <c r="M582" s="1172"/>
      <c r="N582" s="1175"/>
      <c r="O582" s="143"/>
      <c r="P582" s="1196"/>
      <c r="Q582" s="141"/>
      <c r="R582" s="141"/>
      <c r="S582" s="148"/>
      <c r="T582" s="419"/>
      <c r="U582" s="559"/>
      <c r="V582" s="141"/>
      <c r="W582" s="141"/>
      <c r="X582" s="141"/>
      <c r="Y582" s="144"/>
      <c r="Z582" s="141"/>
      <c r="AA582" s="141"/>
      <c r="AB582" s="141"/>
      <c r="AC582" s="141"/>
      <c r="AD582" s="141"/>
      <c r="AE582" s="141"/>
      <c r="AF582" s="145"/>
      <c r="AG582" s="419"/>
    </row>
    <row r="583" spans="1:33" s="139" customFormat="1" ht="12.75" customHeight="1" x14ac:dyDescent="0.2">
      <c r="A583" s="141"/>
      <c r="B583" s="141"/>
      <c r="C583" s="141"/>
      <c r="D583" s="142"/>
      <c r="E583" s="1014"/>
      <c r="F583" s="1014"/>
      <c r="G583" s="1027"/>
      <c r="H583" s="1027"/>
      <c r="I583" s="1174"/>
      <c r="J583" s="1174"/>
      <c r="K583" s="1174"/>
      <c r="L583" s="1172"/>
      <c r="M583" s="1172"/>
      <c r="N583" s="1175"/>
      <c r="O583" s="143"/>
      <c r="P583" s="1196"/>
      <c r="Q583" s="141"/>
      <c r="R583" s="141"/>
      <c r="S583" s="148"/>
      <c r="T583" s="419"/>
      <c r="U583" s="559"/>
      <c r="V583" s="141"/>
      <c r="W583" s="141"/>
      <c r="X583" s="141"/>
      <c r="Y583" s="144"/>
      <c r="Z583" s="141"/>
      <c r="AA583" s="141"/>
      <c r="AB583" s="141"/>
      <c r="AC583" s="141"/>
      <c r="AD583" s="141"/>
      <c r="AE583" s="141"/>
      <c r="AF583" s="145"/>
      <c r="AG583" s="419"/>
    </row>
    <row r="584" spans="1:33" s="139" customFormat="1" ht="12.75" customHeight="1" x14ac:dyDescent="0.2">
      <c r="A584" s="141"/>
      <c r="B584" s="141"/>
      <c r="C584" s="141"/>
      <c r="D584" s="142"/>
      <c r="E584" s="1014"/>
      <c r="F584" s="1014"/>
      <c r="G584" s="1027"/>
      <c r="H584" s="1027"/>
      <c r="I584" s="1174"/>
      <c r="J584" s="1174"/>
      <c r="K584" s="1174"/>
      <c r="L584" s="1172"/>
      <c r="M584" s="1172"/>
      <c r="N584" s="1175"/>
      <c r="O584" s="143"/>
      <c r="P584" s="1196"/>
      <c r="Q584" s="141"/>
      <c r="R584" s="141"/>
      <c r="S584" s="148"/>
      <c r="T584" s="419"/>
      <c r="U584" s="559"/>
      <c r="V584" s="141"/>
      <c r="W584" s="141"/>
      <c r="X584" s="141"/>
      <c r="Y584" s="144"/>
      <c r="Z584" s="141"/>
      <c r="AA584" s="141"/>
      <c r="AB584" s="141"/>
      <c r="AC584" s="141"/>
      <c r="AD584" s="141"/>
      <c r="AE584" s="141"/>
      <c r="AF584" s="145"/>
      <c r="AG584" s="419"/>
    </row>
    <row r="585" spans="1:33" s="139" customFormat="1" ht="12.75" customHeight="1" x14ac:dyDescent="0.2">
      <c r="A585" s="141"/>
      <c r="B585" s="141"/>
      <c r="C585" s="141"/>
      <c r="D585" s="142"/>
      <c r="E585" s="1014"/>
      <c r="F585" s="1014"/>
      <c r="G585" s="1027"/>
      <c r="H585" s="1027"/>
      <c r="I585" s="1174"/>
      <c r="J585" s="1174"/>
      <c r="K585" s="1174"/>
      <c r="L585" s="1172"/>
      <c r="M585" s="1172"/>
      <c r="N585" s="1175"/>
      <c r="O585" s="143"/>
      <c r="P585" s="1196"/>
      <c r="Q585" s="141"/>
      <c r="R585" s="141"/>
      <c r="S585" s="148"/>
      <c r="T585" s="419"/>
      <c r="U585" s="559"/>
      <c r="V585" s="141"/>
      <c r="W585" s="141"/>
      <c r="X585" s="141"/>
      <c r="Y585" s="144"/>
      <c r="Z585" s="141"/>
      <c r="AA585" s="141"/>
      <c r="AB585" s="141"/>
      <c r="AC585" s="141"/>
      <c r="AD585" s="141"/>
      <c r="AE585" s="141"/>
      <c r="AF585" s="145"/>
      <c r="AG585" s="419"/>
    </row>
    <row r="586" spans="1:33" s="139" customFormat="1" ht="12.75" customHeight="1" x14ac:dyDescent="0.2">
      <c r="A586" s="141"/>
      <c r="B586" s="141"/>
      <c r="C586" s="141"/>
      <c r="D586" s="142"/>
      <c r="E586" s="1014"/>
      <c r="F586" s="1014"/>
      <c r="G586" s="1027"/>
      <c r="H586" s="1027"/>
      <c r="I586" s="1174"/>
      <c r="J586" s="1174"/>
      <c r="K586" s="1174"/>
      <c r="L586" s="1172"/>
      <c r="M586" s="1172"/>
      <c r="N586" s="1175"/>
      <c r="O586" s="143"/>
      <c r="P586" s="1196"/>
      <c r="Q586" s="141"/>
      <c r="R586" s="141"/>
      <c r="S586" s="148"/>
      <c r="T586" s="419"/>
      <c r="U586" s="559"/>
      <c r="V586" s="141"/>
      <c r="W586" s="141"/>
      <c r="X586" s="141"/>
      <c r="Y586" s="144"/>
      <c r="Z586" s="141"/>
      <c r="AA586" s="141"/>
      <c r="AB586" s="141"/>
      <c r="AC586" s="141"/>
      <c r="AD586" s="141"/>
      <c r="AE586" s="141"/>
      <c r="AF586" s="145"/>
      <c r="AG586" s="419"/>
    </row>
    <row r="587" spans="1:33" s="139" customFormat="1" ht="12.75" customHeight="1" x14ac:dyDescent="0.2">
      <c r="A587" s="141"/>
      <c r="B587" s="141"/>
      <c r="C587" s="141"/>
      <c r="D587" s="142"/>
      <c r="E587" s="1014"/>
      <c r="F587" s="1014"/>
      <c r="G587" s="1027"/>
      <c r="H587" s="1027"/>
      <c r="I587" s="1174"/>
      <c r="J587" s="1174"/>
      <c r="K587" s="1174"/>
      <c r="L587" s="1172"/>
      <c r="M587" s="1172"/>
      <c r="N587" s="1175"/>
      <c r="O587" s="143"/>
      <c r="P587" s="1196"/>
      <c r="Q587" s="141"/>
      <c r="R587" s="141"/>
      <c r="S587" s="148"/>
      <c r="T587" s="419"/>
      <c r="U587" s="559"/>
      <c r="V587" s="141"/>
      <c r="W587" s="141"/>
      <c r="X587" s="141"/>
      <c r="Y587" s="144"/>
      <c r="Z587" s="141"/>
      <c r="AA587" s="141"/>
      <c r="AB587" s="141"/>
      <c r="AC587" s="141"/>
      <c r="AD587" s="141"/>
      <c r="AE587" s="141"/>
      <c r="AF587" s="145"/>
      <c r="AG587" s="419"/>
    </row>
    <row r="588" spans="1:33" s="139" customFormat="1" ht="12.75" customHeight="1" x14ac:dyDescent="0.2">
      <c r="A588" s="141"/>
      <c r="B588" s="141"/>
      <c r="C588" s="141"/>
      <c r="D588" s="142"/>
      <c r="E588" s="1014"/>
      <c r="F588" s="1014"/>
      <c r="G588" s="1027"/>
      <c r="H588" s="1027"/>
      <c r="I588" s="1174"/>
      <c r="J588" s="1174"/>
      <c r="K588" s="1174"/>
      <c r="L588" s="1172"/>
      <c r="M588" s="1172"/>
      <c r="N588" s="1175"/>
      <c r="O588" s="143"/>
      <c r="P588" s="1196"/>
      <c r="Q588" s="141"/>
      <c r="R588" s="141"/>
      <c r="S588" s="148"/>
      <c r="T588" s="419"/>
      <c r="U588" s="559"/>
      <c r="V588" s="141"/>
      <c r="W588" s="141"/>
      <c r="X588" s="141"/>
      <c r="Y588" s="144"/>
      <c r="Z588" s="141"/>
      <c r="AA588" s="141"/>
      <c r="AB588" s="141"/>
      <c r="AC588" s="141"/>
      <c r="AD588" s="141"/>
      <c r="AE588" s="141"/>
      <c r="AF588" s="145"/>
      <c r="AG588" s="419"/>
    </row>
    <row r="589" spans="1:33" s="139" customFormat="1" ht="12.75" customHeight="1" x14ac:dyDescent="0.2">
      <c r="A589" s="141"/>
      <c r="B589" s="141"/>
      <c r="C589" s="141"/>
      <c r="D589" s="142"/>
      <c r="E589" s="1014"/>
      <c r="F589" s="1014"/>
      <c r="G589" s="1027"/>
      <c r="H589" s="1027"/>
      <c r="I589" s="1174"/>
      <c r="J589" s="1174"/>
      <c r="K589" s="1174"/>
      <c r="L589" s="1172"/>
      <c r="M589" s="1172"/>
      <c r="N589" s="1175"/>
      <c r="O589" s="143"/>
      <c r="P589" s="1196"/>
      <c r="Q589" s="141"/>
      <c r="R589" s="141"/>
      <c r="S589" s="148"/>
      <c r="T589" s="419"/>
      <c r="U589" s="559"/>
      <c r="V589" s="141"/>
      <c r="W589" s="141"/>
      <c r="X589" s="141"/>
      <c r="Y589" s="144"/>
      <c r="Z589" s="141"/>
      <c r="AA589" s="141"/>
      <c r="AB589" s="141"/>
      <c r="AC589" s="141"/>
      <c r="AD589" s="141"/>
      <c r="AE589" s="141"/>
      <c r="AF589" s="145"/>
      <c r="AG589" s="419"/>
    </row>
    <row r="590" spans="1:33" s="139" customFormat="1" ht="12.75" customHeight="1" x14ac:dyDescent="0.2">
      <c r="A590" s="141"/>
      <c r="B590" s="141"/>
      <c r="C590" s="141"/>
      <c r="D590" s="142"/>
      <c r="E590" s="1014"/>
      <c r="F590" s="1014"/>
      <c r="G590" s="1027"/>
      <c r="H590" s="1027"/>
      <c r="I590" s="1174"/>
      <c r="J590" s="1174"/>
      <c r="K590" s="1174"/>
      <c r="L590" s="1172"/>
      <c r="M590" s="1172"/>
      <c r="N590" s="1175"/>
      <c r="O590" s="143"/>
      <c r="P590" s="1196"/>
      <c r="Q590" s="141"/>
      <c r="R590" s="141"/>
      <c r="S590" s="148"/>
      <c r="T590" s="419"/>
      <c r="U590" s="559"/>
      <c r="V590" s="141"/>
      <c r="W590" s="141"/>
      <c r="X590" s="141"/>
      <c r="Y590" s="144"/>
      <c r="Z590" s="141"/>
      <c r="AA590" s="141"/>
      <c r="AB590" s="141"/>
      <c r="AC590" s="141"/>
      <c r="AD590" s="141"/>
      <c r="AE590" s="141"/>
      <c r="AF590" s="145"/>
      <c r="AG590" s="419"/>
    </row>
    <row r="591" spans="1:33" s="139" customFormat="1" ht="12.75" customHeight="1" x14ac:dyDescent="0.2">
      <c r="A591" s="141"/>
      <c r="B591" s="141"/>
      <c r="C591" s="141"/>
      <c r="D591" s="142"/>
      <c r="E591" s="1014"/>
      <c r="F591" s="1014"/>
      <c r="G591" s="1027"/>
      <c r="H591" s="1027"/>
      <c r="I591" s="1174"/>
      <c r="J591" s="1174"/>
      <c r="K591" s="1174"/>
      <c r="L591" s="1172"/>
      <c r="M591" s="1172"/>
      <c r="N591" s="1175"/>
      <c r="O591" s="143"/>
      <c r="P591" s="1196"/>
      <c r="Q591" s="141"/>
      <c r="R591" s="141"/>
      <c r="S591" s="148"/>
      <c r="T591" s="419"/>
      <c r="U591" s="559"/>
      <c r="V591" s="141"/>
      <c r="W591" s="141"/>
      <c r="X591" s="141"/>
      <c r="Y591" s="144"/>
      <c r="Z591" s="141"/>
      <c r="AA591" s="141"/>
      <c r="AB591" s="141"/>
      <c r="AC591" s="141"/>
      <c r="AD591" s="141"/>
      <c r="AE591" s="141"/>
      <c r="AF591" s="145"/>
      <c r="AG591" s="419"/>
    </row>
    <row r="592" spans="1:33" s="139" customFormat="1" ht="12.75" customHeight="1" x14ac:dyDescent="0.2">
      <c r="A592" s="141"/>
      <c r="B592" s="141"/>
      <c r="C592" s="141"/>
      <c r="D592" s="142"/>
      <c r="E592" s="1014"/>
      <c r="F592" s="1014"/>
      <c r="G592" s="1027"/>
      <c r="H592" s="1027"/>
      <c r="I592" s="1174"/>
      <c r="J592" s="1174"/>
      <c r="K592" s="1174"/>
      <c r="L592" s="1172"/>
      <c r="M592" s="1172"/>
      <c r="N592" s="1175"/>
      <c r="O592" s="143"/>
      <c r="P592" s="1196"/>
      <c r="Q592" s="141"/>
      <c r="R592" s="141"/>
      <c r="S592" s="148"/>
      <c r="T592" s="419"/>
      <c r="U592" s="559"/>
      <c r="V592" s="141"/>
      <c r="W592" s="141"/>
      <c r="X592" s="141"/>
      <c r="Y592" s="144"/>
      <c r="Z592" s="141"/>
      <c r="AA592" s="141"/>
      <c r="AB592" s="141"/>
      <c r="AC592" s="141"/>
      <c r="AD592" s="141"/>
      <c r="AE592" s="141"/>
      <c r="AF592" s="145"/>
      <c r="AG592" s="419"/>
    </row>
    <row r="593" spans="1:33" s="139" customFormat="1" ht="12.75" customHeight="1" x14ac:dyDescent="0.2">
      <c r="A593" s="141"/>
      <c r="B593" s="141"/>
      <c r="C593" s="141"/>
      <c r="D593" s="142"/>
      <c r="E593" s="1014"/>
      <c r="F593" s="1014"/>
      <c r="G593" s="1027"/>
      <c r="H593" s="1027"/>
      <c r="I593" s="1174"/>
      <c r="J593" s="1174"/>
      <c r="K593" s="1174"/>
      <c r="L593" s="1172"/>
      <c r="M593" s="1172"/>
      <c r="N593" s="1175"/>
      <c r="O593" s="143"/>
      <c r="P593" s="1196"/>
      <c r="Q593" s="141"/>
      <c r="R593" s="141"/>
      <c r="S593" s="148"/>
      <c r="T593" s="419"/>
      <c r="U593" s="559"/>
      <c r="V593" s="141"/>
      <c r="W593" s="141"/>
      <c r="X593" s="141"/>
      <c r="Y593" s="144"/>
      <c r="Z593" s="141"/>
      <c r="AA593" s="141"/>
      <c r="AB593" s="141"/>
      <c r="AC593" s="141"/>
      <c r="AD593" s="141"/>
      <c r="AE593" s="141"/>
      <c r="AF593" s="145"/>
      <c r="AG593" s="419"/>
    </row>
    <row r="594" spans="1:33" s="139" customFormat="1" ht="12.75" customHeight="1" x14ac:dyDescent="0.2">
      <c r="A594" s="141"/>
      <c r="B594" s="141"/>
      <c r="C594" s="141"/>
      <c r="D594" s="142"/>
      <c r="E594" s="1014"/>
      <c r="F594" s="1014"/>
      <c r="G594" s="1027"/>
      <c r="H594" s="1027"/>
      <c r="I594" s="1174"/>
      <c r="J594" s="1174"/>
      <c r="K594" s="1174"/>
      <c r="L594" s="1172"/>
      <c r="M594" s="1172"/>
      <c r="N594" s="1175"/>
      <c r="O594" s="143"/>
      <c r="P594" s="1196"/>
      <c r="Q594" s="141"/>
      <c r="R594" s="141"/>
      <c r="S594" s="148"/>
      <c r="T594" s="419"/>
      <c r="U594" s="559"/>
      <c r="V594" s="141"/>
      <c r="W594" s="141"/>
      <c r="X594" s="141"/>
      <c r="Y594" s="144"/>
      <c r="Z594" s="141"/>
      <c r="AA594" s="141"/>
      <c r="AB594" s="141"/>
      <c r="AC594" s="141"/>
      <c r="AD594" s="141"/>
      <c r="AE594" s="141"/>
      <c r="AF594" s="145"/>
      <c r="AG594" s="419"/>
    </row>
    <row r="595" spans="1:33" s="139" customFormat="1" ht="12.75" customHeight="1" x14ac:dyDescent="0.2">
      <c r="A595" s="141"/>
      <c r="B595" s="141"/>
      <c r="C595" s="141"/>
      <c r="D595" s="142"/>
      <c r="E595" s="1014"/>
      <c r="F595" s="1014"/>
      <c r="G595" s="1027"/>
      <c r="H595" s="1027"/>
      <c r="I595" s="1174"/>
      <c r="J595" s="1174"/>
      <c r="K595" s="1174"/>
      <c r="L595" s="1172"/>
      <c r="M595" s="1172"/>
      <c r="N595" s="1175"/>
      <c r="O595" s="143"/>
      <c r="P595" s="1196"/>
      <c r="Q595" s="141"/>
      <c r="R595" s="141"/>
      <c r="S595" s="148"/>
      <c r="T595" s="419"/>
      <c r="U595" s="559"/>
      <c r="V595" s="141"/>
      <c r="W595" s="141"/>
      <c r="X595" s="141"/>
      <c r="Y595" s="144"/>
      <c r="Z595" s="141"/>
      <c r="AA595" s="141"/>
      <c r="AB595" s="141"/>
      <c r="AC595" s="141"/>
      <c r="AD595" s="141"/>
      <c r="AE595" s="141"/>
      <c r="AF595" s="145"/>
      <c r="AG595" s="419"/>
    </row>
    <row r="596" spans="1:33" s="139" customFormat="1" ht="12.75" customHeight="1" x14ac:dyDescent="0.2">
      <c r="A596" s="141"/>
      <c r="B596" s="141"/>
      <c r="C596" s="141"/>
      <c r="D596" s="142"/>
      <c r="E596" s="1014"/>
      <c r="F596" s="1014"/>
      <c r="G596" s="1027"/>
      <c r="H596" s="1027"/>
      <c r="I596" s="1174"/>
      <c r="J596" s="1174"/>
      <c r="K596" s="1174"/>
      <c r="L596" s="1172"/>
      <c r="M596" s="1172"/>
      <c r="N596" s="1175"/>
      <c r="O596" s="143"/>
      <c r="P596" s="1196"/>
      <c r="Q596" s="141"/>
      <c r="R596" s="141"/>
      <c r="S596" s="148"/>
      <c r="T596" s="419"/>
      <c r="U596" s="559"/>
      <c r="V596" s="141"/>
      <c r="W596" s="141"/>
      <c r="X596" s="141"/>
      <c r="Y596" s="144"/>
      <c r="Z596" s="141"/>
      <c r="AA596" s="141"/>
      <c r="AB596" s="141"/>
      <c r="AC596" s="141"/>
      <c r="AD596" s="141"/>
      <c r="AE596" s="141"/>
      <c r="AF596" s="145"/>
      <c r="AG596" s="419"/>
    </row>
    <row r="597" spans="1:33" s="139" customFormat="1" ht="12.75" customHeight="1" x14ac:dyDescent="0.2">
      <c r="A597" s="141"/>
      <c r="B597" s="141"/>
      <c r="C597" s="141"/>
      <c r="D597" s="142"/>
      <c r="E597" s="1014"/>
      <c r="F597" s="1014"/>
      <c r="G597" s="1027"/>
      <c r="H597" s="1027"/>
      <c r="I597" s="1174"/>
      <c r="J597" s="1174"/>
      <c r="K597" s="1174"/>
      <c r="L597" s="1172"/>
      <c r="M597" s="1172"/>
      <c r="N597" s="1175"/>
      <c r="O597" s="143"/>
      <c r="P597" s="1196"/>
      <c r="Q597" s="141"/>
      <c r="R597" s="141"/>
      <c r="S597" s="148"/>
      <c r="T597" s="419"/>
      <c r="U597" s="559"/>
      <c r="V597" s="141"/>
      <c r="W597" s="141"/>
      <c r="X597" s="141"/>
      <c r="Y597" s="144"/>
      <c r="Z597" s="141"/>
      <c r="AA597" s="141"/>
      <c r="AB597" s="141"/>
      <c r="AC597" s="141"/>
      <c r="AD597" s="141"/>
      <c r="AE597" s="141"/>
      <c r="AF597" s="145"/>
      <c r="AG597" s="419"/>
    </row>
    <row r="598" spans="1:33" s="139" customFormat="1" ht="12.75" customHeight="1" x14ac:dyDescent="0.2">
      <c r="A598" s="141"/>
      <c r="B598" s="141"/>
      <c r="C598" s="141"/>
      <c r="D598" s="142"/>
      <c r="E598" s="1014"/>
      <c r="F598" s="1014"/>
      <c r="G598" s="1027"/>
      <c r="H598" s="1027"/>
      <c r="I598" s="1174"/>
      <c r="J598" s="1174"/>
      <c r="K598" s="1174"/>
      <c r="L598" s="1172"/>
      <c r="M598" s="1172"/>
      <c r="N598" s="1175"/>
      <c r="O598" s="143"/>
      <c r="P598" s="1196"/>
      <c r="Q598" s="141"/>
      <c r="R598" s="141"/>
      <c r="S598" s="148"/>
      <c r="T598" s="419"/>
      <c r="U598" s="559"/>
      <c r="V598" s="141"/>
      <c r="W598" s="141"/>
      <c r="X598" s="141"/>
      <c r="Y598" s="144"/>
      <c r="Z598" s="141"/>
      <c r="AA598" s="141"/>
      <c r="AB598" s="141"/>
      <c r="AC598" s="141"/>
      <c r="AD598" s="141"/>
      <c r="AE598" s="141"/>
      <c r="AF598" s="145"/>
      <c r="AG598" s="419"/>
    </row>
    <row r="599" spans="1:33" s="139" customFormat="1" ht="12.75" customHeight="1" x14ac:dyDescent="0.2">
      <c r="A599" s="141"/>
      <c r="B599" s="141"/>
      <c r="C599" s="141"/>
      <c r="D599" s="142"/>
      <c r="E599" s="1014"/>
      <c r="F599" s="1014"/>
      <c r="G599" s="1027"/>
      <c r="H599" s="1027"/>
      <c r="I599" s="1174"/>
      <c r="J599" s="1174"/>
      <c r="K599" s="1174"/>
      <c r="L599" s="1172"/>
      <c r="M599" s="1172"/>
      <c r="N599" s="1175"/>
      <c r="O599" s="143"/>
      <c r="P599" s="1196"/>
      <c r="Q599" s="141"/>
      <c r="R599" s="141"/>
      <c r="S599" s="148"/>
      <c r="T599" s="419"/>
      <c r="U599" s="559"/>
      <c r="V599" s="141"/>
      <c r="W599" s="141"/>
      <c r="X599" s="141"/>
      <c r="Y599" s="144"/>
      <c r="Z599" s="141"/>
      <c r="AA599" s="141"/>
      <c r="AB599" s="141"/>
      <c r="AC599" s="141"/>
      <c r="AD599" s="141"/>
      <c r="AE599" s="141"/>
      <c r="AF599" s="145"/>
      <c r="AG599" s="419"/>
    </row>
    <row r="600" spans="1:33" s="139" customFormat="1" ht="12.75" customHeight="1" x14ac:dyDescent="0.2">
      <c r="A600" s="141"/>
      <c r="B600" s="141"/>
      <c r="C600" s="141"/>
      <c r="D600" s="142"/>
      <c r="E600" s="1014"/>
      <c r="F600" s="1014"/>
      <c r="G600" s="1027"/>
      <c r="H600" s="1027"/>
      <c r="I600" s="1174"/>
      <c r="J600" s="1174"/>
      <c r="K600" s="1174"/>
      <c r="L600" s="1172"/>
      <c r="M600" s="1172"/>
      <c r="N600" s="1175"/>
      <c r="O600" s="143"/>
      <c r="P600" s="1196"/>
      <c r="Q600" s="141"/>
      <c r="R600" s="141"/>
      <c r="S600" s="148"/>
      <c r="T600" s="419"/>
      <c r="U600" s="559"/>
      <c r="V600" s="141"/>
      <c r="W600" s="141"/>
      <c r="X600" s="141"/>
      <c r="Y600" s="144"/>
      <c r="Z600" s="141"/>
      <c r="AA600" s="141"/>
      <c r="AB600" s="141"/>
      <c r="AC600" s="141"/>
      <c r="AD600" s="141"/>
      <c r="AE600" s="141"/>
      <c r="AF600" s="145"/>
      <c r="AG600" s="419"/>
    </row>
    <row r="601" spans="1:33" s="139" customFormat="1" ht="12.75" customHeight="1" x14ac:dyDescent="0.2">
      <c r="A601" s="141"/>
      <c r="B601" s="141"/>
      <c r="C601" s="141"/>
      <c r="D601" s="142"/>
      <c r="E601" s="1014"/>
      <c r="F601" s="1014"/>
      <c r="G601" s="1027"/>
      <c r="H601" s="1027"/>
      <c r="I601" s="1174"/>
      <c r="J601" s="1174"/>
      <c r="K601" s="1174"/>
      <c r="L601" s="1172"/>
      <c r="M601" s="1172"/>
      <c r="N601" s="1175"/>
      <c r="O601" s="143"/>
      <c r="P601" s="1196"/>
      <c r="Q601" s="141"/>
      <c r="R601" s="141"/>
      <c r="S601" s="148"/>
      <c r="T601" s="419"/>
      <c r="U601" s="559"/>
      <c r="V601" s="141"/>
      <c r="W601" s="141"/>
      <c r="X601" s="141"/>
      <c r="Y601" s="144"/>
      <c r="Z601" s="141"/>
      <c r="AA601" s="141"/>
      <c r="AB601" s="141"/>
      <c r="AC601" s="141"/>
      <c r="AD601" s="141"/>
      <c r="AE601" s="141"/>
      <c r="AF601" s="145"/>
      <c r="AG601" s="419"/>
    </row>
    <row r="602" spans="1:33" s="139" customFormat="1" ht="12.75" customHeight="1" x14ac:dyDescent="0.2">
      <c r="A602" s="141"/>
      <c r="B602" s="141"/>
      <c r="C602" s="141"/>
      <c r="D602" s="142"/>
      <c r="E602" s="1014"/>
      <c r="F602" s="1014"/>
      <c r="G602" s="1027"/>
      <c r="H602" s="1027"/>
      <c r="I602" s="1174"/>
      <c r="J602" s="1174"/>
      <c r="K602" s="1174"/>
      <c r="L602" s="1172"/>
      <c r="M602" s="1172"/>
      <c r="N602" s="1175"/>
      <c r="O602" s="143"/>
      <c r="P602" s="1196"/>
      <c r="Q602" s="141"/>
      <c r="R602" s="141"/>
      <c r="S602" s="148"/>
      <c r="T602" s="419"/>
      <c r="U602" s="559"/>
      <c r="V602" s="141"/>
      <c r="W602" s="141"/>
      <c r="X602" s="141"/>
      <c r="Y602" s="144"/>
      <c r="Z602" s="141"/>
      <c r="AA602" s="141"/>
      <c r="AB602" s="141"/>
      <c r="AC602" s="141"/>
      <c r="AD602" s="141"/>
      <c r="AE602" s="141"/>
      <c r="AF602" s="145"/>
      <c r="AG602" s="419"/>
    </row>
    <row r="603" spans="1:33" s="139" customFormat="1" ht="12.75" customHeight="1" x14ac:dyDescent="0.2">
      <c r="A603" s="141"/>
      <c r="B603" s="141"/>
      <c r="C603" s="141"/>
      <c r="D603" s="142"/>
      <c r="E603" s="1014"/>
      <c r="F603" s="1014"/>
      <c r="G603" s="1027"/>
      <c r="H603" s="1027"/>
      <c r="I603" s="1174"/>
      <c r="J603" s="1174"/>
      <c r="K603" s="1174"/>
      <c r="L603" s="1172"/>
      <c r="M603" s="1172"/>
      <c r="N603" s="1175"/>
      <c r="O603" s="143"/>
      <c r="P603" s="1196"/>
      <c r="Q603" s="141"/>
      <c r="R603" s="141"/>
      <c r="S603" s="148"/>
      <c r="T603" s="419"/>
      <c r="U603" s="559"/>
      <c r="V603" s="141"/>
      <c r="W603" s="141"/>
      <c r="X603" s="141"/>
      <c r="Y603" s="144"/>
      <c r="Z603" s="141"/>
      <c r="AA603" s="141"/>
      <c r="AB603" s="141"/>
      <c r="AC603" s="141"/>
      <c r="AD603" s="141"/>
      <c r="AE603" s="141"/>
      <c r="AF603" s="145"/>
      <c r="AG603" s="419"/>
    </row>
    <row r="604" spans="1:33" s="139" customFormat="1" ht="12.75" customHeight="1" x14ac:dyDescent="0.2">
      <c r="A604" s="141"/>
      <c r="B604" s="141"/>
      <c r="C604" s="141"/>
      <c r="D604" s="142"/>
      <c r="E604" s="1014"/>
      <c r="F604" s="1014"/>
      <c r="G604" s="1027"/>
      <c r="H604" s="1027"/>
      <c r="I604" s="1174"/>
      <c r="J604" s="1174"/>
      <c r="K604" s="1174"/>
      <c r="L604" s="1172"/>
      <c r="M604" s="1172"/>
      <c r="N604" s="1175"/>
      <c r="O604" s="143"/>
      <c r="P604" s="1196"/>
      <c r="Q604" s="141"/>
      <c r="R604" s="141"/>
      <c r="S604" s="148"/>
      <c r="T604" s="419"/>
      <c r="U604" s="559"/>
      <c r="V604" s="141"/>
      <c r="W604" s="141"/>
      <c r="X604" s="141"/>
      <c r="Y604" s="144"/>
      <c r="Z604" s="141"/>
      <c r="AA604" s="141"/>
      <c r="AB604" s="141"/>
      <c r="AC604" s="141"/>
      <c r="AD604" s="141"/>
      <c r="AE604" s="141"/>
      <c r="AF604" s="145"/>
      <c r="AG604" s="419"/>
    </row>
    <row r="605" spans="1:33" s="139" customFormat="1" ht="12.75" customHeight="1" x14ac:dyDescent="0.2">
      <c r="A605" s="141"/>
      <c r="B605" s="141"/>
      <c r="C605" s="141"/>
      <c r="D605" s="142"/>
      <c r="E605" s="1014"/>
      <c r="F605" s="1014"/>
      <c r="G605" s="1027"/>
      <c r="H605" s="1027"/>
      <c r="I605" s="1174"/>
      <c r="J605" s="1174"/>
      <c r="K605" s="1174"/>
      <c r="L605" s="1172"/>
      <c r="M605" s="1172"/>
      <c r="N605" s="1175"/>
      <c r="O605" s="143"/>
      <c r="P605" s="1196"/>
      <c r="Q605" s="141"/>
      <c r="R605" s="141"/>
      <c r="S605" s="148"/>
      <c r="T605" s="419"/>
      <c r="U605" s="559"/>
      <c r="V605" s="141"/>
      <c r="W605" s="141"/>
      <c r="X605" s="141"/>
      <c r="Y605" s="144"/>
      <c r="Z605" s="141"/>
      <c r="AA605" s="141"/>
      <c r="AB605" s="141"/>
      <c r="AC605" s="141"/>
      <c r="AD605" s="141"/>
      <c r="AE605" s="141"/>
      <c r="AF605" s="145"/>
      <c r="AG605" s="419"/>
    </row>
    <row r="606" spans="1:33" s="139" customFormat="1" ht="12.75" customHeight="1" x14ac:dyDescent="0.2">
      <c r="A606" s="141"/>
      <c r="B606" s="141"/>
      <c r="C606" s="141"/>
      <c r="D606" s="142"/>
      <c r="E606" s="1014"/>
      <c r="F606" s="1014"/>
      <c r="G606" s="1027"/>
      <c r="H606" s="1027"/>
      <c r="I606" s="1174"/>
      <c r="J606" s="1174"/>
      <c r="K606" s="1174"/>
      <c r="L606" s="1172"/>
      <c r="M606" s="1172"/>
      <c r="N606" s="1175"/>
      <c r="O606" s="143"/>
      <c r="P606" s="1196"/>
      <c r="Q606" s="141"/>
      <c r="R606" s="141"/>
      <c r="S606" s="148"/>
      <c r="T606" s="419"/>
      <c r="U606" s="559"/>
      <c r="V606" s="141"/>
      <c r="W606" s="141"/>
      <c r="X606" s="141"/>
      <c r="Y606" s="144"/>
      <c r="Z606" s="141"/>
      <c r="AA606" s="141"/>
      <c r="AB606" s="141"/>
      <c r="AC606" s="141"/>
      <c r="AD606" s="141"/>
      <c r="AE606" s="141"/>
      <c r="AF606" s="145"/>
      <c r="AG606" s="419"/>
    </row>
    <row r="607" spans="1:33" s="139" customFormat="1" ht="12.75" customHeight="1" x14ac:dyDescent="0.2">
      <c r="A607" s="141"/>
      <c r="B607" s="141"/>
      <c r="C607" s="141"/>
      <c r="D607" s="142"/>
      <c r="E607" s="1014"/>
      <c r="F607" s="1014"/>
      <c r="G607" s="1027"/>
      <c r="H607" s="1027"/>
      <c r="I607" s="1174"/>
      <c r="J607" s="1174"/>
      <c r="K607" s="1174"/>
      <c r="L607" s="1172"/>
      <c r="M607" s="1172"/>
      <c r="N607" s="1175"/>
      <c r="O607" s="143"/>
      <c r="P607" s="1196"/>
      <c r="Q607" s="141"/>
      <c r="R607" s="141"/>
      <c r="S607" s="148"/>
      <c r="T607" s="419"/>
      <c r="U607" s="559"/>
      <c r="V607" s="141"/>
      <c r="W607" s="141"/>
      <c r="X607" s="141"/>
      <c r="Y607" s="144"/>
      <c r="Z607" s="141"/>
      <c r="AA607" s="141"/>
      <c r="AB607" s="141"/>
      <c r="AC607" s="141"/>
      <c r="AD607" s="141"/>
      <c r="AE607" s="141"/>
      <c r="AF607" s="145"/>
      <c r="AG607" s="419"/>
    </row>
    <row r="608" spans="1:33" s="139" customFormat="1" ht="12.75" customHeight="1" x14ac:dyDescent="0.2">
      <c r="A608" s="141"/>
      <c r="B608" s="141"/>
      <c r="C608" s="141"/>
      <c r="D608" s="142"/>
      <c r="E608" s="1014"/>
      <c r="F608" s="1014"/>
      <c r="G608" s="1027"/>
      <c r="H608" s="1027"/>
      <c r="I608" s="1174"/>
      <c r="J608" s="1174"/>
      <c r="K608" s="1174"/>
      <c r="L608" s="1172"/>
      <c r="M608" s="1172"/>
      <c r="N608" s="1175"/>
      <c r="O608" s="143"/>
      <c r="P608" s="1196"/>
      <c r="Q608" s="141"/>
      <c r="R608" s="141"/>
      <c r="S608" s="148"/>
      <c r="T608" s="419"/>
      <c r="U608" s="559"/>
      <c r="V608" s="141"/>
      <c r="W608" s="141"/>
      <c r="X608" s="141"/>
      <c r="Y608" s="144"/>
      <c r="Z608" s="141"/>
      <c r="AA608" s="141"/>
      <c r="AB608" s="141"/>
      <c r="AC608" s="141"/>
      <c r="AD608" s="141"/>
      <c r="AE608" s="141"/>
      <c r="AF608" s="145"/>
      <c r="AG608" s="419"/>
    </row>
    <row r="609" spans="1:33" s="139" customFormat="1" ht="12.75" customHeight="1" x14ac:dyDescent="0.2">
      <c r="A609" s="141"/>
      <c r="B609" s="141"/>
      <c r="C609" s="141"/>
      <c r="D609" s="142"/>
      <c r="E609" s="1014"/>
      <c r="F609" s="1014"/>
      <c r="G609" s="1027"/>
      <c r="H609" s="1027"/>
      <c r="I609" s="1174"/>
      <c r="J609" s="1174"/>
      <c r="K609" s="1174"/>
      <c r="L609" s="1172"/>
      <c r="M609" s="1172"/>
      <c r="N609" s="1175"/>
      <c r="O609" s="143"/>
      <c r="P609" s="1196"/>
      <c r="Q609" s="141"/>
      <c r="R609" s="141"/>
      <c r="S609" s="148"/>
      <c r="T609" s="419"/>
      <c r="U609" s="559"/>
      <c r="V609" s="141"/>
      <c r="W609" s="141"/>
      <c r="X609" s="141"/>
      <c r="Y609" s="144"/>
      <c r="Z609" s="141"/>
      <c r="AA609" s="141"/>
      <c r="AB609" s="141"/>
      <c r="AC609" s="141"/>
      <c r="AD609" s="141"/>
      <c r="AE609" s="141"/>
      <c r="AF609" s="145"/>
      <c r="AG609" s="419"/>
    </row>
    <row r="610" spans="1:33" s="139" customFormat="1" ht="12.75" customHeight="1" x14ac:dyDescent="0.2">
      <c r="A610" s="141"/>
      <c r="B610" s="141"/>
      <c r="C610" s="141"/>
      <c r="D610" s="142"/>
      <c r="E610" s="1014"/>
      <c r="F610" s="1014"/>
      <c r="G610" s="1027"/>
      <c r="H610" s="1027"/>
      <c r="I610" s="1174"/>
      <c r="J610" s="1174"/>
      <c r="K610" s="1174"/>
      <c r="L610" s="1172"/>
      <c r="M610" s="1172"/>
      <c r="N610" s="1175"/>
      <c r="O610" s="143"/>
      <c r="P610" s="1196"/>
      <c r="Q610" s="141"/>
      <c r="R610" s="141"/>
      <c r="S610" s="148"/>
      <c r="T610" s="419"/>
      <c r="U610" s="559"/>
      <c r="V610" s="141"/>
      <c r="W610" s="141"/>
      <c r="X610" s="141"/>
      <c r="Y610" s="144"/>
      <c r="Z610" s="141"/>
      <c r="AA610" s="141"/>
      <c r="AB610" s="141"/>
      <c r="AC610" s="141"/>
      <c r="AD610" s="141"/>
      <c r="AE610" s="141"/>
      <c r="AF610" s="145"/>
      <c r="AG610" s="419"/>
    </row>
    <row r="611" spans="1:33" s="139" customFormat="1" ht="12.75" customHeight="1" x14ac:dyDescent="0.2">
      <c r="A611" s="141"/>
      <c r="B611" s="141"/>
      <c r="C611" s="141"/>
      <c r="D611" s="142"/>
      <c r="E611" s="1014"/>
      <c r="F611" s="1014"/>
      <c r="G611" s="1027"/>
      <c r="H611" s="1027"/>
      <c r="I611" s="1174"/>
      <c r="J611" s="1174"/>
      <c r="K611" s="1174"/>
      <c r="L611" s="1172"/>
      <c r="M611" s="1172"/>
      <c r="N611" s="1175"/>
      <c r="O611" s="143"/>
      <c r="P611" s="1196"/>
      <c r="Q611" s="141"/>
      <c r="R611" s="141"/>
      <c r="S611" s="148"/>
      <c r="T611" s="419"/>
      <c r="U611" s="559"/>
      <c r="V611" s="141"/>
      <c r="W611" s="141"/>
      <c r="X611" s="141"/>
      <c r="Y611" s="144"/>
      <c r="Z611" s="141"/>
      <c r="AA611" s="141"/>
      <c r="AB611" s="141"/>
      <c r="AC611" s="141"/>
      <c r="AD611" s="141"/>
      <c r="AE611" s="141"/>
      <c r="AF611" s="145"/>
      <c r="AG611" s="419"/>
    </row>
    <row r="612" spans="1:33" s="139" customFormat="1" ht="12.75" customHeight="1" x14ac:dyDescent="0.2">
      <c r="A612" s="141"/>
      <c r="B612" s="141"/>
      <c r="C612" s="141"/>
      <c r="D612" s="142"/>
      <c r="E612" s="1014"/>
      <c r="F612" s="1014"/>
      <c r="G612" s="1027"/>
      <c r="H612" s="1027"/>
      <c r="I612" s="1174"/>
      <c r="J612" s="1174"/>
      <c r="K612" s="1174"/>
      <c r="L612" s="1172"/>
      <c r="M612" s="1172"/>
      <c r="N612" s="1175"/>
      <c r="O612" s="143"/>
      <c r="P612" s="1196"/>
      <c r="Q612" s="141"/>
      <c r="R612" s="141"/>
      <c r="S612" s="148"/>
      <c r="T612" s="419"/>
      <c r="U612" s="559"/>
      <c r="V612" s="141"/>
      <c r="W612" s="141"/>
      <c r="X612" s="141"/>
      <c r="Y612" s="144"/>
      <c r="Z612" s="141"/>
      <c r="AA612" s="141"/>
      <c r="AB612" s="141"/>
      <c r="AC612" s="141"/>
      <c r="AD612" s="141"/>
      <c r="AE612" s="141"/>
      <c r="AF612" s="145"/>
      <c r="AG612" s="419"/>
    </row>
    <row r="613" spans="1:33" s="139" customFormat="1" ht="12.75" customHeight="1" x14ac:dyDescent="0.2">
      <c r="A613" s="141"/>
      <c r="B613" s="141"/>
      <c r="C613" s="141"/>
      <c r="D613" s="142"/>
      <c r="E613" s="1014"/>
      <c r="F613" s="1014"/>
      <c r="G613" s="1027"/>
      <c r="H613" s="1027"/>
      <c r="I613" s="1174"/>
      <c r="J613" s="1174"/>
      <c r="K613" s="1174"/>
      <c r="L613" s="1172"/>
      <c r="M613" s="1172"/>
      <c r="N613" s="1175"/>
      <c r="O613" s="143"/>
      <c r="P613" s="1196"/>
      <c r="Q613" s="141"/>
      <c r="R613" s="141"/>
      <c r="S613" s="148"/>
      <c r="T613" s="419"/>
      <c r="U613" s="559"/>
      <c r="V613" s="141"/>
      <c r="W613" s="141"/>
      <c r="X613" s="141"/>
      <c r="Y613" s="144"/>
      <c r="Z613" s="141"/>
      <c r="AA613" s="141"/>
      <c r="AB613" s="141"/>
      <c r="AC613" s="141"/>
      <c r="AD613" s="141"/>
      <c r="AE613" s="141"/>
      <c r="AF613" s="145"/>
      <c r="AG613" s="419"/>
    </row>
    <row r="614" spans="1:33" s="139" customFormat="1" ht="12.75" customHeight="1" x14ac:dyDescent="0.2">
      <c r="A614" s="141"/>
      <c r="B614" s="141"/>
      <c r="C614" s="141"/>
      <c r="D614" s="142"/>
      <c r="E614" s="1014"/>
      <c r="F614" s="1014"/>
      <c r="G614" s="1027"/>
      <c r="H614" s="1027"/>
      <c r="I614" s="1174"/>
      <c r="J614" s="1174"/>
      <c r="K614" s="1174"/>
      <c r="L614" s="1172"/>
      <c r="M614" s="1172"/>
      <c r="N614" s="1175"/>
      <c r="O614" s="143"/>
      <c r="P614" s="1196"/>
      <c r="Q614" s="141"/>
      <c r="R614" s="141"/>
      <c r="S614" s="148"/>
      <c r="T614" s="419"/>
      <c r="U614" s="559"/>
      <c r="V614" s="141"/>
      <c r="W614" s="141"/>
      <c r="X614" s="141"/>
      <c r="Y614" s="144"/>
      <c r="Z614" s="141"/>
      <c r="AA614" s="141"/>
      <c r="AB614" s="141"/>
      <c r="AC614" s="141"/>
      <c r="AD614" s="141"/>
      <c r="AE614" s="141"/>
      <c r="AF614" s="145"/>
      <c r="AG614" s="419"/>
    </row>
    <row r="615" spans="1:33" s="139" customFormat="1" ht="12.75" customHeight="1" x14ac:dyDescent="0.2">
      <c r="A615" s="141"/>
      <c r="B615" s="141"/>
      <c r="C615" s="141"/>
      <c r="D615" s="142"/>
      <c r="E615" s="1014"/>
      <c r="F615" s="1014"/>
      <c r="G615" s="1027"/>
      <c r="H615" s="1027"/>
      <c r="I615" s="1174"/>
      <c r="J615" s="1174"/>
      <c r="K615" s="1174"/>
      <c r="L615" s="1172"/>
      <c r="M615" s="1172"/>
      <c r="N615" s="1175"/>
      <c r="O615" s="143"/>
      <c r="P615" s="1196"/>
      <c r="Q615" s="141"/>
      <c r="R615" s="141"/>
      <c r="S615" s="148"/>
      <c r="T615" s="419"/>
      <c r="U615" s="559"/>
      <c r="V615" s="141"/>
      <c r="W615" s="141"/>
      <c r="X615" s="141"/>
      <c r="Y615" s="144"/>
      <c r="Z615" s="141"/>
      <c r="AA615" s="141"/>
      <c r="AB615" s="141"/>
      <c r="AC615" s="141"/>
      <c r="AD615" s="141"/>
      <c r="AE615" s="141"/>
      <c r="AF615" s="145"/>
      <c r="AG615" s="419"/>
    </row>
    <row r="616" spans="1:33" s="139" customFormat="1" ht="12.75" customHeight="1" x14ac:dyDescent="0.2">
      <c r="A616" s="141"/>
      <c r="B616" s="141"/>
      <c r="C616" s="141"/>
      <c r="D616" s="142"/>
      <c r="E616" s="1014"/>
      <c r="F616" s="1014"/>
      <c r="G616" s="1027"/>
      <c r="H616" s="1027"/>
      <c r="I616" s="1174"/>
      <c r="J616" s="1174"/>
      <c r="K616" s="1174"/>
      <c r="L616" s="1172"/>
      <c r="M616" s="1172"/>
      <c r="N616" s="1175"/>
      <c r="O616" s="143"/>
      <c r="P616" s="1196"/>
      <c r="Q616" s="141"/>
      <c r="R616" s="141"/>
      <c r="S616" s="148"/>
      <c r="T616" s="419"/>
      <c r="U616" s="559"/>
      <c r="V616" s="141"/>
      <c r="W616" s="141"/>
      <c r="X616" s="141"/>
      <c r="Y616" s="144"/>
      <c r="Z616" s="141"/>
      <c r="AA616" s="141"/>
      <c r="AB616" s="141"/>
      <c r="AC616" s="141"/>
      <c r="AD616" s="141"/>
      <c r="AE616" s="141"/>
      <c r="AF616" s="145"/>
      <c r="AG616" s="419"/>
    </row>
    <row r="617" spans="1:33" s="139" customFormat="1" ht="12.75" customHeight="1" x14ac:dyDescent="0.2">
      <c r="A617" s="141"/>
      <c r="B617" s="141"/>
      <c r="C617" s="141"/>
      <c r="D617" s="142"/>
      <c r="E617" s="1014"/>
      <c r="F617" s="1014"/>
      <c r="G617" s="1027"/>
      <c r="H617" s="1027"/>
      <c r="I617" s="1174"/>
      <c r="J617" s="1174"/>
      <c r="K617" s="1174"/>
      <c r="L617" s="1172"/>
      <c r="M617" s="1172"/>
      <c r="N617" s="1175"/>
      <c r="O617" s="143"/>
      <c r="P617" s="1196"/>
      <c r="Q617" s="141"/>
      <c r="R617" s="141"/>
      <c r="S617" s="148"/>
      <c r="T617" s="419"/>
      <c r="U617" s="559"/>
      <c r="V617" s="141"/>
      <c r="W617" s="141"/>
      <c r="X617" s="141"/>
      <c r="Y617" s="144"/>
      <c r="Z617" s="141"/>
      <c r="AA617" s="141"/>
      <c r="AB617" s="141"/>
      <c r="AC617" s="141"/>
      <c r="AD617" s="141"/>
      <c r="AE617" s="141"/>
      <c r="AF617" s="145"/>
      <c r="AG617" s="419"/>
    </row>
    <row r="618" spans="1:33" s="139" customFormat="1" ht="12.75" customHeight="1" x14ac:dyDescent="0.2">
      <c r="A618" s="141"/>
      <c r="B618" s="141"/>
      <c r="C618" s="141"/>
      <c r="D618" s="142"/>
      <c r="E618" s="1014"/>
      <c r="F618" s="1014"/>
      <c r="G618" s="1027"/>
      <c r="H618" s="1027"/>
      <c r="I618" s="1174"/>
      <c r="J618" s="1174"/>
      <c r="K618" s="1174"/>
      <c r="L618" s="1172"/>
      <c r="M618" s="1172"/>
      <c r="N618" s="1175"/>
      <c r="O618" s="143"/>
      <c r="P618" s="1196"/>
      <c r="Q618" s="141"/>
      <c r="R618" s="141"/>
      <c r="S618" s="148"/>
      <c r="T618" s="419"/>
      <c r="U618" s="559"/>
      <c r="V618" s="141"/>
      <c r="W618" s="141"/>
      <c r="X618" s="141"/>
      <c r="Y618" s="144"/>
      <c r="Z618" s="141"/>
      <c r="AA618" s="141"/>
      <c r="AB618" s="141"/>
      <c r="AC618" s="141"/>
      <c r="AD618" s="141"/>
      <c r="AE618" s="141"/>
      <c r="AF618" s="145"/>
      <c r="AG618" s="419"/>
    </row>
    <row r="619" spans="1:33" s="139" customFormat="1" ht="12.75" customHeight="1" x14ac:dyDescent="0.2">
      <c r="A619" s="141"/>
      <c r="B619" s="141"/>
      <c r="C619" s="141"/>
      <c r="D619" s="142"/>
      <c r="E619" s="1014"/>
      <c r="F619" s="1014"/>
      <c r="G619" s="1027"/>
      <c r="H619" s="1027"/>
      <c r="I619" s="1174"/>
      <c r="J619" s="1174"/>
      <c r="K619" s="1174"/>
      <c r="L619" s="1172"/>
      <c r="M619" s="1172"/>
      <c r="N619" s="1175"/>
      <c r="O619" s="143"/>
      <c r="P619" s="1196"/>
      <c r="Q619" s="141"/>
      <c r="R619" s="141"/>
      <c r="S619" s="148"/>
      <c r="T619" s="419"/>
      <c r="U619" s="559"/>
      <c r="V619" s="141"/>
      <c r="W619" s="141"/>
      <c r="X619" s="141"/>
      <c r="Y619" s="144"/>
      <c r="Z619" s="141"/>
      <c r="AA619" s="141"/>
      <c r="AB619" s="141"/>
      <c r="AC619" s="141"/>
      <c r="AD619" s="141"/>
      <c r="AE619" s="141"/>
      <c r="AF619" s="145"/>
      <c r="AG619" s="419"/>
    </row>
    <row r="620" spans="1:33" s="139" customFormat="1" ht="12.75" customHeight="1" x14ac:dyDescent="0.2">
      <c r="A620" s="141"/>
      <c r="B620" s="141"/>
      <c r="C620" s="141"/>
      <c r="D620" s="142"/>
      <c r="E620" s="1014"/>
      <c r="F620" s="1014"/>
      <c r="G620" s="1027"/>
      <c r="H620" s="1027"/>
      <c r="I620" s="1174"/>
      <c r="J620" s="1174"/>
      <c r="K620" s="1174"/>
      <c r="L620" s="1172"/>
      <c r="M620" s="1172"/>
      <c r="N620" s="1175"/>
      <c r="O620" s="143"/>
      <c r="P620" s="1196"/>
      <c r="Q620" s="141"/>
      <c r="R620" s="141"/>
      <c r="S620" s="148"/>
      <c r="T620" s="419"/>
      <c r="U620" s="559"/>
      <c r="V620" s="141"/>
      <c r="W620" s="141"/>
      <c r="X620" s="141"/>
      <c r="Y620" s="144"/>
      <c r="Z620" s="141"/>
      <c r="AA620" s="141"/>
      <c r="AB620" s="141"/>
      <c r="AC620" s="141"/>
      <c r="AD620" s="141"/>
      <c r="AE620" s="141"/>
      <c r="AF620" s="145"/>
      <c r="AG620" s="419"/>
    </row>
    <row r="621" spans="1:33" s="139" customFormat="1" ht="12.75" customHeight="1" x14ac:dyDescent="0.2">
      <c r="A621" s="141"/>
      <c r="B621" s="141"/>
      <c r="C621" s="141"/>
      <c r="D621" s="142"/>
      <c r="E621" s="1014"/>
      <c r="F621" s="1014"/>
      <c r="G621" s="1027"/>
      <c r="H621" s="1027"/>
      <c r="I621" s="1174"/>
      <c r="J621" s="1174"/>
      <c r="K621" s="1174"/>
      <c r="L621" s="1172"/>
      <c r="M621" s="1172"/>
      <c r="N621" s="1175"/>
      <c r="O621" s="143"/>
      <c r="P621" s="1196"/>
      <c r="Q621" s="141"/>
      <c r="R621" s="141"/>
      <c r="S621" s="148"/>
      <c r="T621" s="419"/>
      <c r="U621" s="559"/>
      <c r="V621" s="141"/>
      <c r="W621" s="141"/>
      <c r="X621" s="141"/>
      <c r="Y621" s="144"/>
      <c r="Z621" s="141"/>
      <c r="AA621" s="141"/>
      <c r="AB621" s="141"/>
      <c r="AC621" s="141"/>
      <c r="AD621" s="141"/>
      <c r="AE621" s="141"/>
      <c r="AF621" s="145"/>
      <c r="AG621" s="419"/>
    </row>
    <row r="622" spans="1:33" s="139" customFormat="1" ht="12.75" customHeight="1" x14ac:dyDescent="0.2">
      <c r="A622" s="141"/>
      <c r="B622" s="141"/>
      <c r="C622" s="141"/>
      <c r="D622" s="142"/>
      <c r="E622" s="1014"/>
      <c r="F622" s="1014"/>
      <c r="G622" s="1027"/>
      <c r="H622" s="1027"/>
      <c r="I622" s="1174"/>
      <c r="J622" s="1174"/>
      <c r="K622" s="1174"/>
      <c r="L622" s="1172"/>
      <c r="M622" s="1172"/>
      <c r="N622" s="1175"/>
      <c r="O622" s="143"/>
      <c r="P622" s="1196"/>
      <c r="Q622" s="141"/>
      <c r="R622" s="141"/>
      <c r="S622" s="148"/>
      <c r="T622" s="419"/>
      <c r="U622" s="559"/>
      <c r="V622" s="141"/>
      <c r="W622" s="141"/>
      <c r="X622" s="141"/>
      <c r="Y622" s="144"/>
      <c r="Z622" s="141"/>
      <c r="AA622" s="141"/>
      <c r="AB622" s="141"/>
      <c r="AC622" s="141"/>
      <c r="AD622" s="141"/>
      <c r="AE622" s="141"/>
      <c r="AF622" s="145"/>
      <c r="AG622" s="419"/>
    </row>
    <row r="623" spans="1:33" s="139" customFormat="1" ht="12.75" customHeight="1" x14ac:dyDescent="0.2">
      <c r="A623" s="141"/>
      <c r="B623" s="141"/>
      <c r="C623" s="141"/>
      <c r="D623" s="142"/>
      <c r="E623" s="1014"/>
      <c r="F623" s="1014"/>
      <c r="G623" s="1027"/>
      <c r="H623" s="1027"/>
      <c r="I623" s="1174"/>
      <c r="J623" s="1174"/>
      <c r="K623" s="1174"/>
      <c r="L623" s="1172"/>
      <c r="M623" s="1172"/>
      <c r="N623" s="1175"/>
      <c r="O623" s="143"/>
      <c r="P623" s="1196"/>
      <c r="Q623" s="141"/>
      <c r="R623" s="141"/>
      <c r="S623" s="148"/>
      <c r="T623" s="419"/>
      <c r="U623" s="559"/>
      <c r="V623" s="141"/>
      <c r="W623" s="141"/>
      <c r="X623" s="141"/>
      <c r="Y623" s="144"/>
      <c r="Z623" s="141"/>
      <c r="AA623" s="141"/>
      <c r="AB623" s="141"/>
      <c r="AC623" s="141"/>
      <c r="AD623" s="141"/>
      <c r="AE623" s="141"/>
      <c r="AF623" s="145"/>
      <c r="AG623" s="419"/>
    </row>
    <row r="624" spans="1:33" s="139" customFormat="1" ht="12.75" customHeight="1" x14ac:dyDescent="0.2">
      <c r="A624" s="141"/>
      <c r="B624" s="141"/>
      <c r="C624" s="141"/>
      <c r="D624" s="142"/>
      <c r="E624" s="1014"/>
      <c r="F624" s="1014"/>
      <c r="G624" s="1027"/>
      <c r="H624" s="1027"/>
      <c r="I624" s="1174"/>
      <c r="J624" s="1174"/>
      <c r="K624" s="1174"/>
      <c r="L624" s="1172"/>
      <c r="M624" s="1172"/>
      <c r="N624" s="1175"/>
      <c r="O624" s="143"/>
      <c r="P624" s="1196"/>
      <c r="Q624" s="141"/>
      <c r="R624" s="141"/>
      <c r="S624" s="148"/>
      <c r="T624" s="419"/>
      <c r="U624" s="559"/>
      <c r="V624" s="141"/>
      <c r="W624" s="141"/>
      <c r="X624" s="141"/>
      <c r="Y624" s="144"/>
      <c r="Z624" s="141"/>
      <c r="AA624" s="141"/>
      <c r="AB624" s="141"/>
      <c r="AC624" s="141"/>
      <c r="AD624" s="141"/>
      <c r="AE624" s="141"/>
      <c r="AF624" s="145"/>
      <c r="AG624" s="419"/>
    </row>
    <row r="625" spans="1:33" s="139" customFormat="1" ht="12.75" customHeight="1" x14ac:dyDescent="0.2">
      <c r="A625" s="141"/>
      <c r="B625" s="141"/>
      <c r="C625" s="141"/>
      <c r="D625" s="142"/>
      <c r="E625" s="1014"/>
      <c r="F625" s="1014"/>
      <c r="G625" s="1027"/>
      <c r="H625" s="1027"/>
      <c r="I625" s="1174"/>
      <c r="J625" s="1174"/>
      <c r="K625" s="1174"/>
      <c r="L625" s="1172"/>
      <c r="M625" s="1172"/>
      <c r="N625" s="1175"/>
      <c r="O625" s="143"/>
      <c r="P625" s="1196"/>
      <c r="Q625" s="141"/>
      <c r="R625" s="141"/>
      <c r="S625" s="148"/>
      <c r="T625" s="419"/>
      <c r="U625" s="559"/>
      <c r="V625" s="141"/>
      <c r="W625" s="141"/>
      <c r="X625" s="141"/>
      <c r="Y625" s="144"/>
      <c r="Z625" s="141"/>
      <c r="AA625" s="141"/>
      <c r="AB625" s="141"/>
      <c r="AC625" s="141"/>
      <c r="AD625" s="141"/>
      <c r="AE625" s="141"/>
      <c r="AF625" s="145"/>
      <c r="AG625" s="419"/>
    </row>
    <row r="626" spans="1:33" s="139" customFormat="1" ht="12.75" customHeight="1" x14ac:dyDescent="0.2">
      <c r="A626" s="141"/>
      <c r="B626" s="141"/>
      <c r="C626" s="141"/>
      <c r="D626" s="142"/>
      <c r="E626" s="1014"/>
      <c r="F626" s="1014"/>
      <c r="G626" s="1027"/>
      <c r="H626" s="1027"/>
      <c r="I626" s="1174"/>
      <c r="J626" s="1174"/>
      <c r="K626" s="1174"/>
      <c r="L626" s="1172"/>
      <c r="M626" s="1172"/>
      <c r="N626" s="1175"/>
      <c r="O626" s="143"/>
      <c r="P626" s="1196"/>
      <c r="Q626" s="141"/>
      <c r="R626" s="141"/>
      <c r="S626" s="148"/>
      <c r="T626" s="419"/>
      <c r="U626" s="559"/>
      <c r="V626" s="141"/>
      <c r="W626" s="141"/>
      <c r="X626" s="141"/>
      <c r="Y626" s="144"/>
      <c r="Z626" s="141"/>
      <c r="AA626" s="141"/>
      <c r="AB626" s="141"/>
      <c r="AC626" s="141"/>
      <c r="AD626" s="141"/>
      <c r="AE626" s="141"/>
      <c r="AF626" s="145"/>
      <c r="AG626" s="419"/>
    </row>
    <row r="627" spans="1:33" s="139" customFormat="1" ht="12.75" customHeight="1" x14ac:dyDescent="0.2">
      <c r="A627" s="141"/>
      <c r="B627" s="141"/>
      <c r="C627" s="141"/>
      <c r="D627" s="142"/>
      <c r="E627" s="1014"/>
      <c r="F627" s="1014"/>
      <c r="G627" s="1027"/>
      <c r="H627" s="1027"/>
      <c r="I627" s="1174"/>
      <c r="J627" s="1174"/>
      <c r="K627" s="1174"/>
      <c r="L627" s="1172"/>
      <c r="M627" s="1172"/>
      <c r="N627" s="1175"/>
      <c r="O627" s="143"/>
      <c r="P627" s="1196"/>
      <c r="Q627" s="141"/>
      <c r="R627" s="141"/>
      <c r="S627" s="148"/>
      <c r="T627" s="419"/>
      <c r="U627" s="559"/>
      <c r="V627" s="141"/>
      <c r="W627" s="141"/>
      <c r="X627" s="141"/>
      <c r="Y627" s="144"/>
      <c r="Z627" s="141"/>
      <c r="AA627" s="141"/>
      <c r="AB627" s="141"/>
      <c r="AC627" s="141"/>
      <c r="AD627" s="141"/>
      <c r="AE627" s="141"/>
      <c r="AF627" s="145"/>
      <c r="AG627" s="419"/>
    </row>
    <row r="628" spans="1:33" s="139" customFormat="1" ht="12.75" customHeight="1" x14ac:dyDescent="0.2">
      <c r="A628" s="141"/>
      <c r="B628" s="141"/>
      <c r="C628" s="141"/>
      <c r="D628" s="142"/>
      <c r="E628" s="1014"/>
      <c r="F628" s="1014"/>
      <c r="G628" s="1027"/>
      <c r="H628" s="1027"/>
      <c r="I628" s="1174"/>
      <c r="J628" s="1174"/>
      <c r="K628" s="1174"/>
      <c r="L628" s="1172"/>
      <c r="M628" s="1172"/>
      <c r="N628" s="1175"/>
      <c r="O628" s="143"/>
      <c r="P628" s="1196"/>
      <c r="Q628" s="141"/>
      <c r="R628" s="141"/>
      <c r="S628" s="148"/>
      <c r="T628" s="419"/>
      <c r="U628" s="559"/>
      <c r="V628" s="141"/>
      <c r="W628" s="141"/>
      <c r="X628" s="141"/>
      <c r="Y628" s="144"/>
      <c r="Z628" s="141"/>
      <c r="AA628" s="141"/>
      <c r="AB628" s="141"/>
      <c r="AC628" s="141"/>
      <c r="AD628" s="141"/>
      <c r="AE628" s="141"/>
      <c r="AF628" s="145"/>
      <c r="AG628" s="419"/>
    </row>
    <row r="629" spans="1:33" s="139" customFormat="1" ht="12.75" customHeight="1" x14ac:dyDescent="0.2">
      <c r="A629" s="141"/>
      <c r="B629" s="141"/>
      <c r="C629" s="141"/>
      <c r="D629" s="142"/>
      <c r="E629" s="1014"/>
      <c r="F629" s="1014"/>
      <c r="G629" s="1027"/>
      <c r="H629" s="1027"/>
      <c r="I629" s="1174"/>
      <c r="J629" s="1174"/>
      <c r="K629" s="1174"/>
      <c r="L629" s="1172"/>
      <c r="M629" s="1172"/>
      <c r="N629" s="1175"/>
      <c r="O629" s="143"/>
      <c r="P629" s="1196"/>
      <c r="Q629" s="141"/>
      <c r="R629" s="141"/>
      <c r="S629" s="148"/>
      <c r="T629" s="419"/>
      <c r="U629" s="559"/>
      <c r="V629" s="141"/>
      <c r="W629" s="141"/>
      <c r="X629" s="141"/>
      <c r="Y629" s="144"/>
      <c r="Z629" s="141"/>
      <c r="AA629" s="141"/>
      <c r="AB629" s="141"/>
      <c r="AC629" s="141"/>
      <c r="AD629" s="141"/>
      <c r="AE629" s="141"/>
      <c r="AF629" s="145"/>
      <c r="AG629" s="419"/>
    </row>
    <row r="630" spans="1:33" s="139" customFormat="1" ht="12.75" customHeight="1" x14ac:dyDescent="0.2">
      <c r="A630" s="141"/>
      <c r="B630" s="141"/>
      <c r="C630" s="141"/>
      <c r="D630" s="142"/>
      <c r="E630" s="1014"/>
      <c r="F630" s="1014"/>
      <c r="G630" s="1027"/>
      <c r="H630" s="1027"/>
      <c r="I630" s="1174"/>
      <c r="J630" s="1174"/>
      <c r="K630" s="1174"/>
      <c r="L630" s="1172"/>
      <c r="M630" s="1172"/>
      <c r="N630" s="1175"/>
      <c r="O630" s="143"/>
      <c r="P630" s="1196"/>
      <c r="Q630" s="141"/>
      <c r="R630" s="141"/>
      <c r="S630" s="148"/>
      <c r="T630" s="419"/>
      <c r="U630" s="559"/>
      <c r="V630" s="141"/>
      <c r="W630" s="141"/>
      <c r="X630" s="141"/>
      <c r="Y630" s="144"/>
      <c r="Z630" s="141"/>
      <c r="AA630" s="141"/>
      <c r="AB630" s="141"/>
      <c r="AC630" s="141"/>
      <c r="AD630" s="141"/>
      <c r="AE630" s="141"/>
      <c r="AF630" s="145"/>
      <c r="AG630" s="419"/>
    </row>
    <row r="631" spans="1:33" s="139" customFormat="1" ht="12.75" customHeight="1" x14ac:dyDescent="0.2">
      <c r="A631" s="141"/>
      <c r="B631" s="141"/>
      <c r="C631" s="141"/>
      <c r="D631" s="142"/>
      <c r="E631" s="1014"/>
      <c r="F631" s="1014"/>
      <c r="G631" s="1027"/>
      <c r="H631" s="1027"/>
      <c r="I631" s="1174"/>
      <c r="J631" s="1174"/>
      <c r="K631" s="1174"/>
      <c r="L631" s="1172"/>
      <c r="M631" s="1172"/>
      <c r="N631" s="1175"/>
      <c r="O631" s="143"/>
      <c r="P631" s="1196"/>
      <c r="Q631" s="141"/>
      <c r="R631" s="141"/>
      <c r="S631" s="148"/>
      <c r="T631" s="419"/>
      <c r="U631" s="559"/>
      <c r="V631" s="141"/>
      <c r="W631" s="141"/>
      <c r="X631" s="141"/>
      <c r="Y631" s="144"/>
      <c r="Z631" s="141"/>
      <c r="AA631" s="141"/>
      <c r="AB631" s="141"/>
      <c r="AC631" s="141"/>
      <c r="AD631" s="141"/>
      <c r="AE631" s="141"/>
      <c r="AF631" s="145"/>
      <c r="AG631" s="419"/>
    </row>
    <row r="632" spans="1:33" s="139" customFormat="1" ht="12.75" customHeight="1" x14ac:dyDescent="0.2">
      <c r="A632" s="141"/>
      <c r="B632" s="141"/>
      <c r="C632" s="141"/>
      <c r="D632" s="142"/>
      <c r="E632" s="1014"/>
      <c r="F632" s="1014"/>
      <c r="G632" s="1027"/>
      <c r="H632" s="1027"/>
      <c r="I632" s="1174"/>
      <c r="J632" s="1174"/>
      <c r="K632" s="1174"/>
      <c r="L632" s="1172"/>
      <c r="M632" s="1172"/>
      <c r="N632" s="1175"/>
      <c r="O632" s="143"/>
      <c r="P632" s="1196"/>
      <c r="Q632" s="141"/>
      <c r="R632" s="141"/>
      <c r="S632" s="148"/>
      <c r="T632" s="419"/>
      <c r="U632" s="559"/>
      <c r="V632" s="141"/>
      <c r="W632" s="141"/>
      <c r="X632" s="141"/>
      <c r="Y632" s="144"/>
      <c r="Z632" s="141"/>
      <c r="AA632" s="141"/>
      <c r="AB632" s="141"/>
      <c r="AC632" s="141"/>
      <c r="AD632" s="141"/>
      <c r="AE632" s="141"/>
      <c r="AF632" s="145"/>
      <c r="AG632" s="419"/>
    </row>
    <row r="633" spans="1:33" s="139" customFormat="1" ht="12.75" customHeight="1" x14ac:dyDescent="0.2">
      <c r="A633" s="141"/>
      <c r="B633" s="141"/>
      <c r="C633" s="141"/>
      <c r="D633" s="142"/>
      <c r="E633" s="1014"/>
      <c r="F633" s="1014"/>
      <c r="G633" s="1027"/>
      <c r="H633" s="1027"/>
      <c r="I633" s="1174"/>
      <c r="J633" s="1174"/>
      <c r="K633" s="1174"/>
      <c r="L633" s="1172"/>
      <c r="M633" s="1172"/>
      <c r="N633" s="1175"/>
      <c r="O633" s="143"/>
      <c r="P633" s="1196"/>
      <c r="Q633" s="141"/>
      <c r="R633" s="141"/>
      <c r="S633" s="148"/>
      <c r="T633" s="419"/>
      <c r="U633" s="559"/>
      <c r="V633" s="141"/>
      <c r="W633" s="141"/>
      <c r="X633" s="141"/>
      <c r="Y633" s="144"/>
      <c r="Z633" s="141"/>
      <c r="AA633" s="141"/>
      <c r="AB633" s="141"/>
      <c r="AC633" s="141"/>
      <c r="AD633" s="141"/>
      <c r="AE633" s="141"/>
      <c r="AF633" s="145"/>
      <c r="AG633" s="419"/>
    </row>
    <row r="634" spans="1:33" s="139" customFormat="1" ht="12.75" customHeight="1" x14ac:dyDescent="0.2">
      <c r="A634" s="141"/>
      <c r="B634" s="141"/>
      <c r="C634" s="141"/>
      <c r="D634" s="142"/>
      <c r="E634" s="1014"/>
      <c r="F634" s="1014"/>
      <c r="G634" s="1027"/>
      <c r="H634" s="1027"/>
      <c r="I634" s="1174"/>
      <c r="J634" s="1174"/>
      <c r="K634" s="1174"/>
      <c r="L634" s="1172"/>
      <c r="M634" s="1172"/>
      <c r="N634" s="1175"/>
      <c r="O634" s="143"/>
      <c r="P634" s="1196"/>
      <c r="Q634" s="141"/>
      <c r="R634" s="141"/>
      <c r="S634" s="148"/>
      <c r="T634" s="419"/>
      <c r="U634" s="559"/>
      <c r="V634" s="141"/>
      <c r="W634" s="141"/>
      <c r="X634" s="141"/>
      <c r="Y634" s="144"/>
      <c r="Z634" s="141"/>
      <c r="AA634" s="141"/>
      <c r="AB634" s="141"/>
      <c r="AC634" s="141"/>
      <c r="AD634" s="141"/>
      <c r="AE634" s="141"/>
      <c r="AF634" s="145"/>
      <c r="AG634" s="419"/>
    </row>
    <row r="635" spans="1:33" s="139" customFormat="1" ht="12.75" customHeight="1" x14ac:dyDescent="0.2">
      <c r="A635" s="141"/>
      <c r="B635" s="141"/>
      <c r="C635" s="141"/>
      <c r="D635" s="142"/>
      <c r="E635" s="1014"/>
      <c r="F635" s="1014"/>
      <c r="G635" s="1027"/>
      <c r="H635" s="1027"/>
      <c r="I635" s="1174"/>
      <c r="J635" s="1174"/>
      <c r="K635" s="1174"/>
      <c r="L635" s="1172"/>
      <c r="M635" s="1172"/>
      <c r="N635" s="1175"/>
      <c r="O635" s="143"/>
      <c r="P635" s="1196"/>
      <c r="Q635" s="141"/>
      <c r="R635" s="141"/>
      <c r="S635" s="148"/>
      <c r="T635" s="419"/>
      <c r="U635" s="559"/>
      <c r="V635" s="141"/>
      <c r="W635" s="141"/>
      <c r="X635" s="141"/>
      <c r="Y635" s="144"/>
      <c r="Z635" s="141"/>
      <c r="AA635" s="141"/>
      <c r="AB635" s="141"/>
      <c r="AC635" s="141"/>
      <c r="AD635" s="141"/>
      <c r="AE635" s="141"/>
      <c r="AF635" s="145"/>
      <c r="AG635" s="419"/>
    </row>
    <row r="636" spans="1:33" s="139" customFormat="1" ht="12.75" customHeight="1" x14ac:dyDescent="0.2">
      <c r="A636" s="141"/>
      <c r="B636" s="141"/>
      <c r="C636" s="141"/>
      <c r="D636" s="142"/>
      <c r="E636" s="1014"/>
      <c r="F636" s="1014"/>
      <c r="G636" s="1027"/>
      <c r="H636" s="1027"/>
      <c r="I636" s="1174"/>
      <c r="J636" s="1174"/>
      <c r="K636" s="1174"/>
      <c r="L636" s="1172"/>
      <c r="M636" s="1172"/>
      <c r="N636" s="1175"/>
      <c r="O636" s="143"/>
      <c r="P636" s="1196"/>
      <c r="Q636" s="141"/>
      <c r="R636" s="141"/>
      <c r="S636" s="148"/>
      <c r="T636" s="419"/>
      <c r="U636" s="559"/>
      <c r="V636" s="141"/>
      <c r="W636" s="141"/>
      <c r="X636" s="141"/>
      <c r="Y636" s="144"/>
      <c r="Z636" s="141"/>
      <c r="AA636" s="141"/>
      <c r="AB636" s="141"/>
      <c r="AC636" s="141"/>
      <c r="AD636" s="141"/>
      <c r="AE636" s="141"/>
      <c r="AF636" s="145"/>
      <c r="AG636" s="419"/>
    </row>
    <row r="637" spans="1:33" s="139" customFormat="1" ht="12.75" customHeight="1" x14ac:dyDescent="0.2">
      <c r="A637" s="141"/>
      <c r="B637" s="141"/>
      <c r="C637" s="141"/>
      <c r="D637" s="142"/>
      <c r="E637" s="1014"/>
      <c r="F637" s="1014"/>
      <c r="G637" s="1027"/>
      <c r="H637" s="1027"/>
      <c r="I637" s="1174"/>
      <c r="J637" s="1174"/>
      <c r="K637" s="1174"/>
      <c r="L637" s="1172"/>
      <c r="M637" s="1172"/>
      <c r="N637" s="1175"/>
      <c r="O637" s="143"/>
      <c r="P637" s="1196"/>
      <c r="Q637" s="141"/>
      <c r="R637" s="141"/>
      <c r="S637" s="148"/>
      <c r="T637" s="419"/>
      <c r="U637" s="559"/>
      <c r="V637" s="141"/>
      <c r="W637" s="141"/>
      <c r="X637" s="141"/>
      <c r="Y637" s="144"/>
      <c r="Z637" s="141"/>
      <c r="AA637" s="141"/>
      <c r="AB637" s="141"/>
      <c r="AC637" s="141"/>
      <c r="AD637" s="141"/>
      <c r="AE637" s="141"/>
      <c r="AF637" s="145"/>
      <c r="AG637" s="419"/>
    </row>
    <row r="638" spans="1:33" s="139" customFormat="1" ht="12.75" customHeight="1" x14ac:dyDescent="0.2">
      <c r="A638" s="141"/>
      <c r="B638" s="141"/>
      <c r="C638" s="141"/>
      <c r="D638" s="142"/>
      <c r="E638" s="1014"/>
      <c r="F638" s="1014"/>
      <c r="G638" s="1027"/>
      <c r="H638" s="1027"/>
      <c r="I638" s="1174"/>
      <c r="J638" s="1174"/>
      <c r="K638" s="1174"/>
      <c r="L638" s="1172"/>
      <c r="M638" s="1172"/>
      <c r="N638" s="1175"/>
      <c r="O638" s="143"/>
      <c r="P638" s="1196"/>
      <c r="Q638" s="141"/>
      <c r="R638" s="141"/>
      <c r="S638" s="148"/>
      <c r="T638" s="419"/>
      <c r="U638" s="559"/>
      <c r="V638" s="141"/>
      <c r="W638" s="141"/>
      <c r="X638" s="141"/>
      <c r="Y638" s="144"/>
      <c r="Z638" s="141"/>
      <c r="AA638" s="141"/>
      <c r="AB638" s="141"/>
      <c r="AC638" s="141"/>
      <c r="AD638" s="141"/>
      <c r="AE638" s="141"/>
      <c r="AF638" s="145"/>
      <c r="AG638" s="419"/>
    </row>
    <row r="639" spans="1:33" s="139" customFormat="1" ht="12.75" customHeight="1" x14ac:dyDescent="0.2">
      <c r="A639" s="141"/>
      <c r="B639" s="141"/>
      <c r="C639" s="141"/>
      <c r="D639" s="142"/>
      <c r="E639" s="1014"/>
      <c r="F639" s="1014"/>
      <c r="G639" s="1027"/>
      <c r="H639" s="1027"/>
      <c r="I639" s="1174"/>
      <c r="J639" s="1174"/>
      <c r="K639" s="1174"/>
      <c r="L639" s="1172"/>
      <c r="M639" s="1172"/>
      <c r="N639" s="1175"/>
      <c r="O639" s="143"/>
      <c r="P639" s="1196"/>
      <c r="Q639" s="141"/>
      <c r="R639" s="141"/>
      <c r="S639" s="148"/>
      <c r="T639" s="419"/>
      <c r="U639" s="559"/>
      <c r="V639" s="141"/>
      <c r="W639" s="141"/>
      <c r="X639" s="141"/>
      <c r="Y639" s="144"/>
      <c r="Z639" s="141"/>
      <c r="AA639" s="141"/>
      <c r="AB639" s="141"/>
      <c r="AC639" s="141"/>
      <c r="AD639" s="141"/>
      <c r="AE639" s="141"/>
      <c r="AF639" s="145"/>
      <c r="AG639" s="419"/>
    </row>
    <row r="640" spans="1:33" s="139" customFormat="1" ht="12.75" customHeight="1" x14ac:dyDescent="0.2">
      <c r="A640" s="141"/>
      <c r="B640" s="141"/>
      <c r="C640" s="141"/>
      <c r="D640" s="142"/>
      <c r="E640" s="1014"/>
      <c r="F640" s="1014"/>
      <c r="G640" s="1027"/>
      <c r="H640" s="1027"/>
      <c r="I640" s="1174"/>
      <c r="J640" s="1174"/>
      <c r="K640" s="1174"/>
      <c r="L640" s="1172"/>
      <c r="M640" s="1172"/>
      <c r="N640" s="1175"/>
      <c r="O640" s="143"/>
      <c r="P640" s="1196"/>
      <c r="Q640" s="141"/>
      <c r="R640" s="141"/>
      <c r="S640" s="148"/>
      <c r="T640" s="419"/>
      <c r="U640" s="559"/>
      <c r="V640" s="141"/>
      <c r="W640" s="141"/>
      <c r="X640" s="141"/>
      <c r="Y640" s="144"/>
      <c r="Z640" s="141"/>
      <c r="AA640" s="141"/>
      <c r="AB640" s="141"/>
      <c r="AC640" s="141"/>
      <c r="AD640" s="141"/>
      <c r="AE640" s="141"/>
      <c r="AF640" s="145"/>
      <c r="AG640" s="419"/>
    </row>
    <row r="641" spans="1:33" s="139" customFormat="1" ht="12.75" customHeight="1" x14ac:dyDescent="0.2">
      <c r="A641" s="141"/>
      <c r="B641" s="141"/>
      <c r="C641" s="141"/>
      <c r="D641" s="142"/>
      <c r="E641" s="1014"/>
      <c r="F641" s="1014"/>
      <c r="G641" s="1027"/>
      <c r="H641" s="1027"/>
      <c r="I641" s="1174"/>
      <c r="J641" s="1174"/>
      <c r="K641" s="1174"/>
      <c r="L641" s="1172"/>
      <c r="M641" s="1172"/>
      <c r="N641" s="1175"/>
      <c r="O641" s="143"/>
      <c r="P641" s="1196"/>
      <c r="Q641" s="141"/>
      <c r="R641" s="141"/>
      <c r="S641" s="148"/>
      <c r="T641" s="419"/>
      <c r="U641" s="559"/>
      <c r="V641" s="141"/>
      <c r="W641" s="141"/>
      <c r="X641" s="141"/>
      <c r="Y641" s="144"/>
      <c r="Z641" s="141"/>
      <c r="AA641" s="141"/>
      <c r="AB641" s="141"/>
      <c r="AC641" s="141"/>
      <c r="AD641" s="141"/>
      <c r="AE641" s="141"/>
      <c r="AF641" s="145"/>
      <c r="AG641" s="419"/>
    </row>
    <row r="642" spans="1:33" s="139" customFormat="1" ht="12.75" customHeight="1" x14ac:dyDescent="0.2">
      <c r="A642" s="141"/>
      <c r="B642" s="141"/>
      <c r="C642" s="141"/>
      <c r="D642" s="142"/>
      <c r="E642" s="1014"/>
      <c r="F642" s="1014"/>
      <c r="G642" s="1027"/>
      <c r="H642" s="1027"/>
      <c r="I642" s="1174"/>
      <c r="J642" s="1174"/>
      <c r="K642" s="1174"/>
      <c r="L642" s="1172"/>
      <c r="M642" s="1172"/>
      <c r="N642" s="1175"/>
      <c r="O642" s="143"/>
      <c r="P642" s="1196"/>
      <c r="Q642" s="141"/>
      <c r="R642" s="141"/>
      <c r="S642" s="148"/>
      <c r="T642" s="419"/>
      <c r="U642" s="559"/>
      <c r="V642" s="141"/>
      <c r="W642" s="141"/>
      <c r="X642" s="141"/>
      <c r="Y642" s="144"/>
      <c r="Z642" s="141"/>
      <c r="AA642" s="141"/>
      <c r="AB642" s="141"/>
      <c r="AC642" s="141"/>
      <c r="AD642" s="141"/>
      <c r="AE642" s="141"/>
      <c r="AF642" s="145"/>
      <c r="AG642" s="419"/>
    </row>
    <row r="643" spans="1:33" s="139" customFormat="1" ht="12.75" customHeight="1" x14ac:dyDescent="0.2">
      <c r="A643" s="141"/>
      <c r="B643" s="141"/>
      <c r="C643" s="141"/>
      <c r="D643" s="142"/>
      <c r="E643" s="1014"/>
      <c r="F643" s="1014"/>
      <c r="G643" s="1027"/>
      <c r="H643" s="1027"/>
      <c r="I643" s="1174"/>
      <c r="J643" s="1174"/>
      <c r="K643" s="1174"/>
      <c r="L643" s="1172"/>
      <c r="M643" s="1172"/>
      <c r="N643" s="1175"/>
      <c r="O643" s="143"/>
      <c r="P643" s="1196"/>
      <c r="Q643" s="141"/>
      <c r="R643" s="141"/>
      <c r="S643" s="148"/>
      <c r="T643" s="419"/>
      <c r="U643" s="559"/>
      <c r="V643" s="141"/>
      <c r="W643" s="141"/>
      <c r="X643" s="141"/>
      <c r="Y643" s="144"/>
      <c r="Z643" s="141"/>
      <c r="AA643" s="141"/>
      <c r="AB643" s="141"/>
      <c r="AC643" s="141"/>
      <c r="AD643" s="141"/>
      <c r="AE643" s="141"/>
      <c r="AF643" s="145"/>
      <c r="AG643" s="419"/>
    </row>
    <row r="644" spans="1:33" s="139" customFormat="1" ht="12.75" customHeight="1" x14ac:dyDescent="0.2">
      <c r="A644" s="141"/>
      <c r="B644" s="141"/>
      <c r="C644" s="141"/>
      <c r="D644" s="142"/>
      <c r="E644" s="1014"/>
      <c r="F644" s="1014"/>
      <c r="G644" s="1027"/>
      <c r="H644" s="1027"/>
      <c r="I644" s="1174"/>
      <c r="J644" s="1174"/>
      <c r="K644" s="1174"/>
      <c r="L644" s="1172"/>
      <c r="M644" s="1172"/>
      <c r="N644" s="1175"/>
      <c r="O644" s="143"/>
      <c r="P644" s="1196"/>
      <c r="Q644" s="141"/>
      <c r="R644" s="141"/>
      <c r="S644" s="148"/>
      <c r="T644" s="419"/>
      <c r="U644" s="559"/>
      <c r="V644" s="141"/>
      <c r="W644" s="141"/>
      <c r="X644" s="141"/>
      <c r="Y644" s="144"/>
      <c r="Z644" s="141"/>
      <c r="AA644" s="141"/>
      <c r="AB644" s="141"/>
      <c r="AC644" s="141"/>
      <c r="AD644" s="141"/>
      <c r="AE644" s="141"/>
      <c r="AF644" s="145"/>
      <c r="AG644" s="419"/>
    </row>
    <row r="645" spans="1:33" s="139" customFormat="1" ht="12.75" customHeight="1" x14ac:dyDescent="0.2">
      <c r="A645" s="141"/>
      <c r="B645" s="141"/>
      <c r="C645" s="141"/>
      <c r="D645" s="142"/>
      <c r="E645" s="1014"/>
      <c r="F645" s="1014"/>
      <c r="G645" s="1027"/>
      <c r="H645" s="1027"/>
      <c r="I645" s="1174"/>
      <c r="J645" s="1174"/>
      <c r="K645" s="1174"/>
      <c r="L645" s="1172"/>
      <c r="M645" s="1172"/>
      <c r="N645" s="1175"/>
      <c r="O645" s="143"/>
      <c r="P645" s="1196"/>
      <c r="Q645" s="141"/>
      <c r="R645" s="141"/>
      <c r="S645" s="148"/>
      <c r="T645" s="419"/>
      <c r="U645" s="559"/>
      <c r="V645" s="141"/>
      <c r="W645" s="141"/>
      <c r="X645" s="141"/>
      <c r="Y645" s="144"/>
      <c r="Z645" s="141"/>
      <c r="AA645" s="141"/>
      <c r="AB645" s="141"/>
      <c r="AC645" s="141"/>
      <c r="AD645" s="141"/>
      <c r="AE645" s="141"/>
      <c r="AF645" s="145"/>
      <c r="AG645" s="419"/>
    </row>
    <row r="646" spans="1:33" s="139" customFormat="1" ht="12.75" customHeight="1" x14ac:dyDescent="0.2">
      <c r="A646" s="141"/>
      <c r="B646" s="141"/>
      <c r="C646" s="141"/>
      <c r="D646" s="142"/>
      <c r="E646" s="1014"/>
      <c r="F646" s="1014"/>
      <c r="G646" s="1027"/>
      <c r="H646" s="1027"/>
      <c r="I646" s="1174"/>
      <c r="J646" s="1174"/>
      <c r="K646" s="1174"/>
      <c r="L646" s="1172"/>
      <c r="M646" s="1172"/>
      <c r="N646" s="1175"/>
      <c r="O646" s="143"/>
      <c r="P646" s="1196"/>
      <c r="Q646" s="141"/>
      <c r="R646" s="141"/>
      <c r="S646" s="148"/>
      <c r="T646" s="419"/>
      <c r="U646" s="559"/>
      <c r="V646" s="141"/>
      <c r="W646" s="141"/>
      <c r="X646" s="141"/>
      <c r="Y646" s="144"/>
      <c r="Z646" s="141"/>
      <c r="AA646" s="141"/>
      <c r="AB646" s="141"/>
      <c r="AC646" s="141"/>
      <c r="AD646" s="141"/>
      <c r="AE646" s="141"/>
      <c r="AF646" s="145"/>
      <c r="AG646" s="419"/>
    </row>
    <row r="647" spans="1:33" s="139" customFormat="1" ht="12.75" customHeight="1" x14ac:dyDescent="0.2">
      <c r="A647" s="141"/>
      <c r="B647" s="141"/>
      <c r="C647" s="141"/>
      <c r="D647" s="142"/>
      <c r="E647" s="1014"/>
      <c r="F647" s="1014"/>
      <c r="G647" s="1027"/>
      <c r="H647" s="1027"/>
      <c r="I647" s="1174"/>
      <c r="J647" s="1174"/>
      <c r="K647" s="1174"/>
      <c r="L647" s="1172"/>
      <c r="M647" s="1172"/>
      <c r="N647" s="1175"/>
      <c r="O647" s="143"/>
      <c r="P647" s="1196"/>
      <c r="Q647" s="141"/>
      <c r="R647" s="141"/>
      <c r="S647" s="148"/>
      <c r="T647" s="419"/>
      <c r="U647" s="559"/>
      <c r="V647" s="141"/>
      <c r="W647" s="141"/>
      <c r="X647" s="141"/>
      <c r="Y647" s="144"/>
      <c r="Z647" s="141"/>
      <c r="AA647" s="141"/>
      <c r="AB647" s="141"/>
      <c r="AC647" s="141"/>
      <c r="AD647" s="141"/>
      <c r="AE647" s="141"/>
      <c r="AF647" s="145"/>
      <c r="AG647" s="419"/>
    </row>
    <row r="648" spans="1:33" s="139" customFormat="1" ht="12.75" customHeight="1" x14ac:dyDescent="0.2">
      <c r="A648" s="141"/>
      <c r="B648" s="141"/>
      <c r="C648" s="141"/>
      <c r="D648" s="142"/>
      <c r="E648" s="1014"/>
      <c r="F648" s="1014"/>
      <c r="G648" s="1027"/>
      <c r="H648" s="1027"/>
      <c r="I648" s="1174"/>
      <c r="J648" s="1174"/>
      <c r="K648" s="1174"/>
      <c r="L648" s="1172"/>
      <c r="M648" s="1172"/>
      <c r="N648" s="1175"/>
      <c r="O648" s="143"/>
      <c r="P648" s="1196"/>
      <c r="Q648" s="141"/>
      <c r="R648" s="141"/>
      <c r="S648" s="148"/>
      <c r="T648" s="419"/>
      <c r="U648" s="559"/>
      <c r="V648" s="141"/>
      <c r="W648" s="141"/>
      <c r="X648" s="141"/>
      <c r="Y648" s="144"/>
      <c r="Z648" s="141"/>
      <c r="AA648" s="141"/>
      <c r="AB648" s="141"/>
      <c r="AC648" s="141"/>
      <c r="AD648" s="141"/>
      <c r="AE648" s="141"/>
      <c r="AF648" s="145"/>
      <c r="AG648" s="419"/>
    </row>
    <row r="649" spans="1:33" s="139" customFormat="1" ht="12.75" customHeight="1" x14ac:dyDescent="0.2">
      <c r="A649" s="141"/>
      <c r="B649" s="141"/>
      <c r="C649" s="141"/>
      <c r="D649" s="142"/>
      <c r="E649" s="1014"/>
      <c r="F649" s="1014"/>
      <c r="G649" s="1027"/>
      <c r="H649" s="1027"/>
      <c r="I649" s="1174"/>
      <c r="J649" s="1174"/>
      <c r="K649" s="1174"/>
      <c r="L649" s="1172"/>
      <c r="M649" s="1172"/>
      <c r="N649" s="1175"/>
      <c r="O649" s="143"/>
      <c r="P649" s="1196"/>
      <c r="Q649" s="141"/>
      <c r="R649" s="141"/>
      <c r="S649" s="148"/>
      <c r="T649" s="419"/>
      <c r="U649" s="559"/>
      <c r="V649" s="141"/>
      <c r="W649" s="141"/>
      <c r="X649" s="141"/>
      <c r="Y649" s="144"/>
      <c r="Z649" s="141"/>
      <c r="AA649" s="141"/>
      <c r="AB649" s="141"/>
      <c r="AC649" s="141"/>
      <c r="AD649" s="141"/>
      <c r="AE649" s="141"/>
      <c r="AF649" s="145"/>
      <c r="AG649" s="419"/>
    </row>
    <row r="650" spans="1:33" s="139" customFormat="1" ht="12.75" customHeight="1" x14ac:dyDescent="0.2">
      <c r="A650" s="141"/>
      <c r="B650" s="141"/>
      <c r="C650" s="141"/>
      <c r="D650" s="142"/>
      <c r="E650" s="1014"/>
      <c r="F650" s="1014"/>
      <c r="G650" s="1027"/>
      <c r="H650" s="1027"/>
      <c r="I650" s="1174"/>
      <c r="J650" s="1174"/>
      <c r="K650" s="1174"/>
      <c r="L650" s="1172"/>
      <c r="M650" s="1172"/>
      <c r="N650" s="1175"/>
      <c r="O650" s="143"/>
      <c r="P650" s="1196"/>
      <c r="Q650" s="141"/>
      <c r="R650" s="141"/>
      <c r="S650" s="148"/>
      <c r="T650" s="419"/>
      <c r="U650" s="559"/>
      <c r="V650" s="141"/>
      <c r="W650" s="141"/>
      <c r="X650" s="141"/>
      <c r="Y650" s="144"/>
      <c r="Z650" s="141"/>
      <c r="AA650" s="141"/>
      <c r="AB650" s="141"/>
      <c r="AC650" s="141"/>
      <c r="AD650" s="141"/>
      <c r="AE650" s="141"/>
      <c r="AF650" s="145"/>
      <c r="AG650" s="419"/>
    </row>
    <row r="651" spans="1:33" s="139" customFormat="1" ht="12.75" customHeight="1" x14ac:dyDescent="0.2">
      <c r="A651" s="141"/>
      <c r="B651" s="141"/>
      <c r="C651" s="141"/>
      <c r="D651" s="142"/>
      <c r="E651" s="1014"/>
      <c r="F651" s="1014"/>
      <c r="G651" s="1027"/>
      <c r="H651" s="1027"/>
      <c r="I651" s="1174"/>
      <c r="J651" s="1174"/>
      <c r="K651" s="1174"/>
      <c r="L651" s="1172"/>
      <c r="M651" s="1172"/>
      <c r="N651" s="1175"/>
      <c r="O651" s="143"/>
      <c r="P651" s="1196"/>
      <c r="Q651" s="141"/>
      <c r="R651" s="141"/>
      <c r="S651" s="148"/>
      <c r="T651" s="419"/>
      <c r="U651" s="559"/>
      <c r="V651" s="141"/>
      <c r="W651" s="141"/>
      <c r="X651" s="141"/>
      <c r="Y651" s="144"/>
      <c r="Z651" s="141"/>
      <c r="AA651" s="141"/>
      <c r="AB651" s="141"/>
      <c r="AC651" s="141"/>
      <c r="AD651" s="141"/>
      <c r="AE651" s="141"/>
      <c r="AF651" s="145"/>
      <c r="AG651" s="419"/>
    </row>
    <row r="652" spans="1:33" s="139" customFormat="1" ht="12.75" customHeight="1" x14ac:dyDescent="0.2">
      <c r="A652" s="141"/>
      <c r="B652" s="141"/>
      <c r="C652" s="141"/>
      <c r="D652" s="142"/>
      <c r="E652" s="1014"/>
      <c r="F652" s="1014"/>
      <c r="G652" s="1027"/>
      <c r="H652" s="1027"/>
      <c r="I652" s="1174"/>
      <c r="J652" s="1174"/>
      <c r="K652" s="1174"/>
      <c r="L652" s="1172"/>
      <c r="M652" s="1172"/>
      <c r="N652" s="1175"/>
      <c r="O652" s="143"/>
      <c r="P652" s="1196"/>
      <c r="Q652" s="141"/>
      <c r="R652" s="141"/>
      <c r="S652" s="148"/>
      <c r="T652" s="419"/>
      <c r="U652" s="559"/>
      <c r="V652" s="141"/>
      <c r="W652" s="141"/>
      <c r="X652" s="141"/>
      <c r="Y652" s="144"/>
      <c r="Z652" s="141"/>
      <c r="AA652" s="141"/>
      <c r="AB652" s="141"/>
      <c r="AC652" s="141"/>
      <c r="AD652" s="141"/>
      <c r="AE652" s="141"/>
      <c r="AF652" s="145"/>
      <c r="AG652" s="419"/>
    </row>
    <row r="653" spans="1:33" s="139" customFormat="1" ht="12.75" customHeight="1" x14ac:dyDescent="0.2">
      <c r="A653" s="141"/>
      <c r="B653" s="141"/>
      <c r="C653" s="141"/>
      <c r="D653" s="142"/>
      <c r="E653" s="1014"/>
      <c r="F653" s="1014"/>
      <c r="G653" s="1027"/>
      <c r="H653" s="1027"/>
      <c r="I653" s="1174"/>
      <c r="J653" s="1174"/>
      <c r="K653" s="1174"/>
      <c r="L653" s="1172"/>
      <c r="M653" s="1172"/>
      <c r="N653" s="1175"/>
      <c r="O653" s="143"/>
      <c r="P653" s="1196"/>
      <c r="Q653" s="141"/>
      <c r="R653" s="141"/>
      <c r="S653" s="148"/>
      <c r="T653" s="419"/>
      <c r="U653" s="559"/>
      <c r="V653" s="141"/>
      <c r="W653" s="141"/>
      <c r="X653" s="141"/>
      <c r="Y653" s="144"/>
      <c r="Z653" s="141"/>
      <c r="AA653" s="141"/>
      <c r="AB653" s="141"/>
      <c r="AC653" s="141"/>
      <c r="AD653" s="141"/>
      <c r="AE653" s="141"/>
      <c r="AF653" s="145"/>
      <c r="AG653" s="419"/>
    </row>
    <row r="654" spans="1:33" s="139" customFormat="1" ht="12.75" customHeight="1" x14ac:dyDescent="0.2">
      <c r="A654" s="141"/>
      <c r="B654" s="141"/>
      <c r="C654" s="141"/>
      <c r="D654" s="142"/>
      <c r="E654" s="1014"/>
      <c r="F654" s="1014"/>
      <c r="G654" s="1027"/>
      <c r="H654" s="1027"/>
      <c r="I654" s="1174"/>
      <c r="J654" s="1174"/>
      <c r="K654" s="1174"/>
      <c r="L654" s="1172"/>
      <c r="M654" s="1172"/>
      <c r="N654" s="1175"/>
      <c r="O654" s="143"/>
      <c r="P654" s="1196"/>
      <c r="Q654" s="141"/>
      <c r="R654" s="141"/>
      <c r="S654" s="148"/>
      <c r="T654" s="419"/>
      <c r="U654" s="559"/>
      <c r="V654" s="141"/>
      <c r="W654" s="141"/>
      <c r="X654" s="141"/>
      <c r="Y654" s="144"/>
      <c r="Z654" s="141"/>
      <c r="AA654" s="141"/>
      <c r="AB654" s="141"/>
      <c r="AC654" s="141"/>
      <c r="AD654" s="141"/>
      <c r="AE654" s="141"/>
      <c r="AF654" s="145"/>
      <c r="AG654" s="419"/>
    </row>
    <row r="655" spans="1:33" s="139" customFormat="1" ht="12.75" customHeight="1" x14ac:dyDescent="0.2">
      <c r="A655" s="141"/>
      <c r="B655" s="141"/>
      <c r="C655" s="141"/>
      <c r="D655" s="142"/>
      <c r="E655" s="1014"/>
      <c r="F655" s="1014"/>
      <c r="G655" s="1027"/>
      <c r="H655" s="1027"/>
      <c r="I655" s="1174"/>
      <c r="J655" s="1174"/>
      <c r="K655" s="1174"/>
      <c r="L655" s="1172"/>
      <c r="M655" s="1172"/>
      <c r="N655" s="1175"/>
      <c r="O655" s="143"/>
      <c r="P655" s="1196"/>
      <c r="Q655" s="141"/>
      <c r="R655" s="141"/>
      <c r="S655" s="148"/>
      <c r="T655" s="419"/>
      <c r="U655" s="559"/>
      <c r="V655" s="141"/>
      <c r="W655" s="141"/>
      <c r="X655" s="141"/>
      <c r="Y655" s="144"/>
      <c r="Z655" s="141"/>
      <c r="AA655" s="141"/>
      <c r="AB655" s="141"/>
      <c r="AC655" s="141"/>
      <c r="AD655" s="141"/>
      <c r="AE655" s="141"/>
      <c r="AF655" s="145"/>
      <c r="AG655" s="419"/>
    </row>
    <row r="656" spans="1:33" s="139" customFormat="1" ht="12.75" customHeight="1" x14ac:dyDescent="0.2">
      <c r="A656" s="141"/>
      <c r="B656" s="141"/>
      <c r="C656" s="141"/>
      <c r="D656" s="142"/>
      <c r="E656" s="1014"/>
      <c r="F656" s="1014"/>
      <c r="G656" s="1027"/>
      <c r="H656" s="1027"/>
      <c r="I656" s="1174"/>
      <c r="J656" s="1174"/>
      <c r="K656" s="1174"/>
      <c r="L656" s="1172"/>
      <c r="M656" s="1172"/>
      <c r="N656" s="1175"/>
      <c r="O656" s="143"/>
      <c r="P656" s="1196"/>
      <c r="Q656" s="141"/>
      <c r="R656" s="141"/>
      <c r="S656" s="148"/>
      <c r="T656" s="419"/>
      <c r="U656" s="559"/>
      <c r="V656" s="141"/>
      <c r="W656" s="141"/>
      <c r="X656" s="141"/>
      <c r="Y656" s="144"/>
      <c r="Z656" s="141"/>
      <c r="AA656" s="141"/>
      <c r="AB656" s="141"/>
      <c r="AC656" s="141"/>
      <c r="AD656" s="141"/>
      <c r="AE656" s="141"/>
      <c r="AF656" s="145"/>
      <c r="AG656" s="419"/>
    </row>
    <row r="657" spans="1:33" s="139" customFormat="1" ht="12.75" customHeight="1" x14ac:dyDescent="0.2">
      <c r="A657" s="141"/>
      <c r="B657" s="141"/>
      <c r="C657" s="141"/>
      <c r="D657" s="142"/>
      <c r="E657" s="1014"/>
      <c r="F657" s="1014"/>
      <c r="G657" s="1027"/>
      <c r="H657" s="1027"/>
      <c r="I657" s="1174"/>
      <c r="J657" s="1174"/>
      <c r="K657" s="1174"/>
      <c r="L657" s="1172"/>
      <c r="M657" s="1172"/>
      <c r="N657" s="1175"/>
      <c r="O657" s="143"/>
      <c r="P657" s="1196"/>
      <c r="Q657" s="141"/>
      <c r="R657" s="141"/>
      <c r="S657" s="148"/>
      <c r="T657" s="419"/>
      <c r="U657" s="559"/>
      <c r="V657" s="141"/>
      <c r="W657" s="141"/>
      <c r="X657" s="141"/>
      <c r="Y657" s="144"/>
      <c r="Z657" s="141"/>
      <c r="AA657" s="141"/>
      <c r="AB657" s="141"/>
      <c r="AC657" s="141"/>
      <c r="AD657" s="141"/>
      <c r="AE657" s="141"/>
      <c r="AF657" s="145"/>
      <c r="AG657" s="419"/>
    </row>
    <row r="658" spans="1:33" s="139" customFormat="1" ht="12.75" customHeight="1" x14ac:dyDescent="0.2">
      <c r="A658" s="141"/>
      <c r="B658" s="141"/>
      <c r="C658" s="141"/>
      <c r="D658" s="142"/>
      <c r="E658" s="1014"/>
      <c r="F658" s="1014"/>
      <c r="G658" s="1027"/>
      <c r="H658" s="1027"/>
      <c r="I658" s="1174"/>
      <c r="J658" s="1174"/>
      <c r="K658" s="1174"/>
      <c r="L658" s="1172"/>
      <c r="M658" s="1172"/>
      <c r="N658" s="1175"/>
      <c r="O658" s="143"/>
      <c r="P658" s="1196"/>
      <c r="Q658" s="141"/>
      <c r="R658" s="141"/>
      <c r="S658" s="148"/>
      <c r="T658" s="419"/>
      <c r="U658" s="559"/>
      <c r="V658" s="141"/>
      <c r="W658" s="141"/>
      <c r="X658" s="141"/>
      <c r="Y658" s="144"/>
      <c r="Z658" s="141"/>
      <c r="AA658" s="141"/>
      <c r="AB658" s="141"/>
      <c r="AC658" s="141"/>
      <c r="AD658" s="141"/>
      <c r="AE658" s="141"/>
      <c r="AF658" s="145"/>
      <c r="AG658" s="419"/>
    </row>
    <row r="659" spans="1:33" s="139" customFormat="1" ht="12.75" customHeight="1" x14ac:dyDescent="0.2">
      <c r="A659" s="141"/>
      <c r="B659" s="141"/>
      <c r="C659" s="141"/>
      <c r="D659" s="142"/>
      <c r="E659" s="1014"/>
      <c r="F659" s="1014"/>
      <c r="G659" s="1027"/>
      <c r="H659" s="1027"/>
      <c r="I659" s="1174"/>
      <c r="J659" s="1174"/>
      <c r="K659" s="1174"/>
      <c r="L659" s="1172"/>
      <c r="M659" s="1172"/>
      <c r="N659" s="1175"/>
      <c r="O659" s="143"/>
      <c r="P659" s="1196"/>
      <c r="Q659" s="141"/>
      <c r="R659" s="141"/>
      <c r="S659" s="148"/>
      <c r="T659" s="419"/>
      <c r="U659" s="559"/>
      <c r="V659" s="141"/>
      <c r="W659" s="141"/>
      <c r="X659" s="141"/>
      <c r="Y659" s="144"/>
      <c r="Z659" s="141"/>
      <c r="AA659" s="141"/>
      <c r="AB659" s="141"/>
      <c r="AC659" s="141"/>
      <c r="AD659" s="141"/>
      <c r="AE659" s="141"/>
      <c r="AF659" s="145"/>
      <c r="AG659" s="419"/>
    </row>
    <row r="660" spans="1:33" s="139" customFormat="1" ht="12.75" customHeight="1" x14ac:dyDescent="0.2">
      <c r="A660" s="141"/>
      <c r="B660" s="141"/>
      <c r="C660" s="141"/>
      <c r="D660" s="142"/>
      <c r="E660" s="1014"/>
      <c r="F660" s="1014"/>
      <c r="G660" s="1027"/>
      <c r="H660" s="1027"/>
      <c r="I660" s="1174"/>
      <c r="J660" s="1174"/>
      <c r="K660" s="1174"/>
      <c r="L660" s="1172"/>
      <c r="M660" s="1172"/>
      <c r="N660" s="1175"/>
      <c r="O660" s="143"/>
      <c r="P660" s="1196"/>
      <c r="Q660" s="141"/>
      <c r="R660" s="141"/>
      <c r="S660" s="148"/>
      <c r="T660" s="419"/>
      <c r="U660" s="559"/>
      <c r="V660" s="141"/>
      <c r="W660" s="141"/>
      <c r="X660" s="141"/>
      <c r="Y660" s="144"/>
      <c r="Z660" s="141"/>
      <c r="AA660" s="141"/>
      <c r="AB660" s="141"/>
      <c r="AC660" s="141"/>
      <c r="AD660" s="141"/>
      <c r="AE660" s="141"/>
      <c r="AF660" s="145"/>
      <c r="AG660" s="419"/>
    </row>
    <row r="661" spans="1:33" s="139" customFormat="1" ht="12.75" customHeight="1" x14ac:dyDescent="0.2">
      <c r="A661" s="141"/>
      <c r="B661" s="141"/>
      <c r="C661" s="141"/>
      <c r="D661" s="142"/>
      <c r="E661" s="1014"/>
      <c r="F661" s="1014"/>
      <c r="G661" s="1027"/>
      <c r="H661" s="1027"/>
      <c r="I661" s="1174"/>
      <c r="J661" s="1174"/>
      <c r="K661" s="1174"/>
      <c r="L661" s="1172"/>
      <c r="M661" s="1172"/>
      <c r="N661" s="1175"/>
      <c r="O661" s="143"/>
      <c r="P661" s="1196"/>
      <c r="Q661" s="141"/>
      <c r="R661" s="141"/>
      <c r="S661" s="148"/>
      <c r="T661" s="419"/>
      <c r="U661" s="559"/>
      <c r="V661" s="141"/>
      <c r="W661" s="141"/>
      <c r="X661" s="141"/>
      <c r="Y661" s="144"/>
      <c r="Z661" s="141"/>
      <c r="AA661" s="141"/>
      <c r="AB661" s="141"/>
      <c r="AC661" s="141"/>
      <c r="AD661" s="141"/>
      <c r="AE661" s="141"/>
      <c r="AF661" s="145"/>
      <c r="AG661" s="419"/>
    </row>
    <row r="662" spans="1:33" s="139" customFormat="1" ht="12.75" customHeight="1" x14ac:dyDescent="0.2">
      <c r="A662" s="141"/>
      <c r="B662" s="141"/>
      <c r="C662" s="141"/>
      <c r="D662" s="142"/>
      <c r="E662" s="1014"/>
      <c r="F662" s="1014"/>
      <c r="G662" s="1027"/>
      <c r="H662" s="1027"/>
      <c r="I662" s="1174"/>
      <c r="J662" s="1174"/>
      <c r="K662" s="1174"/>
      <c r="L662" s="1172"/>
      <c r="M662" s="1172"/>
      <c r="N662" s="1175"/>
      <c r="O662" s="143"/>
      <c r="P662" s="1196"/>
      <c r="Q662" s="141"/>
      <c r="R662" s="141"/>
      <c r="S662" s="148"/>
      <c r="T662" s="419"/>
      <c r="U662" s="559"/>
      <c r="V662" s="141"/>
      <c r="W662" s="141"/>
      <c r="X662" s="141"/>
      <c r="Y662" s="144"/>
      <c r="Z662" s="141"/>
      <c r="AA662" s="141"/>
      <c r="AB662" s="141"/>
      <c r="AC662" s="141"/>
      <c r="AD662" s="141"/>
      <c r="AE662" s="141"/>
      <c r="AF662" s="145"/>
      <c r="AG662" s="419"/>
    </row>
    <row r="663" spans="1:33" s="139" customFormat="1" ht="12.75" customHeight="1" x14ac:dyDescent="0.2">
      <c r="A663" s="141"/>
      <c r="B663" s="141"/>
      <c r="C663" s="141"/>
      <c r="D663" s="142"/>
      <c r="E663" s="1014"/>
      <c r="F663" s="1014"/>
      <c r="G663" s="1027"/>
      <c r="H663" s="1027"/>
      <c r="I663" s="1174"/>
      <c r="J663" s="1174"/>
      <c r="K663" s="1174"/>
      <c r="L663" s="1172"/>
      <c r="M663" s="1172"/>
      <c r="N663" s="1175"/>
      <c r="O663" s="143"/>
      <c r="P663" s="1196"/>
      <c r="Q663" s="141"/>
      <c r="R663" s="141"/>
      <c r="S663" s="148"/>
      <c r="T663" s="419"/>
      <c r="U663" s="559"/>
      <c r="V663" s="141"/>
      <c r="W663" s="141"/>
      <c r="X663" s="141"/>
      <c r="Y663" s="144"/>
      <c r="Z663" s="141"/>
      <c r="AA663" s="141"/>
      <c r="AB663" s="141"/>
      <c r="AC663" s="141"/>
      <c r="AD663" s="141"/>
      <c r="AE663" s="141"/>
      <c r="AF663" s="145"/>
      <c r="AG663" s="419"/>
    </row>
    <row r="664" spans="1:33" s="139" customFormat="1" ht="12.75" customHeight="1" x14ac:dyDescent="0.2">
      <c r="A664" s="141"/>
      <c r="B664" s="141"/>
      <c r="C664" s="141"/>
      <c r="D664" s="142"/>
      <c r="E664" s="1014"/>
      <c r="F664" s="1014"/>
      <c r="G664" s="1027"/>
      <c r="H664" s="1027"/>
      <c r="I664" s="1174"/>
      <c r="J664" s="1174"/>
      <c r="K664" s="1174"/>
      <c r="L664" s="1172"/>
      <c r="M664" s="1172"/>
      <c r="N664" s="1175"/>
      <c r="O664" s="143"/>
      <c r="P664" s="1196"/>
      <c r="Q664" s="141"/>
      <c r="R664" s="141"/>
      <c r="S664" s="148"/>
      <c r="T664" s="419"/>
      <c r="U664" s="559"/>
      <c r="V664" s="141"/>
      <c r="W664" s="141"/>
      <c r="X664" s="141"/>
      <c r="Y664" s="144"/>
      <c r="Z664" s="141"/>
      <c r="AA664" s="141"/>
      <c r="AB664" s="141"/>
      <c r="AC664" s="141"/>
      <c r="AD664" s="141"/>
      <c r="AE664" s="141"/>
      <c r="AF664" s="145"/>
      <c r="AG664" s="419"/>
    </row>
    <row r="665" spans="1:33" s="139" customFormat="1" ht="12.75" customHeight="1" x14ac:dyDescent="0.2">
      <c r="A665" s="141"/>
      <c r="B665" s="141"/>
      <c r="C665" s="141"/>
      <c r="D665" s="142"/>
      <c r="E665" s="1014"/>
      <c r="F665" s="1014"/>
      <c r="G665" s="1027"/>
      <c r="H665" s="1027"/>
      <c r="I665" s="1174"/>
      <c r="J665" s="1174"/>
      <c r="K665" s="1174"/>
      <c r="L665" s="1172"/>
      <c r="M665" s="1172"/>
      <c r="N665" s="1175"/>
      <c r="O665" s="143"/>
      <c r="P665" s="1196"/>
      <c r="Q665" s="141"/>
      <c r="R665" s="141"/>
      <c r="S665" s="148"/>
      <c r="T665" s="419"/>
      <c r="U665" s="559"/>
      <c r="V665" s="141"/>
      <c r="W665" s="141"/>
      <c r="X665" s="141"/>
      <c r="Y665" s="144"/>
      <c r="Z665" s="141"/>
      <c r="AA665" s="141"/>
      <c r="AB665" s="141"/>
      <c r="AC665" s="141"/>
      <c r="AD665" s="141"/>
      <c r="AE665" s="141"/>
      <c r="AF665" s="145"/>
      <c r="AG665" s="419"/>
    </row>
    <row r="666" spans="1:33" s="139" customFormat="1" ht="12.75" customHeight="1" x14ac:dyDescent="0.2">
      <c r="A666" s="141"/>
      <c r="B666" s="141"/>
      <c r="C666" s="141"/>
      <c r="D666" s="142"/>
      <c r="E666" s="1014"/>
      <c r="F666" s="1014"/>
      <c r="G666" s="1027"/>
      <c r="H666" s="1027"/>
      <c r="I666" s="1174"/>
      <c r="J666" s="1174"/>
      <c r="K666" s="1174"/>
      <c r="L666" s="1172"/>
      <c r="M666" s="1172"/>
      <c r="N666" s="1175"/>
      <c r="O666" s="143"/>
      <c r="P666" s="1196"/>
      <c r="Q666" s="141"/>
      <c r="R666" s="141"/>
      <c r="S666" s="148"/>
      <c r="T666" s="419"/>
      <c r="U666" s="559"/>
      <c r="V666" s="141"/>
      <c r="W666" s="141"/>
      <c r="X666" s="141"/>
      <c r="Y666" s="144"/>
      <c r="Z666" s="141"/>
      <c r="AA666" s="141"/>
      <c r="AB666" s="141"/>
      <c r="AC666" s="141"/>
      <c r="AD666" s="141"/>
      <c r="AE666" s="141"/>
      <c r="AF666" s="145"/>
      <c r="AG666" s="419"/>
    </row>
    <row r="667" spans="1:33" s="139" customFormat="1" ht="12.75" customHeight="1" x14ac:dyDescent="0.2">
      <c r="A667" s="141"/>
      <c r="B667" s="141"/>
      <c r="C667" s="141"/>
      <c r="D667" s="142"/>
      <c r="E667" s="1014"/>
      <c r="F667" s="1014"/>
      <c r="G667" s="1027"/>
      <c r="H667" s="1027"/>
      <c r="I667" s="1174"/>
      <c r="J667" s="1174"/>
      <c r="K667" s="1174"/>
      <c r="L667" s="1172"/>
      <c r="M667" s="1172"/>
      <c r="N667" s="1175"/>
      <c r="O667" s="143"/>
      <c r="P667" s="1196"/>
      <c r="Q667" s="141"/>
      <c r="R667" s="141"/>
      <c r="S667" s="148"/>
      <c r="T667" s="419"/>
      <c r="U667" s="559"/>
      <c r="V667" s="141"/>
      <c r="W667" s="141"/>
      <c r="X667" s="141"/>
      <c r="Y667" s="144"/>
      <c r="Z667" s="141"/>
      <c r="AA667" s="141"/>
      <c r="AB667" s="141"/>
      <c r="AC667" s="141"/>
      <c r="AD667" s="141"/>
      <c r="AE667" s="141"/>
      <c r="AF667" s="145"/>
      <c r="AG667" s="419"/>
    </row>
    <row r="668" spans="1:33" s="139" customFormat="1" ht="12.75" customHeight="1" x14ac:dyDescent="0.2">
      <c r="A668" s="141"/>
      <c r="B668" s="141"/>
      <c r="C668" s="141"/>
      <c r="D668" s="142"/>
      <c r="E668" s="1014"/>
      <c r="F668" s="1014"/>
      <c r="G668" s="1027"/>
      <c r="H668" s="1027"/>
      <c r="I668" s="1174"/>
      <c r="J668" s="1174"/>
      <c r="K668" s="1174"/>
      <c r="L668" s="1172"/>
      <c r="M668" s="1172"/>
      <c r="N668" s="1175"/>
      <c r="O668" s="143"/>
      <c r="P668" s="1196"/>
      <c r="Q668" s="141"/>
      <c r="R668" s="141"/>
      <c r="S668" s="148"/>
      <c r="T668" s="419"/>
      <c r="U668" s="559"/>
      <c r="V668" s="141"/>
      <c r="W668" s="141"/>
      <c r="X668" s="141"/>
      <c r="Y668" s="144"/>
      <c r="Z668" s="141"/>
      <c r="AA668" s="141"/>
      <c r="AB668" s="141"/>
      <c r="AC668" s="141"/>
      <c r="AD668" s="141"/>
      <c r="AE668" s="141"/>
      <c r="AF668" s="145"/>
      <c r="AG668" s="419"/>
    </row>
    <row r="669" spans="1:33" s="139" customFormat="1" ht="12.75" customHeight="1" x14ac:dyDescent="0.2">
      <c r="A669" s="141"/>
      <c r="B669" s="141"/>
      <c r="C669" s="141"/>
      <c r="D669" s="142"/>
      <c r="E669" s="1014"/>
      <c r="F669" s="1014"/>
      <c r="G669" s="1027"/>
      <c r="H669" s="1027"/>
      <c r="I669" s="1174"/>
      <c r="J669" s="1174"/>
      <c r="K669" s="1174"/>
      <c r="L669" s="1172"/>
      <c r="M669" s="1172"/>
      <c r="N669" s="1175"/>
      <c r="O669" s="143"/>
      <c r="P669" s="1196"/>
      <c r="Q669" s="141"/>
      <c r="R669" s="141"/>
      <c r="S669" s="148"/>
      <c r="T669" s="419"/>
      <c r="U669" s="559"/>
      <c r="V669" s="141"/>
      <c r="W669" s="141"/>
      <c r="X669" s="141"/>
      <c r="Y669" s="144"/>
      <c r="Z669" s="141"/>
      <c r="AA669" s="141"/>
      <c r="AB669" s="141"/>
      <c r="AC669" s="141"/>
      <c r="AD669" s="141"/>
      <c r="AE669" s="141"/>
      <c r="AF669" s="145"/>
      <c r="AG669" s="419"/>
    </row>
    <row r="670" spans="1:33" s="139" customFormat="1" ht="12.75" customHeight="1" x14ac:dyDescent="0.2">
      <c r="A670" s="141"/>
      <c r="B670" s="141"/>
      <c r="C670" s="141"/>
      <c r="D670" s="142"/>
      <c r="E670" s="1014"/>
      <c r="F670" s="1014"/>
      <c r="G670" s="1027"/>
      <c r="H670" s="1027"/>
      <c r="I670" s="1174"/>
      <c r="J670" s="1174"/>
      <c r="K670" s="1174"/>
      <c r="L670" s="1172"/>
      <c r="M670" s="1172"/>
      <c r="N670" s="1175"/>
      <c r="O670" s="143"/>
      <c r="P670" s="1196"/>
      <c r="Q670" s="141"/>
      <c r="R670" s="141"/>
      <c r="S670" s="148"/>
      <c r="T670" s="419"/>
      <c r="U670" s="559"/>
      <c r="V670" s="141"/>
      <c r="W670" s="141"/>
      <c r="X670" s="141"/>
      <c r="Y670" s="144"/>
      <c r="Z670" s="141"/>
      <c r="AA670" s="141"/>
      <c r="AB670" s="141"/>
      <c r="AC670" s="141"/>
      <c r="AD670" s="141"/>
      <c r="AE670" s="141"/>
      <c r="AF670" s="145"/>
      <c r="AG670" s="419"/>
    </row>
    <row r="671" spans="1:33" s="139" customFormat="1" ht="12.75" customHeight="1" x14ac:dyDescent="0.2">
      <c r="A671" s="141"/>
      <c r="B671" s="141"/>
      <c r="C671" s="141"/>
      <c r="D671" s="142"/>
      <c r="E671" s="1014"/>
      <c r="F671" s="1014"/>
      <c r="G671" s="1027"/>
      <c r="H671" s="1027"/>
      <c r="I671" s="1174"/>
      <c r="J671" s="1174"/>
      <c r="K671" s="1174"/>
      <c r="L671" s="1172"/>
      <c r="M671" s="1172"/>
      <c r="N671" s="1175"/>
      <c r="O671" s="143"/>
      <c r="P671" s="1196"/>
      <c r="Q671" s="141"/>
      <c r="R671" s="141"/>
      <c r="S671" s="148"/>
      <c r="T671" s="419"/>
      <c r="U671" s="559"/>
      <c r="V671" s="141"/>
      <c r="W671" s="141"/>
      <c r="X671" s="141"/>
      <c r="Y671" s="144"/>
      <c r="Z671" s="141"/>
      <c r="AA671" s="141"/>
      <c r="AB671" s="141"/>
      <c r="AC671" s="141"/>
      <c r="AD671" s="141"/>
      <c r="AE671" s="141"/>
      <c r="AF671" s="145"/>
      <c r="AG671" s="419"/>
    </row>
    <row r="672" spans="1:33" s="139" customFormat="1" ht="12.75" customHeight="1" x14ac:dyDescent="0.2">
      <c r="A672" s="141"/>
      <c r="B672" s="141"/>
      <c r="C672" s="141"/>
      <c r="D672" s="142"/>
      <c r="E672" s="1014"/>
      <c r="F672" s="1014"/>
      <c r="G672" s="1027"/>
      <c r="H672" s="1027"/>
      <c r="I672" s="1174"/>
      <c r="J672" s="1174"/>
      <c r="K672" s="1174"/>
      <c r="L672" s="1172"/>
      <c r="M672" s="1172"/>
      <c r="N672" s="1175"/>
      <c r="O672" s="143"/>
      <c r="P672" s="1196"/>
      <c r="Q672" s="141"/>
      <c r="R672" s="141"/>
      <c r="S672" s="148"/>
      <c r="T672" s="419"/>
      <c r="U672" s="559"/>
      <c r="V672" s="141"/>
      <c r="W672" s="141"/>
      <c r="X672" s="141"/>
      <c r="Y672" s="144"/>
      <c r="Z672" s="141"/>
      <c r="AA672" s="141"/>
      <c r="AB672" s="141"/>
      <c r="AC672" s="141"/>
      <c r="AD672" s="141"/>
      <c r="AE672" s="141"/>
      <c r="AF672" s="145"/>
      <c r="AG672" s="419"/>
    </row>
    <row r="673" spans="1:33" s="139" customFormat="1" ht="12.75" customHeight="1" x14ac:dyDescent="0.2">
      <c r="A673" s="141"/>
      <c r="B673" s="141"/>
      <c r="C673" s="141"/>
      <c r="D673" s="142"/>
      <c r="E673" s="1014"/>
      <c r="F673" s="1014"/>
      <c r="G673" s="1027"/>
      <c r="H673" s="1027"/>
      <c r="I673" s="1174"/>
      <c r="J673" s="1174"/>
      <c r="K673" s="1174"/>
      <c r="L673" s="1172"/>
      <c r="M673" s="1172"/>
      <c r="N673" s="1175"/>
      <c r="O673" s="143"/>
      <c r="P673" s="1196"/>
      <c r="Q673" s="141"/>
      <c r="R673" s="141"/>
      <c r="S673" s="148"/>
      <c r="T673" s="419"/>
      <c r="U673" s="559"/>
      <c r="V673" s="141"/>
      <c r="W673" s="141"/>
      <c r="X673" s="141"/>
      <c r="Y673" s="144"/>
      <c r="Z673" s="141"/>
      <c r="AA673" s="141"/>
      <c r="AB673" s="141"/>
      <c r="AC673" s="141"/>
      <c r="AD673" s="141"/>
      <c r="AE673" s="141"/>
      <c r="AF673" s="145"/>
      <c r="AG673" s="419"/>
    </row>
    <row r="674" spans="1:33" s="139" customFormat="1" ht="12.75" customHeight="1" x14ac:dyDescent="0.2">
      <c r="A674" s="141"/>
      <c r="B674" s="141"/>
      <c r="C674" s="141"/>
      <c r="D674" s="142"/>
      <c r="E674" s="1014"/>
      <c r="F674" s="1014"/>
      <c r="G674" s="1027"/>
      <c r="H674" s="1027"/>
      <c r="I674" s="1174"/>
      <c r="J674" s="1174"/>
      <c r="K674" s="1174"/>
      <c r="L674" s="1172"/>
      <c r="M674" s="1172"/>
      <c r="N674" s="1175"/>
      <c r="O674" s="143"/>
      <c r="P674" s="1196"/>
      <c r="Q674" s="141"/>
      <c r="R674" s="141"/>
      <c r="S674" s="148"/>
      <c r="T674" s="419"/>
      <c r="U674" s="559"/>
      <c r="V674" s="141"/>
      <c r="W674" s="141"/>
      <c r="X674" s="141"/>
      <c r="Y674" s="144"/>
      <c r="Z674" s="141"/>
      <c r="AA674" s="141"/>
      <c r="AB674" s="141"/>
      <c r="AC674" s="141"/>
      <c r="AD674" s="141"/>
      <c r="AE674" s="141"/>
      <c r="AF674" s="145"/>
      <c r="AG674" s="419"/>
    </row>
    <row r="675" spans="1:33" s="139" customFormat="1" ht="12.75" customHeight="1" x14ac:dyDescent="0.2">
      <c r="A675" s="141"/>
      <c r="B675" s="141"/>
      <c r="C675" s="141"/>
      <c r="D675" s="142"/>
      <c r="E675" s="1014"/>
      <c r="F675" s="1014"/>
      <c r="G675" s="1027"/>
      <c r="H675" s="1027"/>
      <c r="I675" s="1174"/>
      <c r="J675" s="1174"/>
      <c r="K675" s="1174"/>
      <c r="L675" s="1172"/>
      <c r="M675" s="1172"/>
      <c r="N675" s="1175"/>
      <c r="O675" s="143"/>
      <c r="P675" s="1196"/>
      <c r="Q675" s="141"/>
      <c r="R675" s="141"/>
      <c r="S675" s="148"/>
      <c r="T675" s="419"/>
      <c r="U675" s="559"/>
      <c r="V675" s="141"/>
      <c r="W675" s="141"/>
      <c r="X675" s="141"/>
      <c r="Y675" s="144"/>
      <c r="Z675" s="141"/>
      <c r="AA675" s="141"/>
      <c r="AB675" s="141"/>
      <c r="AC675" s="141"/>
      <c r="AD675" s="141"/>
      <c r="AE675" s="141"/>
      <c r="AF675" s="145"/>
      <c r="AG675" s="419"/>
    </row>
    <row r="676" spans="1:33" s="139" customFormat="1" ht="12.75" customHeight="1" x14ac:dyDescent="0.2">
      <c r="A676" s="141"/>
      <c r="B676" s="141"/>
      <c r="C676" s="141"/>
      <c r="D676" s="142"/>
      <c r="E676" s="1014"/>
      <c r="F676" s="1014"/>
      <c r="G676" s="1027"/>
      <c r="H676" s="1027"/>
      <c r="I676" s="1174"/>
      <c r="J676" s="1174"/>
      <c r="K676" s="1174"/>
      <c r="L676" s="1172"/>
      <c r="M676" s="1172"/>
      <c r="N676" s="1175"/>
      <c r="O676" s="143"/>
      <c r="P676" s="1196"/>
      <c r="Q676" s="141"/>
      <c r="R676" s="141"/>
      <c r="S676" s="148"/>
      <c r="T676" s="419"/>
      <c r="U676" s="559"/>
      <c r="V676" s="141"/>
      <c r="W676" s="141"/>
      <c r="X676" s="141"/>
      <c r="Y676" s="144"/>
      <c r="Z676" s="141"/>
      <c r="AA676" s="141"/>
      <c r="AB676" s="141"/>
      <c r="AC676" s="141"/>
      <c r="AD676" s="141"/>
      <c r="AE676" s="141"/>
      <c r="AF676" s="145"/>
      <c r="AG676" s="419"/>
    </row>
    <row r="677" spans="1:33" s="139" customFormat="1" ht="12.75" customHeight="1" x14ac:dyDescent="0.2">
      <c r="A677" s="141"/>
      <c r="B677" s="141"/>
      <c r="C677" s="141"/>
      <c r="D677" s="142"/>
      <c r="E677" s="1014"/>
      <c r="F677" s="1014"/>
      <c r="G677" s="1027"/>
      <c r="H677" s="1027"/>
      <c r="I677" s="1174"/>
      <c r="J677" s="1174"/>
      <c r="K677" s="1174"/>
      <c r="L677" s="1172"/>
      <c r="M677" s="1172"/>
      <c r="N677" s="1175"/>
      <c r="O677" s="143"/>
      <c r="P677" s="1196"/>
      <c r="Q677" s="141"/>
      <c r="R677" s="141"/>
      <c r="S677" s="148"/>
      <c r="T677" s="419"/>
      <c r="U677" s="559"/>
      <c r="V677" s="141"/>
      <c r="W677" s="141"/>
      <c r="X677" s="141"/>
      <c r="Y677" s="144"/>
      <c r="Z677" s="141"/>
      <c r="AA677" s="141"/>
      <c r="AB677" s="141"/>
      <c r="AC677" s="141"/>
      <c r="AD677" s="141"/>
      <c r="AE677" s="141"/>
      <c r="AF677" s="145"/>
      <c r="AG677" s="419"/>
    </row>
    <row r="678" spans="1:33" s="139" customFormat="1" ht="12.75" customHeight="1" x14ac:dyDescent="0.2">
      <c r="A678" s="141"/>
      <c r="B678" s="141"/>
      <c r="C678" s="141"/>
      <c r="D678" s="142"/>
      <c r="E678" s="1014"/>
      <c r="F678" s="1014"/>
      <c r="G678" s="1027"/>
      <c r="H678" s="1027"/>
      <c r="I678" s="1174"/>
      <c r="J678" s="1174"/>
      <c r="K678" s="1174"/>
      <c r="L678" s="1172"/>
      <c r="M678" s="1172"/>
      <c r="N678" s="1175"/>
      <c r="O678" s="143"/>
      <c r="P678" s="1196"/>
      <c r="Q678" s="141"/>
      <c r="R678" s="141"/>
      <c r="S678" s="148"/>
      <c r="T678" s="419"/>
      <c r="U678" s="559"/>
      <c r="V678" s="141"/>
      <c r="W678" s="141"/>
      <c r="X678" s="141"/>
      <c r="Y678" s="144"/>
      <c r="Z678" s="141"/>
      <c r="AA678" s="141"/>
      <c r="AB678" s="141"/>
      <c r="AC678" s="141"/>
      <c r="AD678" s="141"/>
      <c r="AE678" s="141"/>
      <c r="AF678" s="145"/>
      <c r="AG678" s="419"/>
    </row>
    <row r="679" spans="1:33" s="139" customFormat="1" ht="12.75" customHeight="1" x14ac:dyDescent="0.2">
      <c r="A679" s="141"/>
      <c r="B679" s="141"/>
      <c r="C679" s="141"/>
      <c r="D679" s="142"/>
      <c r="E679" s="1014"/>
      <c r="F679" s="1014"/>
      <c r="G679" s="1027"/>
      <c r="H679" s="1027"/>
      <c r="I679" s="1174"/>
      <c r="J679" s="1174"/>
      <c r="K679" s="1174"/>
      <c r="L679" s="1172"/>
      <c r="M679" s="1172"/>
      <c r="N679" s="1175"/>
      <c r="O679" s="143"/>
      <c r="P679" s="1196"/>
      <c r="Q679" s="141"/>
      <c r="R679" s="141"/>
      <c r="S679" s="148"/>
      <c r="T679" s="419"/>
      <c r="U679" s="559"/>
      <c r="V679" s="141"/>
      <c r="W679" s="141"/>
      <c r="X679" s="141"/>
      <c r="Y679" s="144"/>
      <c r="Z679" s="141"/>
      <c r="AA679" s="141"/>
      <c r="AB679" s="141"/>
      <c r="AC679" s="141"/>
      <c r="AD679" s="141"/>
      <c r="AE679" s="141"/>
      <c r="AF679" s="145"/>
      <c r="AG679" s="419"/>
    </row>
    <row r="680" spans="1:33" s="139" customFormat="1" ht="12.75" customHeight="1" x14ac:dyDescent="0.2">
      <c r="A680" s="141"/>
      <c r="B680" s="141"/>
      <c r="C680" s="141"/>
      <c r="D680" s="142"/>
      <c r="E680" s="1014"/>
      <c r="F680" s="1014"/>
      <c r="G680" s="1027"/>
      <c r="H680" s="1027"/>
      <c r="I680" s="1174"/>
      <c r="J680" s="1174"/>
      <c r="K680" s="1174"/>
      <c r="L680" s="1172"/>
      <c r="M680" s="1172"/>
      <c r="N680" s="1175"/>
      <c r="O680" s="143"/>
      <c r="P680" s="1196"/>
      <c r="Q680" s="141"/>
      <c r="R680" s="141"/>
      <c r="S680" s="148"/>
      <c r="T680" s="419"/>
      <c r="U680" s="559"/>
      <c r="V680" s="141"/>
      <c r="W680" s="141"/>
      <c r="X680" s="141"/>
      <c r="Y680" s="144"/>
      <c r="Z680" s="141"/>
      <c r="AA680" s="141"/>
      <c r="AB680" s="141"/>
      <c r="AC680" s="141"/>
      <c r="AD680" s="141"/>
      <c r="AE680" s="141"/>
      <c r="AF680" s="145"/>
      <c r="AG680" s="419"/>
    </row>
    <row r="681" spans="1:33" s="139" customFormat="1" ht="12.75" customHeight="1" x14ac:dyDescent="0.2">
      <c r="A681" s="141"/>
      <c r="B681" s="141"/>
      <c r="C681" s="141"/>
      <c r="D681" s="142"/>
      <c r="E681" s="1014"/>
      <c r="F681" s="1014"/>
      <c r="G681" s="1027"/>
      <c r="H681" s="1027"/>
      <c r="I681" s="1174"/>
      <c r="J681" s="1174"/>
      <c r="K681" s="1174"/>
      <c r="L681" s="1172"/>
      <c r="M681" s="1172"/>
      <c r="N681" s="1175"/>
      <c r="O681" s="143"/>
      <c r="P681" s="1196"/>
      <c r="Q681" s="141"/>
      <c r="R681" s="141"/>
      <c r="S681" s="148"/>
      <c r="T681" s="419"/>
      <c r="U681" s="559"/>
      <c r="V681" s="141"/>
      <c r="W681" s="141"/>
      <c r="X681" s="141"/>
      <c r="Y681" s="144"/>
      <c r="Z681" s="141"/>
      <c r="AA681" s="141"/>
      <c r="AB681" s="141"/>
      <c r="AC681" s="141"/>
      <c r="AD681" s="141"/>
      <c r="AE681" s="141"/>
      <c r="AF681" s="145"/>
      <c r="AG681" s="419"/>
    </row>
    <row r="682" spans="1:33" s="139" customFormat="1" ht="12.75" customHeight="1" x14ac:dyDescent="0.2">
      <c r="A682" s="141"/>
      <c r="B682" s="141"/>
      <c r="C682" s="141"/>
      <c r="D682" s="142"/>
      <c r="E682" s="1014"/>
      <c r="F682" s="1014"/>
      <c r="G682" s="1027"/>
      <c r="H682" s="1027"/>
      <c r="I682" s="1174"/>
      <c r="J682" s="1174"/>
      <c r="K682" s="1174"/>
      <c r="L682" s="1172"/>
      <c r="M682" s="1172"/>
      <c r="N682" s="1175"/>
      <c r="O682" s="143"/>
      <c r="P682" s="1196"/>
      <c r="Q682" s="141"/>
      <c r="R682" s="141"/>
      <c r="S682" s="148"/>
      <c r="T682" s="419"/>
      <c r="U682" s="559"/>
      <c r="V682" s="141"/>
      <c r="W682" s="141"/>
      <c r="X682" s="141"/>
      <c r="Y682" s="144"/>
      <c r="Z682" s="141"/>
      <c r="AA682" s="141"/>
      <c r="AB682" s="141"/>
      <c r="AC682" s="141"/>
      <c r="AD682" s="141"/>
      <c r="AE682" s="141"/>
      <c r="AF682" s="145"/>
      <c r="AG682" s="419"/>
    </row>
    <row r="683" spans="1:33" s="139" customFormat="1" ht="12.75" customHeight="1" x14ac:dyDescent="0.2">
      <c r="A683" s="141"/>
      <c r="B683" s="141"/>
      <c r="C683" s="141"/>
      <c r="D683" s="142"/>
      <c r="E683" s="1014"/>
      <c r="F683" s="1014"/>
      <c r="G683" s="1027"/>
      <c r="H683" s="1027"/>
      <c r="I683" s="1174"/>
      <c r="J683" s="1174"/>
      <c r="K683" s="1174"/>
      <c r="L683" s="1172"/>
      <c r="M683" s="1172"/>
      <c r="N683" s="1175"/>
      <c r="O683" s="143"/>
      <c r="P683" s="1196"/>
      <c r="Q683" s="141"/>
      <c r="R683" s="141"/>
      <c r="S683" s="148"/>
      <c r="T683" s="419"/>
      <c r="U683" s="559"/>
      <c r="V683" s="141"/>
      <c r="W683" s="141"/>
      <c r="X683" s="141"/>
      <c r="Y683" s="144"/>
      <c r="Z683" s="141"/>
      <c r="AA683" s="141"/>
      <c r="AB683" s="141"/>
      <c r="AC683" s="141"/>
      <c r="AD683" s="141"/>
      <c r="AE683" s="141"/>
      <c r="AF683" s="145"/>
      <c r="AG683" s="419"/>
    </row>
    <row r="684" spans="1:33" s="139" customFormat="1" ht="12.75" customHeight="1" x14ac:dyDescent="0.2">
      <c r="A684" s="141"/>
      <c r="B684" s="141"/>
      <c r="C684" s="141"/>
      <c r="D684" s="142"/>
      <c r="E684" s="1014"/>
      <c r="F684" s="1014"/>
      <c r="G684" s="1027"/>
      <c r="H684" s="1027"/>
      <c r="I684" s="1174"/>
      <c r="J684" s="1174"/>
      <c r="K684" s="1174"/>
      <c r="L684" s="1172"/>
      <c r="M684" s="1172"/>
      <c r="N684" s="1175"/>
      <c r="O684" s="143"/>
      <c r="P684" s="1196"/>
      <c r="Q684" s="141"/>
      <c r="R684" s="141"/>
      <c r="S684" s="148"/>
      <c r="T684" s="419"/>
      <c r="U684" s="559"/>
      <c r="V684" s="141"/>
      <c r="W684" s="141"/>
      <c r="X684" s="141"/>
      <c r="Y684" s="144"/>
      <c r="Z684" s="141"/>
      <c r="AA684" s="141"/>
      <c r="AB684" s="141"/>
      <c r="AC684" s="141"/>
      <c r="AD684" s="141"/>
      <c r="AE684" s="141"/>
      <c r="AF684" s="145"/>
      <c r="AG684" s="419"/>
    </row>
    <row r="685" spans="1:33" s="139" customFormat="1" ht="12.75" customHeight="1" x14ac:dyDescent="0.2">
      <c r="A685" s="141"/>
      <c r="B685" s="141"/>
      <c r="C685" s="141"/>
      <c r="D685" s="142"/>
      <c r="E685" s="1014"/>
      <c r="F685" s="1014"/>
      <c r="G685" s="1027"/>
      <c r="H685" s="1027"/>
      <c r="I685" s="1174"/>
      <c r="J685" s="1174"/>
      <c r="K685" s="1174"/>
      <c r="L685" s="1172"/>
      <c r="M685" s="1172"/>
      <c r="N685" s="1175"/>
      <c r="O685" s="143"/>
      <c r="P685" s="1196"/>
      <c r="Q685" s="141"/>
      <c r="R685" s="141"/>
      <c r="S685" s="148"/>
      <c r="T685" s="419"/>
      <c r="U685" s="559"/>
      <c r="V685" s="141"/>
      <c r="W685" s="141"/>
      <c r="X685" s="141"/>
      <c r="Y685" s="144"/>
      <c r="Z685" s="141"/>
      <c r="AA685" s="141"/>
      <c r="AB685" s="141"/>
      <c r="AC685" s="141"/>
      <c r="AD685" s="141"/>
      <c r="AE685" s="141"/>
      <c r="AF685" s="145"/>
      <c r="AG685" s="419"/>
    </row>
    <row r="686" spans="1:33" s="139" customFormat="1" ht="12.75" customHeight="1" x14ac:dyDescent="0.2">
      <c r="A686" s="141"/>
      <c r="B686" s="141"/>
      <c r="C686" s="141"/>
      <c r="D686" s="142"/>
      <c r="E686" s="1014"/>
      <c r="F686" s="1014"/>
      <c r="G686" s="1027"/>
      <c r="H686" s="1027"/>
      <c r="I686" s="1174"/>
      <c r="J686" s="1174"/>
      <c r="K686" s="1174"/>
      <c r="L686" s="1172"/>
      <c r="M686" s="1172"/>
      <c r="N686" s="1175"/>
      <c r="O686" s="143"/>
      <c r="P686" s="1196"/>
      <c r="Q686" s="141"/>
      <c r="R686" s="141"/>
      <c r="S686" s="148"/>
      <c r="T686" s="419"/>
      <c r="U686" s="559"/>
      <c r="V686" s="141"/>
      <c r="W686" s="141"/>
      <c r="X686" s="141"/>
      <c r="Y686" s="144"/>
      <c r="Z686" s="141"/>
      <c r="AA686" s="141"/>
      <c r="AB686" s="141"/>
      <c r="AC686" s="141"/>
      <c r="AD686" s="141"/>
      <c r="AE686" s="141"/>
      <c r="AF686" s="145"/>
      <c r="AG686" s="419"/>
    </row>
    <row r="687" spans="1:33" s="139" customFormat="1" ht="12.75" customHeight="1" x14ac:dyDescent="0.2">
      <c r="A687" s="141"/>
      <c r="B687" s="141"/>
      <c r="C687" s="141"/>
      <c r="D687" s="142"/>
      <c r="E687" s="1014"/>
      <c r="F687" s="1014"/>
      <c r="G687" s="1027"/>
      <c r="H687" s="1027"/>
      <c r="I687" s="1174"/>
      <c r="J687" s="1174"/>
      <c r="K687" s="1174"/>
      <c r="L687" s="1172"/>
      <c r="M687" s="1172"/>
      <c r="N687" s="1175"/>
      <c r="O687" s="143"/>
      <c r="P687" s="1196"/>
      <c r="Q687" s="141"/>
      <c r="R687" s="141"/>
      <c r="S687" s="148"/>
      <c r="T687" s="419"/>
      <c r="U687" s="559"/>
      <c r="V687" s="141"/>
      <c r="W687" s="141"/>
      <c r="X687" s="141"/>
      <c r="Y687" s="144"/>
      <c r="Z687" s="141"/>
      <c r="AA687" s="141"/>
      <c r="AB687" s="141"/>
      <c r="AC687" s="141"/>
      <c r="AD687" s="141"/>
      <c r="AE687" s="141"/>
      <c r="AF687" s="145"/>
      <c r="AG687" s="419"/>
    </row>
    <row r="688" spans="1:33" s="139" customFormat="1" ht="12.75" customHeight="1" x14ac:dyDescent="0.2">
      <c r="A688" s="141"/>
      <c r="B688" s="141"/>
      <c r="C688" s="141"/>
      <c r="D688" s="142"/>
      <c r="E688" s="1014"/>
      <c r="F688" s="1014"/>
      <c r="G688" s="1027"/>
      <c r="H688" s="1027"/>
      <c r="I688" s="1174"/>
      <c r="J688" s="1174"/>
      <c r="K688" s="1174"/>
      <c r="L688" s="1172"/>
      <c r="M688" s="1172"/>
      <c r="N688" s="1175"/>
      <c r="O688" s="143"/>
      <c r="P688" s="1196"/>
      <c r="Q688" s="141"/>
      <c r="R688" s="141"/>
      <c r="S688" s="148"/>
      <c r="T688" s="419"/>
      <c r="U688" s="559"/>
      <c r="V688" s="141"/>
      <c r="W688" s="141"/>
      <c r="X688" s="141"/>
      <c r="Y688" s="144"/>
      <c r="Z688" s="141"/>
      <c r="AA688" s="141"/>
      <c r="AB688" s="141"/>
      <c r="AC688" s="141"/>
      <c r="AD688" s="141"/>
      <c r="AE688" s="141"/>
      <c r="AF688" s="145"/>
      <c r="AG688" s="419"/>
    </row>
    <row r="689" spans="1:33" s="139" customFormat="1" ht="12.75" customHeight="1" x14ac:dyDescent="0.2">
      <c r="A689" s="141"/>
      <c r="B689" s="141"/>
      <c r="C689" s="141"/>
      <c r="D689" s="142"/>
      <c r="E689" s="1014"/>
      <c r="F689" s="1014"/>
      <c r="G689" s="1027"/>
      <c r="H689" s="1027"/>
      <c r="I689" s="1174"/>
      <c r="J689" s="1174"/>
      <c r="K689" s="1174"/>
      <c r="L689" s="1172"/>
      <c r="M689" s="1172"/>
      <c r="N689" s="1175"/>
      <c r="O689" s="143"/>
      <c r="P689" s="1196"/>
      <c r="Q689" s="141"/>
      <c r="R689" s="141"/>
      <c r="S689" s="148"/>
      <c r="T689" s="419"/>
      <c r="U689" s="559"/>
      <c r="V689" s="141"/>
      <c r="W689" s="141"/>
      <c r="X689" s="141"/>
      <c r="Y689" s="144"/>
      <c r="Z689" s="141"/>
      <c r="AA689" s="141"/>
      <c r="AB689" s="141"/>
      <c r="AC689" s="141"/>
      <c r="AD689" s="141"/>
      <c r="AE689" s="141"/>
      <c r="AF689" s="145"/>
      <c r="AG689" s="419"/>
    </row>
    <row r="690" spans="1:33" s="139" customFormat="1" ht="12.75" customHeight="1" x14ac:dyDescent="0.2">
      <c r="A690" s="141"/>
      <c r="B690" s="141"/>
      <c r="C690" s="141"/>
      <c r="D690" s="142"/>
      <c r="E690" s="1014"/>
      <c r="F690" s="1014"/>
      <c r="G690" s="1027"/>
      <c r="H690" s="1027"/>
      <c r="I690" s="1174"/>
      <c r="J690" s="1174"/>
      <c r="K690" s="1174"/>
      <c r="L690" s="1172"/>
      <c r="M690" s="1172"/>
      <c r="N690" s="1175"/>
      <c r="O690" s="143"/>
      <c r="P690" s="1196"/>
      <c r="Q690" s="141"/>
      <c r="R690" s="141"/>
      <c r="S690" s="148"/>
      <c r="T690" s="419"/>
      <c r="U690" s="559"/>
      <c r="V690" s="141"/>
      <c r="W690" s="141"/>
      <c r="X690" s="141"/>
      <c r="Y690" s="144"/>
      <c r="Z690" s="141"/>
      <c r="AA690" s="141"/>
      <c r="AB690" s="141"/>
      <c r="AC690" s="141"/>
      <c r="AD690" s="141"/>
      <c r="AE690" s="141"/>
      <c r="AF690" s="145"/>
      <c r="AG690" s="419"/>
    </row>
    <row r="691" spans="1:33" s="139" customFormat="1" ht="12.75" customHeight="1" x14ac:dyDescent="0.2">
      <c r="A691" s="141"/>
      <c r="B691" s="141"/>
      <c r="C691" s="141"/>
      <c r="D691" s="142"/>
      <c r="E691" s="1014"/>
      <c r="F691" s="1014"/>
      <c r="G691" s="1027"/>
      <c r="H691" s="1027"/>
      <c r="I691" s="1174"/>
      <c r="J691" s="1174"/>
      <c r="K691" s="1174"/>
      <c r="L691" s="1172"/>
      <c r="M691" s="1172"/>
      <c r="N691" s="1175"/>
      <c r="O691" s="143"/>
      <c r="P691" s="1196"/>
      <c r="Q691" s="141"/>
      <c r="R691" s="141"/>
      <c r="S691" s="148"/>
      <c r="T691" s="419"/>
      <c r="U691" s="559"/>
      <c r="V691" s="141"/>
      <c r="W691" s="141"/>
      <c r="X691" s="141"/>
      <c r="Y691" s="144"/>
      <c r="Z691" s="141"/>
      <c r="AA691" s="141"/>
      <c r="AB691" s="141"/>
      <c r="AC691" s="141"/>
      <c r="AD691" s="141"/>
      <c r="AE691" s="141"/>
      <c r="AF691" s="145"/>
      <c r="AG691" s="419"/>
    </row>
    <row r="692" spans="1:33" s="139" customFormat="1" ht="12.75" customHeight="1" x14ac:dyDescent="0.2">
      <c r="A692" s="141"/>
      <c r="B692" s="141"/>
      <c r="C692" s="141"/>
      <c r="D692" s="142"/>
      <c r="E692" s="1014"/>
      <c r="F692" s="1014"/>
      <c r="G692" s="1027"/>
      <c r="H692" s="1027"/>
      <c r="I692" s="1174"/>
      <c r="J692" s="1174"/>
      <c r="K692" s="1174"/>
      <c r="L692" s="1172"/>
      <c r="M692" s="1172"/>
      <c r="N692" s="1175"/>
      <c r="O692" s="143"/>
      <c r="P692" s="1196"/>
      <c r="Q692" s="141"/>
      <c r="R692" s="141"/>
      <c r="S692" s="148"/>
      <c r="T692" s="419"/>
      <c r="U692" s="559"/>
      <c r="V692" s="141"/>
      <c r="W692" s="141"/>
      <c r="X692" s="141"/>
      <c r="Y692" s="144"/>
      <c r="Z692" s="141"/>
      <c r="AA692" s="141"/>
      <c r="AB692" s="141"/>
      <c r="AC692" s="141"/>
      <c r="AD692" s="141"/>
      <c r="AE692" s="141"/>
      <c r="AF692" s="145"/>
      <c r="AG692" s="419"/>
    </row>
    <row r="693" spans="1:33" s="139" customFormat="1" ht="12.75" customHeight="1" x14ac:dyDescent="0.2">
      <c r="A693" s="141"/>
      <c r="B693" s="141"/>
      <c r="C693" s="141"/>
      <c r="D693" s="142"/>
      <c r="E693" s="1014"/>
      <c r="F693" s="1014"/>
      <c r="G693" s="1027"/>
      <c r="H693" s="1027"/>
      <c r="I693" s="1174"/>
      <c r="J693" s="1174"/>
      <c r="K693" s="1174"/>
      <c r="L693" s="1172"/>
      <c r="M693" s="1172"/>
      <c r="N693" s="1175"/>
      <c r="O693" s="143"/>
      <c r="P693" s="1196"/>
      <c r="Q693" s="141"/>
      <c r="R693" s="141"/>
      <c r="S693" s="148"/>
      <c r="T693" s="419"/>
      <c r="U693" s="559"/>
      <c r="V693" s="141"/>
      <c r="W693" s="141"/>
      <c r="X693" s="141"/>
      <c r="Y693" s="144"/>
      <c r="Z693" s="141"/>
      <c r="AA693" s="141"/>
      <c r="AB693" s="141"/>
      <c r="AC693" s="141"/>
      <c r="AD693" s="141"/>
      <c r="AE693" s="141"/>
      <c r="AF693" s="145"/>
      <c r="AG693" s="419"/>
    </row>
    <row r="694" spans="1:33" s="139" customFormat="1" ht="12.75" customHeight="1" x14ac:dyDescent="0.2">
      <c r="A694" s="141"/>
      <c r="B694" s="141"/>
      <c r="C694" s="141"/>
      <c r="D694" s="142"/>
      <c r="E694" s="1014"/>
      <c r="F694" s="1014"/>
      <c r="G694" s="1027"/>
      <c r="H694" s="1027"/>
      <c r="I694" s="1174"/>
      <c r="J694" s="1174"/>
      <c r="K694" s="1174"/>
      <c r="L694" s="1172"/>
      <c r="M694" s="1172"/>
      <c r="N694" s="1175"/>
      <c r="O694" s="143"/>
      <c r="P694" s="1196"/>
      <c r="Q694" s="141"/>
      <c r="R694" s="141"/>
      <c r="S694" s="148"/>
      <c r="T694" s="419"/>
      <c r="U694" s="559"/>
      <c r="V694" s="141"/>
      <c r="W694" s="141"/>
      <c r="X694" s="141"/>
      <c r="Y694" s="144"/>
      <c r="Z694" s="141"/>
      <c r="AA694" s="141"/>
      <c r="AB694" s="141"/>
      <c r="AC694" s="141"/>
      <c r="AD694" s="141"/>
      <c r="AE694" s="141"/>
      <c r="AF694" s="145"/>
      <c r="AG694" s="419"/>
    </row>
    <row r="695" spans="1:33" s="139" customFormat="1" ht="12.75" customHeight="1" x14ac:dyDescent="0.2">
      <c r="A695" s="141"/>
      <c r="B695" s="141"/>
      <c r="C695" s="141"/>
      <c r="D695" s="142"/>
      <c r="E695" s="1014"/>
      <c r="F695" s="1014"/>
      <c r="G695" s="1027"/>
      <c r="H695" s="1027"/>
      <c r="I695" s="1174"/>
      <c r="J695" s="1174"/>
      <c r="K695" s="1174"/>
      <c r="L695" s="1172"/>
      <c r="M695" s="1172"/>
      <c r="N695" s="1175"/>
      <c r="O695" s="143"/>
      <c r="P695" s="1196"/>
      <c r="Q695" s="141"/>
      <c r="R695" s="141"/>
      <c r="S695" s="148"/>
      <c r="T695" s="419"/>
      <c r="U695" s="559"/>
      <c r="V695" s="141"/>
      <c r="W695" s="141"/>
      <c r="X695" s="141"/>
      <c r="Y695" s="144"/>
      <c r="Z695" s="141"/>
      <c r="AA695" s="141"/>
      <c r="AB695" s="141"/>
      <c r="AC695" s="141"/>
      <c r="AD695" s="141"/>
      <c r="AE695" s="141"/>
      <c r="AF695" s="145"/>
      <c r="AG695" s="419"/>
    </row>
    <row r="696" spans="1:33" s="139" customFormat="1" ht="12.75" customHeight="1" x14ac:dyDescent="0.2">
      <c r="A696" s="141"/>
      <c r="B696" s="141"/>
      <c r="C696" s="141"/>
      <c r="D696" s="142"/>
      <c r="E696" s="1014"/>
      <c r="F696" s="1014"/>
      <c r="G696" s="1027"/>
      <c r="H696" s="1027"/>
      <c r="I696" s="1174"/>
      <c r="J696" s="1174"/>
      <c r="K696" s="1174"/>
      <c r="L696" s="1172"/>
      <c r="M696" s="1172"/>
      <c r="N696" s="1175"/>
      <c r="O696" s="143"/>
      <c r="P696" s="1196"/>
      <c r="Q696" s="141"/>
      <c r="R696" s="141"/>
      <c r="S696" s="148"/>
      <c r="T696" s="419"/>
      <c r="U696" s="559"/>
      <c r="V696" s="141"/>
      <c r="W696" s="141"/>
      <c r="X696" s="141"/>
      <c r="Y696" s="144"/>
      <c r="Z696" s="141"/>
      <c r="AA696" s="141"/>
      <c r="AB696" s="141"/>
      <c r="AC696" s="141"/>
      <c r="AD696" s="141"/>
      <c r="AE696" s="141"/>
      <c r="AF696" s="145"/>
      <c r="AG696" s="419"/>
    </row>
    <row r="697" spans="1:33" s="139" customFormat="1" ht="12.75" customHeight="1" x14ac:dyDescent="0.2">
      <c r="A697" s="141"/>
      <c r="B697" s="141"/>
      <c r="C697" s="141"/>
      <c r="D697" s="142"/>
      <c r="E697" s="1014"/>
      <c r="F697" s="1014"/>
      <c r="G697" s="1027"/>
      <c r="H697" s="1027"/>
      <c r="I697" s="1174"/>
      <c r="J697" s="1174"/>
      <c r="K697" s="1174"/>
      <c r="L697" s="1172"/>
      <c r="M697" s="1172"/>
      <c r="N697" s="1175"/>
      <c r="O697" s="143"/>
      <c r="P697" s="1196"/>
      <c r="Q697" s="141"/>
      <c r="R697" s="141"/>
      <c r="S697" s="148"/>
      <c r="T697" s="419"/>
      <c r="U697" s="559"/>
      <c r="V697" s="141"/>
      <c r="W697" s="141"/>
      <c r="X697" s="141"/>
      <c r="Y697" s="144"/>
      <c r="Z697" s="141"/>
      <c r="AA697" s="141"/>
      <c r="AB697" s="141"/>
      <c r="AC697" s="141"/>
      <c r="AD697" s="141"/>
      <c r="AE697" s="141"/>
      <c r="AF697" s="145"/>
      <c r="AG697" s="419"/>
    </row>
    <row r="698" spans="1:33" s="139" customFormat="1" ht="12.75" customHeight="1" x14ac:dyDescent="0.2">
      <c r="A698" s="141"/>
      <c r="B698" s="141"/>
      <c r="C698" s="141"/>
      <c r="D698" s="142"/>
      <c r="E698" s="1014"/>
      <c r="F698" s="1014"/>
      <c r="G698" s="1027"/>
      <c r="H698" s="1027"/>
      <c r="I698" s="1174"/>
      <c r="J698" s="1174"/>
      <c r="K698" s="1174"/>
      <c r="L698" s="1172"/>
      <c r="M698" s="1172"/>
      <c r="N698" s="1175"/>
      <c r="O698" s="143"/>
      <c r="P698" s="1196"/>
      <c r="Q698" s="141"/>
      <c r="R698" s="141"/>
      <c r="S698" s="148"/>
      <c r="T698" s="419"/>
      <c r="U698" s="559"/>
      <c r="V698" s="141"/>
      <c r="W698" s="141"/>
      <c r="X698" s="141"/>
      <c r="Y698" s="144"/>
      <c r="Z698" s="141"/>
      <c r="AA698" s="141"/>
      <c r="AB698" s="141"/>
      <c r="AC698" s="141"/>
      <c r="AD698" s="141"/>
      <c r="AE698" s="141"/>
      <c r="AF698" s="145"/>
      <c r="AG698" s="419"/>
    </row>
    <row r="699" spans="1:33" s="139" customFormat="1" ht="12.75" customHeight="1" x14ac:dyDescent="0.2">
      <c r="A699" s="141"/>
      <c r="B699" s="141"/>
      <c r="C699" s="141"/>
      <c r="D699" s="142"/>
      <c r="E699" s="1014"/>
      <c r="F699" s="1014"/>
      <c r="G699" s="1027"/>
      <c r="H699" s="1027"/>
      <c r="I699" s="1174"/>
      <c r="J699" s="1174"/>
      <c r="K699" s="1174"/>
      <c r="L699" s="1172"/>
      <c r="M699" s="1172"/>
      <c r="N699" s="1175"/>
      <c r="O699" s="143"/>
      <c r="P699" s="1196"/>
      <c r="Q699" s="141"/>
      <c r="R699" s="141"/>
      <c r="S699" s="148"/>
      <c r="T699" s="419"/>
      <c r="U699" s="559"/>
      <c r="V699" s="141"/>
      <c r="W699" s="141"/>
      <c r="X699" s="141"/>
      <c r="Y699" s="144"/>
      <c r="Z699" s="141"/>
      <c r="AA699" s="141"/>
      <c r="AB699" s="141"/>
      <c r="AC699" s="141"/>
      <c r="AD699" s="141"/>
      <c r="AE699" s="141"/>
      <c r="AF699" s="145"/>
      <c r="AG699" s="419"/>
    </row>
    <row r="700" spans="1:33" s="139" customFormat="1" ht="12.75" customHeight="1" x14ac:dyDescent="0.2">
      <c r="A700" s="141"/>
      <c r="B700" s="141"/>
      <c r="C700" s="141"/>
      <c r="D700" s="142"/>
      <c r="E700" s="1014"/>
      <c r="F700" s="1014"/>
      <c r="G700" s="1027"/>
      <c r="H700" s="1027"/>
      <c r="I700" s="1174"/>
      <c r="J700" s="1174"/>
      <c r="K700" s="1174"/>
      <c r="L700" s="1172"/>
      <c r="M700" s="1172"/>
      <c r="N700" s="1175"/>
      <c r="O700" s="143"/>
      <c r="P700" s="1196"/>
      <c r="Q700" s="141"/>
      <c r="R700" s="141"/>
      <c r="S700" s="148"/>
      <c r="T700" s="419"/>
      <c r="U700" s="559"/>
      <c r="V700" s="141"/>
      <c r="W700" s="141"/>
      <c r="X700" s="141"/>
      <c r="Y700" s="144"/>
      <c r="Z700" s="141"/>
      <c r="AA700" s="141"/>
      <c r="AB700" s="141"/>
      <c r="AC700" s="141"/>
      <c r="AD700" s="141"/>
      <c r="AE700" s="141"/>
      <c r="AF700" s="145"/>
      <c r="AG700" s="419"/>
    </row>
    <row r="701" spans="1:33" s="139" customFormat="1" ht="12.75" customHeight="1" x14ac:dyDescent="0.2">
      <c r="A701" s="141"/>
      <c r="B701" s="141"/>
      <c r="C701" s="141"/>
      <c r="D701" s="142"/>
      <c r="E701" s="1014"/>
      <c r="F701" s="1014"/>
      <c r="G701" s="1027"/>
      <c r="H701" s="1027"/>
      <c r="I701" s="1174"/>
      <c r="J701" s="1174"/>
      <c r="K701" s="1174"/>
      <c r="L701" s="1172"/>
      <c r="M701" s="1172"/>
      <c r="N701" s="1175"/>
      <c r="O701" s="143"/>
      <c r="P701" s="1196"/>
      <c r="Q701" s="141"/>
      <c r="R701" s="141"/>
      <c r="S701" s="148"/>
      <c r="T701" s="419"/>
      <c r="U701" s="559"/>
      <c r="V701" s="141"/>
      <c r="W701" s="141"/>
      <c r="X701" s="141"/>
      <c r="Y701" s="144"/>
      <c r="Z701" s="141"/>
      <c r="AA701" s="141"/>
      <c r="AB701" s="141"/>
      <c r="AC701" s="141"/>
      <c r="AD701" s="141"/>
      <c r="AE701" s="141"/>
      <c r="AF701" s="145"/>
      <c r="AG701" s="419"/>
    </row>
    <row r="702" spans="1:33" s="139" customFormat="1" ht="12.75" customHeight="1" x14ac:dyDescent="0.2">
      <c r="A702" s="141"/>
      <c r="B702" s="141"/>
      <c r="C702" s="141"/>
      <c r="D702" s="142"/>
      <c r="E702" s="1014"/>
      <c r="F702" s="1014"/>
      <c r="G702" s="1027"/>
      <c r="H702" s="1027"/>
      <c r="I702" s="1174"/>
      <c r="J702" s="1174"/>
      <c r="K702" s="1174"/>
      <c r="L702" s="1172"/>
      <c r="M702" s="1172"/>
      <c r="N702" s="1175"/>
      <c r="O702" s="143"/>
      <c r="P702" s="1196"/>
      <c r="Q702" s="141"/>
      <c r="R702" s="141"/>
      <c r="S702" s="148"/>
      <c r="T702" s="419"/>
      <c r="U702" s="559"/>
      <c r="V702" s="141"/>
      <c r="W702" s="141"/>
      <c r="X702" s="141"/>
      <c r="Y702" s="144"/>
      <c r="Z702" s="141"/>
      <c r="AA702" s="141"/>
      <c r="AB702" s="141"/>
      <c r="AC702" s="141"/>
      <c r="AD702" s="141"/>
      <c r="AE702" s="141"/>
      <c r="AF702" s="145"/>
      <c r="AG702" s="419"/>
    </row>
    <row r="703" spans="1:33" s="139" customFormat="1" ht="12.75" customHeight="1" x14ac:dyDescent="0.2">
      <c r="A703" s="141"/>
      <c r="B703" s="141"/>
      <c r="C703" s="141"/>
      <c r="D703" s="142"/>
      <c r="E703" s="1014"/>
      <c r="F703" s="1014"/>
      <c r="G703" s="1027"/>
      <c r="H703" s="1027"/>
      <c r="I703" s="1174"/>
      <c r="J703" s="1174"/>
      <c r="K703" s="1174"/>
      <c r="L703" s="1172"/>
      <c r="M703" s="1172"/>
      <c r="N703" s="1175"/>
      <c r="O703" s="143"/>
      <c r="P703" s="1196"/>
      <c r="Q703" s="141"/>
      <c r="R703" s="141"/>
      <c r="S703" s="148"/>
      <c r="T703" s="419"/>
      <c r="U703" s="559"/>
      <c r="V703" s="141"/>
      <c r="W703" s="141"/>
      <c r="X703" s="141"/>
      <c r="Y703" s="144"/>
      <c r="Z703" s="141"/>
      <c r="AA703" s="141"/>
      <c r="AB703" s="141"/>
      <c r="AC703" s="141"/>
      <c r="AD703" s="141"/>
      <c r="AE703" s="141"/>
      <c r="AF703" s="145"/>
      <c r="AG703" s="419"/>
    </row>
    <row r="704" spans="1:33" s="139" customFormat="1" ht="12.75" customHeight="1" x14ac:dyDescent="0.2">
      <c r="A704" s="141"/>
      <c r="B704" s="141"/>
      <c r="C704" s="141"/>
      <c r="D704" s="142"/>
      <c r="E704" s="1014"/>
      <c r="F704" s="1014"/>
      <c r="G704" s="1027"/>
      <c r="H704" s="1027"/>
      <c r="I704" s="1174"/>
      <c r="J704" s="1174"/>
      <c r="K704" s="1174"/>
      <c r="L704" s="1172"/>
      <c r="M704" s="1172"/>
      <c r="N704" s="1175"/>
      <c r="O704" s="143"/>
      <c r="P704" s="1196"/>
      <c r="Q704" s="141"/>
      <c r="R704" s="141"/>
      <c r="S704" s="148"/>
      <c r="T704" s="419"/>
      <c r="U704" s="559"/>
      <c r="V704" s="141"/>
      <c r="W704" s="141"/>
      <c r="X704" s="141"/>
      <c r="Y704" s="144"/>
      <c r="Z704" s="141"/>
      <c r="AA704" s="141"/>
      <c r="AB704" s="141"/>
      <c r="AC704" s="141"/>
      <c r="AD704" s="141"/>
      <c r="AE704" s="141"/>
      <c r="AF704" s="145"/>
      <c r="AG704" s="419"/>
    </row>
    <row r="705" spans="1:33" s="139" customFormat="1" ht="12.75" customHeight="1" x14ac:dyDescent="0.2">
      <c r="A705" s="141"/>
      <c r="B705" s="141"/>
      <c r="C705" s="141"/>
      <c r="D705" s="142"/>
      <c r="E705" s="1014"/>
      <c r="F705" s="1014"/>
      <c r="G705" s="1027"/>
      <c r="H705" s="1027"/>
      <c r="I705" s="1174"/>
      <c r="J705" s="1174"/>
      <c r="K705" s="1174"/>
      <c r="L705" s="1172"/>
      <c r="M705" s="1172"/>
      <c r="N705" s="1175"/>
      <c r="O705" s="143"/>
      <c r="P705" s="1196"/>
      <c r="Q705" s="141"/>
      <c r="R705" s="141"/>
      <c r="S705" s="148"/>
      <c r="T705" s="419"/>
      <c r="U705" s="559"/>
      <c r="V705" s="141"/>
      <c r="W705" s="141"/>
      <c r="X705" s="141"/>
      <c r="Y705" s="144"/>
      <c r="Z705" s="141"/>
      <c r="AA705" s="141"/>
      <c r="AB705" s="141"/>
      <c r="AC705" s="141"/>
      <c r="AD705" s="141"/>
      <c r="AE705" s="141"/>
      <c r="AF705" s="145"/>
      <c r="AG705" s="419"/>
    </row>
    <row r="706" spans="1:33" s="139" customFormat="1" ht="12.75" customHeight="1" x14ac:dyDescent="0.2">
      <c r="A706" s="141"/>
      <c r="B706" s="141"/>
      <c r="C706" s="141"/>
      <c r="D706" s="142"/>
      <c r="E706" s="1014"/>
      <c r="F706" s="1014"/>
      <c r="G706" s="1027"/>
      <c r="H706" s="1027"/>
      <c r="I706" s="1174"/>
      <c r="J706" s="1174"/>
      <c r="K706" s="1174"/>
      <c r="L706" s="1172"/>
      <c r="M706" s="1172"/>
      <c r="N706" s="1175"/>
      <c r="O706" s="143"/>
      <c r="P706" s="1196"/>
      <c r="Q706" s="141"/>
      <c r="R706" s="141"/>
      <c r="S706" s="148"/>
      <c r="T706" s="419"/>
      <c r="U706" s="559"/>
      <c r="V706" s="141"/>
      <c r="W706" s="141"/>
      <c r="X706" s="141"/>
      <c r="Y706" s="144"/>
      <c r="Z706" s="141"/>
      <c r="AA706" s="141"/>
      <c r="AB706" s="141"/>
      <c r="AC706" s="141"/>
      <c r="AD706" s="141"/>
      <c r="AE706" s="141"/>
      <c r="AF706" s="145"/>
      <c r="AG706" s="419"/>
    </row>
    <row r="707" spans="1:33" s="139" customFormat="1" ht="12.75" customHeight="1" x14ac:dyDescent="0.2">
      <c r="A707" s="141"/>
      <c r="B707" s="141"/>
      <c r="C707" s="141"/>
      <c r="D707" s="142"/>
      <c r="E707" s="1014"/>
      <c r="F707" s="1014"/>
      <c r="G707" s="1027"/>
      <c r="H707" s="1027"/>
      <c r="I707" s="1174"/>
      <c r="J707" s="1174"/>
      <c r="K707" s="1174"/>
      <c r="L707" s="1172"/>
      <c r="M707" s="1172"/>
      <c r="N707" s="1175"/>
      <c r="O707" s="143"/>
      <c r="P707" s="1196"/>
      <c r="Q707" s="141"/>
      <c r="R707" s="141"/>
      <c r="S707" s="148"/>
      <c r="T707" s="419"/>
      <c r="U707" s="559"/>
      <c r="V707" s="141"/>
      <c r="W707" s="141"/>
      <c r="X707" s="141"/>
      <c r="Y707" s="144"/>
      <c r="Z707" s="141"/>
      <c r="AA707" s="141"/>
      <c r="AB707" s="141"/>
      <c r="AC707" s="141"/>
      <c r="AD707" s="141"/>
      <c r="AE707" s="141"/>
      <c r="AF707" s="145"/>
      <c r="AG707" s="419"/>
    </row>
    <row r="708" spans="1:33" s="139" customFormat="1" ht="12.75" customHeight="1" x14ac:dyDescent="0.2">
      <c r="A708" s="141"/>
      <c r="B708" s="141"/>
      <c r="C708" s="141"/>
      <c r="D708" s="142"/>
      <c r="E708" s="1014"/>
      <c r="F708" s="1014"/>
      <c r="G708" s="1027"/>
      <c r="H708" s="1027"/>
      <c r="I708" s="1174"/>
      <c r="J708" s="1174"/>
      <c r="K708" s="1174"/>
      <c r="L708" s="1172"/>
      <c r="M708" s="1172"/>
      <c r="N708" s="1175"/>
      <c r="O708" s="143"/>
      <c r="P708" s="1196"/>
      <c r="Q708" s="141"/>
      <c r="R708" s="141"/>
      <c r="S708" s="148"/>
      <c r="T708" s="419"/>
      <c r="U708" s="559"/>
      <c r="V708" s="141"/>
      <c r="W708" s="141"/>
      <c r="X708" s="141"/>
      <c r="Y708" s="144"/>
      <c r="Z708" s="141"/>
      <c r="AA708" s="141"/>
      <c r="AB708" s="141"/>
      <c r="AC708" s="141"/>
      <c r="AD708" s="141"/>
      <c r="AE708" s="141"/>
      <c r="AF708" s="145"/>
      <c r="AG708" s="419"/>
    </row>
    <row r="709" spans="1:33" s="139" customFormat="1" ht="12.75" customHeight="1" x14ac:dyDescent="0.2">
      <c r="A709" s="141"/>
      <c r="B709" s="141"/>
      <c r="C709" s="141"/>
      <c r="D709" s="142"/>
      <c r="E709" s="1014"/>
      <c r="F709" s="1014"/>
      <c r="G709" s="1027"/>
      <c r="H709" s="1027"/>
      <c r="I709" s="1174"/>
      <c r="J709" s="1174"/>
      <c r="K709" s="1174"/>
      <c r="L709" s="1172"/>
      <c r="M709" s="1172"/>
      <c r="N709" s="1175"/>
      <c r="O709" s="143"/>
      <c r="P709" s="1196"/>
      <c r="Q709" s="141"/>
      <c r="R709" s="141"/>
      <c r="S709" s="148"/>
      <c r="T709" s="419"/>
      <c r="U709" s="559"/>
      <c r="V709" s="141"/>
      <c r="W709" s="141"/>
      <c r="X709" s="141"/>
      <c r="Y709" s="144"/>
      <c r="Z709" s="141"/>
      <c r="AA709" s="141"/>
      <c r="AB709" s="141"/>
      <c r="AC709" s="141"/>
      <c r="AD709" s="141"/>
      <c r="AE709" s="141"/>
      <c r="AF709" s="145"/>
      <c r="AG709" s="419"/>
    </row>
    <row r="710" spans="1:33" s="139" customFormat="1" ht="12.75" customHeight="1" x14ac:dyDescent="0.2">
      <c r="A710" s="141"/>
      <c r="B710" s="141"/>
      <c r="C710" s="141"/>
      <c r="D710" s="142"/>
      <c r="E710" s="1014"/>
      <c r="F710" s="1014"/>
      <c r="G710" s="1027"/>
      <c r="H710" s="1027"/>
      <c r="I710" s="1174"/>
      <c r="J710" s="1174"/>
      <c r="K710" s="1174"/>
      <c r="L710" s="1172"/>
      <c r="M710" s="1172"/>
      <c r="N710" s="1175"/>
      <c r="O710" s="143"/>
      <c r="P710" s="1196"/>
      <c r="Q710" s="141"/>
      <c r="R710" s="141"/>
      <c r="S710" s="148"/>
      <c r="T710" s="419"/>
      <c r="U710" s="559"/>
      <c r="V710" s="141"/>
      <c r="W710" s="141"/>
      <c r="X710" s="141"/>
      <c r="Y710" s="144"/>
      <c r="Z710" s="141"/>
      <c r="AA710" s="141"/>
      <c r="AB710" s="141"/>
      <c r="AC710" s="141"/>
      <c r="AD710" s="141"/>
      <c r="AE710" s="141"/>
      <c r="AF710" s="145"/>
      <c r="AG710" s="419"/>
    </row>
    <row r="711" spans="1:33" s="139" customFormat="1" ht="12.75" customHeight="1" x14ac:dyDescent="0.2">
      <c r="A711" s="141"/>
      <c r="B711" s="141"/>
      <c r="C711" s="141"/>
      <c r="D711" s="142"/>
      <c r="E711" s="1014"/>
      <c r="F711" s="1014"/>
      <c r="G711" s="1027"/>
      <c r="H711" s="1027"/>
      <c r="I711" s="1174"/>
      <c r="J711" s="1174"/>
      <c r="K711" s="1174"/>
      <c r="L711" s="1172"/>
      <c r="M711" s="1172"/>
      <c r="N711" s="1175"/>
      <c r="O711" s="143"/>
      <c r="P711" s="1196"/>
      <c r="Q711" s="141"/>
      <c r="R711" s="141"/>
      <c r="S711" s="148"/>
      <c r="T711" s="419"/>
      <c r="U711" s="559"/>
      <c r="V711" s="141"/>
      <c r="W711" s="141"/>
      <c r="X711" s="141"/>
      <c r="Y711" s="144"/>
      <c r="Z711" s="141"/>
      <c r="AA711" s="141"/>
      <c r="AB711" s="141"/>
      <c r="AC711" s="141"/>
      <c r="AD711" s="141"/>
      <c r="AE711" s="141"/>
      <c r="AF711" s="145"/>
      <c r="AG711" s="419"/>
    </row>
    <row r="712" spans="1:33" s="139" customFormat="1" ht="12.75" customHeight="1" x14ac:dyDescent="0.2">
      <c r="A712" s="141"/>
      <c r="B712" s="141"/>
      <c r="C712" s="141"/>
      <c r="D712" s="142"/>
      <c r="E712" s="1014"/>
      <c r="F712" s="1014"/>
      <c r="G712" s="1027"/>
      <c r="H712" s="1027"/>
      <c r="I712" s="1174"/>
      <c r="J712" s="1174"/>
      <c r="K712" s="1174"/>
      <c r="L712" s="1172"/>
      <c r="M712" s="1172"/>
      <c r="N712" s="1175"/>
      <c r="O712" s="143"/>
      <c r="P712" s="1196"/>
      <c r="Q712" s="141"/>
      <c r="R712" s="141"/>
      <c r="S712" s="148"/>
      <c r="T712" s="419"/>
      <c r="U712" s="559"/>
      <c r="V712" s="141"/>
      <c r="W712" s="141"/>
      <c r="X712" s="141"/>
      <c r="Y712" s="144"/>
      <c r="Z712" s="141"/>
      <c r="AA712" s="141"/>
      <c r="AB712" s="141"/>
      <c r="AC712" s="141"/>
      <c r="AD712" s="141"/>
      <c r="AE712" s="141"/>
      <c r="AF712" s="145"/>
      <c r="AG712" s="419"/>
    </row>
    <row r="713" spans="1:33" s="139" customFormat="1" ht="12.75" customHeight="1" x14ac:dyDescent="0.2">
      <c r="A713" s="141"/>
      <c r="B713" s="141"/>
      <c r="C713" s="141"/>
      <c r="D713" s="142"/>
      <c r="E713" s="1014"/>
      <c r="F713" s="1014"/>
      <c r="G713" s="1027"/>
      <c r="H713" s="1027"/>
      <c r="I713" s="1174"/>
      <c r="J713" s="1174"/>
      <c r="K713" s="1174"/>
      <c r="L713" s="1172"/>
      <c r="M713" s="1172"/>
      <c r="N713" s="1175"/>
      <c r="O713" s="143"/>
      <c r="P713" s="1196"/>
      <c r="Q713" s="141"/>
      <c r="R713" s="141"/>
      <c r="S713" s="148"/>
      <c r="T713" s="419"/>
      <c r="U713" s="559"/>
      <c r="V713" s="141"/>
      <c r="W713" s="141"/>
      <c r="X713" s="141"/>
      <c r="Y713" s="144"/>
      <c r="Z713" s="141"/>
      <c r="AA713" s="141"/>
      <c r="AB713" s="141"/>
      <c r="AC713" s="141"/>
      <c r="AD713" s="141"/>
      <c r="AE713" s="141"/>
      <c r="AF713" s="145"/>
      <c r="AG713" s="419"/>
    </row>
    <row r="714" spans="1:33" s="139" customFormat="1" ht="12.75" customHeight="1" x14ac:dyDescent="0.2">
      <c r="A714" s="141"/>
      <c r="B714" s="141"/>
      <c r="C714" s="141"/>
      <c r="D714" s="142"/>
      <c r="E714" s="1014"/>
      <c r="F714" s="1014"/>
      <c r="G714" s="1027"/>
      <c r="H714" s="1027"/>
      <c r="I714" s="1174"/>
      <c r="J714" s="1174"/>
      <c r="K714" s="1174"/>
      <c r="L714" s="1172"/>
      <c r="M714" s="1172"/>
      <c r="N714" s="1175"/>
      <c r="O714" s="143"/>
      <c r="P714" s="1196"/>
      <c r="Q714" s="141"/>
      <c r="R714" s="141"/>
      <c r="S714" s="148"/>
      <c r="T714" s="419"/>
      <c r="U714" s="559"/>
      <c r="V714" s="141"/>
      <c r="W714" s="141"/>
      <c r="X714" s="141"/>
      <c r="Y714" s="144"/>
      <c r="Z714" s="141"/>
      <c r="AA714" s="141"/>
      <c r="AB714" s="141"/>
      <c r="AC714" s="141"/>
      <c r="AD714" s="141"/>
      <c r="AE714" s="141"/>
      <c r="AF714" s="145"/>
      <c r="AG714" s="419"/>
    </row>
    <row r="715" spans="1:33" s="139" customFormat="1" ht="12.75" customHeight="1" x14ac:dyDescent="0.2">
      <c r="A715" s="141"/>
      <c r="B715" s="141"/>
      <c r="C715" s="141"/>
      <c r="D715" s="142"/>
      <c r="E715" s="1014"/>
      <c r="F715" s="1014"/>
      <c r="G715" s="1027"/>
      <c r="H715" s="1027"/>
      <c r="I715" s="1174"/>
      <c r="J715" s="1174"/>
      <c r="K715" s="1174"/>
      <c r="L715" s="1172"/>
      <c r="M715" s="1172"/>
      <c r="N715" s="1175"/>
      <c r="O715" s="143"/>
      <c r="P715" s="1196"/>
      <c r="Q715" s="141"/>
      <c r="R715" s="141"/>
      <c r="S715" s="148"/>
      <c r="T715" s="419"/>
      <c r="U715" s="559"/>
      <c r="V715" s="141"/>
      <c r="W715" s="141"/>
      <c r="X715" s="141"/>
      <c r="Y715" s="144"/>
      <c r="Z715" s="141"/>
      <c r="AA715" s="141"/>
      <c r="AB715" s="141"/>
      <c r="AC715" s="141"/>
      <c r="AD715" s="141"/>
      <c r="AE715" s="141"/>
      <c r="AF715" s="145"/>
      <c r="AG715" s="419"/>
    </row>
    <row r="716" spans="1:33" s="139" customFormat="1" ht="12.75" customHeight="1" x14ac:dyDescent="0.2">
      <c r="A716" s="141"/>
      <c r="B716" s="141"/>
      <c r="C716" s="141"/>
      <c r="D716" s="142"/>
      <c r="E716" s="1014"/>
      <c r="F716" s="1014"/>
      <c r="G716" s="1027"/>
      <c r="H716" s="1027"/>
      <c r="I716" s="1174"/>
      <c r="J716" s="1174"/>
      <c r="K716" s="1174"/>
      <c r="L716" s="1172"/>
      <c r="M716" s="1172"/>
      <c r="N716" s="1175"/>
      <c r="O716" s="143"/>
      <c r="P716" s="1196"/>
      <c r="Q716" s="141"/>
      <c r="R716" s="141"/>
      <c r="S716" s="148"/>
      <c r="T716" s="419"/>
      <c r="U716" s="559"/>
      <c r="V716" s="141"/>
      <c r="W716" s="141"/>
      <c r="X716" s="141"/>
      <c r="Y716" s="144"/>
      <c r="Z716" s="141"/>
      <c r="AA716" s="141"/>
      <c r="AB716" s="141"/>
      <c r="AC716" s="141"/>
      <c r="AD716" s="141"/>
      <c r="AE716" s="141"/>
      <c r="AF716" s="145"/>
      <c r="AG716" s="419"/>
    </row>
    <row r="717" spans="1:33" s="139" customFormat="1" ht="12.75" customHeight="1" x14ac:dyDescent="0.2">
      <c r="A717" s="141"/>
      <c r="B717" s="141"/>
      <c r="C717" s="141"/>
      <c r="D717" s="142"/>
      <c r="E717" s="1014"/>
      <c r="F717" s="1014"/>
      <c r="G717" s="1027"/>
      <c r="H717" s="1027"/>
      <c r="I717" s="1174"/>
      <c r="J717" s="1174"/>
      <c r="K717" s="1174"/>
      <c r="L717" s="1172"/>
      <c r="M717" s="1172"/>
      <c r="N717" s="1175"/>
      <c r="O717" s="143"/>
      <c r="P717" s="1196"/>
      <c r="Q717" s="141"/>
      <c r="R717" s="141"/>
      <c r="S717" s="148"/>
      <c r="T717" s="419"/>
      <c r="U717" s="559"/>
      <c r="V717" s="141"/>
      <c r="W717" s="141"/>
      <c r="X717" s="141"/>
      <c r="Y717" s="144"/>
      <c r="Z717" s="141"/>
      <c r="AA717" s="141"/>
      <c r="AB717" s="141"/>
      <c r="AC717" s="141"/>
      <c r="AD717" s="141"/>
      <c r="AE717" s="141"/>
      <c r="AF717" s="145"/>
      <c r="AG717" s="419"/>
    </row>
    <row r="718" spans="1:33" s="139" customFormat="1" ht="12.75" customHeight="1" x14ac:dyDescent="0.2">
      <c r="A718" s="141"/>
      <c r="B718" s="141"/>
      <c r="C718" s="141"/>
      <c r="D718" s="142"/>
      <c r="E718" s="1014"/>
      <c r="F718" s="1014"/>
      <c r="G718" s="1027"/>
      <c r="H718" s="1027"/>
      <c r="I718" s="1174"/>
      <c r="J718" s="1174"/>
      <c r="K718" s="1174"/>
      <c r="L718" s="1172"/>
      <c r="M718" s="1172"/>
      <c r="N718" s="1175"/>
      <c r="O718" s="143"/>
      <c r="P718" s="1196"/>
      <c r="Q718" s="141"/>
      <c r="R718" s="141"/>
      <c r="S718" s="148"/>
      <c r="T718" s="419"/>
      <c r="U718" s="559"/>
      <c r="V718" s="141"/>
      <c r="W718" s="141"/>
      <c r="X718" s="141"/>
      <c r="Y718" s="144"/>
      <c r="Z718" s="141"/>
      <c r="AA718" s="141"/>
      <c r="AB718" s="141"/>
      <c r="AC718" s="141"/>
      <c r="AD718" s="141"/>
      <c r="AE718" s="141"/>
      <c r="AF718" s="145"/>
      <c r="AG718" s="419"/>
    </row>
    <row r="719" spans="1:33" s="139" customFormat="1" ht="12.75" customHeight="1" x14ac:dyDescent="0.2">
      <c r="A719" s="141"/>
      <c r="B719" s="141"/>
      <c r="C719" s="141"/>
      <c r="D719" s="142"/>
      <c r="E719" s="1014"/>
      <c r="F719" s="1014"/>
      <c r="G719" s="1027"/>
      <c r="H719" s="1027"/>
      <c r="I719" s="1174"/>
      <c r="J719" s="1174"/>
      <c r="K719" s="1174"/>
      <c r="L719" s="1172"/>
      <c r="M719" s="1172"/>
      <c r="N719" s="1175"/>
      <c r="O719" s="143"/>
      <c r="P719" s="1196"/>
      <c r="Q719" s="141"/>
      <c r="R719" s="141"/>
      <c r="S719" s="148"/>
      <c r="T719" s="419"/>
      <c r="U719" s="559"/>
      <c r="V719" s="141"/>
      <c r="W719" s="141"/>
      <c r="X719" s="141"/>
      <c r="Y719" s="144"/>
      <c r="Z719" s="141"/>
      <c r="AA719" s="141"/>
      <c r="AB719" s="141"/>
      <c r="AC719" s="141"/>
      <c r="AD719" s="141"/>
      <c r="AE719" s="141"/>
      <c r="AF719" s="145"/>
      <c r="AG719" s="419"/>
    </row>
    <row r="720" spans="1:33" s="139" customFormat="1" ht="12.75" customHeight="1" x14ac:dyDescent="0.2">
      <c r="A720" s="141"/>
      <c r="B720" s="141"/>
      <c r="C720" s="141"/>
      <c r="D720" s="142"/>
      <c r="E720" s="1014"/>
      <c r="F720" s="1014"/>
      <c r="G720" s="1027"/>
      <c r="H720" s="1027"/>
      <c r="I720" s="1174"/>
      <c r="J720" s="1174"/>
      <c r="K720" s="1174"/>
      <c r="L720" s="1172"/>
      <c r="M720" s="1172"/>
      <c r="N720" s="1175"/>
      <c r="O720" s="143"/>
      <c r="P720" s="1196"/>
      <c r="Q720" s="141"/>
      <c r="R720" s="141"/>
      <c r="S720" s="148"/>
      <c r="T720" s="419"/>
      <c r="U720" s="559"/>
      <c r="V720" s="141"/>
      <c r="W720" s="141"/>
      <c r="X720" s="141"/>
      <c r="Y720" s="144"/>
      <c r="Z720" s="141"/>
      <c r="AA720" s="141"/>
      <c r="AB720" s="141"/>
      <c r="AC720" s="141"/>
      <c r="AD720" s="141"/>
      <c r="AE720" s="141"/>
      <c r="AF720" s="145"/>
      <c r="AG720" s="419"/>
    </row>
    <row r="721" spans="1:33" s="139" customFormat="1" ht="12.75" customHeight="1" x14ac:dyDescent="0.2">
      <c r="A721" s="141"/>
      <c r="B721" s="141"/>
      <c r="C721" s="141"/>
      <c r="D721" s="142"/>
      <c r="E721" s="1014"/>
      <c r="F721" s="1014"/>
      <c r="G721" s="1027"/>
      <c r="H721" s="1027"/>
      <c r="I721" s="1174"/>
      <c r="J721" s="1174"/>
      <c r="K721" s="1174"/>
      <c r="L721" s="1172"/>
      <c r="M721" s="1172"/>
      <c r="N721" s="1175"/>
      <c r="O721" s="143"/>
      <c r="P721" s="1196"/>
      <c r="Q721" s="141"/>
      <c r="R721" s="141"/>
      <c r="S721" s="148"/>
      <c r="T721" s="419"/>
      <c r="U721" s="559"/>
      <c r="V721" s="141"/>
      <c r="W721" s="141"/>
      <c r="X721" s="141"/>
      <c r="Y721" s="144"/>
      <c r="Z721" s="141"/>
      <c r="AA721" s="141"/>
      <c r="AB721" s="141"/>
      <c r="AC721" s="141"/>
      <c r="AD721" s="141"/>
      <c r="AE721" s="141"/>
      <c r="AF721" s="145"/>
      <c r="AG721" s="419"/>
    </row>
    <row r="722" spans="1:33" s="139" customFormat="1" ht="12.75" customHeight="1" x14ac:dyDescent="0.2">
      <c r="A722" s="141"/>
      <c r="B722" s="141"/>
      <c r="C722" s="141"/>
      <c r="D722" s="142"/>
      <c r="E722" s="1014"/>
      <c r="F722" s="1014"/>
      <c r="G722" s="1027"/>
      <c r="H722" s="1027"/>
      <c r="I722" s="1174"/>
      <c r="J722" s="1174"/>
      <c r="K722" s="1174"/>
      <c r="L722" s="1172"/>
      <c r="M722" s="1172"/>
      <c r="N722" s="1175"/>
      <c r="O722" s="143"/>
      <c r="P722" s="1196"/>
      <c r="Q722" s="141"/>
      <c r="R722" s="141"/>
      <c r="S722" s="148"/>
      <c r="T722" s="419"/>
      <c r="U722" s="559"/>
      <c r="V722" s="141"/>
      <c r="W722" s="141"/>
      <c r="X722" s="141"/>
      <c r="Y722" s="144"/>
      <c r="Z722" s="141"/>
      <c r="AA722" s="141"/>
      <c r="AB722" s="141"/>
      <c r="AC722" s="141"/>
      <c r="AD722" s="141"/>
      <c r="AE722" s="141"/>
      <c r="AF722" s="145"/>
      <c r="AG722" s="419"/>
    </row>
    <row r="723" spans="1:33" s="139" customFormat="1" ht="12.75" customHeight="1" x14ac:dyDescent="0.2">
      <c r="A723" s="141"/>
      <c r="B723" s="141"/>
      <c r="C723" s="141"/>
      <c r="D723" s="142"/>
      <c r="E723" s="1014"/>
      <c r="F723" s="1014"/>
      <c r="G723" s="1027"/>
      <c r="H723" s="1027"/>
      <c r="I723" s="1174"/>
      <c r="J723" s="1174"/>
      <c r="K723" s="1174"/>
      <c r="L723" s="1172"/>
      <c r="M723" s="1172"/>
      <c r="N723" s="1175"/>
      <c r="O723" s="143"/>
      <c r="P723" s="1196"/>
      <c r="Q723" s="141"/>
      <c r="R723" s="141"/>
      <c r="S723" s="148"/>
      <c r="T723" s="419"/>
      <c r="U723" s="559"/>
      <c r="V723" s="141"/>
      <c r="W723" s="141"/>
      <c r="X723" s="141"/>
      <c r="Y723" s="144"/>
      <c r="Z723" s="141"/>
      <c r="AA723" s="141"/>
      <c r="AB723" s="141"/>
      <c r="AC723" s="141"/>
      <c r="AD723" s="141"/>
      <c r="AE723" s="141"/>
      <c r="AF723" s="145"/>
      <c r="AG723" s="419"/>
    </row>
    <row r="724" spans="1:33" s="139" customFormat="1" ht="12.75" customHeight="1" x14ac:dyDescent="0.2">
      <c r="A724" s="141"/>
      <c r="B724" s="141"/>
      <c r="C724" s="141"/>
      <c r="D724" s="142"/>
      <c r="E724" s="1014"/>
      <c r="F724" s="1014"/>
      <c r="G724" s="1027"/>
      <c r="H724" s="1027"/>
      <c r="I724" s="1174"/>
      <c r="J724" s="1174"/>
      <c r="K724" s="1174"/>
      <c r="L724" s="1172"/>
      <c r="M724" s="1172"/>
      <c r="N724" s="1175"/>
      <c r="O724" s="143"/>
      <c r="P724" s="1196"/>
      <c r="Q724" s="141"/>
      <c r="R724" s="141"/>
      <c r="S724" s="148"/>
      <c r="T724" s="419"/>
      <c r="U724" s="559"/>
      <c r="V724" s="141"/>
      <c r="W724" s="141"/>
      <c r="X724" s="141"/>
      <c r="Y724" s="144"/>
      <c r="Z724" s="141"/>
      <c r="AA724" s="141"/>
      <c r="AB724" s="141"/>
      <c r="AC724" s="141"/>
      <c r="AD724" s="141"/>
      <c r="AE724" s="141"/>
      <c r="AF724" s="145"/>
      <c r="AG724" s="419"/>
    </row>
    <row r="725" spans="1:33" s="139" customFormat="1" ht="12.75" customHeight="1" x14ac:dyDescent="0.2">
      <c r="A725" s="141"/>
      <c r="B725" s="141"/>
      <c r="C725" s="141"/>
      <c r="D725" s="142"/>
      <c r="E725" s="1014"/>
      <c r="F725" s="1014"/>
      <c r="G725" s="1027"/>
      <c r="H725" s="1027"/>
      <c r="I725" s="1174"/>
      <c r="J725" s="1174"/>
      <c r="K725" s="1174"/>
      <c r="L725" s="1172"/>
      <c r="M725" s="1172"/>
      <c r="N725" s="1175"/>
      <c r="O725" s="143"/>
      <c r="P725" s="1196"/>
      <c r="Q725" s="141"/>
      <c r="R725" s="141"/>
      <c r="S725" s="148"/>
      <c r="T725" s="419"/>
      <c r="U725" s="559"/>
      <c r="V725" s="141"/>
      <c r="W725" s="141"/>
      <c r="X725" s="141"/>
      <c r="Y725" s="144"/>
      <c r="Z725" s="141"/>
      <c r="AA725" s="141"/>
      <c r="AB725" s="141"/>
      <c r="AC725" s="141"/>
      <c r="AD725" s="141"/>
      <c r="AE725" s="141"/>
      <c r="AF725" s="145"/>
      <c r="AG725" s="419"/>
    </row>
    <row r="726" spans="1:33" s="139" customFormat="1" ht="12.75" customHeight="1" x14ac:dyDescent="0.2">
      <c r="A726" s="141"/>
      <c r="B726" s="141"/>
      <c r="C726" s="141"/>
      <c r="D726" s="142"/>
      <c r="E726" s="1014"/>
      <c r="F726" s="1014"/>
      <c r="G726" s="1027"/>
      <c r="H726" s="1027"/>
      <c r="I726" s="1174"/>
      <c r="J726" s="1174"/>
      <c r="K726" s="1174"/>
      <c r="L726" s="1172"/>
      <c r="M726" s="1172"/>
      <c r="N726" s="1175"/>
      <c r="O726" s="143"/>
      <c r="P726" s="1196"/>
      <c r="Q726" s="141"/>
      <c r="R726" s="141"/>
      <c r="S726" s="148"/>
      <c r="T726" s="419"/>
      <c r="U726" s="559"/>
      <c r="V726" s="141"/>
      <c r="W726" s="141"/>
      <c r="X726" s="141"/>
      <c r="Y726" s="144"/>
      <c r="Z726" s="141"/>
      <c r="AA726" s="141"/>
      <c r="AB726" s="141"/>
      <c r="AC726" s="141"/>
      <c r="AD726" s="141"/>
      <c r="AE726" s="141"/>
      <c r="AF726" s="145"/>
      <c r="AG726" s="419"/>
    </row>
    <row r="727" spans="1:33" s="139" customFormat="1" ht="12.75" customHeight="1" x14ac:dyDescent="0.2">
      <c r="A727" s="141"/>
      <c r="B727" s="141"/>
      <c r="C727" s="141"/>
      <c r="D727" s="142"/>
      <c r="E727" s="1014"/>
      <c r="F727" s="1014"/>
      <c r="G727" s="1027"/>
      <c r="H727" s="1027"/>
      <c r="I727" s="1174"/>
      <c r="J727" s="1174"/>
      <c r="K727" s="1174"/>
      <c r="L727" s="1172"/>
      <c r="M727" s="1172"/>
      <c r="N727" s="1175"/>
      <c r="O727" s="143"/>
      <c r="P727" s="1196"/>
      <c r="Q727" s="141"/>
      <c r="R727" s="141"/>
      <c r="S727" s="148"/>
      <c r="T727" s="419"/>
      <c r="U727" s="559"/>
      <c r="V727" s="141"/>
      <c r="W727" s="141"/>
      <c r="X727" s="141"/>
      <c r="Y727" s="144"/>
      <c r="Z727" s="141"/>
      <c r="AA727" s="141"/>
      <c r="AB727" s="141"/>
      <c r="AC727" s="141"/>
      <c r="AD727" s="141"/>
      <c r="AE727" s="141"/>
      <c r="AF727" s="145"/>
      <c r="AG727" s="419"/>
    </row>
    <row r="728" spans="1:33" s="139" customFormat="1" ht="12.75" customHeight="1" x14ac:dyDescent="0.2">
      <c r="A728" s="141"/>
      <c r="B728" s="141"/>
      <c r="C728" s="141"/>
      <c r="D728" s="142"/>
      <c r="E728" s="1014"/>
      <c r="F728" s="1014"/>
      <c r="G728" s="1027"/>
      <c r="H728" s="1027"/>
      <c r="I728" s="1174"/>
      <c r="J728" s="1174"/>
      <c r="K728" s="1174"/>
      <c r="L728" s="1172"/>
      <c r="M728" s="1172"/>
      <c r="N728" s="1175"/>
      <c r="O728" s="143"/>
      <c r="P728" s="1196"/>
      <c r="Q728" s="141"/>
      <c r="R728" s="141"/>
      <c r="S728" s="148"/>
      <c r="T728" s="419"/>
      <c r="U728" s="559"/>
      <c r="V728" s="141"/>
      <c r="W728" s="141"/>
      <c r="X728" s="141"/>
      <c r="Y728" s="144"/>
      <c r="Z728" s="141"/>
      <c r="AA728" s="141"/>
      <c r="AB728" s="141"/>
      <c r="AC728" s="141"/>
      <c r="AD728" s="141"/>
      <c r="AE728" s="141"/>
      <c r="AF728" s="145"/>
      <c r="AG728" s="419"/>
    </row>
    <row r="729" spans="1:33" s="139" customFormat="1" ht="12.75" customHeight="1" x14ac:dyDescent="0.2">
      <c r="A729" s="141"/>
      <c r="B729" s="141"/>
      <c r="C729" s="141"/>
      <c r="D729" s="142"/>
      <c r="E729" s="1014"/>
      <c r="F729" s="1014"/>
      <c r="G729" s="1027"/>
      <c r="H729" s="1027"/>
      <c r="I729" s="1174"/>
      <c r="J729" s="1174"/>
      <c r="K729" s="1174"/>
      <c r="L729" s="1172"/>
      <c r="M729" s="1172"/>
      <c r="N729" s="1175"/>
      <c r="O729" s="143"/>
      <c r="P729" s="1196"/>
      <c r="Q729" s="141"/>
      <c r="R729" s="141"/>
      <c r="S729" s="148"/>
      <c r="T729" s="419"/>
      <c r="U729" s="559"/>
      <c r="V729" s="141"/>
      <c r="W729" s="141"/>
      <c r="X729" s="141"/>
      <c r="Y729" s="144"/>
      <c r="Z729" s="141"/>
      <c r="AA729" s="141"/>
      <c r="AB729" s="141"/>
      <c r="AC729" s="141"/>
      <c r="AD729" s="141"/>
      <c r="AE729" s="141"/>
      <c r="AF729" s="145"/>
      <c r="AG729" s="419"/>
    </row>
    <row r="730" spans="1:33" s="139" customFormat="1" ht="12.75" customHeight="1" x14ac:dyDescent="0.2">
      <c r="A730" s="141"/>
      <c r="B730" s="141"/>
      <c r="C730" s="141"/>
      <c r="D730" s="142"/>
      <c r="E730" s="1014"/>
      <c r="F730" s="1014"/>
      <c r="G730" s="1027"/>
      <c r="H730" s="1027"/>
      <c r="I730" s="1174"/>
      <c r="J730" s="1174"/>
      <c r="K730" s="1174"/>
      <c r="L730" s="1172"/>
      <c r="M730" s="1172"/>
      <c r="N730" s="1175"/>
      <c r="O730" s="143"/>
      <c r="P730" s="1196"/>
      <c r="Q730" s="141"/>
      <c r="R730" s="141"/>
      <c r="S730" s="148"/>
      <c r="T730" s="419"/>
      <c r="U730" s="559"/>
      <c r="V730" s="141"/>
      <c r="W730" s="141"/>
      <c r="X730" s="141"/>
      <c r="Y730" s="144"/>
      <c r="Z730" s="141"/>
      <c r="AA730" s="141"/>
      <c r="AB730" s="141"/>
      <c r="AC730" s="141"/>
      <c r="AD730" s="141"/>
      <c r="AE730" s="141"/>
      <c r="AF730" s="145"/>
      <c r="AG730" s="419"/>
    </row>
    <row r="731" spans="1:33" s="139" customFormat="1" ht="12.75" customHeight="1" x14ac:dyDescent="0.2">
      <c r="A731" s="141"/>
      <c r="B731" s="141"/>
      <c r="C731" s="141"/>
      <c r="D731" s="142"/>
      <c r="E731" s="1014"/>
      <c r="F731" s="1014"/>
      <c r="G731" s="1027"/>
      <c r="H731" s="1027"/>
      <c r="I731" s="1174"/>
      <c r="J731" s="1174"/>
      <c r="K731" s="1174"/>
      <c r="L731" s="1172"/>
      <c r="M731" s="1172"/>
      <c r="N731" s="1175"/>
      <c r="O731" s="143"/>
      <c r="P731" s="1196"/>
      <c r="Q731" s="141"/>
      <c r="R731" s="141"/>
      <c r="S731" s="148"/>
      <c r="T731" s="419"/>
      <c r="U731" s="559"/>
      <c r="V731" s="141"/>
      <c r="W731" s="141"/>
      <c r="X731" s="141"/>
      <c r="Y731" s="144"/>
      <c r="Z731" s="141"/>
      <c r="AA731" s="141"/>
      <c r="AB731" s="141"/>
      <c r="AC731" s="141"/>
      <c r="AD731" s="141"/>
      <c r="AE731" s="141"/>
      <c r="AF731" s="145"/>
      <c r="AG731" s="419"/>
    </row>
    <row r="732" spans="1:33" s="139" customFormat="1" ht="12.75" customHeight="1" x14ac:dyDescent="0.2">
      <c r="A732" s="141"/>
      <c r="B732" s="141"/>
      <c r="C732" s="141"/>
      <c r="D732" s="142"/>
      <c r="E732" s="1014"/>
      <c r="F732" s="1014"/>
      <c r="G732" s="1027"/>
      <c r="H732" s="1027"/>
      <c r="I732" s="1174"/>
      <c r="J732" s="1174"/>
      <c r="K732" s="1174"/>
      <c r="L732" s="1172"/>
      <c r="M732" s="1172"/>
      <c r="N732" s="1175"/>
      <c r="O732" s="143"/>
      <c r="P732" s="1196"/>
      <c r="Q732" s="141"/>
      <c r="R732" s="141"/>
      <c r="S732" s="148"/>
      <c r="T732" s="419"/>
      <c r="U732" s="559"/>
      <c r="V732" s="141"/>
      <c r="W732" s="141"/>
      <c r="X732" s="141"/>
      <c r="Y732" s="144"/>
      <c r="Z732" s="141"/>
      <c r="AA732" s="141"/>
      <c r="AB732" s="141"/>
      <c r="AC732" s="141"/>
      <c r="AD732" s="141"/>
      <c r="AE732" s="141"/>
      <c r="AF732" s="145"/>
      <c r="AG732" s="419"/>
    </row>
    <row r="733" spans="1:33" s="139" customFormat="1" ht="12.75" customHeight="1" x14ac:dyDescent="0.2">
      <c r="A733" s="141"/>
      <c r="B733" s="141"/>
      <c r="C733" s="141"/>
      <c r="D733" s="142"/>
      <c r="E733" s="1014"/>
      <c r="F733" s="1014"/>
      <c r="G733" s="1027"/>
      <c r="H733" s="1027"/>
      <c r="I733" s="1174"/>
      <c r="J733" s="1174"/>
      <c r="K733" s="1174"/>
      <c r="L733" s="1172"/>
      <c r="M733" s="1172"/>
      <c r="N733" s="1175"/>
      <c r="O733" s="143"/>
      <c r="P733" s="1196"/>
      <c r="Q733" s="141"/>
      <c r="R733" s="141"/>
      <c r="S733" s="148"/>
      <c r="T733" s="419"/>
      <c r="U733" s="559"/>
      <c r="V733" s="141"/>
      <c r="W733" s="141"/>
      <c r="X733" s="141"/>
      <c r="Y733" s="144"/>
      <c r="Z733" s="141"/>
      <c r="AA733" s="141"/>
      <c r="AB733" s="141"/>
      <c r="AC733" s="141"/>
      <c r="AD733" s="141"/>
      <c r="AE733" s="141"/>
      <c r="AF733" s="145"/>
      <c r="AG733" s="419"/>
    </row>
    <row r="734" spans="1:33" s="139" customFormat="1" ht="12.75" customHeight="1" x14ac:dyDescent="0.2">
      <c r="A734" s="141"/>
      <c r="B734" s="141"/>
      <c r="C734" s="141"/>
      <c r="D734" s="142"/>
      <c r="E734" s="1014"/>
      <c r="F734" s="1014"/>
      <c r="G734" s="1027"/>
      <c r="H734" s="1027"/>
      <c r="I734" s="1174"/>
      <c r="J734" s="1174"/>
      <c r="K734" s="1174"/>
      <c r="L734" s="1172"/>
      <c r="M734" s="1172"/>
      <c r="N734" s="1175"/>
      <c r="O734" s="143"/>
      <c r="P734" s="1196"/>
      <c r="Q734" s="141"/>
      <c r="R734" s="141"/>
      <c r="S734" s="148"/>
      <c r="T734" s="419"/>
      <c r="U734" s="559"/>
      <c r="V734" s="141"/>
      <c r="W734" s="141"/>
      <c r="X734" s="141"/>
      <c r="Y734" s="144"/>
      <c r="Z734" s="141"/>
      <c r="AA734" s="141"/>
      <c r="AB734" s="141"/>
      <c r="AC734" s="141"/>
      <c r="AD734" s="141"/>
      <c r="AE734" s="141"/>
      <c r="AF734" s="145"/>
      <c r="AG734" s="419"/>
    </row>
    <row r="735" spans="1:33" s="139" customFormat="1" ht="12.75" customHeight="1" x14ac:dyDescent="0.2">
      <c r="A735" s="141"/>
      <c r="B735" s="141"/>
      <c r="C735" s="141"/>
      <c r="D735" s="142"/>
      <c r="E735" s="1014"/>
      <c r="F735" s="1014"/>
      <c r="G735" s="1027"/>
      <c r="H735" s="1027"/>
      <c r="I735" s="1174"/>
      <c r="J735" s="1174"/>
      <c r="K735" s="1174"/>
      <c r="L735" s="1172"/>
      <c r="M735" s="1172"/>
      <c r="N735" s="1175"/>
      <c r="O735" s="143"/>
      <c r="P735" s="1196"/>
      <c r="Q735" s="141"/>
      <c r="R735" s="141"/>
      <c r="S735" s="148"/>
      <c r="T735" s="419"/>
      <c r="U735" s="559"/>
      <c r="V735" s="141"/>
      <c r="W735" s="141"/>
      <c r="X735" s="141"/>
      <c r="Y735" s="144"/>
      <c r="Z735" s="141"/>
      <c r="AA735" s="141"/>
      <c r="AB735" s="141"/>
      <c r="AC735" s="141"/>
      <c r="AD735" s="141"/>
      <c r="AE735" s="141"/>
      <c r="AF735" s="145"/>
      <c r="AG735" s="419"/>
    </row>
    <row r="736" spans="1:33" s="139" customFormat="1" ht="12.75" customHeight="1" x14ac:dyDescent="0.2">
      <c r="A736" s="141"/>
      <c r="B736" s="141"/>
      <c r="C736" s="141"/>
      <c r="D736" s="142"/>
      <c r="E736" s="1014"/>
      <c r="F736" s="1014"/>
      <c r="G736" s="1027"/>
      <c r="H736" s="1027"/>
      <c r="I736" s="1174"/>
      <c r="J736" s="1174"/>
      <c r="K736" s="1174"/>
      <c r="L736" s="1172"/>
      <c r="M736" s="1172"/>
      <c r="N736" s="1175"/>
      <c r="O736" s="143"/>
      <c r="P736" s="1196"/>
      <c r="Q736" s="141"/>
      <c r="R736" s="141"/>
      <c r="S736" s="148"/>
      <c r="T736" s="419"/>
      <c r="U736" s="559"/>
      <c r="V736" s="141"/>
      <c r="W736" s="141"/>
      <c r="X736" s="141"/>
      <c r="Y736" s="144"/>
      <c r="Z736" s="141"/>
      <c r="AA736" s="141"/>
      <c r="AB736" s="141"/>
      <c r="AC736" s="141"/>
      <c r="AD736" s="141"/>
      <c r="AE736" s="141"/>
      <c r="AF736" s="145"/>
      <c r="AG736" s="419"/>
    </row>
    <row r="737" spans="1:33" s="139" customFormat="1" ht="12.75" customHeight="1" x14ac:dyDescent="0.2">
      <c r="A737" s="141"/>
      <c r="B737" s="141"/>
      <c r="C737" s="141"/>
      <c r="D737" s="142"/>
      <c r="E737" s="1014"/>
      <c r="F737" s="1014"/>
      <c r="G737" s="1027"/>
      <c r="H737" s="1027"/>
      <c r="I737" s="1174"/>
      <c r="J737" s="1174"/>
      <c r="K737" s="1174"/>
      <c r="L737" s="1172"/>
      <c r="M737" s="1172"/>
      <c r="N737" s="1175"/>
      <c r="O737" s="143"/>
      <c r="P737" s="1196"/>
      <c r="Q737" s="141"/>
      <c r="R737" s="141"/>
      <c r="S737" s="148"/>
      <c r="T737" s="419"/>
      <c r="U737" s="559"/>
      <c r="V737" s="141"/>
      <c r="W737" s="141"/>
      <c r="X737" s="141"/>
      <c r="Y737" s="144"/>
      <c r="Z737" s="141"/>
      <c r="AA737" s="141"/>
      <c r="AB737" s="141"/>
      <c r="AC737" s="141"/>
      <c r="AD737" s="141"/>
      <c r="AE737" s="141"/>
      <c r="AF737" s="145"/>
      <c r="AG737" s="419"/>
    </row>
    <row r="738" spans="1:33" s="139" customFormat="1" ht="12.75" customHeight="1" x14ac:dyDescent="0.2">
      <c r="A738" s="141"/>
      <c r="B738" s="141"/>
      <c r="C738" s="141"/>
      <c r="D738" s="142"/>
      <c r="E738" s="1014"/>
      <c r="F738" s="1014"/>
      <c r="G738" s="1027"/>
      <c r="H738" s="1027"/>
      <c r="I738" s="1174"/>
      <c r="J738" s="1174"/>
      <c r="K738" s="1174"/>
      <c r="L738" s="1172"/>
      <c r="M738" s="1172"/>
      <c r="N738" s="1175"/>
      <c r="O738" s="143"/>
      <c r="P738" s="1196"/>
      <c r="Q738" s="141"/>
      <c r="R738" s="141"/>
      <c r="S738" s="148"/>
      <c r="T738" s="419"/>
      <c r="U738" s="559"/>
      <c r="V738" s="141"/>
      <c r="W738" s="141"/>
      <c r="X738" s="141"/>
      <c r="Y738" s="144"/>
      <c r="Z738" s="141"/>
      <c r="AA738" s="141"/>
      <c r="AB738" s="141"/>
      <c r="AC738" s="141"/>
      <c r="AD738" s="141"/>
      <c r="AE738" s="141"/>
      <c r="AF738" s="145"/>
      <c r="AG738" s="419"/>
    </row>
    <row r="739" spans="1:33" s="139" customFormat="1" ht="12.75" customHeight="1" x14ac:dyDescent="0.2">
      <c r="A739" s="141"/>
      <c r="B739" s="141"/>
      <c r="C739" s="141"/>
      <c r="D739" s="142"/>
      <c r="E739" s="1014"/>
      <c r="F739" s="1014"/>
      <c r="G739" s="1027"/>
      <c r="H739" s="1027"/>
      <c r="I739" s="1174"/>
      <c r="J739" s="1174"/>
      <c r="K739" s="1174"/>
      <c r="L739" s="1172"/>
      <c r="M739" s="1172"/>
      <c r="N739" s="1175"/>
      <c r="O739" s="143"/>
      <c r="P739" s="1196"/>
      <c r="Q739" s="141"/>
      <c r="R739" s="141"/>
      <c r="S739" s="148"/>
      <c r="T739" s="419"/>
      <c r="U739" s="559"/>
      <c r="V739" s="141"/>
      <c r="W739" s="141"/>
      <c r="X739" s="141"/>
      <c r="Y739" s="144"/>
      <c r="Z739" s="141"/>
      <c r="AA739" s="141"/>
      <c r="AB739" s="141"/>
      <c r="AC739" s="141"/>
      <c r="AD739" s="141"/>
      <c r="AE739" s="141"/>
      <c r="AF739" s="145"/>
      <c r="AG739" s="419"/>
    </row>
    <row r="740" spans="1:33" s="139" customFormat="1" ht="12.75" customHeight="1" x14ac:dyDescent="0.2">
      <c r="A740" s="141"/>
      <c r="B740" s="141"/>
      <c r="C740" s="141"/>
      <c r="D740" s="142"/>
      <c r="E740" s="1014"/>
      <c r="F740" s="1014"/>
      <c r="G740" s="1027"/>
      <c r="H740" s="1027"/>
      <c r="I740" s="1174"/>
      <c r="J740" s="1174"/>
      <c r="K740" s="1174"/>
      <c r="L740" s="1172"/>
      <c r="M740" s="1172"/>
      <c r="N740" s="1175"/>
      <c r="O740" s="143"/>
      <c r="P740" s="1196"/>
      <c r="Q740" s="141"/>
      <c r="R740" s="141"/>
      <c r="S740" s="148"/>
      <c r="T740" s="419"/>
      <c r="U740" s="559"/>
      <c r="V740" s="141"/>
      <c r="W740" s="141"/>
      <c r="X740" s="141"/>
      <c r="Y740" s="144"/>
      <c r="Z740" s="141"/>
      <c r="AA740" s="141"/>
      <c r="AB740" s="141"/>
      <c r="AC740" s="141"/>
      <c r="AD740" s="141"/>
      <c r="AE740" s="141"/>
      <c r="AF740" s="145"/>
      <c r="AG740" s="419"/>
    </row>
    <row r="741" spans="1:33" s="139" customFormat="1" ht="12.75" customHeight="1" x14ac:dyDescent="0.2">
      <c r="A741" s="141"/>
      <c r="B741" s="141"/>
      <c r="C741" s="141"/>
      <c r="D741" s="142"/>
      <c r="E741" s="1014"/>
      <c r="F741" s="1014"/>
      <c r="G741" s="1027"/>
      <c r="H741" s="1027"/>
      <c r="I741" s="1174"/>
      <c r="J741" s="1174"/>
      <c r="K741" s="1174"/>
      <c r="L741" s="1172"/>
      <c r="M741" s="1172"/>
      <c r="N741" s="1175"/>
      <c r="O741" s="143"/>
      <c r="P741" s="1196"/>
      <c r="Q741" s="141"/>
      <c r="R741" s="141"/>
      <c r="S741" s="148"/>
      <c r="T741" s="419"/>
      <c r="U741" s="559"/>
      <c r="V741" s="141"/>
      <c r="W741" s="141"/>
      <c r="X741" s="141"/>
      <c r="Y741" s="144"/>
      <c r="Z741" s="141"/>
      <c r="AA741" s="141"/>
      <c r="AB741" s="141"/>
      <c r="AC741" s="141"/>
      <c r="AD741" s="141"/>
      <c r="AE741" s="141"/>
      <c r="AF741" s="145"/>
      <c r="AG741" s="419"/>
    </row>
    <row r="742" spans="1:33" s="139" customFormat="1" ht="12.75" customHeight="1" x14ac:dyDescent="0.2">
      <c r="A742" s="141"/>
      <c r="B742" s="141"/>
      <c r="C742" s="141"/>
      <c r="D742" s="142"/>
      <c r="E742" s="1014"/>
      <c r="F742" s="1014"/>
      <c r="G742" s="1027"/>
      <c r="H742" s="1027"/>
      <c r="I742" s="1174"/>
      <c r="J742" s="1174"/>
      <c r="K742" s="1174"/>
      <c r="L742" s="1172"/>
      <c r="M742" s="1172"/>
      <c r="N742" s="1175"/>
      <c r="O742" s="143"/>
      <c r="P742" s="1196"/>
      <c r="Q742" s="141"/>
      <c r="R742" s="141"/>
      <c r="S742" s="148"/>
      <c r="T742" s="419"/>
      <c r="U742" s="559"/>
      <c r="V742" s="141"/>
      <c r="W742" s="141"/>
      <c r="X742" s="141"/>
      <c r="Y742" s="144"/>
      <c r="Z742" s="141"/>
      <c r="AA742" s="141"/>
      <c r="AB742" s="141"/>
      <c r="AC742" s="141"/>
      <c r="AD742" s="141"/>
      <c r="AE742" s="141"/>
      <c r="AF742" s="145"/>
      <c r="AG742" s="419"/>
    </row>
    <row r="743" spans="1:33" s="139" customFormat="1" ht="12.75" customHeight="1" x14ac:dyDescent="0.2">
      <c r="A743" s="141"/>
      <c r="B743" s="141"/>
      <c r="C743" s="141"/>
      <c r="D743" s="142"/>
      <c r="E743" s="1014"/>
      <c r="F743" s="1014"/>
      <c r="G743" s="1027"/>
      <c r="H743" s="1027"/>
      <c r="I743" s="1174"/>
      <c r="J743" s="1174"/>
      <c r="K743" s="1174"/>
      <c r="L743" s="1172"/>
      <c r="M743" s="1172"/>
      <c r="N743" s="1175"/>
      <c r="O743" s="143"/>
      <c r="P743" s="1196"/>
      <c r="Q743" s="141"/>
      <c r="R743" s="141"/>
      <c r="S743" s="148"/>
      <c r="T743" s="419"/>
      <c r="U743" s="559"/>
      <c r="V743" s="141"/>
      <c r="W743" s="141"/>
      <c r="X743" s="141"/>
      <c r="Y743" s="144"/>
      <c r="Z743" s="141"/>
      <c r="AA743" s="141"/>
      <c r="AB743" s="141"/>
      <c r="AC743" s="141"/>
      <c r="AD743" s="141"/>
      <c r="AE743" s="141"/>
      <c r="AF743" s="145"/>
      <c r="AG743" s="419"/>
    </row>
    <row r="744" spans="1:33" s="139" customFormat="1" ht="12.75" customHeight="1" x14ac:dyDescent="0.2">
      <c r="A744" s="141"/>
      <c r="B744" s="141"/>
      <c r="C744" s="141"/>
      <c r="D744" s="142"/>
      <c r="E744" s="1014"/>
      <c r="F744" s="1014"/>
      <c r="G744" s="1027"/>
      <c r="H744" s="1027"/>
      <c r="I744" s="1174"/>
      <c r="J744" s="1174"/>
      <c r="K744" s="1174"/>
      <c r="L744" s="1172"/>
      <c r="M744" s="1172"/>
      <c r="N744" s="1175"/>
      <c r="O744" s="143"/>
      <c r="P744" s="1196"/>
      <c r="Q744" s="141"/>
      <c r="R744" s="141"/>
      <c r="S744" s="148"/>
      <c r="T744" s="419"/>
      <c r="U744" s="559"/>
      <c r="V744" s="141"/>
      <c r="W744" s="141"/>
      <c r="X744" s="141"/>
      <c r="Y744" s="144"/>
      <c r="Z744" s="141"/>
      <c r="AA744" s="141"/>
      <c r="AB744" s="141"/>
      <c r="AC744" s="141"/>
      <c r="AD744" s="141"/>
      <c r="AE744" s="141"/>
      <c r="AF744" s="145"/>
      <c r="AG744" s="419"/>
    </row>
    <row r="745" spans="1:33" s="139" customFormat="1" ht="12.75" customHeight="1" x14ac:dyDescent="0.2">
      <c r="A745" s="141"/>
      <c r="B745" s="141"/>
      <c r="C745" s="141"/>
      <c r="D745" s="142"/>
      <c r="E745" s="1014"/>
      <c r="F745" s="1014"/>
      <c r="G745" s="1027"/>
      <c r="H745" s="1027"/>
      <c r="I745" s="1174"/>
      <c r="J745" s="1174"/>
      <c r="K745" s="1174"/>
      <c r="L745" s="1172"/>
      <c r="M745" s="1172"/>
      <c r="N745" s="1175"/>
      <c r="O745" s="143"/>
      <c r="P745" s="1196"/>
      <c r="Q745" s="141"/>
      <c r="R745" s="141"/>
      <c r="S745" s="148"/>
      <c r="T745" s="419"/>
      <c r="U745" s="559"/>
      <c r="V745" s="141"/>
      <c r="W745" s="141"/>
      <c r="X745" s="141"/>
      <c r="Y745" s="144"/>
      <c r="Z745" s="141"/>
      <c r="AA745" s="141"/>
      <c r="AB745" s="141"/>
      <c r="AC745" s="141"/>
      <c r="AD745" s="141"/>
      <c r="AE745" s="141"/>
      <c r="AF745" s="145"/>
      <c r="AG745" s="419"/>
    </row>
    <row r="746" spans="1:33" s="139" customFormat="1" ht="12.75" customHeight="1" x14ac:dyDescent="0.2">
      <c r="A746" s="141"/>
      <c r="B746" s="141"/>
      <c r="C746" s="141"/>
      <c r="D746" s="142"/>
      <c r="E746" s="1014"/>
      <c r="F746" s="1014"/>
      <c r="G746" s="1027"/>
      <c r="H746" s="1027"/>
      <c r="I746" s="1174"/>
      <c r="J746" s="1174"/>
      <c r="K746" s="1174"/>
      <c r="L746" s="1172"/>
      <c r="M746" s="1172"/>
      <c r="N746" s="1175"/>
      <c r="O746" s="143"/>
      <c r="P746" s="1196"/>
      <c r="Q746" s="141"/>
      <c r="R746" s="141"/>
      <c r="S746" s="148"/>
      <c r="T746" s="419"/>
      <c r="U746" s="559"/>
      <c r="V746" s="141"/>
      <c r="W746" s="141"/>
      <c r="X746" s="141"/>
      <c r="Y746" s="144"/>
      <c r="Z746" s="141"/>
      <c r="AA746" s="141"/>
      <c r="AB746" s="141"/>
      <c r="AC746" s="141"/>
      <c r="AD746" s="141"/>
      <c r="AE746" s="141"/>
      <c r="AF746" s="145"/>
      <c r="AG746" s="419"/>
    </row>
    <row r="747" spans="1:33" s="139" customFormat="1" ht="12.75" customHeight="1" x14ac:dyDescent="0.2">
      <c r="A747" s="141"/>
      <c r="B747" s="141"/>
      <c r="C747" s="141"/>
      <c r="D747" s="142"/>
      <c r="E747" s="1014"/>
      <c r="F747" s="1014"/>
      <c r="G747" s="1027"/>
      <c r="H747" s="1027"/>
      <c r="I747" s="1174"/>
      <c r="J747" s="1174"/>
      <c r="K747" s="1174"/>
      <c r="L747" s="1172"/>
      <c r="M747" s="1172"/>
      <c r="N747" s="1175"/>
      <c r="O747" s="143"/>
      <c r="P747" s="1196"/>
      <c r="Q747" s="141"/>
      <c r="R747" s="141"/>
      <c r="S747" s="148"/>
      <c r="T747" s="419"/>
      <c r="U747" s="559"/>
      <c r="V747" s="141"/>
      <c r="W747" s="141"/>
      <c r="X747" s="141"/>
      <c r="Y747" s="144"/>
      <c r="Z747" s="141"/>
      <c r="AA747" s="141"/>
      <c r="AB747" s="141"/>
      <c r="AC747" s="141"/>
      <c r="AD747" s="141"/>
      <c r="AE747" s="141"/>
      <c r="AF747" s="145"/>
      <c r="AG747" s="419"/>
    </row>
    <row r="748" spans="1:33" s="139" customFormat="1" ht="12.75" customHeight="1" x14ac:dyDescent="0.2">
      <c r="A748" s="141"/>
      <c r="B748" s="141"/>
      <c r="C748" s="141"/>
      <c r="D748" s="142"/>
      <c r="E748" s="1014"/>
      <c r="F748" s="1014"/>
      <c r="G748" s="1027"/>
      <c r="H748" s="1027"/>
      <c r="I748" s="1174"/>
      <c r="J748" s="1174"/>
      <c r="K748" s="1174"/>
      <c r="L748" s="1172"/>
      <c r="M748" s="1172"/>
      <c r="N748" s="1175"/>
      <c r="O748" s="143"/>
      <c r="P748" s="1196"/>
      <c r="Q748" s="141"/>
      <c r="R748" s="141"/>
      <c r="S748" s="148"/>
      <c r="T748" s="419"/>
      <c r="U748" s="559"/>
      <c r="V748" s="141"/>
      <c r="W748" s="141"/>
      <c r="X748" s="141"/>
      <c r="Y748" s="144"/>
      <c r="Z748" s="141"/>
      <c r="AA748" s="141"/>
      <c r="AB748" s="141"/>
      <c r="AC748" s="141"/>
      <c r="AD748" s="141"/>
      <c r="AE748" s="141"/>
      <c r="AF748" s="145"/>
      <c r="AG748" s="419"/>
    </row>
    <row r="749" spans="1:33" s="139" customFormat="1" ht="12.75" customHeight="1" x14ac:dyDescent="0.2">
      <c r="A749" s="141"/>
      <c r="B749" s="141"/>
      <c r="C749" s="141"/>
      <c r="D749" s="142"/>
      <c r="E749" s="1014"/>
      <c r="F749" s="1014"/>
      <c r="G749" s="1027"/>
      <c r="H749" s="1027"/>
      <c r="I749" s="1174"/>
      <c r="J749" s="1174"/>
      <c r="K749" s="1174"/>
      <c r="L749" s="1172"/>
      <c r="M749" s="1172"/>
      <c r="N749" s="1175"/>
      <c r="O749" s="143"/>
      <c r="P749" s="1196"/>
      <c r="Q749" s="141"/>
      <c r="R749" s="141"/>
      <c r="S749" s="148"/>
      <c r="T749" s="419"/>
      <c r="U749" s="559"/>
      <c r="V749" s="141"/>
      <c r="W749" s="141"/>
      <c r="X749" s="141"/>
      <c r="Y749" s="144"/>
      <c r="Z749" s="141"/>
      <c r="AA749" s="141"/>
      <c r="AB749" s="141"/>
      <c r="AC749" s="141"/>
      <c r="AD749" s="141"/>
      <c r="AE749" s="141"/>
      <c r="AF749" s="145"/>
      <c r="AG749" s="419"/>
    </row>
    <row r="750" spans="1:33" s="139" customFormat="1" ht="12.75" customHeight="1" x14ac:dyDescent="0.2">
      <c r="A750" s="141"/>
      <c r="B750" s="141"/>
      <c r="C750" s="141"/>
      <c r="D750" s="142"/>
      <c r="E750" s="1014"/>
      <c r="F750" s="1014"/>
      <c r="G750" s="1027"/>
      <c r="H750" s="1027"/>
      <c r="I750" s="1174"/>
      <c r="J750" s="1174"/>
      <c r="K750" s="1174"/>
      <c r="L750" s="1172"/>
      <c r="M750" s="1172"/>
      <c r="N750" s="1175"/>
      <c r="O750" s="143"/>
      <c r="P750" s="1196"/>
      <c r="Q750" s="141"/>
      <c r="R750" s="141"/>
      <c r="S750" s="148"/>
      <c r="T750" s="419"/>
      <c r="U750" s="559"/>
      <c r="V750" s="141"/>
      <c r="W750" s="141"/>
      <c r="X750" s="141"/>
      <c r="Y750" s="144"/>
      <c r="Z750" s="141"/>
      <c r="AA750" s="141"/>
      <c r="AB750" s="141"/>
      <c r="AC750" s="141"/>
      <c r="AD750" s="141"/>
      <c r="AE750" s="141"/>
      <c r="AF750" s="145"/>
      <c r="AG750" s="419"/>
    </row>
    <row r="751" spans="1:33" s="139" customFormat="1" ht="12.75" customHeight="1" x14ac:dyDescent="0.2">
      <c r="A751" s="141"/>
      <c r="B751" s="141"/>
      <c r="C751" s="141"/>
      <c r="D751" s="142"/>
      <c r="E751" s="1014"/>
      <c r="F751" s="1014"/>
      <c r="G751" s="1027"/>
      <c r="H751" s="1027"/>
      <c r="I751" s="1174"/>
      <c r="J751" s="1174"/>
      <c r="K751" s="1174"/>
      <c r="L751" s="1172"/>
      <c r="M751" s="1172"/>
      <c r="N751" s="1175"/>
      <c r="O751" s="143"/>
      <c r="P751" s="1196"/>
      <c r="Q751" s="141"/>
      <c r="R751" s="141"/>
      <c r="S751" s="148"/>
      <c r="T751" s="419"/>
      <c r="U751" s="559"/>
      <c r="V751" s="141"/>
      <c r="W751" s="141"/>
      <c r="X751" s="141"/>
      <c r="Y751" s="144"/>
      <c r="Z751" s="141"/>
      <c r="AA751" s="141"/>
      <c r="AB751" s="141"/>
      <c r="AC751" s="141"/>
      <c r="AD751" s="141"/>
      <c r="AE751" s="141"/>
      <c r="AF751" s="145"/>
      <c r="AG751" s="419"/>
    </row>
    <row r="752" spans="1:33" s="139" customFormat="1" ht="12.75" customHeight="1" x14ac:dyDescent="0.2">
      <c r="A752" s="141"/>
      <c r="B752" s="141"/>
      <c r="C752" s="141"/>
      <c r="D752" s="142"/>
      <c r="E752" s="1014"/>
      <c r="F752" s="1014"/>
      <c r="G752" s="1027"/>
      <c r="H752" s="1027"/>
      <c r="I752" s="1174"/>
      <c r="J752" s="1174"/>
      <c r="K752" s="1174"/>
      <c r="L752" s="1172"/>
      <c r="M752" s="1172"/>
      <c r="N752" s="1175"/>
      <c r="O752" s="143"/>
      <c r="P752" s="1196"/>
      <c r="Q752" s="141"/>
      <c r="R752" s="141"/>
      <c r="S752" s="148"/>
      <c r="T752" s="419"/>
      <c r="U752" s="559"/>
      <c r="V752" s="141"/>
      <c r="W752" s="141"/>
      <c r="X752" s="141"/>
      <c r="Y752" s="144"/>
      <c r="Z752" s="141"/>
      <c r="AA752" s="141"/>
      <c r="AB752" s="141"/>
      <c r="AC752" s="141"/>
      <c r="AD752" s="141"/>
      <c r="AE752" s="141"/>
      <c r="AF752" s="145"/>
      <c r="AG752" s="419"/>
    </row>
    <row r="753" spans="1:33" s="139" customFormat="1" ht="12.75" customHeight="1" x14ac:dyDescent="0.2">
      <c r="A753" s="141"/>
      <c r="B753" s="141"/>
      <c r="C753" s="141"/>
      <c r="D753" s="142"/>
      <c r="E753" s="1014"/>
      <c r="F753" s="1014"/>
      <c r="G753" s="1027"/>
      <c r="H753" s="1027"/>
      <c r="I753" s="1174"/>
      <c r="J753" s="1174"/>
      <c r="K753" s="1174"/>
      <c r="L753" s="1172"/>
      <c r="M753" s="1172"/>
      <c r="N753" s="1175"/>
      <c r="O753" s="143"/>
      <c r="P753" s="1196"/>
      <c r="Q753" s="141"/>
      <c r="R753" s="141"/>
      <c r="S753" s="148"/>
      <c r="T753" s="419"/>
      <c r="U753" s="559"/>
      <c r="V753" s="141"/>
      <c r="W753" s="141"/>
      <c r="X753" s="141"/>
      <c r="Y753" s="144"/>
      <c r="Z753" s="141"/>
      <c r="AA753" s="141"/>
      <c r="AB753" s="141"/>
      <c r="AC753" s="141"/>
      <c r="AD753" s="141"/>
      <c r="AE753" s="141"/>
      <c r="AF753" s="145"/>
      <c r="AG753" s="419"/>
    </row>
    <row r="754" spans="1:33" s="139" customFormat="1" ht="12.75" customHeight="1" x14ac:dyDescent="0.2">
      <c r="A754" s="141"/>
      <c r="B754" s="141"/>
      <c r="C754" s="141"/>
      <c r="D754" s="142"/>
      <c r="E754" s="1014"/>
      <c r="F754" s="1014"/>
      <c r="G754" s="1027"/>
      <c r="H754" s="1027"/>
      <c r="I754" s="1174"/>
      <c r="J754" s="1174"/>
      <c r="K754" s="1174"/>
      <c r="L754" s="1172"/>
      <c r="M754" s="1172"/>
      <c r="N754" s="1175"/>
      <c r="O754" s="143"/>
      <c r="P754" s="1196"/>
      <c r="Q754" s="141"/>
      <c r="R754" s="141"/>
      <c r="S754" s="148"/>
      <c r="T754" s="419"/>
      <c r="U754" s="559"/>
      <c r="V754" s="141"/>
      <c r="W754" s="141"/>
      <c r="X754" s="141"/>
      <c r="Y754" s="144"/>
      <c r="Z754" s="141"/>
      <c r="AA754" s="141"/>
      <c r="AB754" s="141"/>
      <c r="AC754" s="141"/>
      <c r="AD754" s="141"/>
      <c r="AE754" s="141"/>
      <c r="AF754" s="145"/>
      <c r="AG754" s="419"/>
    </row>
    <row r="755" spans="1:33" s="139" customFormat="1" ht="12.75" customHeight="1" x14ac:dyDescent="0.2">
      <c r="A755" s="141"/>
      <c r="B755" s="141"/>
      <c r="C755" s="141"/>
      <c r="D755" s="142"/>
      <c r="E755" s="1014"/>
      <c r="F755" s="1014"/>
      <c r="G755" s="1027"/>
      <c r="H755" s="1027"/>
      <c r="I755" s="1174"/>
      <c r="J755" s="1174"/>
      <c r="K755" s="1174"/>
      <c r="L755" s="1172"/>
      <c r="M755" s="1172"/>
      <c r="N755" s="1175"/>
      <c r="O755" s="143"/>
      <c r="P755" s="1196"/>
      <c r="Q755" s="141"/>
      <c r="R755" s="141"/>
      <c r="S755" s="148"/>
      <c r="T755" s="419"/>
      <c r="U755" s="559"/>
      <c r="V755" s="141"/>
      <c r="W755" s="141"/>
      <c r="X755" s="141"/>
      <c r="Y755" s="144"/>
      <c r="Z755" s="141"/>
      <c r="AA755" s="141"/>
      <c r="AB755" s="141"/>
      <c r="AC755" s="141"/>
      <c r="AD755" s="141"/>
      <c r="AE755" s="141"/>
      <c r="AF755" s="145"/>
      <c r="AG755" s="419"/>
    </row>
    <row r="756" spans="1:33" s="139" customFormat="1" ht="12.75" customHeight="1" x14ac:dyDescent="0.2">
      <c r="A756" s="141"/>
      <c r="B756" s="141"/>
      <c r="C756" s="141"/>
      <c r="D756" s="142"/>
      <c r="E756" s="1014"/>
      <c r="F756" s="1014"/>
      <c r="G756" s="1027"/>
      <c r="H756" s="1027"/>
      <c r="I756" s="1174"/>
      <c r="J756" s="1174"/>
      <c r="K756" s="1174"/>
      <c r="L756" s="1172"/>
      <c r="M756" s="1172"/>
      <c r="N756" s="1175"/>
      <c r="O756" s="143"/>
      <c r="P756" s="1196"/>
      <c r="Q756" s="141"/>
      <c r="R756" s="141"/>
      <c r="S756" s="148"/>
      <c r="T756" s="419"/>
      <c r="U756" s="559"/>
      <c r="V756" s="141"/>
      <c r="W756" s="141"/>
      <c r="X756" s="141"/>
      <c r="Y756" s="144"/>
      <c r="Z756" s="141"/>
      <c r="AA756" s="141"/>
      <c r="AB756" s="141"/>
      <c r="AC756" s="141"/>
      <c r="AD756" s="141"/>
      <c r="AE756" s="141"/>
      <c r="AF756" s="145"/>
      <c r="AG756" s="419"/>
    </row>
    <row r="757" spans="1:33" s="139" customFormat="1" ht="12.75" customHeight="1" x14ac:dyDescent="0.2">
      <c r="A757" s="141"/>
      <c r="B757" s="141"/>
      <c r="C757" s="141"/>
      <c r="D757" s="142"/>
      <c r="E757" s="1014"/>
      <c r="F757" s="1014"/>
      <c r="G757" s="1027"/>
      <c r="H757" s="1027"/>
      <c r="I757" s="1174"/>
      <c r="J757" s="1174"/>
      <c r="K757" s="1174"/>
      <c r="L757" s="1172"/>
      <c r="M757" s="1172"/>
      <c r="N757" s="1175"/>
      <c r="O757" s="143"/>
      <c r="P757" s="1196"/>
      <c r="Q757" s="141"/>
      <c r="R757" s="141"/>
      <c r="S757" s="148"/>
      <c r="T757" s="419"/>
      <c r="U757" s="559"/>
      <c r="V757" s="141"/>
      <c r="W757" s="141"/>
      <c r="X757" s="141"/>
      <c r="Y757" s="144"/>
      <c r="Z757" s="141"/>
      <c r="AA757" s="141"/>
      <c r="AB757" s="141"/>
      <c r="AC757" s="141"/>
      <c r="AD757" s="141"/>
      <c r="AE757" s="141"/>
      <c r="AF757" s="145"/>
      <c r="AG757" s="419"/>
    </row>
    <row r="758" spans="1:33" s="139" customFormat="1" ht="12.75" customHeight="1" x14ac:dyDescent="0.2">
      <c r="A758" s="141"/>
      <c r="B758" s="141"/>
      <c r="C758" s="141"/>
      <c r="D758" s="142"/>
      <c r="E758" s="1014"/>
      <c r="F758" s="1014"/>
      <c r="G758" s="1027"/>
      <c r="H758" s="1027"/>
      <c r="I758" s="1174"/>
      <c r="J758" s="1174"/>
      <c r="K758" s="1174"/>
      <c r="L758" s="1172"/>
      <c r="M758" s="1172"/>
      <c r="N758" s="1175"/>
      <c r="O758" s="143"/>
      <c r="P758" s="1196"/>
      <c r="Q758" s="141"/>
      <c r="R758" s="141"/>
      <c r="S758" s="148"/>
      <c r="T758" s="419"/>
      <c r="U758" s="559"/>
      <c r="V758" s="141"/>
      <c r="W758" s="141"/>
      <c r="X758" s="141"/>
      <c r="Y758" s="144"/>
      <c r="Z758" s="141"/>
      <c r="AA758" s="141"/>
      <c r="AB758" s="141"/>
      <c r="AC758" s="141"/>
      <c r="AD758" s="141"/>
      <c r="AE758" s="141"/>
      <c r="AF758" s="145"/>
      <c r="AG758" s="419"/>
    </row>
    <row r="759" spans="1:33" s="139" customFormat="1" ht="12.75" customHeight="1" x14ac:dyDescent="0.2">
      <c r="A759" s="141"/>
      <c r="B759" s="141"/>
      <c r="C759" s="141"/>
      <c r="D759" s="142"/>
      <c r="E759" s="1014"/>
      <c r="F759" s="1014"/>
      <c r="G759" s="1027"/>
      <c r="H759" s="1027"/>
      <c r="I759" s="1174"/>
      <c r="J759" s="1174"/>
      <c r="K759" s="1174"/>
      <c r="L759" s="1172"/>
      <c r="M759" s="1172"/>
      <c r="N759" s="1175"/>
      <c r="O759" s="143"/>
      <c r="P759" s="1196"/>
      <c r="Q759" s="141"/>
      <c r="R759" s="141"/>
      <c r="S759" s="148"/>
      <c r="T759" s="419"/>
      <c r="U759" s="559"/>
      <c r="V759" s="141"/>
      <c r="W759" s="141"/>
      <c r="X759" s="141"/>
      <c r="Y759" s="144"/>
      <c r="Z759" s="141"/>
      <c r="AA759" s="141"/>
      <c r="AB759" s="141"/>
      <c r="AC759" s="141"/>
      <c r="AD759" s="141"/>
      <c r="AE759" s="141"/>
      <c r="AF759" s="145"/>
      <c r="AG759" s="419"/>
    </row>
    <row r="760" spans="1:33" s="139" customFormat="1" ht="12.75" customHeight="1" x14ac:dyDescent="0.2">
      <c r="A760" s="141"/>
      <c r="B760" s="141"/>
      <c r="C760" s="141"/>
      <c r="D760" s="142"/>
      <c r="E760" s="1014"/>
      <c r="F760" s="1014"/>
      <c r="G760" s="1027"/>
      <c r="H760" s="1027"/>
      <c r="I760" s="1174"/>
      <c r="J760" s="1174"/>
      <c r="K760" s="1174"/>
      <c r="L760" s="1172"/>
      <c r="M760" s="1172"/>
      <c r="N760" s="1175"/>
      <c r="O760" s="143"/>
      <c r="P760" s="1196"/>
      <c r="Q760" s="141"/>
      <c r="R760" s="141"/>
      <c r="S760" s="148"/>
      <c r="T760" s="419"/>
      <c r="U760" s="559"/>
      <c r="V760" s="141"/>
      <c r="W760" s="141"/>
      <c r="X760" s="141"/>
      <c r="Y760" s="144"/>
      <c r="Z760" s="141"/>
      <c r="AA760" s="141"/>
      <c r="AB760" s="141"/>
      <c r="AC760" s="141"/>
      <c r="AD760" s="141"/>
      <c r="AE760" s="141"/>
      <c r="AF760" s="145"/>
      <c r="AG760" s="419"/>
    </row>
    <row r="761" spans="1:33" s="139" customFormat="1" ht="12.75" customHeight="1" x14ac:dyDescent="0.2">
      <c r="A761" s="141"/>
      <c r="B761" s="141"/>
      <c r="C761" s="141"/>
      <c r="D761" s="142"/>
      <c r="E761" s="1014"/>
      <c r="F761" s="1014"/>
      <c r="G761" s="1027"/>
      <c r="H761" s="1027"/>
      <c r="I761" s="1174"/>
      <c r="J761" s="1174"/>
      <c r="K761" s="1174"/>
      <c r="L761" s="1172"/>
      <c r="M761" s="1172"/>
      <c r="N761" s="1175"/>
      <c r="O761" s="143"/>
      <c r="P761" s="1196"/>
      <c r="Q761" s="141"/>
      <c r="R761" s="141"/>
      <c r="S761" s="148"/>
      <c r="T761" s="419"/>
      <c r="U761" s="559"/>
      <c r="V761" s="141"/>
      <c r="W761" s="141"/>
      <c r="X761" s="141"/>
      <c r="Y761" s="144"/>
      <c r="Z761" s="141"/>
      <c r="AA761" s="141"/>
      <c r="AB761" s="141"/>
      <c r="AC761" s="141"/>
      <c r="AD761" s="141"/>
      <c r="AE761" s="141"/>
      <c r="AF761" s="145"/>
      <c r="AG761" s="419"/>
    </row>
    <row r="762" spans="1:33" s="139" customFormat="1" ht="12.75" customHeight="1" x14ac:dyDescent="0.2">
      <c r="A762" s="141"/>
      <c r="B762" s="141"/>
      <c r="C762" s="141"/>
      <c r="D762" s="142"/>
      <c r="E762" s="1014"/>
      <c r="F762" s="1014"/>
      <c r="G762" s="1027"/>
      <c r="H762" s="1027"/>
      <c r="I762" s="1174"/>
      <c r="J762" s="1174"/>
      <c r="K762" s="1174"/>
      <c r="L762" s="1172"/>
      <c r="M762" s="1172"/>
      <c r="N762" s="1175"/>
      <c r="O762" s="143"/>
      <c r="P762" s="1196"/>
      <c r="Q762" s="141"/>
      <c r="R762" s="141"/>
      <c r="S762" s="148"/>
      <c r="T762" s="419"/>
      <c r="U762" s="559"/>
      <c r="V762" s="141"/>
      <c r="W762" s="141"/>
      <c r="X762" s="141"/>
      <c r="Y762" s="144"/>
      <c r="Z762" s="141"/>
      <c r="AA762" s="141"/>
      <c r="AB762" s="141"/>
      <c r="AC762" s="141"/>
      <c r="AD762" s="141"/>
      <c r="AE762" s="141"/>
      <c r="AF762" s="145"/>
      <c r="AG762" s="419"/>
    </row>
    <row r="763" spans="1:33" s="139" customFormat="1" ht="12.75" customHeight="1" x14ac:dyDescent="0.2">
      <c r="A763" s="141"/>
      <c r="B763" s="141"/>
      <c r="C763" s="141"/>
      <c r="D763" s="142"/>
      <c r="E763" s="1014"/>
      <c r="F763" s="1014"/>
      <c r="G763" s="1027"/>
      <c r="H763" s="1027"/>
      <c r="I763" s="1174"/>
      <c r="J763" s="1174"/>
      <c r="K763" s="1174"/>
      <c r="L763" s="1172"/>
      <c r="M763" s="1172"/>
      <c r="N763" s="1175"/>
      <c r="O763" s="143"/>
      <c r="P763" s="1196"/>
      <c r="Q763" s="141"/>
      <c r="R763" s="141"/>
      <c r="S763" s="148"/>
      <c r="T763" s="419"/>
      <c r="U763" s="559"/>
      <c r="V763" s="141"/>
      <c r="W763" s="141"/>
      <c r="X763" s="141"/>
      <c r="Y763" s="144"/>
      <c r="Z763" s="141"/>
      <c r="AA763" s="141"/>
      <c r="AB763" s="141"/>
      <c r="AC763" s="141"/>
      <c r="AD763" s="141"/>
      <c r="AE763" s="141"/>
      <c r="AF763" s="145"/>
      <c r="AG763" s="419"/>
    </row>
    <row r="764" spans="1:33" s="139" customFormat="1" ht="12.75" customHeight="1" x14ac:dyDescent="0.2">
      <c r="A764" s="141"/>
      <c r="B764" s="141"/>
      <c r="C764" s="141"/>
      <c r="D764" s="142"/>
      <c r="E764" s="1014"/>
      <c r="F764" s="1014"/>
      <c r="G764" s="1027"/>
      <c r="H764" s="1027"/>
      <c r="I764" s="1174"/>
      <c r="J764" s="1174"/>
      <c r="K764" s="1174"/>
      <c r="L764" s="1172"/>
      <c r="M764" s="1172"/>
      <c r="N764" s="1175"/>
      <c r="O764" s="143"/>
      <c r="P764" s="1196"/>
      <c r="Q764" s="141"/>
      <c r="R764" s="141"/>
      <c r="S764" s="148"/>
      <c r="T764" s="419"/>
      <c r="U764" s="559"/>
      <c r="V764" s="141"/>
      <c r="W764" s="141"/>
      <c r="X764" s="141"/>
      <c r="Y764" s="144"/>
      <c r="Z764" s="141"/>
      <c r="AA764" s="141"/>
      <c r="AB764" s="141"/>
      <c r="AC764" s="141"/>
      <c r="AD764" s="141"/>
      <c r="AE764" s="141"/>
      <c r="AF764" s="145"/>
      <c r="AG764" s="419"/>
    </row>
    <row r="765" spans="1:33" s="139" customFormat="1" ht="12.75" customHeight="1" x14ac:dyDescent="0.2">
      <c r="A765" s="141"/>
      <c r="B765" s="141"/>
      <c r="C765" s="141"/>
      <c r="D765" s="142"/>
      <c r="E765" s="1014"/>
      <c r="F765" s="1014"/>
      <c r="G765" s="1027"/>
      <c r="H765" s="1027"/>
      <c r="I765" s="1174"/>
      <c r="J765" s="1174"/>
      <c r="K765" s="1174"/>
      <c r="L765" s="1172"/>
      <c r="M765" s="1172"/>
      <c r="N765" s="1175"/>
      <c r="O765" s="143"/>
      <c r="P765" s="1196"/>
      <c r="Q765" s="141"/>
      <c r="R765" s="141"/>
      <c r="S765" s="148"/>
      <c r="T765" s="419"/>
      <c r="U765" s="559"/>
      <c r="V765" s="141"/>
      <c r="W765" s="141"/>
      <c r="X765" s="141"/>
      <c r="Y765" s="144"/>
      <c r="Z765" s="141"/>
      <c r="AA765" s="141"/>
      <c r="AB765" s="141"/>
      <c r="AC765" s="141"/>
      <c r="AD765" s="141"/>
      <c r="AE765" s="141"/>
      <c r="AF765" s="145"/>
      <c r="AG765" s="419"/>
    </row>
    <row r="766" spans="1:33" s="139" customFormat="1" ht="12.75" customHeight="1" x14ac:dyDescent="0.2">
      <c r="A766" s="141"/>
      <c r="B766" s="141"/>
      <c r="C766" s="141"/>
      <c r="D766" s="142"/>
      <c r="E766" s="1014"/>
      <c r="F766" s="1014"/>
      <c r="G766" s="1027"/>
      <c r="H766" s="1027"/>
      <c r="I766" s="1174"/>
      <c r="J766" s="1174"/>
      <c r="K766" s="1174"/>
      <c r="L766" s="1172"/>
      <c r="M766" s="1172"/>
      <c r="N766" s="1175"/>
      <c r="O766" s="143"/>
      <c r="P766" s="1196"/>
      <c r="Q766" s="141"/>
      <c r="R766" s="141"/>
      <c r="S766" s="148"/>
      <c r="T766" s="419"/>
      <c r="U766" s="559"/>
      <c r="V766" s="141"/>
      <c r="W766" s="141"/>
      <c r="X766" s="141"/>
      <c r="Y766" s="144"/>
      <c r="Z766" s="141"/>
      <c r="AA766" s="141"/>
      <c r="AB766" s="141"/>
      <c r="AC766" s="141"/>
      <c r="AD766" s="141"/>
      <c r="AE766" s="141"/>
      <c r="AF766" s="145"/>
      <c r="AG766" s="419"/>
    </row>
    <row r="767" spans="1:33" s="139" customFormat="1" ht="12.75" customHeight="1" x14ac:dyDescent="0.2">
      <c r="A767" s="141"/>
      <c r="B767" s="141"/>
      <c r="C767" s="141"/>
      <c r="D767" s="142"/>
      <c r="E767" s="1014"/>
      <c r="F767" s="1014"/>
      <c r="G767" s="1027"/>
      <c r="H767" s="1027"/>
      <c r="I767" s="1174"/>
      <c r="J767" s="1174"/>
      <c r="K767" s="1174"/>
      <c r="L767" s="1172"/>
      <c r="M767" s="1172"/>
      <c r="N767" s="1175"/>
      <c r="O767" s="143"/>
      <c r="P767" s="1196"/>
      <c r="Q767" s="141"/>
      <c r="R767" s="141"/>
      <c r="S767" s="148"/>
      <c r="T767" s="419"/>
      <c r="U767" s="559"/>
      <c r="V767" s="141"/>
      <c r="W767" s="141"/>
      <c r="X767" s="141"/>
      <c r="Y767" s="144"/>
      <c r="Z767" s="141"/>
      <c r="AA767" s="141"/>
      <c r="AB767" s="141"/>
      <c r="AC767" s="141"/>
      <c r="AD767" s="141"/>
      <c r="AE767" s="141"/>
      <c r="AF767" s="145"/>
      <c r="AG767" s="419"/>
    </row>
    <row r="768" spans="1:33" s="139" customFormat="1" ht="12.75" customHeight="1" x14ac:dyDescent="0.2">
      <c r="A768" s="141"/>
      <c r="B768" s="141"/>
      <c r="C768" s="141"/>
      <c r="D768" s="142"/>
      <c r="E768" s="1014"/>
      <c r="F768" s="1014"/>
      <c r="G768" s="1027"/>
      <c r="H768" s="1027"/>
      <c r="I768" s="1174"/>
      <c r="J768" s="1174"/>
      <c r="K768" s="1174"/>
      <c r="L768" s="1172"/>
      <c r="M768" s="1172"/>
      <c r="N768" s="1175"/>
      <c r="O768" s="143"/>
      <c r="P768" s="1196"/>
      <c r="Q768" s="141"/>
      <c r="R768" s="141"/>
      <c r="S768" s="148"/>
      <c r="T768" s="419"/>
      <c r="U768" s="559"/>
      <c r="V768" s="141"/>
      <c r="W768" s="141"/>
      <c r="X768" s="141"/>
      <c r="Y768" s="144"/>
      <c r="Z768" s="141"/>
      <c r="AA768" s="141"/>
      <c r="AB768" s="141"/>
      <c r="AC768" s="141"/>
      <c r="AD768" s="141"/>
      <c r="AE768" s="141"/>
      <c r="AF768" s="145"/>
      <c r="AG768" s="419"/>
    </row>
    <row r="769" spans="1:33" s="139" customFormat="1" ht="12.75" customHeight="1" x14ac:dyDescent="0.2">
      <c r="A769" s="141"/>
      <c r="B769" s="141"/>
      <c r="C769" s="141"/>
      <c r="D769" s="142"/>
      <c r="E769" s="1014"/>
      <c r="F769" s="1014"/>
      <c r="G769" s="1027"/>
      <c r="H769" s="1027"/>
      <c r="I769" s="1174"/>
      <c r="J769" s="1174"/>
      <c r="K769" s="1174"/>
      <c r="L769" s="1172"/>
      <c r="M769" s="1172"/>
      <c r="N769" s="1175"/>
      <c r="O769" s="143"/>
      <c r="P769" s="1196"/>
      <c r="Q769" s="141"/>
      <c r="R769" s="141"/>
      <c r="S769" s="148"/>
      <c r="T769" s="419"/>
      <c r="U769" s="559"/>
      <c r="V769" s="141"/>
      <c r="W769" s="141"/>
      <c r="X769" s="141"/>
      <c r="Y769" s="144"/>
      <c r="Z769" s="141"/>
      <c r="AA769" s="141"/>
      <c r="AB769" s="141"/>
      <c r="AC769" s="141"/>
      <c r="AD769" s="141"/>
      <c r="AE769" s="141"/>
      <c r="AF769" s="145"/>
      <c r="AG769" s="419"/>
    </row>
    <row r="770" spans="1:33" s="139" customFormat="1" ht="12.75" customHeight="1" x14ac:dyDescent="0.2">
      <c r="A770" s="141"/>
      <c r="B770" s="141"/>
      <c r="C770" s="141"/>
      <c r="D770" s="142"/>
      <c r="E770" s="1014"/>
      <c r="F770" s="1014"/>
      <c r="G770" s="1027"/>
      <c r="H770" s="1027"/>
      <c r="I770" s="1174"/>
      <c r="J770" s="1174"/>
      <c r="K770" s="1174"/>
      <c r="L770" s="1172"/>
      <c r="M770" s="1172"/>
      <c r="N770" s="1175"/>
      <c r="O770" s="143"/>
      <c r="P770" s="1196"/>
      <c r="Q770" s="141"/>
      <c r="R770" s="141"/>
      <c r="S770" s="148"/>
      <c r="T770" s="419"/>
      <c r="U770" s="559"/>
      <c r="V770" s="141"/>
      <c r="W770" s="141"/>
      <c r="X770" s="141"/>
      <c r="Y770" s="144"/>
      <c r="Z770" s="141"/>
      <c r="AA770" s="141"/>
      <c r="AB770" s="141"/>
      <c r="AC770" s="141"/>
      <c r="AD770" s="141"/>
      <c r="AE770" s="141"/>
      <c r="AF770" s="145"/>
      <c r="AG770" s="419"/>
    </row>
    <row r="771" spans="1:33" s="139" customFormat="1" ht="12.75" customHeight="1" x14ac:dyDescent="0.2">
      <c r="A771" s="141"/>
      <c r="B771" s="141"/>
      <c r="C771" s="141"/>
      <c r="D771" s="142"/>
      <c r="E771" s="1014"/>
      <c r="F771" s="1014"/>
      <c r="G771" s="1027"/>
      <c r="H771" s="1027"/>
      <c r="I771" s="1174"/>
      <c r="J771" s="1174"/>
      <c r="K771" s="1174"/>
      <c r="L771" s="1172"/>
      <c r="M771" s="1172"/>
      <c r="N771" s="1175"/>
      <c r="O771" s="143"/>
      <c r="P771" s="1196"/>
      <c r="Q771" s="141"/>
      <c r="R771" s="141"/>
      <c r="S771" s="148"/>
      <c r="T771" s="419"/>
      <c r="U771" s="559"/>
      <c r="V771" s="141"/>
      <c r="W771" s="141"/>
      <c r="X771" s="141"/>
      <c r="Y771" s="144"/>
      <c r="Z771" s="141"/>
      <c r="AA771" s="141"/>
      <c r="AB771" s="141"/>
      <c r="AC771" s="141"/>
      <c r="AD771" s="141"/>
      <c r="AE771" s="141"/>
      <c r="AF771" s="145"/>
      <c r="AG771" s="419"/>
    </row>
    <row r="772" spans="1:33" s="139" customFormat="1" ht="12.75" customHeight="1" x14ac:dyDescent="0.2">
      <c r="A772" s="141"/>
      <c r="B772" s="141"/>
      <c r="C772" s="141"/>
      <c r="D772" s="142"/>
      <c r="E772" s="1014"/>
      <c r="F772" s="1014"/>
      <c r="G772" s="1027"/>
      <c r="H772" s="1027"/>
      <c r="I772" s="1174"/>
      <c r="J772" s="1174"/>
      <c r="K772" s="1174"/>
      <c r="L772" s="1172"/>
      <c r="M772" s="1172"/>
      <c r="N772" s="1175"/>
      <c r="O772" s="143"/>
      <c r="P772" s="1196"/>
      <c r="Q772" s="141"/>
      <c r="R772" s="141"/>
      <c r="S772" s="148"/>
      <c r="T772" s="419"/>
      <c r="U772" s="559"/>
      <c r="V772" s="141"/>
      <c r="W772" s="141"/>
      <c r="X772" s="141"/>
      <c r="Y772" s="144"/>
      <c r="Z772" s="141"/>
      <c r="AA772" s="141"/>
      <c r="AB772" s="141"/>
      <c r="AC772" s="141"/>
      <c r="AD772" s="141"/>
      <c r="AE772" s="141"/>
      <c r="AF772" s="145"/>
      <c r="AG772" s="419"/>
    </row>
    <row r="773" spans="1:33" s="139" customFormat="1" ht="12.75" customHeight="1" x14ac:dyDescent="0.2">
      <c r="A773" s="141"/>
      <c r="B773" s="141"/>
      <c r="C773" s="141"/>
      <c r="D773" s="142"/>
      <c r="E773" s="1014"/>
      <c r="F773" s="1014"/>
      <c r="G773" s="1027"/>
      <c r="H773" s="1027"/>
      <c r="I773" s="1174"/>
      <c r="J773" s="1174"/>
      <c r="K773" s="1174"/>
      <c r="L773" s="1172"/>
      <c r="M773" s="1172"/>
      <c r="N773" s="1175"/>
      <c r="O773" s="143"/>
      <c r="P773" s="1196"/>
      <c r="Q773" s="141"/>
      <c r="R773" s="141"/>
      <c r="S773" s="148"/>
      <c r="T773" s="419"/>
      <c r="U773" s="559"/>
      <c r="V773" s="141"/>
      <c r="W773" s="141"/>
      <c r="X773" s="141"/>
      <c r="Y773" s="144"/>
      <c r="Z773" s="141"/>
      <c r="AA773" s="141"/>
      <c r="AB773" s="141"/>
      <c r="AC773" s="141"/>
      <c r="AD773" s="141"/>
      <c r="AE773" s="141"/>
      <c r="AF773" s="145"/>
      <c r="AG773" s="419"/>
    </row>
    <row r="774" spans="1:33" s="139" customFormat="1" ht="12.75" customHeight="1" x14ac:dyDescent="0.2">
      <c r="A774" s="141"/>
      <c r="B774" s="141"/>
      <c r="C774" s="141"/>
      <c r="D774" s="142"/>
      <c r="E774" s="1014"/>
      <c r="F774" s="1014"/>
      <c r="G774" s="1027"/>
      <c r="H774" s="1027"/>
      <c r="I774" s="1174"/>
      <c r="J774" s="1174"/>
      <c r="K774" s="1174"/>
      <c r="L774" s="1172"/>
      <c r="M774" s="1172"/>
      <c r="N774" s="1175"/>
      <c r="O774" s="143"/>
      <c r="P774" s="1196"/>
      <c r="Q774" s="141"/>
      <c r="R774" s="141"/>
      <c r="S774" s="148"/>
      <c r="T774" s="419"/>
      <c r="U774" s="559"/>
      <c r="V774" s="141"/>
      <c r="W774" s="141"/>
      <c r="X774" s="141"/>
      <c r="Y774" s="144"/>
      <c r="Z774" s="141"/>
      <c r="AA774" s="141"/>
      <c r="AB774" s="141"/>
      <c r="AC774" s="141"/>
      <c r="AD774" s="141"/>
      <c r="AE774" s="141"/>
      <c r="AF774" s="145"/>
      <c r="AG774" s="419"/>
    </row>
    <row r="775" spans="1:33" s="139" customFormat="1" ht="12.75" customHeight="1" x14ac:dyDescent="0.2">
      <c r="A775" s="141"/>
      <c r="B775" s="141"/>
      <c r="C775" s="141"/>
      <c r="D775" s="142"/>
      <c r="E775" s="1014"/>
      <c r="F775" s="1014"/>
      <c r="G775" s="1027"/>
      <c r="H775" s="1027"/>
      <c r="I775" s="1174"/>
      <c r="J775" s="1174"/>
      <c r="K775" s="1174"/>
      <c r="L775" s="1172"/>
      <c r="M775" s="1172"/>
      <c r="N775" s="1175"/>
      <c r="O775" s="143"/>
      <c r="P775" s="1196"/>
      <c r="Q775" s="141"/>
      <c r="R775" s="141"/>
      <c r="S775" s="148"/>
      <c r="T775" s="419"/>
      <c r="U775" s="559"/>
      <c r="V775" s="141"/>
      <c r="W775" s="141"/>
      <c r="X775" s="141"/>
      <c r="Y775" s="144"/>
      <c r="Z775" s="141"/>
      <c r="AA775" s="141"/>
      <c r="AB775" s="141"/>
      <c r="AC775" s="141"/>
      <c r="AD775" s="141"/>
      <c r="AE775" s="141"/>
      <c r="AF775" s="145"/>
      <c r="AG775" s="419"/>
    </row>
    <row r="776" spans="1:33" s="139" customFormat="1" ht="12.75" customHeight="1" x14ac:dyDescent="0.2">
      <c r="A776" s="141"/>
      <c r="B776" s="141"/>
      <c r="C776" s="141"/>
      <c r="D776" s="142"/>
      <c r="E776" s="1014"/>
      <c r="F776" s="1014"/>
      <c r="G776" s="1027"/>
      <c r="H776" s="1027"/>
      <c r="I776" s="1174"/>
      <c r="J776" s="1174"/>
      <c r="K776" s="1174"/>
      <c r="L776" s="1172"/>
      <c r="M776" s="1172"/>
      <c r="N776" s="1175"/>
      <c r="O776" s="143"/>
      <c r="P776" s="1196"/>
      <c r="Q776" s="141"/>
      <c r="R776" s="141"/>
      <c r="S776" s="148"/>
      <c r="T776" s="419"/>
      <c r="U776" s="559"/>
      <c r="V776" s="141"/>
      <c r="W776" s="141"/>
      <c r="X776" s="141"/>
      <c r="Y776" s="144"/>
      <c r="Z776" s="141"/>
      <c r="AA776" s="141"/>
      <c r="AB776" s="141"/>
      <c r="AC776" s="141"/>
      <c r="AD776" s="141"/>
      <c r="AE776" s="141"/>
      <c r="AF776" s="145"/>
      <c r="AG776" s="419"/>
    </row>
    <row r="777" spans="1:33" s="139" customFormat="1" ht="12.75" customHeight="1" x14ac:dyDescent="0.2">
      <c r="A777" s="141"/>
      <c r="B777" s="141"/>
      <c r="C777" s="141"/>
      <c r="D777" s="142"/>
      <c r="E777" s="1014"/>
      <c r="F777" s="1014"/>
      <c r="G777" s="1027"/>
      <c r="H777" s="1027"/>
      <c r="I777" s="1174"/>
      <c r="J777" s="1174"/>
      <c r="K777" s="1174"/>
      <c r="L777" s="1172"/>
      <c r="M777" s="1172"/>
      <c r="N777" s="1175"/>
      <c r="O777" s="143"/>
      <c r="P777" s="1196"/>
      <c r="Q777" s="141"/>
      <c r="R777" s="141"/>
      <c r="S777" s="148"/>
      <c r="T777" s="419"/>
      <c r="U777" s="559"/>
      <c r="V777" s="141"/>
      <c r="W777" s="141"/>
      <c r="X777" s="141"/>
      <c r="Y777" s="144"/>
      <c r="Z777" s="141"/>
      <c r="AA777" s="141"/>
      <c r="AB777" s="141"/>
      <c r="AC777" s="141"/>
      <c r="AD777" s="141"/>
      <c r="AE777" s="141"/>
      <c r="AF777" s="145"/>
      <c r="AG777" s="419"/>
    </row>
    <row r="778" spans="1:33" s="139" customFormat="1" ht="12.75" customHeight="1" x14ac:dyDescent="0.2">
      <c r="A778" s="141"/>
      <c r="B778" s="141"/>
      <c r="C778" s="141"/>
      <c r="D778" s="142"/>
      <c r="E778" s="1014"/>
      <c r="F778" s="1014"/>
      <c r="G778" s="1027"/>
      <c r="H778" s="1027"/>
      <c r="I778" s="1174"/>
      <c r="J778" s="1174"/>
      <c r="K778" s="1174"/>
      <c r="L778" s="1172"/>
      <c r="M778" s="1172"/>
      <c r="N778" s="1175"/>
      <c r="O778" s="143"/>
      <c r="P778" s="1196"/>
      <c r="Q778" s="141"/>
      <c r="R778" s="141"/>
      <c r="S778" s="148"/>
      <c r="T778" s="419"/>
      <c r="U778" s="559"/>
      <c r="V778" s="141"/>
      <c r="W778" s="141"/>
      <c r="X778" s="141"/>
      <c r="Y778" s="144"/>
      <c r="Z778" s="141"/>
      <c r="AA778" s="141"/>
      <c r="AB778" s="141"/>
      <c r="AC778" s="141"/>
      <c r="AD778" s="141"/>
      <c r="AE778" s="141"/>
      <c r="AF778" s="145"/>
      <c r="AG778" s="419"/>
    </row>
    <row r="779" spans="1:33" s="139" customFormat="1" ht="12.75" customHeight="1" x14ac:dyDescent="0.2">
      <c r="A779" s="141"/>
      <c r="B779" s="141"/>
      <c r="C779" s="141"/>
      <c r="D779" s="142"/>
      <c r="E779" s="1014"/>
      <c r="F779" s="1014"/>
      <c r="G779" s="1027"/>
      <c r="H779" s="1027"/>
      <c r="I779" s="1174"/>
      <c r="J779" s="1174"/>
      <c r="K779" s="1174"/>
      <c r="L779" s="1172"/>
      <c r="M779" s="1172"/>
      <c r="N779" s="1175"/>
      <c r="O779" s="143"/>
      <c r="P779" s="1196"/>
      <c r="Q779" s="141"/>
      <c r="R779" s="141"/>
      <c r="S779" s="148"/>
      <c r="T779" s="419"/>
      <c r="U779" s="559"/>
      <c r="V779" s="141"/>
      <c r="W779" s="141"/>
      <c r="X779" s="141"/>
      <c r="Y779" s="144"/>
      <c r="Z779" s="141"/>
      <c r="AA779" s="141"/>
      <c r="AB779" s="141"/>
      <c r="AC779" s="141"/>
      <c r="AD779" s="141"/>
      <c r="AE779" s="141"/>
      <c r="AF779" s="145"/>
      <c r="AG779" s="419"/>
    </row>
    <row r="780" spans="1:33" s="139" customFormat="1" ht="12.75" customHeight="1" x14ac:dyDescent="0.2">
      <c r="A780" s="141"/>
      <c r="B780" s="141"/>
      <c r="C780" s="141"/>
      <c r="D780" s="142"/>
      <c r="E780" s="1014"/>
      <c r="F780" s="1014"/>
      <c r="G780" s="1027"/>
      <c r="H780" s="1027"/>
      <c r="I780" s="1174"/>
      <c r="J780" s="1174"/>
      <c r="K780" s="1174"/>
      <c r="L780" s="1172"/>
      <c r="M780" s="1172"/>
      <c r="N780" s="1175"/>
      <c r="O780" s="143"/>
      <c r="P780" s="1196"/>
      <c r="Q780" s="141"/>
      <c r="R780" s="141"/>
      <c r="S780" s="148"/>
      <c r="T780" s="419"/>
      <c r="U780" s="559"/>
      <c r="V780" s="141"/>
      <c r="W780" s="141"/>
      <c r="X780" s="141"/>
      <c r="Y780" s="144"/>
      <c r="Z780" s="141"/>
      <c r="AA780" s="141"/>
      <c r="AB780" s="141"/>
      <c r="AC780" s="141"/>
      <c r="AD780" s="141"/>
      <c r="AE780" s="141"/>
      <c r="AF780" s="145"/>
      <c r="AG780" s="419"/>
    </row>
    <row r="781" spans="1:33" s="139" customFormat="1" ht="12.75" customHeight="1" x14ac:dyDescent="0.2">
      <c r="A781" s="141"/>
      <c r="B781" s="141"/>
      <c r="C781" s="141"/>
      <c r="D781" s="142"/>
      <c r="E781" s="1014"/>
      <c r="F781" s="1014"/>
      <c r="G781" s="1027"/>
      <c r="H781" s="1027"/>
      <c r="I781" s="1174"/>
      <c r="J781" s="1174"/>
      <c r="K781" s="1174"/>
      <c r="L781" s="1172"/>
      <c r="M781" s="1172"/>
      <c r="N781" s="1175"/>
      <c r="O781" s="143"/>
      <c r="P781" s="1196"/>
      <c r="Q781" s="141"/>
      <c r="R781" s="141"/>
      <c r="S781" s="148"/>
      <c r="T781" s="419"/>
      <c r="U781" s="559"/>
      <c r="V781" s="141"/>
      <c r="W781" s="141"/>
      <c r="X781" s="141"/>
      <c r="Y781" s="144"/>
      <c r="Z781" s="141"/>
      <c r="AA781" s="141"/>
      <c r="AB781" s="141"/>
      <c r="AC781" s="141"/>
      <c r="AD781" s="141"/>
      <c r="AE781" s="141"/>
      <c r="AF781" s="145"/>
      <c r="AG781" s="419"/>
    </row>
    <row r="782" spans="1:33" s="139" customFormat="1" ht="12.75" customHeight="1" x14ac:dyDescent="0.2">
      <c r="A782" s="141"/>
      <c r="B782" s="141"/>
      <c r="C782" s="141"/>
      <c r="D782" s="142"/>
      <c r="E782" s="1014"/>
      <c r="F782" s="1014"/>
      <c r="G782" s="1027"/>
      <c r="H782" s="1027"/>
      <c r="I782" s="1174"/>
      <c r="J782" s="1174"/>
      <c r="K782" s="1174"/>
      <c r="L782" s="1172"/>
      <c r="M782" s="1172"/>
      <c r="N782" s="1175"/>
      <c r="O782" s="143"/>
      <c r="P782" s="1196"/>
      <c r="Q782" s="141"/>
      <c r="R782" s="141"/>
      <c r="S782" s="148"/>
      <c r="T782" s="419"/>
      <c r="U782" s="559"/>
      <c r="V782" s="141"/>
      <c r="W782" s="141"/>
      <c r="X782" s="141"/>
      <c r="Y782" s="144"/>
      <c r="Z782" s="141"/>
      <c r="AA782" s="141"/>
      <c r="AB782" s="141"/>
      <c r="AC782" s="141"/>
      <c r="AD782" s="141"/>
      <c r="AE782" s="141"/>
      <c r="AF782" s="145"/>
      <c r="AG782" s="419"/>
    </row>
    <row r="783" spans="1:33" s="139" customFormat="1" ht="12.75" customHeight="1" x14ac:dyDescent="0.2">
      <c r="A783" s="141"/>
      <c r="B783" s="141"/>
      <c r="C783" s="141"/>
      <c r="D783" s="142"/>
      <c r="E783" s="1014"/>
      <c r="F783" s="1014"/>
      <c r="G783" s="1027"/>
      <c r="H783" s="1027"/>
      <c r="I783" s="1174"/>
      <c r="J783" s="1174"/>
      <c r="K783" s="1174"/>
      <c r="L783" s="1172"/>
      <c r="M783" s="1172"/>
      <c r="N783" s="1175"/>
      <c r="O783" s="143"/>
      <c r="P783" s="1196"/>
      <c r="Q783" s="141"/>
      <c r="R783" s="141"/>
      <c r="S783" s="148"/>
      <c r="T783" s="419"/>
      <c r="U783" s="559"/>
      <c r="V783" s="141"/>
      <c r="W783" s="141"/>
      <c r="X783" s="141"/>
      <c r="Y783" s="144"/>
      <c r="Z783" s="141"/>
      <c r="AA783" s="141"/>
      <c r="AB783" s="141"/>
      <c r="AC783" s="141"/>
      <c r="AD783" s="141"/>
      <c r="AE783" s="141"/>
      <c r="AF783" s="145"/>
      <c r="AG783" s="419"/>
    </row>
    <row r="784" spans="1:33" s="139" customFormat="1" ht="12.75" customHeight="1" x14ac:dyDescent="0.2">
      <c r="A784" s="141"/>
      <c r="B784" s="141"/>
      <c r="C784" s="141"/>
      <c r="D784" s="142"/>
      <c r="E784" s="1014"/>
      <c r="F784" s="1014"/>
      <c r="G784" s="1027"/>
      <c r="H784" s="1027"/>
      <c r="I784" s="1174"/>
      <c r="J784" s="1174"/>
      <c r="K784" s="1174"/>
      <c r="L784" s="1172"/>
      <c r="M784" s="1172"/>
      <c r="N784" s="1175"/>
      <c r="O784" s="143"/>
      <c r="P784" s="1196"/>
      <c r="Q784" s="141"/>
      <c r="R784" s="141"/>
      <c r="S784" s="148"/>
      <c r="T784" s="419"/>
      <c r="U784" s="559"/>
      <c r="V784" s="141"/>
      <c r="W784" s="141"/>
      <c r="X784" s="141"/>
      <c r="Y784" s="144"/>
      <c r="Z784" s="141"/>
      <c r="AA784" s="141"/>
      <c r="AB784" s="141"/>
      <c r="AC784" s="141"/>
      <c r="AD784" s="141"/>
      <c r="AE784" s="141"/>
      <c r="AF784" s="145"/>
      <c r="AG784" s="419"/>
    </row>
    <row r="785" spans="1:33" s="139" customFormat="1" ht="12.75" customHeight="1" x14ac:dyDescent="0.2">
      <c r="A785" s="141"/>
      <c r="B785" s="141"/>
      <c r="C785" s="141"/>
      <c r="D785" s="142"/>
      <c r="E785" s="1014"/>
      <c r="F785" s="1014"/>
      <c r="G785" s="1027"/>
      <c r="H785" s="1027"/>
      <c r="I785" s="1174"/>
      <c r="J785" s="1174"/>
      <c r="K785" s="1174"/>
      <c r="L785" s="1172"/>
      <c r="M785" s="1172"/>
      <c r="N785" s="1175"/>
      <c r="O785" s="143"/>
      <c r="P785" s="1196"/>
      <c r="Q785" s="141"/>
      <c r="R785" s="141"/>
      <c r="S785" s="148"/>
      <c r="T785" s="419"/>
      <c r="U785" s="559"/>
      <c r="V785" s="141"/>
      <c r="W785" s="141"/>
      <c r="X785" s="141"/>
      <c r="Y785" s="144"/>
      <c r="Z785" s="141"/>
      <c r="AA785" s="141"/>
      <c r="AB785" s="141"/>
      <c r="AC785" s="141"/>
      <c r="AD785" s="141"/>
      <c r="AE785" s="141"/>
      <c r="AF785" s="145"/>
      <c r="AG785" s="419"/>
    </row>
    <row r="786" spans="1:33" s="139" customFormat="1" ht="12.75" customHeight="1" x14ac:dyDescent="0.2">
      <c r="A786" s="141"/>
      <c r="B786" s="141"/>
      <c r="C786" s="141"/>
      <c r="D786" s="142"/>
      <c r="E786" s="1014"/>
      <c r="F786" s="1014"/>
      <c r="G786" s="1027"/>
      <c r="H786" s="1027"/>
      <c r="I786" s="1174"/>
      <c r="J786" s="1174"/>
      <c r="K786" s="1174"/>
      <c r="L786" s="1172"/>
      <c r="M786" s="1172"/>
      <c r="N786" s="1175"/>
      <c r="O786" s="143"/>
      <c r="P786" s="1196"/>
      <c r="Q786" s="141"/>
      <c r="R786" s="141"/>
      <c r="S786" s="148"/>
      <c r="T786" s="419"/>
      <c r="U786" s="559"/>
      <c r="V786" s="141"/>
      <c r="W786" s="141"/>
      <c r="X786" s="141"/>
      <c r="Y786" s="144"/>
      <c r="Z786" s="141"/>
      <c r="AA786" s="141"/>
      <c r="AB786" s="141"/>
      <c r="AC786" s="141"/>
      <c r="AD786" s="141"/>
      <c r="AE786" s="141"/>
      <c r="AF786" s="145"/>
      <c r="AG786" s="419"/>
    </row>
    <row r="787" spans="1:33" s="139" customFormat="1" ht="12.75" customHeight="1" x14ac:dyDescent="0.2">
      <c r="A787" s="141"/>
      <c r="B787" s="141"/>
      <c r="C787" s="141"/>
      <c r="D787" s="142"/>
      <c r="E787" s="1014"/>
      <c r="F787" s="1014"/>
      <c r="G787" s="1027"/>
      <c r="H787" s="1027"/>
      <c r="I787" s="1174"/>
      <c r="J787" s="1174"/>
      <c r="K787" s="1174"/>
      <c r="L787" s="1172"/>
      <c r="M787" s="1172"/>
      <c r="N787" s="1175"/>
      <c r="O787" s="143"/>
      <c r="P787" s="1196"/>
      <c r="Q787" s="141"/>
      <c r="R787" s="141"/>
      <c r="S787" s="148"/>
      <c r="T787" s="419"/>
      <c r="U787" s="559"/>
      <c r="V787" s="141"/>
      <c r="W787" s="141"/>
      <c r="X787" s="141"/>
      <c r="Y787" s="144"/>
      <c r="Z787" s="141"/>
      <c r="AA787" s="141"/>
      <c r="AB787" s="141"/>
      <c r="AC787" s="141"/>
      <c r="AD787" s="141"/>
      <c r="AE787" s="141"/>
      <c r="AF787" s="145"/>
      <c r="AG787" s="419"/>
    </row>
    <row r="788" spans="1:33" s="139" customFormat="1" ht="12.75" customHeight="1" x14ac:dyDescent="0.2">
      <c r="A788" s="141"/>
      <c r="B788" s="141"/>
      <c r="C788" s="141"/>
      <c r="D788" s="142"/>
      <c r="E788" s="1014"/>
      <c r="F788" s="1014"/>
      <c r="G788" s="1027"/>
      <c r="H788" s="1027"/>
      <c r="I788" s="1174"/>
      <c r="J788" s="1174"/>
      <c r="K788" s="1174"/>
      <c r="L788" s="1172"/>
      <c r="M788" s="1172"/>
      <c r="N788" s="1175"/>
      <c r="O788" s="143"/>
      <c r="P788" s="1196"/>
      <c r="Q788" s="141"/>
      <c r="R788" s="141"/>
      <c r="S788" s="148"/>
      <c r="T788" s="419"/>
      <c r="U788" s="559"/>
      <c r="V788" s="141"/>
      <c r="W788" s="141"/>
      <c r="X788" s="141"/>
      <c r="Y788" s="144"/>
      <c r="Z788" s="141"/>
      <c r="AA788" s="141"/>
      <c r="AB788" s="141"/>
      <c r="AC788" s="141"/>
      <c r="AD788" s="141"/>
      <c r="AE788" s="141"/>
      <c r="AF788" s="145"/>
      <c r="AG788" s="419"/>
    </row>
    <row r="789" spans="1:33" s="139" customFormat="1" ht="12.75" customHeight="1" x14ac:dyDescent="0.2">
      <c r="A789" s="141"/>
      <c r="B789" s="141"/>
      <c r="C789" s="141"/>
      <c r="D789" s="142"/>
      <c r="E789" s="1014"/>
      <c r="F789" s="1014"/>
      <c r="G789" s="1027"/>
      <c r="H789" s="1027"/>
      <c r="I789" s="1174"/>
      <c r="J789" s="1174"/>
      <c r="K789" s="1174"/>
      <c r="L789" s="1172"/>
      <c r="M789" s="1172"/>
      <c r="N789" s="1175"/>
      <c r="O789" s="143"/>
      <c r="P789" s="1196"/>
      <c r="Q789" s="141"/>
      <c r="R789" s="141"/>
      <c r="S789" s="148"/>
      <c r="T789" s="419"/>
      <c r="U789" s="559"/>
      <c r="V789" s="141"/>
      <c r="W789" s="141"/>
      <c r="X789" s="141"/>
      <c r="Y789" s="144"/>
      <c r="Z789" s="141"/>
      <c r="AA789" s="141"/>
      <c r="AB789" s="141"/>
      <c r="AC789" s="141"/>
      <c r="AD789" s="141"/>
      <c r="AE789" s="141"/>
      <c r="AF789" s="145"/>
      <c r="AG789" s="419"/>
    </row>
    <row r="790" spans="1:33" s="139" customFormat="1" ht="12.75" customHeight="1" x14ac:dyDescent="0.2">
      <c r="A790" s="141"/>
      <c r="B790" s="141"/>
      <c r="C790" s="141"/>
      <c r="D790" s="142"/>
      <c r="E790" s="1014"/>
      <c r="F790" s="1014"/>
      <c r="G790" s="1027"/>
      <c r="H790" s="1027"/>
      <c r="I790" s="1174"/>
      <c r="J790" s="1174"/>
      <c r="K790" s="1174"/>
      <c r="L790" s="1172"/>
      <c r="M790" s="1172"/>
      <c r="N790" s="1175"/>
      <c r="O790" s="143"/>
      <c r="P790" s="1196"/>
      <c r="Q790" s="141"/>
      <c r="R790" s="141"/>
      <c r="S790" s="148"/>
      <c r="T790" s="419"/>
      <c r="U790" s="559"/>
      <c r="V790" s="141"/>
      <c r="W790" s="141"/>
      <c r="X790" s="141"/>
      <c r="Y790" s="144"/>
      <c r="Z790" s="141"/>
      <c r="AA790" s="141"/>
      <c r="AB790" s="141"/>
      <c r="AC790" s="141"/>
      <c r="AD790" s="141"/>
      <c r="AE790" s="141"/>
      <c r="AF790" s="145"/>
      <c r="AG790" s="419"/>
    </row>
    <row r="791" spans="1:33" s="139" customFormat="1" ht="12.75" customHeight="1" x14ac:dyDescent="0.2">
      <c r="A791" s="141"/>
      <c r="B791" s="141"/>
      <c r="C791" s="141"/>
      <c r="D791" s="142"/>
      <c r="E791" s="1014"/>
      <c r="F791" s="1014"/>
      <c r="G791" s="1027"/>
      <c r="H791" s="1027"/>
      <c r="I791" s="1174"/>
      <c r="J791" s="1174"/>
      <c r="K791" s="1174"/>
      <c r="L791" s="1172"/>
      <c r="M791" s="1172"/>
      <c r="N791" s="1175"/>
      <c r="O791" s="143"/>
      <c r="P791" s="1196"/>
      <c r="Q791" s="141"/>
      <c r="R791" s="141"/>
      <c r="S791" s="148"/>
      <c r="T791" s="419"/>
      <c r="U791" s="559"/>
      <c r="V791" s="141"/>
      <c r="W791" s="141"/>
      <c r="X791" s="141"/>
      <c r="Y791" s="144"/>
      <c r="Z791" s="141"/>
      <c r="AA791" s="141"/>
      <c r="AB791" s="141"/>
      <c r="AC791" s="141"/>
      <c r="AD791" s="141"/>
      <c r="AE791" s="141"/>
      <c r="AF791" s="145"/>
      <c r="AG791" s="419"/>
    </row>
    <row r="792" spans="1:33" s="139" customFormat="1" ht="12.75" customHeight="1" x14ac:dyDescent="0.2">
      <c r="A792" s="141"/>
      <c r="B792" s="141"/>
      <c r="C792" s="141"/>
      <c r="D792" s="142"/>
      <c r="E792" s="1014"/>
      <c r="F792" s="1014"/>
      <c r="G792" s="1027"/>
      <c r="H792" s="1027"/>
      <c r="I792" s="1174"/>
      <c r="J792" s="1174"/>
      <c r="K792" s="1174"/>
      <c r="L792" s="1172"/>
      <c r="M792" s="1172"/>
      <c r="N792" s="1175"/>
      <c r="O792" s="143"/>
      <c r="P792" s="1196"/>
      <c r="Q792" s="141"/>
      <c r="R792" s="141"/>
      <c r="S792" s="148"/>
      <c r="T792" s="419"/>
      <c r="U792" s="559"/>
      <c r="V792" s="141"/>
      <c r="W792" s="141"/>
      <c r="X792" s="141"/>
      <c r="Y792" s="144"/>
      <c r="Z792" s="141"/>
      <c r="AA792" s="141"/>
      <c r="AB792" s="141"/>
      <c r="AC792" s="141"/>
      <c r="AD792" s="141"/>
      <c r="AE792" s="141"/>
      <c r="AF792" s="145"/>
      <c r="AG792" s="419"/>
    </row>
    <row r="793" spans="1:33" s="139" customFormat="1" ht="12.75" customHeight="1" x14ac:dyDescent="0.2">
      <c r="A793" s="141"/>
      <c r="B793" s="141"/>
      <c r="C793" s="141"/>
      <c r="D793" s="142"/>
      <c r="E793" s="1014"/>
      <c r="F793" s="1014"/>
      <c r="G793" s="1027"/>
      <c r="H793" s="1027"/>
      <c r="I793" s="1174"/>
      <c r="J793" s="1174"/>
      <c r="K793" s="1174"/>
      <c r="L793" s="1172"/>
      <c r="M793" s="1172"/>
      <c r="N793" s="1175"/>
      <c r="O793" s="143"/>
      <c r="P793" s="1196"/>
      <c r="Q793" s="141"/>
      <c r="R793" s="141"/>
      <c r="S793" s="148"/>
      <c r="T793" s="419"/>
      <c r="U793" s="559"/>
      <c r="V793" s="141"/>
      <c r="W793" s="141"/>
      <c r="X793" s="141"/>
      <c r="Y793" s="144"/>
      <c r="Z793" s="141"/>
      <c r="AA793" s="141"/>
      <c r="AB793" s="141"/>
      <c r="AC793" s="141"/>
      <c r="AD793" s="141"/>
      <c r="AE793" s="141"/>
      <c r="AF793" s="145"/>
      <c r="AG793" s="419"/>
    </row>
    <row r="794" spans="1:33" s="139" customFormat="1" ht="12.75" customHeight="1" x14ac:dyDescent="0.2">
      <c r="A794" s="141"/>
      <c r="B794" s="141"/>
      <c r="C794" s="141"/>
      <c r="D794" s="142"/>
      <c r="E794" s="1014"/>
      <c r="F794" s="1014"/>
      <c r="G794" s="1027"/>
      <c r="H794" s="1027"/>
      <c r="I794" s="1174"/>
      <c r="J794" s="1174"/>
      <c r="K794" s="1174"/>
      <c r="L794" s="1172"/>
      <c r="M794" s="1172"/>
      <c r="N794" s="1175"/>
      <c r="O794" s="143"/>
      <c r="P794" s="1196"/>
      <c r="Q794" s="141"/>
      <c r="R794" s="141"/>
      <c r="S794" s="148"/>
      <c r="T794" s="419"/>
      <c r="U794" s="559"/>
      <c r="V794" s="141"/>
      <c r="W794" s="141"/>
      <c r="X794" s="141"/>
      <c r="Y794" s="144"/>
      <c r="Z794" s="141"/>
      <c r="AA794" s="141"/>
      <c r="AB794" s="141"/>
      <c r="AC794" s="141"/>
      <c r="AD794" s="141"/>
      <c r="AE794" s="141"/>
      <c r="AF794" s="145"/>
      <c r="AG794" s="419"/>
    </row>
    <row r="795" spans="1:33" s="139" customFormat="1" ht="12.75" customHeight="1" x14ac:dyDescent="0.2">
      <c r="A795" s="141"/>
      <c r="B795" s="141"/>
      <c r="C795" s="141"/>
      <c r="D795" s="142"/>
      <c r="E795" s="1014"/>
      <c r="F795" s="1014"/>
      <c r="G795" s="1027"/>
      <c r="H795" s="1027"/>
      <c r="I795" s="1174"/>
      <c r="J795" s="1174"/>
      <c r="K795" s="1174"/>
      <c r="L795" s="1172"/>
      <c r="M795" s="1172"/>
      <c r="N795" s="1175"/>
      <c r="O795" s="143"/>
      <c r="P795" s="1196"/>
      <c r="Q795" s="141"/>
      <c r="R795" s="141"/>
      <c r="S795" s="148"/>
      <c r="T795" s="419"/>
      <c r="U795" s="559"/>
      <c r="V795" s="141"/>
      <c r="W795" s="141"/>
      <c r="X795" s="141"/>
      <c r="Y795" s="144"/>
      <c r="Z795" s="141"/>
      <c r="AA795" s="141"/>
      <c r="AB795" s="141"/>
      <c r="AC795" s="141"/>
      <c r="AD795" s="141"/>
      <c r="AE795" s="141"/>
      <c r="AF795" s="145"/>
      <c r="AG795" s="419"/>
    </row>
    <row r="796" spans="1:33" s="139" customFormat="1" ht="12.75" customHeight="1" x14ac:dyDescent="0.2">
      <c r="A796" s="141"/>
      <c r="B796" s="141"/>
      <c r="C796" s="141"/>
      <c r="D796" s="142"/>
      <c r="E796" s="1014"/>
      <c r="F796" s="1014"/>
      <c r="G796" s="1027"/>
      <c r="H796" s="1027"/>
      <c r="I796" s="1174"/>
      <c r="J796" s="1174"/>
      <c r="K796" s="1174"/>
      <c r="L796" s="1172"/>
      <c r="M796" s="1172"/>
      <c r="N796" s="1175"/>
      <c r="O796" s="143"/>
      <c r="P796" s="1196"/>
      <c r="Q796" s="141"/>
      <c r="R796" s="141"/>
      <c r="S796" s="148"/>
      <c r="T796" s="419"/>
      <c r="U796" s="559"/>
      <c r="V796" s="141"/>
      <c r="W796" s="141"/>
      <c r="X796" s="141"/>
      <c r="Y796" s="144"/>
      <c r="Z796" s="141"/>
      <c r="AA796" s="141"/>
      <c r="AB796" s="141"/>
      <c r="AC796" s="141"/>
      <c r="AD796" s="141"/>
      <c r="AE796" s="141"/>
      <c r="AF796" s="145"/>
      <c r="AG796" s="419"/>
    </row>
    <row r="797" spans="1:33" s="139" customFormat="1" ht="12.75" customHeight="1" x14ac:dyDescent="0.2">
      <c r="A797" s="141"/>
      <c r="B797" s="141"/>
      <c r="C797" s="141"/>
      <c r="D797" s="142"/>
      <c r="E797" s="1014"/>
      <c r="F797" s="1014"/>
      <c r="G797" s="1027"/>
      <c r="H797" s="1027"/>
      <c r="I797" s="1174"/>
      <c r="J797" s="1174"/>
      <c r="K797" s="1174"/>
      <c r="L797" s="1172"/>
      <c r="M797" s="1172"/>
      <c r="N797" s="1175"/>
      <c r="O797" s="143"/>
      <c r="P797" s="1196"/>
      <c r="Q797" s="141"/>
      <c r="R797" s="141"/>
      <c r="S797" s="148"/>
      <c r="T797" s="419"/>
      <c r="U797" s="559"/>
      <c r="V797" s="141"/>
      <c r="W797" s="141"/>
      <c r="X797" s="141"/>
      <c r="Y797" s="144"/>
      <c r="Z797" s="141"/>
      <c r="AA797" s="141"/>
      <c r="AB797" s="141"/>
      <c r="AC797" s="141"/>
      <c r="AD797" s="141"/>
      <c r="AE797" s="141"/>
      <c r="AF797" s="145"/>
      <c r="AG797" s="419"/>
    </row>
    <row r="798" spans="1:33" s="139" customFormat="1" ht="12.75" customHeight="1" x14ac:dyDescent="0.2">
      <c r="A798" s="141"/>
      <c r="B798" s="141"/>
      <c r="C798" s="141"/>
      <c r="D798" s="142"/>
      <c r="E798" s="1014"/>
      <c r="F798" s="1014"/>
      <c r="G798" s="1027"/>
      <c r="H798" s="1027"/>
      <c r="I798" s="1174"/>
      <c r="J798" s="1174"/>
      <c r="K798" s="1174"/>
      <c r="L798" s="1172"/>
      <c r="M798" s="1172"/>
      <c r="N798" s="1175"/>
      <c r="O798" s="143"/>
      <c r="P798" s="1196"/>
      <c r="Q798" s="141"/>
      <c r="R798" s="141"/>
      <c r="S798" s="148"/>
      <c r="T798" s="419"/>
      <c r="U798" s="559"/>
      <c r="V798" s="141"/>
      <c r="W798" s="141"/>
      <c r="X798" s="141"/>
      <c r="Y798" s="144"/>
      <c r="Z798" s="141"/>
      <c r="AA798" s="141"/>
      <c r="AB798" s="141"/>
      <c r="AC798" s="141"/>
      <c r="AD798" s="141"/>
      <c r="AE798" s="141"/>
      <c r="AF798" s="145"/>
      <c r="AG798" s="419"/>
    </row>
    <row r="799" spans="1:33" s="139" customFormat="1" ht="12.75" customHeight="1" x14ac:dyDescent="0.2">
      <c r="A799" s="141"/>
      <c r="B799" s="141"/>
      <c r="C799" s="141"/>
      <c r="D799" s="142"/>
      <c r="E799" s="1014"/>
      <c r="F799" s="1014"/>
      <c r="G799" s="1027"/>
      <c r="H799" s="1027"/>
      <c r="I799" s="1174"/>
      <c r="J799" s="1174"/>
      <c r="K799" s="1174"/>
      <c r="L799" s="1172"/>
      <c r="M799" s="1172"/>
      <c r="N799" s="1175"/>
      <c r="O799" s="143"/>
      <c r="P799" s="1196"/>
      <c r="Q799" s="141"/>
      <c r="R799" s="141"/>
      <c r="S799" s="148"/>
      <c r="T799" s="419"/>
      <c r="U799" s="559"/>
      <c r="V799" s="141"/>
      <c r="W799" s="141"/>
      <c r="X799" s="141"/>
      <c r="Y799" s="144"/>
      <c r="Z799" s="141"/>
      <c r="AA799" s="141"/>
      <c r="AB799" s="141"/>
      <c r="AC799" s="141"/>
      <c r="AD799" s="141"/>
      <c r="AE799" s="141"/>
      <c r="AF799" s="145"/>
      <c r="AG799" s="419"/>
    </row>
    <row r="800" spans="1:33" s="139" customFormat="1" ht="12.75" customHeight="1" x14ac:dyDescent="0.2">
      <c r="A800" s="141"/>
      <c r="B800" s="141"/>
      <c r="C800" s="141"/>
      <c r="D800" s="142"/>
      <c r="E800" s="1014"/>
      <c r="F800" s="1014"/>
      <c r="G800" s="1027"/>
      <c r="H800" s="1027"/>
      <c r="I800" s="1174"/>
      <c r="J800" s="1174"/>
      <c r="K800" s="1174"/>
      <c r="L800" s="1172"/>
      <c r="M800" s="1172"/>
      <c r="N800" s="1175"/>
      <c r="O800" s="143"/>
      <c r="P800" s="1196"/>
      <c r="Q800" s="141"/>
      <c r="R800" s="141"/>
      <c r="S800" s="148"/>
      <c r="T800" s="419"/>
      <c r="U800" s="559"/>
      <c r="V800" s="141"/>
      <c r="W800" s="141"/>
      <c r="X800" s="141"/>
      <c r="Y800" s="144"/>
      <c r="Z800" s="141"/>
      <c r="AA800" s="141"/>
      <c r="AB800" s="141"/>
      <c r="AC800" s="141"/>
      <c r="AD800" s="141"/>
      <c r="AE800" s="141"/>
      <c r="AF800" s="145"/>
      <c r="AG800" s="419"/>
    </row>
    <row r="801" spans="1:33" s="139" customFormat="1" ht="12.75" customHeight="1" x14ac:dyDescent="0.2">
      <c r="A801" s="141"/>
      <c r="B801" s="141"/>
      <c r="C801" s="141"/>
      <c r="D801" s="142"/>
      <c r="E801" s="1014"/>
      <c r="F801" s="1014"/>
      <c r="G801" s="1027"/>
      <c r="H801" s="1027"/>
      <c r="I801" s="1174"/>
      <c r="J801" s="1174"/>
      <c r="K801" s="1174"/>
      <c r="L801" s="1172"/>
      <c r="M801" s="1172"/>
      <c r="N801" s="1175"/>
      <c r="O801" s="143"/>
      <c r="P801" s="1196"/>
      <c r="Q801" s="141"/>
      <c r="R801" s="141"/>
      <c r="S801" s="148"/>
      <c r="T801" s="419"/>
      <c r="U801" s="559"/>
      <c r="V801" s="141"/>
      <c r="W801" s="141"/>
      <c r="X801" s="141"/>
      <c r="Y801" s="144"/>
      <c r="Z801" s="141"/>
      <c r="AA801" s="141"/>
      <c r="AB801" s="141"/>
      <c r="AC801" s="141"/>
      <c r="AD801" s="141"/>
      <c r="AE801" s="141"/>
      <c r="AF801" s="145"/>
      <c r="AG801" s="419"/>
    </row>
    <row r="802" spans="1:33" s="139" customFormat="1" ht="12.75" customHeight="1" x14ac:dyDescent="0.2">
      <c r="A802" s="141"/>
      <c r="B802" s="141"/>
      <c r="C802" s="141"/>
      <c r="D802" s="142"/>
      <c r="E802" s="1014"/>
      <c r="F802" s="1014"/>
      <c r="G802" s="1027"/>
      <c r="H802" s="1027"/>
      <c r="I802" s="1174"/>
      <c r="J802" s="1174"/>
      <c r="K802" s="1174"/>
      <c r="L802" s="1172"/>
      <c r="M802" s="1172"/>
      <c r="N802" s="1175"/>
      <c r="O802" s="143"/>
      <c r="P802" s="1196"/>
      <c r="Q802" s="141"/>
      <c r="R802" s="141"/>
      <c r="S802" s="148"/>
      <c r="T802" s="419"/>
      <c r="U802" s="559"/>
      <c r="V802" s="141"/>
      <c r="W802" s="141"/>
      <c r="X802" s="141"/>
      <c r="Y802" s="144"/>
      <c r="Z802" s="141"/>
      <c r="AA802" s="141"/>
      <c r="AB802" s="141"/>
      <c r="AC802" s="141"/>
      <c r="AD802" s="141"/>
      <c r="AE802" s="141"/>
      <c r="AF802" s="145"/>
      <c r="AG802" s="419"/>
    </row>
    <row r="803" spans="1:33" s="139" customFormat="1" ht="12.75" customHeight="1" x14ac:dyDescent="0.2">
      <c r="A803" s="141"/>
      <c r="B803" s="141"/>
      <c r="C803" s="141"/>
      <c r="D803" s="142"/>
      <c r="E803" s="1014"/>
      <c r="F803" s="1014"/>
      <c r="G803" s="1027"/>
      <c r="H803" s="1027"/>
      <c r="I803" s="1174"/>
      <c r="J803" s="1174"/>
      <c r="K803" s="1174"/>
      <c r="L803" s="1172"/>
      <c r="M803" s="1172"/>
      <c r="N803" s="1175"/>
      <c r="O803" s="143"/>
      <c r="P803" s="1196"/>
      <c r="Q803" s="141"/>
      <c r="R803" s="141"/>
      <c r="S803" s="148"/>
      <c r="T803" s="419"/>
      <c r="U803" s="559"/>
      <c r="V803" s="141"/>
      <c r="W803" s="141"/>
      <c r="X803" s="141"/>
      <c r="Y803" s="144"/>
      <c r="Z803" s="141"/>
      <c r="AA803" s="141"/>
      <c r="AB803" s="141"/>
      <c r="AC803" s="141"/>
      <c r="AD803" s="141"/>
      <c r="AE803" s="141"/>
      <c r="AF803" s="145"/>
      <c r="AG803" s="419"/>
    </row>
    <row r="804" spans="1:33" s="139" customFormat="1" ht="12.75" customHeight="1" x14ac:dyDescent="0.2">
      <c r="A804" s="141"/>
      <c r="B804" s="141"/>
      <c r="C804" s="141"/>
      <c r="D804" s="142"/>
      <c r="E804" s="1014"/>
      <c r="F804" s="1014"/>
      <c r="G804" s="1027"/>
      <c r="H804" s="1027"/>
      <c r="I804" s="1174"/>
      <c r="J804" s="1174"/>
      <c r="K804" s="1174"/>
      <c r="L804" s="1172"/>
      <c r="M804" s="1172"/>
      <c r="N804" s="1175"/>
      <c r="O804" s="143"/>
      <c r="P804" s="1196"/>
      <c r="Q804" s="141"/>
      <c r="R804" s="141"/>
      <c r="S804" s="148"/>
      <c r="T804" s="419"/>
      <c r="U804" s="559"/>
      <c r="V804" s="141"/>
      <c r="W804" s="141"/>
      <c r="X804" s="141"/>
      <c r="Y804" s="144"/>
      <c r="Z804" s="141"/>
      <c r="AA804" s="141"/>
      <c r="AB804" s="141"/>
      <c r="AC804" s="141"/>
      <c r="AD804" s="141"/>
      <c r="AE804" s="141"/>
      <c r="AF804" s="145"/>
      <c r="AG804" s="419"/>
    </row>
    <row r="805" spans="1:33" s="139" customFormat="1" ht="12.75" customHeight="1" x14ac:dyDescent="0.2">
      <c r="A805" s="141"/>
      <c r="B805" s="141"/>
      <c r="C805" s="141"/>
      <c r="D805" s="142"/>
      <c r="E805" s="1014"/>
      <c r="F805" s="1014"/>
      <c r="G805" s="1027"/>
      <c r="H805" s="1027"/>
      <c r="I805" s="1174"/>
      <c r="J805" s="1174"/>
      <c r="K805" s="1174"/>
      <c r="L805" s="1172"/>
      <c r="M805" s="1172"/>
      <c r="N805" s="1175"/>
      <c r="O805" s="143"/>
      <c r="P805" s="1196"/>
      <c r="Q805" s="141"/>
      <c r="R805" s="141"/>
      <c r="S805" s="148"/>
      <c r="T805" s="419"/>
      <c r="U805" s="559"/>
      <c r="V805" s="141"/>
      <c r="W805" s="141"/>
      <c r="X805" s="141"/>
      <c r="Y805" s="144"/>
      <c r="Z805" s="141"/>
      <c r="AA805" s="141"/>
      <c r="AB805" s="141"/>
      <c r="AC805" s="141"/>
      <c r="AD805" s="141"/>
      <c r="AE805" s="141"/>
      <c r="AF805" s="145"/>
      <c r="AG805" s="419"/>
    </row>
    <row r="806" spans="1:33" s="139" customFormat="1" ht="12.75" customHeight="1" x14ac:dyDescent="0.2">
      <c r="A806" s="141"/>
      <c r="B806" s="141"/>
      <c r="C806" s="141"/>
      <c r="D806" s="142"/>
      <c r="E806" s="1014"/>
      <c r="F806" s="1014"/>
      <c r="G806" s="1027"/>
      <c r="H806" s="1027"/>
      <c r="I806" s="1174"/>
      <c r="J806" s="1174"/>
      <c r="K806" s="1174"/>
      <c r="L806" s="1172"/>
      <c r="M806" s="1172"/>
      <c r="N806" s="1175"/>
      <c r="O806" s="143"/>
      <c r="P806" s="1196"/>
      <c r="Q806" s="141"/>
      <c r="R806" s="141"/>
      <c r="S806" s="148"/>
      <c r="T806" s="419"/>
      <c r="U806" s="559"/>
      <c r="V806" s="141"/>
      <c r="W806" s="141"/>
      <c r="X806" s="141"/>
      <c r="Y806" s="144"/>
      <c r="Z806" s="141"/>
      <c r="AA806" s="141"/>
      <c r="AB806" s="141"/>
      <c r="AC806" s="141"/>
      <c r="AD806" s="141"/>
      <c r="AE806" s="141"/>
      <c r="AF806" s="145"/>
      <c r="AG806" s="419"/>
    </row>
    <row r="807" spans="1:33" s="139" customFormat="1" ht="12.75" customHeight="1" x14ac:dyDescent="0.2">
      <c r="A807" s="141"/>
      <c r="B807" s="141"/>
      <c r="C807" s="141"/>
      <c r="D807" s="142"/>
      <c r="E807" s="1014"/>
      <c r="F807" s="1014"/>
      <c r="G807" s="1027"/>
      <c r="H807" s="1027"/>
      <c r="I807" s="1174"/>
      <c r="J807" s="1174"/>
      <c r="K807" s="1174"/>
      <c r="L807" s="1172"/>
      <c r="M807" s="1172"/>
      <c r="N807" s="1175"/>
      <c r="O807" s="143"/>
      <c r="P807" s="1196"/>
      <c r="Q807" s="141"/>
      <c r="R807" s="141"/>
      <c r="S807" s="148"/>
      <c r="T807" s="419"/>
      <c r="U807" s="559"/>
      <c r="V807" s="141"/>
      <c r="W807" s="141"/>
      <c r="X807" s="141"/>
      <c r="Y807" s="144"/>
      <c r="Z807" s="141"/>
      <c r="AA807" s="141"/>
      <c r="AB807" s="141"/>
      <c r="AC807" s="141"/>
      <c r="AD807" s="141"/>
      <c r="AE807" s="141"/>
      <c r="AF807" s="145"/>
      <c r="AG807" s="419"/>
    </row>
    <row r="808" spans="1:33" s="139" customFormat="1" ht="12.75" customHeight="1" x14ac:dyDescent="0.2">
      <c r="A808" s="141"/>
      <c r="B808" s="141"/>
      <c r="C808" s="141"/>
      <c r="D808" s="142"/>
      <c r="E808" s="1014"/>
      <c r="F808" s="1014"/>
      <c r="G808" s="1027"/>
      <c r="H808" s="1027"/>
      <c r="I808" s="1174"/>
      <c r="J808" s="1174"/>
      <c r="K808" s="1174"/>
      <c r="L808" s="1172"/>
      <c r="M808" s="1172"/>
      <c r="N808" s="1175"/>
      <c r="O808" s="143"/>
      <c r="P808" s="1196"/>
      <c r="Q808" s="141"/>
      <c r="R808" s="141"/>
      <c r="S808" s="148"/>
      <c r="T808" s="419"/>
      <c r="U808" s="559"/>
      <c r="V808" s="141"/>
      <c r="W808" s="141"/>
      <c r="X808" s="141"/>
      <c r="Y808" s="144"/>
      <c r="Z808" s="141"/>
      <c r="AA808" s="141"/>
      <c r="AB808" s="141"/>
      <c r="AC808" s="141"/>
      <c r="AD808" s="141"/>
      <c r="AE808" s="141"/>
      <c r="AF808" s="145"/>
      <c r="AG808" s="419"/>
    </row>
    <row r="809" spans="1:33" s="139" customFormat="1" ht="12.75" customHeight="1" x14ac:dyDescent="0.2">
      <c r="A809" s="141"/>
      <c r="B809" s="141"/>
      <c r="C809" s="141"/>
      <c r="D809" s="142"/>
      <c r="E809" s="1014"/>
      <c r="F809" s="1014"/>
      <c r="G809" s="1027"/>
      <c r="H809" s="1027"/>
      <c r="I809" s="1174"/>
      <c r="J809" s="1174"/>
      <c r="K809" s="1174"/>
      <c r="L809" s="1172"/>
      <c r="M809" s="1172"/>
      <c r="N809" s="1175"/>
      <c r="O809" s="143"/>
      <c r="P809" s="1196"/>
      <c r="Q809" s="141"/>
      <c r="R809" s="141"/>
      <c r="S809" s="148"/>
      <c r="T809" s="419"/>
      <c r="U809" s="559"/>
      <c r="V809" s="141"/>
      <c r="W809" s="141"/>
      <c r="X809" s="141"/>
      <c r="Y809" s="144"/>
      <c r="Z809" s="141"/>
      <c r="AA809" s="141"/>
      <c r="AB809" s="141"/>
      <c r="AC809" s="141"/>
      <c r="AD809" s="141"/>
      <c r="AE809" s="141"/>
      <c r="AF809" s="145"/>
      <c r="AG809" s="419"/>
    </row>
    <row r="810" spans="1:33" s="139" customFormat="1" ht="12.75" customHeight="1" x14ac:dyDescent="0.2">
      <c r="A810" s="141"/>
      <c r="B810" s="141"/>
      <c r="C810" s="141"/>
      <c r="D810" s="142"/>
      <c r="E810" s="1014"/>
      <c r="F810" s="1014"/>
      <c r="G810" s="1027"/>
      <c r="H810" s="1027"/>
      <c r="I810" s="1174"/>
      <c r="J810" s="1174"/>
      <c r="K810" s="1174"/>
      <c r="L810" s="1172"/>
      <c r="M810" s="1172"/>
      <c r="N810" s="1175"/>
      <c r="O810" s="143"/>
      <c r="P810" s="1196"/>
      <c r="Q810" s="141"/>
      <c r="R810" s="141"/>
      <c r="S810" s="148"/>
      <c r="T810" s="419"/>
      <c r="U810" s="559"/>
      <c r="V810" s="141"/>
      <c r="W810" s="141"/>
      <c r="X810" s="141"/>
      <c r="Y810" s="144"/>
      <c r="Z810" s="141"/>
      <c r="AA810" s="141"/>
      <c r="AB810" s="141"/>
      <c r="AC810" s="141"/>
      <c r="AD810" s="141"/>
      <c r="AE810" s="141"/>
      <c r="AF810" s="145"/>
      <c r="AG810" s="419"/>
    </row>
    <row r="811" spans="1:33" s="139" customFormat="1" ht="12.75" customHeight="1" x14ac:dyDescent="0.2">
      <c r="A811" s="141"/>
      <c r="B811" s="141"/>
      <c r="C811" s="141"/>
      <c r="D811" s="142"/>
      <c r="E811" s="1014"/>
      <c r="F811" s="1014"/>
      <c r="G811" s="1027"/>
      <c r="H811" s="1027"/>
      <c r="I811" s="1174"/>
      <c r="J811" s="1174"/>
      <c r="K811" s="1174"/>
      <c r="L811" s="1172"/>
      <c r="M811" s="1172"/>
      <c r="N811" s="1175"/>
      <c r="O811" s="143"/>
      <c r="P811" s="1196"/>
      <c r="Q811" s="141"/>
      <c r="R811" s="141"/>
      <c r="S811" s="148"/>
      <c r="T811" s="419"/>
      <c r="U811" s="559"/>
      <c r="V811" s="141"/>
      <c r="W811" s="141"/>
      <c r="X811" s="141"/>
      <c r="Y811" s="144"/>
      <c r="Z811" s="141"/>
      <c r="AA811" s="141"/>
      <c r="AB811" s="141"/>
      <c r="AC811" s="141"/>
      <c r="AD811" s="141"/>
      <c r="AE811" s="141"/>
      <c r="AF811" s="145"/>
      <c r="AG811" s="419"/>
    </row>
    <row r="812" spans="1:33" s="139" customFormat="1" ht="12.75" customHeight="1" x14ac:dyDescent="0.2">
      <c r="A812" s="141"/>
      <c r="B812" s="141"/>
      <c r="C812" s="141"/>
      <c r="D812" s="142"/>
      <c r="E812" s="1014"/>
      <c r="F812" s="1014"/>
      <c r="G812" s="1027"/>
      <c r="H812" s="1027"/>
      <c r="I812" s="1174"/>
      <c r="J812" s="1174"/>
      <c r="K812" s="1174"/>
      <c r="L812" s="1172"/>
      <c r="M812" s="1172"/>
      <c r="N812" s="1175"/>
      <c r="O812" s="143"/>
      <c r="P812" s="1196"/>
      <c r="Q812" s="141"/>
      <c r="R812" s="141"/>
      <c r="S812" s="148"/>
      <c r="T812" s="419"/>
      <c r="U812" s="559"/>
      <c r="V812" s="141"/>
      <c r="W812" s="141"/>
      <c r="X812" s="141"/>
      <c r="Y812" s="144"/>
      <c r="Z812" s="141"/>
      <c r="AA812" s="141"/>
      <c r="AB812" s="141"/>
      <c r="AC812" s="141"/>
      <c r="AD812" s="141"/>
      <c r="AE812" s="141"/>
      <c r="AF812" s="145"/>
      <c r="AG812" s="419"/>
    </row>
    <row r="813" spans="1:33" s="139" customFormat="1" ht="12.75" customHeight="1" x14ac:dyDescent="0.2">
      <c r="A813" s="141"/>
      <c r="B813" s="141"/>
      <c r="C813" s="141"/>
      <c r="D813" s="142"/>
      <c r="E813" s="1014"/>
      <c r="F813" s="1014"/>
      <c r="G813" s="1027"/>
      <c r="H813" s="1027"/>
      <c r="I813" s="1174"/>
      <c r="J813" s="1174"/>
      <c r="K813" s="1174"/>
      <c r="L813" s="1172"/>
      <c r="M813" s="1172"/>
      <c r="N813" s="1175"/>
      <c r="O813" s="143"/>
      <c r="P813" s="1196"/>
      <c r="Q813" s="141"/>
      <c r="R813" s="141"/>
      <c r="S813" s="148"/>
      <c r="T813" s="419"/>
      <c r="U813" s="559"/>
      <c r="V813" s="141"/>
      <c r="W813" s="141"/>
      <c r="X813" s="141"/>
      <c r="Y813" s="144"/>
      <c r="Z813" s="141"/>
      <c r="AA813" s="141"/>
      <c r="AB813" s="141"/>
      <c r="AC813" s="141"/>
      <c r="AD813" s="141"/>
      <c r="AE813" s="141"/>
      <c r="AF813" s="145"/>
      <c r="AG813" s="419"/>
    </row>
    <row r="814" spans="1:33" s="139" customFormat="1" ht="12.75" customHeight="1" x14ac:dyDescent="0.2">
      <c r="A814" s="141"/>
      <c r="B814" s="141"/>
      <c r="C814" s="141"/>
      <c r="D814" s="142"/>
      <c r="E814" s="1014"/>
      <c r="F814" s="1014"/>
      <c r="G814" s="1027"/>
      <c r="H814" s="1027"/>
      <c r="I814" s="1174"/>
      <c r="J814" s="1174"/>
      <c r="K814" s="1174"/>
      <c r="L814" s="1172"/>
      <c r="M814" s="1172"/>
      <c r="N814" s="1175"/>
      <c r="O814" s="143"/>
      <c r="P814" s="1196"/>
      <c r="Q814" s="141"/>
      <c r="R814" s="141"/>
      <c r="S814" s="148"/>
      <c r="T814" s="419"/>
      <c r="U814" s="559"/>
      <c r="V814" s="141"/>
      <c r="W814" s="141"/>
      <c r="X814" s="141"/>
      <c r="Y814" s="144"/>
      <c r="Z814" s="141"/>
      <c r="AA814" s="141"/>
      <c r="AB814" s="141"/>
      <c r="AC814" s="141"/>
      <c r="AD814" s="141"/>
      <c r="AE814" s="141"/>
      <c r="AF814" s="145"/>
      <c r="AG814" s="419"/>
    </row>
    <row r="815" spans="1:33" s="139" customFormat="1" ht="12.75" customHeight="1" x14ac:dyDescent="0.2">
      <c r="A815" s="141"/>
      <c r="B815" s="141"/>
      <c r="C815" s="141"/>
      <c r="D815" s="142"/>
      <c r="E815" s="1014"/>
      <c r="F815" s="1014"/>
      <c r="G815" s="1027"/>
      <c r="H815" s="1027"/>
      <c r="I815" s="1174"/>
      <c r="J815" s="1174"/>
      <c r="K815" s="1174"/>
      <c r="L815" s="1172"/>
      <c r="M815" s="1172"/>
      <c r="N815" s="1175"/>
      <c r="O815" s="143"/>
      <c r="P815" s="1196"/>
      <c r="Q815" s="141"/>
      <c r="R815" s="141"/>
      <c r="S815" s="148"/>
      <c r="T815" s="419"/>
      <c r="U815" s="559"/>
      <c r="V815" s="141"/>
      <c r="W815" s="141"/>
      <c r="X815" s="141"/>
      <c r="Y815" s="144"/>
      <c r="Z815" s="141"/>
      <c r="AA815" s="141"/>
      <c r="AB815" s="141"/>
      <c r="AC815" s="141"/>
      <c r="AD815" s="141"/>
      <c r="AE815" s="141"/>
      <c r="AF815" s="145"/>
      <c r="AG815" s="419"/>
    </row>
    <row r="816" spans="1:33" s="139" customFormat="1" ht="12.75" customHeight="1" x14ac:dyDescent="0.2">
      <c r="A816" s="141"/>
      <c r="B816" s="141"/>
      <c r="C816" s="141"/>
      <c r="D816" s="142"/>
      <c r="E816" s="1014"/>
      <c r="F816" s="1014"/>
      <c r="G816" s="1027"/>
      <c r="H816" s="1027"/>
      <c r="I816" s="1174"/>
      <c r="J816" s="1174"/>
      <c r="K816" s="1174"/>
      <c r="L816" s="1172"/>
      <c r="M816" s="1172"/>
      <c r="N816" s="1175"/>
      <c r="O816" s="143"/>
      <c r="P816" s="1196"/>
      <c r="Q816" s="141"/>
      <c r="R816" s="141"/>
      <c r="S816" s="148"/>
      <c r="T816" s="419"/>
      <c r="U816" s="559"/>
      <c r="V816" s="141"/>
      <c r="W816" s="141"/>
      <c r="X816" s="141"/>
      <c r="Y816" s="144"/>
      <c r="Z816" s="141"/>
      <c r="AA816" s="141"/>
      <c r="AB816" s="141"/>
      <c r="AC816" s="141"/>
      <c r="AD816" s="141"/>
      <c r="AE816" s="141"/>
      <c r="AF816" s="145"/>
      <c r="AG816" s="419"/>
    </row>
    <row r="817" spans="1:33" s="139" customFormat="1" ht="12.75" customHeight="1" x14ac:dyDescent="0.2">
      <c r="A817" s="141"/>
      <c r="B817" s="141"/>
      <c r="C817" s="141"/>
      <c r="D817" s="142"/>
      <c r="E817" s="1014"/>
      <c r="F817" s="1014"/>
      <c r="G817" s="1027"/>
      <c r="H817" s="1027"/>
      <c r="I817" s="1174"/>
      <c r="J817" s="1174"/>
      <c r="K817" s="1174"/>
      <c r="L817" s="1172"/>
      <c r="M817" s="1172"/>
      <c r="N817" s="1175"/>
      <c r="O817" s="143"/>
      <c r="P817" s="1196"/>
      <c r="Q817" s="141"/>
      <c r="R817" s="141"/>
      <c r="S817" s="148"/>
      <c r="T817" s="419"/>
      <c r="U817" s="559"/>
      <c r="V817" s="141"/>
      <c r="W817" s="141"/>
      <c r="X817" s="141"/>
      <c r="Y817" s="144"/>
      <c r="Z817" s="141"/>
      <c r="AA817" s="141"/>
      <c r="AB817" s="141"/>
      <c r="AC817" s="141"/>
      <c r="AD817" s="141"/>
      <c r="AE817" s="141"/>
      <c r="AF817" s="145"/>
      <c r="AG817" s="419"/>
    </row>
    <row r="818" spans="1:33" s="139" customFormat="1" ht="12.75" customHeight="1" x14ac:dyDescent="0.2">
      <c r="A818" s="141"/>
      <c r="B818" s="141"/>
      <c r="C818" s="141"/>
      <c r="D818" s="142"/>
      <c r="E818" s="1014"/>
      <c r="F818" s="1014"/>
      <c r="G818" s="1027"/>
      <c r="H818" s="1027"/>
      <c r="I818" s="1174"/>
      <c r="J818" s="1174"/>
      <c r="K818" s="1174"/>
      <c r="L818" s="1172"/>
      <c r="M818" s="1172"/>
      <c r="N818" s="1175"/>
      <c r="O818" s="143"/>
      <c r="P818" s="1196"/>
      <c r="Q818" s="141"/>
      <c r="R818" s="141"/>
      <c r="S818" s="148"/>
      <c r="T818" s="419"/>
      <c r="U818" s="559"/>
      <c r="V818" s="141"/>
      <c r="W818" s="141"/>
      <c r="X818" s="141"/>
      <c r="Y818" s="144"/>
      <c r="Z818" s="141"/>
      <c r="AA818" s="141"/>
      <c r="AB818" s="141"/>
      <c r="AC818" s="141"/>
      <c r="AD818" s="141"/>
      <c r="AE818" s="141"/>
      <c r="AF818" s="145"/>
      <c r="AG818" s="419"/>
    </row>
    <row r="819" spans="1:33" s="139" customFormat="1" ht="12.75" customHeight="1" x14ac:dyDescent="0.2">
      <c r="A819" s="141"/>
      <c r="B819" s="141"/>
      <c r="C819" s="141"/>
      <c r="D819" s="142"/>
      <c r="E819" s="1014"/>
      <c r="F819" s="1014"/>
      <c r="G819" s="1027"/>
      <c r="H819" s="1027"/>
      <c r="I819" s="1174"/>
      <c r="J819" s="1174"/>
      <c r="K819" s="1174"/>
      <c r="L819" s="1172"/>
      <c r="M819" s="1172"/>
      <c r="N819" s="1175"/>
      <c r="O819" s="143"/>
      <c r="P819" s="1196"/>
      <c r="Q819" s="141"/>
      <c r="R819" s="141"/>
      <c r="S819" s="148"/>
      <c r="T819" s="419"/>
      <c r="U819" s="559"/>
      <c r="V819" s="141"/>
      <c r="W819" s="141"/>
      <c r="X819" s="141"/>
      <c r="Y819" s="144"/>
      <c r="Z819" s="141"/>
      <c r="AA819" s="141"/>
      <c r="AB819" s="141"/>
      <c r="AC819" s="141"/>
      <c r="AD819" s="141"/>
      <c r="AE819" s="141"/>
      <c r="AF819" s="145"/>
      <c r="AG819" s="419"/>
    </row>
    <row r="820" spans="1:33" s="139" customFormat="1" ht="12.75" customHeight="1" x14ac:dyDescent="0.2">
      <c r="A820" s="141"/>
      <c r="B820" s="141"/>
      <c r="C820" s="141"/>
      <c r="D820" s="142"/>
      <c r="E820" s="1014"/>
      <c r="F820" s="1014"/>
      <c r="G820" s="1027"/>
      <c r="H820" s="1027"/>
      <c r="I820" s="1174"/>
      <c r="J820" s="1174"/>
      <c r="K820" s="1174"/>
      <c r="L820" s="1172"/>
      <c r="M820" s="1172"/>
      <c r="N820" s="1175"/>
      <c r="O820" s="143"/>
      <c r="P820" s="1196"/>
      <c r="Q820" s="141"/>
      <c r="R820" s="141"/>
      <c r="S820" s="148"/>
      <c r="T820" s="419"/>
      <c r="U820" s="559"/>
      <c r="V820" s="141"/>
      <c r="W820" s="141"/>
      <c r="X820" s="141"/>
      <c r="Y820" s="144"/>
      <c r="Z820" s="141"/>
      <c r="AA820" s="141"/>
      <c r="AB820" s="141"/>
      <c r="AC820" s="141"/>
      <c r="AD820" s="141"/>
      <c r="AE820" s="141"/>
      <c r="AF820" s="145"/>
      <c r="AG820" s="419"/>
    </row>
    <row r="821" spans="1:33" s="139" customFormat="1" ht="12.75" customHeight="1" x14ac:dyDescent="0.2">
      <c r="A821" s="141"/>
      <c r="B821" s="141"/>
      <c r="C821" s="141"/>
      <c r="D821" s="142"/>
      <c r="E821" s="1014"/>
      <c r="F821" s="1014"/>
      <c r="G821" s="1027"/>
      <c r="H821" s="1027"/>
      <c r="I821" s="1174"/>
      <c r="J821" s="1174"/>
      <c r="K821" s="1174"/>
      <c r="L821" s="1172"/>
      <c r="M821" s="1172"/>
      <c r="N821" s="1175"/>
      <c r="O821" s="143"/>
      <c r="P821" s="1196"/>
      <c r="Q821" s="141"/>
      <c r="R821" s="141"/>
      <c r="S821" s="148"/>
      <c r="T821" s="419"/>
      <c r="U821" s="559"/>
      <c r="V821" s="141"/>
      <c r="W821" s="141"/>
      <c r="X821" s="141"/>
      <c r="Y821" s="144"/>
      <c r="Z821" s="141"/>
      <c r="AA821" s="141"/>
      <c r="AB821" s="141"/>
      <c r="AC821" s="141"/>
      <c r="AD821" s="141"/>
      <c r="AE821" s="141"/>
      <c r="AF821" s="145"/>
      <c r="AG821" s="419"/>
    </row>
    <row r="822" spans="1:33" s="139" customFormat="1" ht="12.75" customHeight="1" x14ac:dyDescent="0.2">
      <c r="A822" s="141"/>
      <c r="B822" s="141"/>
      <c r="C822" s="141"/>
      <c r="D822" s="142"/>
      <c r="E822" s="1014"/>
      <c r="F822" s="1014"/>
      <c r="G822" s="1027"/>
      <c r="H822" s="1027"/>
      <c r="I822" s="1174"/>
      <c r="J822" s="1174"/>
      <c r="K822" s="1174"/>
      <c r="L822" s="1172"/>
      <c r="M822" s="1172"/>
      <c r="N822" s="1175"/>
      <c r="O822" s="143"/>
      <c r="P822" s="1196"/>
      <c r="Q822" s="141"/>
      <c r="R822" s="141"/>
      <c r="S822" s="148"/>
      <c r="T822" s="419"/>
      <c r="U822" s="559"/>
      <c r="V822" s="141"/>
      <c r="W822" s="141"/>
      <c r="X822" s="141"/>
      <c r="Y822" s="144"/>
      <c r="Z822" s="141"/>
      <c r="AA822" s="141"/>
      <c r="AB822" s="141"/>
      <c r="AC822" s="141"/>
      <c r="AD822" s="141"/>
      <c r="AE822" s="141"/>
      <c r="AF822" s="145"/>
      <c r="AG822" s="419"/>
    </row>
    <row r="823" spans="1:33" s="139" customFormat="1" ht="12.75" customHeight="1" x14ac:dyDescent="0.2">
      <c r="A823" s="141"/>
      <c r="B823" s="141"/>
      <c r="C823" s="141"/>
      <c r="D823" s="142"/>
      <c r="E823" s="1014"/>
      <c r="F823" s="1014"/>
      <c r="G823" s="1027"/>
      <c r="H823" s="1027"/>
      <c r="I823" s="1174"/>
      <c r="J823" s="1174"/>
      <c r="K823" s="1174"/>
      <c r="L823" s="1172"/>
      <c r="M823" s="1172"/>
      <c r="N823" s="1175"/>
      <c r="O823" s="143"/>
      <c r="P823" s="1196"/>
      <c r="Q823" s="141"/>
      <c r="R823" s="141"/>
      <c r="S823" s="148"/>
      <c r="T823" s="419"/>
      <c r="U823" s="559"/>
      <c r="V823" s="141"/>
      <c r="W823" s="141"/>
      <c r="X823" s="141"/>
      <c r="Y823" s="144"/>
      <c r="Z823" s="141"/>
      <c r="AA823" s="141"/>
      <c r="AB823" s="141"/>
      <c r="AC823" s="141"/>
      <c r="AD823" s="141"/>
      <c r="AE823" s="141"/>
      <c r="AF823" s="145"/>
      <c r="AG823" s="419"/>
    </row>
    <row r="824" spans="1:33" s="139" customFormat="1" ht="12.75" customHeight="1" x14ac:dyDescent="0.2">
      <c r="A824" s="141"/>
      <c r="B824" s="141"/>
      <c r="C824" s="141"/>
      <c r="D824" s="142"/>
      <c r="E824" s="1014"/>
      <c r="F824" s="1014"/>
      <c r="G824" s="1027"/>
      <c r="H824" s="1027"/>
      <c r="I824" s="1174"/>
      <c r="J824" s="1174"/>
      <c r="K824" s="1174"/>
      <c r="L824" s="1172"/>
      <c r="M824" s="1172"/>
      <c r="N824" s="1175"/>
      <c r="O824" s="143"/>
      <c r="P824" s="1196"/>
      <c r="Q824" s="141"/>
      <c r="R824" s="141"/>
      <c r="S824" s="148"/>
      <c r="T824" s="419"/>
      <c r="U824" s="559"/>
      <c r="V824" s="141"/>
      <c r="W824" s="141"/>
      <c r="X824" s="141"/>
      <c r="Y824" s="144"/>
      <c r="Z824" s="141"/>
      <c r="AA824" s="141"/>
      <c r="AB824" s="141"/>
      <c r="AC824" s="141"/>
      <c r="AD824" s="141"/>
      <c r="AE824" s="141"/>
      <c r="AF824" s="145"/>
      <c r="AG824" s="419"/>
    </row>
    <row r="825" spans="1:33" s="139" customFormat="1" ht="12.75" customHeight="1" x14ac:dyDescent="0.2">
      <c r="A825" s="141"/>
      <c r="B825" s="141"/>
      <c r="C825" s="141"/>
      <c r="D825" s="142"/>
      <c r="E825" s="1014"/>
      <c r="F825" s="1014"/>
      <c r="G825" s="1027"/>
      <c r="H825" s="1027"/>
      <c r="I825" s="1174"/>
      <c r="J825" s="1174"/>
      <c r="K825" s="1174"/>
      <c r="L825" s="1172"/>
      <c r="M825" s="1172"/>
      <c r="N825" s="1175"/>
      <c r="O825" s="143"/>
      <c r="P825" s="1196"/>
      <c r="Q825" s="141"/>
      <c r="R825" s="141"/>
      <c r="S825" s="148"/>
      <c r="T825" s="419"/>
      <c r="U825" s="559"/>
      <c r="V825" s="141"/>
      <c r="W825" s="141"/>
      <c r="X825" s="141"/>
      <c r="Y825" s="144"/>
      <c r="Z825" s="141"/>
      <c r="AA825" s="141"/>
      <c r="AB825" s="141"/>
      <c r="AC825" s="141"/>
      <c r="AD825" s="141"/>
      <c r="AE825" s="141"/>
      <c r="AF825" s="145"/>
      <c r="AG825" s="419"/>
    </row>
    <row r="826" spans="1:33" s="139" customFormat="1" ht="12.75" customHeight="1" x14ac:dyDescent="0.2">
      <c r="A826" s="141"/>
      <c r="B826" s="141"/>
      <c r="C826" s="141"/>
      <c r="D826" s="142"/>
      <c r="E826" s="1014"/>
      <c r="F826" s="1014"/>
      <c r="G826" s="1027"/>
      <c r="H826" s="1027"/>
      <c r="I826" s="1174"/>
      <c r="J826" s="1174"/>
      <c r="K826" s="1174"/>
      <c r="L826" s="1172"/>
      <c r="M826" s="1172"/>
      <c r="N826" s="1175"/>
      <c r="O826" s="143"/>
      <c r="P826" s="1196"/>
      <c r="Q826" s="141"/>
      <c r="R826" s="141"/>
      <c r="S826" s="148"/>
      <c r="T826" s="419"/>
      <c r="U826" s="559"/>
      <c r="V826" s="141"/>
      <c r="W826" s="141"/>
      <c r="X826" s="141"/>
      <c r="Y826" s="144"/>
      <c r="Z826" s="141"/>
      <c r="AA826" s="141"/>
      <c r="AB826" s="141"/>
      <c r="AC826" s="141"/>
      <c r="AD826" s="141"/>
      <c r="AE826" s="141"/>
      <c r="AF826" s="145"/>
      <c r="AG826" s="419"/>
    </row>
    <row r="827" spans="1:33" s="139" customFormat="1" ht="12.75" customHeight="1" x14ac:dyDescent="0.2">
      <c r="A827" s="141"/>
      <c r="B827" s="141"/>
      <c r="C827" s="141"/>
      <c r="D827" s="142"/>
      <c r="E827" s="1014"/>
      <c r="F827" s="1014"/>
      <c r="G827" s="1027"/>
      <c r="H827" s="1027"/>
      <c r="I827" s="1174"/>
      <c r="J827" s="1174"/>
      <c r="K827" s="1174"/>
      <c r="L827" s="1172"/>
      <c r="M827" s="1172"/>
      <c r="N827" s="1175"/>
      <c r="O827" s="143"/>
      <c r="P827" s="1196"/>
      <c r="Q827" s="141"/>
      <c r="R827" s="141"/>
      <c r="S827" s="148"/>
      <c r="T827" s="419"/>
      <c r="U827" s="559"/>
      <c r="V827" s="141"/>
      <c r="W827" s="141"/>
      <c r="X827" s="141"/>
      <c r="Y827" s="144"/>
      <c r="Z827" s="141"/>
      <c r="AA827" s="141"/>
      <c r="AB827" s="141"/>
      <c r="AC827" s="141"/>
      <c r="AD827" s="141"/>
      <c r="AE827" s="141"/>
      <c r="AF827" s="145"/>
      <c r="AG827" s="419"/>
    </row>
    <row r="828" spans="1:33" s="139" customFormat="1" ht="12.75" customHeight="1" x14ac:dyDescent="0.2">
      <c r="A828" s="141"/>
      <c r="B828" s="141"/>
      <c r="C828" s="141"/>
      <c r="D828" s="142"/>
      <c r="E828" s="1014"/>
      <c r="F828" s="1014"/>
      <c r="G828" s="1027"/>
      <c r="H828" s="1027"/>
      <c r="I828" s="1174"/>
      <c r="J828" s="1174"/>
      <c r="K828" s="1174"/>
      <c r="L828" s="1172"/>
      <c r="M828" s="1172"/>
      <c r="N828" s="1175"/>
      <c r="O828" s="143"/>
      <c r="P828" s="1196"/>
      <c r="Q828" s="141"/>
      <c r="R828" s="141"/>
      <c r="S828" s="148"/>
      <c r="T828" s="419"/>
      <c r="U828" s="559"/>
      <c r="V828" s="141"/>
      <c r="W828" s="141"/>
      <c r="X828" s="141"/>
      <c r="Y828" s="144"/>
      <c r="Z828" s="141"/>
      <c r="AA828" s="141"/>
      <c r="AB828" s="141"/>
      <c r="AC828" s="141"/>
      <c r="AD828" s="141"/>
      <c r="AE828" s="141"/>
      <c r="AF828" s="145"/>
      <c r="AG828" s="419"/>
    </row>
    <row r="829" spans="1:33" s="139" customFormat="1" ht="12.75" customHeight="1" x14ac:dyDescent="0.2">
      <c r="A829" s="141"/>
      <c r="B829" s="141"/>
      <c r="C829" s="141"/>
      <c r="D829" s="142"/>
      <c r="E829" s="1014"/>
      <c r="F829" s="1014"/>
      <c r="G829" s="1027"/>
      <c r="H829" s="1027"/>
      <c r="I829" s="1174"/>
      <c r="J829" s="1174"/>
      <c r="K829" s="1174"/>
      <c r="L829" s="1172"/>
      <c r="M829" s="1172"/>
      <c r="N829" s="1175"/>
      <c r="O829" s="143"/>
      <c r="P829" s="1196"/>
      <c r="Q829" s="141"/>
      <c r="R829" s="141"/>
      <c r="S829" s="148"/>
      <c r="T829" s="419"/>
      <c r="U829" s="559"/>
      <c r="V829" s="141"/>
      <c r="W829" s="141"/>
      <c r="X829" s="141"/>
      <c r="Y829" s="144"/>
      <c r="Z829" s="141"/>
      <c r="AA829" s="141"/>
      <c r="AB829" s="141"/>
      <c r="AC829" s="141"/>
      <c r="AD829" s="141"/>
      <c r="AE829" s="141"/>
      <c r="AF829" s="145"/>
      <c r="AG829" s="419"/>
    </row>
    <row r="830" spans="1:33" s="139" customFormat="1" ht="12.75" customHeight="1" x14ac:dyDescent="0.2">
      <c r="A830" s="141"/>
      <c r="B830" s="141"/>
      <c r="C830" s="141"/>
      <c r="D830" s="142"/>
      <c r="E830" s="1014"/>
      <c r="F830" s="1014"/>
      <c r="G830" s="1027"/>
      <c r="H830" s="1027"/>
      <c r="I830" s="1174"/>
      <c r="J830" s="1174"/>
      <c r="K830" s="1174"/>
      <c r="L830" s="1172"/>
      <c r="M830" s="1172"/>
      <c r="N830" s="1175"/>
      <c r="O830" s="143"/>
      <c r="P830" s="1196"/>
      <c r="Q830" s="141"/>
      <c r="R830" s="141"/>
      <c r="S830" s="148"/>
      <c r="T830" s="419"/>
      <c r="U830" s="559"/>
      <c r="V830" s="141"/>
      <c r="W830" s="141"/>
      <c r="X830" s="141"/>
      <c r="Y830" s="144"/>
      <c r="Z830" s="141"/>
      <c r="AA830" s="141"/>
      <c r="AB830" s="141"/>
      <c r="AC830" s="141"/>
      <c r="AD830" s="141"/>
      <c r="AE830" s="141"/>
      <c r="AF830" s="145"/>
      <c r="AG830" s="419"/>
    </row>
    <row r="831" spans="1:33" s="139" customFormat="1" ht="12.75" customHeight="1" x14ac:dyDescent="0.2">
      <c r="A831" s="141"/>
      <c r="B831" s="141"/>
      <c r="C831" s="141"/>
      <c r="D831" s="142"/>
      <c r="E831" s="1014"/>
      <c r="F831" s="1014"/>
      <c r="G831" s="1027"/>
      <c r="H831" s="1027"/>
      <c r="I831" s="1174"/>
      <c r="J831" s="1174"/>
      <c r="K831" s="1174"/>
      <c r="L831" s="1172"/>
      <c r="M831" s="1172"/>
      <c r="N831" s="1175"/>
      <c r="O831" s="143"/>
      <c r="P831" s="1196"/>
      <c r="Q831" s="141"/>
      <c r="R831" s="141"/>
      <c r="S831" s="148"/>
      <c r="T831" s="419"/>
      <c r="U831" s="559"/>
      <c r="V831" s="141"/>
      <c r="W831" s="141"/>
      <c r="X831" s="141"/>
      <c r="Y831" s="144"/>
      <c r="Z831" s="141"/>
      <c r="AA831" s="141"/>
      <c r="AB831" s="141"/>
      <c r="AC831" s="141"/>
      <c r="AD831" s="141"/>
      <c r="AE831" s="141"/>
      <c r="AF831" s="145"/>
      <c r="AG831" s="419"/>
    </row>
    <row r="832" spans="1:33" s="139" customFormat="1" ht="12.75" customHeight="1" x14ac:dyDescent="0.2">
      <c r="A832" s="141"/>
      <c r="B832" s="141"/>
      <c r="C832" s="141"/>
      <c r="D832" s="142"/>
      <c r="E832" s="1014"/>
      <c r="F832" s="1014"/>
      <c r="G832" s="1027"/>
      <c r="H832" s="1027"/>
      <c r="I832" s="1174"/>
      <c r="J832" s="1174"/>
      <c r="K832" s="1174"/>
      <c r="L832" s="1172"/>
      <c r="M832" s="1172"/>
      <c r="N832" s="1175"/>
      <c r="O832" s="143"/>
      <c r="P832" s="1196"/>
      <c r="Q832" s="141"/>
      <c r="R832" s="141"/>
      <c r="S832" s="148"/>
      <c r="T832" s="419"/>
      <c r="U832" s="559"/>
      <c r="V832" s="141"/>
      <c r="W832" s="141"/>
      <c r="X832" s="141"/>
      <c r="Y832" s="144"/>
      <c r="Z832" s="141"/>
      <c r="AA832" s="141"/>
      <c r="AB832" s="141"/>
      <c r="AC832" s="141"/>
      <c r="AD832" s="141"/>
      <c r="AE832" s="141"/>
      <c r="AF832" s="145"/>
      <c r="AG832" s="419"/>
    </row>
    <row r="833" spans="1:33" s="139" customFormat="1" ht="12.75" customHeight="1" x14ac:dyDescent="0.2">
      <c r="A833" s="141"/>
      <c r="B833" s="141"/>
      <c r="C833" s="141"/>
      <c r="D833" s="142"/>
      <c r="E833" s="1014"/>
      <c r="F833" s="1014"/>
      <c r="G833" s="1027"/>
      <c r="H833" s="1027"/>
      <c r="I833" s="1174"/>
      <c r="J833" s="1174"/>
      <c r="K833" s="1174"/>
      <c r="L833" s="1172"/>
      <c r="M833" s="1172"/>
      <c r="N833" s="1175"/>
      <c r="O833" s="143"/>
      <c r="P833" s="1196"/>
      <c r="Q833" s="141"/>
      <c r="R833" s="141"/>
      <c r="S833" s="148"/>
      <c r="T833" s="419"/>
      <c r="U833" s="559"/>
      <c r="V833" s="141"/>
      <c r="W833" s="141"/>
      <c r="X833" s="141"/>
      <c r="Y833" s="144"/>
      <c r="Z833" s="141"/>
      <c r="AA833" s="141"/>
      <c r="AB833" s="141"/>
      <c r="AC833" s="141"/>
      <c r="AD833" s="141"/>
      <c r="AE833" s="141"/>
      <c r="AF833" s="145"/>
      <c r="AG833" s="419"/>
    </row>
    <row r="834" spans="1:33" s="139" customFormat="1" ht="12.75" customHeight="1" x14ac:dyDescent="0.2">
      <c r="A834" s="141"/>
      <c r="B834" s="141"/>
      <c r="C834" s="141"/>
      <c r="D834" s="142"/>
      <c r="E834" s="1014"/>
      <c r="F834" s="1014"/>
      <c r="G834" s="1027"/>
      <c r="H834" s="1027"/>
      <c r="I834" s="1174"/>
      <c r="J834" s="1174"/>
      <c r="K834" s="1174"/>
      <c r="L834" s="1172"/>
      <c r="M834" s="1172"/>
      <c r="N834" s="1175"/>
      <c r="O834" s="143"/>
      <c r="P834" s="1196"/>
      <c r="Q834" s="141"/>
      <c r="R834" s="141"/>
      <c r="S834" s="148"/>
      <c r="T834" s="419"/>
      <c r="U834" s="559"/>
      <c r="V834" s="141"/>
      <c r="W834" s="141"/>
      <c r="X834" s="141"/>
      <c r="Y834" s="144"/>
      <c r="Z834" s="141"/>
      <c r="AA834" s="141"/>
      <c r="AB834" s="141"/>
      <c r="AC834" s="141"/>
      <c r="AD834" s="141"/>
      <c r="AE834" s="141"/>
      <c r="AF834" s="145"/>
      <c r="AG834" s="419"/>
    </row>
    <row r="835" spans="1:33" s="139" customFormat="1" ht="12.75" customHeight="1" x14ac:dyDescent="0.2">
      <c r="A835" s="141"/>
      <c r="B835" s="141"/>
      <c r="C835" s="141"/>
      <c r="D835" s="142"/>
      <c r="E835" s="1014"/>
      <c r="F835" s="1014"/>
      <c r="G835" s="1027"/>
      <c r="H835" s="1027"/>
      <c r="I835" s="1174"/>
      <c r="J835" s="1174"/>
      <c r="K835" s="1174"/>
      <c r="L835" s="1172"/>
      <c r="M835" s="1172"/>
      <c r="N835" s="1175"/>
      <c r="O835" s="143"/>
      <c r="P835" s="1196"/>
      <c r="Q835" s="141"/>
      <c r="R835" s="141"/>
      <c r="S835" s="148"/>
      <c r="T835" s="419"/>
      <c r="U835" s="559"/>
      <c r="V835" s="141"/>
      <c r="W835" s="141"/>
      <c r="X835" s="141"/>
      <c r="Y835" s="144"/>
      <c r="Z835" s="141"/>
      <c r="AA835" s="141"/>
      <c r="AB835" s="141"/>
      <c r="AC835" s="141"/>
      <c r="AD835" s="141"/>
      <c r="AE835" s="141"/>
      <c r="AF835" s="145"/>
      <c r="AG835" s="419"/>
    </row>
    <row r="836" spans="1:33" s="139" customFormat="1" ht="12.75" customHeight="1" x14ac:dyDescent="0.2">
      <c r="A836" s="141"/>
      <c r="B836" s="141"/>
      <c r="C836" s="141"/>
      <c r="D836" s="142"/>
      <c r="E836" s="1014"/>
      <c r="F836" s="1014"/>
      <c r="G836" s="1027"/>
      <c r="H836" s="1027"/>
      <c r="I836" s="1174"/>
      <c r="J836" s="1174"/>
      <c r="K836" s="1174"/>
      <c r="L836" s="1172"/>
      <c r="M836" s="1172"/>
      <c r="N836" s="1175"/>
      <c r="O836" s="143"/>
      <c r="P836" s="1196"/>
      <c r="Q836" s="141"/>
      <c r="R836" s="141"/>
      <c r="S836" s="148"/>
      <c r="T836" s="419"/>
      <c r="U836" s="559"/>
      <c r="V836" s="141"/>
      <c r="W836" s="141"/>
      <c r="X836" s="141"/>
      <c r="Y836" s="144"/>
      <c r="Z836" s="141"/>
      <c r="AA836" s="141"/>
      <c r="AB836" s="141"/>
      <c r="AC836" s="141"/>
      <c r="AD836" s="141"/>
      <c r="AE836" s="141"/>
      <c r="AF836" s="145"/>
      <c r="AG836" s="419"/>
    </row>
    <row r="837" spans="1:33" s="139" customFormat="1" ht="12.75" customHeight="1" x14ac:dyDescent="0.2">
      <c r="A837" s="141"/>
      <c r="B837" s="141"/>
      <c r="C837" s="141"/>
      <c r="D837" s="141"/>
      <c r="E837" s="1014"/>
      <c r="F837" s="1014"/>
      <c r="G837" s="1027"/>
      <c r="H837" s="1027"/>
      <c r="I837" s="1174"/>
      <c r="J837" s="1174"/>
      <c r="K837" s="1174"/>
      <c r="L837" s="1172"/>
      <c r="M837" s="1172"/>
      <c r="N837" s="1175"/>
      <c r="O837" s="143"/>
      <c r="P837" s="1196"/>
      <c r="Q837" s="141"/>
      <c r="R837" s="141"/>
      <c r="S837" s="148"/>
      <c r="T837" s="419"/>
      <c r="U837" s="559"/>
      <c r="V837" s="141"/>
      <c r="W837" s="141"/>
      <c r="X837" s="141"/>
      <c r="Y837" s="144"/>
      <c r="Z837" s="141"/>
      <c r="AA837" s="141"/>
      <c r="AB837" s="141"/>
      <c r="AC837" s="141"/>
      <c r="AD837" s="141"/>
      <c r="AE837" s="141"/>
      <c r="AF837" s="145"/>
      <c r="AG837" s="419"/>
    </row>
    <row r="838" spans="1:33" s="139" customFormat="1" ht="12.75" customHeight="1" x14ac:dyDescent="0.2">
      <c r="A838" s="141"/>
      <c r="B838" s="141"/>
      <c r="C838" s="141"/>
      <c r="D838" s="141"/>
      <c r="E838" s="1014"/>
      <c r="F838" s="1014"/>
      <c r="G838" s="1027"/>
      <c r="H838" s="1027"/>
      <c r="I838" s="1174"/>
      <c r="J838" s="1174"/>
      <c r="K838" s="1174"/>
      <c r="L838" s="1172"/>
      <c r="M838" s="1172"/>
      <c r="N838" s="1175"/>
      <c r="O838" s="143"/>
      <c r="P838" s="1196"/>
      <c r="Q838" s="141"/>
      <c r="R838" s="141"/>
      <c r="S838" s="148"/>
      <c r="T838" s="419"/>
      <c r="U838" s="559"/>
      <c r="V838" s="141"/>
      <c r="W838" s="141"/>
      <c r="X838" s="141"/>
      <c r="Y838" s="144"/>
      <c r="Z838" s="141"/>
      <c r="AA838" s="141"/>
      <c r="AB838" s="141"/>
      <c r="AC838" s="141"/>
      <c r="AD838" s="141"/>
      <c r="AE838" s="141"/>
      <c r="AF838" s="145"/>
      <c r="AG838" s="419"/>
    </row>
    <row r="839" spans="1:33" s="139" customFormat="1" ht="12.75" customHeight="1" x14ac:dyDescent="0.2">
      <c r="A839" s="141"/>
      <c r="B839" s="141"/>
      <c r="C839" s="141"/>
      <c r="D839" s="141"/>
      <c r="E839" s="1014"/>
      <c r="F839" s="1014"/>
      <c r="G839" s="1027"/>
      <c r="H839" s="1027"/>
      <c r="I839" s="1174"/>
      <c r="J839" s="1174"/>
      <c r="K839" s="1174"/>
      <c r="L839" s="1172"/>
      <c r="M839" s="1172"/>
      <c r="N839" s="1175"/>
      <c r="O839" s="143"/>
      <c r="P839" s="1196"/>
      <c r="Q839" s="141"/>
      <c r="R839" s="141"/>
      <c r="S839" s="148"/>
      <c r="T839" s="419"/>
      <c r="U839" s="559"/>
      <c r="V839" s="141"/>
      <c r="W839" s="141"/>
      <c r="X839" s="141"/>
      <c r="Y839" s="144"/>
      <c r="Z839" s="141"/>
      <c r="AA839" s="141"/>
      <c r="AB839" s="141"/>
      <c r="AC839" s="141"/>
      <c r="AD839" s="141"/>
      <c r="AE839" s="141"/>
      <c r="AF839" s="145"/>
      <c r="AG839" s="419"/>
    </row>
    <row r="840" spans="1:33" s="139" customFormat="1" ht="12.75" customHeight="1" x14ac:dyDescent="0.2">
      <c r="A840" s="141"/>
      <c r="B840" s="141"/>
      <c r="C840" s="141"/>
      <c r="D840" s="141"/>
      <c r="E840" s="1014"/>
      <c r="F840" s="1014"/>
      <c r="G840" s="1027"/>
      <c r="H840" s="1027"/>
      <c r="I840" s="1174"/>
      <c r="J840" s="1174"/>
      <c r="K840" s="1174"/>
      <c r="L840" s="1172"/>
      <c r="M840" s="1172"/>
      <c r="N840" s="1175"/>
      <c r="O840" s="143"/>
      <c r="P840" s="1196"/>
      <c r="Q840" s="141"/>
      <c r="R840" s="141"/>
      <c r="S840" s="148"/>
      <c r="T840" s="419"/>
      <c r="U840" s="559"/>
      <c r="V840" s="141"/>
      <c r="W840" s="141"/>
      <c r="X840" s="141"/>
      <c r="Y840" s="144"/>
      <c r="Z840" s="141"/>
      <c r="AA840" s="141"/>
      <c r="AB840" s="141"/>
      <c r="AC840" s="141"/>
      <c r="AD840" s="141"/>
      <c r="AE840" s="141"/>
      <c r="AF840" s="145"/>
      <c r="AG840" s="419"/>
    </row>
    <row r="841" spans="1:33" s="139" customFormat="1" ht="12.75" customHeight="1" x14ac:dyDescent="0.2">
      <c r="A841" s="141"/>
      <c r="B841" s="141"/>
      <c r="C841" s="141"/>
      <c r="D841" s="141"/>
      <c r="E841" s="1014"/>
      <c r="F841" s="1014"/>
      <c r="G841" s="1027"/>
      <c r="H841" s="1027"/>
      <c r="I841" s="1174"/>
      <c r="J841" s="1174"/>
      <c r="K841" s="1174"/>
      <c r="L841" s="1172"/>
      <c r="M841" s="1172"/>
      <c r="N841" s="1175"/>
      <c r="O841" s="143"/>
      <c r="P841" s="1196"/>
      <c r="Q841" s="141"/>
      <c r="R841" s="141"/>
      <c r="S841" s="148"/>
      <c r="T841" s="419"/>
      <c r="U841" s="559"/>
      <c r="V841" s="141"/>
      <c r="W841" s="141"/>
      <c r="X841" s="141"/>
      <c r="Y841" s="144"/>
      <c r="Z841" s="141"/>
      <c r="AA841" s="141"/>
      <c r="AB841" s="141"/>
      <c r="AC841" s="141"/>
      <c r="AD841" s="141"/>
      <c r="AE841" s="141"/>
      <c r="AF841" s="145"/>
      <c r="AG841" s="419"/>
    </row>
    <row r="842" spans="1:33" s="139" customFormat="1" ht="12.75" customHeight="1" x14ac:dyDescent="0.2">
      <c r="A842" s="141"/>
      <c r="B842" s="141"/>
      <c r="C842" s="141"/>
      <c r="D842" s="141"/>
      <c r="E842" s="1014"/>
      <c r="F842" s="1014"/>
      <c r="G842" s="1027"/>
      <c r="H842" s="1027"/>
      <c r="I842" s="1174"/>
      <c r="J842" s="1174"/>
      <c r="K842" s="1174"/>
      <c r="L842" s="1172"/>
      <c r="M842" s="1172"/>
      <c r="N842" s="1175"/>
      <c r="O842" s="143"/>
      <c r="P842" s="1196"/>
      <c r="Q842" s="141"/>
      <c r="R842" s="141"/>
      <c r="S842" s="148"/>
      <c r="T842" s="419"/>
      <c r="U842" s="559"/>
      <c r="V842" s="141"/>
      <c r="W842" s="141"/>
      <c r="X842" s="141"/>
      <c r="Y842" s="144"/>
      <c r="Z842" s="141"/>
      <c r="AA842" s="141"/>
      <c r="AB842" s="141"/>
      <c r="AC842" s="141"/>
      <c r="AD842" s="141"/>
      <c r="AE842" s="141"/>
      <c r="AF842" s="145"/>
      <c r="AG842" s="419"/>
    </row>
    <row r="843" spans="1:33" s="139" customFormat="1" ht="12.75" customHeight="1" x14ac:dyDescent="0.2">
      <c r="A843" s="141"/>
      <c r="B843" s="141"/>
      <c r="C843" s="141"/>
      <c r="D843" s="141"/>
      <c r="E843" s="1014"/>
      <c r="F843" s="1014"/>
      <c r="G843" s="1027"/>
      <c r="H843" s="1027"/>
      <c r="I843" s="1174"/>
      <c r="J843" s="1174"/>
      <c r="K843" s="1174"/>
      <c r="L843" s="1172"/>
      <c r="M843" s="1172"/>
      <c r="N843" s="1175"/>
      <c r="O843" s="143"/>
      <c r="P843" s="1196"/>
      <c r="Q843" s="141"/>
      <c r="R843" s="141"/>
      <c r="S843" s="148"/>
      <c r="T843" s="419"/>
      <c r="U843" s="559"/>
      <c r="V843" s="141"/>
      <c r="W843" s="141"/>
      <c r="X843" s="141"/>
      <c r="Y843" s="144"/>
      <c r="Z843" s="141"/>
      <c r="AA843" s="141"/>
      <c r="AB843" s="141"/>
      <c r="AC843" s="141"/>
      <c r="AD843" s="141"/>
      <c r="AE843" s="141"/>
      <c r="AF843" s="145"/>
      <c r="AG843" s="419"/>
    </row>
    <row r="844" spans="1:33" s="139" customFormat="1" ht="12.75" customHeight="1" x14ac:dyDescent="0.2">
      <c r="A844" s="141"/>
      <c r="B844" s="141"/>
      <c r="C844" s="141"/>
      <c r="D844" s="141"/>
      <c r="E844" s="1014"/>
      <c r="F844" s="1014"/>
      <c r="G844" s="1027"/>
      <c r="H844" s="1027"/>
      <c r="I844" s="1174"/>
      <c r="J844" s="1174"/>
      <c r="K844" s="1174"/>
      <c r="L844" s="1172"/>
      <c r="M844" s="1172"/>
      <c r="N844" s="1175"/>
      <c r="O844" s="143"/>
      <c r="P844" s="1196"/>
      <c r="Q844" s="141"/>
      <c r="R844" s="141"/>
      <c r="S844" s="148"/>
      <c r="T844" s="419"/>
      <c r="U844" s="559"/>
      <c r="V844" s="141"/>
      <c r="W844" s="141"/>
      <c r="X844" s="141"/>
      <c r="Y844" s="144"/>
      <c r="Z844" s="141"/>
      <c r="AA844" s="141"/>
      <c r="AB844" s="141"/>
      <c r="AC844" s="141"/>
      <c r="AD844" s="141"/>
      <c r="AE844" s="141"/>
      <c r="AF844" s="145"/>
      <c r="AG844" s="419"/>
    </row>
    <row r="845" spans="1:33" s="139" customFormat="1" ht="12.75" customHeight="1" x14ac:dyDescent="0.2">
      <c r="A845" s="141"/>
      <c r="B845" s="141"/>
      <c r="C845" s="141"/>
      <c r="D845" s="141"/>
      <c r="E845" s="1014"/>
      <c r="F845" s="1014"/>
      <c r="G845" s="1027"/>
      <c r="H845" s="1027"/>
      <c r="I845" s="1174"/>
      <c r="J845" s="1174"/>
      <c r="K845" s="1174"/>
      <c r="L845" s="1172"/>
      <c r="M845" s="1172"/>
      <c r="N845" s="1175"/>
      <c r="O845" s="143"/>
      <c r="P845" s="1196"/>
      <c r="Q845" s="141"/>
      <c r="R845" s="141"/>
      <c r="S845" s="148"/>
      <c r="T845" s="419"/>
      <c r="U845" s="559"/>
      <c r="V845" s="141"/>
      <c r="W845" s="141"/>
      <c r="X845" s="141"/>
      <c r="Y845" s="144"/>
      <c r="Z845" s="141"/>
      <c r="AA845" s="141"/>
      <c r="AB845" s="141"/>
      <c r="AC845" s="141"/>
      <c r="AD845" s="141"/>
      <c r="AE845" s="141"/>
      <c r="AF845" s="145"/>
      <c r="AG845" s="419"/>
    </row>
    <row r="846" spans="1:33" s="139" customFormat="1" ht="12.75" customHeight="1" x14ac:dyDescent="0.2">
      <c r="A846" s="141"/>
      <c r="B846" s="141"/>
      <c r="C846" s="141"/>
      <c r="D846" s="141"/>
      <c r="E846" s="1014"/>
      <c r="F846" s="1014"/>
      <c r="G846" s="1027"/>
      <c r="H846" s="1027"/>
      <c r="I846" s="1174"/>
      <c r="J846" s="1174"/>
      <c r="K846" s="1174"/>
      <c r="L846" s="1172"/>
      <c r="M846" s="1172"/>
      <c r="N846" s="1175"/>
      <c r="O846" s="143"/>
      <c r="P846" s="1196"/>
      <c r="Q846" s="141"/>
      <c r="R846" s="141"/>
      <c r="S846" s="148"/>
      <c r="T846" s="419"/>
      <c r="U846" s="559"/>
      <c r="V846" s="141"/>
      <c r="W846" s="141"/>
      <c r="X846" s="141"/>
      <c r="Y846" s="144"/>
      <c r="Z846" s="141"/>
      <c r="AA846" s="141"/>
      <c r="AB846" s="141"/>
      <c r="AC846" s="141"/>
      <c r="AD846" s="141"/>
      <c r="AE846" s="141"/>
      <c r="AF846" s="145"/>
      <c r="AG846" s="419"/>
    </row>
    <row r="847" spans="1:33" s="139" customFormat="1" ht="12.75" customHeight="1" x14ac:dyDescent="0.2">
      <c r="A847" s="141"/>
      <c r="B847" s="141"/>
      <c r="C847" s="141"/>
      <c r="D847" s="141"/>
      <c r="E847" s="1014"/>
      <c r="F847" s="1014"/>
      <c r="G847" s="1027"/>
      <c r="H847" s="1027"/>
      <c r="I847" s="1174"/>
      <c r="J847" s="1174"/>
      <c r="K847" s="1174"/>
      <c r="L847" s="1172"/>
      <c r="M847" s="1172"/>
      <c r="N847" s="1175"/>
      <c r="O847" s="143"/>
      <c r="P847" s="1196"/>
      <c r="Q847" s="141"/>
      <c r="R847" s="141"/>
      <c r="S847" s="148"/>
      <c r="T847" s="419"/>
      <c r="U847" s="559"/>
      <c r="V847" s="141"/>
      <c r="W847" s="141"/>
      <c r="X847" s="141"/>
      <c r="Y847" s="144"/>
      <c r="Z847" s="141"/>
      <c r="AA847" s="141"/>
      <c r="AB847" s="141"/>
      <c r="AC847" s="141"/>
      <c r="AD847" s="141"/>
      <c r="AE847" s="141"/>
      <c r="AF847" s="145"/>
      <c r="AG847" s="419"/>
    </row>
    <row r="848" spans="1:33" s="139" customFormat="1" ht="12.75" customHeight="1" x14ac:dyDescent="0.2">
      <c r="A848" s="141"/>
      <c r="B848" s="141"/>
      <c r="C848" s="141"/>
      <c r="D848" s="141"/>
      <c r="E848" s="1014"/>
      <c r="F848" s="1014"/>
      <c r="G848" s="1027"/>
      <c r="H848" s="1027"/>
      <c r="I848" s="1174"/>
      <c r="J848" s="1174"/>
      <c r="K848" s="1174"/>
      <c r="L848" s="1172"/>
      <c r="M848" s="1172"/>
      <c r="N848" s="1175"/>
      <c r="O848" s="143"/>
      <c r="P848" s="1196"/>
      <c r="Q848" s="141"/>
      <c r="R848" s="141"/>
      <c r="S848" s="148"/>
      <c r="T848" s="419"/>
      <c r="U848" s="559"/>
      <c r="V848" s="141"/>
      <c r="W848" s="141"/>
      <c r="X848" s="141"/>
      <c r="Y848" s="144"/>
      <c r="Z848" s="141"/>
      <c r="AA848" s="141"/>
      <c r="AB848" s="141"/>
      <c r="AC848" s="141"/>
      <c r="AD848" s="141"/>
      <c r="AE848" s="141"/>
      <c r="AF848" s="145"/>
      <c r="AG848" s="419"/>
    </row>
    <row r="849" spans="1:33" s="139" customFormat="1" ht="12.75" customHeight="1" x14ac:dyDescent="0.2">
      <c r="A849" s="141"/>
      <c r="B849" s="141"/>
      <c r="C849" s="141"/>
      <c r="D849" s="141"/>
      <c r="E849" s="1014"/>
      <c r="F849" s="1014"/>
      <c r="G849" s="1027"/>
      <c r="H849" s="1027"/>
      <c r="I849" s="1174"/>
      <c r="J849" s="1174"/>
      <c r="K849" s="1174"/>
      <c r="L849" s="1172"/>
      <c r="M849" s="1172"/>
      <c r="N849" s="1175"/>
      <c r="O849" s="143"/>
      <c r="P849" s="1196"/>
      <c r="Q849" s="141"/>
      <c r="R849" s="141"/>
      <c r="S849" s="148"/>
      <c r="T849" s="419"/>
      <c r="U849" s="559"/>
      <c r="V849" s="141"/>
      <c r="W849" s="141"/>
      <c r="X849" s="141"/>
      <c r="Y849" s="144"/>
      <c r="Z849" s="141"/>
      <c r="AA849" s="141"/>
      <c r="AB849" s="141"/>
      <c r="AC849" s="141"/>
      <c r="AD849" s="141"/>
      <c r="AE849" s="141"/>
      <c r="AF849" s="145"/>
      <c r="AG849" s="419"/>
    </row>
    <row r="850" spans="1:33" s="139" customFormat="1" ht="12.75" customHeight="1" x14ac:dyDescent="0.2">
      <c r="A850" s="141"/>
      <c r="B850" s="141"/>
      <c r="C850" s="141"/>
      <c r="D850" s="141"/>
      <c r="E850" s="1014"/>
      <c r="F850" s="1014"/>
      <c r="G850" s="1027"/>
      <c r="H850" s="1027"/>
      <c r="I850" s="1174"/>
      <c r="J850" s="1174"/>
      <c r="K850" s="1174"/>
      <c r="L850" s="1172"/>
      <c r="M850" s="1172"/>
      <c r="N850" s="1175"/>
      <c r="O850" s="143"/>
      <c r="P850" s="1196"/>
      <c r="Q850" s="141"/>
      <c r="R850" s="141"/>
      <c r="S850" s="148"/>
      <c r="T850" s="419"/>
      <c r="U850" s="559"/>
      <c r="V850" s="141"/>
      <c r="W850" s="141"/>
      <c r="X850" s="141"/>
      <c r="Y850" s="144"/>
      <c r="Z850" s="141"/>
      <c r="AA850" s="141"/>
      <c r="AB850" s="141"/>
      <c r="AC850" s="141"/>
      <c r="AD850" s="141"/>
      <c r="AE850" s="141"/>
      <c r="AF850" s="145"/>
      <c r="AG850" s="419"/>
    </row>
    <row r="851" spans="1:33" s="139" customFormat="1" ht="12.75" customHeight="1" x14ac:dyDescent="0.2">
      <c r="A851" s="141"/>
      <c r="B851" s="141"/>
      <c r="C851" s="141"/>
      <c r="D851" s="141"/>
      <c r="E851" s="1014"/>
      <c r="F851" s="1014"/>
      <c r="G851" s="1027"/>
      <c r="H851" s="1027"/>
      <c r="I851" s="1174"/>
      <c r="J851" s="1174"/>
      <c r="K851" s="1174"/>
      <c r="L851" s="1172"/>
      <c r="M851" s="1172"/>
      <c r="N851" s="1175"/>
      <c r="O851" s="143"/>
      <c r="P851" s="1196"/>
      <c r="Q851" s="141"/>
      <c r="R851" s="141"/>
      <c r="S851" s="148"/>
      <c r="T851" s="419"/>
      <c r="U851" s="559"/>
      <c r="V851" s="141"/>
      <c r="W851" s="141"/>
      <c r="X851" s="141"/>
      <c r="Y851" s="144"/>
      <c r="Z851" s="141"/>
      <c r="AA851" s="141"/>
      <c r="AB851" s="141"/>
      <c r="AC851" s="141"/>
      <c r="AD851" s="141"/>
      <c r="AE851" s="141"/>
      <c r="AF851" s="145"/>
      <c r="AG851" s="419"/>
    </row>
    <row r="852" spans="1:33" s="139" customFormat="1" ht="12.75" customHeight="1" x14ac:dyDescent="0.2">
      <c r="A852" s="141"/>
      <c r="B852" s="141"/>
      <c r="C852" s="141"/>
      <c r="D852" s="141"/>
      <c r="E852" s="1014"/>
      <c r="F852" s="1014"/>
      <c r="G852" s="1027"/>
      <c r="H852" s="1027"/>
      <c r="I852" s="1174"/>
      <c r="J852" s="1174"/>
      <c r="K852" s="1174"/>
      <c r="L852" s="1172"/>
      <c r="M852" s="1172"/>
      <c r="N852" s="1175"/>
      <c r="O852" s="143"/>
      <c r="P852" s="1196"/>
      <c r="Q852" s="141"/>
      <c r="R852" s="141"/>
      <c r="S852" s="148"/>
      <c r="T852" s="419"/>
      <c r="U852" s="559"/>
      <c r="V852" s="141"/>
      <c r="W852" s="141"/>
      <c r="X852" s="141"/>
      <c r="Y852" s="144"/>
      <c r="Z852" s="141"/>
      <c r="AA852" s="141"/>
      <c r="AB852" s="141"/>
      <c r="AC852" s="141"/>
      <c r="AD852" s="141"/>
      <c r="AE852" s="141"/>
      <c r="AF852" s="145"/>
      <c r="AG852" s="419"/>
    </row>
    <row r="853" spans="1:33" s="139" customFormat="1" ht="12.75" customHeight="1" x14ac:dyDescent="0.2">
      <c r="A853" s="141"/>
      <c r="B853" s="141"/>
      <c r="C853" s="141"/>
      <c r="D853" s="141"/>
      <c r="E853" s="1014"/>
      <c r="F853" s="1014"/>
      <c r="G853" s="1027"/>
      <c r="H853" s="1027"/>
      <c r="I853" s="1174"/>
      <c r="J853" s="1174"/>
      <c r="K853" s="1174"/>
      <c r="L853" s="1172"/>
      <c r="M853" s="1172"/>
      <c r="N853" s="1175"/>
      <c r="O853" s="143"/>
      <c r="P853" s="1196"/>
      <c r="Q853" s="141"/>
      <c r="R853" s="141"/>
      <c r="S853" s="148"/>
      <c r="T853" s="419"/>
      <c r="U853" s="559"/>
      <c r="V853" s="141"/>
      <c r="W853" s="141"/>
      <c r="X853" s="141"/>
      <c r="Y853" s="144"/>
      <c r="Z853" s="141"/>
      <c r="AA853" s="141"/>
      <c r="AB853" s="141"/>
      <c r="AC853" s="141"/>
      <c r="AD853" s="141"/>
      <c r="AE853" s="141"/>
      <c r="AF853" s="145"/>
      <c r="AG853" s="419"/>
    </row>
    <row r="854" spans="1:33" s="139" customFormat="1" ht="12.75" customHeight="1" x14ac:dyDescent="0.2">
      <c r="A854" s="141"/>
      <c r="B854" s="141"/>
      <c r="C854" s="141"/>
      <c r="D854" s="141"/>
      <c r="E854" s="1014"/>
      <c r="F854" s="1014"/>
      <c r="G854" s="1027"/>
      <c r="H854" s="1027"/>
      <c r="I854" s="1174"/>
      <c r="J854" s="1174"/>
      <c r="K854" s="1174"/>
      <c r="L854" s="1172"/>
      <c r="M854" s="1172"/>
      <c r="N854" s="1175"/>
      <c r="O854" s="143"/>
      <c r="P854" s="1196"/>
      <c r="Q854" s="141"/>
      <c r="R854" s="141"/>
      <c r="S854" s="148"/>
      <c r="T854" s="419"/>
      <c r="U854" s="559"/>
      <c r="V854" s="141"/>
      <c r="W854" s="141"/>
      <c r="X854" s="141"/>
      <c r="Y854" s="144"/>
      <c r="Z854" s="141"/>
      <c r="AA854" s="141"/>
      <c r="AB854" s="141"/>
      <c r="AC854" s="141"/>
      <c r="AD854" s="141"/>
      <c r="AE854" s="141"/>
      <c r="AF854" s="145"/>
      <c r="AG854" s="419"/>
    </row>
    <row r="855" spans="1:33" s="139" customFormat="1" ht="12.75" customHeight="1" x14ac:dyDescent="0.2">
      <c r="A855" s="141"/>
      <c r="B855" s="141"/>
      <c r="C855" s="141"/>
      <c r="D855" s="141"/>
      <c r="E855" s="1014"/>
      <c r="F855" s="1014"/>
      <c r="G855" s="1027"/>
      <c r="H855" s="1027"/>
      <c r="I855" s="1174"/>
      <c r="J855" s="1174"/>
      <c r="K855" s="1174"/>
      <c r="L855" s="1172"/>
      <c r="M855" s="1172"/>
      <c r="N855" s="1175"/>
      <c r="O855" s="143"/>
      <c r="P855" s="1196"/>
      <c r="Q855" s="141"/>
      <c r="R855" s="141"/>
      <c r="S855" s="148"/>
      <c r="T855" s="419"/>
      <c r="U855" s="559"/>
      <c r="V855" s="141"/>
      <c r="W855" s="141"/>
      <c r="X855" s="141"/>
      <c r="Y855" s="144"/>
      <c r="Z855" s="141"/>
      <c r="AA855" s="141"/>
      <c r="AB855" s="141"/>
      <c r="AC855" s="141"/>
      <c r="AD855" s="141"/>
      <c r="AE855" s="141"/>
      <c r="AF855" s="145"/>
      <c r="AG855" s="419"/>
    </row>
    <row r="856" spans="1:33" s="139" customFormat="1" ht="12.75" customHeight="1" x14ac:dyDescent="0.2">
      <c r="A856" s="141"/>
      <c r="B856" s="141"/>
      <c r="C856" s="141"/>
      <c r="D856" s="141"/>
      <c r="E856" s="1014"/>
      <c r="F856" s="1014"/>
      <c r="G856" s="1027"/>
      <c r="H856" s="1027"/>
      <c r="I856" s="1174"/>
      <c r="J856" s="1174"/>
      <c r="K856" s="1174"/>
      <c r="L856" s="1172"/>
      <c r="M856" s="1172"/>
      <c r="N856" s="1175"/>
      <c r="O856" s="143"/>
      <c r="P856" s="1196"/>
      <c r="Q856" s="141"/>
      <c r="R856" s="141"/>
      <c r="S856" s="148"/>
      <c r="T856" s="419"/>
      <c r="U856" s="559"/>
      <c r="V856" s="141"/>
      <c r="W856" s="141"/>
      <c r="X856" s="141"/>
      <c r="Y856" s="144"/>
      <c r="Z856" s="141"/>
      <c r="AA856" s="141"/>
      <c r="AB856" s="141"/>
      <c r="AC856" s="141"/>
      <c r="AD856" s="141"/>
      <c r="AE856" s="141"/>
      <c r="AF856" s="145"/>
      <c r="AG856" s="419"/>
    </row>
    <row r="857" spans="1:33" s="139" customFormat="1" ht="12.75" customHeight="1" x14ac:dyDescent="0.2">
      <c r="A857" s="141"/>
      <c r="B857" s="141"/>
      <c r="C857" s="141"/>
      <c r="D857" s="141"/>
      <c r="E857" s="1014"/>
      <c r="F857" s="1014"/>
      <c r="G857" s="1027"/>
      <c r="H857" s="1027"/>
      <c r="I857" s="1174"/>
      <c r="J857" s="1174"/>
      <c r="K857" s="1174"/>
      <c r="L857" s="1172"/>
      <c r="M857" s="1172"/>
      <c r="N857" s="1175"/>
      <c r="O857" s="143"/>
      <c r="P857" s="1196"/>
      <c r="Q857" s="141"/>
      <c r="R857" s="141"/>
      <c r="S857" s="148"/>
      <c r="T857" s="419"/>
      <c r="U857" s="559"/>
      <c r="V857" s="141"/>
      <c r="W857" s="141"/>
      <c r="X857" s="141"/>
      <c r="Y857" s="144"/>
      <c r="Z857" s="141"/>
      <c r="AA857" s="141"/>
      <c r="AB857" s="141"/>
      <c r="AC857" s="141"/>
      <c r="AD857" s="141"/>
      <c r="AE857" s="141"/>
      <c r="AF857" s="145"/>
      <c r="AG857" s="419"/>
    </row>
    <row r="858" spans="1:33" s="139" customFormat="1" ht="12.75" customHeight="1" x14ac:dyDescent="0.2">
      <c r="A858" s="141"/>
      <c r="B858" s="141"/>
      <c r="C858" s="141"/>
      <c r="D858" s="141"/>
      <c r="E858" s="1014"/>
      <c r="F858" s="1014"/>
      <c r="G858" s="1027"/>
      <c r="H858" s="1027"/>
      <c r="I858" s="1174"/>
      <c r="J858" s="1174"/>
      <c r="K858" s="1174"/>
      <c r="L858" s="1172"/>
      <c r="M858" s="1172"/>
      <c r="N858" s="1175"/>
      <c r="O858" s="143"/>
      <c r="P858" s="1196"/>
      <c r="Q858" s="141"/>
      <c r="R858" s="141"/>
      <c r="S858" s="148"/>
      <c r="T858" s="419"/>
      <c r="U858" s="559"/>
      <c r="V858" s="141"/>
      <c r="W858" s="141"/>
      <c r="X858" s="141"/>
      <c r="Y858" s="144"/>
      <c r="Z858" s="141"/>
      <c r="AA858" s="141"/>
      <c r="AB858" s="141"/>
      <c r="AC858" s="141"/>
      <c r="AD858" s="141"/>
      <c r="AE858" s="141"/>
      <c r="AF858" s="145"/>
      <c r="AG858" s="419"/>
    </row>
    <row r="859" spans="1:33" s="139" customFormat="1" ht="12.75" customHeight="1" x14ac:dyDescent="0.2">
      <c r="A859" s="141"/>
      <c r="B859" s="141"/>
      <c r="C859" s="141"/>
      <c r="D859" s="141"/>
      <c r="E859" s="1014"/>
      <c r="F859" s="1014"/>
      <c r="G859" s="1027"/>
      <c r="H859" s="1027"/>
      <c r="I859" s="1174"/>
      <c r="J859" s="1174"/>
      <c r="K859" s="1174"/>
      <c r="L859" s="1172"/>
      <c r="M859" s="1172"/>
      <c r="N859" s="1175"/>
      <c r="O859" s="143"/>
      <c r="P859" s="1196"/>
      <c r="Q859" s="141"/>
      <c r="R859" s="141"/>
      <c r="S859" s="148"/>
      <c r="T859" s="419"/>
      <c r="U859" s="559"/>
      <c r="V859" s="141"/>
      <c r="W859" s="141"/>
      <c r="X859" s="141"/>
      <c r="Y859" s="144"/>
      <c r="Z859" s="141"/>
      <c r="AA859" s="141"/>
      <c r="AB859" s="141"/>
      <c r="AC859" s="141"/>
      <c r="AD859" s="141"/>
      <c r="AE859" s="141"/>
      <c r="AF859" s="145"/>
      <c r="AG859" s="419"/>
    </row>
    <row r="860" spans="1:33" s="139" customFormat="1" ht="12.75" customHeight="1" x14ac:dyDescent="0.2">
      <c r="A860" s="141"/>
      <c r="B860" s="141"/>
      <c r="C860" s="141"/>
      <c r="D860" s="141"/>
      <c r="E860" s="1014"/>
      <c r="F860" s="1014"/>
      <c r="G860" s="1027"/>
      <c r="H860" s="1027"/>
      <c r="I860" s="1174"/>
      <c r="J860" s="1174"/>
      <c r="K860" s="1174"/>
      <c r="L860" s="1172"/>
      <c r="M860" s="1172"/>
      <c r="N860" s="1175"/>
      <c r="O860" s="143"/>
      <c r="P860" s="1196"/>
      <c r="Q860" s="141"/>
      <c r="R860" s="141"/>
      <c r="S860" s="148"/>
      <c r="T860" s="419"/>
      <c r="U860" s="559"/>
      <c r="V860" s="141"/>
      <c r="W860" s="141"/>
      <c r="X860" s="141"/>
      <c r="Y860" s="144"/>
      <c r="Z860" s="141"/>
      <c r="AA860" s="141"/>
      <c r="AB860" s="141"/>
      <c r="AC860" s="141"/>
      <c r="AD860" s="141"/>
      <c r="AE860" s="141"/>
      <c r="AF860" s="145"/>
      <c r="AG860" s="419"/>
    </row>
    <row r="861" spans="1:33" s="139" customFormat="1" ht="12.75" customHeight="1" x14ac:dyDescent="0.2">
      <c r="A861" s="141"/>
      <c r="B861" s="141"/>
      <c r="C861" s="141"/>
      <c r="D861" s="141"/>
      <c r="E861" s="1014"/>
      <c r="F861" s="1014"/>
      <c r="G861" s="1027"/>
      <c r="H861" s="1027"/>
      <c r="I861" s="1174"/>
      <c r="J861" s="1174"/>
      <c r="K861" s="1174"/>
      <c r="L861" s="1172"/>
      <c r="M861" s="1172"/>
      <c r="N861" s="1175"/>
      <c r="O861" s="143"/>
      <c r="P861" s="1196"/>
      <c r="Q861" s="141"/>
      <c r="R861" s="141"/>
      <c r="S861" s="148"/>
      <c r="T861" s="419"/>
      <c r="U861" s="559"/>
      <c r="V861" s="141"/>
      <c r="W861" s="141"/>
      <c r="X861" s="141"/>
      <c r="Y861" s="144"/>
      <c r="Z861" s="141"/>
      <c r="AA861" s="141"/>
      <c r="AB861" s="141"/>
      <c r="AC861" s="141"/>
      <c r="AD861" s="141"/>
      <c r="AE861" s="141"/>
      <c r="AF861" s="145"/>
      <c r="AG861" s="419"/>
    </row>
    <row r="862" spans="1:33" s="139" customFormat="1" ht="12.75" customHeight="1" x14ac:dyDescent="0.2">
      <c r="A862" s="141"/>
      <c r="B862" s="141"/>
      <c r="C862" s="141"/>
      <c r="D862" s="141"/>
      <c r="E862" s="1014"/>
      <c r="F862" s="1014"/>
      <c r="G862" s="1027"/>
      <c r="H862" s="1027"/>
      <c r="I862" s="1174"/>
      <c r="J862" s="1174"/>
      <c r="K862" s="1174"/>
      <c r="L862" s="1172"/>
      <c r="M862" s="1172"/>
      <c r="N862" s="1175"/>
      <c r="O862" s="143"/>
      <c r="P862" s="1196"/>
      <c r="Q862" s="141"/>
      <c r="R862" s="141"/>
      <c r="S862" s="148"/>
      <c r="T862" s="419"/>
      <c r="U862" s="559"/>
      <c r="V862" s="141"/>
      <c r="W862" s="141"/>
      <c r="X862" s="141"/>
      <c r="Y862" s="144"/>
      <c r="Z862" s="141"/>
      <c r="AA862" s="141"/>
      <c r="AB862" s="141"/>
      <c r="AC862" s="141"/>
      <c r="AD862" s="141"/>
      <c r="AE862" s="141"/>
      <c r="AF862" s="145"/>
      <c r="AG862" s="419"/>
    </row>
    <row r="863" spans="1:33" s="139" customFormat="1" ht="12.75" customHeight="1" x14ac:dyDescent="0.2">
      <c r="A863" s="141"/>
      <c r="B863" s="141"/>
      <c r="C863" s="141"/>
      <c r="D863" s="141"/>
      <c r="E863" s="1014"/>
      <c r="F863" s="1014"/>
      <c r="G863" s="1027"/>
      <c r="H863" s="1027"/>
      <c r="I863" s="1174"/>
      <c r="J863" s="1174"/>
      <c r="K863" s="1174"/>
      <c r="L863" s="1172"/>
      <c r="M863" s="1172"/>
      <c r="N863" s="1175"/>
      <c r="O863" s="143"/>
      <c r="P863" s="1196"/>
      <c r="Q863" s="141"/>
      <c r="R863" s="141"/>
      <c r="S863" s="148"/>
      <c r="T863" s="419"/>
      <c r="U863" s="559"/>
      <c r="V863" s="141"/>
      <c r="W863" s="141"/>
      <c r="X863" s="141"/>
      <c r="Y863" s="144"/>
      <c r="Z863" s="141"/>
      <c r="AA863" s="141"/>
      <c r="AB863" s="141"/>
      <c r="AC863" s="141"/>
      <c r="AD863" s="141"/>
      <c r="AE863" s="141"/>
      <c r="AF863" s="145"/>
      <c r="AG863" s="419"/>
    </row>
    <row r="864" spans="1:33" s="139" customFormat="1" ht="12.75" customHeight="1" x14ac:dyDescent="0.2">
      <c r="A864" s="141"/>
      <c r="B864" s="141"/>
      <c r="C864" s="141"/>
      <c r="D864" s="141"/>
      <c r="E864" s="1014"/>
      <c r="F864" s="1014"/>
      <c r="G864" s="1027"/>
      <c r="H864" s="1027"/>
      <c r="I864" s="1174"/>
      <c r="J864" s="1174"/>
      <c r="K864" s="1174"/>
      <c r="L864" s="1172"/>
      <c r="M864" s="1172"/>
      <c r="N864" s="1175"/>
      <c r="O864" s="143"/>
      <c r="P864" s="1196"/>
      <c r="Q864" s="141"/>
      <c r="R864" s="141"/>
      <c r="S864" s="148"/>
      <c r="T864" s="419"/>
      <c r="U864" s="559"/>
      <c r="V864" s="141"/>
      <c r="W864" s="141"/>
      <c r="X864" s="141"/>
      <c r="Y864" s="144"/>
      <c r="Z864" s="141"/>
      <c r="AA864" s="141"/>
      <c r="AB864" s="141"/>
      <c r="AC864" s="141"/>
      <c r="AD864" s="141"/>
      <c r="AE864" s="141"/>
      <c r="AF864" s="145"/>
      <c r="AG864" s="419"/>
    </row>
    <row r="865" spans="1:33" s="139" customFormat="1" ht="12.75" customHeight="1" x14ac:dyDescent="0.2">
      <c r="A865" s="141"/>
      <c r="B865" s="141"/>
      <c r="C865" s="141"/>
      <c r="D865" s="141"/>
      <c r="E865" s="1014"/>
      <c r="F865" s="1014"/>
      <c r="G865" s="1027"/>
      <c r="H865" s="1027"/>
      <c r="I865" s="1174"/>
      <c r="J865" s="1174"/>
      <c r="K865" s="1174"/>
      <c r="L865" s="1172"/>
      <c r="M865" s="1172"/>
      <c r="N865" s="1175"/>
      <c r="O865" s="143"/>
      <c r="P865" s="1196"/>
      <c r="Q865" s="141"/>
      <c r="R865" s="141"/>
      <c r="S865" s="148"/>
      <c r="T865" s="419"/>
      <c r="U865" s="559"/>
      <c r="V865" s="141"/>
      <c r="W865" s="141"/>
      <c r="X865" s="141"/>
      <c r="Y865" s="144"/>
      <c r="Z865" s="141"/>
      <c r="AA865" s="141"/>
      <c r="AB865" s="141"/>
      <c r="AC865" s="141"/>
      <c r="AD865" s="141"/>
      <c r="AE865" s="141"/>
      <c r="AF865" s="145"/>
      <c r="AG865" s="419"/>
    </row>
    <row r="866" spans="1:33" s="139" customFormat="1" ht="12.75" customHeight="1" x14ac:dyDescent="0.2">
      <c r="A866" s="141"/>
      <c r="B866" s="141"/>
      <c r="C866" s="141"/>
      <c r="D866" s="141"/>
      <c r="E866" s="1014"/>
      <c r="F866" s="1014"/>
      <c r="G866" s="1027"/>
      <c r="H866" s="1027"/>
      <c r="I866" s="1174"/>
      <c r="J866" s="1174"/>
      <c r="K866" s="1174"/>
      <c r="L866" s="1172"/>
      <c r="M866" s="1172"/>
      <c r="N866" s="1175"/>
      <c r="O866" s="143"/>
      <c r="P866" s="1196"/>
      <c r="Q866" s="141"/>
      <c r="R866" s="141"/>
      <c r="S866" s="148"/>
      <c r="T866" s="419"/>
      <c r="U866" s="559"/>
      <c r="V866" s="141"/>
      <c r="W866" s="141"/>
      <c r="X866" s="141"/>
      <c r="Y866" s="144"/>
      <c r="Z866" s="141"/>
      <c r="AA866" s="141"/>
      <c r="AB866" s="141"/>
      <c r="AC866" s="141"/>
      <c r="AD866" s="141"/>
      <c r="AE866" s="141"/>
      <c r="AF866" s="145"/>
      <c r="AG866" s="419"/>
    </row>
    <row r="867" spans="1:33" s="139" customFormat="1" ht="12.75" customHeight="1" x14ac:dyDescent="0.2">
      <c r="A867" s="141"/>
      <c r="B867" s="141"/>
      <c r="C867" s="141"/>
      <c r="D867" s="141"/>
      <c r="E867" s="1014"/>
      <c r="F867" s="1014"/>
      <c r="G867" s="1027"/>
      <c r="H867" s="1027"/>
      <c r="I867" s="1174"/>
      <c r="J867" s="1174"/>
      <c r="K867" s="1174"/>
      <c r="L867" s="1172"/>
      <c r="M867" s="1172"/>
      <c r="N867" s="1175"/>
      <c r="O867" s="143"/>
      <c r="P867" s="1196"/>
      <c r="Q867" s="141"/>
      <c r="R867" s="141"/>
      <c r="S867" s="148"/>
      <c r="T867" s="419"/>
      <c r="U867" s="559"/>
      <c r="V867" s="141"/>
      <c r="W867" s="141"/>
      <c r="X867" s="141"/>
      <c r="Y867" s="144"/>
      <c r="Z867" s="141"/>
      <c r="AA867" s="141"/>
      <c r="AB867" s="141"/>
      <c r="AC867" s="141"/>
      <c r="AD867" s="141"/>
      <c r="AE867" s="141"/>
      <c r="AF867" s="145"/>
      <c r="AG867" s="419"/>
    </row>
    <row r="868" spans="1:33" s="139" customFormat="1" ht="12.75" customHeight="1" x14ac:dyDescent="0.2">
      <c r="A868" s="141"/>
      <c r="B868" s="141"/>
      <c r="C868" s="141"/>
      <c r="D868" s="141"/>
      <c r="E868" s="1014"/>
      <c r="F868" s="1014"/>
      <c r="G868" s="1027"/>
      <c r="H868" s="1027"/>
      <c r="I868" s="1174"/>
      <c r="J868" s="1174"/>
      <c r="K868" s="1174"/>
      <c r="L868" s="1172"/>
      <c r="M868" s="1172"/>
      <c r="N868" s="1175"/>
      <c r="O868" s="143"/>
      <c r="P868" s="1196"/>
      <c r="Q868" s="141"/>
      <c r="R868" s="141"/>
      <c r="S868" s="148"/>
      <c r="T868" s="419"/>
      <c r="U868" s="559"/>
      <c r="V868" s="141"/>
      <c r="W868" s="141"/>
      <c r="X868" s="141"/>
      <c r="Y868" s="144"/>
      <c r="Z868" s="141"/>
      <c r="AA868" s="141"/>
      <c r="AB868" s="141"/>
      <c r="AC868" s="141"/>
      <c r="AD868" s="141"/>
      <c r="AE868" s="141"/>
      <c r="AF868" s="145"/>
      <c r="AG868" s="419"/>
    </row>
    <row r="869" spans="1:33" s="139" customFormat="1" ht="12.75" customHeight="1" x14ac:dyDescent="0.2">
      <c r="A869" s="141"/>
      <c r="B869" s="141"/>
      <c r="C869" s="141"/>
      <c r="D869" s="141"/>
      <c r="E869" s="1014"/>
      <c r="F869" s="1014"/>
      <c r="G869" s="1027"/>
      <c r="H869" s="1027"/>
      <c r="I869" s="1174"/>
      <c r="J869" s="1174"/>
      <c r="K869" s="1174"/>
      <c r="L869" s="1172"/>
      <c r="M869" s="1172"/>
      <c r="N869" s="1175"/>
      <c r="O869" s="143"/>
      <c r="P869" s="1196"/>
      <c r="Q869" s="141"/>
      <c r="R869" s="141"/>
      <c r="S869" s="148"/>
      <c r="T869" s="419"/>
      <c r="U869" s="559"/>
      <c r="V869" s="141"/>
      <c r="W869" s="141"/>
      <c r="X869" s="141"/>
      <c r="Y869" s="144"/>
      <c r="Z869" s="141"/>
      <c r="AA869" s="141"/>
      <c r="AB869" s="141"/>
      <c r="AC869" s="141"/>
      <c r="AD869" s="141"/>
      <c r="AE869" s="141"/>
      <c r="AF869" s="145"/>
      <c r="AG869" s="419"/>
    </row>
    <row r="870" spans="1:33" s="139" customFormat="1" ht="12.75" customHeight="1" x14ac:dyDescent="0.2">
      <c r="A870" s="141"/>
      <c r="B870" s="141"/>
      <c r="C870" s="141"/>
      <c r="D870" s="141"/>
      <c r="E870" s="1014"/>
      <c r="F870" s="1014"/>
      <c r="G870" s="1027"/>
      <c r="H870" s="1027"/>
      <c r="I870" s="1174"/>
      <c r="J870" s="1174"/>
      <c r="K870" s="1174"/>
      <c r="L870" s="1172"/>
      <c r="M870" s="1172"/>
      <c r="N870" s="1175"/>
      <c r="O870" s="143"/>
      <c r="P870" s="1196"/>
      <c r="Q870" s="141"/>
      <c r="R870" s="141"/>
      <c r="S870" s="148"/>
      <c r="T870" s="419"/>
      <c r="U870" s="559"/>
      <c r="V870" s="141"/>
      <c r="W870" s="141"/>
      <c r="X870" s="141"/>
      <c r="Y870" s="144"/>
      <c r="Z870" s="141"/>
      <c r="AA870" s="141"/>
      <c r="AB870" s="141"/>
      <c r="AC870" s="141"/>
      <c r="AD870" s="141"/>
      <c r="AE870" s="141"/>
      <c r="AF870" s="145"/>
      <c r="AG870" s="419"/>
    </row>
    <row r="871" spans="1:33" s="139" customFormat="1" ht="12.75" customHeight="1" x14ac:dyDescent="0.2">
      <c r="A871" s="141"/>
      <c r="B871" s="141"/>
      <c r="C871" s="141"/>
      <c r="D871" s="141"/>
      <c r="E871" s="1014"/>
      <c r="F871" s="1014"/>
      <c r="G871" s="1027"/>
      <c r="H871" s="1027"/>
      <c r="I871" s="1174"/>
      <c r="J871" s="1174"/>
      <c r="K871" s="1174"/>
      <c r="L871" s="1172"/>
      <c r="M871" s="1172"/>
      <c r="N871" s="1175"/>
      <c r="O871" s="143"/>
      <c r="P871" s="1196"/>
      <c r="Q871" s="141"/>
      <c r="R871" s="141"/>
      <c r="S871" s="148"/>
      <c r="T871" s="419"/>
      <c r="U871" s="559"/>
      <c r="V871" s="141"/>
      <c r="W871" s="141"/>
      <c r="X871" s="141"/>
      <c r="Y871" s="144"/>
      <c r="Z871" s="141"/>
      <c r="AA871" s="141"/>
      <c r="AB871" s="141"/>
      <c r="AC871" s="141"/>
      <c r="AD871" s="141"/>
      <c r="AE871" s="141"/>
      <c r="AF871" s="145"/>
      <c r="AG871" s="419"/>
    </row>
    <row r="872" spans="1:33" s="139" customFormat="1" ht="12.75" customHeight="1" x14ac:dyDescent="0.2">
      <c r="A872" s="141"/>
      <c r="B872" s="141"/>
      <c r="C872" s="141"/>
      <c r="D872" s="141"/>
      <c r="E872" s="1014"/>
      <c r="F872" s="1014"/>
      <c r="G872" s="1027"/>
      <c r="H872" s="1027"/>
      <c r="I872" s="1174"/>
      <c r="J872" s="1174"/>
      <c r="K872" s="1174"/>
      <c r="L872" s="1172"/>
      <c r="M872" s="1172"/>
      <c r="N872" s="1175"/>
      <c r="O872" s="143"/>
      <c r="P872" s="1196"/>
      <c r="Q872" s="141"/>
      <c r="R872" s="141"/>
      <c r="S872" s="148"/>
      <c r="T872" s="419"/>
      <c r="U872" s="559"/>
      <c r="V872" s="141"/>
      <c r="W872" s="141"/>
      <c r="X872" s="141"/>
      <c r="Y872" s="144"/>
      <c r="Z872" s="141"/>
      <c r="AA872" s="141"/>
      <c r="AB872" s="141"/>
      <c r="AC872" s="141"/>
      <c r="AD872" s="141"/>
      <c r="AE872" s="141"/>
      <c r="AF872" s="145"/>
      <c r="AG872" s="419"/>
    </row>
    <row r="873" spans="1:33" s="139" customFormat="1" ht="12.75" customHeight="1" x14ac:dyDescent="0.2">
      <c r="A873" s="141"/>
      <c r="B873" s="141"/>
      <c r="C873" s="141"/>
      <c r="D873" s="141"/>
      <c r="E873" s="1014"/>
      <c r="F873" s="1014"/>
      <c r="G873" s="1027"/>
      <c r="H873" s="1027"/>
      <c r="I873" s="1174"/>
      <c r="J873" s="1174"/>
      <c r="K873" s="1174"/>
      <c r="L873" s="1172"/>
      <c r="M873" s="1172"/>
      <c r="N873" s="1175"/>
      <c r="O873" s="143"/>
      <c r="P873" s="1196"/>
      <c r="Q873" s="141"/>
      <c r="R873" s="141"/>
      <c r="S873" s="148"/>
      <c r="T873" s="419"/>
      <c r="U873" s="559"/>
      <c r="V873" s="141"/>
      <c r="W873" s="141"/>
      <c r="X873" s="141"/>
      <c r="Y873" s="144"/>
      <c r="Z873" s="141"/>
      <c r="AA873" s="141"/>
      <c r="AB873" s="141"/>
      <c r="AC873" s="141"/>
      <c r="AD873" s="141"/>
      <c r="AE873" s="141"/>
      <c r="AF873" s="145"/>
      <c r="AG873" s="419"/>
    </row>
    <row r="874" spans="1:33" s="139" customFormat="1" ht="12.75" customHeight="1" x14ac:dyDescent="0.2">
      <c r="A874" s="141"/>
      <c r="B874" s="141"/>
      <c r="C874" s="141"/>
      <c r="D874" s="141"/>
      <c r="E874" s="1014"/>
      <c r="F874" s="1014"/>
      <c r="G874" s="1027"/>
      <c r="H874" s="1027"/>
      <c r="I874" s="1174"/>
      <c r="J874" s="1174"/>
      <c r="K874" s="1174"/>
      <c r="L874" s="1172"/>
      <c r="M874" s="1172"/>
      <c r="N874" s="1175"/>
      <c r="O874" s="143"/>
      <c r="P874" s="1196"/>
      <c r="Q874" s="141"/>
      <c r="R874" s="141"/>
      <c r="S874" s="148"/>
      <c r="T874" s="419"/>
      <c r="U874" s="559"/>
      <c r="V874" s="141"/>
      <c r="W874" s="141"/>
      <c r="X874" s="141"/>
      <c r="Y874" s="144"/>
      <c r="Z874" s="141"/>
      <c r="AA874" s="141"/>
      <c r="AB874" s="141"/>
      <c r="AC874" s="141"/>
      <c r="AD874" s="141"/>
      <c r="AE874" s="141"/>
      <c r="AF874" s="145"/>
      <c r="AG874" s="419"/>
    </row>
    <row r="875" spans="1:33" s="139" customFormat="1" ht="12.75" customHeight="1" x14ac:dyDescent="0.2">
      <c r="A875" s="141"/>
      <c r="B875" s="141"/>
      <c r="C875" s="141"/>
      <c r="D875" s="141"/>
      <c r="E875" s="1014"/>
      <c r="F875" s="1014"/>
      <c r="G875" s="1027"/>
      <c r="H875" s="1027"/>
      <c r="I875" s="1174"/>
      <c r="J875" s="1174"/>
      <c r="K875" s="1174"/>
      <c r="L875" s="1172"/>
      <c r="M875" s="1172"/>
      <c r="N875" s="1175"/>
      <c r="O875" s="143"/>
      <c r="P875" s="1196"/>
      <c r="Q875" s="141"/>
      <c r="R875" s="141"/>
      <c r="S875" s="148"/>
      <c r="T875" s="419"/>
      <c r="U875" s="559"/>
      <c r="V875" s="141"/>
      <c r="W875" s="141"/>
      <c r="X875" s="141"/>
      <c r="Y875" s="144"/>
      <c r="Z875" s="141"/>
      <c r="AA875" s="141"/>
      <c r="AB875" s="141"/>
      <c r="AC875" s="141"/>
      <c r="AD875" s="141"/>
      <c r="AE875" s="141"/>
      <c r="AF875" s="145"/>
      <c r="AG875" s="419"/>
    </row>
    <row r="876" spans="1:33" s="139" customFormat="1" ht="12.75" customHeight="1" x14ac:dyDescent="0.2">
      <c r="A876" s="141"/>
      <c r="B876" s="141"/>
      <c r="C876" s="141"/>
      <c r="D876" s="141"/>
      <c r="E876" s="1014"/>
      <c r="F876" s="1014"/>
      <c r="G876" s="1027"/>
      <c r="H876" s="1027"/>
      <c r="I876" s="1174"/>
      <c r="J876" s="1174"/>
      <c r="K876" s="1174"/>
      <c r="L876" s="1172"/>
      <c r="M876" s="1172"/>
      <c r="N876" s="1175"/>
      <c r="O876" s="143"/>
      <c r="P876" s="1196"/>
      <c r="Q876" s="141"/>
      <c r="R876" s="141"/>
      <c r="S876" s="148"/>
      <c r="T876" s="419"/>
      <c r="U876" s="559"/>
      <c r="V876" s="141"/>
      <c r="W876" s="141"/>
      <c r="X876" s="141"/>
      <c r="Y876" s="144"/>
      <c r="Z876" s="141"/>
      <c r="AA876" s="141"/>
      <c r="AB876" s="141"/>
      <c r="AC876" s="141"/>
      <c r="AD876" s="141"/>
      <c r="AE876" s="141"/>
      <c r="AF876" s="145"/>
      <c r="AG876" s="419"/>
    </row>
    <row r="877" spans="1:33" s="139" customFormat="1" ht="12.75" customHeight="1" x14ac:dyDescent="0.2">
      <c r="A877" s="141"/>
      <c r="B877" s="141"/>
      <c r="C877" s="141"/>
      <c r="D877" s="141"/>
      <c r="E877" s="1014"/>
      <c r="F877" s="1014"/>
      <c r="G877" s="1027"/>
      <c r="H877" s="1027"/>
      <c r="I877" s="1174"/>
      <c r="J877" s="1174"/>
      <c r="K877" s="1174"/>
      <c r="L877" s="1172"/>
      <c r="M877" s="1172"/>
      <c r="N877" s="1175"/>
      <c r="O877" s="143"/>
      <c r="P877" s="1196"/>
      <c r="Q877" s="141"/>
      <c r="R877" s="141"/>
      <c r="S877" s="148"/>
      <c r="T877" s="419"/>
      <c r="U877" s="559"/>
      <c r="V877" s="141"/>
      <c r="W877" s="141"/>
      <c r="X877" s="141"/>
      <c r="Y877" s="144"/>
      <c r="Z877" s="141"/>
      <c r="AA877" s="141"/>
      <c r="AB877" s="141"/>
      <c r="AC877" s="141"/>
      <c r="AD877" s="141"/>
      <c r="AE877" s="141"/>
      <c r="AF877" s="145"/>
      <c r="AG877" s="419"/>
    </row>
    <row r="878" spans="1:33" s="139" customFormat="1" ht="12.75" customHeight="1" x14ac:dyDescent="0.2">
      <c r="A878" s="141"/>
      <c r="B878" s="141"/>
      <c r="C878" s="141"/>
      <c r="D878" s="141"/>
      <c r="E878" s="1014"/>
      <c r="F878" s="1014"/>
      <c r="G878" s="1027"/>
      <c r="H878" s="1027"/>
      <c r="I878" s="1174"/>
      <c r="J878" s="1174"/>
      <c r="K878" s="1174"/>
      <c r="L878" s="1172"/>
      <c r="M878" s="1172"/>
      <c r="N878" s="1175"/>
      <c r="O878" s="143"/>
      <c r="P878" s="1196"/>
      <c r="Q878" s="141"/>
      <c r="R878" s="141"/>
      <c r="S878" s="148"/>
      <c r="T878" s="419"/>
      <c r="U878" s="559"/>
      <c r="V878" s="141"/>
      <c r="W878" s="141"/>
      <c r="X878" s="141"/>
      <c r="Y878" s="144"/>
      <c r="Z878" s="141"/>
      <c r="AA878" s="141"/>
      <c r="AB878" s="141"/>
      <c r="AC878" s="141"/>
      <c r="AD878" s="141"/>
      <c r="AE878" s="141"/>
      <c r="AF878" s="145"/>
      <c r="AG878" s="419"/>
    </row>
    <row r="879" spans="1:33" s="139" customFormat="1" ht="12.75" customHeight="1" x14ac:dyDescent="0.2">
      <c r="A879" s="141"/>
      <c r="B879" s="141"/>
      <c r="C879" s="141"/>
      <c r="D879" s="141"/>
      <c r="E879" s="1014"/>
      <c r="F879" s="1014"/>
      <c r="G879" s="1027"/>
      <c r="H879" s="1027"/>
      <c r="I879" s="1174"/>
      <c r="J879" s="1174"/>
      <c r="K879" s="1174"/>
      <c r="L879" s="1172"/>
      <c r="M879" s="1172"/>
      <c r="N879" s="1175"/>
      <c r="O879" s="143"/>
      <c r="P879" s="1196"/>
      <c r="Q879" s="141"/>
      <c r="R879" s="141"/>
      <c r="S879" s="148"/>
      <c r="T879" s="419"/>
      <c r="U879" s="559"/>
      <c r="V879" s="141"/>
      <c r="W879" s="141"/>
      <c r="X879" s="141"/>
      <c r="Y879" s="144"/>
      <c r="Z879" s="141"/>
      <c r="AA879" s="141"/>
      <c r="AB879" s="141"/>
      <c r="AC879" s="141"/>
      <c r="AD879" s="141"/>
      <c r="AE879" s="141"/>
      <c r="AF879" s="145"/>
      <c r="AG879" s="419"/>
    </row>
    <row r="880" spans="1:33" s="139" customFormat="1" ht="12.75" customHeight="1" x14ac:dyDescent="0.2">
      <c r="A880" s="141"/>
      <c r="B880" s="141"/>
      <c r="C880" s="141"/>
      <c r="D880" s="141"/>
      <c r="E880" s="1014"/>
      <c r="F880" s="1014"/>
      <c r="G880" s="1027"/>
      <c r="H880" s="1027"/>
      <c r="I880" s="1174"/>
      <c r="J880" s="1174"/>
      <c r="K880" s="1174"/>
      <c r="L880" s="1172"/>
      <c r="M880" s="1172"/>
      <c r="N880" s="1175"/>
      <c r="O880" s="143"/>
      <c r="P880" s="1196"/>
      <c r="Q880" s="141"/>
      <c r="R880" s="141"/>
      <c r="S880" s="148"/>
      <c r="T880" s="419"/>
      <c r="U880" s="559"/>
      <c r="V880" s="141"/>
      <c r="W880" s="141"/>
      <c r="X880" s="141"/>
      <c r="Y880" s="144"/>
      <c r="Z880" s="141"/>
      <c r="AA880" s="141"/>
      <c r="AB880" s="141"/>
      <c r="AC880" s="141"/>
      <c r="AD880" s="141"/>
      <c r="AE880" s="141"/>
      <c r="AF880" s="145"/>
      <c r="AG880" s="419"/>
    </row>
    <row r="881" spans="1:33" s="139" customFormat="1" ht="12.75" customHeight="1" x14ac:dyDescent="0.2">
      <c r="A881" s="141"/>
      <c r="B881" s="141"/>
      <c r="C881" s="141"/>
      <c r="D881" s="141"/>
      <c r="E881" s="1014"/>
      <c r="F881" s="1014"/>
      <c r="G881" s="1027"/>
      <c r="H881" s="1027"/>
      <c r="I881" s="1174"/>
      <c r="J881" s="1174"/>
      <c r="K881" s="1174"/>
      <c r="L881" s="1172"/>
      <c r="M881" s="1172"/>
      <c r="N881" s="1175"/>
      <c r="O881" s="143"/>
      <c r="P881" s="1196"/>
      <c r="Q881" s="141"/>
      <c r="R881" s="141"/>
      <c r="S881" s="148"/>
      <c r="T881" s="419"/>
      <c r="U881" s="559"/>
      <c r="V881" s="141"/>
      <c r="W881" s="141"/>
      <c r="X881" s="141"/>
      <c r="Y881" s="144"/>
      <c r="Z881" s="141"/>
      <c r="AA881" s="141"/>
      <c r="AB881" s="141"/>
      <c r="AC881" s="141"/>
      <c r="AD881" s="141"/>
      <c r="AE881" s="141"/>
      <c r="AF881" s="145"/>
      <c r="AG881" s="419"/>
    </row>
    <row r="882" spans="1:33" s="139" customFormat="1" ht="12.75" customHeight="1" x14ac:dyDescent="0.2">
      <c r="A882" s="141"/>
      <c r="B882" s="141"/>
      <c r="C882" s="141"/>
      <c r="D882" s="141"/>
      <c r="E882" s="1014"/>
      <c r="F882" s="1014"/>
      <c r="G882" s="1027"/>
      <c r="H882" s="1027"/>
      <c r="I882" s="1174"/>
      <c r="J882" s="1174"/>
      <c r="K882" s="1174"/>
      <c r="L882" s="1172"/>
      <c r="M882" s="1172"/>
      <c r="N882" s="1175"/>
      <c r="O882" s="143"/>
      <c r="P882" s="1196"/>
      <c r="Q882" s="141"/>
      <c r="R882" s="141"/>
      <c r="S882" s="148"/>
      <c r="T882" s="419"/>
      <c r="U882" s="559"/>
      <c r="V882" s="141"/>
      <c r="W882" s="141"/>
      <c r="X882" s="141"/>
      <c r="Y882" s="144"/>
      <c r="Z882" s="141"/>
      <c r="AA882" s="141"/>
      <c r="AB882" s="141"/>
      <c r="AC882" s="141"/>
      <c r="AD882" s="141"/>
      <c r="AE882" s="141"/>
      <c r="AF882" s="145"/>
      <c r="AG882" s="419"/>
    </row>
    <row r="883" spans="1:33" s="139" customFormat="1" ht="12.75" customHeight="1" x14ac:dyDescent="0.2">
      <c r="A883" s="141"/>
      <c r="B883" s="141"/>
      <c r="C883" s="141"/>
      <c r="D883" s="141"/>
      <c r="E883" s="1014"/>
      <c r="F883" s="1014"/>
      <c r="G883" s="1027"/>
      <c r="H883" s="1027"/>
      <c r="I883" s="1174"/>
      <c r="J883" s="1174"/>
      <c r="K883" s="1174"/>
      <c r="L883" s="1172"/>
      <c r="M883" s="1172"/>
      <c r="N883" s="1175"/>
      <c r="O883" s="143"/>
      <c r="P883" s="1196"/>
      <c r="Q883" s="141"/>
      <c r="R883" s="141"/>
      <c r="S883" s="148"/>
      <c r="T883" s="419"/>
      <c r="U883" s="559"/>
      <c r="V883" s="141"/>
      <c r="W883" s="141"/>
      <c r="X883" s="141"/>
      <c r="Y883" s="144"/>
      <c r="Z883" s="141"/>
      <c r="AA883" s="141"/>
      <c r="AB883" s="141"/>
      <c r="AC883" s="141"/>
      <c r="AD883" s="141"/>
      <c r="AE883" s="141"/>
      <c r="AF883" s="145"/>
      <c r="AG883" s="419"/>
    </row>
    <row r="884" spans="1:33" s="139" customFormat="1" ht="12.75" customHeight="1" x14ac:dyDescent="0.2">
      <c r="A884" s="141"/>
      <c r="B884" s="141"/>
      <c r="C884" s="141"/>
      <c r="D884" s="141"/>
      <c r="E884" s="1014"/>
      <c r="F884" s="1014"/>
      <c r="G884" s="1027"/>
      <c r="H884" s="1027"/>
      <c r="I884" s="1174"/>
      <c r="J884" s="1174"/>
      <c r="K884" s="1174"/>
      <c r="L884" s="1172"/>
      <c r="M884" s="1172"/>
      <c r="N884" s="1175"/>
      <c r="O884" s="143"/>
      <c r="P884" s="1196"/>
      <c r="Q884" s="141"/>
      <c r="R884" s="141"/>
      <c r="S884" s="148"/>
      <c r="T884" s="419"/>
      <c r="U884" s="559"/>
      <c r="V884" s="141"/>
      <c r="W884" s="141"/>
      <c r="X884" s="141"/>
      <c r="Y884" s="144"/>
      <c r="Z884" s="141"/>
      <c r="AA884" s="141"/>
      <c r="AB884" s="141"/>
      <c r="AC884" s="141"/>
      <c r="AD884" s="141"/>
      <c r="AE884" s="141"/>
      <c r="AF884" s="145"/>
      <c r="AG884" s="419"/>
    </row>
    <row r="885" spans="1:33" s="139" customFormat="1" ht="12.75" customHeight="1" x14ac:dyDescent="0.2">
      <c r="A885" s="141"/>
      <c r="B885" s="141"/>
      <c r="C885" s="141"/>
      <c r="D885" s="141"/>
      <c r="E885" s="1014"/>
      <c r="F885" s="1014"/>
      <c r="G885" s="1027"/>
      <c r="H885" s="1027"/>
      <c r="I885" s="1174"/>
      <c r="J885" s="1174"/>
      <c r="K885" s="1174"/>
      <c r="L885" s="1172"/>
      <c r="M885" s="1172"/>
      <c r="N885" s="1175"/>
      <c r="O885" s="143"/>
      <c r="P885" s="1196"/>
      <c r="Q885" s="141"/>
      <c r="R885" s="141"/>
      <c r="S885" s="148"/>
      <c r="T885" s="419"/>
      <c r="U885" s="559"/>
      <c r="V885" s="141"/>
      <c r="W885" s="141"/>
      <c r="X885" s="141"/>
      <c r="Y885" s="144"/>
      <c r="Z885" s="141"/>
      <c r="AA885" s="141"/>
      <c r="AB885" s="141"/>
      <c r="AC885" s="141"/>
      <c r="AD885" s="141"/>
      <c r="AE885" s="141"/>
      <c r="AF885" s="145"/>
      <c r="AG885" s="419"/>
    </row>
    <row r="886" spans="1:33" s="139" customFormat="1" ht="12.75" customHeight="1" x14ac:dyDescent="0.2">
      <c r="A886" s="141"/>
      <c r="B886" s="141"/>
      <c r="C886" s="141"/>
      <c r="D886" s="141"/>
      <c r="E886" s="1014"/>
      <c r="F886" s="1014"/>
      <c r="G886" s="1027"/>
      <c r="H886" s="1027"/>
      <c r="I886" s="1174"/>
      <c r="J886" s="1174"/>
      <c r="K886" s="1174"/>
      <c r="L886" s="1172"/>
      <c r="M886" s="1172"/>
      <c r="N886" s="1175"/>
      <c r="O886" s="143"/>
      <c r="P886" s="1196"/>
      <c r="Q886" s="141"/>
      <c r="R886" s="141"/>
      <c r="S886" s="148"/>
      <c r="T886" s="419"/>
      <c r="U886" s="559"/>
      <c r="V886" s="141"/>
      <c r="W886" s="141"/>
      <c r="X886" s="141"/>
      <c r="Y886" s="144"/>
      <c r="Z886" s="141"/>
      <c r="AA886" s="141"/>
      <c r="AB886" s="141"/>
      <c r="AC886" s="141"/>
      <c r="AD886" s="141"/>
      <c r="AE886" s="141"/>
      <c r="AF886" s="145"/>
      <c r="AG886" s="419"/>
    </row>
    <row r="887" spans="1:33" s="139" customFormat="1" ht="12.75" customHeight="1" x14ac:dyDescent="0.2">
      <c r="A887" s="141"/>
      <c r="B887" s="141"/>
      <c r="C887" s="141"/>
      <c r="D887" s="141"/>
      <c r="E887" s="1014"/>
      <c r="F887" s="1014"/>
      <c r="G887" s="1027"/>
      <c r="H887" s="1027"/>
      <c r="I887" s="1174"/>
      <c r="J887" s="1174"/>
      <c r="K887" s="1174"/>
      <c r="L887" s="1172"/>
      <c r="M887" s="1172"/>
      <c r="N887" s="1175"/>
      <c r="O887" s="143"/>
      <c r="P887" s="1196"/>
      <c r="Q887" s="141"/>
      <c r="R887" s="141"/>
      <c r="S887" s="148"/>
      <c r="T887" s="419"/>
      <c r="U887" s="559"/>
      <c r="V887" s="141"/>
      <c r="W887" s="141"/>
      <c r="X887" s="141"/>
      <c r="Y887" s="144"/>
      <c r="Z887" s="141"/>
      <c r="AA887" s="141"/>
      <c r="AB887" s="141"/>
      <c r="AC887" s="141"/>
      <c r="AD887" s="141"/>
      <c r="AE887" s="141"/>
      <c r="AF887" s="145"/>
      <c r="AG887" s="419"/>
    </row>
    <row r="888" spans="1:33" s="139" customFormat="1" ht="12.75" customHeight="1" x14ac:dyDescent="0.2">
      <c r="A888" s="141"/>
      <c r="B888" s="141"/>
      <c r="C888" s="141"/>
      <c r="D888" s="141"/>
      <c r="E888" s="1014"/>
      <c r="F888" s="1014"/>
      <c r="G888" s="1027"/>
      <c r="H888" s="1027"/>
      <c r="I888" s="1174"/>
      <c r="J888" s="1174"/>
      <c r="K888" s="1174"/>
      <c r="L888" s="1172"/>
      <c r="M888" s="1172"/>
      <c r="N888" s="1175"/>
      <c r="O888" s="143"/>
      <c r="P888" s="1196"/>
      <c r="Q888" s="141"/>
      <c r="R888" s="141"/>
      <c r="S888" s="148"/>
      <c r="T888" s="419"/>
      <c r="U888" s="559"/>
      <c r="V888" s="141"/>
      <c r="W888" s="141"/>
      <c r="X888" s="141"/>
      <c r="Y888" s="144"/>
      <c r="Z888" s="141"/>
      <c r="AA888" s="141"/>
      <c r="AB888" s="141"/>
      <c r="AC888" s="141"/>
      <c r="AD888" s="141"/>
      <c r="AE888" s="141"/>
      <c r="AF888" s="145"/>
      <c r="AG888" s="419"/>
    </row>
    <row r="889" spans="1:33" s="139" customFormat="1" ht="12.75" customHeight="1" x14ac:dyDescent="0.2">
      <c r="A889" s="141"/>
      <c r="B889" s="141"/>
      <c r="C889" s="141"/>
      <c r="D889" s="141"/>
      <c r="E889" s="1014"/>
      <c r="F889" s="1014"/>
      <c r="G889" s="1027"/>
      <c r="H889" s="1027"/>
      <c r="I889" s="1174"/>
      <c r="J889" s="1174"/>
      <c r="K889" s="1174"/>
      <c r="L889" s="1172"/>
      <c r="M889" s="1172"/>
      <c r="N889" s="1175"/>
      <c r="O889" s="143"/>
      <c r="P889" s="1196"/>
      <c r="Q889" s="141"/>
      <c r="R889" s="141"/>
      <c r="S889" s="148"/>
      <c r="T889" s="419"/>
      <c r="U889" s="559"/>
      <c r="V889" s="141"/>
      <c r="W889" s="141"/>
      <c r="X889" s="141"/>
      <c r="Y889" s="144"/>
      <c r="Z889" s="141"/>
      <c r="AA889" s="141"/>
      <c r="AB889" s="141"/>
      <c r="AC889" s="141"/>
      <c r="AD889" s="141"/>
      <c r="AE889" s="141"/>
      <c r="AF889" s="145"/>
      <c r="AG889" s="419"/>
    </row>
    <row r="890" spans="1:33" s="139" customFormat="1" ht="12.75" customHeight="1" x14ac:dyDescent="0.2">
      <c r="A890" s="141"/>
      <c r="B890" s="141"/>
      <c r="C890" s="141"/>
      <c r="D890" s="141"/>
      <c r="E890" s="1014"/>
      <c r="F890" s="1014"/>
      <c r="G890" s="1027"/>
      <c r="H890" s="1027"/>
      <c r="I890" s="1174"/>
      <c r="J890" s="1174"/>
      <c r="K890" s="1174"/>
      <c r="L890" s="1172"/>
      <c r="M890" s="1172"/>
      <c r="N890" s="1175"/>
      <c r="O890" s="143"/>
      <c r="P890" s="1196"/>
      <c r="Q890" s="141"/>
      <c r="R890" s="141"/>
      <c r="S890" s="148"/>
      <c r="T890" s="419"/>
      <c r="U890" s="559"/>
      <c r="V890" s="141"/>
      <c r="W890" s="141"/>
      <c r="X890" s="141"/>
      <c r="Y890" s="144"/>
      <c r="Z890" s="141"/>
      <c r="AA890" s="141"/>
      <c r="AB890" s="141"/>
      <c r="AC890" s="141"/>
      <c r="AD890" s="141"/>
      <c r="AE890" s="141"/>
      <c r="AF890" s="145"/>
      <c r="AG890" s="419"/>
    </row>
    <row r="891" spans="1:33" s="139" customFormat="1" ht="12.75" customHeight="1" x14ac:dyDescent="0.2">
      <c r="A891" s="141"/>
      <c r="B891" s="141"/>
      <c r="C891" s="141"/>
      <c r="D891" s="141"/>
      <c r="E891" s="1014"/>
      <c r="F891" s="1014"/>
      <c r="G891" s="1027"/>
      <c r="H891" s="1027"/>
      <c r="I891" s="1174"/>
      <c r="J891" s="1174"/>
      <c r="K891" s="1174"/>
      <c r="L891" s="1172"/>
      <c r="M891" s="1172"/>
      <c r="N891" s="1175"/>
      <c r="O891" s="143"/>
      <c r="P891" s="1196"/>
      <c r="Q891" s="141"/>
      <c r="R891" s="141"/>
      <c r="S891" s="148"/>
      <c r="T891" s="419"/>
      <c r="U891" s="559"/>
      <c r="V891" s="141"/>
      <c r="W891" s="141"/>
      <c r="X891" s="141"/>
      <c r="Y891" s="144"/>
      <c r="Z891" s="141"/>
      <c r="AA891" s="141"/>
      <c r="AB891" s="141"/>
      <c r="AC891" s="141"/>
      <c r="AD891" s="141"/>
      <c r="AE891" s="141"/>
      <c r="AF891" s="145"/>
      <c r="AG891" s="419"/>
    </row>
    <row r="892" spans="1:33" s="139" customFormat="1" ht="12.75" customHeight="1" x14ac:dyDescent="0.2">
      <c r="A892" s="141"/>
      <c r="B892" s="141"/>
      <c r="C892" s="141"/>
      <c r="D892" s="141"/>
      <c r="E892" s="1014"/>
      <c r="F892" s="1014"/>
      <c r="G892" s="1027"/>
      <c r="H892" s="1027"/>
      <c r="I892" s="1174"/>
      <c r="J892" s="1174"/>
      <c r="K892" s="1174"/>
      <c r="L892" s="1172"/>
      <c r="M892" s="1172"/>
      <c r="N892" s="1175"/>
      <c r="O892" s="143"/>
      <c r="P892" s="1196"/>
      <c r="Q892" s="141"/>
      <c r="R892" s="141"/>
      <c r="S892" s="148"/>
      <c r="T892" s="419"/>
      <c r="U892" s="559"/>
      <c r="V892" s="141"/>
      <c r="W892" s="141"/>
      <c r="X892" s="141"/>
      <c r="Y892" s="144"/>
      <c r="Z892" s="141"/>
      <c r="AA892" s="141"/>
      <c r="AB892" s="141"/>
      <c r="AC892" s="141"/>
      <c r="AD892" s="141"/>
      <c r="AE892" s="141"/>
      <c r="AF892" s="145"/>
      <c r="AG892" s="419"/>
    </row>
    <row r="893" spans="1:33" s="139" customFormat="1" ht="12.75" customHeight="1" x14ac:dyDescent="0.2">
      <c r="A893" s="141"/>
      <c r="B893" s="141"/>
      <c r="C893" s="141"/>
      <c r="D893" s="141"/>
      <c r="E893" s="1014"/>
      <c r="F893" s="1014"/>
      <c r="G893" s="1027"/>
      <c r="H893" s="1027"/>
      <c r="I893" s="1174"/>
      <c r="J893" s="1174"/>
      <c r="K893" s="1174"/>
      <c r="L893" s="1172"/>
      <c r="M893" s="1172"/>
      <c r="N893" s="1175"/>
      <c r="O893" s="143"/>
      <c r="P893" s="1196"/>
      <c r="Q893" s="141"/>
      <c r="R893" s="141"/>
      <c r="S893" s="148"/>
      <c r="T893" s="419"/>
      <c r="U893" s="559"/>
      <c r="V893" s="141"/>
      <c r="W893" s="141"/>
      <c r="X893" s="141"/>
      <c r="Y893" s="144"/>
      <c r="Z893" s="141"/>
      <c r="AA893" s="141"/>
      <c r="AB893" s="141"/>
      <c r="AC893" s="141"/>
      <c r="AD893" s="141"/>
      <c r="AE893" s="141"/>
      <c r="AF893" s="145"/>
      <c r="AG893" s="419"/>
    </row>
    <row r="894" spans="1:33" s="139" customFormat="1" ht="12.75" customHeight="1" x14ac:dyDescent="0.2">
      <c r="A894" s="141"/>
      <c r="B894" s="141"/>
      <c r="C894" s="141"/>
      <c r="D894" s="141"/>
      <c r="E894" s="1014"/>
      <c r="F894" s="1014"/>
      <c r="G894" s="1027"/>
      <c r="H894" s="1027"/>
      <c r="I894" s="1174"/>
      <c r="J894" s="1174"/>
      <c r="K894" s="1174"/>
      <c r="L894" s="1172"/>
      <c r="M894" s="1172"/>
      <c r="N894" s="1175"/>
      <c r="O894" s="143"/>
      <c r="P894" s="1196"/>
      <c r="Q894" s="141"/>
      <c r="R894" s="141"/>
      <c r="S894" s="148"/>
      <c r="T894" s="419"/>
      <c r="U894" s="559"/>
      <c r="V894" s="141"/>
      <c r="W894" s="141"/>
      <c r="X894" s="141"/>
      <c r="Y894" s="144"/>
      <c r="Z894" s="141"/>
      <c r="AA894" s="141"/>
      <c r="AB894" s="141"/>
      <c r="AC894" s="141"/>
      <c r="AD894" s="141"/>
      <c r="AE894" s="141"/>
      <c r="AF894" s="145"/>
      <c r="AG894" s="419"/>
    </row>
    <row r="895" spans="1:33" s="139" customFormat="1" ht="12.75" customHeight="1" x14ac:dyDescent="0.2">
      <c r="A895" s="141"/>
      <c r="B895" s="141"/>
      <c r="C895" s="141"/>
      <c r="D895" s="141"/>
      <c r="E895" s="1014"/>
      <c r="F895" s="1014"/>
      <c r="G895" s="1027"/>
      <c r="H895" s="1027"/>
      <c r="I895" s="1174"/>
      <c r="J895" s="1174"/>
      <c r="K895" s="1174"/>
      <c r="L895" s="1172"/>
      <c r="M895" s="1172"/>
      <c r="N895" s="1175"/>
      <c r="O895" s="143"/>
      <c r="P895" s="1196"/>
      <c r="Q895" s="141"/>
      <c r="R895" s="141"/>
      <c r="S895" s="148"/>
      <c r="T895" s="419"/>
      <c r="U895" s="559"/>
      <c r="V895" s="141"/>
      <c r="W895" s="141"/>
      <c r="X895" s="141"/>
      <c r="Y895" s="144"/>
      <c r="Z895" s="141"/>
      <c r="AA895" s="141"/>
      <c r="AB895" s="141"/>
      <c r="AC895" s="141"/>
      <c r="AD895" s="141"/>
      <c r="AE895" s="141"/>
      <c r="AF895" s="145"/>
      <c r="AG895" s="419"/>
    </row>
    <row r="896" spans="1:33" s="139" customFormat="1" ht="12.75" customHeight="1" x14ac:dyDescent="0.2">
      <c r="A896" s="141"/>
      <c r="B896" s="141"/>
      <c r="C896" s="141"/>
      <c r="D896" s="141"/>
      <c r="E896" s="1014"/>
      <c r="F896" s="1014"/>
      <c r="G896" s="1027"/>
      <c r="H896" s="1027"/>
      <c r="I896" s="1174"/>
      <c r="J896" s="1174"/>
      <c r="K896" s="1174"/>
      <c r="L896" s="1172"/>
      <c r="M896" s="1172"/>
      <c r="N896" s="1175"/>
      <c r="O896" s="143"/>
      <c r="P896" s="1196"/>
      <c r="Q896" s="141"/>
      <c r="R896" s="141"/>
      <c r="S896" s="148"/>
      <c r="T896" s="419"/>
      <c r="U896" s="559"/>
      <c r="V896" s="141"/>
      <c r="W896" s="141"/>
      <c r="X896" s="141"/>
      <c r="Y896" s="144"/>
      <c r="Z896" s="141"/>
      <c r="AA896" s="141"/>
      <c r="AB896" s="141"/>
      <c r="AC896" s="141"/>
      <c r="AD896" s="141"/>
      <c r="AE896" s="141"/>
      <c r="AF896" s="145"/>
      <c r="AG896" s="419"/>
    </row>
    <row r="897" spans="1:33" s="139" customFormat="1" ht="12.75" customHeight="1" x14ac:dyDescent="0.2">
      <c r="A897" s="141"/>
      <c r="B897" s="141"/>
      <c r="C897" s="141"/>
      <c r="D897" s="141"/>
      <c r="E897" s="1014"/>
      <c r="F897" s="1014"/>
      <c r="G897" s="1027"/>
      <c r="H897" s="1027"/>
      <c r="I897" s="1174"/>
      <c r="J897" s="1174"/>
      <c r="K897" s="1174"/>
      <c r="L897" s="1172"/>
      <c r="M897" s="1172"/>
      <c r="N897" s="1175"/>
      <c r="O897" s="143"/>
      <c r="P897" s="1196"/>
      <c r="Q897" s="141"/>
      <c r="R897" s="141"/>
      <c r="S897" s="148"/>
      <c r="T897" s="419"/>
      <c r="U897" s="559"/>
      <c r="V897" s="141"/>
      <c r="W897" s="141"/>
      <c r="X897" s="141"/>
      <c r="Y897" s="144"/>
      <c r="Z897" s="141"/>
      <c r="AA897" s="141"/>
      <c r="AB897" s="141"/>
      <c r="AC897" s="141"/>
      <c r="AD897" s="141"/>
      <c r="AE897" s="141"/>
      <c r="AF897" s="145"/>
      <c r="AG897" s="419"/>
    </row>
    <row r="898" spans="1:33" s="139" customFormat="1" ht="12.75" customHeight="1" x14ac:dyDescent="0.2">
      <c r="A898" s="141"/>
      <c r="B898" s="141"/>
      <c r="C898" s="141"/>
      <c r="D898" s="141"/>
      <c r="E898" s="1014"/>
      <c r="F898" s="1014"/>
      <c r="G898" s="1027"/>
      <c r="H898" s="1027"/>
      <c r="I898" s="1174"/>
      <c r="J898" s="1174"/>
      <c r="K898" s="1174"/>
      <c r="L898" s="1172"/>
      <c r="M898" s="1172"/>
      <c r="N898" s="1175"/>
      <c r="O898" s="143"/>
      <c r="P898" s="1196"/>
      <c r="Q898" s="141"/>
      <c r="R898" s="141"/>
      <c r="S898" s="148"/>
      <c r="T898" s="419"/>
      <c r="U898" s="559"/>
      <c r="V898" s="141"/>
      <c r="W898" s="141"/>
      <c r="X898" s="141"/>
      <c r="Y898" s="144"/>
      <c r="Z898" s="141"/>
      <c r="AA898" s="141"/>
      <c r="AB898" s="141"/>
      <c r="AC898" s="141"/>
      <c r="AD898" s="141"/>
      <c r="AE898" s="141"/>
      <c r="AF898" s="145"/>
      <c r="AG898" s="419"/>
    </row>
    <row r="899" spans="1:33" s="139" customFormat="1" ht="12.75" customHeight="1" x14ac:dyDescent="0.2">
      <c r="A899" s="141"/>
      <c r="B899" s="141"/>
      <c r="C899" s="141"/>
      <c r="D899" s="141"/>
      <c r="E899" s="1014"/>
      <c r="F899" s="1014"/>
      <c r="G899" s="1027"/>
      <c r="H899" s="1027"/>
      <c r="I899" s="1174"/>
      <c r="J899" s="1174"/>
      <c r="K899" s="1174"/>
      <c r="L899" s="1172"/>
      <c r="M899" s="1172"/>
      <c r="N899" s="1175"/>
      <c r="O899" s="143"/>
      <c r="P899" s="1196"/>
      <c r="Q899" s="141"/>
      <c r="R899" s="141"/>
      <c r="S899" s="148"/>
      <c r="T899" s="419"/>
      <c r="U899" s="559"/>
      <c r="V899" s="141"/>
      <c r="W899" s="141"/>
      <c r="X899" s="141"/>
      <c r="Y899" s="144"/>
      <c r="Z899" s="141"/>
      <c r="AA899" s="141"/>
      <c r="AB899" s="141"/>
      <c r="AC899" s="141"/>
      <c r="AD899" s="141"/>
      <c r="AE899" s="141"/>
      <c r="AF899" s="145"/>
      <c r="AG899" s="419"/>
    </row>
    <row r="900" spans="1:33" s="139" customFormat="1" ht="12.75" customHeight="1" x14ac:dyDescent="0.2">
      <c r="A900" s="141"/>
      <c r="B900" s="141"/>
      <c r="C900" s="141"/>
      <c r="D900" s="141"/>
      <c r="E900" s="1014"/>
      <c r="F900" s="1014"/>
      <c r="G900" s="1027"/>
      <c r="H900" s="1027"/>
      <c r="I900" s="1174"/>
      <c r="J900" s="1174"/>
      <c r="K900" s="1174"/>
      <c r="L900" s="1172"/>
      <c r="M900" s="1172"/>
      <c r="N900" s="1175"/>
      <c r="O900" s="143"/>
      <c r="P900" s="1196"/>
      <c r="Q900" s="141"/>
      <c r="R900" s="141"/>
      <c r="S900" s="148"/>
      <c r="T900" s="419"/>
      <c r="U900" s="559"/>
      <c r="V900" s="141"/>
      <c r="W900" s="141"/>
      <c r="X900" s="141"/>
      <c r="Y900" s="144"/>
      <c r="Z900" s="141"/>
      <c r="AA900" s="141"/>
      <c r="AB900" s="141"/>
      <c r="AC900" s="141"/>
      <c r="AD900" s="141"/>
      <c r="AE900" s="141"/>
      <c r="AF900" s="145"/>
      <c r="AG900" s="419"/>
    </row>
    <row r="901" spans="1:33" s="139" customFormat="1" ht="12.75" customHeight="1" x14ac:dyDescent="0.2">
      <c r="A901" s="141"/>
      <c r="B901" s="141"/>
      <c r="C901" s="141"/>
      <c r="D901" s="141"/>
      <c r="E901" s="1014"/>
      <c r="F901" s="1014"/>
      <c r="G901" s="1027"/>
      <c r="H901" s="1027"/>
      <c r="I901" s="1174"/>
      <c r="J901" s="1174"/>
      <c r="K901" s="1174"/>
      <c r="L901" s="1172"/>
      <c r="M901" s="1172"/>
      <c r="N901" s="1175"/>
      <c r="O901" s="143"/>
      <c r="P901" s="1196"/>
      <c r="Q901" s="141"/>
      <c r="R901" s="141"/>
      <c r="S901" s="148"/>
      <c r="T901" s="419"/>
      <c r="U901" s="559"/>
      <c r="V901" s="141"/>
      <c r="W901" s="141"/>
      <c r="X901" s="141"/>
      <c r="Y901" s="144"/>
      <c r="Z901" s="141"/>
      <c r="AA901" s="141"/>
      <c r="AB901" s="141"/>
      <c r="AC901" s="141"/>
      <c r="AD901" s="141"/>
      <c r="AE901" s="141"/>
      <c r="AF901" s="145"/>
      <c r="AG901" s="419"/>
    </row>
    <row r="902" spans="1:33" s="139" customFormat="1" ht="12.75" customHeight="1" x14ac:dyDescent="0.2">
      <c r="A902" s="141"/>
      <c r="B902" s="141"/>
      <c r="C902" s="141"/>
      <c r="D902" s="141"/>
      <c r="E902" s="1014"/>
      <c r="F902" s="1014"/>
      <c r="G902" s="1027"/>
      <c r="H902" s="1027"/>
      <c r="I902" s="1174"/>
      <c r="J902" s="1174"/>
      <c r="K902" s="1174"/>
      <c r="L902" s="1172"/>
      <c r="M902" s="1172"/>
      <c r="N902" s="1175"/>
      <c r="O902" s="143"/>
      <c r="P902" s="1196"/>
      <c r="Q902" s="141"/>
      <c r="R902" s="141"/>
      <c r="S902" s="148"/>
      <c r="T902" s="419"/>
      <c r="U902" s="559"/>
      <c r="V902" s="141"/>
      <c r="W902" s="141"/>
      <c r="X902" s="141"/>
      <c r="Y902" s="144"/>
      <c r="Z902" s="141"/>
      <c r="AA902" s="141"/>
      <c r="AB902" s="141"/>
      <c r="AC902" s="141"/>
      <c r="AD902" s="141"/>
      <c r="AE902" s="141"/>
      <c r="AF902" s="145"/>
      <c r="AG902" s="419"/>
    </row>
    <row r="903" spans="1:33" s="139" customFormat="1" ht="12.75" customHeight="1" x14ac:dyDescent="0.2">
      <c r="A903" s="141"/>
      <c r="B903" s="141"/>
      <c r="C903" s="141"/>
      <c r="D903" s="141"/>
      <c r="E903" s="1014"/>
      <c r="F903" s="1014"/>
      <c r="G903" s="1027"/>
      <c r="H903" s="1027"/>
      <c r="I903" s="1174"/>
      <c r="J903" s="1174"/>
      <c r="K903" s="1174"/>
      <c r="L903" s="1172"/>
      <c r="M903" s="1172"/>
      <c r="N903" s="1175"/>
      <c r="O903" s="143"/>
      <c r="P903" s="1196"/>
      <c r="Q903" s="141"/>
      <c r="R903" s="141"/>
      <c r="S903" s="148"/>
      <c r="T903" s="419"/>
      <c r="U903" s="559"/>
      <c r="V903" s="141"/>
      <c r="W903" s="141"/>
      <c r="X903" s="141"/>
      <c r="Y903" s="144"/>
      <c r="Z903" s="141"/>
      <c r="AA903" s="141"/>
      <c r="AB903" s="141"/>
      <c r="AC903" s="141"/>
      <c r="AD903" s="141"/>
      <c r="AE903" s="141"/>
      <c r="AF903" s="145"/>
      <c r="AG903" s="419"/>
    </row>
    <row r="904" spans="1:33" s="139" customFormat="1" ht="12.75" customHeight="1" x14ac:dyDescent="0.2">
      <c r="A904" s="141"/>
      <c r="B904" s="141"/>
      <c r="C904" s="141"/>
      <c r="D904" s="141"/>
      <c r="E904" s="1014"/>
      <c r="F904" s="1014"/>
      <c r="G904" s="1027"/>
      <c r="H904" s="1027"/>
      <c r="I904" s="1174"/>
      <c r="J904" s="1174"/>
      <c r="K904" s="1174"/>
      <c r="L904" s="1172"/>
      <c r="M904" s="1172"/>
      <c r="N904" s="1175"/>
      <c r="O904" s="143"/>
      <c r="P904" s="1196"/>
      <c r="Q904" s="141"/>
      <c r="R904" s="141"/>
      <c r="S904" s="148"/>
      <c r="T904" s="419"/>
      <c r="U904" s="559"/>
      <c r="V904" s="141"/>
      <c r="W904" s="141"/>
      <c r="X904" s="141"/>
      <c r="Y904" s="144"/>
      <c r="Z904" s="141"/>
      <c r="AA904" s="141"/>
      <c r="AB904" s="141"/>
      <c r="AC904" s="141"/>
      <c r="AD904" s="141"/>
      <c r="AE904" s="141"/>
      <c r="AF904" s="145"/>
      <c r="AG904" s="419"/>
    </row>
    <row r="905" spans="1:33" s="139" customFormat="1" ht="12.75" customHeight="1" x14ac:dyDescent="0.2">
      <c r="A905" s="141"/>
      <c r="B905" s="141"/>
      <c r="C905" s="141"/>
      <c r="D905" s="141"/>
      <c r="E905" s="1014"/>
      <c r="F905" s="1014"/>
      <c r="G905" s="1027"/>
      <c r="H905" s="1027"/>
      <c r="I905" s="1174"/>
      <c r="J905" s="1174"/>
      <c r="K905" s="1174"/>
      <c r="L905" s="1172"/>
      <c r="M905" s="1172"/>
      <c r="N905" s="1175"/>
      <c r="O905" s="143"/>
      <c r="P905" s="1196"/>
      <c r="Q905" s="141"/>
      <c r="R905" s="141"/>
      <c r="S905" s="148"/>
      <c r="T905" s="419"/>
      <c r="U905" s="559"/>
      <c r="V905" s="141"/>
      <c r="W905" s="141"/>
      <c r="X905" s="141"/>
      <c r="Y905" s="144"/>
      <c r="Z905" s="141"/>
      <c r="AA905" s="141"/>
      <c r="AB905" s="141"/>
      <c r="AC905" s="141"/>
      <c r="AD905" s="141"/>
      <c r="AE905" s="141"/>
      <c r="AF905" s="145"/>
      <c r="AG905" s="419"/>
    </row>
    <row r="906" spans="1:33" s="139" customFormat="1" ht="12.75" customHeight="1" x14ac:dyDescent="0.2">
      <c r="A906" s="141"/>
      <c r="B906" s="141"/>
      <c r="C906" s="141"/>
      <c r="D906" s="141"/>
      <c r="E906" s="1014"/>
      <c r="F906" s="1014"/>
      <c r="G906" s="1027"/>
      <c r="H906" s="1027"/>
      <c r="I906" s="1174"/>
      <c r="J906" s="1174"/>
      <c r="K906" s="1174"/>
      <c r="L906" s="1172"/>
      <c r="M906" s="1172"/>
      <c r="N906" s="1175"/>
      <c r="O906" s="143"/>
      <c r="P906" s="1196"/>
      <c r="Q906" s="141"/>
      <c r="R906" s="141"/>
      <c r="S906" s="148"/>
      <c r="T906" s="419"/>
      <c r="U906" s="559"/>
      <c r="V906" s="141"/>
      <c r="W906" s="141"/>
      <c r="X906" s="141"/>
      <c r="Y906" s="144"/>
      <c r="Z906" s="141"/>
      <c r="AA906" s="141"/>
      <c r="AB906" s="141"/>
      <c r="AC906" s="141"/>
      <c r="AD906" s="141"/>
      <c r="AE906" s="141"/>
      <c r="AF906" s="145"/>
      <c r="AG906" s="419"/>
    </row>
    <row r="907" spans="1:33" s="139" customFormat="1" ht="12.75" customHeight="1" x14ac:dyDescent="0.2">
      <c r="A907" s="141"/>
      <c r="B907" s="141"/>
      <c r="C907" s="141"/>
      <c r="D907" s="141"/>
      <c r="E907" s="1014"/>
      <c r="F907" s="1014"/>
      <c r="G907" s="1027"/>
      <c r="H907" s="1027"/>
      <c r="I907" s="1174"/>
      <c r="J907" s="1174"/>
      <c r="K907" s="1174"/>
      <c r="L907" s="1172"/>
      <c r="M907" s="1172"/>
      <c r="N907" s="1175"/>
      <c r="O907" s="143"/>
      <c r="P907" s="1196"/>
      <c r="Q907" s="141"/>
      <c r="R907" s="141"/>
      <c r="S907" s="148"/>
      <c r="T907" s="419"/>
      <c r="U907" s="559"/>
      <c r="V907" s="141"/>
      <c r="W907" s="141"/>
      <c r="X907" s="141"/>
      <c r="Y907" s="144"/>
      <c r="Z907" s="141"/>
      <c r="AA907" s="141"/>
      <c r="AB907" s="141"/>
      <c r="AC907" s="141"/>
      <c r="AD907" s="141"/>
      <c r="AE907" s="141"/>
      <c r="AF907" s="145"/>
      <c r="AG907" s="419"/>
    </row>
    <row r="908" spans="1:33" s="139" customFormat="1" ht="12.75" customHeight="1" x14ac:dyDescent="0.2">
      <c r="A908" s="141"/>
      <c r="B908" s="141"/>
      <c r="C908" s="141"/>
      <c r="D908" s="141"/>
      <c r="E908" s="1014"/>
      <c r="F908" s="1014"/>
      <c r="G908" s="1027"/>
      <c r="H908" s="1027"/>
      <c r="I908" s="1174"/>
      <c r="J908" s="1174"/>
      <c r="K908" s="1174"/>
      <c r="L908" s="1172"/>
      <c r="M908" s="1172"/>
      <c r="N908" s="1175"/>
      <c r="O908" s="143"/>
      <c r="P908" s="1196"/>
      <c r="Q908" s="141"/>
      <c r="R908" s="141"/>
      <c r="S908" s="148"/>
      <c r="T908" s="419"/>
      <c r="U908" s="559"/>
      <c r="V908" s="141"/>
      <c r="W908" s="141"/>
      <c r="X908" s="141"/>
      <c r="Y908" s="144"/>
      <c r="Z908" s="141"/>
      <c r="AA908" s="141"/>
      <c r="AB908" s="141"/>
      <c r="AC908" s="141"/>
      <c r="AD908" s="141"/>
      <c r="AE908" s="141"/>
      <c r="AF908" s="145"/>
      <c r="AG908" s="419"/>
    </row>
    <row r="909" spans="1:33" s="139" customFormat="1" ht="12.75" customHeight="1" x14ac:dyDescent="0.2">
      <c r="A909" s="141"/>
      <c r="B909" s="141"/>
      <c r="C909" s="141"/>
      <c r="D909" s="141"/>
      <c r="E909" s="1014"/>
      <c r="F909" s="1014"/>
      <c r="G909" s="1027"/>
      <c r="H909" s="1027"/>
      <c r="I909" s="1174"/>
      <c r="J909" s="1174"/>
      <c r="K909" s="1174"/>
      <c r="L909" s="1172"/>
      <c r="M909" s="1172"/>
      <c r="N909" s="1175"/>
      <c r="O909" s="143"/>
      <c r="P909" s="1196"/>
      <c r="Q909" s="141"/>
      <c r="R909" s="141"/>
      <c r="S909" s="148"/>
      <c r="T909" s="419"/>
      <c r="U909" s="559"/>
      <c r="V909" s="141"/>
      <c r="W909" s="141"/>
      <c r="X909" s="141"/>
      <c r="Y909" s="144"/>
      <c r="Z909" s="141"/>
      <c r="AA909" s="141"/>
      <c r="AB909" s="141"/>
      <c r="AC909" s="141"/>
      <c r="AD909" s="141"/>
      <c r="AE909" s="141"/>
      <c r="AF909" s="145"/>
      <c r="AG909" s="419"/>
    </row>
    <row r="910" spans="1:33" s="139" customFormat="1" ht="12.75" customHeight="1" x14ac:dyDescent="0.2">
      <c r="A910" s="141"/>
      <c r="B910" s="141"/>
      <c r="C910" s="141"/>
      <c r="D910" s="141"/>
      <c r="E910" s="1014"/>
      <c r="F910" s="1014"/>
      <c r="G910" s="1027"/>
      <c r="H910" s="1027"/>
      <c r="I910" s="1174"/>
      <c r="J910" s="1174"/>
      <c r="K910" s="1174"/>
      <c r="L910" s="1172"/>
      <c r="M910" s="1172"/>
      <c r="N910" s="1175"/>
      <c r="O910" s="143"/>
      <c r="P910" s="1196"/>
      <c r="Q910" s="141"/>
      <c r="R910" s="141"/>
      <c r="S910" s="148"/>
      <c r="T910" s="419"/>
      <c r="U910" s="559"/>
      <c r="V910" s="141"/>
      <c r="W910" s="141"/>
      <c r="X910" s="141"/>
      <c r="Y910" s="144"/>
      <c r="Z910" s="141"/>
      <c r="AA910" s="141"/>
      <c r="AB910" s="141"/>
      <c r="AC910" s="141"/>
      <c r="AD910" s="141"/>
      <c r="AE910" s="141"/>
      <c r="AF910" s="145"/>
      <c r="AG910" s="419"/>
    </row>
    <row r="911" spans="1:33" s="139" customFormat="1" ht="12.75" customHeight="1" x14ac:dyDescent="0.2">
      <c r="A911" s="141"/>
      <c r="B911" s="141"/>
      <c r="C911" s="141"/>
      <c r="D911" s="141"/>
      <c r="E911" s="1014"/>
      <c r="F911" s="1014"/>
      <c r="G911" s="1027"/>
      <c r="H911" s="1027"/>
      <c r="I911" s="1174"/>
      <c r="J911" s="1174"/>
      <c r="K911" s="1174"/>
      <c r="L911" s="1172"/>
      <c r="M911" s="1172"/>
      <c r="N911" s="1175"/>
      <c r="O911" s="143"/>
      <c r="P911" s="1196"/>
      <c r="Q911" s="141"/>
      <c r="R911" s="141"/>
      <c r="S911" s="148"/>
      <c r="T911" s="419"/>
      <c r="U911" s="559"/>
      <c r="V911" s="141"/>
      <c r="W911" s="141"/>
      <c r="X911" s="141"/>
      <c r="Y911" s="144"/>
      <c r="Z911" s="141"/>
      <c r="AA911" s="141"/>
      <c r="AB911" s="141"/>
      <c r="AC911" s="141"/>
      <c r="AD911" s="141"/>
      <c r="AE911" s="141"/>
      <c r="AF911" s="145"/>
      <c r="AG911" s="419"/>
    </row>
    <row r="912" spans="1:33" s="139" customFormat="1" ht="12.75" customHeight="1" x14ac:dyDescent="0.2">
      <c r="A912" s="141"/>
      <c r="B912" s="141"/>
      <c r="C912" s="141"/>
      <c r="D912" s="141"/>
      <c r="E912" s="1014"/>
      <c r="F912" s="1014"/>
      <c r="G912" s="1027"/>
      <c r="H912" s="1027"/>
      <c r="I912" s="1174"/>
      <c r="J912" s="1174"/>
      <c r="K912" s="1174"/>
      <c r="L912" s="1172"/>
      <c r="M912" s="1172"/>
      <c r="N912" s="1175"/>
      <c r="O912" s="143"/>
      <c r="P912" s="1196"/>
      <c r="Q912" s="141"/>
      <c r="R912" s="141"/>
      <c r="S912" s="148"/>
      <c r="T912" s="419"/>
      <c r="U912" s="559"/>
      <c r="V912" s="141"/>
      <c r="W912" s="141"/>
      <c r="X912" s="141"/>
      <c r="Y912" s="144"/>
      <c r="Z912" s="141"/>
      <c r="AA912" s="141"/>
      <c r="AB912" s="141"/>
      <c r="AC912" s="141"/>
      <c r="AD912" s="141"/>
      <c r="AE912" s="141"/>
      <c r="AF912" s="145"/>
      <c r="AG912" s="419"/>
    </row>
    <row r="913" spans="1:33" s="139" customFormat="1" ht="12.75" customHeight="1" x14ac:dyDescent="0.2">
      <c r="A913" s="141"/>
      <c r="B913" s="141"/>
      <c r="C913" s="141"/>
      <c r="D913" s="141"/>
      <c r="E913" s="1014"/>
      <c r="F913" s="1014"/>
      <c r="G913" s="1027"/>
      <c r="H913" s="1027"/>
      <c r="I913" s="1174"/>
      <c r="J913" s="1174"/>
      <c r="K913" s="1174"/>
      <c r="L913" s="1172"/>
      <c r="M913" s="1172"/>
      <c r="N913" s="1175"/>
      <c r="O913" s="143"/>
      <c r="P913" s="1196"/>
      <c r="Q913" s="141"/>
      <c r="R913" s="141"/>
      <c r="S913" s="148"/>
      <c r="T913" s="419"/>
      <c r="U913" s="559"/>
      <c r="V913" s="141"/>
      <c r="W913" s="141"/>
      <c r="X913" s="141"/>
      <c r="Y913" s="144"/>
      <c r="Z913" s="141"/>
      <c r="AA913" s="141"/>
      <c r="AB913" s="141"/>
      <c r="AC913" s="141"/>
      <c r="AD913" s="141"/>
      <c r="AE913" s="141"/>
      <c r="AF913" s="145"/>
      <c r="AG913" s="419"/>
    </row>
    <row r="914" spans="1:33" s="139" customFormat="1" ht="12.75" customHeight="1" x14ac:dyDescent="0.2">
      <c r="A914" s="141"/>
      <c r="B914" s="141"/>
      <c r="C914" s="141"/>
      <c r="D914" s="141"/>
      <c r="E914" s="1014"/>
      <c r="F914" s="1014"/>
      <c r="G914" s="1027"/>
      <c r="H914" s="1027"/>
      <c r="I914" s="1174"/>
      <c r="J914" s="1174"/>
      <c r="K914" s="1174"/>
      <c r="L914" s="1172"/>
      <c r="M914" s="1172"/>
      <c r="N914" s="1175"/>
      <c r="O914" s="143"/>
      <c r="P914" s="1196"/>
      <c r="Q914" s="141"/>
      <c r="R914" s="141"/>
      <c r="S914" s="148"/>
      <c r="T914" s="419"/>
      <c r="U914" s="559"/>
      <c r="V914" s="141"/>
      <c r="W914" s="141"/>
      <c r="X914" s="141"/>
      <c r="Y914" s="144"/>
      <c r="Z914" s="141"/>
      <c r="AA914" s="141"/>
      <c r="AB914" s="141"/>
      <c r="AC914" s="141"/>
      <c r="AD914" s="141"/>
      <c r="AE914" s="141"/>
      <c r="AF914" s="145"/>
      <c r="AG914" s="419"/>
    </row>
    <row r="915" spans="1:33" s="139" customFormat="1" ht="12.75" customHeight="1" x14ac:dyDescent="0.2">
      <c r="A915" s="141"/>
      <c r="B915" s="141"/>
      <c r="C915" s="141"/>
      <c r="D915" s="141"/>
      <c r="E915" s="1014"/>
      <c r="F915" s="1014"/>
      <c r="G915" s="1027"/>
      <c r="H915" s="1027"/>
      <c r="I915" s="1174"/>
      <c r="J915" s="1174"/>
      <c r="K915" s="1174"/>
      <c r="L915" s="1172"/>
      <c r="M915" s="1172"/>
      <c r="N915" s="1175"/>
      <c r="O915" s="143"/>
      <c r="P915" s="1196"/>
      <c r="Q915" s="141"/>
      <c r="R915" s="141"/>
      <c r="S915" s="148"/>
      <c r="T915" s="419"/>
      <c r="U915" s="559"/>
      <c r="V915" s="141"/>
      <c r="W915" s="141"/>
      <c r="X915" s="141"/>
      <c r="Y915" s="144"/>
      <c r="Z915" s="141"/>
      <c r="AA915" s="141"/>
      <c r="AB915" s="141"/>
      <c r="AC915" s="141"/>
      <c r="AD915" s="141"/>
      <c r="AE915" s="141"/>
      <c r="AF915" s="145"/>
      <c r="AG915" s="419"/>
    </row>
    <row r="916" spans="1:33" s="139" customFormat="1" ht="12.75" customHeight="1" x14ac:dyDescent="0.2">
      <c r="A916" s="141"/>
      <c r="B916" s="141"/>
      <c r="C916" s="141"/>
      <c r="D916" s="141"/>
      <c r="E916" s="1014"/>
      <c r="F916" s="1014"/>
      <c r="G916" s="1027"/>
      <c r="H916" s="1027"/>
      <c r="I916" s="1174"/>
      <c r="J916" s="1174"/>
      <c r="K916" s="1174"/>
      <c r="L916" s="1172"/>
      <c r="M916" s="1172"/>
      <c r="N916" s="1175"/>
      <c r="O916" s="143"/>
      <c r="P916" s="1196"/>
      <c r="Q916" s="141"/>
      <c r="R916" s="141"/>
      <c r="S916" s="148"/>
      <c r="T916" s="419"/>
      <c r="U916" s="559"/>
      <c r="V916" s="141"/>
      <c r="W916" s="141"/>
      <c r="X916" s="141"/>
      <c r="Y916" s="144"/>
      <c r="Z916" s="141"/>
      <c r="AA916" s="141"/>
      <c r="AB916" s="141"/>
      <c r="AC916" s="141"/>
      <c r="AD916" s="141"/>
      <c r="AE916" s="141"/>
      <c r="AF916" s="145"/>
      <c r="AG916" s="419"/>
    </row>
    <row r="917" spans="1:33" s="139" customFormat="1" ht="12.75" customHeight="1" x14ac:dyDescent="0.2">
      <c r="A917" s="141"/>
      <c r="B917" s="141"/>
      <c r="C917" s="141"/>
      <c r="D917" s="141"/>
      <c r="E917" s="1014"/>
      <c r="F917" s="1014"/>
      <c r="G917" s="1027"/>
      <c r="H917" s="1027"/>
      <c r="I917" s="1174"/>
      <c r="J917" s="1174"/>
      <c r="K917" s="1174"/>
      <c r="L917" s="1172"/>
      <c r="M917" s="1172"/>
      <c r="N917" s="1175"/>
      <c r="O917" s="143"/>
      <c r="P917" s="1196"/>
      <c r="Q917" s="141"/>
      <c r="R917" s="141"/>
      <c r="S917" s="148"/>
      <c r="T917" s="419"/>
      <c r="U917" s="559"/>
      <c r="V917" s="141"/>
      <c r="W917" s="141"/>
      <c r="X917" s="141"/>
      <c r="Y917" s="144"/>
      <c r="Z917" s="141"/>
      <c r="AA917" s="141"/>
      <c r="AB917" s="141"/>
      <c r="AC917" s="141"/>
      <c r="AD917" s="141"/>
      <c r="AE917" s="141"/>
      <c r="AF917" s="145"/>
      <c r="AG917" s="419"/>
    </row>
    <row r="918" spans="1:33" s="139" customFormat="1" ht="12.75" customHeight="1" x14ac:dyDescent="0.2">
      <c r="A918" s="141"/>
      <c r="B918" s="141"/>
      <c r="C918" s="141"/>
      <c r="D918" s="141"/>
      <c r="E918" s="1014"/>
      <c r="F918" s="1014"/>
      <c r="G918" s="1027"/>
      <c r="H918" s="1027"/>
      <c r="I918" s="1174"/>
      <c r="J918" s="1174"/>
      <c r="K918" s="1174"/>
      <c r="L918" s="1172"/>
      <c r="M918" s="1172"/>
      <c r="N918" s="1175"/>
      <c r="O918" s="143"/>
      <c r="P918" s="1196"/>
      <c r="Q918" s="141"/>
      <c r="R918" s="141"/>
      <c r="S918" s="148"/>
      <c r="T918" s="419"/>
      <c r="U918" s="559"/>
      <c r="V918" s="141"/>
      <c r="W918" s="141"/>
      <c r="X918" s="141"/>
      <c r="Y918" s="144"/>
      <c r="Z918" s="141"/>
      <c r="AA918" s="141"/>
      <c r="AB918" s="141"/>
      <c r="AC918" s="141"/>
      <c r="AD918" s="141"/>
      <c r="AE918" s="141"/>
      <c r="AF918" s="145"/>
      <c r="AG918" s="419"/>
    </row>
    <row r="919" spans="1:33" s="139" customFormat="1" ht="12.75" customHeight="1" x14ac:dyDescent="0.2">
      <c r="A919" s="141"/>
      <c r="B919" s="141"/>
      <c r="C919" s="141"/>
      <c r="D919" s="141"/>
      <c r="E919" s="1014"/>
      <c r="F919" s="1014"/>
      <c r="G919" s="1027"/>
      <c r="H919" s="1027"/>
      <c r="I919" s="1174"/>
      <c r="J919" s="1174"/>
      <c r="K919" s="1174"/>
      <c r="L919" s="1172"/>
      <c r="M919" s="1172"/>
      <c r="N919" s="1175"/>
      <c r="O919" s="143"/>
      <c r="P919" s="1196"/>
      <c r="Q919" s="141"/>
      <c r="R919" s="141"/>
      <c r="S919" s="148"/>
      <c r="T919" s="419"/>
      <c r="U919" s="559"/>
      <c r="V919" s="141"/>
      <c r="W919" s="141"/>
      <c r="X919" s="141"/>
      <c r="Y919" s="144"/>
      <c r="Z919" s="141"/>
      <c r="AA919" s="141"/>
      <c r="AB919" s="141"/>
      <c r="AC919" s="141"/>
      <c r="AD919" s="141"/>
      <c r="AE919" s="141"/>
      <c r="AF919" s="145"/>
      <c r="AG919" s="419"/>
    </row>
    <row r="920" spans="1:33" s="139" customFormat="1" ht="12.75" customHeight="1" x14ac:dyDescent="0.2">
      <c r="A920" s="141"/>
      <c r="B920" s="141"/>
      <c r="C920" s="141"/>
      <c r="D920" s="141"/>
      <c r="E920" s="1014"/>
      <c r="F920" s="1014"/>
      <c r="G920" s="1027"/>
      <c r="H920" s="1027"/>
      <c r="I920" s="1174"/>
      <c r="J920" s="1174"/>
      <c r="K920" s="1174"/>
      <c r="L920" s="1172"/>
      <c r="M920" s="1172"/>
      <c r="N920" s="1175"/>
      <c r="O920" s="143"/>
      <c r="P920" s="1196"/>
      <c r="Q920" s="141"/>
      <c r="R920" s="141"/>
      <c r="S920" s="148"/>
      <c r="T920" s="419"/>
      <c r="U920" s="559"/>
      <c r="V920" s="141"/>
      <c r="W920" s="141"/>
      <c r="X920" s="141"/>
      <c r="Y920" s="144"/>
      <c r="Z920" s="141"/>
      <c r="AA920" s="141"/>
      <c r="AB920" s="141"/>
      <c r="AC920" s="141"/>
      <c r="AD920" s="141"/>
      <c r="AE920" s="141"/>
      <c r="AF920" s="145"/>
      <c r="AG920" s="419"/>
    </row>
    <row r="921" spans="1:33" s="139" customFormat="1" ht="12.75" customHeight="1" x14ac:dyDescent="0.2">
      <c r="A921" s="141"/>
      <c r="B921" s="141"/>
      <c r="C921" s="141"/>
      <c r="D921" s="141"/>
      <c r="E921" s="1014"/>
      <c r="F921" s="1014"/>
      <c r="G921" s="1027"/>
      <c r="H921" s="1027"/>
      <c r="I921" s="1174"/>
      <c r="J921" s="1174"/>
      <c r="K921" s="1174"/>
      <c r="L921" s="1172"/>
      <c r="M921" s="1172"/>
      <c r="N921" s="1175"/>
      <c r="O921" s="143"/>
      <c r="P921" s="1196"/>
      <c r="Q921" s="141"/>
      <c r="R921" s="141"/>
      <c r="S921" s="148"/>
      <c r="T921" s="419"/>
      <c r="U921" s="559"/>
      <c r="V921" s="141"/>
      <c r="W921" s="141"/>
      <c r="X921" s="141"/>
      <c r="Y921" s="144"/>
      <c r="Z921" s="141"/>
      <c r="AA921" s="141"/>
      <c r="AB921" s="141"/>
      <c r="AC921" s="141"/>
      <c r="AD921" s="141"/>
      <c r="AE921" s="141"/>
      <c r="AF921" s="145"/>
      <c r="AG921" s="419"/>
    </row>
    <row r="922" spans="1:33" s="139" customFormat="1" ht="12.75" customHeight="1" x14ac:dyDescent="0.2">
      <c r="A922" s="141"/>
      <c r="B922" s="141"/>
      <c r="C922" s="141"/>
      <c r="D922" s="141"/>
      <c r="E922" s="1014"/>
      <c r="F922" s="1014"/>
      <c r="G922" s="1027"/>
      <c r="H922" s="1027"/>
      <c r="I922" s="1174"/>
      <c r="J922" s="1174"/>
      <c r="K922" s="1174"/>
      <c r="L922" s="1172"/>
      <c r="M922" s="1172"/>
      <c r="N922" s="1175"/>
      <c r="O922" s="143"/>
      <c r="P922" s="1196"/>
      <c r="Q922" s="141"/>
      <c r="R922" s="141"/>
      <c r="S922" s="148"/>
      <c r="T922" s="419"/>
      <c r="U922" s="559"/>
      <c r="V922" s="141"/>
      <c r="W922" s="141"/>
      <c r="X922" s="141"/>
      <c r="Y922" s="144"/>
      <c r="Z922" s="141"/>
      <c r="AA922" s="141"/>
      <c r="AB922" s="141"/>
      <c r="AC922" s="141"/>
      <c r="AD922" s="141"/>
      <c r="AE922" s="141"/>
      <c r="AF922" s="145"/>
      <c r="AG922" s="419"/>
    </row>
    <row r="923" spans="1:33" s="139" customFormat="1" ht="12.75" customHeight="1" x14ac:dyDescent="0.2">
      <c r="A923" s="141"/>
      <c r="B923" s="141"/>
      <c r="C923" s="141"/>
      <c r="D923" s="141"/>
      <c r="E923" s="1014"/>
      <c r="F923" s="1014"/>
      <c r="G923" s="1027"/>
      <c r="H923" s="1027"/>
      <c r="I923" s="1174"/>
      <c r="J923" s="1174"/>
      <c r="K923" s="1174"/>
      <c r="L923" s="1172"/>
      <c r="M923" s="1172"/>
      <c r="N923" s="1175"/>
      <c r="O923" s="143"/>
      <c r="P923" s="1196"/>
      <c r="Q923" s="141"/>
      <c r="R923" s="141"/>
      <c r="S923" s="148"/>
      <c r="T923" s="419"/>
      <c r="U923" s="559"/>
      <c r="V923" s="141"/>
      <c r="W923" s="141"/>
      <c r="X923" s="141"/>
      <c r="Y923" s="144"/>
      <c r="Z923" s="141"/>
      <c r="AA923" s="141"/>
      <c r="AB923" s="141"/>
      <c r="AC923" s="141"/>
      <c r="AD923" s="141"/>
      <c r="AE923" s="141"/>
      <c r="AF923" s="145"/>
      <c r="AG923" s="419"/>
    </row>
    <row r="924" spans="1:33" s="139" customFormat="1" ht="12.75" customHeight="1" x14ac:dyDescent="0.2">
      <c r="A924" s="141"/>
      <c r="B924" s="141"/>
      <c r="C924" s="141"/>
      <c r="D924" s="141"/>
      <c r="E924" s="1014"/>
      <c r="F924" s="1014"/>
      <c r="G924" s="1027"/>
      <c r="H924" s="1027"/>
      <c r="I924" s="1174"/>
      <c r="J924" s="1174"/>
      <c r="K924" s="1174"/>
      <c r="L924" s="1172"/>
      <c r="M924" s="1172"/>
      <c r="N924" s="1175"/>
      <c r="O924" s="143"/>
      <c r="P924" s="1196"/>
      <c r="Q924" s="141"/>
      <c r="R924" s="141"/>
      <c r="S924" s="148"/>
      <c r="T924" s="419"/>
      <c r="U924" s="559"/>
      <c r="V924" s="141"/>
      <c r="W924" s="141"/>
      <c r="X924" s="141"/>
      <c r="Y924" s="144"/>
      <c r="Z924" s="141"/>
      <c r="AA924" s="141"/>
      <c r="AB924" s="141"/>
      <c r="AC924" s="141"/>
      <c r="AD924" s="141"/>
      <c r="AE924" s="141"/>
      <c r="AF924" s="145"/>
      <c r="AG924" s="419"/>
    </row>
    <row r="925" spans="1:33" s="139" customFormat="1" ht="12.75" customHeight="1" x14ac:dyDescent="0.2">
      <c r="A925" s="141"/>
      <c r="B925" s="141"/>
      <c r="C925" s="141"/>
      <c r="D925" s="141"/>
      <c r="E925" s="1014"/>
      <c r="F925" s="1014"/>
      <c r="G925" s="1027"/>
      <c r="H925" s="1027"/>
      <c r="I925" s="1174"/>
      <c r="J925" s="1174"/>
      <c r="K925" s="1174"/>
      <c r="L925" s="1172"/>
      <c r="M925" s="1172"/>
      <c r="N925" s="1175"/>
      <c r="O925" s="143"/>
      <c r="P925" s="1196"/>
      <c r="Q925" s="141"/>
      <c r="R925" s="141"/>
      <c r="S925" s="148"/>
      <c r="T925" s="419"/>
      <c r="U925" s="559"/>
      <c r="V925" s="141"/>
      <c r="W925" s="141"/>
      <c r="X925" s="141"/>
      <c r="Y925" s="144"/>
      <c r="Z925" s="141"/>
      <c r="AA925" s="141"/>
      <c r="AB925" s="141"/>
      <c r="AC925" s="141"/>
      <c r="AD925" s="141"/>
      <c r="AE925" s="141"/>
      <c r="AF925" s="145"/>
      <c r="AG925" s="419"/>
    </row>
    <row r="926" spans="1:33" s="139" customFormat="1" ht="12.75" customHeight="1" x14ac:dyDescent="0.2">
      <c r="A926" s="141"/>
      <c r="B926" s="141"/>
      <c r="C926" s="141"/>
      <c r="D926" s="141"/>
      <c r="E926" s="1014"/>
      <c r="F926" s="1014"/>
      <c r="G926" s="1027"/>
      <c r="H926" s="1027"/>
      <c r="I926" s="1174"/>
      <c r="J926" s="1174"/>
      <c r="K926" s="1174"/>
      <c r="L926" s="1172"/>
      <c r="M926" s="1172"/>
      <c r="N926" s="1175"/>
      <c r="O926" s="143"/>
      <c r="P926" s="1196"/>
      <c r="Q926" s="141"/>
      <c r="R926" s="141"/>
      <c r="S926" s="148"/>
      <c r="T926" s="419"/>
      <c r="U926" s="559"/>
      <c r="V926" s="141"/>
      <c r="W926" s="141"/>
      <c r="X926" s="141"/>
      <c r="Y926" s="144"/>
      <c r="Z926" s="141"/>
      <c r="AA926" s="141"/>
      <c r="AB926" s="141"/>
      <c r="AC926" s="141"/>
      <c r="AD926" s="141"/>
      <c r="AE926" s="141"/>
      <c r="AF926" s="145"/>
      <c r="AG926" s="419"/>
    </row>
    <row r="927" spans="1:33" s="139" customFormat="1" ht="12.75" customHeight="1" x14ac:dyDescent="0.2">
      <c r="A927" s="141"/>
      <c r="B927" s="141"/>
      <c r="C927" s="141"/>
      <c r="D927" s="141"/>
      <c r="E927" s="1014"/>
      <c r="F927" s="1014"/>
      <c r="G927" s="1027"/>
      <c r="H927" s="1027"/>
      <c r="I927" s="1174"/>
      <c r="J927" s="1174"/>
      <c r="K927" s="1174"/>
      <c r="L927" s="1172"/>
      <c r="M927" s="1172"/>
      <c r="N927" s="1175"/>
      <c r="O927" s="143"/>
      <c r="P927" s="1196"/>
      <c r="Q927" s="141"/>
      <c r="R927" s="141"/>
      <c r="S927" s="148"/>
      <c r="T927" s="419"/>
      <c r="U927" s="559"/>
      <c r="V927" s="141"/>
      <c r="W927" s="141"/>
      <c r="X927" s="141"/>
      <c r="Y927" s="144"/>
      <c r="Z927" s="141"/>
      <c r="AA927" s="141"/>
      <c r="AB927" s="141"/>
      <c r="AC927" s="141"/>
      <c r="AD927" s="141"/>
      <c r="AE927" s="141"/>
      <c r="AF927" s="145"/>
      <c r="AG927" s="419"/>
    </row>
    <row r="928" spans="1:33" s="139" customFormat="1" ht="12.75" customHeight="1" x14ac:dyDescent="0.2">
      <c r="A928" s="141"/>
      <c r="B928" s="141"/>
      <c r="C928" s="141"/>
      <c r="D928" s="141"/>
      <c r="E928" s="1014"/>
      <c r="F928" s="1014"/>
      <c r="G928" s="1027"/>
      <c r="H928" s="1027"/>
      <c r="I928" s="1174"/>
      <c r="J928" s="1174"/>
      <c r="K928" s="1174"/>
      <c r="L928" s="1172"/>
      <c r="M928" s="1172"/>
      <c r="N928" s="1175"/>
      <c r="O928" s="143"/>
      <c r="P928" s="1196"/>
      <c r="Q928" s="141"/>
      <c r="R928" s="141"/>
      <c r="S928" s="148"/>
      <c r="T928" s="419"/>
      <c r="U928" s="559"/>
      <c r="V928" s="141"/>
      <c r="W928" s="141"/>
      <c r="X928" s="141"/>
      <c r="Y928" s="144"/>
      <c r="Z928" s="141"/>
      <c r="AA928" s="141"/>
      <c r="AB928" s="141"/>
      <c r="AC928" s="141"/>
      <c r="AD928" s="141"/>
      <c r="AE928" s="141"/>
      <c r="AF928" s="145"/>
      <c r="AG928" s="419"/>
    </row>
    <row r="929" spans="1:33" s="139" customFormat="1" ht="12.75" customHeight="1" x14ac:dyDescent="0.2">
      <c r="A929" s="141"/>
      <c r="B929" s="141"/>
      <c r="C929" s="141"/>
      <c r="D929" s="141"/>
      <c r="E929" s="1014"/>
      <c r="F929" s="1014"/>
      <c r="G929" s="1027"/>
      <c r="H929" s="1027"/>
      <c r="I929" s="1174"/>
      <c r="J929" s="1174"/>
      <c r="K929" s="1174"/>
      <c r="L929" s="1172"/>
      <c r="M929" s="1172"/>
      <c r="N929" s="1175"/>
      <c r="O929" s="143"/>
      <c r="P929" s="1196"/>
      <c r="Q929" s="141"/>
      <c r="R929" s="141"/>
      <c r="S929" s="148"/>
      <c r="T929" s="419"/>
      <c r="U929" s="559"/>
      <c r="V929" s="141"/>
      <c r="W929" s="141"/>
      <c r="X929" s="141"/>
      <c r="Y929" s="144"/>
      <c r="Z929" s="141"/>
      <c r="AA929" s="141"/>
      <c r="AB929" s="141"/>
      <c r="AC929" s="141"/>
      <c r="AD929" s="141"/>
      <c r="AE929" s="141"/>
      <c r="AF929" s="145"/>
      <c r="AG929" s="419"/>
    </row>
    <row r="930" spans="1:33" s="139" customFormat="1" ht="12.75" customHeight="1" x14ac:dyDescent="0.2">
      <c r="A930" s="141"/>
      <c r="B930" s="141"/>
      <c r="C930" s="141"/>
      <c r="D930" s="141"/>
      <c r="E930" s="1014"/>
      <c r="F930" s="1014"/>
      <c r="G930" s="1027"/>
      <c r="H930" s="1027"/>
      <c r="I930" s="1174"/>
      <c r="J930" s="1174"/>
      <c r="K930" s="1174"/>
      <c r="L930" s="1172"/>
      <c r="M930" s="1172"/>
      <c r="N930" s="1175"/>
      <c r="O930" s="143"/>
      <c r="P930" s="1196"/>
      <c r="Q930" s="141"/>
      <c r="R930" s="141"/>
      <c r="S930" s="148"/>
      <c r="T930" s="419"/>
      <c r="U930" s="559"/>
      <c r="V930" s="141"/>
      <c r="W930" s="141"/>
      <c r="X930" s="141"/>
      <c r="Y930" s="144"/>
      <c r="Z930" s="141"/>
      <c r="AA930" s="141"/>
      <c r="AB930" s="141"/>
      <c r="AC930" s="141"/>
      <c r="AD930" s="141"/>
      <c r="AE930" s="141"/>
      <c r="AF930" s="145"/>
      <c r="AG930" s="419"/>
    </row>
    <row r="931" spans="1:33" s="139" customFormat="1" ht="12.75" customHeight="1" x14ac:dyDescent="0.2">
      <c r="A931" s="141"/>
      <c r="B931" s="141"/>
      <c r="C931" s="141"/>
      <c r="D931" s="141"/>
      <c r="E931" s="1014"/>
      <c r="F931" s="1014"/>
      <c r="G931" s="1027"/>
      <c r="H931" s="1027"/>
      <c r="I931" s="1174"/>
      <c r="J931" s="1174"/>
      <c r="K931" s="1174"/>
      <c r="L931" s="1172"/>
      <c r="M931" s="1172"/>
      <c r="N931" s="1175"/>
      <c r="O931" s="143"/>
      <c r="P931" s="1196"/>
      <c r="Q931" s="141"/>
      <c r="R931" s="141"/>
      <c r="S931" s="148"/>
      <c r="T931" s="419"/>
      <c r="U931" s="559"/>
      <c r="V931" s="141"/>
      <c r="W931" s="141"/>
      <c r="X931" s="141"/>
      <c r="Y931" s="144"/>
      <c r="Z931" s="141"/>
      <c r="AA931" s="141"/>
      <c r="AB931" s="141"/>
      <c r="AC931" s="141"/>
      <c r="AD931" s="141"/>
      <c r="AE931" s="141"/>
      <c r="AF931" s="145"/>
      <c r="AG931" s="419"/>
    </row>
    <row r="932" spans="1:33" s="139" customFormat="1" ht="12.75" customHeight="1" x14ac:dyDescent="0.2">
      <c r="A932" s="141"/>
      <c r="B932" s="141"/>
      <c r="C932" s="141"/>
      <c r="D932" s="141"/>
      <c r="E932" s="1014"/>
      <c r="F932" s="1014"/>
      <c r="G932" s="1027"/>
      <c r="H932" s="1027"/>
      <c r="I932" s="1174"/>
      <c r="J932" s="1174"/>
      <c r="K932" s="1174"/>
      <c r="L932" s="1172"/>
      <c r="M932" s="1172"/>
      <c r="N932" s="1175"/>
      <c r="O932" s="143"/>
      <c r="P932" s="1196"/>
      <c r="Q932" s="141"/>
      <c r="R932" s="141"/>
      <c r="S932" s="148"/>
      <c r="T932" s="419"/>
      <c r="U932" s="559"/>
      <c r="V932" s="141"/>
      <c r="W932" s="141"/>
      <c r="X932" s="141"/>
      <c r="Y932" s="144"/>
      <c r="Z932" s="141"/>
      <c r="AA932" s="141"/>
      <c r="AB932" s="141"/>
      <c r="AC932" s="141"/>
      <c r="AD932" s="141"/>
      <c r="AE932" s="141"/>
      <c r="AF932" s="145"/>
      <c r="AG932" s="419"/>
    </row>
    <row r="933" spans="1:33" s="139" customFormat="1" ht="12.75" customHeight="1" x14ac:dyDescent="0.2">
      <c r="A933" s="141"/>
      <c r="B933" s="141"/>
      <c r="C933" s="141"/>
      <c r="D933" s="141"/>
      <c r="E933" s="1014"/>
      <c r="F933" s="1014"/>
      <c r="G933" s="1027"/>
      <c r="H933" s="1027"/>
      <c r="I933" s="1174"/>
      <c r="J933" s="1174"/>
      <c r="K933" s="1174"/>
      <c r="L933" s="1172"/>
      <c r="M933" s="1172"/>
      <c r="N933" s="1175"/>
      <c r="O933" s="143"/>
      <c r="P933" s="1196"/>
      <c r="Q933" s="141"/>
      <c r="R933" s="141"/>
      <c r="S933" s="148"/>
      <c r="T933" s="419"/>
      <c r="U933" s="559"/>
      <c r="V933" s="141"/>
      <c r="W933" s="141"/>
      <c r="X933" s="141"/>
      <c r="Y933" s="144"/>
      <c r="Z933" s="141"/>
      <c r="AA933" s="141"/>
      <c r="AB933" s="141"/>
      <c r="AC933" s="141"/>
      <c r="AD933" s="141"/>
      <c r="AE933" s="141"/>
      <c r="AF933" s="145"/>
      <c r="AG933" s="419"/>
    </row>
    <row r="934" spans="1:33" s="139" customFormat="1" ht="12.75" customHeight="1" x14ac:dyDescent="0.2">
      <c r="A934" s="141"/>
      <c r="B934" s="141"/>
      <c r="C934" s="141"/>
      <c r="D934" s="141"/>
      <c r="E934" s="1014"/>
      <c r="F934" s="1014"/>
      <c r="G934" s="1027"/>
      <c r="H934" s="1027"/>
      <c r="I934" s="1174"/>
      <c r="J934" s="1174"/>
      <c r="K934" s="1174"/>
      <c r="L934" s="1172"/>
      <c r="M934" s="1172"/>
      <c r="N934" s="1175"/>
      <c r="O934" s="143"/>
      <c r="P934" s="1196"/>
      <c r="Q934" s="141"/>
      <c r="R934" s="141"/>
      <c r="S934" s="148"/>
      <c r="T934" s="419"/>
      <c r="U934" s="559"/>
      <c r="V934" s="141"/>
      <c r="W934" s="141"/>
      <c r="X934" s="141"/>
      <c r="Y934" s="144"/>
      <c r="Z934" s="141"/>
      <c r="AA934" s="141"/>
      <c r="AB934" s="141"/>
      <c r="AC934" s="141"/>
      <c r="AD934" s="141"/>
      <c r="AE934" s="141"/>
      <c r="AF934" s="145"/>
      <c r="AG934" s="419"/>
    </row>
    <row r="935" spans="1:33" s="139" customFormat="1" ht="12.75" customHeight="1" x14ac:dyDescent="0.2">
      <c r="A935" s="141"/>
      <c r="B935" s="141"/>
      <c r="C935" s="141"/>
      <c r="D935" s="141"/>
      <c r="E935" s="1014"/>
      <c r="F935" s="1014"/>
      <c r="G935" s="1027"/>
      <c r="H935" s="1027"/>
      <c r="I935" s="1174"/>
      <c r="J935" s="1174"/>
      <c r="K935" s="1174"/>
      <c r="L935" s="1172"/>
      <c r="M935" s="1172"/>
      <c r="N935" s="1175"/>
      <c r="O935" s="143"/>
      <c r="P935" s="1196"/>
      <c r="Q935" s="141"/>
      <c r="R935" s="141"/>
      <c r="S935" s="148"/>
      <c r="T935" s="419"/>
      <c r="U935" s="559"/>
      <c r="V935" s="141"/>
      <c r="W935" s="141"/>
      <c r="X935" s="141"/>
      <c r="Y935" s="144"/>
      <c r="Z935" s="141"/>
      <c r="AA935" s="141"/>
      <c r="AB935" s="141"/>
      <c r="AC935" s="141"/>
      <c r="AD935" s="141"/>
      <c r="AE935" s="141"/>
      <c r="AF935" s="145"/>
      <c r="AG935" s="419"/>
    </row>
    <row r="936" spans="1:33" s="139" customFormat="1" ht="12.75" customHeight="1" x14ac:dyDescent="0.2">
      <c r="A936" s="141"/>
      <c r="B936" s="141"/>
      <c r="C936" s="141"/>
      <c r="D936" s="141"/>
      <c r="E936" s="1014"/>
      <c r="F936" s="1014"/>
      <c r="G936" s="1027"/>
      <c r="H936" s="1027"/>
      <c r="I936" s="1174"/>
      <c r="J936" s="1174"/>
      <c r="K936" s="1174"/>
      <c r="L936" s="1172"/>
      <c r="M936" s="1172"/>
      <c r="N936" s="1175"/>
      <c r="O936" s="143"/>
      <c r="P936" s="1196"/>
      <c r="Q936" s="141"/>
      <c r="R936" s="141"/>
      <c r="S936" s="148"/>
      <c r="T936" s="419"/>
      <c r="U936" s="559"/>
      <c r="V936" s="141"/>
      <c r="W936" s="141"/>
      <c r="X936" s="141"/>
      <c r="Y936" s="144"/>
      <c r="Z936" s="141"/>
      <c r="AA936" s="141"/>
      <c r="AB936" s="141"/>
      <c r="AC936" s="141"/>
      <c r="AD936" s="141"/>
      <c r="AE936" s="141"/>
      <c r="AF936" s="145"/>
      <c r="AG936" s="419"/>
    </row>
    <row r="937" spans="1:33" s="139" customFormat="1" ht="12.75" customHeight="1" x14ac:dyDescent="0.2">
      <c r="A937" s="141"/>
      <c r="B937" s="141"/>
      <c r="C937" s="141"/>
      <c r="D937" s="141"/>
      <c r="E937" s="1014"/>
      <c r="F937" s="1014"/>
      <c r="G937" s="1027"/>
      <c r="H937" s="1027"/>
      <c r="I937" s="1174"/>
      <c r="J937" s="1174"/>
      <c r="K937" s="1174"/>
      <c r="L937" s="1172"/>
      <c r="M937" s="1172"/>
      <c r="N937" s="1175"/>
      <c r="O937" s="143"/>
      <c r="P937" s="1196"/>
      <c r="Q937" s="141"/>
      <c r="R937" s="141"/>
      <c r="S937" s="148"/>
      <c r="T937" s="419"/>
      <c r="U937" s="559"/>
      <c r="V937" s="141"/>
      <c r="W937" s="141"/>
      <c r="X937" s="141"/>
      <c r="Y937" s="144"/>
      <c r="Z937" s="141"/>
      <c r="AA937" s="141"/>
      <c r="AB937" s="141"/>
      <c r="AC937" s="141"/>
      <c r="AD937" s="141"/>
      <c r="AE937" s="141"/>
      <c r="AF937" s="145"/>
      <c r="AG937" s="419"/>
    </row>
    <row r="938" spans="1:33" s="139" customFormat="1" ht="12.75" customHeight="1" x14ac:dyDescent="0.2">
      <c r="A938" s="141"/>
      <c r="B938" s="141"/>
      <c r="C938" s="141"/>
      <c r="D938" s="141"/>
      <c r="E938" s="1014"/>
      <c r="F938" s="1014"/>
      <c r="G938" s="1027"/>
      <c r="H938" s="1027"/>
      <c r="I938" s="1174"/>
      <c r="J938" s="1174"/>
      <c r="K938" s="1174"/>
      <c r="L938" s="1172"/>
      <c r="M938" s="1172"/>
      <c r="N938" s="1175"/>
      <c r="O938" s="143"/>
      <c r="P938" s="1196"/>
      <c r="Q938" s="141"/>
      <c r="R938" s="141"/>
      <c r="S938" s="148"/>
      <c r="T938" s="419"/>
      <c r="U938" s="559"/>
      <c r="V938" s="141"/>
      <c r="W938" s="141"/>
      <c r="X938" s="141"/>
      <c r="Y938" s="144"/>
      <c r="Z938" s="141"/>
      <c r="AA938" s="141"/>
      <c r="AB938" s="141"/>
      <c r="AC938" s="141"/>
      <c r="AD938" s="141"/>
      <c r="AE938" s="141"/>
      <c r="AF938" s="145"/>
      <c r="AG938" s="419"/>
    </row>
    <row r="939" spans="1:33" s="139" customFormat="1" ht="12.75" customHeight="1" x14ac:dyDescent="0.2">
      <c r="A939" s="141"/>
      <c r="B939" s="141"/>
      <c r="C939" s="141"/>
      <c r="D939" s="141"/>
      <c r="E939" s="1014"/>
      <c r="F939" s="1014"/>
      <c r="G939" s="1027"/>
      <c r="H939" s="1027"/>
      <c r="I939" s="1174"/>
      <c r="J939" s="1174"/>
      <c r="K939" s="1174"/>
      <c r="L939" s="1172"/>
      <c r="M939" s="1172"/>
      <c r="N939" s="1175"/>
      <c r="O939" s="143"/>
      <c r="P939" s="1196"/>
      <c r="Q939" s="141"/>
      <c r="R939" s="141"/>
      <c r="S939" s="148"/>
      <c r="T939" s="419"/>
      <c r="U939" s="559"/>
      <c r="V939" s="141"/>
      <c r="W939" s="141"/>
      <c r="X939" s="141"/>
      <c r="Y939" s="144"/>
      <c r="Z939" s="141"/>
      <c r="AA939" s="141"/>
      <c r="AB939" s="141"/>
      <c r="AC939" s="141"/>
      <c r="AD939" s="141"/>
      <c r="AE939" s="141"/>
      <c r="AF939" s="145"/>
      <c r="AG939" s="419"/>
    </row>
    <row r="940" spans="1:33" s="139" customFormat="1" ht="12.75" customHeight="1" x14ac:dyDescent="0.2">
      <c r="A940" s="141"/>
      <c r="B940" s="141"/>
      <c r="C940" s="141"/>
      <c r="D940" s="141"/>
      <c r="E940" s="1014"/>
      <c r="F940" s="1014"/>
      <c r="G940" s="1027"/>
      <c r="H940" s="1027"/>
      <c r="I940" s="1174"/>
      <c r="J940" s="1174"/>
      <c r="K940" s="1174"/>
      <c r="L940" s="1172"/>
      <c r="M940" s="1172"/>
      <c r="N940" s="1175"/>
      <c r="O940" s="143"/>
      <c r="P940" s="1196"/>
      <c r="Q940" s="141"/>
      <c r="R940" s="141"/>
      <c r="S940" s="148"/>
      <c r="T940" s="419"/>
      <c r="U940" s="559"/>
      <c r="V940" s="141"/>
      <c r="W940" s="141"/>
      <c r="X940" s="141"/>
      <c r="Y940" s="144"/>
      <c r="Z940" s="141"/>
      <c r="AA940" s="141"/>
      <c r="AB940" s="141"/>
      <c r="AC940" s="141"/>
      <c r="AD940" s="141"/>
      <c r="AE940" s="141"/>
      <c r="AF940" s="145"/>
      <c r="AG940" s="419"/>
    </row>
    <row r="941" spans="1:33" s="139" customFormat="1" ht="12.75" customHeight="1" x14ac:dyDescent="0.2">
      <c r="A941" s="141"/>
      <c r="B941" s="141"/>
      <c r="C941" s="141"/>
      <c r="D941" s="141"/>
      <c r="E941" s="1014"/>
      <c r="F941" s="1014"/>
      <c r="G941" s="1027"/>
      <c r="H941" s="1027"/>
      <c r="I941" s="1174"/>
      <c r="J941" s="1174"/>
      <c r="K941" s="1174"/>
      <c r="L941" s="1172"/>
      <c r="M941" s="1172"/>
      <c r="N941" s="1175"/>
      <c r="O941" s="143"/>
      <c r="P941" s="1196"/>
      <c r="Q941" s="141"/>
      <c r="R941" s="141"/>
      <c r="S941" s="148"/>
      <c r="T941" s="419"/>
      <c r="U941" s="559"/>
      <c r="V941" s="141"/>
      <c r="W941" s="141"/>
      <c r="X941" s="141"/>
      <c r="Y941" s="144"/>
      <c r="Z941" s="141"/>
      <c r="AA941" s="141"/>
      <c r="AB941" s="141"/>
      <c r="AC941" s="141"/>
      <c r="AD941" s="141"/>
      <c r="AE941" s="141"/>
      <c r="AF941" s="145"/>
      <c r="AG941" s="419"/>
    </row>
    <row r="942" spans="1:33" s="139" customFormat="1" ht="12.75" customHeight="1" x14ac:dyDescent="0.2">
      <c r="A942" s="141"/>
      <c r="B942" s="141"/>
      <c r="C942" s="141"/>
      <c r="D942" s="141"/>
      <c r="E942" s="1014"/>
      <c r="F942" s="1014"/>
      <c r="G942" s="1027"/>
      <c r="H942" s="1027"/>
      <c r="I942" s="1174"/>
      <c r="J942" s="1174"/>
      <c r="K942" s="1174"/>
      <c r="L942" s="1172"/>
      <c r="M942" s="1172"/>
      <c r="N942" s="1175"/>
      <c r="O942" s="143"/>
      <c r="P942" s="1196"/>
      <c r="Q942" s="141"/>
      <c r="R942" s="141"/>
      <c r="S942" s="148"/>
      <c r="T942" s="419"/>
      <c r="U942" s="559"/>
      <c r="V942" s="141"/>
      <c r="W942" s="141"/>
      <c r="X942" s="141"/>
      <c r="Y942" s="144"/>
      <c r="Z942" s="141"/>
      <c r="AA942" s="141"/>
      <c r="AB942" s="141"/>
      <c r="AC942" s="141"/>
      <c r="AD942" s="141"/>
      <c r="AE942" s="141"/>
      <c r="AF942" s="145"/>
      <c r="AG942" s="419"/>
    </row>
    <row r="943" spans="1:33" s="139" customFormat="1" ht="12.75" customHeight="1" x14ac:dyDescent="0.2">
      <c r="A943" s="141"/>
      <c r="B943" s="141"/>
      <c r="C943" s="141"/>
      <c r="D943" s="141"/>
      <c r="E943" s="1014"/>
      <c r="F943" s="1014"/>
      <c r="G943" s="1027"/>
      <c r="H943" s="1027"/>
      <c r="I943" s="1174"/>
      <c r="J943" s="1174"/>
      <c r="K943" s="1174"/>
      <c r="L943" s="1172"/>
      <c r="M943" s="1172"/>
      <c r="N943" s="1175"/>
      <c r="O943" s="143"/>
      <c r="P943" s="1196"/>
      <c r="Q943" s="141"/>
      <c r="R943" s="141"/>
      <c r="S943" s="148"/>
      <c r="T943" s="419"/>
      <c r="U943" s="559"/>
      <c r="V943" s="141"/>
      <c r="W943" s="141"/>
      <c r="X943" s="141"/>
      <c r="Y943" s="144"/>
      <c r="Z943" s="141"/>
      <c r="AA943" s="141"/>
      <c r="AB943" s="141"/>
      <c r="AC943" s="141"/>
      <c r="AD943" s="141"/>
      <c r="AE943" s="141"/>
      <c r="AF943" s="145"/>
      <c r="AG943" s="419"/>
    </row>
    <row r="944" spans="1:33" s="139" customFormat="1" ht="12.75" customHeight="1" x14ac:dyDescent="0.2">
      <c r="A944" s="141"/>
      <c r="B944" s="141"/>
      <c r="C944" s="141"/>
      <c r="D944" s="141"/>
      <c r="E944" s="1014"/>
      <c r="F944" s="1014"/>
      <c r="G944" s="1027"/>
      <c r="H944" s="1027"/>
      <c r="I944" s="1174"/>
      <c r="J944" s="1174"/>
      <c r="K944" s="1174"/>
      <c r="L944" s="1172"/>
      <c r="M944" s="1172"/>
      <c r="N944" s="1175"/>
      <c r="O944" s="143"/>
      <c r="P944" s="1196"/>
      <c r="Q944" s="141"/>
      <c r="R944" s="141"/>
      <c r="S944" s="148"/>
      <c r="T944" s="419"/>
      <c r="U944" s="559"/>
      <c r="V944" s="141"/>
      <c r="W944" s="141"/>
      <c r="X944" s="141"/>
      <c r="Y944" s="144"/>
      <c r="Z944" s="141"/>
      <c r="AA944" s="141"/>
      <c r="AB944" s="141"/>
      <c r="AC944" s="141"/>
      <c r="AD944" s="141"/>
      <c r="AE944" s="141"/>
      <c r="AF944" s="145"/>
      <c r="AG944" s="419"/>
    </row>
    <row r="945" spans="1:33" s="139" customFormat="1" ht="12.75" customHeight="1" x14ac:dyDescent="0.2">
      <c r="A945" s="141"/>
      <c r="B945" s="141"/>
      <c r="C945" s="141"/>
      <c r="D945" s="141"/>
      <c r="E945" s="1014"/>
      <c r="F945" s="1014"/>
      <c r="G945" s="1027"/>
      <c r="H945" s="1027"/>
      <c r="I945" s="1174"/>
      <c r="J945" s="1174"/>
      <c r="K945" s="1174"/>
      <c r="L945" s="1172"/>
      <c r="M945" s="1172"/>
      <c r="N945" s="1175"/>
      <c r="O945" s="143"/>
      <c r="P945" s="1196"/>
      <c r="Q945" s="141"/>
      <c r="R945" s="141"/>
      <c r="S945" s="148"/>
      <c r="T945" s="419"/>
      <c r="U945" s="559"/>
      <c r="V945" s="141"/>
      <c r="W945" s="141"/>
      <c r="X945" s="141"/>
      <c r="Y945" s="144"/>
      <c r="Z945" s="141"/>
      <c r="AA945" s="141"/>
      <c r="AB945" s="141"/>
      <c r="AC945" s="141"/>
      <c r="AD945" s="141"/>
      <c r="AE945" s="141"/>
      <c r="AF945" s="145"/>
      <c r="AG945" s="419"/>
    </row>
    <row r="946" spans="1:33" s="139" customFormat="1" ht="12.75" customHeight="1" x14ac:dyDescent="0.2">
      <c r="A946" s="141"/>
      <c r="B946" s="141"/>
      <c r="C946" s="141"/>
      <c r="D946" s="141"/>
      <c r="E946" s="1014"/>
      <c r="F946" s="1014"/>
      <c r="G946" s="1027"/>
      <c r="H946" s="1027"/>
      <c r="I946" s="1174"/>
      <c r="J946" s="1174"/>
      <c r="K946" s="1174"/>
      <c r="L946" s="1172"/>
      <c r="M946" s="1172"/>
      <c r="N946" s="1175"/>
      <c r="O946" s="143"/>
      <c r="P946" s="1196"/>
      <c r="Q946" s="141"/>
      <c r="R946" s="141"/>
      <c r="S946" s="148"/>
      <c r="T946" s="419"/>
      <c r="U946" s="559"/>
      <c r="V946" s="141"/>
      <c r="W946" s="141"/>
      <c r="X946" s="141"/>
      <c r="Y946" s="144"/>
      <c r="Z946" s="141"/>
      <c r="AA946" s="141"/>
      <c r="AB946" s="141"/>
      <c r="AC946" s="141"/>
      <c r="AD946" s="141"/>
      <c r="AE946" s="141"/>
      <c r="AF946" s="145"/>
      <c r="AG946" s="419"/>
    </row>
    <row r="947" spans="1:33" s="139" customFormat="1" ht="12.75" customHeight="1" x14ac:dyDescent="0.2">
      <c r="A947" s="141"/>
      <c r="B947" s="141"/>
      <c r="C947" s="141"/>
      <c r="D947" s="141"/>
      <c r="E947" s="1014"/>
      <c r="F947" s="1014"/>
      <c r="G947" s="1027"/>
      <c r="H947" s="1027"/>
      <c r="I947" s="1174"/>
      <c r="J947" s="1174"/>
      <c r="K947" s="1174"/>
      <c r="L947" s="1172"/>
      <c r="M947" s="1172"/>
      <c r="N947" s="1175"/>
      <c r="O947" s="143"/>
      <c r="P947" s="1196"/>
      <c r="Q947" s="141"/>
      <c r="R947" s="141"/>
      <c r="S947" s="148"/>
      <c r="T947" s="419"/>
      <c r="U947" s="559"/>
      <c r="V947" s="141"/>
      <c r="W947" s="141"/>
      <c r="X947" s="141"/>
      <c r="Y947" s="144"/>
      <c r="Z947" s="141"/>
      <c r="AA947" s="141"/>
      <c r="AB947" s="141"/>
      <c r="AC947" s="141"/>
      <c r="AD947" s="141"/>
      <c r="AE947" s="141"/>
      <c r="AF947" s="145"/>
      <c r="AG947" s="419"/>
    </row>
    <row r="948" spans="1:33" s="139" customFormat="1" ht="12.75" customHeight="1" x14ac:dyDescent="0.2">
      <c r="A948" s="141"/>
      <c r="B948" s="141"/>
      <c r="C948" s="141"/>
      <c r="D948" s="141"/>
      <c r="E948" s="1014"/>
      <c r="F948" s="1014"/>
      <c r="G948" s="1027"/>
      <c r="H948" s="1027"/>
      <c r="I948" s="1174"/>
      <c r="J948" s="1174"/>
      <c r="K948" s="1174"/>
      <c r="L948" s="1172"/>
      <c r="M948" s="1172"/>
      <c r="N948" s="1175"/>
      <c r="O948" s="143"/>
      <c r="P948" s="1196"/>
      <c r="Q948" s="141"/>
      <c r="R948" s="141"/>
      <c r="S948" s="148"/>
      <c r="T948" s="419"/>
      <c r="U948" s="559"/>
      <c r="V948" s="141"/>
      <c r="W948" s="141"/>
      <c r="X948" s="141"/>
      <c r="Y948" s="144"/>
      <c r="Z948" s="141"/>
      <c r="AA948" s="141"/>
      <c r="AB948" s="141"/>
      <c r="AC948" s="141"/>
      <c r="AD948" s="141"/>
      <c r="AE948" s="141"/>
      <c r="AF948" s="145"/>
      <c r="AG948" s="419"/>
    </row>
    <row r="949" spans="1:33" s="139" customFormat="1" ht="12.75" customHeight="1" x14ac:dyDescent="0.2">
      <c r="A949" s="141"/>
      <c r="B949" s="141"/>
      <c r="C949" s="141"/>
      <c r="D949" s="141"/>
      <c r="E949" s="1014"/>
      <c r="F949" s="1014"/>
      <c r="G949" s="1027"/>
      <c r="H949" s="1027"/>
      <c r="I949" s="1174"/>
      <c r="J949" s="1174"/>
      <c r="K949" s="1174"/>
      <c r="L949" s="1172"/>
      <c r="M949" s="1172"/>
      <c r="N949" s="1175"/>
      <c r="O949" s="143"/>
      <c r="P949" s="1196"/>
      <c r="Q949" s="141"/>
      <c r="R949" s="141"/>
      <c r="S949" s="148"/>
      <c r="T949" s="419"/>
      <c r="U949" s="559"/>
      <c r="V949" s="141"/>
      <c r="W949" s="141"/>
      <c r="X949" s="141"/>
      <c r="Y949" s="144"/>
      <c r="Z949" s="141"/>
      <c r="AA949" s="141"/>
      <c r="AB949" s="141"/>
      <c r="AC949" s="141"/>
      <c r="AD949" s="141"/>
      <c r="AE949" s="141"/>
      <c r="AF949" s="145"/>
      <c r="AG949" s="419"/>
    </row>
    <row r="950" spans="1:33" s="139" customFormat="1" ht="12.75" customHeight="1" x14ac:dyDescent="0.2">
      <c r="A950" s="141"/>
      <c r="B950" s="141"/>
      <c r="C950" s="141"/>
      <c r="D950" s="141"/>
      <c r="E950" s="1014"/>
      <c r="F950" s="1014"/>
      <c r="G950" s="1027"/>
      <c r="H950" s="1027"/>
      <c r="I950" s="1174"/>
      <c r="J950" s="1174"/>
      <c r="K950" s="1174"/>
      <c r="L950" s="1172"/>
      <c r="M950" s="1172"/>
      <c r="N950" s="1175"/>
      <c r="O950" s="143"/>
      <c r="P950" s="1196"/>
      <c r="Q950" s="141"/>
      <c r="R950" s="141"/>
      <c r="S950" s="148"/>
      <c r="T950" s="419"/>
      <c r="U950" s="559"/>
      <c r="V950" s="141"/>
      <c r="W950" s="141"/>
      <c r="X950" s="141"/>
      <c r="Y950" s="144"/>
      <c r="Z950" s="141"/>
      <c r="AA950" s="141"/>
      <c r="AB950" s="141"/>
      <c r="AC950" s="141"/>
      <c r="AD950" s="141"/>
      <c r="AE950" s="141"/>
      <c r="AF950" s="145"/>
      <c r="AG950" s="419"/>
    </row>
    <row r="951" spans="1:33" s="139" customFormat="1" ht="12.75" customHeight="1" x14ac:dyDescent="0.2">
      <c r="A951" s="141"/>
      <c r="B951" s="141"/>
      <c r="C951" s="141"/>
      <c r="D951" s="141"/>
      <c r="E951" s="1014"/>
      <c r="F951" s="1014"/>
      <c r="G951" s="1027"/>
      <c r="H951" s="1027"/>
      <c r="I951" s="1174"/>
      <c r="J951" s="1174"/>
      <c r="K951" s="1174"/>
      <c r="L951" s="1172"/>
      <c r="M951" s="1172"/>
      <c r="N951" s="1175"/>
      <c r="O951" s="143"/>
      <c r="P951" s="1196"/>
      <c r="Q951" s="141"/>
      <c r="R951" s="141"/>
      <c r="S951" s="148"/>
      <c r="T951" s="419"/>
      <c r="U951" s="559"/>
      <c r="V951" s="141"/>
      <c r="W951" s="141"/>
      <c r="X951" s="141"/>
      <c r="Y951" s="144"/>
      <c r="Z951" s="141"/>
      <c r="AA951" s="141"/>
      <c r="AB951" s="141"/>
      <c r="AC951" s="141"/>
      <c r="AD951" s="141"/>
      <c r="AE951" s="141"/>
      <c r="AF951" s="145"/>
      <c r="AG951" s="419"/>
    </row>
    <row r="952" spans="1:33" s="139" customFormat="1" ht="12.75" customHeight="1" x14ac:dyDescent="0.2">
      <c r="A952" s="141"/>
      <c r="B952" s="141"/>
      <c r="C952" s="141"/>
      <c r="D952" s="141"/>
      <c r="E952" s="1014"/>
      <c r="F952" s="1014"/>
      <c r="G952" s="1027"/>
      <c r="H952" s="1027"/>
      <c r="I952" s="1174"/>
      <c r="J952" s="1174"/>
      <c r="K952" s="1174"/>
      <c r="L952" s="1172"/>
      <c r="M952" s="1172"/>
      <c r="N952" s="1175"/>
      <c r="O952" s="143"/>
      <c r="P952" s="1196"/>
      <c r="Q952" s="141"/>
      <c r="R952" s="141"/>
      <c r="S952" s="148"/>
      <c r="T952" s="419"/>
      <c r="U952" s="559"/>
      <c r="V952" s="141"/>
      <c r="W952" s="141"/>
      <c r="X952" s="141"/>
      <c r="Y952" s="144"/>
      <c r="Z952" s="141"/>
      <c r="AA952" s="141"/>
      <c r="AB952" s="141"/>
      <c r="AC952" s="141"/>
      <c r="AD952" s="141"/>
      <c r="AE952" s="141"/>
      <c r="AF952" s="145"/>
      <c r="AG952" s="419"/>
    </row>
    <row r="953" spans="1:33" s="139" customFormat="1" ht="12.75" customHeight="1" x14ac:dyDescent="0.2">
      <c r="A953" s="141"/>
      <c r="B953" s="141"/>
      <c r="C953" s="141"/>
      <c r="D953" s="141"/>
      <c r="E953" s="1014"/>
      <c r="F953" s="1014"/>
      <c r="G953" s="1027"/>
      <c r="H953" s="1027"/>
      <c r="I953" s="1174"/>
      <c r="J953" s="1174"/>
      <c r="K953" s="1174"/>
      <c r="L953" s="1172"/>
      <c r="M953" s="1172"/>
      <c r="N953" s="1175"/>
      <c r="O953" s="143"/>
      <c r="P953" s="1196"/>
      <c r="Q953" s="141"/>
      <c r="R953" s="141"/>
      <c r="S953" s="148"/>
      <c r="T953" s="419"/>
      <c r="U953" s="559"/>
      <c r="V953" s="141"/>
      <c r="W953" s="141"/>
      <c r="X953" s="141"/>
      <c r="Y953" s="144"/>
      <c r="Z953" s="141"/>
      <c r="AA953" s="141"/>
      <c r="AB953" s="141"/>
      <c r="AC953" s="141"/>
      <c r="AD953" s="141"/>
      <c r="AE953" s="141"/>
      <c r="AF953" s="145"/>
      <c r="AG953" s="419"/>
    </row>
    <row r="954" spans="1:33" s="139" customFormat="1" ht="12.75" customHeight="1" x14ac:dyDescent="0.2">
      <c r="A954" s="141"/>
      <c r="B954" s="141"/>
      <c r="C954" s="141"/>
      <c r="D954" s="141"/>
      <c r="E954" s="1014"/>
      <c r="F954" s="1014"/>
      <c r="G954" s="1027"/>
      <c r="H954" s="1027"/>
      <c r="I954" s="1174"/>
      <c r="J954" s="1174"/>
      <c r="K954" s="1174"/>
      <c r="L954" s="1172"/>
      <c r="M954" s="1172"/>
      <c r="N954" s="1175"/>
      <c r="O954" s="143"/>
      <c r="P954" s="1196"/>
      <c r="Q954" s="141"/>
      <c r="R954" s="141"/>
      <c r="S954" s="148"/>
      <c r="T954" s="419"/>
      <c r="U954" s="559"/>
      <c r="V954" s="141"/>
      <c r="W954" s="141"/>
      <c r="X954" s="141"/>
      <c r="Y954" s="144"/>
      <c r="Z954" s="141"/>
      <c r="AA954" s="141"/>
      <c r="AB954" s="141"/>
      <c r="AC954" s="141"/>
      <c r="AD954" s="141"/>
      <c r="AE954" s="141"/>
      <c r="AF954" s="145"/>
      <c r="AG954" s="419"/>
    </row>
    <row r="955" spans="1:33" s="139" customFormat="1" ht="12.75" customHeight="1" x14ac:dyDescent="0.2">
      <c r="A955" s="141"/>
      <c r="B955" s="141"/>
      <c r="C955" s="141"/>
      <c r="D955" s="141"/>
      <c r="E955" s="1014"/>
      <c r="F955" s="1014"/>
      <c r="G955" s="1027"/>
      <c r="H955" s="1027"/>
      <c r="I955" s="1174"/>
      <c r="J955" s="1174"/>
      <c r="K955" s="1174"/>
      <c r="L955" s="1172"/>
      <c r="M955" s="1172"/>
      <c r="N955" s="1175"/>
      <c r="O955" s="143"/>
      <c r="P955" s="1196"/>
      <c r="Q955" s="141"/>
      <c r="R955" s="141"/>
      <c r="S955" s="148"/>
      <c r="T955" s="419"/>
      <c r="U955" s="559"/>
      <c r="V955" s="141"/>
      <c r="W955" s="141"/>
      <c r="X955" s="141"/>
      <c r="Y955" s="144"/>
      <c r="Z955" s="141"/>
      <c r="AA955" s="141"/>
      <c r="AB955" s="141"/>
      <c r="AC955" s="141"/>
      <c r="AD955" s="141"/>
      <c r="AE955" s="141"/>
      <c r="AF955" s="145"/>
      <c r="AG955" s="419"/>
    </row>
    <row r="956" spans="1:33" s="139" customFormat="1" ht="12.75" customHeight="1" x14ac:dyDescent="0.2">
      <c r="A956" s="141"/>
      <c r="B956" s="141"/>
      <c r="C956" s="141"/>
      <c r="D956" s="141"/>
      <c r="E956" s="1014"/>
      <c r="F956" s="1014"/>
      <c r="G956" s="1027"/>
      <c r="H956" s="1027"/>
      <c r="I956" s="1174"/>
      <c r="J956" s="1174"/>
      <c r="K956" s="1174"/>
      <c r="L956" s="1172"/>
      <c r="M956" s="1172"/>
      <c r="N956" s="1175"/>
      <c r="O956" s="143"/>
      <c r="P956" s="1196"/>
      <c r="Q956" s="141"/>
      <c r="R956" s="141"/>
      <c r="S956" s="148"/>
      <c r="T956" s="419"/>
      <c r="U956" s="559"/>
      <c r="V956" s="141"/>
      <c r="W956" s="141"/>
      <c r="X956" s="141"/>
      <c r="Y956" s="144"/>
      <c r="Z956" s="141"/>
      <c r="AA956" s="141"/>
      <c r="AB956" s="141"/>
      <c r="AC956" s="141"/>
      <c r="AD956" s="141"/>
      <c r="AE956" s="141"/>
      <c r="AF956" s="145"/>
      <c r="AG956" s="419"/>
    </row>
    <row r="957" spans="1:33" s="139" customFormat="1" ht="12.75" customHeight="1" x14ac:dyDescent="0.2">
      <c r="A957" s="141"/>
      <c r="B957" s="141"/>
      <c r="C957" s="141"/>
      <c r="D957" s="141"/>
      <c r="E957" s="1014"/>
      <c r="F957" s="1014"/>
      <c r="G957" s="1027"/>
      <c r="H957" s="1027"/>
      <c r="I957" s="1174"/>
      <c r="J957" s="1174"/>
      <c r="K957" s="1174"/>
      <c r="L957" s="1172"/>
      <c r="M957" s="1172"/>
      <c r="N957" s="1175"/>
      <c r="O957" s="143"/>
      <c r="P957" s="1196"/>
      <c r="Q957" s="141"/>
      <c r="R957" s="141"/>
      <c r="S957" s="148"/>
      <c r="T957" s="419"/>
      <c r="U957" s="559"/>
      <c r="V957" s="141"/>
      <c r="W957" s="141"/>
      <c r="X957" s="141"/>
      <c r="Y957" s="144"/>
      <c r="Z957" s="141"/>
      <c r="AA957" s="141"/>
      <c r="AB957" s="141"/>
      <c r="AC957" s="141"/>
      <c r="AD957" s="141"/>
      <c r="AE957" s="141"/>
      <c r="AF957" s="145"/>
      <c r="AG957" s="419"/>
    </row>
    <row r="958" spans="1:33" s="139" customFormat="1" ht="12.75" customHeight="1" x14ac:dyDescent="0.2">
      <c r="A958" s="141"/>
      <c r="B958" s="141"/>
      <c r="C958" s="141"/>
      <c r="D958" s="141"/>
      <c r="E958" s="1014"/>
      <c r="F958" s="1014"/>
      <c r="G958" s="1027"/>
      <c r="H958" s="1027"/>
      <c r="I958" s="1174"/>
      <c r="J958" s="1174"/>
      <c r="K958" s="1174"/>
      <c r="L958" s="1172"/>
      <c r="M958" s="1172"/>
      <c r="N958" s="1175"/>
      <c r="O958" s="143"/>
      <c r="P958" s="1196"/>
      <c r="Q958" s="141"/>
      <c r="R958" s="141"/>
      <c r="S958" s="148"/>
      <c r="T958" s="419"/>
      <c r="U958" s="559"/>
      <c r="V958" s="141"/>
      <c r="W958" s="141"/>
      <c r="X958" s="141"/>
      <c r="Y958" s="144"/>
      <c r="Z958" s="141"/>
      <c r="AA958" s="141"/>
      <c r="AB958" s="141"/>
      <c r="AC958" s="141"/>
      <c r="AD958" s="141"/>
      <c r="AE958" s="141"/>
      <c r="AF958" s="145"/>
      <c r="AG958" s="419"/>
    </row>
    <row r="959" spans="1:33" s="139" customFormat="1" ht="12.75" customHeight="1" x14ac:dyDescent="0.2">
      <c r="A959" s="141"/>
      <c r="B959" s="141"/>
      <c r="C959" s="141"/>
      <c r="D959" s="141"/>
      <c r="E959" s="1014"/>
      <c r="F959" s="1014"/>
      <c r="G959" s="1027"/>
      <c r="H959" s="1027"/>
      <c r="I959" s="1174"/>
      <c r="J959" s="1174"/>
      <c r="K959" s="1174"/>
      <c r="L959" s="1172"/>
      <c r="M959" s="1172"/>
      <c r="N959" s="1175"/>
      <c r="O959" s="143"/>
      <c r="P959" s="1196"/>
      <c r="Q959" s="141"/>
      <c r="R959" s="141"/>
      <c r="S959" s="148"/>
      <c r="T959" s="419"/>
      <c r="U959" s="559"/>
      <c r="V959" s="141"/>
      <c r="W959" s="141"/>
      <c r="X959" s="141"/>
      <c r="Y959" s="144"/>
      <c r="Z959" s="141"/>
      <c r="AA959" s="141"/>
      <c r="AB959" s="141"/>
      <c r="AC959" s="141"/>
      <c r="AD959" s="141"/>
      <c r="AE959" s="141"/>
      <c r="AF959" s="145"/>
      <c r="AG959" s="419"/>
    </row>
    <row r="960" spans="1:33" s="139" customFormat="1" ht="12.75" customHeight="1" x14ac:dyDescent="0.2">
      <c r="A960" s="141"/>
      <c r="B960" s="141"/>
      <c r="C960" s="141"/>
      <c r="D960" s="141"/>
      <c r="E960" s="1014"/>
      <c r="F960" s="1014"/>
      <c r="G960" s="1027"/>
      <c r="H960" s="1027"/>
      <c r="I960" s="1174"/>
      <c r="J960" s="1174"/>
      <c r="K960" s="1174"/>
      <c r="L960" s="1172"/>
      <c r="M960" s="1172"/>
      <c r="N960" s="1175"/>
      <c r="O960" s="143"/>
      <c r="P960" s="1196"/>
      <c r="Q960" s="141"/>
      <c r="R960" s="141"/>
      <c r="S960" s="148"/>
      <c r="T960" s="419"/>
      <c r="U960" s="559"/>
      <c r="V960" s="141"/>
      <c r="W960" s="141"/>
      <c r="X960" s="141"/>
      <c r="Y960" s="144"/>
      <c r="Z960" s="141"/>
      <c r="AA960" s="141"/>
      <c r="AB960" s="141"/>
      <c r="AC960" s="141"/>
      <c r="AD960" s="141"/>
      <c r="AE960" s="141"/>
      <c r="AF960" s="145"/>
      <c r="AG960" s="419"/>
    </row>
    <row r="961" spans="1:33" s="139" customFormat="1" ht="12.75" customHeight="1" x14ac:dyDescent="0.2">
      <c r="A961" s="141"/>
      <c r="B961" s="141"/>
      <c r="C961" s="141"/>
      <c r="D961" s="141"/>
      <c r="E961" s="1014"/>
      <c r="F961" s="1014"/>
      <c r="G961" s="1027"/>
      <c r="H961" s="1027"/>
      <c r="I961" s="1174"/>
      <c r="J961" s="1174"/>
      <c r="K961" s="1174"/>
      <c r="L961" s="1172"/>
      <c r="M961" s="1172"/>
      <c r="N961" s="1175"/>
      <c r="O961" s="143"/>
      <c r="P961" s="1196"/>
      <c r="Q961" s="141"/>
      <c r="R961" s="141"/>
      <c r="S961" s="148"/>
      <c r="T961" s="419"/>
      <c r="U961" s="559"/>
      <c r="V961" s="141"/>
      <c r="W961" s="141"/>
      <c r="X961" s="141"/>
      <c r="Y961" s="144"/>
      <c r="Z961" s="141"/>
      <c r="AA961" s="141"/>
      <c r="AB961" s="141"/>
      <c r="AC961" s="141"/>
      <c r="AD961" s="141"/>
      <c r="AE961" s="141"/>
      <c r="AF961" s="145"/>
      <c r="AG961" s="419"/>
    </row>
    <row r="962" spans="1:33" s="139" customFormat="1" ht="12.75" customHeight="1" x14ac:dyDescent="0.2">
      <c r="A962" s="141"/>
      <c r="B962" s="141"/>
      <c r="C962" s="141"/>
      <c r="D962" s="141"/>
      <c r="E962" s="1014"/>
      <c r="F962" s="1014"/>
      <c r="G962" s="1027"/>
      <c r="H962" s="1027"/>
      <c r="I962" s="1174"/>
      <c r="J962" s="1174"/>
      <c r="K962" s="1174"/>
      <c r="L962" s="1172"/>
      <c r="M962" s="1172"/>
      <c r="N962" s="1175"/>
      <c r="O962" s="143"/>
      <c r="P962" s="1196"/>
      <c r="Q962" s="141"/>
      <c r="R962" s="141"/>
      <c r="S962" s="148"/>
      <c r="T962" s="419"/>
      <c r="U962" s="559"/>
      <c r="V962" s="141"/>
      <c r="W962" s="141"/>
      <c r="X962" s="141"/>
      <c r="Y962" s="144"/>
      <c r="Z962" s="141"/>
      <c r="AA962" s="141"/>
      <c r="AB962" s="141"/>
      <c r="AC962" s="141"/>
      <c r="AD962" s="141"/>
      <c r="AE962" s="141"/>
      <c r="AF962" s="145"/>
      <c r="AG962" s="419"/>
    </row>
    <row r="963" spans="1:33" s="139" customFormat="1" ht="12.75" customHeight="1" x14ac:dyDescent="0.2">
      <c r="A963" s="141"/>
      <c r="B963" s="141"/>
      <c r="C963" s="141"/>
      <c r="D963" s="141"/>
      <c r="E963" s="1014"/>
      <c r="F963" s="1014"/>
      <c r="G963" s="1027"/>
      <c r="H963" s="1027"/>
      <c r="I963" s="1174"/>
      <c r="J963" s="1174"/>
      <c r="K963" s="1174"/>
      <c r="L963" s="1172"/>
      <c r="M963" s="1172"/>
      <c r="N963" s="1175"/>
      <c r="O963" s="143"/>
      <c r="P963" s="1196"/>
      <c r="Q963" s="141"/>
      <c r="R963" s="141"/>
      <c r="S963" s="148"/>
      <c r="T963" s="419"/>
      <c r="U963" s="559"/>
      <c r="V963" s="141"/>
      <c r="W963" s="141"/>
      <c r="X963" s="141"/>
      <c r="Y963" s="144"/>
      <c r="Z963" s="141"/>
      <c r="AA963" s="141"/>
      <c r="AB963" s="141"/>
      <c r="AC963" s="141"/>
      <c r="AD963" s="141"/>
      <c r="AE963" s="141"/>
      <c r="AF963" s="145"/>
      <c r="AG963" s="419"/>
    </row>
    <row r="964" spans="1:33" s="139" customFormat="1" ht="12.75" customHeight="1" x14ac:dyDescent="0.2">
      <c r="A964" s="141"/>
      <c r="B964" s="141"/>
      <c r="C964" s="141"/>
      <c r="D964" s="141"/>
      <c r="E964" s="1014"/>
      <c r="F964" s="1014"/>
      <c r="G964" s="1027"/>
      <c r="H964" s="1027"/>
      <c r="I964" s="1174"/>
      <c r="J964" s="1174"/>
      <c r="K964" s="1174"/>
      <c r="L964" s="1172"/>
      <c r="M964" s="1172"/>
      <c r="N964" s="1175"/>
      <c r="O964" s="143"/>
      <c r="P964" s="1196"/>
      <c r="Q964" s="141"/>
      <c r="R964" s="141"/>
      <c r="S964" s="148"/>
      <c r="T964" s="419"/>
      <c r="U964" s="559"/>
      <c r="V964" s="141"/>
      <c r="W964" s="141"/>
      <c r="X964" s="141"/>
      <c r="Y964" s="144"/>
      <c r="Z964" s="141"/>
      <c r="AA964" s="141"/>
      <c r="AB964" s="141"/>
      <c r="AC964" s="141"/>
      <c r="AD964" s="141"/>
      <c r="AE964" s="141"/>
      <c r="AF964" s="145"/>
      <c r="AG964" s="419"/>
    </row>
    <row r="965" spans="1:33" s="139" customFormat="1" ht="12.75" customHeight="1" x14ac:dyDescent="0.2">
      <c r="A965" s="141"/>
      <c r="B965" s="141"/>
      <c r="C965" s="141"/>
      <c r="D965" s="141"/>
      <c r="E965" s="1014"/>
      <c r="F965" s="1014"/>
      <c r="G965" s="1027"/>
      <c r="H965" s="1027"/>
      <c r="I965" s="1174"/>
      <c r="J965" s="1174"/>
      <c r="K965" s="1174"/>
      <c r="L965" s="1172"/>
      <c r="M965" s="1172"/>
      <c r="N965" s="1175"/>
      <c r="O965" s="143"/>
      <c r="P965" s="1196"/>
      <c r="Q965" s="141"/>
      <c r="R965" s="141"/>
      <c r="S965" s="148"/>
      <c r="T965" s="419"/>
      <c r="U965" s="559"/>
      <c r="V965" s="141"/>
      <c r="W965" s="141"/>
      <c r="X965" s="141"/>
      <c r="Y965" s="144"/>
      <c r="Z965" s="141"/>
      <c r="AA965" s="141"/>
      <c r="AB965" s="141"/>
      <c r="AC965" s="141"/>
      <c r="AD965" s="141"/>
      <c r="AE965" s="141"/>
      <c r="AF965" s="145"/>
      <c r="AG965" s="419"/>
    </row>
    <row r="966" spans="1:33" s="139" customFormat="1" ht="12.75" customHeight="1" x14ac:dyDescent="0.2">
      <c r="A966" s="141"/>
      <c r="B966" s="141"/>
      <c r="C966" s="141"/>
      <c r="D966" s="141"/>
      <c r="E966" s="1014"/>
      <c r="F966" s="1014"/>
      <c r="G966" s="1027"/>
      <c r="H966" s="1027"/>
      <c r="I966" s="1174"/>
      <c r="J966" s="1174"/>
      <c r="K966" s="1174"/>
      <c r="L966" s="1172"/>
      <c r="M966" s="1172"/>
      <c r="N966" s="1175"/>
      <c r="O966" s="143"/>
      <c r="P966" s="1196"/>
      <c r="Q966" s="141"/>
      <c r="R966" s="141"/>
      <c r="S966" s="148"/>
      <c r="T966" s="419"/>
      <c r="U966" s="559"/>
      <c r="V966" s="141"/>
      <c r="W966" s="141"/>
      <c r="X966" s="141"/>
      <c r="Y966" s="144"/>
      <c r="Z966" s="141"/>
      <c r="AA966" s="141"/>
      <c r="AB966" s="141"/>
      <c r="AC966" s="141"/>
      <c r="AD966" s="141"/>
      <c r="AE966" s="141"/>
      <c r="AF966" s="145"/>
      <c r="AG966" s="419"/>
    </row>
    <row r="967" spans="1:33" s="139" customFormat="1" ht="12.75" customHeight="1" x14ac:dyDescent="0.2">
      <c r="A967" s="141"/>
      <c r="B967" s="141"/>
      <c r="C967" s="141"/>
      <c r="D967" s="141"/>
      <c r="E967" s="1014"/>
      <c r="F967" s="1014"/>
      <c r="G967" s="1027"/>
      <c r="H967" s="1027"/>
      <c r="I967" s="1174"/>
      <c r="J967" s="1174"/>
      <c r="K967" s="1174"/>
      <c r="L967" s="1172"/>
      <c r="M967" s="1172"/>
      <c r="N967" s="1175"/>
      <c r="O967" s="143"/>
      <c r="P967" s="1196"/>
      <c r="Q967" s="141"/>
      <c r="R967" s="141"/>
      <c r="S967" s="148"/>
      <c r="T967" s="419"/>
      <c r="U967" s="559"/>
      <c r="V967" s="141"/>
      <c r="W967" s="141"/>
      <c r="X967" s="141"/>
      <c r="Y967" s="144"/>
      <c r="Z967" s="141"/>
      <c r="AA967" s="141"/>
      <c r="AB967" s="141"/>
      <c r="AC967" s="141"/>
      <c r="AD967" s="141"/>
      <c r="AE967" s="141"/>
      <c r="AF967" s="145"/>
      <c r="AG967" s="419"/>
    </row>
    <row r="968" spans="1:33" s="139" customFormat="1" ht="12.75" customHeight="1" x14ac:dyDescent="0.2">
      <c r="A968" s="141"/>
      <c r="B968" s="141"/>
      <c r="C968" s="141"/>
      <c r="D968" s="141"/>
      <c r="E968" s="1014"/>
      <c r="F968" s="1014"/>
      <c r="G968" s="1027"/>
      <c r="H968" s="1027"/>
      <c r="I968" s="1174"/>
      <c r="J968" s="1174"/>
      <c r="K968" s="1174"/>
      <c r="L968" s="1172"/>
      <c r="M968" s="1172"/>
      <c r="N968" s="1175"/>
      <c r="O968" s="143"/>
      <c r="P968" s="1196"/>
      <c r="Q968" s="141"/>
      <c r="R968" s="141"/>
      <c r="S968" s="148"/>
      <c r="T968" s="419"/>
      <c r="U968" s="559"/>
      <c r="V968" s="141"/>
      <c r="W968" s="141"/>
      <c r="X968" s="141"/>
      <c r="Y968" s="144"/>
      <c r="Z968" s="141"/>
      <c r="AA968" s="141"/>
      <c r="AB968" s="141"/>
      <c r="AC968" s="141"/>
      <c r="AD968" s="141"/>
      <c r="AE968" s="141"/>
      <c r="AF968" s="145"/>
      <c r="AG968" s="419"/>
    </row>
    <row r="969" spans="1:33" s="139" customFormat="1" ht="12.75" customHeight="1" x14ac:dyDescent="0.2">
      <c r="A969" s="141"/>
      <c r="B969" s="141"/>
      <c r="C969" s="141"/>
      <c r="D969" s="141"/>
      <c r="E969" s="1014"/>
      <c r="F969" s="1014"/>
      <c r="G969" s="1027"/>
      <c r="H969" s="1027"/>
      <c r="I969" s="1174"/>
      <c r="J969" s="1174"/>
      <c r="K969" s="1174"/>
      <c r="L969" s="1172"/>
      <c r="M969" s="1172"/>
      <c r="N969" s="1175"/>
      <c r="O969" s="143"/>
      <c r="P969" s="1196"/>
      <c r="Q969" s="141"/>
      <c r="R969" s="141"/>
      <c r="S969" s="148"/>
      <c r="T969" s="419"/>
      <c r="U969" s="559"/>
      <c r="V969" s="141"/>
      <c r="W969" s="141"/>
      <c r="X969" s="141"/>
      <c r="Y969" s="144"/>
      <c r="Z969" s="141"/>
      <c r="AA969" s="141"/>
      <c r="AB969" s="141"/>
      <c r="AC969" s="141"/>
      <c r="AD969" s="141"/>
      <c r="AE969" s="141"/>
      <c r="AF969" s="145"/>
      <c r="AG969" s="419"/>
    </row>
    <row r="970" spans="1:33" s="139" customFormat="1" ht="12.75" customHeight="1" x14ac:dyDescent="0.2">
      <c r="A970" s="141"/>
      <c r="B970" s="141"/>
      <c r="C970" s="141"/>
      <c r="D970" s="141"/>
      <c r="E970" s="1014"/>
      <c r="F970" s="1014"/>
      <c r="G970" s="1027"/>
      <c r="H970" s="1027"/>
      <c r="I970" s="1174"/>
      <c r="J970" s="1174"/>
      <c r="K970" s="1174"/>
      <c r="L970" s="1172"/>
      <c r="M970" s="1172"/>
      <c r="N970" s="1175"/>
      <c r="O970" s="143"/>
      <c r="P970" s="1196"/>
      <c r="Q970" s="141"/>
      <c r="R970" s="141"/>
      <c r="S970" s="148"/>
      <c r="T970" s="419"/>
      <c r="U970" s="559"/>
      <c r="V970" s="141"/>
      <c r="W970" s="141"/>
      <c r="X970" s="141"/>
      <c r="Y970" s="144"/>
      <c r="Z970" s="141"/>
      <c r="AA970" s="141"/>
      <c r="AB970" s="141"/>
      <c r="AC970" s="141"/>
      <c r="AD970" s="141"/>
      <c r="AE970" s="141"/>
      <c r="AF970" s="145"/>
      <c r="AG970" s="419"/>
    </row>
    <row r="971" spans="1:33" s="139" customFormat="1" ht="12.75" customHeight="1" x14ac:dyDescent="0.2">
      <c r="A971" s="141"/>
      <c r="B971" s="141"/>
      <c r="C971" s="141"/>
      <c r="D971" s="141"/>
      <c r="E971" s="1014"/>
      <c r="F971" s="1014"/>
      <c r="G971" s="1027"/>
      <c r="H971" s="1027"/>
      <c r="I971" s="1174"/>
      <c r="J971" s="1174"/>
      <c r="K971" s="1174"/>
      <c r="L971" s="1172"/>
      <c r="M971" s="1172"/>
      <c r="N971" s="1175"/>
      <c r="O971" s="143"/>
      <c r="P971" s="1196"/>
      <c r="Q971" s="141"/>
      <c r="R971" s="141"/>
      <c r="S971" s="148"/>
      <c r="T971" s="419"/>
      <c r="U971" s="559"/>
      <c r="V971" s="141"/>
      <c r="W971" s="141"/>
      <c r="X971" s="141"/>
      <c r="Y971" s="144"/>
      <c r="Z971" s="141"/>
      <c r="AA971" s="141"/>
      <c r="AB971" s="141"/>
      <c r="AC971" s="141"/>
      <c r="AD971" s="141"/>
      <c r="AE971" s="141"/>
      <c r="AF971" s="145"/>
      <c r="AG971" s="419"/>
    </row>
    <row r="972" spans="1:33" s="139" customFormat="1" ht="12.75" customHeight="1" x14ac:dyDescent="0.2">
      <c r="A972" s="141"/>
      <c r="B972" s="141"/>
      <c r="C972" s="141"/>
      <c r="D972" s="141"/>
      <c r="E972" s="1014"/>
      <c r="F972" s="1014"/>
      <c r="G972" s="1027"/>
      <c r="H972" s="1027"/>
      <c r="I972" s="1174"/>
      <c r="J972" s="1174"/>
      <c r="K972" s="1174"/>
      <c r="L972" s="1172"/>
      <c r="M972" s="1172"/>
      <c r="N972" s="1175"/>
      <c r="O972" s="143"/>
      <c r="P972" s="1196"/>
      <c r="Q972" s="141"/>
      <c r="R972" s="141"/>
      <c r="S972" s="148"/>
      <c r="T972" s="419"/>
      <c r="U972" s="559"/>
      <c r="V972" s="141"/>
      <c r="W972" s="141"/>
      <c r="X972" s="141"/>
      <c r="Y972" s="144"/>
      <c r="Z972" s="141"/>
      <c r="AA972" s="141"/>
      <c r="AB972" s="141"/>
      <c r="AC972" s="141"/>
      <c r="AD972" s="141"/>
      <c r="AE972" s="141"/>
      <c r="AF972" s="145"/>
      <c r="AG972" s="419"/>
    </row>
    <row r="973" spans="1:33" s="139" customFormat="1" ht="12.75" customHeight="1" x14ac:dyDescent="0.2">
      <c r="A973" s="141"/>
      <c r="B973" s="141"/>
      <c r="C973" s="141"/>
      <c r="D973" s="141"/>
      <c r="E973" s="1014"/>
      <c r="F973" s="1014"/>
      <c r="G973" s="1027"/>
      <c r="H973" s="1027"/>
      <c r="I973" s="1174"/>
      <c r="J973" s="1174"/>
      <c r="K973" s="1174"/>
      <c r="L973" s="1172"/>
      <c r="M973" s="1172"/>
      <c r="N973" s="1175"/>
      <c r="O973" s="143"/>
      <c r="P973" s="1196"/>
      <c r="Q973" s="141"/>
      <c r="R973" s="141"/>
      <c r="S973" s="148"/>
      <c r="T973" s="419"/>
      <c r="U973" s="559"/>
      <c r="V973" s="141"/>
      <c r="W973" s="141"/>
      <c r="X973" s="141"/>
      <c r="Y973" s="144"/>
      <c r="Z973" s="141"/>
      <c r="AA973" s="141"/>
      <c r="AB973" s="141"/>
      <c r="AC973" s="141"/>
      <c r="AD973" s="141"/>
      <c r="AE973" s="141"/>
      <c r="AF973" s="145"/>
      <c r="AG973" s="419"/>
    </row>
    <row r="974" spans="1:33" s="139" customFormat="1" ht="12.75" customHeight="1" x14ac:dyDescent="0.2">
      <c r="A974" s="141"/>
      <c r="B974" s="141"/>
      <c r="C974" s="141"/>
      <c r="D974" s="141"/>
      <c r="E974" s="1014"/>
      <c r="F974" s="1014"/>
      <c r="G974" s="1027"/>
      <c r="H974" s="1027"/>
      <c r="I974" s="1174"/>
      <c r="J974" s="1174"/>
      <c r="K974" s="1174"/>
      <c r="L974" s="1172"/>
      <c r="M974" s="1172"/>
      <c r="N974" s="1175"/>
      <c r="O974" s="143"/>
      <c r="P974" s="1196"/>
      <c r="Q974" s="141"/>
      <c r="R974" s="141"/>
      <c r="S974" s="148"/>
      <c r="T974" s="419"/>
      <c r="U974" s="559"/>
      <c r="V974" s="141"/>
      <c r="W974" s="141"/>
      <c r="X974" s="141"/>
      <c r="Y974" s="144"/>
      <c r="Z974" s="141"/>
      <c r="AA974" s="141"/>
      <c r="AB974" s="141"/>
      <c r="AC974" s="141"/>
      <c r="AD974" s="141"/>
      <c r="AE974" s="141"/>
      <c r="AF974" s="145"/>
      <c r="AG974" s="419"/>
    </row>
    <row r="975" spans="1:33" s="139" customFormat="1" ht="12.75" customHeight="1" x14ac:dyDescent="0.2">
      <c r="A975" s="141"/>
      <c r="B975" s="141"/>
      <c r="C975" s="141"/>
      <c r="D975" s="141"/>
      <c r="E975" s="1014"/>
      <c r="F975" s="1014"/>
      <c r="G975" s="1027"/>
      <c r="H975" s="1027"/>
      <c r="I975" s="1174"/>
      <c r="J975" s="1174"/>
      <c r="K975" s="1174"/>
      <c r="L975" s="1172"/>
      <c r="M975" s="1172"/>
      <c r="N975" s="1175"/>
      <c r="O975" s="143"/>
      <c r="P975" s="1196"/>
      <c r="Q975" s="141"/>
      <c r="R975" s="141"/>
      <c r="S975" s="148"/>
      <c r="T975" s="419"/>
      <c r="U975" s="559"/>
      <c r="V975" s="141"/>
      <c r="W975" s="141"/>
      <c r="X975" s="141"/>
      <c r="Y975" s="144"/>
      <c r="Z975" s="141"/>
      <c r="AA975" s="141"/>
      <c r="AB975" s="141"/>
      <c r="AC975" s="141"/>
      <c r="AD975" s="141"/>
      <c r="AE975" s="141"/>
      <c r="AF975" s="145"/>
      <c r="AG975" s="419"/>
    </row>
    <row r="976" spans="1:33" s="139" customFormat="1" ht="12.75" customHeight="1" x14ac:dyDescent="0.2">
      <c r="A976" s="141"/>
      <c r="B976" s="141"/>
      <c r="C976" s="141"/>
      <c r="D976" s="141"/>
      <c r="E976" s="1014"/>
      <c r="F976" s="1014"/>
      <c r="G976" s="1027"/>
      <c r="H976" s="1027"/>
      <c r="I976" s="1174"/>
      <c r="J976" s="1174"/>
      <c r="K976" s="1174"/>
      <c r="L976" s="1172"/>
      <c r="M976" s="1172"/>
      <c r="N976" s="1175"/>
      <c r="O976" s="143"/>
      <c r="P976" s="1196"/>
      <c r="Q976" s="141"/>
      <c r="R976" s="141"/>
      <c r="S976" s="148"/>
      <c r="T976" s="419"/>
      <c r="U976" s="559"/>
      <c r="V976" s="141"/>
      <c r="W976" s="141"/>
      <c r="X976" s="141"/>
      <c r="Y976" s="144"/>
      <c r="Z976" s="141"/>
      <c r="AA976" s="141"/>
      <c r="AB976" s="141"/>
      <c r="AC976" s="141"/>
      <c r="AD976" s="141"/>
      <c r="AE976" s="141"/>
      <c r="AF976" s="145"/>
      <c r="AG976" s="419"/>
    </row>
    <row r="977" spans="1:33" s="139" customFormat="1" ht="12.75" customHeight="1" x14ac:dyDescent="0.2">
      <c r="A977" s="141"/>
      <c r="B977" s="141"/>
      <c r="C977" s="141"/>
      <c r="D977" s="141"/>
      <c r="E977" s="1014"/>
      <c r="F977" s="1014"/>
      <c r="G977" s="1027"/>
      <c r="H977" s="1027"/>
      <c r="I977" s="1174"/>
      <c r="J977" s="1174"/>
      <c r="K977" s="1174"/>
      <c r="L977" s="1172"/>
      <c r="M977" s="1172"/>
      <c r="N977" s="1175"/>
      <c r="O977" s="143"/>
      <c r="P977" s="1196"/>
      <c r="Q977" s="141"/>
      <c r="R977" s="141"/>
      <c r="S977" s="148"/>
      <c r="T977" s="419"/>
      <c r="U977" s="559"/>
      <c r="V977" s="141"/>
      <c r="W977" s="141"/>
      <c r="X977" s="141"/>
      <c r="Y977" s="144"/>
      <c r="Z977" s="141"/>
      <c r="AA977" s="141"/>
      <c r="AB977" s="141"/>
      <c r="AC977" s="141"/>
      <c r="AD977" s="141"/>
      <c r="AE977" s="141"/>
      <c r="AF977" s="145"/>
      <c r="AG977" s="419"/>
    </row>
    <row r="978" spans="1:33" s="139" customFormat="1" ht="12.75" customHeight="1" x14ac:dyDescent="0.2">
      <c r="A978" s="141"/>
      <c r="B978" s="141"/>
      <c r="C978" s="141"/>
      <c r="D978" s="141"/>
      <c r="E978" s="1014"/>
      <c r="F978" s="1014"/>
      <c r="G978" s="1027"/>
      <c r="H978" s="1027"/>
      <c r="I978" s="1174"/>
      <c r="J978" s="1174"/>
      <c r="K978" s="1174"/>
      <c r="L978" s="1172"/>
      <c r="M978" s="1172"/>
      <c r="N978" s="1175"/>
      <c r="O978" s="143"/>
      <c r="P978" s="1196"/>
      <c r="Q978" s="141"/>
      <c r="R978" s="141"/>
      <c r="S978" s="148"/>
      <c r="T978" s="419"/>
      <c r="U978" s="559"/>
      <c r="V978" s="141"/>
      <c r="W978" s="141"/>
      <c r="X978" s="141"/>
      <c r="Y978" s="144"/>
      <c r="Z978" s="141"/>
      <c r="AA978" s="141"/>
      <c r="AB978" s="141"/>
      <c r="AC978" s="141"/>
      <c r="AD978" s="141"/>
      <c r="AE978" s="141"/>
      <c r="AF978" s="145"/>
      <c r="AG978" s="419"/>
    </row>
    <row r="979" spans="1:33" s="139" customFormat="1" ht="12.75" customHeight="1" x14ac:dyDescent="0.2">
      <c r="A979" s="141"/>
      <c r="B979" s="141"/>
      <c r="C979" s="141"/>
      <c r="D979" s="141"/>
      <c r="E979" s="1014"/>
      <c r="F979" s="1014"/>
      <c r="G979" s="1027"/>
      <c r="H979" s="1027"/>
      <c r="I979" s="1174"/>
      <c r="J979" s="1174"/>
      <c r="K979" s="1174"/>
      <c r="L979" s="1172"/>
      <c r="M979" s="1172"/>
      <c r="N979" s="1175"/>
      <c r="O979" s="143"/>
      <c r="P979" s="1196"/>
      <c r="Q979" s="141"/>
      <c r="R979" s="141"/>
      <c r="S979" s="148"/>
      <c r="T979" s="419"/>
      <c r="U979" s="559"/>
      <c r="V979" s="141"/>
      <c r="W979" s="141"/>
      <c r="X979" s="141"/>
      <c r="Y979" s="144"/>
      <c r="Z979" s="141"/>
      <c r="AA979" s="141"/>
      <c r="AB979" s="141"/>
      <c r="AC979" s="141"/>
      <c r="AD979" s="141"/>
      <c r="AE979" s="141"/>
      <c r="AF979" s="145"/>
      <c r="AG979" s="419"/>
    </row>
    <row r="980" spans="1:33" s="139" customFormat="1" ht="12.75" customHeight="1" x14ac:dyDescent="0.2">
      <c r="A980" s="141"/>
      <c r="B980" s="141"/>
      <c r="C980" s="141"/>
      <c r="D980" s="141"/>
      <c r="E980" s="1014"/>
      <c r="F980" s="1014"/>
      <c r="G980" s="1027"/>
      <c r="H980" s="1027"/>
      <c r="I980" s="1174"/>
      <c r="J980" s="1174"/>
      <c r="K980" s="1174"/>
      <c r="L980" s="1172"/>
      <c r="M980" s="1172"/>
      <c r="N980" s="1175"/>
      <c r="O980" s="143"/>
      <c r="P980" s="1196"/>
      <c r="Q980" s="141"/>
      <c r="R980" s="141"/>
      <c r="S980" s="148"/>
      <c r="T980" s="419"/>
      <c r="U980" s="559"/>
      <c r="V980" s="141"/>
      <c r="W980" s="141"/>
      <c r="X980" s="141"/>
      <c r="Y980" s="144"/>
      <c r="Z980" s="141"/>
      <c r="AA980" s="141"/>
      <c r="AB980" s="141"/>
      <c r="AC980" s="141"/>
      <c r="AD980" s="141"/>
      <c r="AE980" s="141"/>
      <c r="AF980" s="145"/>
      <c r="AG980" s="419"/>
    </row>
    <row r="981" spans="1:33" s="139" customFormat="1" ht="12.75" customHeight="1" x14ac:dyDescent="0.2">
      <c r="A981" s="141"/>
      <c r="B981" s="141"/>
      <c r="C981" s="141"/>
      <c r="D981" s="141"/>
      <c r="E981" s="1014"/>
      <c r="F981" s="1014"/>
      <c r="G981" s="1027"/>
      <c r="H981" s="1027"/>
      <c r="I981" s="1174"/>
      <c r="J981" s="1174"/>
      <c r="K981" s="1174"/>
      <c r="L981" s="1172"/>
      <c r="M981" s="1172"/>
      <c r="N981" s="1175"/>
      <c r="O981" s="143"/>
      <c r="P981" s="1196"/>
      <c r="Q981" s="141"/>
      <c r="R981" s="141"/>
      <c r="S981" s="148"/>
      <c r="T981" s="419"/>
      <c r="U981" s="559"/>
      <c r="V981" s="141"/>
      <c r="W981" s="141"/>
      <c r="X981" s="141"/>
      <c r="Y981" s="144"/>
      <c r="Z981" s="141"/>
      <c r="AA981" s="141"/>
      <c r="AB981" s="141"/>
      <c r="AC981" s="141"/>
      <c r="AD981" s="141"/>
      <c r="AE981" s="141"/>
      <c r="AF981" s="145"/>
      <c r="AG981" s="419"/>
    </row>
    <row r="982" spans="1:33" s="139" customFormat="1" ht="12.75" customHeight="1" x14ac:dyDescent="0.2">
      <c r="A982" s="141"/>
      <c r="B982" s="141"/>
      <c r="C982" s="141"/>
      <c r="D982" s="141"/>
      <c r="E982" s="1014"/>
      <c r="F982" s="1014"/>
      <c r="G982" s="1027"/>
      <c r="H982" s="1027"/>
      <c r="I982" s="1174"/>
      <c r="J982" s="1174"/>
      <c r="K982" s="1174"/>
      <c r="L982" s="1172"/>
      <c r="M982" s="1172"/>
      <c r="N982" s="1175"/>
      <c r="O982" s="143"/>
      <c r="P982" s="1196"/>
      <c r="Q982" s="141"/>
      <c r="R982" s="141"/>
      <c r="S982" s="148"/>
      <c r="T982" s="419"/>
      <c r="U982" s="559"/>
      <c r="V982" s="141"/>
      <c r="W982" s="141"/>
      <c r="X982" s="141"/>
      <c r="Y982" s="144"/>
      <c r="Z982" s="141"/>
      <c r="AA982" s="141"/>
      <c r="AB982" s="141"/>
      <c r="AC982" s="141"/>
      <c r="AD982" s="141"/>
      <c r="AE982" s="141"/>
      <c r="AF982" s="145"/>
      <c r="AG982" s="419"/>
    </row>
    <row r="983" spans="1:33" s="139" customFormat="1" ht="12.75" customHeight="1" x14ac:dyDescent="0.2">
      <c r="A983" s="141"/>
      <c r="B983" s="141"/>
      <c r="C983" s="141"/>
      <c r="D983" s="141"/>
      <c r="E983" s="1014"/>
      <c r="F983" s="1014"/>
      <c r="G983" s="1027"/>
      <c r="H983" s="1027"/>
      <c r="I983" s="1174"/>
      <c r="J983" s="1174"/>
      <c r="K983" s="1174"/>
      <c r="L983" s="1172"/>
      <c r="M983" s="1172"/>
      <c r="N983" s="1175"/>
      <c r="O983" s="143"/>
      <c r="P983" s="1196"/>
      <c r="Q983" s="141"/>
      <c r="R983" s="141"/>
      <c r="S983" s="148"/>
      <c r="T983" s="419"/>
      <c r="U983" s="559"/>
      <c r="V983" s="141"/>
      <c r="W983" s="141"/>
      <c r="X983" s="141"/>
      <c r="Y983" s="144"/>
      <c r="Z983" s="141"/>
      <c r="AA983" s="141"/>
      <c r="AB983" s="141"/>
      <c r="AC983" s="141"/>
      <c r="AD983" s="141"/>
      <c r="AE983" s="141"/>
      <c r="AF983" s="145"/>
      <c r="AG983" s="419"/>
    </row>
    <row r="984" spans="1:33" s="139" customFormat="1" ht="12.75" customHeight="1" x14ac:dyDescent="0.2">
      <c r="A984" s="141"/>
      <c r="B984" s="141"/>
      <c r="C984" s="141"/>
      <c r="D984" s="141"/>
      <c r="E984" s="1014"/>
      <c r="F984" s="1014"/>
      <c r="G984" s="1027"/>
      <c r="H984" s="1027"/>
      <c r="I984" s="1174"/>
      <c r="J984" s="1174"/>
      <c r="K984" s="1174"/>
      <c r="L984" s="1172"/>
      <c r="M984" s="1172"/>
      <c r="N984" s="1175"/>
      <c r="O984" s="143"/>
      <c r="P984" s="1196"/>
      <c r="Q984" s="141"/>
      <c r="R984" s="141"/>
      <c r="S984" s="148"/>
      <c r="T984" s="419"/>
      <c r="U984" s="559"/>
      <c r="V984" s="141"/>
      <c r="W984" s="141"/>
      <c r="X984" s="141"/>
      <c r="Y984" s="144"/>
      <c r="Z984" s="141"/>
      <c r="AA984" s="141"/>
      <c r="AB984" s="141"/>
      <c r="AC984" s="141"/>
      <c r="AD984" s="141"/>
      <c r="AE984" s="141"/>
      <c r="AF984" s="145"/>
      <c r="AG984" s="419"/>
    </row>
    <row r="985" spans="1:33" s="139" customFormat="1" ht="12.75" customHeight="1" x14ac:dyDescent="0.2">
      <c r="A985" s="141"/>
      <c r="B985" s="141"/>
      <c r="C985" s="141"/>
      <c r="D985" s="141"/>
      <c r="E985" s="1014"/>
      <c r="F985" s="1014"/>
      <c r="G985" s="1027"/>
      <c r="H985" s="1027"/>
      <c r="I985" s="1174"/>
      <c r="J985" s="1174"/>
      <c r="K985" s="1174"/>
      <c r="L985" s="1172"/>
      <c r="M985" s="1172"/>
      <c r="N985" s="1175"/>
      <c r="O985" s="143"/>
      <c r="P985" s="1196"/>
      <c r="Q985" s="141"/>
      <c r="R985" s="141"/>
      <c r="S985" s="148"/>
      <c r="T985" s="419"/>
      <c r="U985" s="559"/>
      <c r="V985" s="141"/>
      <c r="W985" s="141"/>
      <c r="X985" s="141"/>
      <c r="Y985" s="144"/>
      <c r="Z985" s="141"/>
      <c r="AA985" s="141"/>
      <c r="AB985" s="141"/>
      <c r="AC985" s="141"/>
      <c r="AD985" s="141"/>
      <c r="AE985" s="141"/>
      <c r="AF985" s="145"/>
      <c r="AG985" s="419"/>
    </row>
    <row r="986" spans="1:33" s="139" customFormat="1" ht="12.75" customHeight="1" x14ac:dyDescent="0.2">
      <c r="A986" s="141"/>
      <c r="B986" s="141"/>
      <c r="C986" s="141"/>
      <c r="D986" s="141"/>
      <c r="E986" s="1014"/>
      <c r="F986" s="1014"/>
      <c r="G986" s="1027"/>
      <c r="H986" s="1027"/>
      <c r="I986" s="1174"/>
      <c r="J986" s="1174"/>
      <c r="K986" s="1174"/>
      <c r="L986" s="1172"/>
      <c r="M986" s="1172"/>
      <c r="N986" s="1175"/>
      <c r="O986" s="143"/>
      <c r="P986" s="1196"/>
      <c r="Q986" s="141"/>
      <c r="R986" s="141"/>
      <c r="S986" s="148"/>
      <c r="T986" s="419"/>
      <c r="U986" s="559"/>
      <c r="V986" s="141"/>
      <c r="W986" s="141"/>
      <c r="X986" s="141"/>
      <c r="Y986" s="144"/>
      <c r="Z986" s="141"/>
      <c r="AA986" s="141"/>
      <c r="AB986" s="141"/>
      <c r="AC986" s="141"/>
      <c r="AD986" s="141"/>
      <c r="AE986" s="141"/>
      <c r="AF986" s="145"/>
      <c r="AG986" s="419"/>
    </row>
    <row r="987" spans="1:33" s="139" customFormat="1" ht="12.75" customHeight="1" x14ac:dyDescent="0.2">
      <c r="A987" s="141"/>
      <c r="B987" s="141"/>
      <c r="C987" s="141"/>
      <c r="D987" s="141"/>
      <c r="E987" s="1014"/>
      <c r="F987" s="1014"/>
      <c r="G987" s="1027"/>
      <c r="H987" s="1027"/>
      <c r="I987" s="1174"/>
      <c r="J987" s="1174"/>
      <c r="K987" s="1174"/>
      <c r="L987" s="1172"/>
      <c r="M987" s="1172"/>
      <c r="N987" s="1175"/>
      <c r="O987" s="143"/>
      <c r="P987" s="1196"/>
      <c r="Q987" s="141"/>
      <c r="R987" s="141"/>
      <c r="S987" s="148"/>
      <c r="T987" s="419"/>
      <c r="U987" s="559"/>
      <c r="V987" s="141"/>
      <c r="W987" s="141"/>
      <c r="X987" s="141"/>
      <c r="Y987" s="144"/>
      <c r="Z987" s="141"/>
      <c r="AA987" s="141"/>
      <c r="AB987" s="141"/>
      <c r="AC987" s="141"/>
      <c r="AD987" s="141"/>
      <c r="AE987" s="141"/>
      <c r="AF987" s="145"/>
      <c r="AG987" s="419"/>
    </row>
    <row r="988" spans="1:33" s="139" customFormat="1" ht="12.75" customHeight="1" x14ac:dyDescent="0.2">
      <c r="A988" s="141"/>
      <c r="B988" s="141"/>
      <c r="C988" s="141"/>
      <c r="D988" s="141"/>
      <c r="E988" s="1014"/>
      <c r="F988" s="1014"/>
      <c r="G988" s="1027"/>
      <c r="H988" s="1027"/>
      <c r="I988" s="1174"/>
      <c r="J988" s="1174"/>
      <c r="K988" s="1174"/>
      <c r="L988" s="1172"/>
      <c r="M988" s="1172"/>
      <c r="N988" s="1175"/>
      <c r="O988" s="143"/>
      <c r="P988" s="1196"/>
      <c r="Q988" s="141"/>
      <c r="R988" s="141"/>
      <c r="S988" s="148"/>
      <c r="T988" s="419"/>
      <c r="U988" s="559"/>
      <c r="V988" s="141"/>
      <c r="W988" s="141"/>
      <c r="X988" s="141"/>
      <c r="Y988" s="144"/>
      <c r="Z988" s="141"/>
      <c r="AA988" s="141"/>
      <c r="AB988" s="141"/>
      <c r="AC988" s="141"/>
      <c r="AD988" s="141"/>
      <c r="AE988" s="141"/>
      <c r="AF988" s="145"/>
      <c r="AG988" s="419"/>
    </row>
    <row r="989" spans="1:33" s="139" customFormat="1" ht="12.75" customHeight="1" x14ac:dyDescent="0.2">
      <c r="A989" s="141"/>
      <c r="B989" s="141"/>
      <c r="C989" s="141"/>
      <c r="D989" s="141"/>
      <c r="E989" s="1014"/>
      <c r="F989" s="1014"/>
      <c r="G989" s="1027"/>
      <c r="H989" s="1027"/>
      <c r="I989" s="1174"/>
      <c r="J989" s="1174"/>
      <c r="K989" s="1174"/>
      <c r="L989" s="1172"/>
      <c r="M989" s="1172"/>
      <c r="N989" s="1175"/>
      <c r="O989" s="143"/>
      <c r="P989" s="1196"/>
      <c r="Q989" s="141"/>
      <c r="R989" s="141"/>
      <c r="S989" s="148"/>
      <c r="T989" s="419"/>
      <c r="U989" s="559"/>
      <c r="V989" s="141"/>
      <c r="W989" s="141"/>
      <c r="X989" s="141"/>
      <c r="Y989" s="144"/>
      <c r="Z989" s="141"/>
      <c r="AA989" s="141"/>
      <c r="AB989" s="141"/>
      <c r="AC989" s="141"/>
      <c r="AD989" s="141"/>
      <c r="AE989" s="141"/>
      <c r="AF989" s="145"/>
      <c r="AG989" s="419"/>
    </row>
    <row r="990" spans="1:33" s="139" customFormat="1" ht="12.75" customHeight="1" x14ac:dyDescent="0.2">
      <c r="A990" s="141"/>
      <c r="B990" s="141"/>
      <c r="C990" s="141"/>
      <c r="D990" s="141"/>
      <c r="E990" s="1014"/>
      <c r="F990" s="1014"/>
      <c r="G990" s="1027"/>
      <c r="H990" s="1027"/>
      <c r="I990" s="1174"/>
      <c r="J990" s="1174"/>
      <c r="K990" s="1174"/>
      <c r="L990" s="1172"/>
      <c r="M990" s="1172"/>
      <c r="N990" s="1175"/>
      <c r="O990" s="143"/>
      <c r="P990" s="1196"/>
      <c r="Q990" s="141"/>
      <c r="R990" s="141"/>
      <c r="S990" s="148"/>
      <c r="T990" s="419"/>
      <c r="U990" s="559"/>
      <c r="V990" s="141"/>
      <c r="W990" s="141"/>
      <c r="X990" s="141"/>
      <c r="Y990" s="144"/>
      <c r="Z990" s="141"/>
      <c r="AA990" s="141"/>
      <c r="AB990" s="141"/>
      <c r="AC990" s="141"/>
      <c r="AD990" s="141"/>
      <c r="AE990" s="141"/>
      <c r="AF990" s="145"/>
      <c r="AG990" s="419"/>
    </row>
    <row r="991" spans="1:33" s="139" customFormat="1" ht="12.75" customHeight="1" x14ac:dyDescent="0.2">
      <c r="A991" s="141"/>
      <c r="B991" s="141"/>
      <c r="C991" s="141"/>
      <c r="D991" s="141"/>
      <c r="E991" s="1014"/>
      <c r="F991" s="1014"/>
      <c r="G991" s="1027"/>
      <c r="H991" s="1027"/>
      <c r="I991" s="1174"/>
      <c r="J991" s="1174"/>
      <c r="K991" s="1174"/>
      <c r="L991" s="1172"/>
      <c r="M991" s="1172"/>
      <c r="N991" s="1175"/>
      <c r="O991" s="143"/>
      <c r="P991" s="1196"/>
      <c r="Q991" s="141"/>
      <c r="R991" s="141"/>
      <c r="S991" s="148"/>
      <c r="T991" s="419"/>
      <c r="U991" s="559"/>
      <c r="V991" s="141"/>
      <c r="W991" s="141"/>
      <c r="X991" s="141"/>
      <c r="Y991" s="144"/>
      <c r="Z991" s="141"/>
      <c r="AA991" s="141"/>
      <c r="AB991" s="141"/>
      <c r="AC991" s="141"/>
      <c r="AD991" s="141"/>
      <c r="AE991" s="141"/>
      <c r="AF991" s="145"/>
      <c r="AG991" s="419"/>
    </row>
    <row r="992" spans="1:33" s="139" customFormat="1" ht="12.75" customHeight="1" x14ac:dyDescent="0.2">
      <c r="A992" s="141"/>
      <c r="B992" s="141"/>
      <c r="C992" s="141"/>
      <c r="D992" s="141"/>
      <c r="E992" s="1014"/>
      <c r="F992" s="1014"/>
      <c r="G992" s="1027"/>
      <c r="H992" s="1027"/>
      <c r="I992" s="1174"/>
      <c r="J992" s="1174"/>
      <c r="K992" s="1174"/>
      <c r="L992" s="1172"/>
      <c r="M992" s="1172"/>
      <c r="N992" s="1175"/>
      <c r="O992" s="143"/>
      <c r="P992" s="1196"/>
      <c r="Q992" s="141"/>
      <c r="R992" s="141"/>
      <c r="S992" s="148"/>
      <c r="T992" s="419"/>
      <c r="U992" s="559"/>
      <c r="V992" s="141"/>
      <c r="W992" s="141"/>
      <c r="X992" s="141"/>
      <c r="Y992" s="144"/>
      <c r="Z992" s="141"/>
      <c r="AA992" s="141"/>
      <c r="AB992" s="141"/>
      <c r="AC992" s="141"/>
      <c r="AD992" s="141"/>
      <c r="AE992" s="141"/>
      <c r="AF992" s="145"/>
      <c r="AG992" s="419"/>
    </row>
    <row r="993" spans="1:33" s="139" customFormat="1" ht="12.75" customHeight="1" x14ac:dyDescent="0.2">
      <c r="A993" s="141"/>
      <c r="B993" s="141"/>
      <c r="C993" s="141"/>
      <c r="D993" s="141"/>
      <c r="E993" s="1014"/>
      <c r="F993" s="1014"/>
      <c r="G993" s="1027"/>
      <c r="H993" s="1027"/>
      <c r="I993" s="1174"/>
      <c r="J993" s="1174"/>
      <c r="K993" s="1174"/>
      <c r="L993" s="1172"/>
      <c r="M993" s="1172"/>
      <c r="N993" s="1175"/>
      <c r="O993" s="143"/>
      <c r="P993" s="1196"/>
      <c r="Q993" s="141"/>
      <c r="R993" s="141"/>
      <c r="S993" s="148"/>
      <c r="T993" s="419"/>
      <c r="U993" s="559"/>
      <c r="V993" s="141"/>
      <c r="W993" s="141"/>
      <c r="X993" s="141"/>
      <c r="Y993" s="144"/>
      <c r="Z993" s="141"/>
      <c r="AA993" s="141"/>
      <c r="AB993" s="141"/>
      <c r="AC993" s="141"/>
      <c r="AD993" s="141"/>
      <c r="AE993" s="141"/>
      <c r="AF993" s="145"/>
      <c r="AG993" s="419"/>
    </row>
    <row r="994" spans="1:33" s="139" customFormat="1" ht="12.75" customHeight="1" x14ac:dyDescent="0.2">
      <c r="A994" s="141"/>
      <c r="B994" s="141"/>
      <c r="C994" s="141"/>
      <c r="D994" s="141"/>
      <c r="E994" s="1014"/>
      <c r="F994" s="1014"/>
      <c r="G994" s="1027"/>
      <c r="H994" s="1027"/>
      <c r="I994" s="1174"/>
      <c r="J994" s="1174"/>
      <c r="K994" s="1174"/>
      <c r="L994" s="1172"/>
      <c r="M994" s="1172"/>
      <c r="N994" s="1175"/>
      <c r="O994" s="143"/>
      <c r="P994" s="1196"/>
      <c r="Q994" s="141"/>
      <c r="R994" s="141"/>
      <c r="S994" s="148"/>
      <c r="T994" s="419"/>
      <c r="U994" s="559"/>
      <c r="V994" s="141"/>
      <c r="W994" s="141"/>
      <c r="X994" s="141"/>
      <c r="Y994" s="144"/>
      <c r="Z994" s="141"/>
      <c r="AA994" s="141"/>
      <c r="AB994" s="141"/>
      <c r="AC994" s="141"/>
      <c r="AD994" s="141"/>
      <c r="AE994" s="141"/>
      <c r="AF994" s="145"/>
      <c r="AG994" s="419"/>
    </row>
    <row r="995" spans="1:33" s="139" customFormat="1" ht="12.75" customHeight="1" x14ac:dyDescent="0.2">
      <c r="A995" s="141"/>
      <c r="B995" s="141"/>
      <c r="C995" s="141"/>
      <c r="D995" s="141"/>
      <c r="E995" s="1014"/>
      <c r="F995" s="1014"/>
      <c r="G995" s="1027"/>
      <c r="H995" s="1027"/>
      <c r="I995" s="1174"/>
      <c r="J995" s="1174"/>
      <c r="K995" s="1174"/>
      <c r="L995" s="1172"/>
      <c r="M995" s="1172"/>
      <c r="N995" s="1175"/>
      <c r="O995" s="143"/>
      <c r="P995" s="1196"/>
      <c r="Q995" s="141"/>
      <c r="R995" s="141"/>
      <c r="S995" s="148"/>
      <c r="T995" s="419"/>
      <c r="U995" s="559"/>
      <c r="V995" s="141"/>
      <c r="W995" s="141"/>
      <c r="X995" s="141"/>
      <c r="Y995" s="144"/>
      <c r="Z995" s="141"/>
      <c r="AA995" s="141"/>
      <c r="AB995" s="141"/>
      <c r="AC995" s="141"/>
      <c r="AD995" s="141"/>
      <c r="AE995" s="141"/>
      <c r="AF995" s="145"/>
      <c r="AG995" s="419"/>
    </row>
    <row r="996" spans="1:33" s="139" customFormat="1" ht="12.75" customHeight="1" x14ac:dyDescent="0.2">
      <c r="A996" s="141"/>
      <c r="B996" s="141"/>
      <c r="C996" s="141"/>
      <c r="D996" s="141"/>
      <c r="E996" s="1014"/>
      <c r="F996" s="1014"/>
      <c r="G996" s="1027"/>
      <c r="H996" s="1027"/>
      <c r="I996" s="1174"/>
      <c r="J996" s="1174"/>
      <c r="K996" s="1174"/>
      <c r="L996" s="1172"/>
      <c r="M996" s="1172"/>
      <c r="N996" s="1175"/>
      <c r="O996" s="143"/>
      <c r="P996" s="1196"/>
      <c r="Q996" s="141"/>
      <c r="R996" s="141"/>
      <c r="S996" s="148"/>
      <c r="T996" s="419"/>
      <c r="U996" s="559"/>
      <c r="V996" s="141"/>
      <c r="W996" s="141"/>
      <c r="X996" s="141"/>
      <c r="Y996" s="144"/>
      <c r="Z996" s="141"/>
      <c r="AA996" s="141"/>
      <c r="AB996" s="141"/>
      <c r="AC996" s="141"/>
      <c r="AD996" s="141"/>
      <c r="AE996" s="141"/>
      <c r="AF996" s="145"/>
      <c r="AG996" s="419"/>
    </row>
    <row r="997" spans="1:33" s="139" customFormat="1" ht="12.75" customHeight="1" x14ac:dyDescent="0.2">
      <c r="A997" s="141"/>
      <c r="B997" s="141"/>
      <c r="C997" s="141"/>
      <c r="D997" s="141"/>
      <c r="E997" s="1014"/>
      <c r="F997" s="1014"/>
      <c r="G997" s="1027"/>
      <c r="H997" s="1027"/>
      <c r="I997" s="1174"/>
      <c r="J997" s="1174"/>
      <c r="K997" s="1174"/>
      <c r="L997" s="1172"/>
      <c r="M997" s="1172"/>
      <c r="N997" s="1175"/>
      <c r="O997" s="143"/>
      <c r="P997" s="1196"/>
      <c r="Q997" s="141"/>
      <c r="R997" s="141"/>
      <c r="S997" s="148"/>
      <c r="T997" s="419"/>
      <c r="U997" s="559"/>
      <c r="V997" s="141"/>
      <c r="W997" s="141"/>
      <c r="X997" s="141"/>
      <c r="Y997" s="144"/>
      <c r="Z997" s="141"/>
      <c r="AA997" s="141"/>
      <c r="AB997" s="141"/>
      <c r="AC997" s="141"/>
      <c r="AD997" s="141"/>
      <c r="AE997" s="141"/>
      <c r="AF997" s="145"/>
      <c r="AG997" s="419"/>
    </row>
    <row r="998" spans="1:33" s="139" customFormat="1" ht="12.75" customHeight="1" x14ac:dyDescent="0.2">
      <c r="A998" s="141"/>
      <c r="B998" s="141"/>
      <c r="C998" s="141"/>
      <c r="D998" s="141"/>
      <c r="E998" s="1014"/>
      <c r="F998" s="1014"/>
      <c r="G998" s="1027"/>
      <c r="H998" s="1027"/>
      <c r="I998" s="1174"/>
      <c r="J998" s="1174"/>
      <c r="K998" s="1174"/>
      <c r="L998" s="1172"/>
      <c r="M998" s="1172"/>
      <c r="N998" s="1175"/>
      <c r="O998" s="143"/>
      <c r="P998" s="1196"/>
      <c r="Q998" s="141"/>
      <c r="R998" s="141"/>
      <c r="S998" s="148"/>
      <c r="T998" s="419"/>
      <c r="U998" s="559"/>
      <c r="V998" s="141"/>
      <c r="W998" s="141"/>
      <c r="X998" s="141"/>
      <c r="Y998" s="144"/>
      <c r="Z998" s="141"/>
      <c r="AA998" s="141"/>
      <c r="AB998" s="141"/>
      <c r="AC998" s="141"/>
      <c r="AD998" s="141"/>
      <c r="AE998" s="141"/>
      <c r="AF998" s="145"/>
      <c r="AG998" s="419"/>
    </row>
    <row r="999" spans="1:33" s="139" customFormat="1" ht="12.75" customHeight="1" x14ac:dyDescent="0.2">
      <c r="A999" s="141"/>
      <c r="B999" s="141"/>
      <c r="C999" s="141"/>
      <c r="D999" s="141"/>
      <c r="E999" s="1014"/>
      <c r="F999" s="1014"/>
      <c r="G999" s="1027"/>
      <c r="H999" s="1027"/>
      <c r="I999" s="1174"/>
      <c r="J999" s="1174"/>
      <c r="K999" s="1174"/>
      <c r="L999" s="1172"/>
      <c r="M999" s="1172"/>
      <c r="N999" s="1175"/>
      <c r="O999" s="143"/>
      <c r="P999" s="1196"/>
      <c r="Q999" s="141"/>
      <c r="R999" s="141"/>
      <c r="S999" s="148"/>
      <c r="T999" s="419"/>
      <c r="U999" s="559"/>
      <c r="V999" s="141"/>
      <c r="W999" s="141"/>
      <c r="X999" s="141"/>
      <c r="Y999" s="144"/>
      <c r="Z999" s="141"/>
      <c r="AA999" s="141"/>
      <c r="AB999" s="141"/>
      <c r="AC999" s="141"/>
      <c r="AD999" s="141"/>
      <c r="AE999" s="141"/>
      <c r="AF999" s="145"/>
      <c r="AG999" s="419"/>
    </row>
    <row r="1000" spans="1:33" s="139" customFormat="1" ht="12.75" customHeight="1" x14ac:dyDescent="0.2">
      <c r="A1000" s="141"/>
      <c r="B1000" s="141"/>
      <c r="C1000" s="141"/>
      <c r="D1000" s="141"/>
      <c r="E1000" s="1014"/>
      <c r="F1000" s="1014"/>
      <c r="G1000" s="1027"/>
      <c r="H1000" s="1027"/>
      <c r="I1000" s="1174"/>
      <c r="J1000" s="1174"/>
      <c r="K1000" s="1174"/>
      <c r="L1000" s="1172"/>
      <c r="M1000" s="1172"/>
      <c r="N1000" s="1175"/>
      <c r="O1000" s="143"/>
      <c r="P1000" s="1196"/>
      <c r="Q1000" s="141"/>
      <c r="R1000" s="141"/>
      <c r="S1000" s="148"/>
      <c r="T1000" s="419"/>
      <c r="U1000" s="559"/>
      <c r="V1000" s="141"/>
      <c r="W1000" s="141"/>
      <c r="X1000" s="141"/>
      <c r="Y1000" s="144"/>
      <c r="Z1000" s="141"/>
      <c r="AA1000" s="141"/>
      <c r="AB1000" s="141"/>
      <c r="AC1000" s="141"/>
      <c r="AD1000" s="141"/>
      <c r="AE1000" s="141"/>
      <c r="AF1000" s="145"/>
      <c r="AG1000" s="419"/>
    </row>
    <row r="1001" spans="1:33" s="139" customFormat="1" ht="12.75" customHeight="1" x14ac:dyDescent="0.2">
      <c r="A1001" s="141"/>
      <c r="B1001" s="141"/>
      <c r="C1001" s="141"/>
      <c r="D1001" s="141"/>
      <c r="E1001" s="1014"/>
      <c r="F1001" s="1014"/>
      <c r="G1001" s="1027"/>
      <c r="H1001" s="1027"/>
      <c r="I1001" s="1174"/>
      <c r="J1001" s="1174"/>
      <c r="K1001" s="1174"/>
      <c r="L1001" s="1172"/>
      <c r="M1001" s="1172"/>
      <c r="N1001" s="1175"/>
      <c r="O1001" s="143"/>
      <c r="P1001" s="1196"/>
      <c r="Q1001" s="141"/>
      <c r="R1001" s="141"/>
      <c r="S1001" s="148"/>
      <c r="T1001" s="419"/>
      <c r="U1001" s="559"/>
      <c r="V1001" s="141"/>
      <c r="W1001" s="141"/>
      <c r="X1001" s="141"/>
      <c r="Y1001" s="144"/>
      <c r="Z1001" s="141"/>
      <c r="AA1001" s="141"/>
      <c r="AB1001" s="141"/>
      <c r="AC1001" s="141"/>
      <c r="AD1001" s="141"/>
      <c r="AE1001" s="141"/>
      <c r="AF1001" s="145"/>
      <c r="AG1001" s="419"/>
    </row>
    <row r="1002" spans="1:33" s="139" customFormat="1" ht="12.75" customHeight="1" x14ac:dyDescent="0.2">
      <c r="A1002" s="141"/>
      <c r="B1002" s="141"/>
      <c r="C1002" s="141"/>
      <c r="D1002" s="141"/>
      <c r="E1002" s="1014"/>
      <c r="F1002" s="1014"/>
      <c r="G1002" s="1027"/>
      <c r="H1002" s="1027"/>
      <c r="I1002" s="1174"/>
      <c r="J1002" s="1174"/>
      <c r="K1002" s="1174"/>
      <c r="L1002" s="1172"/>
      <c r="M1002" s="1172"/>
      <c r="N1002" s="1175"/>
      <c r="O1002" s="143"/>
      <c r="P1002" s="1196"/>
      <c r="Q1002" s="141"/>
      <c r="R1002" s="141"/>
      <c r="S1002" s="148"/>
      <c r="T1002" s="419"/>
      <c r="U1002" s="559"/>
      <c r="V1002" s="141"/>
      <c r="W1002" s="141"/>
      <c r="X1002" s="141"/>
      <c r="Y1002" s="144"/>
      <c r="Z1002" s="141"/>
      <c r="AA1002" s="141"/>
      <c r="AB1002" s="141"/>
      <c r="AC1002" s="141"/>
      <c r="AD1002" s="141"/>
      <c r="AE1002" s="141"/>
      <c r="AF1002" s="145"/>
      <c r="AG1002" s="419"/>
    </row>
    <row r="1003" spans="1:33" s="139" customFormat="1" ht="12.75" customHeight="1" x14ac:dyDescent="0.2">
      <c r="A1003" s="141"/>
      <c r="B1003" s="141"/>
      <c r="C1003" s="141"/>
      <c r="D1003" s="141"/>
      <c r="E1003" s="1014"/>
      <c r="F1003" s="1014"/>
      <c r="G1003" s="1027"/>
      <c r="H1003" s="1027"/>
      <c r="I1003" s="1174"/>
      <c r="J1003" s="1174"/>
      <c r="K1003" s="1174"/>
      <c r="L1003" s="1172"/>
      <c r="M1003" s="1172"/>
      <c r="N1003" s="1175"/>
      <c r="O1003" s="143"/>
      <c r="P1003" s="1196"/>
      <c r="Q1003" s="141"/>
      <c r="R1003" s="141"/>
      <c r="S1003" s="148"/>
      <c r="T1003" s="419"/>
      <c r="U1003" s="559"/>
      <c r="V1003" s="141"/>
      <c r="W1003" s="141"/>
      <c r="X1003" s="141"/>
      <c r="Y1003" s="144"/>
      <c r="Z1003" s="141"/>
      <c r="AA1003" s="141"/>
      <c r="AB1003" s="141"/>
      <c r="AC1003" s="141"/>
      <c r="AD1003" s="141"/>
      <c r="AE1003" s="141"/>
      <c r="AF1003" s="145"/>
      <c r="AG1003" s="419"/>
    </row>
    <row r="1004" spans="1:33" s="139" customFormat="1" ht="12.75" customHeight="1" x14ac:dyDescent="0.2">
      <c r="A1004" s="141"/>
      <c r="B1004" s="141"/>
      <c r="C1004" s="141"/>
      <c r="D1004" s="141"/>
      <c r="E1004" s="1014"/>
      <c r="F1004" s="1014"/>
      <c r="G1004" s="1027"/>
      <c r="H1004" s="1027"/>
      <c r="I1004" s="1174"/>
      <c r="J1004" s="1174"/>
      <c r="K1004" s="1174"/>
      <c r="L1004" s="1172"/>
      <c r="M1004" s="1172"/>
      <c r="N1004" s="1175"/>
      <c r="O1004" s="143"/>
      <c r="P1004" s="1196"/>
      <c r="Q1004" s="141"/>
      <c r="R1004" s="141"/>
      <c r="S1004" s="148"/>
      <c r="T1004" s="419"/>
      <c r="U1004" s="559"/>
      <c r="V1004" s="141"/>
      <c r="W1004" s="141"/>
      <c r="X1004" s="141"/>
      <c r="Y1004" s="144"/>
      <c r="Z1004" s="141"/>
      <c r="AA1004" s="141"/>
      <c r="AB1004" s="141"/>
      <c r="AC1004" s="141"/>
      <c r="AD1004" s="141"/>
      <c r="AE1004" s="141"/>
      <c r="AF1004" s="145"/>
      <c r="AG1004" s="419"/>
    </row>
    <row r="1005" spans="1:33" s="139" customFormat="1" ht="12.75" customHeight="1" x14ac:dyDescent="0.2">
      <c r="A1005" s="141"/>
      <c r="B1005" s="141"/>
      <c r="C1005" s="141"/>
      <c r="D1005" s="141"/>
      <c r="E1005" s="1014"/>
      <c r="F1005" s="1014"/>
      <c r="G1005" s="1027"/>
      <c r="H1005" s="1027"/>
      <c r="I1005" s="1174"/>
      <c r="J1005" s="1174"/>
      <c r="K1005" s="1174"/>
      <c r="L1005" s="1172"/>
      <c r="M1005" s="1172"/>
      <c r="N1005" s="1175"/>
      <c r="O1005" s="143"/>
      <c r="P1005" s="1196"/>
      <c r="Q1005" s="141"/>
      <c r="R1005" s="141"/>
      <c r="S1005" s="148"/>
      <c r="T1005" s="419"/>
      <c r="U1005" s="559"/>
      <c r="V1005" s="141"/>
      <c r="W1005" s="141"/>
      <c r="X1005" s="141"/>
      <c r="Y1005" s="144"/>
      <c r="Z1005" s="141"/>
      <c r="AA1005" s="141"/>
      <c r="AB1005" s="141"/>
      <c r="AC1005" s="141"/>
      <c r="AD1005" s="141"/>
      <c r="AE1005" s="141"/>
      <c r="AF1005" s="145"/>
      <c r="AG1005" s="419"/>
    </row>
    <row r="1006" spans="1:33" s="139" customFormat="1" ht="12.75" customHeight="1" x14ac:dyDescent="0.2">
      <c r="A1006" s="141"/>
      <c r="B1006" s="141"/>
      <c r="C1006" s="141"/>
      <c r="D1006" s="141"/>
      <c r="E1006" s="1014"/>
      <c r="F1006" s="1014"/>
      <c r="G1006" s="1027"/>
      <c r="H1006" s="1027"/>
      <c r="I1006" s="1174"/>
      <c r="J1006" s="1174"/>
      <c r="K1006" s="1174"/>
      <c r="L1006" s="1172"/>
      <c r="M1006" s="1172"/>
      <c r="N1006" s="1175"/>
      <c r="O1006" s="143"/>
      <c r="P1006" s="1196"/>
      <c r="Q1006" s="141"/>
      <c r="R1006" s="141"/>
      <c r="S1006" s="148"/>
      <c r="T1006" s="419"/>
      <c r="U1006" s="559"/>
      <c r="V1006" s="141"/>
      <c r="W1006" s="141"/>
      <c r="X1006" s="141"/>
      <c r="Y1006" s="144"/>
      <c r="Z1006" s="141"/>
      <c r="AA1006" s="141"/>
      <c r="AB1006" s="141"/>
      <c r="AC1006" s="141"/>
      <c r="AD1006" s="141"/>
      <c r="AE1006" s="141"/>
      <c r="AF1006" s="145"/>
      <c r="AG1006" s="419"/>
    </row>
    <row r="1007" spans="1:33" s="139" customFormat="1" ht="12.75" customHeight="1" x14ac:dyDescent="0.2">
      <c r="A1007" s="141"/>
      <c r="B1007" s="141"/>
      <c r="C1007" s="141"/>
      <c r="D1007" s="141"/>
      <c r="E1007" s="1014"/>
      <c r="F1007" s="1014"/>
      <c r="G1007" s="1027"/>
      <c r="H1007" s="1027"/>
      <c r="I1007" s="1174"/>
      <c r="J1007" s="1174"/>
      <c r="K1007" s="1174"/>
      <c r="L1007" s="1172"/>
      <c r="M1007" s="1172"/>
      <c r="N1007" s="1175"/>
      <c r="O1007" s="143"/>
      <c r="P1007" s="1196"/>
      <c r="Q1007" s="141"/>
      <c r="R1007" s="141"/>
      <c r="S1007" s="148"/>
      <c r="T1007" s="419"/>
      <c r="U1007" s="559"/>
      <c r="V1007" s="141"/>
      <c r="W1007" s="141"/>
      <c r="X1007" s="141"/>
      <c r="Y1007" s="144"/>
      <c r="Z1007" s="141"/>
      <c r="AA1007" s="141"/>
      <c r="AB1007" s="141"/>
      <c r="AC1007" s="141"/>
      <c r="AD1007" s="141"/>
      <c r="AE1007" s="141"/>
      <c r="AF1007" s="145"/>
      <c r="AG1007" s="419"/>
    </row>
    <row r="1008" spans="1:33" s="139" customFormat="1" ht="12.75" customHeight="1" x14ac:dyDescent="0.2">
      <c r="A1008" s="141"/>
      <c r="B1008" s="141"/>
      <c r="C1008" s="141"/>
      <c r="D1008" s="141"/>
      <c r="E1008" s="1014"/>
      <c r="F1008" s="1014"/>
      <c r="G1008" s="1027"/>
      <c r="H1008" s="1027"/>
      <c r="I1008" s="1174"/>
      <c r="J1008" s="1174"/>
      <c r="K1008" s="1174"/>
      <c r="L1008" s="1172"/>
      <c r="M1008" s="1172"/>
      <c r="N1008" s="1175"/>
      <c r="O1008" s="143"/>
      <c r="P1008" s="1196"/>
      <c r="Q1008" s="141"/>
      <c r="R1008" s="141"/>
      <c r="S1008" s="148"/>
      <c r="T1008" s="419"/>
      <c r="U1008" s="559"/>
      <c r="V1008" s="141"/>
      <c r="W1008" s="141"/>
      <c r="X1008" s="141"/>
      <c r="Y1008" s="144"/>
      <c r="Z1008" s="141"/>
      <c r="AA1008" s="141"/>
      <c r="AB1008" s="141"/>
      <c r="AC1008" s="141"/>
      <c r="AD1008" s="141"/>
      <c r="AE1008" s="141"/>
      <c r="AF1008" s="145"/>
      <c r="AG1008" s="419"/>
    </row>
    <row r="1009" spans="1:33" s="139" customFormat="1" ht="12.75" customHeight="1" x14ac:dyDescent="0.2">
      <c r="A1009" s="141"/>
      <c r="B1009" s="141"/>
      <c r="C1009" s="141"/>
      <c r="D1009" s="141"/>
      <c r="E1009" s="1014"/>
      <c r="F1009" s="1014"/>
      <c r="G1009" s="1027"/>
      <c r="H1009" s="1027"/>
      <c r="I1009" s="1174"/>
      <c r="J1009" s="1174"/>
      <c r="K1009" s="1174"/>
      <c r="L1009" s="1172"/>
      <c r="M1009" s="1172"/>
      <c r="N1009" s="1175"/>
      <c r="O1009" s="143"/>
      <c r="P1009" s="1196"/>
      <c r="Q1009" s="141"/>
      <c r="R1009" s="141"/>
      <c r="S1009" s="148"/>
      <c r="T1009" s="419"/>
      <c r="U1009" s="559"/>
      <c r="V1009" s="141"/>
      <c r="W1009" s="141"/>
      <c r="X1009" s="141"/>
      <c r="Y1009" s="144"/>
      <c r="Z1009" s="141"/>
      <c r="AA1009" s="141"/>
      <c r="AB1009" s="141"/>
      <c r="AC1009" s="141"/>
      <c r="AD1009" s="141"/>
      <c r="AE1009" s="141"/>
      <c r="AF1009" s="145"/>
      <c r="AG1009" s="419"/>
    </row>
    <row r="1010" spans="1:33" s="139" customFormat="1" ht="12.75" customHeight="1" x14ac:dyDescent="0.2">
      <c r="A1010" s="141"/>
      <c r="B1010" s="141"/>
      <c r="C1010" s="141"/>
      <c r="D1010" s="141"/>
      <c r="E1010" s="1014"/>
      <c r="F1010" s="1014"/>
      <c r="G1010" s="1027"/>
      <c r="H1010" s="1027"/>
      <c r="I1010" s="1174"/>
      <c r="J1010" s="1174"/>
      <c r="K1010" s="1174"/>
      <c r="L1010" s="1172"/>
      <c r="M1010" s="1172"/>
      <c r="N1010" s="1175"/>
      <c r="O1010" s="143"/>
      <c r="P1010" s="1196"/>
      <c r="Q1010" s="141"/>
      <c r="R1010" s="141"/>
      <c r="S1010" s="148"/>
      <c r="T1010" s="419"/>
      <c r="U1010" s="559"/>
      <c r="V1010" s="141"/>
      <c r="W1010" s="141"/>
      <c r="X1010" s="141"/>
      <c r="Y1010" s="144"/>
      <c r="Z1010" s="141"/>
      <c r="AA1010" s="141"/>
      <c r="AB1010" s="141"/>
      <c r="AC1010" s="141"/>
      <c r="AD1010" s="141"/>
      <c r="AE1010" s="141"/>
      <c r="AF1010" s="145"/>
      <c r="AG1010" s="419"/>
    </row>
    <row r="1011" spans="1:33" s="139" customFormat="1" ht="12.75" customHeight="1" x14ac:dyDescent="0.2">
      <c r="A1011" s="141"/>
      <c r="B1011" s="141"/>
      <c r="C1011" s="141"/>
      <c r="D1011" s="141"/>
      <c r="E1011" s="1014"/>
      <c r="F1011" s="1014"/>
      <c r="G1011" s="1027"/>
      <c r="H1011" s="1027"/>
      <c r="I1011" s="1174"/>
      <c r="J1011" s="1174"/>
      <c r="K1011" s="1174"/>
      <c r="L1011" s="1172"/>
      <c r="M1011" s="1172"/>
      <c r="N1011" s="1175"/>
      <c r="O1011" s="143"/>
      <c r="P1011" s="1196"/>
      <c r="Q1011" s="141"/>
      <c r="R1011" s="141"/>
      <c r="S1011" s="148"/>
      <c r="T1011" s="419"/>
      <c r="U1011" s="559"/>
      <c r="V1011" s="141"/>
      <c r="W1011" s="141"/>
      <c r="X1011" s="141"/>
      <c r="Y1011" s="144"/>
      <c r="Z1011" s="141"/>
      <c r="AA1011" s="141"/>
      <c r="AB1011" s="141"/>
      <c r="AC1011" s="141"/>
      <c r="AD1011" s="141"/>
      <c r="AE1011" s="141"/>
      <c r="AF1011" s="145"/>
      <c r="AG1011" s="419"/>
    </row>
    <row r="1012" spans="1:33" s="139" customFormat="1" ht="12.75" customHeight="1" x14ac:dyDescent="0.2">
      <c r="A1012" s="141"/>
      <c r="B1012" s="141"/>
      <c r="C1012" s="141"/>
      <c r="D1012" s="141"/>
      <c r="E1012" s="1014"/>
      <c r="F1012" s="1014"/>
      <c r="G1012" s="1027"/>
      <c r="H1012" s="1027"/>
      <c r="I1012" s="1174"/>
      <c r="J1012" s="1174"/>
      <c r="K1012" s="1174"/>
      <c r="L1012" s="1172"/>
      <c r="M1012" s="1172"/>
      <c r="N1012" s="1175"/>
      <c r="O1012" s="143"/>
      <c r="P1012" s="1196"/>
      <c r="Q1012" s="141"/>
      <c r="R1012" s="141"/>
      <c r="S1012" s="148"/>
      <c r="T1012" s="419"/>
      <c r="U1012" s="559"/>
      <c r="V1012" s="141"/>
      <c r="W1012" s="141"/>
      <c r="X1012" s="141"/>
      <c r="Y1012" s="144"/>
      <c r="Z1012" s="141"/>
      <c r="AA1012" s="141"/>
      <c r="AB1012" s="141"/>
      <c r="AC1012" s="141"/>
      <c r="AD1012" s="141"/>
      <c r="AE1012" s="141"/>
      <c r="AF1012" s="145"/>
      <c r="AG1012" s="419"/>
    </row>
    <row r="1013" spans="1:33" s="139" customFormat="1" ht="12.75" customHeight="1" x14ac:dyDescent="0.2">
      <c r="A1013" s="141"/>
      <c r="B1013" s="141"/>
      <c r="C1013" s="141"/>
      <c r="D1013" s="141"/>
      <c r="E1013" s="1014"/>
      <c r="F1013" s="1014"/>
      <c r="G1013" s="1027"/>
      <c r="H1013" s="1027"/>
      <c r="I1013" s="1174"/>
      <c r="J1013" s="1174"/>
      <c r="K1013" s="1174"/>
      <c r="L1013" s="1172"/>
      <c r="M1013" s="1172"/>
      <c r="N1013" s="1175"/>
      <c r="O1013" s="143"/>
      <c r="P1013" s="1196"/>
      <c r="Q1013" s="141"/>
      <c r="R1013" s="141"/>
      <c r="S1013" s="148"/>
      <c r="T1013" s="419"/>
      <c r="U1013" s="559"/>
      <c r="V1013" s="141"/>
      <c r="W1013" s="141"/>
      <c r="X1013" s="141"/>
      <c r="Y1013" s="144"/>
      <c r="Z1013" s="141"/>
      <c r="AA1013" s="141"/>
      <c r="AB1013" s="141"/>
      <c r="AC1013" s="141"/>
      <c r="AD1013" s="141"/>
      <c r="AE1013" s="141"/>
      <c r="AF1013" s="145"/>
      <c r="AG1013" s="419"/>
    </row>
    <row r="1014" spans="1:33" s="139" customFormat="1" ht="12.75" customHeight="1" x14ac:dyDescent="0.2">
      <c r="A1014" s="141"/>
      <c r="B1014" s="141"/>
      <c r="C1014" s="141"/>
      <c r="D1014" s="141"/>
      <c r="E1014" s="1014"/>
      <c r="F1014" s="1014"/>
      <c r="G1014" s="1027"/>
      <c r="H1014" s="1027"/>
      <c r="I1014" s="1174"/>
      <c r="J1014" s="1174"/>
      <c r="K1014" s="1174"/>
      <c r="L1014" s="1172"/>
      <c r="M1014" s="1172"/>
      <c r="N1014" s="1175"/>
      <c r="O1014" s="143"/>
      <c r="P1014" s="1196"/>
      <c r="Q1014" s="141"/>
      <c r="R1014" s="141"/>
      <c r="S1014" s="148"/>
      <c r="T1014" s="419"/>
      <c r="U1014" s="559"/>
      <c r="V1014" s="141"/>
      <c r="W1014" s="141"/>
      <c r="X1014" s="141"/>
      <c r="Y1014" s="144"/>
      <c r="Z1014" s="141"/>
      <c r="AA1014" s="141"/>
      <c r="AB1014" s="141"/>
      <c r="AC1014" s="141"/>
      <c r="AD1014" s="141"/>
      <c r="AE1014" s="141"/>
      <c r="AF1014" s="145"/>
      <c r="AG1014" s="419"/>
    </row>
    <row r="1015" spans="1:33" s="139" customFormat="1" ht="12.75" customHeight="1" x14ac:dyDescent="0.2">
      <c r="A1015" s="141"/>
      <c r="B1015" s="141"/>
      <c r="C1015" s="141"/>
      <c r="D1015" s="141"/>
      <c r="E1015" s="1014"/>
      <c r="F1015" s="1014"/>
      <c r="G1015" s="1027"/>
      <c r="H1015" s="1027"/>
      <c r="I1015" s="1174"/>
      <c r="J1015" s="1174"/>
      <c r="K1015" s="1174"/>
      <c r="L1015" s="1172"/>
      <c r="M1015" s="1172"/>
      <c r="N1015" s="1175"/>
      <c r="O1015" s="143"/>
      <c r="P1015" s="1196"/>
      <c r="Q1015" s="141"/>
      <c r="R1015" s="141"/>
      <c r="S1015" s="148"/>
      <c r="T1015" s="419"/>
      <c r="U1015" s="559"/>
      <c r="V1015" s="141"/>
      <c r="W1015" s="141"/>
      <c r="X1015" s="141"/>
      <c r="Y1015" s="144"/>
      <c r="Z1015" s="141"/>
      <c r="AA1015" s="141"/>
      <c r="AB1015" s="141"/>
      <c r="AC1015" s="141"/>
      <c r="AD1015" s="141"/>
      <c r="AE1015" s="141"/>
      <c r="AF1015" s="145"/>
      <c r="AG1015" s="419"/>
    </row>
    <row r="1016" spans="1:33" s="139" customFormat="1" ht="12.75" customHeight="1" x14ac:dyDescent="0.2">
      <c r="A1016" s="141"/>
      <c r="B1016" s="141"/>
      <c r="C1016" s="141"/>
      <c r="D1016" s="141"/>
      <c r="E1016" s="1014"/>
      <c r="F1016" s="1014"/>
      <c r="G1016" s="1027"/>
      <c r="H1016" s="1027"/>
      <c r="I1016" s="1174"/>
      <c r="J1016" s="1174"/>
      <c r="K1016" s="1174"/>
      <c r="L1016" s="1172"/>
      <c r="M1016" s="1172"/>
      <c r="N1016" s="1175"/>
      <c r="O1016" s="143"/>
      <c r="P1016" s="1196"/>
      <c r="Q1016" s="141"/>
      <c r="R1016" s="141"/>
      <c r="S1016" s="148"/>
      <c r="T1016" s="419"/>
      <c r="U1016" s="559"/>
      <c r="V1016" s="141"/>
      <c r="W1016" s="141"/>
      <c r="X1016" s="141"/>
      <c r="Y1016" s="144"/>
      <c r="Z1016" s="141"/>
      <c r="AA1016" s="141"/>
      <c r="AB1016" s="141"/>
      <c r="AC1016" s="141"/>
      <c r="AD1016" s="141"/>
      <c r="AE1016" s="141"/>
      <c r="AF1016" s="145"/>
      <c r="AG1016" s="419"/>
    </row>
    <row r="1017" spans="1:33" s="139" customFormat="1" ht="12.75" customHeight="1" x14ac:dyDescent="0.2">
      <c r="A1017" s="141"/>
      <c r="B1017" s="141"/>
      <c r="C1017" s="141"/>
      <c r="D1017" s="141"/>
      <c r="E1017" s="1014"/>
      <c r="F1017" s="1014"/>
      <c r="G1017" s="1027"/>
      <c r="H1017" s="1027"/>
      <c r="I1017" s="1174"/>
      <c r="J1017" s="1174"/>
      <c r="K1017" s="1174"/>
      <c r="L1017" s="1172"/>
      <c r="M1017" s="1172"/>
      <c r="N1017" s="1175"/>
      <c r="O1017" s="143"/>
      <c r="P1017" s="1196"/>
      <c r="Q1017" s="141"/>
      <c r="R1017" s="141"/>
      <c r="S1017" s="148"/>
      <c r="T1017" s="419"/>
      <c r="U1017" s="559"/>
      <c r="V1017" s="141"/>
      <c r="W1017" s="141"/>
      <c r="X1017" s="141"/>
      <c r="Y1017" s="144"/>
      <c r="Z1017" s="141"/>
      <c r="AA1017" s="141"/>
      <c r="AB1017" s="141"/>
      <c r="AC1017" s="141"/>
      <c r="AD1017" s="141"/>
      <c r="AE1017" s="141"/>
      <c r="AF1017" s="145"/>
      <c r="AG1017" s="419"/>
    </row>
    <row r="1018" spans="1:33" s="139" customFormat="1" ht="12.75" customHeight="1" x14ac:dyDescent="0.2">
      <c r="A1018" s="141"/>
      <c r="B1018" s="141"/>
      <c r="C1018" s="141"/>
      <c r="D1018" s="141"/>
      <c r="E1018" s="1014"/>
      <c r="F1018" s="1014"/>
      <c r="G1018" s="1027"/>
      <c r="H1018" s="1027"/>
      <c r="I1018" s="1174"/>
      <c r="J1018" s="1174"/>
      <c r="K1018" s="1174"/>
      <c r="L1018" s="1172"/>
      <c r="M1018" s="1172"/>
      <c r="N1018" s="1175"/>
      <c r="O1018" s="143"/>
      <c r="P1018" s="1196"/>
      <c r="Q1018" s="141"/>
      <c r="R1018" s="141"/>
      <c r="S1018" s="148"/>
      <c r="T1018" s="419"/>
      <c r="U1018" s="559"/>
      <c r="V1018" s="141"/>
      <c r="W1018" s="141"/>
      <c r="X1018" s="141"/>
      <c r="Y1018" s="144"/>
      <c r="Z1018" s="141"/>
      <c r="AA1018" s="141"/>
      <c r="AB1018" s="141"/>
      <c r="AC1018" s="141"/>
      <c r="AD1018" s="141"/>
      <c r="AE1018" s="141"/>
      <c r="AF1018" s="145"/>
      <c r="AG1018" s="419"/>
    </row>
    <row r="1019" spans="1:33" s="139" customFormat="1" ht="12.75" customHeight="1" x14ac:dyDescent="0.2">
      <c r="A1019" s="141"/>
      <c r="B1019" s="141"/>
      <c r="C1019" s="141"/>
      <c r="D1019" s="141"/>
      <c r="E1019" s="1014"/>
      <c r="F1019" s="1014"/>
      <c r="G1019" s="1027"/>
      <c r="H1019" s="1027"/>
      <c r="I1019" s="1174"/>
      <c r="J1019" s="1174"/>
      <c r="K1019" s="1174"/>
      <c r="L1019" s="1172"/>
      <c r="M1019" s="1172"/>
      <c r="N1019" s="1175"/>
      <c r="O1019" s="143"/>
      <c r="P1019" s="1196"/>
      <c r="Q1019" s="141"/>
      <c r="R1019" s="141"/>
      <c r="S1019" s="148"/>
      <c r="T1019" s="419"/>
      <c r="U1019" s="559"/>
      <c r="V1019" s="141"/>
      <c r="W1019" s="141"/>
      <c r="X1019" s="141"/>
      <c r="Y1019" s="144"/>
      <c r="Z1019" s="141"/>
      <c r="AA1019" s="141"/>
      <c r="AB1019" s="141"/>
      <c r="AC1019" s="141"/>
      <c r="AD1019" s="141"/>
      <c r="AE1019" s="141"/>
      <c r="AF1019" s="145"/>
      <c r="AG1019" s="419"/>
    </row>
    <row r="1020" spans="1:33" s="139" customFormat="1" ht="12.75" customHeight="1" x14ac:dyDescent="0.2">
      <c r="A1020" s="141"/>
      <c r="B1020" s="141"/>
      <c r="C1020" s="141"/>
      <c r="D1020" s="141"/>
      <c r="E1020" s="1014"/>
      <c r="F1020" s="1014"/>
      <c r="G1020" s="1027"/>
      <c r="H1020" s="1027"/>
      <c r="I1020" s="1174"/>
      <c r="J1020" s="1174"/>
      <c r="K1020" s="1174"/>
      <c r="L1020" s="1172"/>
      <c r="M1020" s="1172"/>
      <c r="N1020" s="1175"/>
      <c r="O1020" s="143"/>
      <c r="P1020" s="1196"/>
      <c r="Q1020" s="141"/>
      <c r="R1020" s="141"/>
      <c r="S1020" s="148"/>
      <c r="T1020" s="419"/>
      <c r="U1020" s="559"/>
      <c r="V1020" s="141"/>
      <c r="W1020" s="141"/>
      <c r="X1020" s="141"/>
      <c r="Y1020" s="144"/>
      <c r="Z1020" s="141"/>
      <c r="AA1020" s="141"/>
      <c r="AB1020" s="141"/>
      <c r="AC1020" s="141"/>
      <c r="AD1020" s="141"/>
      <c r="AE1020" s="141"/>
      <c r="AF1020" s="145"/>
      <c r="AG1020" s="419"/>
    </row>
    <row r="1021" spans="1:33" s="139" customFormat="1" ht="12.75" customHeight="1" x14ac:dyDescent="0.2">
      <c r="A1021" s="141"/>
      <c r="B1021" s="141"/>
      <c r="C1021" s="141"/>
      <c r="D1021" s="141"/>
      <c r="E1021" s="1014"/>
      <c r="F1021" s="1014"/>
      <c r="G1021" s="1027"/>
      <c r="H1021" s="1027"/>
      <c r="I1021" s="1174"/>
      <c r="J1021" s="1174"/>
      <c r="K1021" s="1174"/>
      <c r="L1021" s="1172"/>
      <c r="M1021" s="1172"/>
      <c r="N1021" s="1175"/>
      <c r="O1021" s="143"/>
      <c r="P1021" s="1196"/>
      <c r="Q1021" s="141"/>
      <c r="R1021" s="141"/>
      <c r="S1021" s="148"/>
      <c r="T1021" s="419"/>
      <c r="U1021" s="559"/>
      <c r="V1021" s="141"/>
      <c r="W1021" s="141"/>
      <c r="X1021" s="141"/>
      <c r="Y1021" s="144"/>
      <c r="Z1021" s="141"/>
      <c r="AA1021" s="141"/>
      <c r="AB1021" s="141"/>
      <c r="AC1021" s="141"/>
      <c r="AD1021" s="141"/>
      <c r="AE1021" s="141"/>
      <c r="AF1021" s="145"/>
      <c r="AG1021" s="419"/>
    </row>
    <row r="1022" spans="1:33" s="139" customFormat="1" ht="12.75" customHeight="1" x14ac:dyDescent="0.2">
      <c r="A1022" s="141"/>
      <c r="B1022" s="141"/>
      <c r="C1022" s="141"/>
      <c r="D1022" s="141"/>
      <c r="E1022" s="1014"/>
      <c r="F1022" s="1014"/>
      <c r="G1022" s="1027"/>
      <c r="H1022" s="1027"/>
      <c r="I1022" s="1174"/>
      <c r="J1022" s="1174"/>
      <c r="K1022" s="1174"/>
      <c r="L1022" s="1172"/>
      <c r="M1022" s="1172"/>
      <c r="N1022" s="1175"/>
      <c r="O1022" s="143"/>
      <c r="P1022" s="1196"/>
      <c r="Q1022" s="141"/>
      <c r="R1022" s="141"/>
      <c r="S1022" s="148"/>
      <c r="T1022" s="419"/>
      <c r="U1022" s="559"/>
      <c r="V1022" s="141"/>
      <c r="W1022" s="141"/>
      <c r="X1022" s="141"/>
      <c r="Y1022" s="144"/>
      <c r="Z1022" s="141"/>
      <c r="AA1022" s="141"/>
      <c r="AB1022" s="141"/>
      <c r="AC1022" s="141"/>
      <c r="AD1022" s="141"/>
      <c r="AE1022" s="141"/>
      <c r="AF1022" s="145"/>
      <c r="AG1022" s="419"/>
    </row>
    <row r="1023" spans="1:33" s="139" customFormat="1" ht="12.75" customHeight="1" x14ac:dyDescent="0.2">
      <c r="A1023" s="141"/>
      <c r="B1023" s="141"/>
      <c r="C1023" s="141"/>
      <c r="D1023" s="141"/>
      <c r="E1023" s="1014"/>
      <c r="F1023" s="1014"/>
      <c r="G1023" s="1027"/>
      <c r="H1023" s="1027"/>
      <c r="I1023" s="1174"/>
      <c r="J1023" s="1174"/>
      <c r="K1023" s="1174"/>
      <c r="L1023" s="1172"/>
      <c r="M1023" s="1172"/>
      <c r="N1023" s="1175"/>
      <c r="O1023" s="143"/>
      <c r="P1023" s="1196"/>
      <c r="Q1023" s="141"/>
      <c r="R1023" s="141"/>
      <c r="S1023" s="148"/>
      <c r="T1023" s="419"/>
      <c r="U1023" s="559"/>
      <c r="V1023" s="141"/>
      <c r="W1023" s="141"/>
      <c r="X1023" s="141"/>
      <c r="Y1023" s="144"/>
      <c r="Z1023" s="141"/>
      <c r="AA1023" s="141"/>
      <c r="AB1023" s="141"/>
      <c r="AC1023" s="141"/>
      <c r="AD1023" s="141"/>
      <c r="AE1023" s="141"/>
      <c r="AF1023" s="145"/>
      <c r="AG1023" s="419"/>
    </row>
    <row r="1024" spans="1:33" s="139" customFormat="1" ht="12.75" customHeight="1" x14ac:dyDescent="0.2">
      <c r="A1024" s="141"/>
      <c r="B1024" s="141"/>
      <c r="C1024" s="141"/>
      <c r="D1024" s="141"/>
      <c r="E1024" s="1014"/>
      <c r="F1024" s="1014"/>
      <c r="G1024" s="1027"/>
      <c r="H1024" s="1027"/>
      <c r="I1024" s="1174"/>
      <c r="J1024" s="1174"/>
      <c r="K1024" s="1174"/>
      <c r="L1024" s="1172"/>
      <c r="M1024" s="1172"/>
      <c r="N1024" s="1175"/>
      <c r="O1024" s="143"/>
      <c r="P1024" s="1196"/>
      <c r="Q1024" s="141"/>
      <c r="R1024" s="141"/>
      <c r="S1024" s="148"/>
      <c r="T1024" s="419"/>
      <c r="U1024" s="559"/>
      <c r="V1024" s="141"/>
      <c r="W1024" s="141"/>
      <c r="X1024" s="141"/>
      <c r="Y1024" s="144"/>
      <c r="Z1024" s="141"/>
      <c r="AA1024" s="141"/>
      <c r="AB1024" s="141"/>
      <c r="AC1024" s="141"/>
      <c r="AD1024" s="141"/>
      <c r="AE1024" s="141"/>
      <c r="AF1024" s="145"/>
      <c r="AG1024" s="419"/>
    </row>
    <row r="1025" spans="1:33" s="139" customFormat="1" ht="12.75" customHeight="1" x14ac:dyDescent="0.2">
      <c r="A1025" s="141"/>
      <c r="B1025" s="141"/>
      <c r="C1025" s="141"/>
      <c r="D1025" s="141"/>
      <c r="E1025" s="1014"/>
      <c r="F1025" s="1014"/>
      <c r="G1025" s="1027"/>
      <c r="H1025" s="1027"/>
      <c r="I1025" s="1174"/>
      <c r="J1025" s="1174"/>
      <c r="K1025" s="1174"/>
      <c r="L1025" s="1172"/>
      <c r="M1025" s="1172"/>
      <c r="N1025" s="1175"/>
      <c r="O1025" s="143"/>
      <c r="P1025" s="1196"/>
      <c r="Q1025" s="141"/>
      <c r="R1025" s="141"/>
      <c r="S1025" s="148"/>
      <c r="T1025" s="419"/>
      <c r="U1025" s="559"/>
      <c r="V1025" s="141"/>
      <c r="W1025" s="141"/>
      <c r="X1025" s="141"/>
      <c r="Y1025" s="144"/>
      <c r="Z1025" s="141"/>
      <c r="AA1025" s="141"/>
      <c r="AB1025" s="141"/>
      <c r="AC1025" s="141"/>
      <c r="AD1025" s="141"/>
      <c r="AE1025" s="141"/>
      <c r="AF1025" s="145"/>
      <c r="AG1025" s="419"/>
    </row>
    <row r="1026" spans="1:33" s="139" customFormat="1" ht="12.75" customHeight="1" x14ac:dyDescent="0.2">
      <c r="A1026" s="141"/>
      <c r="B1026" s="141"/>
      <c r="C1026" s="141"/>
      <c r="D1026" s="141"/>
      <c r="E1026" s="1014"/>
      <c r="F1026" s="1014"/>
      <c r="G1026" s="1027"/>
      <c r="H1026" s="1027"/>
      <c r="I1026" s="1174"/>
      <c r="J1026" s="1174"/>
      <c r="K1026" s="1174"/>
      <c r="L1026" s="1172"/>
      <c r="M1026" s="1172"/>
      <c r="N1026" s="1175"/>
      <c r="O1026" s="143"/>
      <c r="P1026" s="1196"/>
      <c r="Q1026" s="141"/>
      <c r="R1026" s="141"/>
      <c r="S1026" s="148"/>
      <c r="T1026" s="419"/>
      <c r="U1026" s="559"/>
      <c r="V1026" s="141"/>
      <c r="W1026" s="141"/>
      <c r="X1026" s="141"/>
      <c r="Y1026" s="144"/>
      <c r="Z1026" s="141"/>
      <c r="AA1026" s="141"/>
      <c r="AB1026" s="141"/>
      <c r="AC1026" s="141"/>
      <c r="AD1026" s="141"/>
      <c r="AE1026" s="141"/>
      <c r="AF1026" s="145"/>
      <c r="AG1026" s="419"/>
    </row>
    <row r="1027" spans="1:33" s="139" customFormat="1" ht="12.75" customHeight="1" x14ac:dyDescent="0.2">
      <c r="A1027" s="141"/>
      <c r="B1027" s="141"/>
      <c r="C1027" s="141"/>
      <c r="D1027" s="141"/>
      <c r="E1027" s="1014"/>
      <c r="F1027" s="1014"/>
      <c r="G1027" s="1027"/>
      <c r="H1027" s="1027"/>
      <c r="I1027" s="1174"/>
      <c r="J1027" s="1174"/>
      <c r="K1027" s="1174"/>
      <c r="L1027" s="1172"/>
      <c r="M1027" s="1172"/>
      <c r="N1027" s="1175"/>
      <c r="O1027" s="143"/>
      <c r="P1027" s="1196"/>
      <c r="Q1027" s="141"/>
      <c r="R1027" s="141"/>
      <c r="S1027" s="148"/>
      <c r="T1027" s="419"/>
      <c r="U1027" s="559"/>
      <c r="V1027" s="141"/>
      <c r="W1027" s="141"/>
      <c r="X1027" s="141"/>
      <c r="Y1027" s="144"/>
      <c r="Z1027" s="141"/>
      <c r="AA1027" s="141"/>
      <c r="AB1027" s="141"/>
      <c r="AC1027" s="141"/>
      <c r="AD1027" s="141"/>
      <c r="AE1027" s="141"/>
      <c r="AF1027" s="145"/>
      <c r="AG1027" s="419"/>
    </row>
    <row r="1028" spans="1:33" s="139" customFormat="1" ht="12.75" customHeight="1" x14ac:dyDescent="0.2">
      <c r="A1028" s="141"/>
      <c r="B1028" s="141"/>
      <c r="C1028" s="141"/>
      <c r="D1028" s="141"/>
      <c r="E1028" s="1014"/>
      <c r="F1028" s="1014"/>
      <c r="G1028" s="1027"/>
      <c r="H1028" s="1027"/>
      <c r="I1028" s="1174"/>
      <c r="J1028" s="1174"/>
      <c r="K1028" s="1174"/>
      <c r="L1028" s="1172"/>
      <c r="M1028" s="1172"/>
      <c r="N1028" s="1175"/>
      <c r="O1028" s="143"/>
      <c r="P1028" s="1196"/>
      <c r="Q1028" s="141"/>
      <c r="R1028" s="141"/>
      <c r="S1028" s="148"/>
      <c r="T1028" s="419"/>
      <c r="U1028" s="559"/>
      <c r="V1028" s="141"/>
      <c r="W1028" s="141"/>
      <c r="X1028" s="141"/>
      <c r="Y1028" s="144"/>
      <c r="Z1028" s="141"/>
      <c r="AA1028" s="141"/>
      <c r="AB1028" s="141"/>
      <c r="AC1028" s="141"/>
      <c r="AD1028" s="141"/>
      <c r="AE1028" s="141"/>
      <c r="AF1028" s="145"/>
      <c r="AG1028" s="419"/>
    </row>
    <row r="1029" spans="1:33" s="139" customFormat="1" ht="12.75" customHeight="1" x14ac:dyDescent="0.2">
      <c r="A1029" s="141"/>
      <c r="B1029" s="141"/>
      <c r="C1029" s="141"/>
      <c r="D1029" s="141"/>
      <c r="E1029" s="1014"/>
      <c r="F1029" s="1014"/>
      <c r="G1029" s="1027"/>
      <c r="H1029" s="1027"/>
      <c r="I1029" s="1174"/>
      <c r="J1029" s="1174"/>
      <c r="K1029" s="1174"/>
      <c r="L1029" s="1172"/>
      <c r="M1029" s="1172"/>
      <c r="N1029" s="1175"/>
      <c r="O1029" s="143"/>
      <c r="P1029" s="1196"/>
      <c r="Q1029" s="141"/>
      <c r="R1029" s="141"/>
      <c r="S1029" s="148"/>
      <c r="T1029" s="419"/>
      <c r="U1029" s="559"/>
      <c r="V1029" s="141"/>
      <c r="W1029" s="141"/>
      <c r="X1029" s="141"/>
      <c r="Y1029" s="144"/>
      <c r="Z1029" s="141"/>
      <c r="AA1029" s="141"/>
      <c r="AB1029" s="141"/>
      <c r="AC1029" s="141"/>
      <c r="AD1029" s="141"/>
      <c r="AE1029" s="141"/>
      <c r="AF1029" s="145"/>
      <c r="AG1029" s="419"/>
    </row>
    <row r="1030" spans="1:33" s="139" customFormat="1" ht="12.75" customHeight="1" x14ac:dyDescent="0.2">
      <c r="A1030" s="141"/>
      <c r="B1030" s="141"/>
      <c r="C1030" s="141"/>
      <c r="D1030" s="141"/>
      <c r="E1030" s="1014"/>
      <c r="F1030" s="1014"/>
      <c r="G1030" s="1027"/>
      <c r="H1030" s="1027"/>
      <c r="I1030" s="1174"/>
      <c r="J1030" s="1174"/>
      <c r="K1030" s="1174"/>
      <c r="L1030" s="1172"/>
      <c r="M1030" s="1172"/>
      <c r="N1030" s="1175"/>
      <c r="O1030" s="143"/>
      <c r="P1030" s="1196"/>
      <c r="Q1030" s="141"/>
      <c r="R1030" s="141"/>
      <c r="S1030" s="148"/>
      <c r="T1030" s="419"/>
      <c r="U1030" s="559"/>
      <c r="V1030" s="141"/>
      <c r="W1030" s="141"/>
      <c r="X1030" s="141"/>
      <c r="Y1030" s="144"/>
      <c r="Z1030" s="141"/>
      <c r="AA1030" s="141"/>
      <c r="AB1030" s="141"/>
      <c r="AC1030" s="141"/>
      <c r="AD1030" s="141"/>
      <c r="AE1030" s="141"/>
      <c r="AF1030" s="145"/>
      <c r="AG1030" s="419"/>
    </row>
    <row r="1031" spans="1:33" s="139" customFormat="1" ht="12.75" customHeight="1" x14ac:dyDescent="0.2">
      <c r="A1031" s="141"/>
      <c r="B1031" s="141"/>
      <c r="C1031" s="141"/>
      <c r="D1031" s="141"/>
      <c r="E1031" s="1014"/>
      <c r="F1031" s="1014"/>
      <c r="G1031" s="1027"/>
      <c r="H1031" s="1027"/>
      <c r="I1031" s="1174"/>
      <c r="J1031" s="1174"/>
      <c r="K1031" s="1174"/>
      <c r="L1031" s="1172"/>
      <c r="M1031" s="1172"/>
      <c r="N1031" s="1175"/>
      <c r="O1031" s="143"/>
      <c r="P1031" s="1196"/>
      <c r="Q1031" s="141"/>
      <c r="R1031" s="141"/>
      <c r="S1031" s="148"/>
      <c r="T1031" s="419"/>
      <c r="U1031" s="559"/>
      <c r="V1031" s="141"/>
      <c r="W1031" s="141"/>
      <c r="X1031" s="141"/>
      <c r="Y1031" s="144"/>
      <c r="Z1031" s="141"/>
      <c r="AA1031" s="141"/>
      <c r="AB1031" s="141"/>
      <c r="AC1031" s="141"/>
      <c r="AD1031" s="141"/>
      <c r="AE1031" s="141"/>
      <c r="AF1031" s="145"/>
      <c r="AG1031" s="419"/>
    </row>
    <row r="1032" spans="1:33" s="139" customFormat="1" ht="12.75" customHeight="1" x14ac:dyDescent="0.2">
      <c r="A1032" s="141"/>
      <c r="B1032" s="141"/>
      <c r="C1032" s="141"/>
      <c r="D1032" s="141"/>
      <c r="E1032" s="1014"/>
      <c r="F1032" s="1014"/>
      <c r="G1032" s="1027"/>
      <c r="H1032" s="1027"/>
      <c r="I1032" s="1174"/>
      <c r="J1032" s="1174"/>
      <c r="K1032" s="1174"/>
      <c r="L1032" s="1172"/>
      <c r="M1032" s="1172"/>
      <c r="N1032" s="1175"/>
      <c r="O1032" s="143"/>
      <c r="P1032" s="1196"/>
      <c r="Q1032" s="141"/>
      <c r="R1032" s="141"/>
      <c r="S1032" s="148"/>
      <c r="T1032" s="419"/>
      <c r="U1032" s="559"/>
      <c r="V1032" s="141"/>
      <c r="W1032" s="141"/>
      <c r="X1032" s="141"/>
      <c r="Y1032" s="144"/>
      <c r="Z1032" s="141"/>
      <c r="AA1032" s="141"/>
      <c r="AB1032" s="141"/>
      <c r="AC1032" s="141"/>
      <c r="AD1032" s="141"/>
      <c r="AE1032" s="141"/>
      <c r="AF1032" s="145"/>
      <c r="AG1032" s="419"/>
    </row>
    <row r="1033" spans="1:33" s="139" customFormat="1" ht="12.75" customHeight="1" x14ac:dyDescent="0.2">
      <c r="A1033" s="141"/>
      <c r="B1033" s="141"/>
      <c r="C1033" s="141"/>
      <c r="D1033" s="141"/>
      <c r="E1033" s="1014"/>
      <c r="F1033" s="1014"/>
      <c r="G1033" s="1027"/>
      <c r="H1033" s="1027"/>
      <c r="I1033" s="1174"/>
      <c r="J1033" s="1174"/>
      <c r="K1033" s="1174"/>
      <c r="L1033" s="1172"/>
      <c r="M1033" s="1172"/>
      <c r="N1033" s="1175"/>
      <c r="O1033" s="143"/>
      <c r="P1033" s="1196"/>
      <c r="Q1033" s="141"/>
      <c r="R1033" s="141"/>
      <c r="S1033" s="148"/>
      <c r="T1033" s="419"/>
      <c r="U1033" s="559"/>
      <c r="V1033" s="141"/>
      <c r="W1033" s="141"/>
      <c r="X1033" s="141"/>
      <c r="Y1033" s="144"/>
      <c r="Z1033" s="141"/>
      <c r="AA1033" s="141"/>
      <c r="AB1033" s="141"/>
      <c r="AC1033" s="141"/>
      <c r="AD1033" s="141"/>
      <c r="AE1033" s="141"/>
      <c r="AF1033" s="145"/>
      <c r="AG1033" s="419"/>
    </row>
    <row r="1034" spans="1:33" s="139" customFormat="1" ht="12.75" customHeight="1" x14ac:dyDescent="0.2">
      <c r="A1034" s="141"/>
      <c r="B1034" s="141"/>
      <c r="C1034" s="141"/>
      <c r="D1034" s="141"/>
      <c r="E1034" s="1014"/>
      <c r="F1034" s="1014"/>
      <c r="G1034" s="1027"/>
      <c r="H1034" s="1027"/>
      <c r="I1034" s="1174"/>
      <c r="J1034" s="1174"/>
      <c r="K1034" s="1174"/>
      <c r="L1034" s="1172"/>
      <c r="M1034" s="1172"/>
      <c r="N1034" s="1175"/>
      <c r="O1034" s="143"/>
      <c r="P1034" s="1196"/>
      <c r="Q1034" s="141"/>
      <c r="R1034" s="141"/>
      <c r="S1034" s="148"/>
      <c r="T1034" s="419"/>
      <c r="U1034" s="559"/>
      <c r="V1034" s="141"/>
      <c r="W1034" s="141"/>
      <c r="X1034" s="141"/>
      <c r="Y1034" s="144"/>
      <c r="Z1034" s="141"/>
      <c r="AA1034" s="141"/>
      <c r="AB1034" s="141"/>
      <c r="AC1034" s="141"/>
      <c r="AD1034" s="141"/>
      <c r="AE1034" s="141"/>
      <c r="AF1034" s="145"/>
      <c r="AG1034" s="419"/>
    </row>
    <row r="1035" spans="1:33" s="139" customFormat="1" ht="12.75" customHeight="1" x14ac:dyDescent="0.2">
      <c r="A1035" s="141"/>
      <c r="B1035" s="141"/>
      <c r="C1035" s="141"/>
      <c r="D1035" s="141"/>
      <c r="E1035" s="1014"/>
      <c r="F1035" s="1014"/>
      <c r="G1035" s="1027"/>
      <c r="H1035" s="1027"/>
      <c r="I1035" s="1174"/>
      <c r="J1035" s="1174"/>
      <c r="K1035" s="1174"/>
      <c r="L1035" s="1172"/>
      <c r="M1035" s="1172"/>
      <c r="N1035" s="1175"/>
      <c r="O1035" s="143"/>
      <c r="P1035" s="1196"/>
      <c r="Q1035" s="141"/>
      <c r="R1035" s="141"/>
      <c r="S1035" s="148"/>
      <c r="T1035" s="419"/>
      <c r="U1035" s="559"/>
      <c r="V1035" s="141"/>
      <c r="W1035" s="141"/>
      <c r="X1035" s="141"/>
      <c r="Y1035" s="144"/>
      <c r="Z1035" s="141"/>
      <c r="AA1035" s="141"/>
      <c r="AB1035" s="141"/>
      <c r="AC1035" s="141"/>
      <c r="AD1035" s="141"/>
      <c r="AE1035" s="141"/>
      <c r="AF1035" s="145"/>
      <c r="AG1035" s="419"/>
    </row>
    <row r="1036" spans="1:33" s="139" customFormat="1" ht="12.75" customHeight="1" x14ac:dyDescent="0.2">
      <c r="A1036" s="141"/>
      <c r="B1036" s="141"/>
      <c r="C1036" s="141"/>
      <c r="D1036" s="141"/>
      <c r="E1036" s="1014"/>
      <c r="F1036" s="1014"/>
      <c r="G1036" s="1027"/>
      <c r="H1036" s="1027"/>
      <c r="I1036" s="1174"/>
      <c r="J1036" s="1174"/>
      <c r="K1036" s="1174"/>
      <c r="L1036" s="1172"/>
      <c r="M1036" s="1172"/>
      <c r="N1036" s="1175"/>
      <c r="O1036" s="143"/>
      <c r="P1036" s="1196"/>
      <c r="Q1036" s="141"/>
      <c r="R1036" s="141"/>
      <c r="S1036" s="148"/>
      <c r="T1036" s="419"/>
      <c r="U1036" s="559"/>
      <c r="V1036" s="141"/>
      <c r="W1036" s="141"/>
      <c r="X1036" s="141"/>
      <c r="Y1036" s="144"/>
      <c r="Z1036" s="141"/>
      <c r="AA1036" s="141"/>
      <c r="AB1036" s="141"/>
      <c r="AC1036" s="141"/>
      <c r="AD1036" s="141"/>
      <c r="AE1036" s="141"/>
      <c r="AF1036" s="145"/>
      <c r="AG1036" s="419"/>
    </row>
    <row r="1037" spans="1:33" s="139" customFormat="1" ht="12.75" customHeight="1" x14ac:dyDescent="0.2">
      <c r="A1037" s="141"/>
      <c r="B1037" s="141"/>
      <c r="C1037" s="141"/>
      <c r="D1037" s="141"/>
      <c r="E1037" s="1014"/>
      <c r="F1037" s="1014"/>
      <c r="G1037" s="1027"/>
      <c r="H1037" s="1027"/>
      <c r="I1037" s="1174"/>
      <c r="J1037" s="1174"/>
      <c r="K1037" s="1174"/>
      <c r="L1037" s="1172"/>
      <c r="M1037" s="1172"/>
      <c r="N1037" s="1175"/>
      <c r="O1037" s="143"/>
      <c r="P1037" s="1196"/>
      <c r="Q1037" s="141"/>
      <c r="R1037" s="141"/>
      <c r="S1037" s="148"/>
      <c r="T1037" s="419"/>
      <c r="U1037" s="559"/>
      <c r="V1037" s="141"/>
      <c r="W1037" s="141"/>
      <c r="X1037" s="141"/>
      <c r="Y1037" s="144"/>
      <c r="Z1037" s="141"/>
      <c r="AA1037" s="141"/>
      <c r="AB1037" s="141"/>
      <c r="AC1037" s="141"/>
      <c r="AD1037" s="141"/>
      <c r="AE1037" s="141"/>
      <c r="AF1037" s="145"/>
      <c r="AG1037" s="419"/>
    </row>
    <row r="1038" spans="1:33" s="139" customFormat="1" ht="12.75" customHeight="1" x14ac:dyDescent="0.2">
      <c r="A1038" s="141"/>
      <c r="B1038" s="141"/>
      <c r="C1038" s="141"/>
      <c r="D1038" s="141"/>
      <c r="E1038" s="1014"/>
      <c r="F1038" s="1014"/>
      <c r="G1038" s="1027"/>
      <c r="H1038" s="1027"/>
      <c r="I1038" s="1174"/>
      <c r="J1038" s="1174"/>
      <c r="K1038" s="1174"/>
      <c r="L1038" s="1172"/>
      <c r="M1038" s="1172"/>
      <c r="N1038" s="1175"/>
      <c r="O1038" s="143"/>
      <c r="P1038" s="1196"/>
      <c r="Q1038" s="141"/>
      <c r="R1038" s="141"/>
      <c r="S1038" s="148"/>
      <c r="T1038" s="419"/>
      <c r="U1038" s="559"/>
      <c r="V1038" s="141"/>
      <c r="W1038" s="141"/>
      <c r="X1038" s="141"/>
      <c r="Y1038" s="144"/>
      <c r="Z1038" s="141"/>
      <c r="AA1038" s="141"/>
      <c r="AB1038" s="141"/>
      <c r="AC1038" s="141"/>
      <c r="AD1038" s="141"/>
      <c r="AE1038" s="141"/>
      <c r="AF1038" s="145"/>
      <c r="AG1038" s="419"/>
    </row>
    <row r="1039" spans="1:33" s="139" customFormat="1" ht="12.75" customHeight="1" x14ac:dyDescent="0.2">
      <c r="A1039" s="141"/>
      <c r="B1039" s="141"/>
      <c r="C1039" s="141"/>
      <c r="D1039" s="141"/>
      <c r="E1039" s="1014"/>
      <c r="F1039" s="1014"/>
      <c r="G1039" s="1027"/>
      <c r="H1039" s="1027"/>
      <c r="I1039" s="1174"/>
      <c r="J1039" s="1174"/>
      <c r="K1039" s="1174"/>
      <c r="L1039" s="1172"/>
      <c r="M1039" s="1172"/>
      <c r="N1039" s="1175"/>
      <c r="O1039" s="143"/>
      <c r="P1039" s="1196"/>
      <c r="Q1039" s="141"/>
      <c r="R1039" s="141"/>
      <c r="S1039" s="148"/>
      <c r="T1039" s="419"/>
      <c r="U1039" s="559"/>
      <c r="V1039" s="141"/>
      <c r="W1039" s="141"/>
      <c r="X1039" s="141"/>
      <c r="Y1039" s="144"/>
      <c r="Z1039" s="141"/>
      <c r="AA1039" s="141"/>
      <c r="AB1039" s="141"/>
      <c r="AC1039" s="141"/>
      <c r="AD1039" s="141"/>
      <c r="AE1039" s="141"/>
      <c r="AF1039" s="145"/>
      <c r="AG1039" s="419"/>
    </row>
    <row r="1040" spans="1:33" s="139" customFormat="1" ht="12.75" customHeight="1" x14ac:dyDescent="0.2">
      <c r="A1040" s="141"/>
      <c r="B1040" s="141"/>
      <c r="C1040" s="141"/>
      <c r="D1040" s="141"/>
      <c r="E1040" s="1014"/>
      <c r="F1040" s="1014"/>
      <c r="G1040" s="1027"/>
      <c r="H1040" s="1027"/>
      <c r="I1040" s="1174"/>
      <c r="J1040" s="1174"/>
      <c r="K1040" s="1174"/>
      <c r="L1040" s="1172"/>
      <c r="M1040" s="1172"/>
      <c r="N1040" s="1175"/>
      <c r="O1040" s="143"/>
      <c r="P1040" s="1196"/>
      <c r="Q1040" s="141"/>
      <c r="R1040" s="141"/>
      <c r="S1040" s="148"/>
      <c r="T1040" s="419"/>
      <c r="U1040" s="559"/>
      <c r="V1040" s="141"/>
      <c r="W1040" s="141"/>
      <c r="X1040" s="141"/>
      <c r="Y1040" s="144"/>
      <c r="Z1040" s="141"/>
      <c r="AA1040" s="141"/>
      <c r="AB1040" s="141"/>
      <c r="AC1040" s="141"/>
      <c r="AD1040" s="141"/>
      <c r="AE1040" s="141"/>
      <c r="AF1040" s="145"/>
      <c r="AG1040" s="419"/>
    </row>
    <row r="1041" spans="1:33" s="139" customFormat="1" ht="12.75" customHeight="1" x14ac:dyDescent="0.2">
      <c r="A1041" s="141"/>
      <c r="B1041" s="141"/>
      <c r="C1041" s="141"/>
      <c r="D1041" s="141"/>
      <c r="E1041" s="1014"/>
      <c r="F1041" s="1014"/>
      <c r="G1041" s="1027"/>
      <c r="H1041" s="1027"/>
      <c r="I1041" s="1174"/>
      <c r="J1041" s="1174"/>
      <c r="K1041" s="1174"/>
      <c r="L1041" s="1172"/>
      <c r="M1041" s="1172"/>
      <c r="N1041" s="1175"/>
      <c r="O1041" s="143"/>
      <c r="P1041" s="1196"/>
      <c r="Q1041" s="141"/>
      <c r="R1041" s="141"/>
      <c r="S1041" s="148"/>
      <c r="T1041" s="419"/>
      <c r="U1041" s="559"/>
      <c r="V1041" s="141"/>
      <c r="W1041" s="141"/>
      <c r="X1041" s="141"/>
      <c r="Y1041" s="144"/>
      <c r="Z1041" s="141"/>
      <c r="AA1041" s="141"/>
      <c r="AB1041" s="141"/>
      <c r="AC1041" s="141"/>
      <c r="AD1041" s="141"/>
      <c r="AE1041" s="141"/>
      <c r="AF1041" s="145"/>
      <c r="AG1041" s="419"/>
    </row>
    <row r="1042" spans="1:33" s="139" customFormat="1" ht="12.75" customHeight="1" x14ac:dyDescent="0.2">
      <c r="A1042" s="141"/>
      <c r="B1042" s="141"/>
      <c r="C1042" s="141"/>
      <c r="D1042" s="141"/>
      <c r="E1042" s="1014"/>
      <c r="F1042" s="1014"/>
      <c r="G1042" s="1027"/>
      <c r="H1042" s="1027"/>
      <c r="I1042" s="1174"/>
      <c r="J1042" s="1174"/>
      <c r="K1042" s="1174"/>
      <c r="L1042" s="1172"/>
      <c r="M1042" s="1172"/>
      <c r="N1042" s="1175"/>
      <c r="O1042" s="143"/>
      <c r="P1042" s="1196"/>
      <c r="Q1042" s="141"/>
      <c r="R1042" s="141"/>
      <c r="S1042" s="148"/>
      <c r="T1042" s="419"/>
      <c r="U1042" s="559"/>
      <c r="V1042" s="141"/>
      <c r="W1042" s="141"/>
      <c r="X1042" s="141"/>
      <c r="Y1042" s="144"/>
      <c r="Z1042" s="141"/>
      <c r="AA1042" s="141"/>
      <c r="AB1042" s="141"/>
      <c r="AC1042" s="141"/>
      <c r="AD1042" s="141"/>
      <c r="AE1042" s="141"/>
      <c r="AF1042" s="145"/>
      <c r="AG1042" s="419"/>
    </row>
    <row r="1043" spans="1:33" s="139" customFormat="1" ht="12.75" customHeight="1" x14ac:dyDescent="0.2">
      <c r="A1043" s="141"/>
      <c r="B1043" s="141"/>
      <c r="C1043" s="141"/>
      <c r="D1043" s="141"/>
      <c r="E1043" s="1014"/>
      <c r="F1043" s="1014"/>
      <c r="G1043" s="1027"/>
      <c r="H1043" s="1027"/>
      <c r="I1043" s="1174"/>
      <c r="J1043" s="1174"/>
      <c r="K1043" s="1174"/>
      <c r="L1043" s="1172"/>
      <c r="M1043" s="1172"/>
      <c r="N1043" s="1175"/>
      <c r="O1043" s="143"/>
      <c r="P1043" s="1196"/>
      <c r="Q1043" s="141"/>
      <c r="R1043" s="141"/>
      <c r="S1043" s="148"/>
      <c r="T1043" s="419"/>
      <c r="U1043" s="559"/>
      <c r="V1043" s="141"/>
      <c r="W1043" s="141"/>
      <c r="X1043" s="141"/>
      <c r="Y1043" s="144"/>
      <c r="Z1043" s="141"/>
      <c r="AA1043" s="141"/>
      <c r="AB1043" s="141"/>
      <c r="AC1043" s="141"/>
      <c r="AD1043" s="141"/>
      <c r="AE1043" s="141"/>
      <c r="AF1043" s="145"/>
      <c r="AG1043" s="419"/>
    </row>
    <row r="1044" spans="1:33" s="139" customFormat="1" ht="12.75" customHeight="1" x14ac:dyDescent="0.2">
      <c r="A1044" s="141"/>
      <c r="B1044" s="141"/>
      <c r="C1044" s="141"/>
      <c r="D1044" s="141"/>
      <c r="E1044" s="1014"/>
      <c r="F1044" s="1014"/>
      <c r="G1044" s="1027"/>
      <c r="H1044" s="1027"/>
      <c r="I1044" s="1174"/>
      <c r="J1044" s="1174"/>
      <c r="K1044" s="1174"/>
      <c r="L1044" s="1172"/>
      <c r="M1044" s="1172"/>
      <c r="N1044" s="1175"/>
      <c r="O1044" s="143"/>
      <c r="P1044" s="1196"/>
      <c r="Q1044" s="141"/>
      <c r="R1044" s="141"/>
      <c r="S1044" s="148"/>
      <c r="T1044" s="419"/>
      <c r="U1044" s="559"/>
      <c r="V1044" s="141"/>
      <c r="W1044" s="141"/>
      <c r="X1044" s="141"/>
      <c r="Y1044" s="144"/>
      <c r="Z1044" s="141"/>
      <c r="AA1044" s="141"/>
      <c r="AB1044" s="141"/>
      <c r="AC1044" s="141"/>
      <c r="AD1044" s="141"/>
      <c r="AE1044" s="141"/>
      <c r="AF1044" s="145"/>
      <c r="AG1044" s="419"/>
    </row>
    <row r="1045" spans="1:33" s="139" customFormat="1" ht="12.75" customHeight="1" x14ac:dyDescent="0.2">
      <c r="A1045" s="141"/>
      <c r="B1045" s="141"/>
      <c r="C1045" s="141"/>
      <c r="D1045" s="141"/>
      <c r="E1045" s="1014"/>
      <c r="F1045" s="1014"/>
      <c r="G1045" s="1027"/>
      <c r="H1045" s="1027"/>
      <c r="I1045" s="1174"/>
      <c r="J1045" s="1174"/>
      <c r="K1045" s="1174"/>
      <c r="L1045" s="1172"/>
      <c r="M1045" s="1172"/>
      <c r="N1045" s="1175"/>
      <c r="O1045" s="143"/>
      <c r="P1045" s="1196"/>
      <c r="Q1045" s="141"/>
      <c r="R1045" s="141"/>
      <c r="S1045" s="148"/>
      <c r="T1045" s="419"/>
      <c r="U1045" s="559"/>
      <c r="V1045" s="141"/>
      <c r="W1045" s="141"/>
      <c r="X1045" s="141"/>
      <c r="Y1045" s="144"/>
      <c r="Z1045" s="141"/>
      <c r="AA1045" s="141"/>
      <c r="AB1045" s="141"/>
      <c r="AC1045" s="141"/>
      <c r="AD1045" s="141"/>
      <c r="AE1045" s="141"/>
      <c r="AF1045" s="145"/>
      <c r="AG1045" s="419"/>
    </row>
    <row r="1046" spans="1:33" s="139" customFormat="1" ht="12.75" customHeight="1" x14ac:dyDescent="0.2">
      <c r="A1046" s="141"/>
      <c r="B1046" s="141"/>
      <c r="C1046" s="141"/>
      <c r="D1046" s="141"/>
      <c r="E1046" s="1014"/>
      <c r="F1046" s="1014"/>
      <c r="G1046" s="1027"/>
      <c r="H1046" s="1027"/>
      <c r="I1046" s="1174"/>
      <c r="J1046" s="1174"/>
      <c r="K1046" s="1174"/>
      <c r="L1046" s="1172"/>
      <c r="M1046" s="1172"/>
      <c r="N1046" s="1175"/>
      <c r="O1046" s="143"/>
      <c r="P1046" s="1196"/>
      <c r="Q1046" s="141"/>
      <c r="R1046" s="141"/>
      <c r="S1046" s="148"/>
      <c r="T1046" s="419"/>
      <c r="U1046" s="559"/>
      <c r="V1046" s="141"/>
      <c r="W1046" s="141"/>
      <c r="X1046" s="141"/>
      <c r="Y1046" s="144"/>
      <c r="Z1046" s="141"/>
      <c r="AA1046" s="141"/>
      <c r="AB1046" s="141"/>
      <c r="AC1046" s="141"/>
      <c r="AD1046" s="141"/>
      <c r="AE1046" s="141"/>
      <c r="AF1046" s="145"/>
      <c r="AG1046" s="419"/>
    </row>
    <row r="1047" spans="1:33" s="139" customFormat="1" ht="12.75" customHeight="1" x14ac:dyDescent="0.2">
      <c r="A1047" s="141"/>
      <c r="B1047" s="141"/>
      <c r="C1047" s="141"/>
      <c r="D1047" s="141"/>
      <c r="E1047" s="1014"/>
      <c r="F1047" s="1014"/>
      <c r="G1047" s="1027"/>
      <c r="H1047" s="1027"/>
      <c r="I1047" s="1174"/>
      <c r="J1047" s="1174"/>
      <c r="K1047" s="1174"/>
      <c r="L1047" s="1172"/>
      <c r="M1047" s="1172"/>
      <c r="N1047" s="1175"/>
      <c r="O1047" s="143"/>
      <c r="P1047" s="1196"/>
      <c r="Q1047" s="141"/>
      <c r="R1047" s="141"/>
      <c r="S1047" s="148"/>
      <c r="T1047" s="419"/>
      <c r="U1047" s="559"/>
      <c r="V1047" s="141"/>
      <c r="W1047" s="141"/>
      <c r="X1047" s="141"/>
      <c r="Y1047" s="144"/>
      <c r="Z1047" s="141"/>
      <c r="AA1047" s="141"/>
      <c r="AB1047" s="141"/>
      <c r="AC1047" s="141"/>
      <c r="AD1047" s="141"/>
      <c r="AE1047" s="141"/>
      <c r="AF1047" s="145"/>
      <c r="AG1047" s="419"/>
    </row>
    <row r="1048" spans="1:33" s="139" customFormat="1" ht="12.75" customHeight="1" x14ac:dyDescent="0.2">
      <c r="A1048" s="141"/>
      <c r="B1048" s="141"/>
      <c r="C1048" s="141"/>
      <c r="D1048" s="141"/>
      <c r="E1048" s="1014"/>
      <c r="F1048" s="1014"/>
      <c r="G1048" s="1027"/>
      <c r="H1048" s="1027"/>
      <c r="I1048" s="1174"/>
      <c r="J1048" s="1174"/>
      <c r="K1048" s="1174"/>
      <c r="L1048" s="1172"/>
      <c r="M1048" s="1172"/>
      <c r="N1048" s="1175"/>
      <c r="O1048" s="143"/>
      <c r="P1048" s="1196"/>
      <c r="Q1048" s="141"/>
      <c r="R1048" s="141"/>
      <c r="S1048" s="148"/>
      <c r="T1048" s="419"/>
      <c r="U1048" s="559"/>
      <c r="V1048" s="141"/>
      <c r="W1048" s="141"/>
      <c r="X1048" s="141"/>
      <c r="Y1048" s="144"/>
      <c r="Z1048" s="141"/>
      <c r="AA1048" s="141"/>
      <c r="AB1048" s="141"/>
      <c r="AC1048" s="141"/>
      <c r="AD1048" s="141"/>
      <c r="AE1048" s="141"/>
      <c r="AF1048" s="145"/>
      <c r="AG1048" s="419"/>
    </row>
    <row r="1049" spans="1:33" s="139" customFormat="1" ht="12.75" customHeight="1" x14ac:dyDescent="0.2">
      <c r="A1049" s="141"/>
      <c r="B1049" s="141"/>
      <c r="C1049" s="141"/>
      <c r="D1049" s="141"/>
      <c r="E1049" s="1014"/>
      <c r="F1049" s="1014"/>
      <c r="G1049" s="1027"/>
      <c r="H1049" s="1027"/>
      <c r="I1049" s="1174"/>
      <c r="J1049" s="1174"/>
      <c r="K1049" s="1174"/>
      <c r="L1049" s="1172"/>
      <c r="M1049" s="1172"/>
      <c r="N1049" s="1175"/>
      <c r="O1049" s="143"/>
      <c r="P1049" s="1196"/>
      <c r="Q1049" s="141"/>
      <c r="R1049" s="141"/>
      <c r="S1049" s="148"/>
      <c r="T1049" s="419"/>
      <c r="U1049" s="559"/>
      <c r="V1049" s="141"/>
      <c r="W1049" s="141"/>
      <c r="X1049" s="141"/>
      <c r="Y1049" s="144"/>
      <c r="Z1049" s="141"/>
      <c r="AA1049" s="141"/>
      <c r="AB1049" s="141"/>
      <c r="AC1049" s="141"/>
      <c r="AD1049" s="141"/>
      <c r="AE1049" s="141"/>
      <c r="AF1049" s="145"/>
      <c r="AG1049" s="419"/>
    </row>
    <row r="1050" spans="1:33" s="139" customFormat="1" ht="12.75" customHeight="1" x14ac:dyDescent="0.2">
      <c r="A1050" s="141"/>
      <c r="B1050" s="141"/>
      <c r="C1050" s="141"/>
      <c r="D1050" s="141"/>
      <c r="E1050" s="1014"/>
      <c r="F1050" s="1014"/>
      <c r="G1050" s="1027"/>
      <c r="H1050" s="1027"/>
      <c r="I1050" s="1174"/>
      <c r="J1050" s="1174"/>
      <c r="K1050" s="1174"/>
      <c r="L1050" s="1172"/>
      <c r="M1050" s="1172"/>
      <c r="N1050" s="1175"/>
      <c r="O1050" s="143"/>
      <c r="P1050" s="1196"/>
      <c r="Q1050" s="141"/>
      <c r="R1050" s="141"/>
      <c r="S1050" s="148"/>
      <c r="T1050" s="419"/>
      <c r="U1050" s="559"/>
      <c r="V1050" s="141"/>
      <c r="W1050" s="141"/>
      <c r="X1050" s="141"/>
      <c r="Y1050" s="144"/>
      <c r="Z1050" s="141"/>
      <c r="AA1050" s="141"/>
      <c r="AB1050" s="141"/>
      <c r="AC1050" s="141"/>
      <c r="AD1050" s="141"/>
      <c r="AE1050" s="141"/>
      <c r="AF1050" s="145"/>
      <c r="AG1050" s="419"/>
    </row>
    <row r="1051" spans="1:33" s="139" customFormat="1" ht="12.75" customHeight="1" x14ac:dyDescent="0.2">
      <c r="A1051" s="141"/>
      <c r="B1051" s="141"/>
      <c r="C1051" s="141"/>
      <c r="D1051" s="141"/>
      <c r="E1051" s="1014"/>
      <c r="F1051" s="1014"/>
      <c r="G1051" s="1027"/>
      <c r="H1051" s="1027"/>
      <c r="I1051" s="1174"/>
      <c r="J1051" s="1174"/>
      <c r="K1051" s="1174"/>
      <c r="L1051" s="1172"/>
      <c r="M1051" s="1172"/>
      <c r="N1051" s="1175"/>
      <c r="O1051" s="143"/>
      <c r="P1051" s="1196"/>
      <c r="Q1051" s="141"/>
      <c r="R1051" s="141"/>
      <c r="S1051" s="148"/>
      <c r="T1051" s="419"/>
      <c r="U1051" s="559"/>
      <c r="V1051" s="141"/>
      <c r="W1051" s="141"/>
      <c r="X1051" s="141"/>
      <c r="Y1051" s="144"/>
      <c r="Z1051" s="141"/>
      <c r="AA1051" s="141"/>
      <c r="AB1051" s="141"/>
      <c r="AC1051" s="141"/>
      <c r="AD1051" s="141"/>
      <c r="AE1051" s="141"/>
      <c r="AF1051" s="145"/>
      <c r="AG1051" s="419"/>
    </row>
    <row r="1052" spans="1:33" s="139" customFormat="1" ht="12.75" customHeight="1" x14ac:dyDescent="0.2">
      <c r="A1052" s="141"/>
      <c r="B1052" s="141"/>
      <c r="C1052" s="141"/>
      <c r="D1052" s="141"/>
      <c r="E1052" s="1014"/>
      <c r="F1052" s="1014"/>
      <c r="G1052" s="1027"/>
      <c r="H1052" s="1027"/>
      <c r="I1052" s="1174"/>
      <c r="J1052" s="1174"/>
      <c r="K1052" s="1174"/>
      <c r="L1052" s="1172"/>
      <c r="M1052" s="1172"/>
      <c r="N1052" s="1175"/>
      <c r="O1052" s="143"/>
      <c r="P1052" s="1196"/>
      <c r="Q1052" s="141"/>
      <c r="R1052" s="141"/>
      <c r="S1052" s="148"/>
      <c r="T1052" s="419"/>
      <c r="U1052" s="559"/>
      <c r="V1052" s="141"/>
      <c r="W1052" s="141"/>
      <c r="X1052" s="141"/>
      <c r="Y1052" s="144"/>
      <c r="Z1052" s="141"/>
      <c r="AA1052" s="141"/>
      <c r="AB1052" s="141"/>
      <c r="AC1052" s="141"/>
      <c r="AD1052" s="141"/>
      <c r="AE1052" s="141"/>
      <c r="AF1052" s="145"/>
      <c r="AG1052" s="419"/>
    </row>
    <row r="1053" spans="1:33" s="139" customFormat="1" ht="12.75" customHeight="1" x14ac:dyDescent="0.2">
      <c r="A1053" s="141"/>
      <c r="B1053" s="141"/>
      <c r="C1053" s="141"/>
      <c r="D1053" s="141"/>
      <c r="E1053" s="1014"/>
      <c r="F1053" s="1014"/>
      <c r="G1053" s="1027"/>
      <c r="H1053" s="1027"/>
      <c r="I1053" s="1174"/>
      <c r="J1053" s="1174"/>
      <c r="K1053" s="1174"/>
      <c r="L1053" s="1172"/>
      <c r="M1053" s="1172"/>
      <c r="N1053" s="1175"/>
      <c r="O1053" s="143"/>
      <c r="P1053" s="1196"/>
      <c r="Q1053" s="141"/>
      <c r="R1053" s="141"/>
      <c r="S1053" s="148"/>
      <c r="T1053" s="419"/>
      <c r="U1053" s="559"/>
      <c r="V1053" s="141"/>
      <c r="W1053" s="141"/>
      <c r="X1053" s="141"/>
      <c r="Y1053" s="144"/>
      <c r="Z1053" s="141"/>
      <c r="AA1053" s="141"/>
      <c r="AB1053" s="141"/>
      <c r="AC1053" s="141"/>
      <c r="AD1053" s="141"/>
      <c r="AE1053" s="141"/>
      <c r="AF1053" s="145"/>
      <c r="AG1053" s="419"/>
    </row>
    <row r="1054" spans="1:33" s="139" customFormat="1" ht="12.75" customHeight="1" x14ac:dyDescent="0.2">
      <c r="A1054" s="141"/>
      <c r="B1054" s="141"/>
      <c r="C1054" s="141"/>
      <c r="D1054" s="141"/>
      <c r="E1054" s="1014"/>
      <c r="F1054" s="1014"/>
      <c r="G1054" s="1027"/>
      <c r="H1054" s="1027"/>
      <c r="I1054" s="1174"/>
      <c r="J1054" s="1174"/>
      <c r="K1054" s="1174"/>
      <c r="L1054" s="1172"/>
      <c r="M1054" s="1172"/>
      <c r="N1054" s="1175"/>
      <c r="O1054" s="143"/>
      <c r="P1054" s="1196"/>
      <c r="Q1054" s="141"/>
      <c r="R1054" s="141"/>
      <c r="S1054" s="148"/>
      <c r="T1054" s="419"/>
      <c r="U1054" s="559"/>
      <c r="V1054" s="141"/>
      <c r="W1054" s="141"/>
      <c r="X1054" s="141"/>
      <c r="Y1054" s="144"/>
      <c r="Z1054" s="141"/>
      <c r="AA1054" s="141"/>
      <c r="AB1054" s="141"/>
      <c r="AC1054" s="141"/>
      <c r="AD1054" s="141"/>
      <c r="AE1054" s="141"/>
      <c r="AF1054" s="145"/>
      <c r="AG1054" s="419"/>
    </row>
    <row r="1055" spans="1:33" s="139" customFormat="1" ht="12.75" customHeight="1" x14ac:dyDescent="0.2">
      <c r="A1055" s="141"/>
      <c r="B1055" s="141"/>
      <c r="C1055" s="141"/>
      <c r="D1055" s="141"/>
      <c r="E1055" s="1014"/>
      <c r="F1055" s="1014"/>
      <c r="G1055" s="1027"/>
      <c r="H1055" s="1027"/>
      <c r="I1055" s="1174"/>
      <c r="J1055" s="1174"/>
      <c r="K1055" s="1174"/>
      <c r="L1055" s="1172"/>
      <c r="M1055" s="1172"/>
      <c r="N1055" s="1175"/>
      <c r="O1055" s="143"/>
      <c r="P1055" s="1196"/>
      <c r="Q1055" s="141"/>
      <c r="R1055" s="141"/>
      <c r="S1055" s="148"/>
      <c r="T1055" s="419"/>
      <c r="U1055" s="559"/>
      <c r="V1055" s="141"/>
      <c r="W1055" s="141"/>
      <c r="X1055" s="141"/>
      <c r="Y1055" s="144"/>
      <c r="Z1055" s="141"/>
      <c r="AA1055" s="141"/>
      <c r="AB1055" s="141"/>
      <c r="AC1055" s="141"/>
      <c r="AD1055" s="141"/>
      <c r="AE1055" s="141"/>
      <c r="AF1055" s="145"/>
      <c r="AG1055" s="419"/>
    </row>
    <row r="1056" spans="1:33" s="139" customFormat="1" ht="12.75" customHeight="1" x14ac:dyDescent="0.2">
      <c r="A1056" s="141"/>
      <c r="B1056" s="141"/>
      <c r="C1056" s="141"/>
      <c r="D1056" s="141"/>
      <c r="E1056" s="1014"/>
      <c r="F1056" s="1014"/>
      <c r="G1056" s="1027"/>
      <c r="H1056" s="1027"/>
      <c r="I1056" s="1174"/>
      <c r="J1056" s="1174"/>
      <c r="K1056" s="1174"/>
      <c r="L1056" s="1172"/>
      <c r="M1056" s="1172"/>
      <c r="N1056" s="1175"/>
      <c r="O1056" s="143"/>
      <c r="P1056" s="1196"/>
      <c r="Q1056" s="141"/>
      <c r="R1056" s="141"/>
      <c r="S1056" s="148"/>
      <c r="T1056" s="419"/>
      <c r="U1056" s="559"/>
      <c r="V1056" s="141"/>
      <c r="W1056" s="141"/>
      <c r="X1056" s="141"/>
      <c r="Y1056" s="144"/>
      <c r="Z1056" s="141"/>
      <c r="AA1056" s="141"/>
      <c r="AB1056" s="141"/>
      <c r="AC1056" s="141"/>
      <c r="AD1056" s="141"/>
      <c r="AE1056" s="141"/>
      <c r="AF1056" s="145"/>
      <c r="AG1056" s="419"/>
    </row>
    <row r="1057" spans="1:33" s="139" customFormat="1" ht="12.75" customHeight="1" x14ac:dyDescent="0.2">
      <c r="A1057" s="141"/>
      <c r="B1057" s="141"/>
      <c r="C1057" s="141"/>
      <c r="D1057" s="141"/>
      <c r="E1057" s="1014"/>
      <c r="F1057" s="1014"/>
      <c r="G1057" s="1027"/>
      <c r="H1057" s="1027"/>
      <c r="I1057" s="1174"/>
      <c r="J1057" s="1174"/>
      <c r="K1057" s="1174"/>
      <c r="L1057" s="1172"/>
      <c r="M1057" s="1172"/>
      <c r="N1057" s="1175"/>
      <c r="O1057" s="143"/>
      <c r="P1057" s="1196"/>
      <c r="Q1057" s="141"/>
      <c r="R1057" s="141"/>
      <c r="S1057" s="148"/>
      <c r="T1057" s="419"/>
      <c r="U1057" s="559"/>
      <c r="V1057" s="141"/>
      <c r="W1057" s="141"/>
      <c r="X1057" s="141"/>
      <c r="Y1057" s="144"/>
      <c r="Z1057" s="141"/>
      <c r="AA1057" s="141"/>
      <c r="AB1057" s="141"/>
      <c r="AC1057" s="141"/>
      <c r="AD1057" s="141"/>
      <c r="AE1057" s="141"/>
      <c r="AF1057" s="145"/>
      <c r="AG1057" s="419"/>
    </row>
    <row r="1058" spans="1:33" s="139" customFormat="1" ht="12.75" customHeight="1" x14ac:dyDescent="0.2">
      <c r="A1058" s="141"/>
      <c r="B1058" s="141"/>
      <c r="C1058" s="141"/>
      <c r="D1058" s="141"/>
      <c r="E1058" s="1014"/>
      <c r="F1058" s="1014"/>
      <c r="G1058" s="1027"/>
      <c r="H1058" s="1027"/>
      <c r="I1058" s="1174"/>
      <c r="J1058" s="1174"/>
      <c r="K1058" s="1174"/>
      <c r="L1058" s="1172"/>
      <c r="M1058" s="1172"/>
      <c r="N1058" s="1175"/>
      <c r="O1058" s="143"/>
      <c r="P1058" s="1196"/>
      <c r="Q1058" s="141"/>
      <c r="R1058" s="141"/>
      <c r="S1058" s="148"/>
      <c r="T1058" s="419"/>
      <c r="U1058" s="559"/>
      <c r="V1058" s="141"/>
      <c r="W1058" s="141"/>
      <c r="X1058" s="141"/>
      <c r="Y1058" s="144"/>
      <c r="Z1058" s="141"/>
      <c r="AA1058" s="141"/>
      <c r="AB1058" s="141"/>
      <c r="AC1058" s="141"/>
      <c r="AD1058" s="141"/>
      <c r="AE1058" s="141"/>
      <c r="AF1058" s="145"/>
      <c r="AG1058" s="419"/>
    </row>
    <row r="1059" spans="1:33" s="139" customFormat="1" ht="12.75" customHeight="1" x14ac:dyDescent="0.2">
      <c r="A1059" s="141"/>
      <c r="B1059" s="141"/>
      <c r="C1059" s="141"/>
      <c r="D1059" s="141"/>
      <c r="E1059" s="1014"/>
      <c r="F1059" s="1014"/>
      <c r="G1059" s="1027"/>
      <c r="H1059" s="1027"/>
      <c r="I1059" s="1174"/>
      <c r="J1059" s="1174"/>
      <c r="K1059" s="1174"/>
      <c r="L1059" s="1172"/>
      <c r="M1059" s="1172"/>
      <c r="N1059" s="1175"/>
      <c r="O1059" s="143"/>
      <c r="P1059" s="1196"/>
      <c r="Q1059" s="141"/>
      <c r="R1059" s="141"/>
      <c r="S1059" s="148"/>
      <c r="T1059" s="419"/>
      <c r="U1059" s="559"/>
      <c r="V1059" s="141"/>
      <c r="W1059" s="141"/>
      <c r="X1059" s="141"/>
      <c r="Y1059" s="144"/>
      <c r="Z1059" s="141"/>
      <c r="AA1059" s="141"/>
      <c r="AB1059" s="141"/>
      <c r="AC1059" s="141"/>
      <c r="AD1059" s="141"/>
      <c r="AE1059" s="141"/>
      <c r="AF1059" s="145"/>
      <c r="AG1059" s="419"/>
    </row>
    <row r="1060" spans="1:33" s="139" customFormat="1" ht="12.75" customHeight="1" x14ac:dyDescent="0.2">
      <c r="A1060" s="141"/>
      <c r="B1060" s="141"/>
      <c r="C1060" s="141"/>
      <c r="D1060" s="141"/>
      <c r="E1060" s="1014"/>
      <c r="F1060" s="1014"/>
      <c r="G1060" s="1027"/>
      <c r="H1060" s="1027"/>
      <c r="I1060" s="1174"/>
      <c r="J1060" s="1174"/>
      <c r="K1060" s="1174"/>
      <c r="L1060" s="1172"/>
      <c r="M1060" s="1172"/>
      <c r="N1060" s="1175"/>
      <c r="O1060" s="143"/>
      <c r="P1060" s="1196"/>
      <c r="Q1060" s="141"/>
      <c r="R1060" s="141"/>
      <c r="S1060" s="148"/>
      <c r="T1060" s="419"/>
      <c r="U1060" s="559"/>
      <c r="V1060" s="141"/>
      <c r="W1060" s="141"/>
      <c r="X1060" s="141"/>
      <c r="Y1060" s="144"/>
      <c r="Z1060" s="141"/>
      <c r="AA1060" s="141"/>
      <c r="AB1060" s="141"/>
      <c r="AC1060" s="141"/>
      <c r="AD1060" s="141"/>
      <c r="AE1060" s="141"/>
      <c r="AF1060" s="145"/>
      <c r="AG1060" s="419"/>
    </row>
    <row r="1061" spans="1:33" s="139" customFormat="1" ht="12.75" customHeight="1" x14ac:dyDescent="0.2">
      <c r="A1061" s="141"/>
      <c r="B1061" s="141"/>
      <c r="C1061" s="141"/>
      <c r="D1061" s="141"/>
      <c r="E1061" s="1014"/>
      <c r="F1061" s="1014"/>
      <c r="G1061" s="1027"/>
      <c r="H1061" s="1027"/>
      <c r="I1061" s="1174"/>
      <c r="J1061" s="1174"/>
      <c r="K1061" s="1174"/>
      <c r="L1061" s="1172"/>
      <c r="M1061" s="1172"/>
      <c r="N1061" s="1175"/>
      <c r="O1061" s="143"/>
      <c r="P1061" s="1196"/>
      <c r="Q1061" s="141"/>
      <c r="R1061" s="141"/>
      <c r="S1061" s="148"/>
      <c r="T1061" s="419"/>
      <c r="U1061" s="559"/>
      <c r="V1061" s="141"/>
      <c r="W1061" s="141"/>
      <c r="X1061" s="141"/>
      <c r="Y1061" s="144"/>
      <c r="Z1061" s="141"/>
      <c r="AA1061" s="141"/>
      <c r="AB1061" s="141"/>
      <c r="AC1061" s="141"/>
      <c r="AD1061" s="141"/>
      <c r="AE1061" s="141"/>
      <c r="AF1061" s="145"/>
      <c r="AG1061" s="419"/>
    </row>
    <row r="1062" spans="1:33" s="139" customFormat="1" ht="12.75" customHeight="1" x14ac:dyDescent="0.2">
      <c r="A1062" s="141"/>
      <c r="B1062" s="141"/>
      <c r="C1062" s="141"/>
      <c r="D1062" s="141"/>
      <c r="E1062" s="1014"/>
      <c r="F1062" s="1014"/>
      <c r="G1062" s="1027"/>
      <c r="H1062" s="1027"/>
      <c r="I1062" s="1174"/>
      <c r="J1062" s="1174"/>
      <c r="K1062" s="1174"/>
      <c r="L1062" s="1172"/>
      <c r="M1062" s="1172"/>
      <c r="N1062" s="1175"/>
      <c r="O1062" s="143"/>
      <c r="P1062" s="1196"/>
      <c r="Q1062" s="141"/>
      <c r="R1062" s="141"/>
      <c r="S1062" s="148"/>
      <c r="T1062" s="419"/>
      <c r="U1062" s="559"/>
      <c r="V1062" s="141"/>
      <c r="W1062" s="141"/>
      <c r="X1062" s="141"/>
      <c r="Y1062" s="144"/>
      <c r="Z1062" s="141"/>
      <c r="AA1062" s="141"/>
      <c r="AB1062" s="141"/>
      <c r="AC1062" s="141"/>
      <c r="AD1062" s="141"/>
      <c r="AE1062" s="141"/>
      <c r="AF1062" s="145"/>
      <c r="AG1062" s="419"/>
    </row>
    <row r="1063" spans="1:33" s="139" customFormat="1" ht="12.75" customHeight="1" x14ac:dyDescent="0.2">
      <c r="A1063" s="141"/>
      <c r="B1063" s="141"/>
      <c r="C1063" s="141"/>
      <c r="D1063" s="141"/>
      <c r="E1063" s="1014"/>
      <c r="F1063" s="1014"/>
      <c r="G1063" s="1027"/>
      <c r="H1063" s="1027"/>
      <c r="I1063" s="1174"/>
      <c r="J1063" s="1174"/>
      <c r="K1063" s="1174"/>
      <c r="L1063" s="1172"/>
      <c r="M1063" s="1172"/>
      <c r="N1063" s="1175"/>
      <c r="O1063" s="143"/>
      <c r="P1063" s="1196"/>
      <c r="Q1063" s="141"/>
      <c r="R1063" s="141"/>
      <c r="S1063" s="148"/>
      <c r="T1063" s="419"/>
      <c r="U1063" s="559"/>
      <c r="V1063" s="141"/>
      <c r="W1063" s="141"/>
      <c r="X1063" s="141"/>
      <c r="Y1063" s="144"/>
      <c r="Z1063" s="141"/>
      <c r="AA1063" s="141"/>
      <c r="AB1063" s="141"/>
      <c r="AC1063" s="141"/>
      <c r="AD1063" s="141"/>
      <c r="AE1063" s="141"/>
      <c r="AF1063" s="145"/>
      <c r="AG1063" s="419"/>
    </row>
    <row r="1064" spans="1:33" s="139" customFormat="1" ht="12.75" customHeight="1" x14ac:dyDescent="0.2">
      <c r="A1064" s="141"/>
      <c r="B1064" s="141"/>
      <c r="C1064" s="141"/>
      <c r="D1064" s="141"/>
      <c r="E1064" s="1014"/>
      <c r="F1064" s="1014"/>
      <c r="G1064" s="1027"/>
      <c r="H1064" s="1027"/>
      <c r="I1064" s="1174"/>
      <c r="J1064" s="1174"/>
      <c r="K1064" s="1174"/>
      <c r="L1064" s="1172"/>
      <c r="M1064" s="1172"/>
      <c r="N1064" s="1175"/>
      <c r="O1064" s="143"/>
      <c r="P1064" s="1196"/>
      <c r="Q1064" s="141"/>
      <c r="R1064" s="141"/>
      <c r="S1064" s="148"/>
      <c r="T1064" s="419"/>
      <c r="U1064" s="559"/>
      <c r="V1064" s="141"/>
      <c r="W1064" s="141"/>
      <c r="X1064" s="141"/>
      <c r="Y1064" s="144"/>
      <c r="Z1064" s="141"/>
      <c r="AA1064" s="141"/>
      <c r="AB1064" s="141"/>
      <c r="AC1064" s="141"/>
      <c r="AD1064" s="141"/>
      <c r="AE1064" s="141"/>
      <c r="AF1064" s="145"/>
      <c r="AG1064" s="419"/>
    </row>
    <row r="1065" spans="1:33" s="139" customFormat="1" ht="12.75" customHeight="1" x14ac:dyDescent="0.2">
      <c r="A1065" s="141"/>
      <c r="B1065" s="141"/>
      <c r="C1065" s="141"/>
      <c r="D1065" s="141"/>
      <c r="E1065" s="1014"/>
      <c r="F1065" s="1014"/>
      <c r="G1065" s="1027"/>
      <c r="H1065" s="1027"/>
      <c r="I1065" s="1174"/>
      <c r="J1065" s="1174"/>
      <c r="K1065" s="1174"/>
      <c r="L1065" s="1172"/>
      <c r="M1065" s="1172"/>
      <c r="N1065" s="1175"/>
      <c r="O1065" s="143"/>
      <c r="P1065" s="1196"/>
      <c r="Q1065" s="141"/>
      <c r="R1065" s="141"/>
      <c r="S1065" s="148"/>
      <c r="T1065" s="419"/>
      <c r="U1065" s="559"/>
      <c r="V1065" s="141"/>
      <c r="W1065" s="141"/>
      <c r="X1065" s="141"/>
      <c r="Y1065" s="144"/>
      <c r="Z1065" s="141"/>
      <c r="AA1065" s="141"/>
      <c r="AB1065" s="141"/>
      <c r="AC1065" s="141"/>
      <c r="AD1065" s="141"/>
      <c r="AE1065" s="141"/>
      <c r="AF1065" s="145"/>
      <c r="AG1065" s="419"/>
    </row>
    <row r="1066" spans="1:33" s="139" customFormat="1" ht="12.75" customHeight="1" x14ac:dyDescent="0.2">
      <c r="A1066" s="141"/>
      <c r="B1066" s="141"/>
      <c r="C1066" s="141"/>
      <c r="D1066" s="141"/>
      <c r="E1066" s="1014"/>
      <c r="F1066" s="1014"/>
      <c r="G1066" s="1027"/>
      <c r="H1066" s="1027"/>
      <c r="I1066" s="1174"/>
      <c r="J1066" s="1174"/>
      <c r="K1066" s="1174"/>
      <c r="L1066" s="1172"/>
      <c r="M1066" s="1172"/>
      <c r="N1066" s="1175"/>
      <c r="O1066" s="143"/>
      <c r="P1066" s="1196"/>
      <c r="Q1066" s="141"/>
      <c r="R1066" s="141"/>
      <c r="S1066" s="148"/>
      <c r="T1066" s="419"/>
      <c r="U1066" s="559"/>
      <c r="V1066" s="141"/>
      <c r="W1066" s="141"/>
      <c r="X1066" s="141"/>
      <c r="Y1066" s="144"/>
      <c r="Z1066" s="141"/>
      <c r="AA1066" s="141"/>
      <c r="AB1066" s="141"/>
      <c r="AC1066" s="141"/>
      <c r="AD1066" s="141"/>
      <c r="AE1066" s="141"/>
      <c r="AF1066" s="145"/>
      <c r="AG1066" s="419"/>
    </row>
    <row r="1067" spans="1:33" s="139" customFormat="1" ht="12.75" customHeight="1" x14ac:dyDescent="0.2">
      <c r="A1067" s="141"/>
      <c r="B1067" s="141"/>
      <c r="C1067" s="141"/>
      <c r="D1067" s="141"/>
      <c r="E1067" s="1014"/>
      <c r="F1067" s="1014"/>
      <c r="G1067" s="1027"/>
      <c r="H1067" s="1027"/>
      <c r="I1067" s="1174"/>
      <c r="J1067" s="1174"/>
      <c r="K1067" s="1174"/>
      <c r="L1067" s="1172"/>
      <c r="M1067" s="1172"/>
      <c r="N1067" s="1175"/>
      <c r="O1067" s="143"/>
      <c r="P1067" s="1196"/>
      <c r="Q1067" s="141"/>
      <c r="R1067" s="141"/>
      <c r="S1067" s="148"/>
      <c r="T1067" s="419"/>
      <c r="U1067" s="559"/>
      <c r="V1067" s="141"/>
      <c r="W1067" s="141"/>
      <c r="X1067" s="141"/>
      <c r="Y1067" s="144"/>
      <c r="Z1067" s="141"/>
      <c r="AA1067" s="141"/>
      <c r="AB1067" s="141"/>
      <c r="AC1067" s="141"/>
      <c r="AD1067" s="141"/>
      <c r="AE1067" s="141"/>
      <c r="AF1067" s="145"/>
      <c r="AG1067" s="419"/>
    </row>
    <row r="1068" spans="1:33" s="139" customFormat="1" ht="12.75" customHeight="1" x14ac:dyDescent="0.2">
      <c r="A1068" s="141"/>
      <c r="B1068" s="141"/>
      <c r="C1068" s="141"/>
      <c r="D1068" s="141"/>
      <c r="E1068" s="1014"/>
      <c r="F1068" s="1014"/>
      <c r="G1068" s="1027"/>
      <c r="H1068" s="1027"/>
      <c r="I1068" s="1174"/>
      <c r="J1068" s="1174"/>
      <c r="K1068" s="1174"/>
      <c r="L1068" s="1172"/>
      <c r="M1068" s="1172"/>
      <c r="N1068" s="1175"/>
      <c r="O1068" s="143"/>
      <c r="P1068" s="1196"/>
      <c r="Q1068" s="141"/>
      <c r="R1068" s="141"/>
      <c r="S1068" s="148"/>
      <c r="T1068" s="419"/>
      <c r="U1068" s="559"/>
      <c r="V1068" s="141"/>
      <c r="W1068" s="141"/>
      <c r="X1068" s="141"/>
      <c r="Y1068" s="144"/>
      <c r="Z1068" s="141"/>
      <c r="AA1068" s="141"/>
      <c r="AB1068" s="141"/>
      <c r="AC1068" s="141"/>
      <c r="AD1068" s="141"/>
      <c r="AE1068" s="141"/>
      <c r="AF1068" s="145"/>
      <c r="AG1068" s="419"/>
    </row>
    <row r="1069" spans="1:33" s="139" customFormat="1" ht="12.75" customHeight="1" x14ac:dyDescent="0.2">
      <c r="A1069" s="141"/>
      <c r="B1069" s="141"/>
      <c r="C1069" s="141"/>
      <c r="D1069" s="141"/>
      <c r="E1069" s="1014"/>
      <c r="F1069" s="1014"/>
      <c r="G1069" s="1027"/>
      <c r="H1069" s="1027"/>
      <c r="I1069" s="1174"/>
      <c r="J1069" s="1174"/>
      <c r="K1069" s="1174"/>
      <c r="L1069" s="1172"/>
      <c r="M1069" s="1172"/>
      <c r="N1069" s="1175"/>
      <c r="O1069" s="143"/>
      <c r="P1069" s="1196"/>
      <c r="Q1069" s="141"/>
      <c r="R1069" s="141"/>
      <c r="S1069" s="148"/>
      <c r="T1069" s="419"/>
      <c r="U1069" s="559"/>
      <c r="V1069" s="141"/>
      <c r="W1069" s="141"/>
      <c r="X1069" s="141"/>
      <c r="Y1069" s="144"/>
      <c r="Z1069" s="141"/>
      <c r="AA1069" s="141"/>
      <c r="AB1069" s="141"/>
      <c r="AC1069" s="141"/>
      <c r="AD1069" s="141"/>
      <c r="AE1069" s="141"/>
      <c r="AF1069" s="145"/>
      <c r="AG1069" s="419"/>
    </row>
    <row r="1070" spans="1:33" s="139" customFormat="1" ht="12.75" customHeight="1" x14ac:dyDescent="0.2">
      <c r="A1070" s="141"/>
      <c r="B1070" s="141"/>
      <c r="C1070" s="141"/>
      <c r="D1070" s="141"/>
      <c r="E1070" s="1014"/>
      <c r="F1070" s="1014"/>
      <c r="G1070" s="1027"/>
      <c r="H1070" s="1027"/>
      <c r="I1070" s="1174"/>
      <c r="J1070" s="1174"/>
      <c r="K1070" s="1174"/>
      <c r="L1070" s="1172"/>
      <c r="M1070" s="1172"/>
      <c r="N1070" s="1175"/>
      <c r="O1070" s="143"/>
      <c r="P1070" s="1196"/>
      <c r="Q1070" s="141"/>
      <c r="R1070" s="141"/>
      <c r="S1070" s="148"/>
      <c r="T1070" s="419"/>
      <c r="U1070" s="559"/>
      <c r="V1070" s="141"/>
      <c r="W1070" s="141"/>
      <c r="X1070" s="141"/>
      <c r="Y1070" s="144"/>
      <c r="Z1070" s="141"/>
      <c r="AA1070" s="141"/>
      <c r="AB1070" s="141"/>
      <c r="AC1070" s="141"/>
      <c r="AD1070" s="141"/>
      <c r="AE1070" s="141"/>
      <c r="AF1070" s="145"/>
      <c r="AG1070" s="419"/>
    </row>
    <row r="1071" spans="1:33" s="139" customFormat="1" ht="12.75" customHeight="1" x14ac:dyDescent="0.2">
      <c r="A1071" s="141"/>
      <c r="B1071" s="141"/>
      <c r="C1071" s="141"/>
      <c r="D1071" s="141"/>
      <c r="E1071" s="1014"/>
      <c r="F1071" s="1014"/>
      <c r="G1071" s="1027"/>
      <c r="H1071" s="1027"/>
      <c r="I1071" s="1174"/>
      <c r="J1071" s="1174"/>
      <c r="K1071" s="1174"/>
      <c r="L1071" s="1172"/>
      <c r="M1071" s="1172"/>
      <c r="N1071" s="1175"/>
      <c r="O1071" s="143"/>
      <c r="P1071" s="1196"/>
      <c r="Q1071" s="141"/>
      <c r="R1071" s="141"/>
      <c r="S1071" s="148"/>
      <c r="T1071" s="419"/>
      <c r="U1071" s="559"/>
      <c r="V1071" s="141"/>
      <c r="W1071" s="141"/>
      <c r="X1071" s="141"/>
      <c r="Y1071" s="144"/>
      <c r="Z1071" s="141"/>
      <c r="AA1071" s="141"/>
      <c r="AB1071" s="141"/>
      <c r="AC1071" s="141"/>
      <c r="AD1071" s="141"/>
      <c r="AE1071" s="141"/>
      <c r="AF1071" s="145"/>
      <c r="AG1071" s="419"/>
    </row>
    <row r="1072" spans="1:33" s="139" customFormat="1" ht="12.75" customHeight="1" x14ac:dyDescent="0.2">
      <c r="A1072" s="141"/>
      <c r="B1072" s="141"/>
      <c r="C1072" s="141"/>
      <c r="D1072" s="141"/>
      <c r="E1072" s="1014"/>
      <c r="F1072" s="1014"/>
      <c r="G1072" s="1027"/>
      <c r="H1072" s="1027"/>
      <c r="I1072" s="1174"/>
      <c r="J1072" s="1174"/>
      <c r="K1072" s="1174"/>
      <c r="L1072" s="1172"/>
      <c r="M1072" s="1172"/>
      <c r="N1072" s="1175"/>
      <c r="O1072" s="143"/>
      <c r="P1072" s="1196"/>
      <c r="Q1072" s="141"/>
      <c r="R1072" s="141"/>
      <c r="S1072" s="148"/>
      <c r="T1072" s="419"/>
      <c r="U1072" s="559"/>
      <c r="V1072" s="141"/>
      <c r="W1072" s="141"/>
      <c r="X1072" s="141"/>
      <c r="Y1072" s="144"/>
      <c r="Z1072" s="141"/>
      <c r="AA1072" s="141"/>
      <c r="AB1072" s="141"/>
      <c r="AC1072" s="141"/>
      <c r="AD1072" s="141"/>
      <c r="AE1072" s="141"/>
      <c r="AF1072" s="145"/>
      <c r="AG1072" s="419"/>
    </row>
    <row r="1073" spans="1:33" s="139" customFormat="1" ht="12.75" customHeight="1" x14ac:dyDescent="0.2">
      <c r="A1073" s="141"/>
      <c r="B1073" s="141"/>
      <c r="C1073" s="141"/>
      <c r="D1073" s="141"/>
      <c r="E1073" s="1014"/>
      <c r="F1073" s="1014"/>
      <c r="G1073" s="1027"/>
      <c r="H1073" s="1027"/>
      <c r="I1073" s="1174"/>
      <c r="J1073" s="1174"/>
      <c r="K1073" s="1174"/>
      <c r="L1073" s="1172"/>
      <c r="M1073" s="1172"/>
      <c r="N1073" s="1175"/>
      <c r="O1073" s="143"/>
      <c r="P1073" s="1196"/>
      <c r="Q1073" s="141"/>
      <c r="R1073" s="141"/>
      <c r="S1073" s="148"/>
      <c r="T1073" s="419"/>
      <c r="U1073" s="559"/>
      <c r="V1073" s="141"/>
      <c r="W1073" s="141"/>
      <c r="X1073" s="141"/>
      <c r="Y1073" s="144"/>
      <c r="Z1073" s="141"/>
      <c r="AA1073" s="141"/>
      <c r="AB1073" s="141"/>
      <c r="AC1073" s="141"/>
      <c r="AD1073" s="141"/>
      <c r="AE1073" s="141"/>
      <c r="AF1073" s="145"/>
      <c r="AG1073" s="419"/>
    </row>
    <row r="1074" spans="1:33" s="139" customFormat="1" ht="12.75" customHeight="1" x14ac:dyDescent="0.2">
      <c r="A1074" s="141"/>
      <c r="B1074" s="141"/>
      <c r="C1074" s="141"/>
      <c r="D1074" s="141"/>
      <c r="E1074" s="1014"/>
      <c r="F1074" s="1014"/>
      <c r="G1074" s="1027"/>
      <c r="H1074" s="1027"/>
      <c r="I1074" s="1174"/>
      <c r="J1074" s="1174"/>
      <c r="K1074" s="1174"/>
      <c r="L1074" s="1172"/>
      <c r="M1074" s="1172"/>
      <c r="N1074" s="1175"/>
      <c r="O1074" s="143"/>
      <c r="P1074" s="1196"/>
      <c r="Q1074" s="141"/>
      <c r="R1074" s="141"/>
      <c r="S1074" s="148"/>
      <c r="T1074" s="419"/>
      <c r="U1074" s="559"/>
      <c r="V1074" s="141"/>
      <c r="W1074" s="141"/>
      <c r="X1074" s="141"/>
      <c r="Y1074" s="144"/>
      <c r="Z1074" s="141"/>
      <c r="AA1074" s="141"/>
      <c r="AB1074" s="141"/>
      <c r="AC1074" s="141"/>
      <c r="AD1074" s="141"/>
      <c r="AE1074" s="141"/>
      <c r="AF1074" s="145"/>
      <c r="AG1074" s="419"/>
    </row>
    <row r="1075" spans="1:33" s="139" customFormat="1" ht="12.75" customHeight="1" x14ac:dyDescent="0.2">
      <c r="A1075" s="141"/>
      <c r="B1075" s="141"/>
      <c r="C1075" s="141"/>
      <c r="D1075" s="141"/>
      <c r="E1075" s="1014"/>
      <c r="F1075" s="1014"/>
      <c r="G1075" s="1027"/>
      <c r="H1075" s="1027"/>
      <c r="I1075" s="1174"/>
      <c r="J1075" s="1174"/>
      <c r="K1075" s="1174"/>
      <c r="L1075" s="1172"/>
      <c r="M1075" s="1172"/>
      <c r="N1075" s="1175"/>
      <c r="O1075" s="143"/>
      <c r="P1075" s="1196"/>
      <c r="Q1075" s="141"/>
      <c r="R1075" s="141"/>
      <c r="S1075" s="148"/>
      <c r="T1075" s="419"/>
      <c r="U1075" s="559"/>
      <c r="V1075" s="141"/>
      <c r="W1075" s="141"/>
      <c r="X1075" s="141"/>
      <c r="Y1075" s="144"/>
      <c r="Z1075" s="141"/>
      <c r="AA1075" s="141"/>
      <c r="AB1075" s="141"/>
      <c r="AC1075" s="141"/>
      <c r="AD1075" s="141"/>
      <c r="AE1075" s="141"/>
      <c r="AF1075" s="145"/>
      <c r="AG1075" s="419"/>
    </row>
    <row r="1076" spans="1:33" s="139" customFormat="1" ht="12.75" customHeight="1" x14ac:dyDescent="0.2">
      <c r="A1076" s="141"/>
      <c r="B1076" s="141"/>
      <c r="C1076" s="141"/>
      <c r="D1076" s="141"/>
      <c r="E1076" s="1014"/>
      <c r="F1076" s="1014"/>
      <c r="G1076" s="1027"/>
      <c r="H1076" s="1027"/>
      <c r="I1076" s="1174"/>
      <c r="J1076" s="1174"/>
      <c r="K1076" s="1174"/>
      <c r="L1076" s="1172"/>
      <c r="M1076" s="1172"/>
      <c r="N1076" s="1175"/>
      <c r="O1076" s="143"/>
      <c r="P1076" s="1196"/>
      <c r="Q1076" s="141"/>
      <c r="R1076" s="141"/>
      <c r="S1076" s="148"/>
      <c r="T1076" s="419"/>
      <c r="U1076" s="559"/>
      <c r="V1076" s="141"/>
      <c r="W1076" s="141"/>
      <c r="X1076" s="141"/>
      <c r="Y1076" s="144"/>
      <c r="Z1076" s="141"/>
      <c r="AA1076" s="141"/>
      <c r="AB1076" s="141"/>
      <c r="AC1076" s="141"/>
      <c r="AD1076" s="141"/>
      <c r="AE1076" s="141"/>
      <c r="AF1076" s="145"/>
      <c r="AG1076" s="419"/>
    </row>
    <row r="1077" spans="1:33" s="139" customFormat="1" ht="12.75" customHeight="1" x14ac:dyDescent="0.2">
      <c r="A1077" s="141"/>
      <c r="B1077" s="141"/>
      <c r="C1077" s="141"/>
      <c r="D1077" s="141"/>
      <c r="E1077" s="1014"/>
      <c r="F1077" s="1014"/>
      <c r="G1077" s="1027"/>
      <c r="H1077" s="1027"/>
      <c r="I1077" s="1174"/>
      <c r="J1077" s="1174"/>
      <c r="K1077" s="1174"/>
      <c r="L1077" s="1172"/>
      <c r="M1077" s="1172"/>
      <c r="N1077" s="1175"/>
      <c r="O1077" s="143"/>
      <c r="P1077" s="1196"/>
      <c r="Q1077" s="141"/>
      <c r="R1077" s="141"/>
      <c r="S1077" s="148"/>
      <c r="T1077" s="419"/>
      <c r="U1077" s="559"/>
      <c r="V1077" s="141"/>
      <c r="W1077" s="141"/>
      <c r="X1077" s="141"/>
      <c r="Y1077" s="144"/>
      <c r="Z1077" s="141"/>
      <c r="AA1077" s="141"/>
      <c r="AB1077" s="141"/>
      <c r="AC1077" s="141"/>
      <c r="AD1077" s="141"/>
      <c r="AE1077" s="141"/>
      <c r="AF1077" s="145"/>
      <c r="AG1077" s="419"/>
    </row>
    <row r="1078" spans="1:33" s="139" customFormat="1" ht="12.75" customHeight="1" x14ac:dyDescent="0.2">
      <c r="A1078" s="141"/>
      <c r="B1078" s="141"/>
      <c r="C1078" s="141"/>
      <c r="D1078" s="141"/>
      <c r="E1078" s="1014"/>
      <c r="F1078" s="1014"/>
      <c r="G1078" s="1027"/>
      <c r="H1078" s="1027"/>
      <c r="I1078" s="1174"/>
      <c r="J1078" s="1174"/>
      <c r="K1078" s="1174"/>
      <c r="L1078" s="1172"/>
      <c r="M1078" s="1172"/>
      <c r="N1078" s="1175"/>
      <c r="O1078" s="143"/>
      <c r="P1078" s="1196"/>
      <c r="Q1078" s="141"/>
      <c r="R1078" s="141"/>
      <c r="S1078" s="148"/>
      <c r="T1078" s="419"/>
      <c r="U1078" s="559"/>
      <c r="V1078" s="141"/>
      <c r="W1078" s="141"/>
      <c r="X1078" s="141"/>
      <c r="Y1078" s="144"/>
      <c r="Z1078" s="141"/>
      <c r="AA1078" s="141"/>
      <c r="AB1078" s="141"/>
      <c r="AC1078" s="141"/>
      <c r="AD1078" s="141"/>
      <c r="AE1078" s="141"/>
      <c r="AF1078" s="145"/>
      <c r="AG1078" s="419"/>
    </row>
    <row r="1079" spans="1:33" s="139" customFormat="1" ht="12.75" customHeight="1" x14ac:dyDescent="0.2">
      <c r="A1079" s="141"/>
      <c r="B1079" s="141"/>
      <c r="C1079" s="141"/>
      <c r="D1079" s="141"/>
      <c r="E1079" s="1014"/>
      <c r="F1079" s="1014"/>
      <c r="G1079" s="1027"/>
      <c r="H1079" s="1027"/>
      <c r="I1079" s="1174"/>
      <c r="J1079" s="1174"/>
      <c r="K1079" s="1174"/>
      <c r="L1079" s="1172"/>
      <c r="M1079" s="1172"/>
      <c r="N1079" s="1175"/>
      <c r="O1079" s="143"/>
      <c r="P1079" s="1196"/>
      <c r="Q1079" s="141"/>
      <c r="R1079" s="141"/>
      <c r="S1079" s="148"/>
      <c r="T1079" s="419"/>
      <c r="U1079" s="559"/>
      <c r="V1079" s="141"/>
      <c r="W1079" s="141"/>
      <c r="X1079" s="141"/>
      <c r="Y1079" s="144"/>
      <c r="Z1079" s="141"/>
      <c r="AA1079" s="141"/>
      <c r="AB1079" s="141"/>
      <c r="AC1079" s="141"/>
      <c r="AD1079" s="141"/>
      <c r="AE1079" s="141"/>
      <c r="AF1079" s="145"/>
      <c r="AG1079" s="419"/>
    </row>
    <row r="1080" spans="1:33" s="139" customFormat="1" ht="12.75" customHeight="1" x14ac:dyDescent="0.2">
      <c r="A1080" s="141"/>
      <c r="B1080" s="141"/>
      <c r="C1080" s="141"/>
      <c r="D1080" s="141"/>
      <c r="E1080" s="1014"/>
      <c r="F1080" s="1014"/>
      <c r="G1080" s="1027"/>
      <c r="H1080" s="1027"/>
      <c r="I1080" s="1174"/>
      <c r="J1080" s="1174"/>
      <c r="K1080" s="1174"/>
      <c r="L1080" s="1172"/>
      <c r="M1080" s="1172"/>
      <c r="N1080" s="1175"/>
      <c r="O1080" s="143"/>
      <c r="P1080" s="1196"/>
      <c r="Q1080" s="141"/>
      <c r="R1080" s="141"/>
      <c r="S1080" s="148"/>
      <c r="T1080" s="419"/>
      <c r="U1080" s="559"/>
      <c r="V1080" s="141"/>
      <c r="W1080" s="141"/>
      <c r="X1080" s="141"/>
      <c r="Y1080" s="144"/>
      <c r="Z1080" s="141"/>
      <c r="AA1080" s="141"/>
      <c r="AB1080" s="141"/>
      <c r="AC1080" s="141"/>
      <c r="AD1080" s="141"/>
      <c r="AE1080" s="141"/>
      <c r="AF1080" s="145"/>
      <c r="AG1080" s="419"/>
    </row>
    <row r="1081" spans="1:33" s="139" customFormat="1" ht="12.75" customHeight="1" x14ac:dyDescent="0.2">
      <c r="A1081" s="141"/>
      <c r="B1081" s="141"/>
      <c r="C1081" s="141"/>
      <c r="D1081" s="141"/>
      <c r="E1081" s="1014"/>
      <c r="F1081" s="1014"/>
      <c r="G1081" s="1027"/>
      <c r="H1081" s="1027"/>
      <c r="I1081" s="1174"/>
      <c r="J1081" s="1174"/>
      <c r="K1081" s="1174"/>
      <c r="L1081" s="1172"/>
      <c r="M1081" s="1172"/>
      <c r="N1081" s="1175"/>
      <c r="O1081" s="143"/>
      <c r="P1081" s="1196"/>
      <c r="Q1081" s="141"/>
      <c r="R1081" s="141"/>
      <c r="S1081" s="148"/>
      <c r="T1081" s="419"/>
      <c r="U1081" s="559"/>
      <c r="V1081" s="141"/>
      <c r="W1081" s="141"/>
      <c r="X1081" s="141"/>
      <c r="Y1081" s="144"/>
      <c r="Z1081" s="141"/>
      <c r="AA1081" s="141"/>
      <c r="AB1081" s="141"/>
      <c r="AC1081" s="141"/>
      <c r="AD1081" s="141"/>
      <c r="AE1081" s="141"/>
      <c r="AF1081" s="145"/>
      <c r="AG1081" s="419"/>
    </row>
    <row r="1082" spans="1:33" s="139" customFormat="1" ht="12.75" customHeight="1" x14ac:dyDescent="0.2">
      <c r="A1082" s="141"/>
      <c r="B1082" s="141"/>
      <c r="C1082" s="141"/>
      <c r="D1082" s="141"/>
      <c r="E1082" s="1014"/>
      <c r="F1082" s="1014"/>
      <c r="G1082" s="1027"/>
      <c r="H1082" s="1027"/>
      <c r="I1082" s="1174"/>
      <c r="J1082" s="1174"/>
      <c r="K1082" s="1174"/>
      <c r="L1082" s="1172"/>
      <c r="M1082" s="1172"/>
      <c r="N1082" s="1175"/>
      <c r="O1082" s="143"/>
      <c r="P1082" s="1196"/>
      <c r="Q1082" s="141"/>
      <c r="R1082" s="141"/>
      <c r="S1082" s="148"/>
      <c r="T1082" s="419"/>
      <c r="U1082" s="559"/>
      <c r="V1082" s="141"/>
      <c r="W1082" s="141"/>
      <c r="X1082" s="141"/>
      <c r="Y1082" s="144"/>
      <c r="Z1082" s="141"/>
      <c r="AA1082" s="141"/>
      <c r="AB1082" s="141"/>
      <c r="AC1082" s="141"/>
      <c r="AD1082" s="141"/>
      <c r="AE1082" s="141"/>
      <c r="AF1082" s="145"/>
      <c r="AG1082" s="419"/>
    </row>
    <row r="1083" spans="1:33" s="139" customFormat="1" ht="12.75" customHeight="1" x14ac:dyDescent="0.2">
      <c r="A1083" s="141"/>
      <c r="B1083" s="141"/>
      <c r="C1083" s="141"/>
      <c r="D1083" s="141"/>
      <c r="E1083" s="1014"/>
      <c r="F1083" s="1014"/>
      <c r="G1083" s="1027"/>
      <c r="H1083" s="1027"/>
      <c r="I1083" s="1174"/>
      <c r="J1083" s="1174"/>
      <c r="K1083" s="1174"/>
      <c r="L1083" s="1172"/>
      <c r="M1083" s="1172"/>
      <c r="N1083" s="1175"/>
      <c r="O1083" s="143"/>
      <c r="P1083" s="1196"/>
      <c r="Q1083" s="141"/>
      <c r="R1083" s="141"/>
      <c r="S1083" s="148"/>
      <c r="T1083" s="419"/>
      <c r="U1083" s="559"/>
      <c r="V1083" s="141"/>
      <c r="W1083" s="141"/>
      <c r="X1083" s="141"/>
      <c r="Y1083" s="144"/>
      <c r="Z1083" s="141"/>
      <c r="AA1083" s="141"/>
      <c r="AB1083" s="141"/>
      <c r="AC1083" s="141"/>
      <c r="AD1083" s="141"/>
      <c r="AE1083" s="141"/>
      <c r="AF1083" s="145"/>
      <c r="AG1083" s="419"/>
    </row>
    <row r="1084" spans="1:33" s="139" customFormat="1" ht="12.75" customHeight="1" x14ac:dyDescent="0.2">
      <c r="A1084" s="141"/>
      <c r="B1084" s="141"/>
      <c r="C1084" s="141"/>
      <c r="D1084" s="141"/>
      <c r="E1084" s="1014"/>
      <c r="F1084" s="1014"/>
      <c r="G1084" s="1027"/>
      <c r="H1084" s="1027"/>
      <c r="I1084" s="1174"/>
      <c r="J1084" s="1174"/>
      <c r="K1084" s="1174"/>
      <c r="L1084" s="1172"/>
      <c r="M1084" s="1172"/>
      <c r="N1084" s="1175"/>
      <c r="O1084" s="143"/>
      <c r="P1084" s="1196"/>
      <c r="Q1084" s="141"/>
      <c r="R1084" s="141"/>
      <c r="S1084" s="148"/>
      <c r="T1084" s="419"/>
      <c r="U1084" s="559"/>
      <c r="V1084" s="141"/>
      <c r="W1084" s="141"/>
      <c r="X1084" s="141"/>
      <c r="Y1084" s="144"/>
      <c r="Z1084" s="141"/>
      <c r="AA1084" s="141"/>
      <c r="AB1084" s="141"/>
      <c r="AC1084" s="141"/>
      <c r="AD1084" s="141"/>
      <c r="AE1084" s="141"/>
      <c r="AF1084" s="145"/>
      <c r="AG1084" s="419"/>
    </row>
    <row r="1085" spans="1:33" s="139" customFormat="1" ht="12.75" customHeight="1" x14ac:dyDescent="0.2">
      <c r="A1085" s="141"/>
      <c r="B1085" s="141"/>
      <c r="C1085" s="141"/>
      <c r="D1085" s="141"/>
      <c r="E1085" s="1014"/>
      <c r="F1085" s="1014"/>
      <c r="G1085" s="1027"/>
      <c r="H1085" s="1027"/>
      <c r="I1085" s="1174"/>
      <c r="J1085" s="1174"/>
      <c r="K1085" s="1174"/>
      <c r="L1085" s="1172"/>
      <c r="M1085" s="1172"/>
      <c r="N1085" s="1175"/>
      <c r="O1085" s="143"/>
      <c r="P1085" s="1196"/>
      <c r="Q1085" s="141"/>
      <c r="R1085" s="141"/>
      <c r="S1085" s="148"/>
      <c r="T1085" s="419"/>
      <c r="U1085" s="559"/>
      <c r="V1085" s="141"/>
      <c r="W1085" s="141"/>
      <c r="X1085" s="141"/>
      <c r="Y1085" s="144"/>
      <c r="Z1085" s="141"/>
      <c r="AA1085" s="141"/>
      <c r="AB1085" s="141"/>
      <c r="AC1085" s="141"/>
      <c r="AD1085" s="141"/>
      <c r="AE1085" s="141"/>
      <c r="AF1085" s="145"/>
      <c r="AG1085" s="419"/>
    </row>
    <row r="1086" spans="1:33" s="139" customFormat="1" ht="12.75" customHeight="1" x14ac:dyDescent="0.2">
      <c r="A1086" s="141"/>
      <c r="B1086" s="141"/>
      <c r="C1086" s="141"/>
      <c r="D1086" s="141"/>
      <c r="E1086" s="1014"/>
      <c r="F1086" s="1014"/>
      <c r="G1086" s="1027"/>
      <c r="H1086" s="1027"/>
      <c r="I1086" s="1174"/>
      <c r="J1086" s="1174"/>
      <c r="K1086" s="1174"/>
      <c r="L1086" s="1172"/>
      <c r="M1086" s="1172"/>
      <c r="N1086" s="1175"/>
      <c r="O1086" s="143"/>
      <c r="P1086" s="1196"/>
      <c r="Q1086" s="141"/>
      <c r="R1086" s="141"/>
      <c r="S1086" s="148"/>
      <c r="T1086" s="419"/>
      <c r="U1086" s="559"/>
      <c r="V1086" s="141"/>
      <c r="W1086" s="141"/>
      <c r="X1086" s="141"/>
      <c r="Y1086" s="144"/>
      <c r="Z1086" s="141"/>
      <c r="AA1086" s="141"/>
      <c r="AB1086" s="141"/>
      <c r="AC1086" s="141"/>
      <c r="AD1086" s="141"/>
      <c r="AE1086" s="141"/>
      <c r="AF1086" s="145"/>
      <c r="AG1086" s="419"/>
    </row>
    <row r="1087" spans="1:33" s="139" customFormat="1" ht="12.75" customHeight="1" x14ac:dyDescent="0.2">
      <c r="A1087" s="141"/>
      <c r="B1087" s="141"/>
      <c r="C1087" s="141"/>
      <c r="D1087" s="141"/>
      <c r="E1087" s="1014"/>
      <c r="F1087" s="1014"/>
      <c r="G1087" s="1027"/>
      <c r="H1087" s="1027"/>
      <c r="I1087" s="1174"/>
      <c r="J1087" s="1174"/>
      <c r="K1087" s="1174"/>
      <c r="L1087" s="1172"/>
      <c r="M1087" s="1172"/>
      <c r="N1087" s="1175"/>
      <c r="O1087" s="143"/>
      <c r="P1087" s="1196"/>
      <c r="Q1087" s="141"/>
      <c r="R1087" s="141"/>
      <c r="S1087" s="148"/>
      <c r="T1087" s="419"/>
      <c r="U1087" s="559"/>
      <c r="V1087" s="141"/>
      <c r="W1087" s="141"/>
      <c r="X1087" s="141"/>
      <c r="Y1087" s="144"/>
      <c r="Z1087" s="141"/>
      <c r="AA1087" s="141"/>
      <c r="AB1087" s="141"/>
      <c r="AC1087" s="141"/>
      <c r="AD1087" s="141"/>
      <c r="AE1087" s="141"/>
      <c r="AF1087" s="145"/>
      <c r="AG1087" s="419"/>
    </row>
    <row r="1088" spans="1:33" s="139" customFormat="1" ht="12.75" customHeight="1" x14ac:dyDescent="0.2">
      <c r="A1088" s="141"/>
      <c r="B1088" s="141"/>
      <c r="C1088" s="141"/>
      <c r="D1088" s="141"/>
      <c r="E1088" s="1014"/>
      <c r="F1088" s="1014"/>
      <c r="G1088" s="1027"/>
      <c r="H1088" s="1027"/>
      <c r="I1088" s="1174"/>
      <c r="J1088" s="1174"/>
      <c r="K1088" s="1174"/>
      <c r="L1088" s="1172"/>
      <c r="M1088" s="1172"/>
      <c r="N1088" s="1175"/>
      <c r="O1088" s="143"/>
      <c r="P1088" s="1196"/>
      <c r="Q1088" s="141"/>
      <c r="R1088" s="141"/>
      <c r="S1088" s="148"/>
      <c r="T1088" s="419"/>
      <c r="U1088" s="559"/>
      <c r="V1088" s="141"/>
      <c r="W1088" s="141"/>
      <c r="X1088" s="141"/>
      <c r="Y1088" s="144"/>
      <c r="Z1088" s="141"/>
      <c r="AA1088" s="141"/>
      <c r="AB1088" s="141"/>
      <c r="AC1088" s="141"/>
      <c r="AD1088" s="141"/>
      <c r="AE1088" s="141"/>
      <c r="AF1088" s="145"/>
      <c r="AG1088" s="419"/>
    </row>
    <row r="1089" spans="1:33" s="139" customFormat="1" ht="12.75" customHeight="1" x14ac:dyDescent="0.2">
      <c r="A1089" s="141"/>
      <c r="B1089" s="141"/>
      <c r="C1089" s="141"/>
      <c r="D1089" s="141"/>
      <c r="E1089" s="1014"/>
      <c r="F1089" s="1014"/>
      <c r="G1089" s="1027"/>
      <c r="H1089" s="1027"/>
      <c r="I1089" s="1174"/>
      <c r="J1089" s="1174"/>
      <c r="K1089" s="1174"/>
      <c r="L1089" s="1172"/>
      <c r="M1089" s="1172"/>
      <c r="N1089" s="1175"/>
      <c r="O1089" s="143"/>
      <c r="P1089" s="1196"/>
      <c r="Q1089" s="141"/>
      <c r="R1089" s="141"/>
      <c r="S1089" s="148"/>
      <c r="T1089" s="419"/>
      <c r="U1089" s="559"/>
      <c r="V1089" s="141"/>
      <c r="W1089" s="141"/>
      <c r="X1089" s="141"/>
      <c r="Y1089" s="144"/>
      <c r="Z1089" s="141"/>
      <c r="AA1089" s="141"/>
      <c r="AB1089" s="141"/>
      <c r="AC1089" s="141"/>
      <c r="AD1089" s="141"/>
      <c r="AE1089" s="141"/>
      <c r="AF1089" s="145"/>
      <c r="AG1089" s="419"/>
    </row>
    <row r="1090" spans="1:33" s="139" customFormat="1" ht="12.75" customHeight="1" x14ac:dyDescent="0.2">
      <c r="A1090" s="141"/>
      <c r="B1090" s="141"/>
      <c r="C1090" s="141"/>
      <c r="D1090" s="141"/>
      <c r="E1090" s="1014"/>
      <c r="F1090" s="1014"/>
      <c r="G1090" s="1027"/>
      <c r="H1090" s="1027"/>
      <c r="I1090" s="1174"/>
      <c r="J1090" s="1174"/>
      <c r="K1090" s="1174"/>
      <c r="L1090" s="1172"/>
      <c r="M1090" s="1172"/>
      <c r="N1090" s="1175"/>
      <c r="O1090" s="143"/>
      <c r="P1090" s="1196"/>
      <c r="Q1090" s="141"/>
      <c r="R1090" s="141"/>
      <c r="S1090" s="148"/>
      <c r="T1090" s="419"/>
      <c r="U1090" s="559"/>
      <c r="V1090" s="141"/>
      <c r="W1090" s="141"/>
      <c r="X1090" s="141"/>
      <c r="Y1090" s="144"/>
      <c r="Z1090" s="141"/>
      <c r="AA1090" s="141"/>
      <c r="AB1090" s="141"/>
      <c r="AC1090" s="141"/>
      <c r="AD1090" s="141"/>
      <c r="AE1090" s="141"/>
      <c r="AF1090" s="145"/>
      <c r="AG1090" s="419"/>
    </row>
    <row r="1091" spans="1:33" s="139" customFormat="1" ht="12.75" customHeight="1" x14ac:dyDescent="0.2">
      <c r="A1091" s="141"/>
      <c r="B1091" s="141"/>
      <c r="C1091" s="141"/>
      <c r="D1091" s="141"/>
      <c r="E1091" s="1014"/>
      <c r="F1091" s="1014"/>
      <c r="G1091" s="1027"/>
      <c r="H1091" s="1027"/>
      <c r="I1091" s="1174"/>
      <c r="J1091" s="1174"/>
      <c r="K1091" s="1174"/>
      <c r="L1091" s="1172"/>
      <c r="M1091" s="1172"/>
      <c r="N1091" s="1175"/>
      <c r="O1091" s="143"/>
      <c r="P1091" s="1196"/>
      <c r="Q1091" s="141"/>
      <c r="R1091" s="141"/>
      <c r="S1091" s="148"/>
      <c r="T1091" s="419"/>
      <c r="U1091" s="559"/>
      <c r="V1091" s="141"/>
      <c r="W1091" s="141"/>
      <c r="X1091" s="141"/>
      <c r="Y1091" s="144"/>
      <c r="Z1091" s="141"/>
      <c r="AA1091" s="141"/>
      <c r="AB1091" s="141"/>
      <c r="AC1091" s="141"/>
      <c r="AD1091" s="141"/>
      <c r="AE1091" s="141"/>
      <c r="AF1091" s="145"/>
      <c r="AG1091" s="419"/>
    </row>
    <row r="1092" spans="1:33" s="139" customFormat="1" ht="12.75" customHeight="1" x14ac:dyDescent="0.2">
      <c r="A1092" s="141"/>
      <c r="B1092" s="141"/>
      <c r="C1092" s="141"/>
      <c r="D1092" s="141"/>
      <c r="E1092" s="1014"/>
      <c r="F1092" s="1014"/>
      <c r="G1092" s="1027"/>
      <c r="H1092" s="1027"/>
      <c r="I1092" s="1174"/>
      <c r="J1092" s="1174"/>
      <c r="K1092" s="1174"/>
      <c r="L1092" s="1172"/>
      <c r="M1092" s="1172"/>
      <c r="N1092" s="1175"/>
      <c r="O1092" s="143"/>
      <c r="P1092" s="1196"/>
      <c r="Q1092" s="141"/>
      <c r="R1092" s="141"/>
      <c r="S1092" s="148"/>
      <c r="T1092" s="419"/>
      <c r="U1092" s="559"/>
      <c r="V1092" s="141"/>
      <c r="W1092" s="141"/>
      <c r="X1092" s="141"/>
      <c r="Y1092" s="144"/>
      <c r="Z1092" s="141"/>
      <c r="AA1092" s="141"/>
      <c r="AB1092" s="141"/>
      <c r="AC1092" s="141"/>
      <c r="AD1092" s="141"/>
      <c r="AE1092" s="141"/>
      <c r="AF1092" s="145"/>
      <c r="AG1092" s="419"/>
    </row>
    <row r="1093" spans="1:33" s="139" customFormat="1" ht="12.75" customHeight="1" x14ac:dyDescent="0.2">
      <c r="A1093" s="141"/>
      <c r="B1093" s="141"/>
      <c r="C1093" s="141"/>
      <c r="D1093" s="141"/>
      <c r="E1093" s="1014"/>
      <c r="F1093" s="1014"/>
      <c r="G1093" s="1027"/>
      <c r="H1093" s="1027"/>
      <c r="I1093" s="1174"/>
      <c r="J1093" s="1174"/>
      <c r="K1093" s="1174"/>
      <c r="L1093" s="1172"/>
      <c r="M1093" s="1172"/>
      <c r="N1093" s="1175"/>
      <c r="O1093" s="143"/>
      <c r="P1093" s="1196"/>
      <c r="Q1093" s="141"/>
      <c r="R1093" s="141"/>
      <c r="S1093" s="148"/>
      <c r="T1093" s="419"/>
      <c r="U1093" s="559"/>
      <c r="V1093" s="141"/>
      <c r="W1093" s="141"/>
      <c r="X1093" s="141"/>
      <c r="Y1093" s="144"/>
      <c r="Z1093" s="141"/>
      <c r="AA1093" s="141"/>
      <c r="AB1093" s="141"/>
      <c r="AC1093" s="141"/>
      <c r="AD1093" s="141"/>
      <c r="AE1093" s="141"/>
      <c r="AF1093" s="145"/>
      <c r="AG1093" s="419"/>
    </row>
    <row r="1094" spans="1:33" s="139" customFormat="1" ht="12.75" customHeight="1" x14ac:dyDescent="0.2">
      <c r="A1094" s="141"/>
      <c r="B1094" s="141"/>
      <c r="C1094" s="141"/>
      <c r="D1094" s="141"/>
      <c r="E1094" s="1014"/>
      <c r="F1094" s="1014"/>
      <c r="G1094" s="1027"/>
      <c r="H1094" s="1027"/>
      <c r="I1094" s="1174"/>
      <c r="J1094" s="1174"/>
      <c r="K1094" s="1174"/>
      <c r="L1094" s="1172"/>
      <c r="M1094" s="1172"/>
      <c r="N1094" s="1175"/>
      <c r="O1094" s="143"/>
      <c r="P1094" s="1196"/>
      <c r="Q1094" s="141"/>
      <c r="R1094" s="141"/>
      <c r="S1094" s="148"/>
      <c r="T1094" s="419"/>
      <c r="U1094" s="559"/>
      <c r="V1094" s="141"/>
      <c r="W1094" s="141"/>
      <c r="X1094" s="141"/>
      <c r="Y1094" s="144"/>
      <c r="Z1094" s="141"/>
      <c r="AA1094" s="141"/>
      <c r="AB1094" s="141"/>
      <c r="AC1094" s="141"/>
      <c r="AD1094" s="141"/>
      <c r="AE1094" s="141"/>
      <c r="AF1094" s="145"/>
      <c r="AG1094" s="419"/>
    </row>
    <row r="1095" spans="1:33" s="139" customFormat="1" ht="12.75" customHeight="1" x14ac:dyDescent="0.2">
      <c r="A1095" s="141"/>
      <c r="B1095" s="141"/>
      <c r="C1095" s="141"/>
      <c r="D1095" s="141"/>
      <c r="E1095" s="1014"/>
      <c r="F1095" s="1014"/>
      <c r="G1095" s="1027"/>
      <c r="H1095" s="1027"/>
      <c r="I1095" s="1174"/>
      <c r="J1095" s="1174"/>
      <c r="K1095" s="1174"/>
      <c r="L1095" s="1172"/>
      <c r="M1095" s="1172"/>
      <c r="N1095" s="1175"/>
      <c r="O1095" s="143"/>
      <c r="P1095" s="1196"/>
      <c r="Q1095" s="141"/>
      <c r="R1095" s="141"/>
      <c r="S1095" s="148"/>
      <c r="T1095" s="419"/>
      <c r="U1095" s="559"/>
      <c r="V1095" s="141"/>
      <c r="W1095" s="141"/>
      <c r="X1095" s="141"/>
      <c r="Y1095" s="144"/>
      <c r="Z1095" s="141"/>
      <c r="AA1095" s="141"/>
      <c r="AB1095" s="141"/>
      <c r="AC1095" s="141"/>
      <c r="AD1095" s="141"/>
      <c r="AE1095" s="141"/>
      <c r="AF1095" s="145"/>
      <c r="AG1095" s="419"/>
    </row>
    <row r="1096" spans="1:33" s="139" customFormat="1" ht="12.75" customHeight="1" x14ac:dyDescent="0.2">
      <c r="A1096" s="141"/>
      <c r="B1096" s="141"/>
      <c r="C1096" s="141"/>
      <c r="D1096" s="141"/>
      <c r="E1096" s="1014"/>
      <c r="F1096" s="1014"/>
      <c r="G1096" s="1027"/>
      <c r="H1096" s="1027"/>
      <c r="I1096" s="1174"/>
      <c r="J1096" s="1174"/>
      <c r="K1096" s="1174"/>
      <c r="L1096" s="1172"/>
      <c r="M1096" s="1172"/>
      <c r="N1096" s="1175"/>
      <c r="O1096" s="143"/>
      <c r="P1096" s="1196"/>
      <c r="Q1096" s="141"/>
      <c r="R1096" s="141"/>
      <c r="S1096" s="148"/>
      <c r="T1096" s="419"/>
      <c r="U1096" s="559"/>
      <c r="V1096" s="141"/>
      <c r="W1096" s="141"/>
      <c r="X1096" s="141"/>
      <c r="Y1096" s="144"/>
      <c r="Z1096" s="141"/>
      <c r="AA1096" s="141"/>
      <c r="AB1096" s="141"/>
      <c r="AC1096" s="141"/>
      <c r="AD1096" s="141"/>
      <c r="AE1096" s="141"/>
      <c r="AF1096" s="145"/>
      <c r="AG1096" s="419"/>
    </row>
    <row r="1097" spans="1:33" s="139" customFormat="1" ht="12.75" customHeight="1" x14ac:dyDescent="0.2">
      <c r="A1097" s="141"/>
      <c r="B1097" s="141"/>
      <c r="C1097" s="141"/>
      <c r="D1097" s="141"/>
      <c r="E1097" s="1014"/>
      <c r="F1097" s="1014"/>
      <c r="G1097" s="1027"/>
      <c r="H1097" s="1027"/>
      <c r="I1097" s="1174"/>
      <c r="J1097" s="1174"/>
      <c r="K1097" s="1174"/>
      <c r="L1097" s="1172"/>
      <c r="M1097" s="1172"/>
      <c r="N1097" s="1175"/>
      <c r="O1097" s="143"/>
      <c r="P1097" s="1196"/>
      <c r="Q1097" s="141"/>
      <c r="R1097" s="141"/>
      <c r="S1097" s="148"/>
      <c r="T1097" s="419"/>
      <c r="U1097" s="559"/>
      <c r="V1097" s="141"/>
      <c r="W1097" s="141"/>
      <c r="X1097" s="141"/>
      <c r="Y1097" s="144"/>
      <c r="Z1097" s="141"/>
      <c r="AA1097" s="141"/>
      <c r="AB1097" s="141"/>
      <c r="AC1097" s="141"/>
      <c r="AD1097" s="141"/>
      <c r="AE1097" s="141"/>
      <c r="AF1097" s="145"/>
      <c r="AG1097" s="419"/>
    </row>
    <row r="1098" spans="1:33" s="139" customFormat="1" ht="12.75" customHeight="1" x14ac:dyDescent="0.2">
      <c r="A1098" s="141"/>
      <c r="B1098" s="141"/>
      <c r="C1098" s="141"/>
      <c r="D1098" s="141"/>
      <c r="E1098" s="1014"/>
      <c r="F1098" s="1014"/>
      <c r="G1098" s="1027"/>
      <c r="H1098" s="1027"/>
      <c r="I1098" s="1174"/>
      <c r="J1098" s="1174"/>
      <c r="K1098" s="1174"/>
      <c r="L1098" s="1172"/>
      <c r="M1098" s="1172"/>
      <c r="N1098" s="1175"/>
      <c r="O1098" s="143"/>
      <c r="P1098" s="1196"/>
      <c r="Q1098" s="141"/>
      <c r="R1098" s="141"/>
      <c r="S1098" s="148"/>
      <c r="T1098" s="419"/>
      <c r="U1098" s="559"/>
      <c r="V1098" s="141"/>
      <c r="W1098" s="141"/>
      <c r="X1098" s="141"/>
      <c r="Y1098" s="144"/>
      <c r="Z1098" s="141"/>
      <c r="AA1098" s="141"/>
      <c r="AB1098" s="141"/>
      <c r="AC1098" s="141"/>
      <c r="AD1098" s="141"/>
      <c r="AE1098" s="141"/>
      <c r="AF1098" s="145"/>
      <c r="AG1098" s="419"/>
    </row>
    <row r="1099" spans="1:33" s="139" customFormat="1" ht="12.75" customHeight="1" x14ac:dyDescent="0.2">
      <c r="A1099" s="141"/>
      <c r="B1099" s="141"/>
      <c r="C1099" s="141"/>
      <c r="D1099" s="141"/>
      <c r="E1099" s="1014"/>
      <c r="F1099" s="1014"/>
      <c r="G1099" s="1027"/>
      <c r="H1099" s="1027"/>
      <c r="I1099" s="1174"/>
      <c r="J1099" s="1174"/>
      <c r="K1099" s="1174"/>
      <c r="L1099" s="1172"/>
      <c r="M1099" s="1172"/>
      <c r="N1099" s="1175"/>
      <c r="O1099" s="143"/>
      <c r="P1099" s="1196"/>
      <c r="Q1099" s="141"/>
      <c r="R1099" s="141"/>
      <c r="S1099" s="148"/>
      <c r="T1099" s="419"/>
      <c r="U1099" s="559"/>
      <c r="V1099" s="141"/>
      <c r="W1099" s="141"/>
      <c r="X1099" s="141"/>
      <c r="Y1099" s="144"/>
      <c r="Z1099" s="141"/>
      <c r="AA1099" s="141"/>
      <c r="AB1099" s="141"/>
      <c r="AC1099" s="141"/>
      <c r="AD1099" s="141"/>
      <c r="AE1099" s="141"/>
      <c r="AF1099" s="145"/>
      <c r="AG1099" s="419"/>
    </row>
    <row r="1100" spans="1:33" s="139" customFormat="1" ht="12.75" customHeight="1" x14ac:dyDescent="0.2">
      <c r="A1100" s="141"/>
      <c r="B1100" s="141"/>
      <c r="C1100" s="141"/>
      <c r="D1100" s="141"/>
      <c r="E1100" s="1014"/>
      <c r="F1100" s="1014"/>
      <c r="G1100" s="1027"/>
      <c r="H1100" s="1027"/>
      <c r="I1100" s="1174"/>
      <c r="J1100" s="1174"/>
      <c r="K1100" s="1174"/>
      <c r="L1100" s="1172"/>
      <c r="M1100" s="1172"/>
      <c r="N1100" s="1175"/>
      <c r="O1100" s="143"/>
      <c r="P1100" s="1196"/>
      <c r="Q1100" s="141"/>
      <c r="R1100" s="141"/>
      <c r="S1100" s="148"/>
      <c r="T1100" s="419"/>
      <c r="U1100" s="559"/>
      <c r="V1100" s="141"/>
      <c r="W1100" s="141"/>
      <c r="X1100" s="141"/>
      <c r="Y1100" s="144"/>
      <c r="Z1100" s="141"/>
      <c r="AA1100" s="141"/>
      <c r="AB1100" s="141"/>
      <c r="AC1100" s="141"/>
      <c r="AD1100" s="141"/>
      <c r="AE1100" s="141"/>
      <c r="AF1100" s="145"/>
      <c r="AG1100" s="419"/>
    </row>
    <row r="1101" spans="1:33" s="139" customFormat="1" ht="12.75" customHeight="1" x14ac:dyDescent="0.2">
      <c r="A1101" s="141"/>
      <c r="B1101" s="141"/>
      <c r="C1101" s="141"/>
      <c r="D1101" s="141"/>
      <c r="E1101" s="1014"/>
      <c r="F1101" s="1014"/>
      <c r="G1101" s="1027"/>
      <c r="H1101" s="1027"/>
      <c r="I1101" s="1174"/>
      <c r="J1101" s="1174"/>
      <c r="K1101" s="1174"/>
      <c r="L1101" s="1172"/>
      <c r="M1101" s="1172"/>
      <c r="N1101" s="1175"/>
      <c r="O1101" s="143"/>
      <c r="P1101" s="1196"/>
      <c r="Q1101" s="141"/>
      <c r="R1101" s="141"/>
      <c r="S1101" s="148"/>
      <c r="T1101" s="419"/>
      <c r="U1101" s="559"/>
      <c r="V1101" s="141"/>
      <c r="W1101" s="141"/>
      <c r="X1101" s="141"/>
      <c r="Y1101" s="144"/>
      <c r="Z1101" s="141"/>
      <c r="AA1101" s="141"/>
      <c r="AB1101" s="141"/>
      <c r="AC1101" s="141"/>
      <c r="AD1101" s="141"/>
      <c r="AE1101" s="141"/>
      <c r="AF1101" s="145"/>
      <c r="AG1101" s="419"/>
    </row>
    <row r="1102" spans="1:33" s="139" customFormat="1" ht="12.75" customHeight="1" x14ac:dyDescent="0.2">
      <c r="A1102" s="141"/>
      <c r="B1102" s="141"/>
      <c r="C1102" s="141"/>
      <c r="D1102" s="141"/>
      <c r="E1102" s="1014"/>
      <c r="F1102" s="1014"/>
      <c r="G1102" s="1027"/>
      <c r="H1102" s="1027"/>
      <c r="I1102" s="1174"/>
      <c r="J1102" s="1174"/>
      <c r="K1102" s="1174"/>
      <c r="L1102" s="1172"/>
      <c r="M1102" s="1172"/>
      <c r="N1102" s="1175"/>
      <c r="O1102" s="143"/>
      <c r="P1102" s="1196"/>
      <c r="Q1102" s="141"/>
      <c r="R1102" s="141"/>
      <c r="S1102" s="148"/>
      <c r="T1102" s="419"/>
      <c r="U1102" s="559"/>
      <c r="V1102" s="141"/>
      <c r="W1102" s="141"/>
      <c r="X1102" s="141"/>
      <c r="Y1102" s="144"/>
      <c r="Z1102" s="141"/>
      <c r="AA1102" s="141"/>
      <c r="AB1102" s="141"/>
      <c r="AC1102" s="141"/>
      <c r="AD1102" s="141"/>
      <c r="AE1102" s="141"/>
      <c r="AF1102" s="145"/>
      <c r="AG1102" s="419"/>
    </row>
    <row r="1103" spans="1:33" s="139" customFormat="1" ht="12.75" customHeight="1" x14ac:dyDescent="0.2">
      <c r="A1103" s="141"/>
      <c r="B1103" s="141"/>
      <c r="C1103" s="141"/>
      <c r="D1103" s="141"/>
      <c r="E1103" s="1014"/>
      <c r="F1103" s="1014"/>
      <c r="G1103" s="1027"/>
      <c r="H1103" s="1027"/>
      <c r="I1103" s="1174"/>
      <c r="J1103" s="1174"/>
      <c r="K1103" s="1174"/>
      <c r="L1103" s="1172"/>
      <c r="M1103" s="1172"/>
      <c r="N1103" s="1175"/>
      <c r="O1103" s="143"/>
      <c r="P1103" s="1196"/>
      <c r="Q1103" s="141"/>
      <c r="R1103" s="141"/>
      <c r="S1103" s="148"/>
      <c r="T1103" s="419"/>
      <c r="U1103" s="559"/>
      <c r="V1103" s="141"/>
      <c r="W1103" s="141"/>
      <c r="X1103" s="141"/>
      <c r="Y1103" s="144"/>
      <c r="Z1103" s="141"/>
      <c r="AA1103" s="141"/>
      <c r="AB1103" s="141"/>
      <c r="AC1103" s="141"/>
      <c r="AD1103" s="141"/>
      <c r="AE1103" s="141"/>
      <c r="AF1103" s="145"/>
      <c r="AG1103" s="419"/>
    </row>
    <row r="1104" spans="1:33" s="139" customFormat="1" ht="12.75" customHeight="1" x14ac:dyDescent="0.2">
      <c r="A1104" s="141"/>
      <c r="B1104" s="141"/>
      <c r="C1104" s="141"/>
      <c r="D1104" s="141"/>
      <c r="E1104" s="1014"/>
      <c r="F1104" s="1014"/>
      <c r="G1104" s="1027"/>
      <c r="H1104" s="1027"/>
      <c r="I1104" s="1174"/>
      <c r="J1104" s="1174"/>
      <c r="K1104" s="1174"/>
      <c r="L1104" s="1172"/>
      <c r="M1104" s="1172"/>
      <c r="N1104" s="1175"/>
      <c r="O1104" s="143"/>
      <c r="P1104" s="1196"/>
      <c r="Q1104" s="141"/>
      <c r="R1104" s="141"/>
      <c r="S1104" s="148"/>
      <c r="T1104" s="419"/>
      <c r="U1104" s="559"/>
      <c r="V1104" s="141"/>
      <c r="W1104" s="141"/>
      <c r="X1104" s="141"/>
      <c r="Y1104" s="144"/>
      <c r="Z1104" s="141"/>
      <c r="AA1104" s="141"/>
      <c r="AB1104" s="141"/>
      <c r="AC1104" s="141"/>
      <c r="AD1104" s="141"/>
      <c r="AE1104" s="141"/>
      <c r="AF1104" s="145"/>
      <c r="AG1104" s="419"/>
    </row>
    <row r="1105" spans="1:33" s="139" customFormat="1" ht="12.75" customHeight="1" x14ac:dyDescent="0.2">
      <c r="A1105" s="141"/>
      <c r="B1105" s="141"/>
      <c r="C1105" s="141"/>
      <c r="D1105" s="141"/>
      <c r="E1105" s="1014"/>
      <c r="F1105" s="1014"/>
      <c r="G1105" s="1027"/>
      <c r="H1105" s="1027"/>
      <c r="I1105" s="1174"/>
      <c r="J1105" s="1174"/>
      <c r="K1105" s="1174"/>
      <c r="L1105" s="1172"/>
      <c r="M1105" s="1172"/>
      <c r="N1105" s="1175"/>
      <c r="O1105" s="143"/>
      <c r="P1105" s="1196"/>
      <c r="Q1105" s="141"/>
      <c r="R1105" s="141"/>
      <c r="S1105" s="148"/>
      <c r="T1105" s="419"/>
      <c r="U1105" s="559"/>
      <c r="V1105" s="141"/>
      <c r="W1105" s="141"/>
      <c r="X1105" s="141"/>
      <c r="Y1105" s="144"/>
      <c r="Z1105" s="141"/>
      <c r="AA1105" s="141"/>
      <c r="AB1105" s="141"/>
      <c r="AC1105" s="141"/>
      <c r="AD1105" s="141"/>
      <c r="AE1105" s="141"/>
      <c r="AF1105" s="145"/>
      <c r="AG1105" s="419"/>
    </row>
    <row r="1106" spans="1:33" s="139" customFormat="1" ht="12.75" customHeight="1" x14ac:dyDescent="0.2">
      <c r="A1106" s="141"/>
      <c r="B1106" s="141"/>
      <c r="C1106" s="141"/>
      <c r="D1106" s="141"/>
      <c r="E1106" s="1014"/>
      <c r="F1106" s="1014"/>
      <c r="G1106" s="1027"/>
      <c r="H1106" s="1027"/>
      <c r="I1106" s="1174"/>
      <c r="J1106" s="1174"/>
      <c r="K1106" s="1174"/>
      <c r="L1106" s="1172"/>
      <c r="M1106" s="1172"/>
      <c r="N1106" s="1175"/>
      <c r="O1106" s="143"/>
      <c r="P1106" s="1196"/>
      <c r="Q1106" s="141"/>
      <c r="R1106" s="141"/>
      <c r="S1106" s="148"/>
      <c r="T1106" s="419"/>
      <c r="U1106" s="559"/>
      <c r="V1106" s="141"/>
      <c r="W1106" s="141"/>
      <c r="X1106" s="141"/>
      <c r="Y1106" s="144"/>
      <c r="Z1106" s="141"/>
      <c r="AA1106" s="141"/>
      <c r="AB1106" s="141"/>
      <c r="AC1106" s="141"/>
      <c r="AD1106" s="141"/>
      <c r="AE1106" s="141"/>
      <c r="AF1106" s="145"/>
      <c r="AG1106" s="419"/>
    </row>
    <row r="1107" spans="1:33" s="139" customFormat="1" ht="12.75" customHeight="1" x14ac:dyDescent="0.2">
      <c r="A1107" s="141"/>
      <c r="B1107" s="141"/>
      <c r="C1107" s="141"/>
      <c r="D1107" s="141"/>
      <c r="E1107" s="1014"/>
      <c r="F1107" s="1014"/>
      <c r="G1107" s="1027"/>
      <c r="H1107" s="1027"/>
      <c r="I1107" s="1174"/>
      <c r="J1107" s="1174"/>
      <c r="K1107" s="1174"/>
      <c r="L1107" s="1172"/>
      <c r="M1107" s="1172"/>
      <c r="N1107" s="1175"/>
      <c r="O1107" s="143"/>
      <c r="P1107" s="1196"/>
      <c r="Q1107" s="141"/>
      <c r="R1107" s="141"/>
      <c r="S1107" s="148"/>
      <c r="T1107" s="419"/>
      <c r="U1107" s="559"/>
      <c r="V1107" s="141"/>
      <c r="W1107" s="141"/>
      <c r="X1107" s="141"/>
      <c r="Y1107" s="144"/>
      <c r="Z1107" s="141"/>
      <c r="AA1107" s="141"/>
      <c r="AB1107" s="141"/>
      <c r="AC1107" s="141"/>
      <c r="AD1107" s="141"/>
      <c r="AE1107" s="141"/>
      <c r="AF1107" s="145"/>
      <c r="AG1107" s="419"/>
    </row>
    <row r="1108" spans="1:33" s="139" customFormat="1" ht="12.75" customHeight="1" x14ac:dyDescent="0.2">
      <c r="A1108" s="141"/>
      <c r="B1108" s="141"/>
      <c r="C1108" s="141"/>
      <c r="D1108" s="141"/>
      <c r="E1108" s="1014"/>
      <c r="F1108" s="1014"/>
      <c r="G1108" s="1027"/>
      <c r="H1108" s="1027"/>
      <c r="I1108" s="1174"/>
      <c r="J1108" s="1174"/>
      <c r="K1108" s="1174"/>
      <c r="L1108" s="1172"/>
      <c r="M1108" s="1172"/>
      <c r="N1108" s="1175"/>
      <c r="O1108" s="143"/>
      <c r="P1108" s="1196"/>
      <c r="Q1108" s="141"/>
      <c r="R1108" s="141"/>
      <c r="S1108" s="148"/>
      <c r="T1108" s="419"/>
      <c r="U1108" s="559"/>
      <c r="V1108" s="141"/>
      <c r="W1108" s="141"/>
      <c r="X1108" s="141"/>
      <c r="Y1108" s="144"/>
      <c r="Z1108" s="141"/>
      <c r="AA1108" s="141"/>
      <c r="AB1108" s="141"/>
      <c r="AC1108" s="141"/>
      <c r="AD1108" s="141"/>
      <c r="AE1108" s="141"/>
      <c r="AF1108" s="145"/>
      <c r="AG1108" s="419"/>
    </row>
    <row r="1109" spans="1:33" s="139" customFormat="1" ht="12.75" customHeight="1" x14ac:dyDescent="0.2">
      <c r="A1109" s="141"/>
      <c r="B1109" s="141"/>
      <c r="C1109" s="141"/>
      <c r="D1109" s="141"/>
      <c r="E1109" s="1014"/>
      <c r="F1109" s="1014"/>
      <c r="G1109" s="1027"/>
      <c r="H1109" s="1027"/>
      <c r="I1109" s="1174"/>
      <c r="J1109" s="1174"/>
      <c r="K1109" s="1174"/>
      <c r="L1109" s="1172"/>
      <c r="M1109" s="1172"/>
      <c r="N1109" s="1175"/>
      <c r="O1109" s="143"/>
      <c r="P1109" s="1196"/>
      <c r="Q1109" s="141"/>
      <c r="R1109" s="141"/>
      <c r="S1109" s="148"/>
      <c r="T1109" s="419"/>
      <c r="U1109" s="559"/>
      <c r="V1109" s="141"/>
      <c r="W1109" s="141"/>
      <c r="X1109" s="141"/>
      <c r="Y1109" s="144"/>
      <c r="Z1109" s="141"/>
      <c r="AA1109" s="141"/>
      <c r="AB1109" s="141"/>
      <c r="AC1109" s="141"/>
      <c r="AD1109" s="141"/>
      <c r="AE1109" s="141"/>
      <c r="AF1109" s="145"/>
      <c r="AG1109" s="419"/>
    </row>
    <row r="1110" spans="1:33" s="139" customFormat="1" ht="12.75" customHeight="1" x14ac:dyDescent="0.2">
      <c r="A1110" s="141"/>
      <c r="B1110" s="141"/>
      <c r="C1110" s="141"/>
      <c r="D1110" s="141"/>
      <c r="E1110" s="1014"/>
      <c r="F1110" s="1014"/>
      <c r="G1110" s="1027"/>
      <c r="H1110" s="1027"/>
      <c r="I1110" s="1174"/>
      <c r="J1110" s="1174"/>
      <c r="K1110" s="1174"/>
      <c r="L1110" s="1172"/>
      <c r="M1110" s="1172"/>
      <c r="N1110" s="1175"/>
      <c r="O1110" s="143"/>
      <c r="P1110" s="1196"/>
      <c r="Q1110" s="141"/>
      <c r="R1110" s="141"/>
      <c r="S1110" s="148"/>
      <c r="T1110" s="419"/>
      <c r="U1110" s="559"/>
      <c r="V1110" s="141"/>
      <c r="W1110" s="141"/>
      <c r="X1110" s="141"/>
      <c r="Y1110" s="144"/>
      <c r="Z1110" s="141"/>
      <c r="AA1110" s="141"/>
      <c r="AB1110" s="141"/>
      <c r="AC1110" s="141"/>
      <c r="AD1110" s="141"/>
      <c r="AE1110" s="141"/>
      <c r="AF1110" s="145"/>
      <c r="AG1110" s="419"/>
    </row>
    <row r="1111" spans="1:33" s="139" customFormat="1" ht="12.75" customHeight="1" x14ac:dyDescent="0.2">
      <c r="A1111" s="141"/>
      <c r="B1111" s="141"/>
      <c r="C1111" s="141"/>
      <c r="D1111" s="141"/>
      <c r="E1111" s="1014"/>
      <c r="F1111" s="1014"/>
      <c r="G1111" s="1027"/>
      <c r="H1111" s="1027"/>
      <c r="I1111" s="1174"/>
      <c r="J1111" s="1174"/>
      <c r="K1111" s="1174"/>
      <c r="L1111" s="1172"/>
      <c r="M1111" s="1172"/>
      <c r="N1111" s="1175"/>
      <c r="O1111" s="143"/>
      <c r="P1111" s="1196"/>
      <c r="Q1111" s="141"/>
      <c r="R1111" s="141"/>
      <c r="S1111" s="148"/>
      <c r="T1111" s="419"/>
      <c r="U1111" s="559"/>
      <c r="V1111" s="141"/>
      <c r="W1111" s="141"/>
      <c r="X1111" s="141"/>
      <c r="Y1111" s="144"/>
      <c r="Z1111" s="141"/>
      <c r="AA1111" s="141"/>
      <c r="AB1111" s="141"/>
      <c r="AC1111" s="141"/>
      <c r="AD1111" s="141"/>
      <c r="AE1111" s="141"/>
      <c r="AF1111" s="145"/>
      <c r="AG1111" s="419"/>
    </row>
    <row r="1112" spans="1:33" s="139" customFormat="1" ht="12.75" customHeight="1" x14ac:dyDescent="0.2">
      <c r="A1112" s="141"/>
      <c r="B1112" s="141"/>
      <c r="C1112" s="141"/>
      <c r="D1112" s="141"/>
      <c r="E1112" s="1014"/>
      <c r="F1112" s="1014"/>
      <c r="G1112" s="1027"/>
      <c r="H1112" s="1027"/>
      <c r="I1112" s="1174"/>
      <c r="J1112" s="1174"/>
      <c r="K1112" s="1174"/>
      <c r="L1112" s="1172"/>
      <c r="M1112" s="1172"/>
      <c r="N1112" s="1175"/>
      <c r="O1112" s="143"/>
      <c r="P1112" s="1196"/>
      <c r="Q1112" s="141"/>
      <c r="R1112" s="141"/>
      <c r="S1112" s="148"/>
      <c r="T1112" s="419"/>
      <c r="U1112" s="559"/>
      <c r="V1112" s="141"/>
      <c r="W1112" s="141"/>
      <c r="X1112" s="141"/>
      <c r="Y1112" s="144"/>
      <c r="Z1112" s="141"/>
      <c r="AA1112" s="141"/>
      <c r="AB1112" s="141"/>
      <c r="AC1112" s="141"/>
      <c r="AD1112" s="141"/>
      <c r="AE1112" s="141"/>
      <c r="AF1112" s="145"/>
      <c r="AG1112" s="419"/>
    </row>
    <row r="1113" spans="1:33" s="139" customFormat="1" ht="12.75" customHeight="1" x14ac:dyDescent="0.2">
      <c r="A1113" s="141"/>
      <c r="B1113" s="141"/>
      <c r="C1113" s="141"/>
      <c r="D1113" s="141"/>
      <c r="E1113" s="1014"/>
      <c r="F1113" s="1014"/>
      <c r="G1113" s="1027"/>
      <c r="H1113" s="1027"/>
      <c r="I1113" s="1174"/>
      <c r="J1113" s="1174"/>
      <c r="K1113" s="1174"/>
      <c r="L1113" s="1172"/>
      <c r="M1113" s="1172"/>
      <c r="N1113" s="1175"/>
      <c r="O1113" s="143"/>
      <c r="P1113" s="1196"/>
      <c r="Q1113" s="141"/>
      <c r="R1113" s="141"/>
      <c r="S1113" s="148"/>
      <c r="T1113" s="419"/>
      <c r="U1113" s="559"/>
      <c r="V1113" s="141"/>
      <c r="W1113" s="141"/>
      <c r="X1113" s="141"/>
      <c r="Y1113" s="144"/>
      <c r="Z1113" s="141"/>
      <c r="AA1113" s="141"/>
      <c r="AB1113" s="141"/>
      <c r="AC1113" s="141"/>
      <c r="AD1113" s="141"/>
      <c r="AE1113" s="141"/>
      <c r="AF1113" s="145"/>
      <c r="AG1113" s="419"/>
    </row>
    <row r="1114" spans="1:33" s="139" customFormat="1" ht="12.75" customHeight="1" x14ac:dyDescent="0.2">
      <c r="A1114" s="141"/>
      <c r="B1114" s="141"/>
      <c r="C1114" s="141"/>
      <c r="D1114" s="141"/>
      <c r="E1114" s="1014"/>
      <c r="F1114" s="1014"/>
      <c r="G1114" s="1027"/>
      <c r="H1114" s="1027"/>
      <c r="I1114" s="1174"/>
      <c r="J1114" s="1174"/>
      <c r="K1114" s="1174"/>
      <c r="L1114" s="1172"/>
      <c r="M1114" s="1172"/>
      <c r="N1114" s="1175"/>
      <c r="O1114" s="143"/>
      <c r="P1114" s="1196"/>
      <c r="Q1114" s="141"/>
      <c r="R1114" s="141"/>
      <c r="S1114" s="148"/>
      <c r="T1114" s="419"/>
      <c r="U1114" s="559"/>
      <c r="V1114" s="141"/>
      <c r="W1114" s="141"/>
      <c r="X1114" s="141"/>
      <c r="Y1114" s="144"/>
      <c r="Z1114" s="141"/>
      <c r="AA1114" s="141"/>
      <c r="AB1114" s="141"/>
      <c r="AC1114" s="141"/>
      <c r="AD1114" s="141"/>
      <c r="AE1114" s="141"/>
      <c r="AF1114" s="145"/>
      <c r="AG1114" s="419"/>
    </row>
    <row r="1115" spans="1:33" s="139" customFormat="1" ht="12.75" customHeight="1" x14ac:dyDescent="0.2">
      <c r="A1115" s="141"/>
      <c r="B1115" s="141"/>
      <c r="C1115" s="141"/>
      <c r="D1115" s="141"/>
      <c r="E1115" s="1014"/>
      <c r="F1115" s="1014"/>
      <c r="G1115" s="1027"/>
      <c r="H1115" s="1027"/>
      <c r="I1115" s="1174"/>
      <c r="J1115" s="1174"/>
      <c r="K1115" s="1174"/>
      <c r="L1115" s="1172"/>
      <c r="M1115" s="1172"/>
      <c r="N1115" s="1175"/>
      <c r="O1115" s="143"/>
      <c r="P1115" s="1196"/>
      <c r="Q1115" s="141"/>
      <c r="R1115" s="141"/>
      <c r="S1115" s="148"/>
      <c r="T1115" s="419"/>
      <c r="U1115" s="559"/>
      <c r="V1115" s="141"/>
      <c r="W1115" s="141"/>
      <c r="X1115" s="141"/>
      <c r="Y1115" s="144"/>
      <c r="Z1115" s="141"/>
      <c r="AA1115" s="141"/>
      <c r="AB1115" s="141"/>
      <c r="AC1115" s="141"/>
      <c r="AD1115" s="141"/>
      <c r="AE1115" s="141"/>
      <c r="AF1115" s="145"/>
      <c r="AG1115" s="419"/>
    </row>
    <row r="1116" spans="1:33" s="139" customFormat="1" ht="12.75" customHeight="1" x14ac:dyDescent="0.2">
      <c r="A1116" s="141"/>
      <c r="B1116" s="141"/>
      <c r="C1116" s="141"/>
      <c r="D1116" s="141"/>
      <c r="E1116" s="1014"/>
      <c r="F1116" s="1014"/>
      <c r="G1116" s="1027"/>
      <c r="H1116" s="1027"/>
      <c r="I1116" s="1174"/>
      <c r="J1116" s="1174"/>
      <c r="K1116" s="1174"/>
      <c r="L1116" s="1172"/>
      <c r="M1116" s="1172"/>
      <c r="N1116" s="1175"/>
      <c r="O1116" s="143"/>
      <c r="P1116" s="1196"/>
      <c r="Q1116" s="141"/>
      <c r="R1116" s="141"/>
      <c r="S1116" s="148"/>
      <c r="T1116" s="419"/>
      <c r="U1116" s="559"/>
      <c r="V1116" s="141"/>
      <c r="W1116" s="141"/>
      <c r="X1116" s="141"/>
      <c r="Y1116" s="144"/>
      <c r="Z1116" s="141"/>
      <c r="AA1116" s="141"/>
      <c r="AB1116" s="141"/>
      <c r="AC1116" s="141"/>
      <c r="AD1116" s="141"/>
      <c r="AE1116" s="141"/>
      <c r="AF1116" s="145"/>
      <c r="AG1116" s="419"/>
    </row>
    <row r="1117" spans="1:33" s="139" customFormat="1" ht="12.75" customHeight="1" x14ac:dyDescent="0.2">
      <c r="A1117" s="141"/>
      <c r="B1117" s="141"/>
      <c r="C1117" s="141"/>
      <c r="D1117" s="141"/>
      <c r="E1117" s="1014"/>
      <c r="F1117" s="1014"/>
      <c r="G1117" s="1027"/>
      <c r="H1117" s="1027"/>
      <c r="I1117" s="1174"/>
      <c r="J1117" s="1174"/>
      <c r="K1117" s="1174"/>
      <c r="L1117" s="1172"/>
      <c r="M1117" s="1172"/>
      <c r="N1117" s="1175"/>
      <c r="O1117" s="143"/>
      <c r="P1117" s="1196"/>
      <c r="Q1117" s="141"/>
      <c r="R1117" s="141"/>
      <c r="S1117" s="148"/>
      <c r="T1117" s="419"/>
      <c r="U1117" s="559"/>
      <c r="V1117" s="141"/>
      <c r="W1117" s="141"/>
      <c r="X1117" s="141"/>
      <c r="Y1117" s="144"/>
      <c r="Z1117" s="141"/>
      <c r="AA1117" s="141"/>
      <c r="AB1117" s="141"/>
      <c r="AC1117" s="141"/>
      <c r="AD1117" s="141"/>
      <c r="AE1117" s="141"/>
      <c r="AF1117" s="145"/>
      <c r="AG1117" s="419"/>
    </row>
    <row r="1118" spans="1:33" s="139" customFormat="1" ht="12.75" customHeight="1" x14ac:dyDescent="0.2">
      <c r="A1118" s="141"/>
      <c r="B1118" s="141"/>
      <c r="C1118" s="141"/>
      <c r="D1118" s="141"/>
      <c r="E1118" s="1014"/>
      <c r="F1118" s="1014"/>
      <c r="G1118" s="1027"/>
      <c r="H1118" s="1027"/>
      <c r="I1118" s="1174"/>
      <c r="J1118" s="1174"/>
      <c r="K1118" s="1174"/>
      <c r="L1118" s="1172"/>
      <c r="M1118" s="1172"/>
      <c r="N1118" s="1175"/>
      <c r="O1118" s="143"/>
      <c r="P1118" s="1196"/>
      <c r="Q1118" s="141"/>
      <c r="R1118" s="141"/>
      <c r="S1118" s="148"/>
      <c r="T1118" s="419"/>
      <c r="U1118" s="559"/>
      <c r="V1118" s="141"/>
      <c r="W1118" s="141"/>
      <c r="X1118" s="141"/>
      <c r="Y1118" s="144"/>
      <c r="Z1118" s="141"/>
      <c r="AA1118" s="141"/>
      <c r="AB1118" s="141"/>
      <c r="AC1118" s="141"/>
      <c r="AD1118" s="141"/>
      <c r="AE1118" s="141"/>
      <c r="AF1118" s="145"/>
      <c r="AG1118" s="419"/>
    </row>
    <row r="1119" spans="1:33" s="139" customFormat="1" ht="12.75" customHeight="1" x14ac:dyDescent="0.2">
      <c r="A1119" s="141"/>
      <c r="B1119" s="141"/>
      <c r="C1119" s="141"/>
      <c r="D1119" s="141"/>
      <c r="E1119" s="1014"/>
      <c r="F1119" s="1014"/>
      <c r="G1119" s="1027"/>
      <c r="H1119" s="1027"/>
      <c r="I1119" s="1174"/>
      <c r="J1119" s="1174"/>
      <c r="K1119" s="1174"/>
      <c r="L1119" s="1172"/>
      <c r="M1119" s="1172"/>
      <c r="N1119" s="1175"/>
      <c r="O1119" s="143"/>
      <c r="P1119" s="1196"/>
      <c r="Q1119" s="141"/>
      <c r="R1119" s="141"/>
      <c r="S1119" s="148"/>
      <c r="T1119" s="419"/>
      <c r="U1119" s="559"/>
      <c r="V1119" s="141"/>
      <c r="W1119" s="141"/>
      <c r="X1119" s="141"/>
      <c r="Y1119" s="144"/>
      <c r="Z1119" s="141"/>
      <c r="AA1119" s="141"/>
      <c r="AB1119" s="141"/>
      <c r="AC1119" s="141"/>
      <c r="AD1119" s="141"/>
      <c r="AE1119" s="141"/>
      <c r="AF1119" s="145"/>
      <c r="AG1119" s="419"/>
    </row>
    <row r="1120" spans="1:33" s="139" customFormat="1" ht="12.75" customHeight="1" x14ac:dyDescent="0.2">
      <c r="A1120" s="141"/>
      <c r="B1120" s="141"/>
      <c r="C1120" s="141"/>
      <c r="D1120" s="141"/>
      <c r="E1120" s="1014"/>
      <c r="F1120" s="1014"/>
      <c r="G1120" s="1027"/>
      <c r="H1120" s="1027"/>
      <c r="I1120" s="1174"/>
      <c r="J1120" s="1174"/>
      <c r="K1120" s="1174"/>
      <c r="L1120" s="1172"/>
      <c r="M1120" s="1172"/>
      <c r="N1120" s="1175"/>
      <c r="O1120" s="143"/>
      <c r="P1120" s="1196"/>
      <c r="Q1120" s="141"/>
      <c r="R1120" s="141"/>
      <c r="S1120" s="148"/>
      <c r="T1120" s="419"/>
      <c r="U1120" s="559"/>
      <c r="V1120" s="141"/>
      <c r="W1120" s="141"/>
      <c r="X1120" s="141"/>
      <c r="Y1120" s="144"/>
      <c r="Z1120" s="141"/>
      <c r="AA1120" s="141"/>
      <c r="AB1120" s="141"/>
      <c r="AC1120" s="141"/>
      <c r="AD1120" s="141"/>
      <c r="AE1120" s="141"/>
      <c r="AF1120" s="145"/>
      <c r="AG1120" s="419"/>
    </row>
    <row r="1121" spans="1:33" s="139" customFormat="1" ht="12.75" customHeight="1" x14ac:dyDescent="0.2">
      <c r="A1121" s="141"/>
      <c r="B1121" s="141"/>
      <c r="C1121" s="141"/>
      <c r="D1121" s="141"/>
      <c r="E1121" s="1014"/>
      <c r="F1121" s="1014"/>
      <c r="G1121" s="1027"/>
      <c r="H1121" s="1027"/>
      <c r="I1121" s="1174"/>
      <c r="J1121" s="1174"/>
      <c r="K1121" s="1174"/>
      <c r="L1121" s="1172"/>
      <c r="M1121" s="1172"/>
      <c r="N1121" s="1175"/>
      <c r="O1121" s="143"/>
      <c r="P1121" s="1196"/>
      <c r="Q1121" s="141"/>
      <c r="R1121" s="141"/>
      <c r="S1121" s="148"/>
      <c r="T1121" s="419"/>
      <c r="U1121" s="559"/>
      <c r="V1121" s="141"/>
      <c r="W1121" s="141"/>
      <c r="X1121" s="141"/>
      <c r="Y1121" s="144"/>
      <c r="Z1121" s="141"/>
      <c r="AA1121" s="141"/>
      <c r="AB1121" s="141"/>
      <c r="AC1121" s="141"/>
      <c r="AD1121" s="141"/>
      <c r="AE1121" s="141"/>
      <c r="AF1121" s="145"/>
      <c r="AG1121" s="419"/>
    </row>
    <row r="1122" spans="1:33" s="139" customFormat="1" ht="12.75" customHeight="1" x14ac:dyDescent="0.2">
      <c r="A1122" s="141"/>
      <c r="B1122" s="141"/>
      <c r="C1122" s="141"/>
      <c r="D1122" s="141"/>
      <c r="E1122" s="1014"/>
      <c r="F1122" s="1014"/>
      <c r="G1122" s="1027"/>
      <c r="H1122" s="1027"/>
      <c r="I1122" s="1174"/>
      <c r="J1122" s="1174"/>
      <c r="K1122" s="1174"/>
      <c r="L1122" s="1172"/>
      <c r="M1122" s="1172"/>
      <c r="N1122" s="1175"/>
      <c r="O1122" s="143"/>
      <c r="P1122" s="1196"/>
      <c r="Q1122" s="141"/>
      <c r="R1122" s="141"/>
      <c r="S1122" s="148"/>
      <c r="T1122" s="419"/>
      <c r="U1122" s="559"/>
      <c r="V1122" s="141"/>
      <c r="W1122" s="141"/>
      <c r="X1122" s="141"/>
      <c r="Y1122" s="144"/>
      <c r="Z1122" s="141"/>
      <c r="AA1122" s="141"/>
      <c r="AB1122" s="141"/>
      <c r="AC1122" s="141"/>
      <c r="AD1122" s="141"/>
      <c r="AE1122" s="141"/>
      <c r="AF1122" s="145"/>
      <c r="AG1122" s="419"/>
    </row>
    <row r="1123" spans="1:33" s="139" customFormat="1" ht="12.75" customHeight="1" x14ac:dyDescent="0.2">
      <c r="A1123" s="141"/>
      <c r="B1123" s="141"/>
      <c r="C1123" s="141"/>
      <c r="D1123" s="141"/>
      <c r="E1123" s="1014"/>
      <c r="F1123" s="1014"/>
      <c r="G1123" s="1027"/>
      <c r="H1123" s="1027"/>
      <c r="I1123" s="1174"/>
      <c r="J1123" s="1174"/>
      <c r="K1123" s="1174"/>
      <c r="L1123" s="1172"/>
      <c r="M1123" s="1172"/>
      <c r="N1123" s="1175"/>
      <c r="O1123" s="143"/>
      <c r="P1123" s="1196"/>
      <c r="Q1123" s="141"/>
      <c r="R1123" s="141"/>
      <c r="S1123" s="148"/>
      <c r="T1123" s="419"/>
      <c r="U1123" s="559"/>
      <c r="V1123" s="141"/>
      <c r="W1123" s="141"/>
      <c r="X1123" s="141"/>
      <c r="Y1123" s="144"/>
      <c r="Z1123" s="141"/>
      <c r="AA1123" s="141"/>
      <c r="AB1123" s="141"/>
      <c r="AC1123" s="141"/>
      <c r="AD1123" s="141"/>
      <c r="AE1123" s="141"/>
      <c r="AF1123" s="145"/>
      <c r="AG1123" s="419"/>
    </row>
    <row r="1124" spans="1:33" s="139" customFormat="1" ht="12.75" customHeight="1" x14ac:dyDescent="0.2">
      <c r="A1124" s="141"/>
      <c r="B1124" s="141"/>
      <c r="C1124" s="141"/>
      <c r="D1124" s="141"/>
      <c r="E1124" s="1014"/>
      <c r="F1124" s="1014"/>
      <c r="G1124" s="1027"/>
      <c r="H1124" s="1027"/>
      <c r="I1124" s="1174"/>
      <c r="J1124" s="1174"/>
      <c r="K1124" s="1174"/>
      <c r="L1124" s="1172"/>
      <c r="M1124" s="1172"/>
      <c r="N1124" s="1175"/>
      <c r="O1124" s="143"/>
      <c r="P1124" s="1196"/>
      <c r="Q1124" s="141"/>
      <c r="R1124" s="141"/>
      <c r="S1124" s="148"/>
      <c r="T1124" s="419"/>
      <c r="U1124" s="559"/>
      <c r="V1124" s="141"/>
      <c r="W1124" s="141"/>
      <c r="X1124" s="141"/>
      <c r="Y1124" s="144"/>
      <c r="Z1124" s="141"/>
      <c r="AA1124" s="141"/>
      <c r="AB1124" s="141"/>
      <c r="AC1124" s="141"/>
      <c r="AD1124" s="141"/>
      <c r="AE1124" s="141"/>
      <c r="AF1124" s="145"/>
      <c r="AG1124" s="419"/>
    </row>
    <row r="1125" spans="1:33" s="139" customFormat="1" ht="12.75" customHeight="1" x14ac:dyDescent="0.2">
      <c r="A1125" s="141"/>
      <c r="B1125" s="141"/>
      <c r="C1125" s="141"/>
      <c r="D1125" s="141"/>
      <c r="E1125" s="1014"/>
      <c r="F1125" s="1014"/>
      <c r="G1125" s="1027"/>
      <c r="H1125" s="1027"/>
      <c r="I1125" s="1174"/>
      <c r="J1125" s="1174"/>
      <c r="K1125" s="1174"/>
      <c r="L1125" s="1172"/>
      <c r="M1125" s="1172"/>
      <c r="N1125" s="1175"/>
      <c r="O1125" s="143"/>
      <c r="P1125" s="1196"/>
      <c r="Q1125" s="141"/>
      <c r="R1125" s="141"/>
      <c r="S1125" s="148"/>
      <c r="T1125" s="419"/>
      <c r="U1125" s="559"/>
      <c r="V1125" s="141"/>
      <c r="W1125" s="141"/>
      <c r="X1125" s="141"/>
      <c r="Y1125" s="144"/>
      <c r="Z1125" s="141"/>
      <c r="AA1125" s="141"/>
      <c r="AB1125" s="141"/>
      <c r="AC1125" s="141"/>
      <c r="AD1125" s="141"/>
      <c r="AE1125" s="141"/>
      <c r="AF1125" s="145"/>
      <c r="AG1125" s="419"/>
    </row>
    <row r="1126" spans="1:33" s="139" customFormat="1" ht="12.75" customHeight="1" x14ac:dyDescent="0.2">
      <c r="A1126" s="141"/>
      <c r="B1126" s="141"/>
      <c r="C1126" s="141"/>
      <c r="D1126" s="141"/>
      <c r="E1126" s="1014"/>
      <c r="F1126" s="1014"/>
      <c r="G1126" s="1027"/>
      <c r="H1126" s="1027"/>
      <c r="I1126" s="1174"/>
      <c r="J1126" s="1174"/>
      <c r="K1126" s="1174"/>
      <c r="L1126" s="1172"/>
      <c r="M1126" s="1172"/>
      <c r="N1126" s="1175"/>
      <c r="O1126" s="143"/>
      <c r="P1126" s="1196"/>
      <c r="Q1126" s="141"/>
      <c r="R1126" s="141"/>
      <c r="S1126" s="148"/>
      <c r="T1126" s="419"/>
      <c r="U1126" s="559"/>
      <c r="V1126" s="141"/>
      <c r="W1126" s="141"/>
      <c r="X1126" s="141"/>
      <c r="Y1126" s="144"/>
      <c r="Z1126" s="141"/>
      <c r="AA1126" s="141"/>
      <c r="AB1126" s="141"/>
      <c r="AC1126" s="141"/>
      <c r="AD1126" s="141"/>
      <c r="AE1126" s="141"/>
      <c r="AF1126" s="145"/>
      <c r="AG1126" s="419"/>
    </row>
    <row r="1127" spans="1:33" s="139" customFormat="1" ht="12.75" customHeight="1" x14ac:dyDescent="0.2">
      <c r="A1127" s="141"/>
      <c r="B1127" s="141"/>
      <c r="C1127" s="141"/>
      <c r="D1127" s="141"/>
      <c r="E1127" s="1014"/>
      <c r="F1127" s="1014"/>
      <c r="G1127" s="1027"/>
      <c r="H1127" s="1027"/>
      <c r="I1127" s="1174"/>
      <c r="J1127" s="1174"/>
      <c r="K1127" s="1174"/>
      <c r="L1127" s="1172"/>
      <c r="M1127" s="1172"/>
      <c r="N1127" s="1175"/>
      <c r="O1127" s="143"/>
      <c r="P1127" s="1196"/>
      <c r="Q1127" s="141"/>
      <c r="R1127" s="141"/>
      <c r="S1127" s="148"/>
      <c r="T1127" s="419"/>
      <c r="U1127" s="559"/>
      <c r="V1127" s="141"/>
      <c r="W1127" s="141"/>
      <c r="X1127" s="141"/>
      <c r="Y1127" s="144"/>
      <c r="Z1127" s="141"/>
      <c r="AA1127" s="141"/>
      <c r="AB1127" s="141"/>
      <c r="AC1127" s="141"/>
      <c r="AD1127" s="141"/>
      <c r="AE1127" s="141"/>
      <c r="AF1127" s="145"/>
      <c r="AG1127" s="419"/>
    </row>
    <row r="1128" spans="1:33" s="139" customFormat="1" ht="12.75" customHeight="1" x14ac:dyDescent="0.2">
      <c r="A1128" s="141"/>
      <c r="B1128" s="141"/>
      <c r="C1128" s="141"/>
      <c r="D1128" s="141"/>
      <c r="E1128" s="1014"/>
      <c r="F1128" s="1014"/>
      <c r="G1128" s="1027"/>
      <c r="H1128" s="1027"/>
      <c r="I1128" s="1174"/>
      <c r="J1128" s="1174"/>
      <c r="K1128" s="1174"/>
      <c r="L1128" s="1172"/>
      <c r="M1128" s="1172"/>
      <c r="N1128" s="1175"/>
      <c r="O1128" s="143"/>
      <c r="P1128" s="1196"/>
      <c r="Q1128" s="141"/>
      <c r="R1128" s="141"/>
      <c r="S1128" s="148"/>
      <c r="T1128" s="419"/>
      <c r="U1128" s="559"/>
      <c r="V1128" s="141"/>
      <c r="W1128" s="141"/>
      <c r="X1128" s="141"/>
      <c r="Y1128" s="144"/>
      <c r="Z1128" s="141"/>
      <c r="AA1128" s="141"/>
      <c r="AB1128" s="141"/>
      <c r="AC1128" s="141"/>
      <c r="AD1128" s="141"/>
      <c r="AE1128" s="141"/>
      <c r="AF1128" s="145"/>
      <c r="AG1128" s="419"/>
    </row>
    <row r="1129" spans="1:33" s="139" customFormat="1" ht="12.75" customHeight="1" x14ac:dyDescent="0.2">
      <c r="A1129" s="141"/>
      <c r="B1129" s="141"/>
      <c r="C1129" s="141"/>
      <c r="D1129" s="141"/>
      <c r="E1129" s="1014"/>
      <c r="F1129" s="1014"/>
      <c r="G1129" s="1027"/>
      <c r="H1129" s="1027"/>
      <c r="I1129" s="1174"/>
      <c r="J1129" s="1174"/>
      <c r="K1129" s="1174"/>
      <c r="L1129" s="1172"/>
      <c r="M1129" s="1172"/>
      <c r="N1129" s="1175"/>
      <c r="O1129" s="143"/>
      <c r="P1129" s="1196"/>
      <c r="Q1129" s="141"/>
      <c r="R1129" s="141"/>
      <c r="S1129" s="148"/>
      <c r="T1129" s="419"/>
      <c r="U1129" s="559"/>
      <c r="V1129" s="141"/>
      <c r="W1129" s="141"/>
      <c r="X1129" s="141"/>
      <c r="Y1129" s="144"/>
      <c r="Z1129" s="141"/>
      <c r="AA1129" s="141"/>
      <c r="AB1129" s="141"/>
      <c r="AC1129" s="141"/>
      <c r="AD1129" s="141"/>
      <c r="AE1129" s="141"/>
      <c r="AF1129" s="145"/>
      <c r="AG1129" s="419"/>
    </row>
    <row r="1130" spans="1:33" s="139" customFormat="1" ht="12.75" customHeight="1" x14ac:dyDescent="0.2">
      <c r="A1130" s="141"/>
      <c r="B1130" s="141"/>
      <c r="C1130" s="141"/>
      <c r="D1130" s="141"/>
      <c r="E1130" s="1014"/>
      <c r="F1130" s="1014"/>
      <c r="G1130" s="1027"/>
      <c r="H1130" s="1027"/>
      <c r="I1130" s="1174"/>
      <c r="J1130" s="1174"/>
      <c r="K1130" s="1174"/>
      <c r="L1130" s="1172"/>
      <c r="M1130" s="1172"/>
      <c r="N1130" s="1175"/>
      <c r="O1130" s="143"/>
      <c r="P1130" s="1196"/>
      <c r="Q1130" s="141"/>
      <c r="R1130" s="141"/>
      <c r="S1130" s="148"/>
      <c r="T1130" s="419"/>
      <c r="U1130" s="559"/>
      <c r="V1130" s="141"/>
      <c r="W1130" s="141"/>
      <c r="X1130" s="141"/>
      <c r="Y1130" s="144"/>
      <c r="Z1130" s="141"/>
      <c r="AA1130" s="141"/>
      <c r="AB1130" s="141"/>
      <c r="AC1130" s="141"/>
      <c r="AD1130" s="141"/>
      <c r="AE1130" s="141"/>
      <c r="AF1130" s="145"/>
      <c r="AG1130" s="419"/>
    </row>
    <row r="1131" spans="1:33" s="139" customFormat="1" ht="12.75" customHeight="1" x14ac:dyDescent="0.2">
      <c r="A1131" s="141"/>
      <c r="B1131" s="141"/>
      <c r="C1131" s="141"/>
      <c r="D1131" s="141"/>
      <c r="E1131" s="1014"/>
      <c r="F1131" s="1014"/>
      <c r="G1131" s="1027"/>
      <c r="H1131" s="1027"/>
      <c r="I1131" s="1174"/>
      <c r="J1131" s="1174"/>
      <c r="K1131" s="1174"/>
      <c r="L1131" s="1172"/>
      <c r="M1131" s="1172"/>
      <c r="N1131" s="1175"/>
      <c r="O1131" s="143"/>
      <c r="P1131" s="1196"/>
      <c r="Q1131" s="141"/>
      <c r="R1131" s="141"/>
      <c r="S1131" s="148"/>
      <c r="T1131" s="419"/>
      <c r="U1131" s="559"/>
      <c r="V1131" s="141"/>
      <c r="W1131" s="141"/>
      <c r="X1131" s="141"/>
      <c r="Y1131" s="144"/>
      <c r="Z1131" s="141"/>
      <c r="AA1131" s="141"/>
      <c r="AB1131" s="141"/>
      <c r="AC1131" s="141"/>
      <c r="AD1131" s="141"/>
      <c r="AE1131" s="141"/>
      <c r="AF1131" s="145"/>
      <c r="AG1131" s="419"/>
    </row>
    <row r="1132" spans="1:33" s="139" customFormat="1" ht="12.75" customHeight="1" x14ac:dyDescent="0.2">
      <c r="A1132" s="141"/>
      <c r="B1132" s="141"/>
      <c r="C1132" s="141"/>
      <c r="D1132" s="141"/>
      <c r="E1132" s="1014"/>
      <c r="F1132" s="1014"/>
      <c r="G1132" s="1027"/>
      <c r="H1132" s="1027"/>
      <c r="I1132" s="1174"/>
      <c r="J1132" s="1174"/>
      <c r="K1132" s="1174"/>
      <c r="L1132" s="1172"/>
      <c r="M1132" s="1172"/>
      <c r="N1132" s="1175"/>
      <c r="O1132" s="143"/>
      <c r="P1132" s="1196"/>
      <c r="Q1132" s="141"/>
      <c r="R1132" s="141"/>
      <c r="S1132" s="148"/>
      <c r="T1132" s="419"/>
      <c r="U1132" s="559"/>
      <c r="V1132" s="141"/>
      <c r="W1132" s="141"/>
      <c r="X1132" s="141"/>
      <c r="Y1132" s="144"/>
      <c r="Z1132" s="141"/>
      <c r="AA1132" s="141"/>
      <c r="AB1132" s="141"/>
      <c r="AC1132" s="141"/>
      <c r="AD1132" s="141"/>
      <c r="AE1132" s="141"/>
      <c r="AF1132" s="145"/>
      <c r="AG1132" s="419"/>
    </row>
    <row r="1133" spans="1:33" s="139" customFormat="1" ht="12.75" customHeight="1" x14ac:dyDescent="0.2">
      <c r="A1133" s="141"/>
      <c r="B1133" s="141"/>
      <c r="C1133" s="141"/>
      <c r="D1133" s="141"/>
      <c r="E1133" s="1014"/>
      <c r="F1133" s="1014"/>
      <c r="G1133" s="1027"/>
      <c r="H1133" s="1027"/>
      <c r="I1133" s="1174"/>
      <c r="J1133" s="1174"/>
      <c r="K1133" s="1174"/>
      <c r="L1133" s="1172"/>
      <c r="M1133" s="1172"/>
      <c r="N1133" s="1175"/>
      <c r="O1133" s="143"/>
      <c r="P1133" s="1196"/>
      <c r="Q1133" s="141"/>
      <c r="R1133" s="141"/>
      <c r="S1133" s="148"/>
      <c r="T1133" s="419"/>
      <c r="U1133" s="559"/>
      <c r="V1133" s="141"/>
      <c r="W1133" s="141"/>
      <c r="X1133" s="141"/>
      <c r="Y1133" s="144"/>
      <c r="Z1133" s="141"/>
      <c r="AA1133" s="141"/>
      <c r="AB1133" s="141"/>
      <c r="AC1133" s="141"/>
      <c r="AD1133" s="141"/>
      <c r="AE1133" s="141"/>
      <c r="AF1133" s="145"/>
      <c r="AG1133" s="419"/>
    </row>
    <row r="1134" spans="1:33" s="139" customFormat="1" ht="12.75" customHeight="1" x14ac:dyDescent="0.2">
      <c r="A1134" s="141"/>
      <c r="B1134" s="141"/>
      <c r="C1134" s="141"/>
      <c r="D1134" s="141"/>
      <c r="E1134" s="1014"/>
      <c r="F1134" s="1014"/>
      <c r="G1134" s="1027"/>
      <c r="H1134" s="1027"/>
      <c r="I1134" s="1174"/>
      <c r="J1134" s="1174"/>
      <c r="K1134" s="1174"/>
      <c r="L1134" s="1172"/>
      <c r="M1134" s="1172"/>
      <c r="N1134" s="1175"/>
      <c r="O1134" s="143"/>
      <c r="P1134" s="1196"/>
      <c r="Q1134" s="141"/>
      <c r="R1134" s="141"/>
      <c r="S1134" s="148"/>
      <c r="T1134" s="419"/>
      <c r="U1134" s="559"/>
      <c r="V1134" s="141"/>
      <c r="W1134" s="141"/>
      <c r="X1134" s="141"/>
      <c r="Y1134" s="144"/>
      <c r="Z1134" s="141"/>
      <c r="AA1134" s="141"/>
      <c r="AB1134" s="141"/>
      <c r="AC1134" s="141"/>
      <c r="AD1134" s="141"/>
      <c r="AE1134" s="141"/>
      <c r="AF1134" s="145"/>
      <c r="AG1134" s="419"/>
    </row>
    <row r="1135" spans="1:33" s="139" customFormat="1" ht="12.75" customHeight="1" x14ac:dyDescent="0.2">
      <c r="A1135" s="141"/>
      <c r="B1135" s="141"/>
      <c r="C1135" s="141"/>
      <c r="D1135" s="141"/>
      <c r="E1135" s="1014"/>
      <c r="F1135" s="1014"/>
      <c r="G1135" s="1027"/>
      <c r="H1135" s="1027"/>
      <c r="I1135" s="1174"/>
      <c r="J1135" s="1174"/>
      <c r="K1135" s="1174"/>
      <c r="L1135" s="1172"/>
      <c r="M1135" s="1172"/>
      <c r="N1135" s="1175"/>
      <c r="O1135" s="143"/>
      <c r="P1135" s="1196"/>
      <c r="Q1135" s="141"/>
      <c r="R1135" s="141"/>
      <c r="S1135" s="148"/>
      <c r="T1135" s="419"/>
      <c r="U1135" s="559"/>
      <c r="V1135" s="141"/>
      <c r="W1135" s="141"/>
      <c r="X1135" s="141"/>
      <c r="Y1135" s="144"/>
      <c r="Z1135" s="141"/>
      <c r="AA1135" s="141"/>
      <c r="AB1135" s="141"/>
      <c r="AC1135" s="141"/>
      <c r="AD1135" s="141"/>
      <c r="AE1135" s="141"/>
      <c r="AF1135" s="145"/>
      <c r="AG1135" s="419"/>
    </row>
    <row r="1136" spans="1:33" s="139" customFormat="1" ht="12.75" customHeight="1" x14ac:dyDescent="0.2">
      <c r="A1136" s="141"/>
      <c r="B1136" s="141"/>
      <c r="C1136" s="141"/>
      <c r="D1136" s="141"/>
      <c r="E1136" s="1014"/>
      <c r="F1136" s="1014"/>
      <c r="G1136" s="1027"/>
      <c r="H1136" s="1027"/>
      <c r="I1136" s="1174"/>
      <c r="J1136" s="1174"/>
      <c r="K1136" s="1174"/>
      <c r="L1136" s="1172"/>
      <c r="M1136" s="1172"/>
      <c r="N1136" s="1175"/>
      <c r="O1136" s="143"/>
      <c r="P1136" s="1196"/>
      <c r="Q1136" s="141"/>
      <c r="R1136" s="141"/>
      <c r="S1136" s="148"/>
      <c r="T1136" s="419"/>
      <c r="U1136" s="559"/>
      <c r="V1136" s="141"/>
      <c r="W1136" s="141"/>
      <c r="X1136" s="141"/>
      <c r="Y1136" s="144"/>
      <c r="Z1136" s="141"/>
      <c r="AA1136" s="141"/>
      <c r="AB1136" s="141"/>
      <c r="AC1136" s="141"/>
      <c r="AD1136" s="141"/>
      <c r="AE1136" s="141"/>
      <c r="AF1136" s="145"/>
      <c r="AG1136" s="419"/>
    </row>
    <row r="1137" spans="1:33" s="139" customFormat="1" ht="12.75" customHeight="1" x14ac:dyDescent="0.2">
      <c r="A1137" s="141"/>
      <c r="B1137" s="141"/>
      <c r="C1137" s="141"/>
      <c r="D1137" s="141"/>
      <c r="E1137" s="1014"/>
      <c r="F1137" s="1014"/>
      <c r="G1137" s="1027"/>
      <c r="H1137" s="1027"/>
      <c r="I1137" s="1174"/>
      <c r="J1137" s="1174"/>
      <c r="K1137" s="1174"/>
      <c r="L1137" s="1172"/>
      <c r="M1137" s="1172"/>
      <c r="N1137" s="1175"/>
      <c r="O1137" s="143"/>
      <c r="P1137" s="1196"/>
      <c r="Q1137" s="141"/>
      <c r="R1137" s="141"/>
      <c r="S1137" s="148"/>
      <c r="T1137" s="419"/>
      <c r="U1137" s="559"/>
      <c r="V1137" s="141"/>
      <c r="W1137" s="141"/>
      <c r="X1137" s="141"/>
      <c r="Y1137" s="144"/>
      <c r="Z1137" s="141"/>
      <c r="AA1137" s="141"/>
      <c r="AB1137" s="141"/>
      <c r="AC1137" s="141"/>
      <c r="AD1137" s="141"/>
      <c r="AE1137" s="141"/>
      <c r="AF1137" s="145"/>
      <c r="AG1137" s="419"/>
    </row>
    <row r="1138" spans="1:33" s="139" customFormat="1" ht="12.75" customHeight="1" x14ac:dyDescent="0.2">
      <c r="A1138" s="141"/>
      <c r="B1138" s="141"/>
      <c r="C1138" s="141"/>
      <c r="D1138" s="141"/>
      <c r="E1138" s="1014"/>
      <c r="F1138" s="1014"/>
      <c r="G1138" s="1027"/>
      <c r="H1138" s="1027"/>
      <c r="I1138" s="1174"/>
      <c r="J1138" s="1174"/>
      <c r="K1138" s="1174"/>
      <c r="L1138" s="1172"/>
      <c r="M1138" s="1172"/>
      <c r="N1138" s="1175"/>
      <c r="O1138" s="143"/>
      <c r="P1138" s="1196"/>
      <c r="Q1138" s="141"/>
      <c r="R1138" s="141"/>
      <c r="S1138" s="148"/>
      <c r="T1138" s="419"/>
      <c r="U1138" s="559"/>
      <c r="V1138" s="141"/>
      <c r="W1138" s="141"/>
      <c r="X1138" s="141"/>
      <c r="Y1138" s="144"/>
      <c r="Z1138" s="141"/>
      <c r="AA1138" s="141"/>
      <c r="AB1138" s="141"/>
      <c r="AC1138" s="141"/>
      <c r="AD1138" s="141"/>
      <c r="AE1138" s="141"/>
      <c r="AF1138" s="145"/>
      <c r="AG1138" s="419"/>
    </row>
    <row r="1139" spans="1:33" s="139" customFormat="1" ht="12.75" customHeight="1" x14ac:dyDescent="0.2">
      <c r="A1139" s="141"/>
      <c r="B1139" s="141"/>
      <c r="C1139" s="141"/>
      <c r="D1139" s="141"/>
      <c r="E1139" s="1014"/>
      <c r="F1139" s="1014"/>
      <c r="G1139" s="1027"/>
      <c r="H1139" s="1027"/>
      <c r="I1139" s="1174"/>
      <c r="J1139" s="1174"/>
      <c r="K1139" s="1174"/>
      <c r="L1139" s="1172"/>
      <c r="M1139" s="1172"/>
      <c r="N1139" s="1175"/>
      <c r="O1139" s="143"/>
      <c r="P1139" s="1196"/>
      <c r="Q1139" s="141"/>
      <c r="R1139" s="141"/>
      <c r="S1139" s="148"/>
      <c r="T1139" s="419"/>
      <c r="U1139" s="559"/>
      <c r="V1139" s="141"/>
      <c r="W1139" s="141"/>
      <c r="X1139" s="141"/>
      <c r="Y1139" s="144"/>
      <c r="Z1139" s="141"/>
      <c r="AA1139" s="141"/>
      <c r="AB1139" s="141"/>
      <c r="AC1139" s="141"/>
      <c r="AD1139" s="141"/>
      <c r="AE1139" s="141"/>
      <c r="AF1139" s="145"/>
      <c r="AG1139" s="419"/>
    </row>
    <row r="1140" spans="1:33" s="139" customFormat="1" ht="12.75" customHeight="1" x14ac:dyDescent="0.2">
      <c r="A1140" s="141"/>
      <c r="B1140" s="141"/>
      <c r="C1140" s="141"/>
      <c r="D1140" s="141"/>
      <c r="E1140" s="1014"/>
      <c r="F1140" s="1014"/>
      <c r="G1140" s="1027"/>
      <c r="H1140" s="1027"/>
      <c r="I1140" s="1174"/>
      <c r="J1140" s="1174"/>
      <c r="K1140" s="1174"/>
      <c r="L1140" s="1172"/>
      <c r="M1140" s="1172"/>
      <c r="N1140" s="1175"/>
      <c r="O1140" s="143"/>
      <c r="P1140" s="1196"/>
      <c r="Q1140" s="141"/>
      <c r="R1140" s="141"/>
      <c r="S1140" s="148"/>
      <c r="T1140" s="419"/>
      <c r="U1140" s="559"/>
      <c r="V1140" s="141"/>
      <c r="W1140" s="141"/>
      <c r="X1140" s="141"/>
      <c r="Y1140" s="144"/>
      <c r="Z1140" s="141"/>
      <c r="AA1140" s="141"/>
      <c r="AB1140" s="141"/>
      <c r="AC1140" s="141"/>
      <c r="AD1140" s="141"/>
      <c r="AE1140" s="141"/>
      <c r="AF1140" s="145"/>
      <c r="AG1140" s="419"/>
    </row>
    <row r="1141" spans="1:33" s="139" customFormat="1" ht="12.75" customHeight="1" x14ac:dyDescent="0.2">
      <c r="A1141" s="141"/>
      <c r="B1141" s="141"/>
      <c r="C1141" s="141"/>
      <c r="D1141" s="141"/>
      <c r="E1141" s="1014"/>
      <c r="F1141" s="1014"/>
      <c r="G1141" s="1027"/>
      <c r="H1141" s="1027"/>
      <c r="I1141" s="1174"/>
      <c r="J1141" s="1174"/>
      <c r="K1141" s="1174"/>
      <c r="L1141" s="1172"/>
      <c r="M1141" s="1172"/>
      <c r="N1141" s="1175"/>
      <c r="O1141" s="143"/>
      <c r="P1141" s="1196"/>
      <c r="Q1141" s="141"/>
      <c r="R1141" s="141"/>
      <c r="S1141" s="148"/>
      <c r="T1141" s="419"/>
      <c r="U1141" s="559"/>
      <c r="V1141" s="141"/>
      <c r="W1141" s="141"/>
      <c r="X1141" s="141"/>
      <c r="Y1141" s="144"/>
      <c r="Z1141" s="141"/>
      <c r="AA1141" s="141"/>
      <c r="AB1141" s="141"/>
      <c r="AC1141" s="141"/>
      <c r="AD1141" s="141"/>
      <c r="AE1141" s="141"/>
      <c r="AF1141" s="145"/>
      <c r="AG1141" s="419"/>
    </row>
    <row r="1142" spans="1:33" s="139" customFormat="1" ht="12.75" customHeight="1" x14ac:dyDescent="0.2">
      <c r="A1142" s="141"/>
      <c r="B1142" s="141"/>
      <c r="C1142" s="141"/>
      <c r="D1142" s="141"/>
      <c r="E1142" s="1014"/>
      <c r="F1142" s="1014"/>
      <c r="G1142" s="1027"/>
      <c r="H1142" s="1027"/>
      <c r="I1142" s="1174"/>
      <c r="J1142" s="1174"/>
      <c r="K1142" s="1174"/>
      <c r="L1142" s="1172"/>
      <c r="M1142" s="1172"/>
      <c r="N1142" s="1175"/>
      <c r="O1142" s="143"/>
      <c r="P1142" s="1196"/>
      <c r="Q1142" s="141"/>
      <c r="R1142" s="141"/>
      <c r="S1142" s="148"/>
      <c r="T1142" s="419"/>
      <c r="U1142" s="559"/>
      <c r="V1142" s="141"/>
      <c r="W1142" s="141"/>
      <c r="X1142" s="141"/>
      <c r="Y1142" s="144"/>
      <c r="Z1142" s="141"/>
      <c r="AA1142" s="141"/>
      <c r="AB1142" s="141"/>
      <c r="AC1142" s="141"/>
      <c r="AD1142" s="141"/>
      <c r="AE1142" s="141"/>
      <c r="AF1142" s="145"/>
      <c r="AG1142" s="419"/>
    </row>
    <row r="1143" spans="1:33" s="139" customFormat="1" ht="12.75" customHeight="1" x14ac:dyDescent="0.2">
      <c r="A1143" s="141"/>
      <c r="B1143" s="141"/>
      <c r="C1143" s="141"/>
      <c r="D1143" s="141"/>
      <c r="E1143" s="1014"/>
      <c r="F1143" s="1014"/>
      <c r="G1143" s="1027"/>
      <c r="H1143" s="1027"/>
      <c r="I1143" s="1174"/>
      <c r="J1143" s="1174"/>
      <c r="K1143" s="1174"/>
      <c r="L1143" s="1172"/>
      <c r="M1143" s="1172"/>
      <c r="N1143" s="1175"/>
      <c r="O1143" s="143"/>
      <c r="P1143" s="1196"/>
      <c r="Q1143" s="141"/>
      <c r="R1143" s="141"/>
      <c r="S1143" s="148"/>
      <c r="T1143" s="419"/>
      <c r="U1143" s="559"/>
      <c r="V1143" s="141"/>
      <c r="W1143" s="141"/>
      <c r="X1143" s="141"/>
      <c r="Y1143" s="144"/>
      <c r="Z1143" s="141"/>
      <c r="AA1143" s="141"/>
      <c r="AB1143" s="141"/>
      <c r="AC1143" s="141"/>
      <c r="AD1143" s="141"/>
      <c r="AE1143" s="141"/>
      <c r="AF1143" s="145"/>
      <c r="AG1143" s="419"/>
    </row>
    <row r="1144" spans="1:33" s="139" customFormat="1" ht="12.75" customHeight="1" x14ac:dyDescent="0.2">
      <c r="A1144" s="141"/>
      <c r="B1144" s="141"/>
      <c r="C1144" s="141"/>
      <c r="D1144" s="141"/>
      <c r="E1144" s="1014"/>
      <c r="F1144" s="1014"/>
      <c r="G1144" s="1027"/>
      <c r="H1144" s="1027"/>
      <c r="I1144" s="1174"/>
      <c r="J1144" s="1174"/>
      <c r="K1144" s="1174"/>
      <c r="L1144" s="1172"/>
      <c r="M1144" s="1172"/>
      <c r="N1144" s="1175"/>
      <c r="O1144" s="143"/>
      <c r="P1144" s="1196"/>
      <c r="Q1144" s="141"/>
      <c r="R1144" s="141"/>
      <c r="S1144" s="148"/>
      <c r="T1144" s="419"/>
      <c r="U1144" s="559"/>
      <c r="V1144" s="141"/>
      <c r="W1144" s="141"/>
      <c r="X1144" s="141"/>
      <c r="Y1144" s="144"/>
      <c r="Z1144" s="141"/>
      <c r="AA1144" s="141"/>
      <c r="AB1144" s="141"/>
      <c r="AC1144" s="141"/>
      <c r="AD1144" s="141"/>
      <c r="AE1144" s="141"/>
      <c r="AF1144" s="145"/>
      <c r="AG1144" s="419"/>
    </row>
    <row r="1145" spans="1:33" s="139" customFormat="1" ht="12.75" customHeight="1" x14ac:dyDescent="0.2">
      <c r="A1145" s="141"/>
      <c r="B1145" s="141"/>
      <c r="C1145" s="141"/>
      <c r="D1145" s="141"/>
      <c r="E1145" s="1014"/>
      <c r="F1145" s="1014"/>
      <c r="G1145" s="1027"/>
      <c r="H1145" s="1027"/>
      <c r="I1145" s="1174"/>
      <c r="J1145" s="1174"/>
      <c r="K1145" s="1174"/>
      <c r="L1145" s="1172"/>
      <c r="M1145" s="1172"/>
      <c r="N1145" s="1175"/>
      <c r="O1145" s="143"/>
      <c r="P1145" s="1196"/>
      <c r="Q1145" s="141"/>
      <c r="R1145" s="141"/>
      <c r="S1145" s="148"/>
      <c r="T1145" s="419"/>
      <c r="U1145" s="559"/>
      <c r="V1145" s="141"/>
      <c r="W1145" s="141"/>
      <c r="X1145" s="141"/>
      <c r="Y1145" s="144"/>
      <c r="Z1145" s="141"/>
      <c r="AA1145" s="141"/>
      <c r="AB1145" s="141"/>
      <c r="AC1145" s="141"/>
      <c r="AD1145" s="141"/>
      <c r="AE1145" s="141"/>
      <c r="AF1145" s="145"/>
      <c r="AG1145" s="419"/>
    </row>
    <row r="1146" spans="1:33" s="139" customFormat="1" ht="12.75" customHeight="1" x14ac:dyDescent="0.2">
      <c r="A1146" s="141"/>
      <c r="B1146" s="141"/>
      <c r="C1146" s="141"/>
      <c r="D1146" s="141"/>
      <c r="E1146" s="1014"/>
      <c r="F1146" s="1014"/>
      <c r="G1146" s="1027"/>
      <c r="H1146" s="1027"/>
      <c r="I1146" s="1174"/>
      <c r="J1146" s="1174"/>
      <c r="K1146" s="1174"/>
      <c r="L1146" s="1172"/>
      <c r="M1146" s="1172"/>
      <c r="N1146" s="1175"/>
      <c r="O1146" s="143"/>
      <c r="P1146" s="1196"/>
      <c r="Q1146" s="141"/>
      <c r="R1146" s="141"/>
      <c r="S1146" s="148"/>
      <c r="T1146" s="419"/>
      <c r="U1146" s="559"/>
      <c r="V1146" s="141"/>
      <c r="W1146" s="141"/>
      <c r="X1146" s="141"/>
      <c r="Y1146" s="144"/>
      <c r="Z1146" s="141"/>
      <c r="AA1146" s="141"/>
      <c r="AB1146" s="141"/>
      <c r="AC1146" s="141"/>
      <c r="AD1146" s="141"/>
      <c r="AE1146" s="141"/>
      <c r="AF1146" s="145"/>
      <c r="AG1146" s="419"/>
    </row>
    <row r="1147" spans="1:33" s="139" customFormat="1" ht="12.75" customHeight="1" x14ac:dyDescent="0.2">
      <c r="A1147" s="141"/>
      <c r="B1147" s="141"/>
      <c r="C1147" s="141"/>
      <c r="D1147" s="141"/>
      <c r="E1147" s="1014"/>
      <c r="F1147" s="1014"/>
      <c r="G1147" s="1027"/>
      <c r="H1147" s="1027"/>
      <c r="I1147" s="1174"/>
      <c r="J1147" s="1174"/>
      <c r="K1147" s="1174"/>
      <c r="L1147" s="1172"/>
      <c r="M1147" s="1172"/>
      <c r="N1147" s="1175"/>
      <c r="O1147" s="143"/>
      <c r="P1147" s="1196"/>
      <c r="Q1147" s="141"/>
      <c r="R1147" s="141"/>
      <c r="S1147" s="148"/>
      <c r="T1147" s="419"/>
      <c r="U1147" s="559"/>
      <c r="V1147" s="141"/>
      <c r="W1147" s="141"/>
      <c r="X1147" s="141"/>
      <c r="Y1147" s="144"/>
      <c r="Z1147" s="141"/>
      <c r="AA1147" s="141"/>
      <c r="AB1147" s="141"/>
      <c r="AC1147" s="141"/>
      <c r="AD1147" s="141"/>
      <c r="AE1147" s="141"/>
      <c r="AF1147" s="145"/>
      <c r="AG1147" s="419"/>
    </row>
    <row r="1148" spans="1:33" s="139" customFormat="1" ht="12.75" customHeight="1" x14ac:dyDescent="0.2">
      <c r="A1148" s="141"/>
      <c r="B1148" s="141"/>
      <c r="C1148" s="141"/>
      <c r="D1148" s="141"/>
      <c r="E1148" s="1014"/>
      <c r="F1148" s="1014"/>
      <c r="G1148" s="1027"/>
      <c r="H1148" s="1027"/>
      <c r="I1148" s="1174"/>
      <c r="J1148" s="1174"/>
      <c r="K1148" s="1174"/>
      <c r="L1148" s="1172"/>
      <c r="M1148" s="1172"/>
      <c r="N1148" s="1175"/>
      <c r="O1148" s="143"/>
      <c r="P1148" s="1196"/>
      <c r="Q1148" s="141"/>
      <c r="R1148" s="141"/>
      <c r="S1148" s="148"/>
      <c r="T1148" s="419"/>
      <c r="U1148" s="559"/>
      <c r="V1148" s="141"/>
      <c r="W1148" s="141"/>
      <c r="X1148" s="141"/>
      <c r="Y1148" s="144"/>
      <c r="Z1148" s="141"/>
      <c r="AA1148" s="141"/>
      <c r="AB1148" s="141"/>
      <c r="AC1148" s="141"/>
      <c r="AD1148" s="141"/>
      <c r="AE1148" s="141"/>
      <c r="AF1148" s="145"/>
      <c r="AG1148" s="419"/>
    </row>
    <row r="1149" spans="1:33" s="139" customFormat="1" ht="12.75" customHeight="1" x14ac:dyDescent="0.2">
      <c r="A1149" s="141"/>
      <c r="B1149" s="141"/>
      <c r="C1149" s="141"/>
      <c r="D1149" s="141"/>
      <c r="E1149" s="1014"/>
      <c r="F1149" s="1014"/>
      <c r="G1149" s="1027"/>
      <c r="H1149" s="1027"/>
      <c r="I1149" s="1174"/>
      <c r="J1149" s="1174"/>
      <c r="K1149" s="1174"/>
      <c r="L1149" s="1172"/>
      <c r="M1149" s="1172"/>
      <c r="N1149" s="1175"/>
      <c r="O1149" s="143"/>
      <c r="P1149" s="1196"/>
      <c r="Q1149" s="141"/>
      <c r="R1149" s="141"/>
      <c r="S1149" s="148"/>
      <c r="T1149" s="419"/>
      <c r="U1149" s="559"/>
      <c r="V1149" s="141"/>
      <c r="W1149" s="141"/>
      <c r="X1149" s="141"/>
      <c r="Y1149" s="144"/>
      <c r="Z1149" s="141"/>
      <c r="AA1149" s="141"/>
      <c r="AB1149" s="141"/>
      <c r="AC1149" s="141"/>
      <c r="AD1149" s="141"/>
      <c r="AE1149" s="141"/>
      <c r="AF1149" s="145"/>
      <c r="AG1149" s="419"/>
    </row>
    <row r="1150" spans="1:33" s="139" customFormat="1" ht="12.75" customHeight="1" x14ac:dyDescent="0.2">
      <c r="A1150" s="141"/>
      <c r="B1150" s="141"/>
      <c r="C1150" s="141"/>
      <c r="D1150" s="141"/>
      <c r="E1150" s="1014"/>
      <c r="F1150" s="1014"/>
      <c r="G1150" s="1027"/>
      <c r="H1150" s="1027"/>
      <c r="I1150" s="1174"/>
      <c r="J1150" s="1174"/>
      <c r="K1150" s="1174"/>
      <c r="L1150" s="1172"/>
      <c r="M1150" s="1172"/>
      <c r="N1150" s="1175"/>
      <c r="O1150" s="143"/>
      <c r="P1150" s="1196"/>
      <c r="Q1150" s="141"/>
      <c r="R1150" s="141"/>
      <c r="S1150" s="148"/>
      <c r="T1150" s="419"/>
      <c r="U1150" s="559"/>
      <c r="V1150" s="141"/>
      <c r="W1150" s="141"/>
      <c r="X1150" s="141"/>
      <c r="Y1150" s="144"/>
      <c r="Z1150" s="141"/>
      <c r="AA1150" s="141"/>
      <c r="AB1150" s="141"/>
      <c r="AC1150" s="141"/>
      <c r="AD1150" s="141"/>
      <c r="AE1150" s="141"/>
      <c r="AF1150" s="145"/>
      <c r="AG1150" s="419"/>
    </row>
    <row r="1151" spans="1:33" s="139" customFormat="1" ht="12.75" customHeight="1" x14ac:dyDescent="0.2">
      <c r="A1151" s="141"/>
      <c r="B1151" s="141"/>
      <c r="C1151" s="141"/>
      <c r="D1151" s="141"/>
      <c r="E1151" s="1014"/>
      <c r="F1151" s="1014"/>
      <c r="G1151" s="1027"/>
      <c r="H1151" s="1027"/>
      <c r="I1151" s="1174"/>
      <c r="J1151" s="1174"/>
      <c r="K1151" s="1174"/>
      <c r="L1151" s="1172"/>
      <c r="M1151" s="1172"/>
      <c r="N1151" s="1175"/>
      <c r="O1151" s="143"/>
      <c r="P1151" s="1196"/>
      <c r="Q1151" s="141"/>
      <c r="R1151" s="141"/>
      <c r="S1151" s="148"/>
      <c r="T1151" s="419"/>
      <c r="U1151" s="559"/>
      <c r="V1151" s="141"/>
      <c r="W1151" s="141"/>
      <c r="X1151" s="141"/>
      <c r="Y1151" s="144"/>
      <c r="Z1151" s="141"/>
      <c r="AA1151" s="141"/>
      <c r="AB1151" s="141"/>
      <c r="AC1151" s="141"/>
      <c r="AD1151" s="141"/>
      <c r="AE1151" s="141"/>
      <c r="AF1151" s="145"/>
      <c r="AG1151" s="419"/>
    </row>
    <row r="1152" spans="1:33" s="139" customFormat="1" ht="12.75" customHeight="1" x14ac:dyDescent="0.2">
      <c r="A1152" s="141"/>
      <c r="B1152" s="141"/>
      <c r="C1152" s="141"/>
      <c r="D1152" s="141"/>
      <c r="E1152" s="1014"/>
      <c r="F1152" s="1014"/>
      <c r="G1152" s="1027"/>
      <c r="H1152" s="1027"/>
      <c r="I1152" s="1174"/>
      <c r="J1152" s="1174"/>
      <c r="K1152" s="1174"/>
      <c r="L1152" s="1172"/>
      <c r="M1152" s="1172"/>
      <c r="N1152" s="1175"/>
      <c r="O1152" s="143"/>
      <c r="P1152" s="1196"/>
      <c r="Q1152" s="141"/>
      <c r="R1152" s="141"/>
      <c r="S1152" s="148"/>
      <c r="T1152" s="419"/>
      <c r="U1152" s="559"/>
      <c r="V1152" s="141"/>
      <c r="W1152" s="141"/>
      <c r="X1152" s="141"/>
      <c r="Y1152" s="144"/>
      <c r="Z1152" s="141"/>
      <c r="AA1152" s="141"/>
      <c r="AB1152" s="141"/>
      <c r="AC1152" s="141"/>
      <c r="AD1152" s="141"/>
      <c r="AE1152" s="141"/>
      <c r="AF1152" s="145"/>
      <c r="AG1152" s="419"/>
    </row>
    <row r="1153" spans="1:33" s="139" customFormat="1" ht="12.75" customHeight="1" x14ac:dyDescent="0.2">
      <c r="A1153" s="141"/>
      <c r="B1153" s="141"/>
      <c r="C1153" s="141"/>
      <c r="D1153" s="141"/>
      <c r="E1153" s="1014"/>
      <c r="F1153" s="1014"/>
      <c r="G1153" s="1027"/>
      <c r="H1153" s="1027"/>
      <c r="I1153" s="1174"/>
      <c r="J1153" s="1174"/>
      <c r="K1153" s="1174"/>
      <c r="L1153" s="1172"/>
      <c r="M1153" s="1172"/>
      <c r="N1153" s="1175"/>
      <c r="O1153" s="143"/>
      <c r="P1153" s="1196"/>
      <c r="Q1153" s="141"/>
      <c r="R1153" s="141"/>
      <c r="S1153" s="148"/>
      <c r="T1153" s="419"/>
      <c r="U1153" s="559"/>
      <c r="V1153" s="141"/>
      <c r="W1153" s="141"/>
      <c r="X1153" s="141"/>
      <c r="Y1153" s="144"/>
      <c r="Z1153" s="141"/>
      <c r="AA1153" s="141"/>
      <c r="AB1153" s="141"/>
      <c r="AC1153" s="141"/>
      <c r="AD1153" s="141"/>
      <c r="AE1153" s="141"/>
      <c r="AF1153" s="145"/>
      <c r="AG1153" s="419"/>
    </row>
    <row r="1154" spans="1:33" s="139" customFormat="1" ht="12.75" customHeight="1" x14ac:dyDescent="0.2">
      <c r="A1154" s="141"/>
      <c r="B1154" s="141"/>
      <c r="C1154" s="141"/>
      <c r="D1154" s="141"/>
      <c r="E1154" s="1014"/>
      <c r="F1154" s="1014"/>
      <c r="G1154" s="1027"/>
      <c r="H1154" s="1027"/>
      <c r="I1154" s="1174"/>
      <c r="J1154" s="1174"/>
      <c r="K1154" s="1174"/>
      <c r="L1154" s="1172"/>
      <c r="M1154" s="1172"/>
      <c r="N1154" s="1175"/>
      <c r="O1154" s="143"/>
      <c r="P1154" s="1196"/>
      <c r="Q1154" s="141"/>
      <c r="R1154" s="141"/>
      <c r="S1154" s="148"/>
      <c r="T1154" s="419"/>
      <c r="U1154" s="559"/>
      <c r="V1154" s="141"/>
      <c r="W1154" s="141"/>
      <c r="X1154" s="141"/>
      <c r="Y1154" s="144"/>
      <c r="Z1154" s="141"/>
      <c r="AA1154" s="141"/>
      <c r="AB1154" s="141"/>
      <c r="AC1154" s="141"/>
      <c r="AD1154" s="141"/>
      <c r="AE1154" s="141"/>
      <c r="AF1154" s="145"/>
      <c r="AG1154" s="419"/>
    </row>
    <row r="1155" spans="1:33" s="139" customFormat="1" ht="12.75" customHeight="1" x14ac:dyDescent="0.2">
      <c r="A1155" s="141"/>
      <c r="B1155" s="141"/>
      <c r="C1155" s="141"/>
      <c r="D1155" s="141"/>
      <c r="E1155" s="1014"/>
      <c r="F1155" s="1014"/>
      <c r="G1155" s="1027"/>
      <c r="H1155" s="1027"/>
      <c r="I1155" s="1174"/>
      <c r="J1155" s="1174"/>
      <c r="K1155" s="1174"/>
      <c r="L1155" s="1172"/>
      <c r="M1155" s="1172"/>
      <c r="N1155" s="1175"/>
      <c r="O1155" s="143"/>
      <c r="P1155" s="1196"/>
      <c r="Q1155" s="141"/>
      <c r="R1155" s="141"/>
      <c r="S1155" s="148"/>
      <c r="T1155" s="419"/>
      <c r="U1155" s="559"/>
      <c r="V1155" s="141"/>
      <c r="W1155" s="141"/>
      <c r="X1155" s="141"/>
      <c r="Y1155" s="144"/>
      <c r="Z1155" s="141"/>
      <c r="AA1155" s="141"/>
      <c r="AB1155" s="141"/>
      <c r="AC1155" s="141"/>
      <c r="AD1155" s="141"/>
      <c r="AE1155" s="141"/>
      <c r="AF1155" s="145"/>
      <c r="AG1155" s="419"/>
    </row>
    <row r="1156" spans="1:33" s="139" customFormat="1" ht="12.75" customHeight="1" x14ac:dyDescent="0.2">
      <c r="A1156" s="141"/>
      <c r="B1156" s="141"/>
      <c r="C1156" s="141"/>
      <c r="D1156" s="141"/>
      <c r="E1156" s="1014"/>
      <c r="F1156" s="1014"/>
      <c r="G1156" s="1027"/>
      <c r="H1156" s="1027"/>
      <c r="I1156" s="1174"/>
      <c r="J1156" s="1174"/>
      <c r="K1156" s="1174"/>
      <c r="L1156" s="1172"/>
      <c r="M1156" s="1172"/>
      <c r="N1156" s="1175"/>
      <c r="O1156" s="143"/>
      <c r="P1156" s="1196"/>
      <c r="Q1156" s="141"/>
      <c r="R1156" s="141"/>
      <c r="S1156" s="148"/>
      <c r="T1156" s="419"/>
      <c r="U1156" s="559"/>
      <c r="V1156" s="141"/>
      <c r="W1156" s="141"/>
      <c r="X1156" s="141"/>
      <c r="Y1156" s="144"/>
      <c r="Z1156" s="141"/>
      <c r="AA1156" s="141"/>
      <c r="AB1156" s="141"/>
      <c r="AC1156" s="141"/>
      <c r="AD1156" s="141"/>
      <c r="AE1156" s="141"/>
      <c r="AF1156" s="145"/>
      <c r="AG1156" s="419"/>
    </row>
    <row r="1157" spans="1:33" s="139" customFormat="1" ht="12.75" customHeight="1" x14ac:dyDescent="0.2">
      <c r="A1157" s="141"/>
      <c r="B1157" s="141"/>
      <c r="C1157" s="141"/>
      <c r="D1157" s="141"/>
      <c r="E1157" s="1014"/>
      <c r="F1157" s="1014"/>
      <c r="G1157" s="1027"/>
      <c r="H1157" s="1027"/>
      <c r="I1157" s="1174"/>
      <c r="J1157" s="1174"/>
      <c r="K1157" s="1174"/>
      <c r="L1157" s="1172"/>
      <c r="M1157" s="1172"/>
      <c r="N1157" s="1175"/>
      <c r="O1157" s="143"/>
      <c r="P1157" s="1196"/>
      <c r="Q1157" s="141"/>
      <c r="R1157" s="141"/>
      <c r="S1157" s="148"/>
      <c r="T1157" s="419"/>
      <c r="U1157" s="559"/>
      <c r="V1157" s="141"/>
      <c r="W1157" s="141"/>
      <c r="X1157" s="141"/>
      <c r="Y1157" s="144"/>
      <c r="Z1157" s="141"/>
      <c r="AA1157" s="141"/>
      <c r="AB1157" s="141"/>
      <c r="AC1157" s="141"/>
      <c r="AD1157" s="141"/>
      <c r="AE1157" s="141"/>
      <c r="AF1157" s="145"/>
      <c r="AG1157" s="419"/>
    </row>
    <row r="1158" spans="1:33" s="139" customFormat="1" ht="12.75" customHeight="1" x14ac:dyDescent="0.2">
      <c r="A1158" s="141"/>
      <c r="B1158" s="141"/>
      <c r="C1158" s="141"/>
      <c r="D1158" s="141"/>
      <c r="E1158" s="1014"/>
      <c r="F1158" s="1014"/>
      <c r="G1158" s="1027"/>
      <c r="H1158" s="1027"/>
      <c r="I1158" s="1174"/>
      <c r="J1158" s="1174"/>
      <c r="K1158" s="1174"/>
      <c r="L1158" s="1172"/>
      <c r="M1158" s="1172"/>
      <c r="N1158" s="1175"/>
      <c r="O1158" s="143"/>
      <c r="P1158" s="1196"/>
      <c r="Q1158" s="141"/>
      <c r="R1158" s="141"/>
      <c r="S1158" s="148"/>
      <c r="T1158" s="419"/>
      <c r="U1158" s="559"/>
      <c r="V1158" s="141"/>
      <c r="W1158" s="141"/>
      <c r="X1158" s="141"/>
      <c r="Y1158" s="144"/>
      <c r="Z1158" s="141"/>
      <c r="AA1158" s="141"/>
      <c r="AB1158" s="141"/>
      <c r="AC1158" s="141"/>
      <c r="AD1158" s="141"/>
      <c r="AE1158" s="141"/>
      <c r="AF1158" s="145"/>
      <c r="AG1158" s="419"/>
    </row>
    <row r="1159" spans="1:33" s="139" customFormat="1" ht="12.75" customHeight="1" x14ac:dyDescent="0.2">
      <c r="A1159" s="141"/>
      <c r="B1159" s="141"/>
      <c r="C1159" s="141"/>
      <c r="D1159" s="141"/>
      <c r="E1159" s="1014"/>
      <c r="F1159" s="1014"/>
      <c r="G1159" s="1027"/>
      <c r="H1159" s="1027"/>
      <c r="I1159" s="1174"/>
      <c r="J1159" s="1174"/>
      <c r="K1159" s="1174"/>
      <c r="L1159" s="1172"/>
      <c r="M1159" s="1172"/>
      <c r="N1159" s="1175"/>
      <c r="O1159" s="143"/>
      <c r="P1159" s="1196"/>
      <c r="Q1159" s="141"/>
      <c r="R1159" s="141"/>
      <c r="S1159" s="148"/>
      <c r="T1159" s="419"/>
      <c r="U1159" s="559"/>
      <c r="V1159" s="141"/>
      <c r="W1159" s="141"/>
      <c r="X1159" s="141"/>
      <c r="Y1159" s="144"/>
      <c r="Z1159" s="141"/>
      <c r="AA1159" s="141"/>
      <c r="AB1159" s="141"/>
      <c r="AC1159" s="141"/>
      <c r="AD1159" s="141"/>
      <c r="AE1159" s="141"/>
      <c r="AF1159" s="145"/>
      <c r="AG1159" s="419"/>
    </row>
    <row r="1160" spans="1:33" s="139" customFormat="1" ht="12.75" customHeight="1" x14ac:dyDescent="0.2">
      <c r="A1160" s="141"/>
      <c r="B1160" s="141"/>
      <c r="C1160" s="141"/>
      <c r="D1160" s="141"/>
      <c r="E1160" s="1014"/>
      <c r="F1160" s="1014"/>
      <c r="G1160" s="1027"/>
      <c r="H1160" s="1027"/>
      <c r="I1160" s="1174"/>
      <c r="J1160" s="1174"/>
      <c r="K1160" s="1174"/>
      <c r="L1160" s="1172"/>
      <c r="M1160" s="1172"/>
      <c r="N1160" s="1175"/>
      <c r="O1160" s="143"/>
      <c r="P1160" s="1196"/>
      <c r="Q1160" s="141"/>
      <c r="R1160" s="141"/>
      <c r="S1160" s="148"/>
      <c r="T1160" s="419"/>
      <c r="U1160" s="559"/>
      <c r="V1160" s="141"/>
      <c r="W1160" s="141"/>
      <c r="X1160" s="141"/>
      <c r="Y1160" s="144"/>
      <c r="Z1160" s="141"/>
      <c r="AA1160" s="141"/>
      <c r="AB1160" s="141"/>
      <c r="AC1160" s="141"/>
      <c r="AD1160" s="141"/>
      <c r="AE1160" s="141"/>
      <c r="AF1160" s="145"/>
      <c r="AG1160" s="419"/>
    </row>
    <row r="1161" spans="1:33" s="139" customFormat="1" ht="12.75" customHeight="1" x14ac:dyDescent="0.2">
      <c r="A1161" s="141"/>
      <c r="B1161" s="141"/>
      <c r="C1161" s="141"/>
      <c r="D1161" s="141"/>
      <c r="E1161" s="1014"/>
      <c r="F1161" s="1014"/>
      <c r="G1161" s="1027"/>
      <c r="H1161" s="1027"/>
      <c r="I1161" s="1174"/>
      <c r="J1161" s="1174"/>
      <c r="K1161" s="1174"/>
      <c r="L1161" s="1172"/>
      <c r="M1161" s="1172"/>
      <c r="N1161" s="1175"/>
      <c r="O1161" s="143"/>
      <c r="P1161" s="1196"/>
      <c r="Q1161" s="141"/>
      <c r="R1161" s="141"/>
      <c r="S1161" s="148"/>
      <c r="T1161" s="419"/>
      <c r="U1161" s="559"/>
      <c r="V1161" s="141"/>
      <c r="W1161" s="141"/>
      <c r="X1161" s="141"/>
      <c r="Y1161" s="144"/>
      <c r="Z1161" s="141"/>
      <c r="AA1161" s="141"/>
      <c r="AB1161" s="141"/>
      <c r="AC1161" s="141"/>
      <c r="AD1161" s="141"/>
      <c r="AE1161" s="141"/>
      <c r="AF1161" s="145"/>
      <c r="AG1161" s="419"/>
    </row>
    <row r="1162" spans="1:33" s="139" customFormat="1" ht="12.75" customHeight="1" x14ac:dyDescent="0.2">
      <c r="A1162" s="141"/>
      <c r="B1162" s="141"/>
      <c r="C1162" s="141"/>
      <c r="D1162" s="141"/>
      <c r="E1162" s="1014"/>
      <c r="F1162" s="1014"/>
      <c r="G1162" s="1027"/>
      <c r="H1162" s="1027"/>
      <c r="I1162" s="1174"/>
      <c r="J1162" s="1174"/>
      <c r="K1162" s="1174"/>
      <c r="L1162" s="1172"/>
      <c r="M1162" s="1172"/>
      <c r="N1162" s="1175"/>
      <c r="O1162" s="143"/>
      <c r="P1162" s="1196"/>
      <c r="Q1162" s="141"/>
      <c r="R1162" s="141"/>
      <c r="S1162" s="148"/>
      <c r="T1162" s="419"/>
      <c r="U1162" s="559"/>
      <c r="V1162" s="141"/>
      <c r="W1162" s="141"/>
      <c r="X1162" s="141"/>
      <c r="Y1162" s="144"/>
      <c r="Z1162" s="141"/>
      <c r="AA1162" s="141"/>
      <c r="AB1162" s="141"/>
      <c r="AC1162" s="141"/>
      <c r="AD1162" s="141"/>
      <c r="AE1162" s="141"/>
      <c r="AF1162" s="145"/>
      <c r="AG1162" s="419"/>
    </row>
    <row r="1163" spans="1:33" s="139" customFormat="1" ht="12.75" customHeight="1" x14ac:dyDescent="0.2">
      <c r="A1163" s="141"/>
      <c r="B1163" s="141"/>
      <c r="C1163" s="141"/>
      <c r="D1163" s="141"/>
      <c r="E1163" s="1014"/>
      <c r="F1163" s="1014"/>
      <c r="G1163" s="1027"/>
      <c r="H1163" s="1027"/>
      <c r="I1163" s="1174"/>
      <c r="J1163" s="1174"/>
      <c r="K1163" s="1174"/>
      <c r="L1163" s="1172"/>
      <c r="M1163" s="1172"/>
      <c r="N1163" s="1175"/>
      <c r="O1163" s="143"/>
      <c r="P1163" s="1196"/>
      <c r="Q1163" s="141"/>
      <c r="R1163" s="141"/>
      <c r="S1163" s="148"/>
      <c r="T1163" s="419"/>
      <c r="U1163" s="559"/>
      <c r="V1163" s="141"/>
      <c r="W1163" s="141"/>
      <c r="X1163" s="141"/>
      <c r="Y1163" s="144"/>
      <c r="Z1163" s="141"/>
      <c r="AA1163" s="141"/>
      <c r="AB1163" s="141"/>
      <c r="AC1163" s="141"/>
      <c r="AD1163" s="141"/>
      <c r="AE1163" s="141"/>
      <c r="AF1163" s="145"/>
      <c r="AG1163" s="419"/>
    </row>
    <row r="1164" spans="1:33" s="139" customFormat="1" ht="12.75" customHeight="1" x14ac:dyDescent="0.2">
      <c r="A1164" s="141"/>
      <c r="B1164" s="141"/>
      <c r="C1164" s="141"/>
      <c r="D1164" s="141"/>
      <c r="E1164" s="1014"/>
      <c r="F1164" s="1014"/>
      <c r="G1164" s="1027"/>
      <c r="H1164" s="1027"/>
      <c r="I1164" s="1174"/>
      <c r="J1164" s="1174"/>
      <c r="K1164" s="1174"/>
      <c r="L1164" s="1172"/>
      <c r="M1164" s="1172"/>
      <c r="N1164" s="1175"/>
      <c r="O1164" s="143"/>
      <c r="P1164" s="1196"/>
      <c r="Q1164" s="141"/>
      <c r="R1164" s="141"/>
      <c r="S1164" s="148"/>
      <c r="T1164" s="419"/>
      <c r="U1164" s="559"/>
      <c r="V1164" s="141"/>
      <c r="W1164" s="141"/>
      <c r="X1164" s="141"/>
      <c r="Y1164" s="144"/>
      <c r="Z1164" s="141"/>
      <c r="AA1164" s="141"/>
      <c r="AB1164" s="141"/>
      <c r="AC1164" s="141"/>
      <c r="AD1164" s="141"/>
      <c r="AE1164" s="141"/>
      <c r="AF1164" s="145"/>
      <c r="AG1164" s="419"/>
    </row>
    <row r="1165" spans="1:33" s="139" customFormat="1" ht="12.75" customHeight="1" x14ac:dyDescent="0.2">
      <c r="A1165" s="141"/>
      <c r="B1165" s="141"/>
      <c r="C1165" s="141"/>
      <c r="D1165" s="141"/>
      <c r="E1165" s="1014"/>
      <c r="F1165" s="1014"/>
      <c r="G1165" s="1027"/>
      <c r="H1165" s="1027"/>
      <c r="I1165" s="1174"/>
      <c r="J1165" s="1174"/>
      <c r="K1165" s="1174"/>
      <c r="L1165" s="1172"/>
      <c r="M1165" s="1172"/>
      <c r="N1165" s="1175"/>
      <c r="O1165" s="143"/>
      <c r="P1165" s="1196"/>
      <c r="Q1165" s="141"/>
      <c r="R1165" s="141"/>
      <c r="S1165" s="148"/>
      <c r="T1165" s="419"/>
      <c r="U1165" s="559"/>
      <c r="V1165" s="141"/>
      <c r="W1165" s="141"/>
      <c r="X1165" s="141"/>
      <c r="Y1165" s="144"/>
      <c r="Z1165" s="141"/>
      <c r="AA1165" s="141"/>
      <c r="AB1165" s="141"/>
      <c r="AC1165" s="141"/>
      <c r="AD1165" s="141"/>
      <c r="AE1165" s="141"/>
      <c r="AF1165" s="145"/>
      <c r="AG1165" s="419"/>
    </row>
    <row r="1166" spans="1:33" s="139" customFormat="1" ht="12.75" customHeight="1" x14ac:dyDescent="0.2">
      <c r="A1166" s="141"/>
      <c r="B1166" s="141"/>
      <c r="C1166" s="141"/>
      <c r="D1166" s="141"/>
      <c r="E1166" s="1014"/>
      <c r="F1166" s="1014"/>
      <c r="G1166" s="1027"/>
      <c r="H1166" s="1027"/>
      <c r="I1166" s="1174"/>
      <c r="J1166" s="1174"/>
      <c r="K1166" s="1174"/>
      <c r="L1166" s="1172"/>
      <c r="M1166" s="1172"/>
      <c r="N1166" s="1175"/>
      <c r="O1166" s="143"/>
      <c r="P1166" s="1196"/>
      <c r="Q1166" s="141"/>
      <c r="R1166" s="141"/>
      <c r="S1166" s="148"/>
      <c r="T1166" s="419"/>
      <c r="U1166" s="559"/>
      <c r="V1166" s="141"/>
      <c r="W1166" s="141"/>
      <c r="X1166" s="141"/>
      <c r="Y1166" s="144"/>
      <c r="Z1166" s="141"/>
      <c r="AA1166" s="141"/>
      <c r="AB1166" s="141"/>
      <c r="AC1166" s="141"/>
      <c r="AD1166" s="141"/>
      <c r="AE1166" s="141"/>
      <c r="AF1166" s="145"/>
      <c r="AG1166" s="419"/>
    </row>
    <row r="1167" spans="1:33" s="139" customFormat="1" ht="12.75" customHeight="1" x14ac:dyDescent="0.2">
      <c r="A1167" s="141"/>
      <c r="B1167" s="141"/>
      <c r="C1167" s="141"/>
      <c r="D1167" s="141"/>
      <c r="E1167" s="1014"/>
      <c r="F1167" s="1014"/>
      <c r="G1167" s="1027"/>
      <c r="H1167" s="1027"/>
      <c r="I1167" s="1174"/>
      <c r="J1167" s="1174"/>
      <c r="K1167" s="1174"/>
      <c r="L1167" s="1172"/>
      <c r="M1167" s="1172"/>
      <c r="N1167" s="1175"/>
      <c r="O1167" s="143"/>
      <c r="P1167" s="1196"/>
      <c r="Q1167" s="141"/>
      <c r="R1167" s="141"/>
      <c r="S1167" s="148"/>
      <c r="T1167" s="419"/>
      <c r="U1167" s="559"/>
      <c r="V1167" s="141"/>
      <c r="W1167" s="141"/>
      <c r="X1167" s="141"/>
      <c r="Y1167" s="144"/>
      <c r="Z1167" s="141"/>
      <c r="AA1167" s="141"/>
      <c r="AB1167" s="141"/>
      <c r="AC1167" s="141"/>
      <c r="AD1167" s="141"/>
      <c r="AE1167" s="141"/>
      <c r="AF1167" s="145"/>
      <c r="AG1167" s="419"/>
    </row>
    <row r="1168" spans="1:33" s="139" customFormat="1" ht="12.75" customHeight="1" x14ac:dyDescent="0.2">
      <c r="A1168" s="141"/>
      <c r="B1168" s="141"/>
      <c r="C1168" s="141"/>
      <c r="D1168" s="141"/>
      <c r="E1168" s="1014"/>
      <c r="F1168" s="1014"/>
      <c r="G1168" s="1027"/>
      <c r="H1168" s="1027"/>
      <c r="I1168" s="1174"/>
      <c r="J1168" s="1174"/>
      <c r="K1168" s="1174"/>
      <c r="L1168" s="1172"/>
      <c r="M1168" s="1172"/>
      <c r="N1168" s="1175"/>
      <c r="O1168" s="143"/>
      <c r="P1168" s="1196"/>
      <c r="Q1168" s="141"/>
      <c r="R1168" s="141"/>
      <c r="S1168" s="148"/>
      <c r="T1168" s="419"/>
      <c r="U1168" s="559"/>
      <c r="V1168" s="141"/>
      <c r="W1168" s="141"/>
      <c r="X1168" s="141"/>
      <c r="Y1168" s="144"/>
      <c r="Z1168" s="141"/>
      <c r="AA1168" s="141"/>
      <c r="AB1168" s="141"/>
      <c r="AC1168" s="141"/>
      <c r="AD1168" s="141"/>
      <c r="AE1168" s="141"/>
      <c r="AF1168" s="145"/>
      <c r="AG1168" s="419"/>
    </row>
    <row r="1169" spans="1:33" s="139" customFormat="1" ht="12.75" customHeight="1" x14ac:dyDescent="0.2">
      <c r="A1169" s="141"/>
      <c r="B1169" s="141"/>
      <c r="C1169" s="141"/>
      <c r="D1169" s="141"/>
      <c r="E1169" s="1014"/>
      <c r="F1169" s="1014"/>
      <c r="G1169" s="1027"/>
      <c r="H1169" s="1027"/>
      <c r="I1169" s="1174"/>
      <c r="J1169" s="1174"/>
      <c r="K1169" s="1174"/>
      <c r="L1169" s="1172"/>
      <c r="M1169" s="1172"/>
      <c r="N1169" s="1175"/>
      <c r="O1169" s="143"/>
      <c r="P1169" s="1196"/>
      <c r="Q1169" s="141"/>
      <c r="R1169" s="141"/>
      <c r="S1169" s="148"/>
      <c r="T1169" s="419"/>
      <c r="U1169" s="559"/>
      <c r="V1169" s="141"/>
      <c r="W1169" s="141"/>
      <c r="X1169" s="141"/>
      <c r="Y1169" s="144"/>
      <c r="Z1169" s="141"/>
      <c r="AA1169" s="141"/>
      <c r="AB1169" s="141"/>
      <c r="AC1169" s="141"/>
      <c r="AD1169" s="141"/>
      <c r="AE1169" s="141"/>
      <c r="AF1169" s="145"/>
      <c r="AG1169" s="419"/>
    </row>
    <row r="1170" spans="1:33" s="139" customFormat="1" ht="12.75" customHeight="1" x14ac:dyDescent="0.2">
      <c r="A1170" s="141"/>
      <c r="B1170" s="141"/>
      <c r="C1170" s="141"/>
      <c r="D1170" s="141"/>
      <c r="E1170" s="1014"/>
      <c r="F1170" s="1014"/>
      <c r="G1170" s="1027"/>
      <c r="H1170" s="1027"/>
      <c r="I1170" s="1174"/>
      <c r="J1170" s="1174"/>
      <c r="K1170" s="1174"/>
      <c r="L1170" s="1172"/>
      <c r="M1170" s="1172"/>
      <c r="N1170" s="1175"/>
      <c r="O1170" s="143"/>
      <c r="P1170" s="1196"/>
      <c r="Q1170" s="141"/>
      <c r="R1170" s="141"/>
      <c r="S1170" s="148"/>
      <c r="T1170" s="419"/>
      <c r="U1170" s="559"/>
      <c r="V1170" s="141"/>
      <c r="W1170" s="141"/>
      <c r="X1170" s="141"/>
      <c r="Y1170" s="144"/>
      <c r="Z1170" s="141"/>
      <c r="AA1170" s="141"/>
      <c r="AB1170" s="141"/>
      <c r="AC1170" s="141"/>
      <c r="AD1170" s="141"/>
      <c r="AE1170" s="141"/>
      <c r="AF1170" s="145"/>
      <c r="AG1170" s="419"/>
    </row>
    <row r="1171" spans="1:33" s="139" customFormat="1" ht="12.75" customHeight="1" x14ac:dyDescent="0.2">
      <c r="A1171" s="141"/>
      <c r="B1171" s="141"/>
      <c r="C1171" s="141"/>
      <c r="D1171" s="141"/>
      <c r="E1171" s="1014"/>
      <c r="F1171" s="1014"/>
      <c r="G1171" s="1027"/>
      <c r="H1171" s="1027"/>
      <c r="I1171" s="1174"/>
      <c r="J1171" s="1174"/>
      <c r="K1171" s="1174"/>
      <c r="L1171" s="1172"/>
      <c r="M1171" s="1172"/>
      <c r="N1171" s="1175"/>
      <c r="O1171" s="143"/>
      <c r="P1171" s="1196"/>
      <c r="Q1171" s="141"/>
      <c r="R1171" s="141"/>
      <c r="S1171" s="148"/>
      <c r="T1171" s="419"/>
      <c r="U1171" s="559"/>
      <c r="V1171" s="141"/>
      <c r="W1171" s="141"/>
      <c r="X1171" s="141"/>
      <c r="Y1171" s="144"/>
      <c r="Z1171" s="141"/>
      <c r="AA1171" s="141"/>
      <c r="AB1171" s="141"/>
      <c r="AC1171" s="141"/>
      <c r="AD1171" s="141"/>
      <c r="AE1171" s="141"/>
      <c r="AF1171" s="145"/>
      <c r="AG1171" s="419"/>
    </row>
    <row r="1172" spans="1:33" s="139" customFormat="1" ht="12.75" customHeight="1" x14ac:dyDescent="0.2">
      <c r="A1172" s="141"/>
      <c r="B1172" s="141"/>
      <c r="C1172" s="141"/>
      <c r="D1172" s="141"/>
      <c r="E1172" s="1014"/>
      <c r="F1172" s="1014"/>
      <c r="G1172" s="1027"/>
      <c r="H1172" s="1027"/>
      <c r="I1172" s="1174"/>
      <c r="J1172" s="1174"/>
      <c r="K1172" s="1174"/>
      <c r="L1172" s="1172"/>
      <c r="M1172" s="1172"/>
      <c r="N1172" s="1175"/>
      <c r="O1172" s="143"/>
      <c r="P1172" s="1196"/>
      <c r="Q1172" s="141"/>
      <c r="R1172" s="141"/>
      <c r="S1172" s="148"/>
      <c r="T1172" s="419"/>
      <c r="U1172" s="559"/>
      <c r="V1172" s="141"/>
      <c r="W1172" s="141"/>
      <c r="X1172" s="141"/>
      <c r="Y1172" s="144"/>
      <c r="Z1172" s="141"/>
      <c r="AA1172" s="141"/>
      <c r="AB1172" s="141"/>
      <c r="AC1172" s="141"/>
      <c r="AD1172" s="141"/>
      <c r="AE1172" s="141"/>
      <c r="AF1172" s="145"/>
      <c r="AG1172" s="419"/>
    </row>
    <row r="1173" spans="1:33" s="139" customFormat="1" ht="12.75" customHeight="1" x14ac:dyDescent="0.2">
      <c r="A1173" s="141"/>
      <c r="B1173" s="141"/>
      <c r="C1173" s="141"/>
      <c r="D1173" s="141"/>
      <c r="E1173" s="1014"/>
      <c r="F1173" s="1014"/>
      <c r="G1173" s="1027"/>
      <c r="H1173" s="1027"/>
      <c r="I1173" s="1174"/>
      <c r="J1173" s="1174"/>
      <c r="K1173" s="1174"/>
      <c r="L1173" s="1172"/>
      <c r="M1173" s="1172"/>
      <c r="N1173" s="1175"/>
      <c r="O1173" s="143"/>
      <c r="P1173" s="1196"/>
      <c r="Q1173" s="141"/>
      <c r="R1173" s="141"/>
      <c r="S1173" s="148"/>
      <c r="T1173" s="419"/>
      <c r="U1173" s="559"/>
      <c r="V1173" s="141"/>
      <c r="W1173" s="141"/>
      <c r="X1173" s="141"/>
      <c r="Y1173" s="144"/>
      <c r="Z1173" s="141"/>
      <c r="AA1173" s="141"/>
      <c r="AB1173" s="141"/>
      <c r="AC1173" s="141"/>
      <c r="AD1173" s="141"/>
      <c r="AE1173" s="141"/>
      <c r="AF1173" s="145"/>
      <c r="AG1173" s="419"/>
    </row>
    <row r="1174" spans="1:33" s="139" customFormat="1" ht="12.75" customHeight="1" x14ac:dyDescent="0.2">
      <c r="A1174" s="141"/>
      <c r="B1174" s="141"/>
      <c r="C1174" s="141"/>
      <c r="D1174" s="141"/>
      <c r="E1174" s="1014"/>
      <c r="F1174" s="1014"/>
      <c r="G1174" s="1027"/>
      <c r="H1174" s="1027"/>
      <c r="I1174" s="1174"/>
      <c r="J1174" s="1174"/>
      <c r="K1174" s="1174"/>
      <c r="L1174" s="1172"/>
      <c r="M1174" s="1172"/>
      <c r="N1174" s="1175"/>
      <c r="O1174" s="143"/>
      <c r="P1174" s="1196"/>
      <c r="Q1174" s="141"/>
      <c r="R1174" s="141"/>
      <c r="S1174" s="148"/>
      <c r="T1174" s="419"/>
      <c r="U1174" s="559"/>
      <c r="V1174" s="141"/>
      <c r="W1174" s="141"/>
      <c r="X1174" s="141"/>
      <c r="Y1174" s="144"/>
      <c r="Z1174" s="141"/>
      <c r="AA1174" s="141"/>
      <c r="AB1174" s="141"/>
      <c r="AC1174" s="141"/>
      <c r="AD1174" s="141"/>
      <c r="AE1174" s="141"/>
      <c r="AF1174" s="145"/>
      <c r="AG1174" s="419"/>
    </row>
    <row r="1175" spans="1:33" s="139" customFormat="1" ht="12.75" customHeight="1" x14ac:dyDescent="0.2">
      <c r="A1175" s="141"/>
      <c r="B1175" s="141"/>
      <c r="C1175" s="141"/>
      <c r="D1175" s="141"/>
      <c r="E1175" s="1014"/>
      <c r="F1175" s="1014"/>
      <c r="G1175" s="1027"/>
      <c r="H1175" s="1027"/>
      <c r="I1175" s="1174"/>
      <c r="J1175" s="1174"/>
      <c r="K1175" s="1174"/>
      <c r="L1175" s="1172"/>
      <c r="M1175" s="1172"/>
      <c r="N1175" s="1175"/>
      <c r="O1175" s="143"/>
      <c r="P1175" s="1196"/>
      <c r="Q1175" s="141"/>
      <c r="R1175" s="141"/>
      <c r="S1175" s="148"/>
      <c r="T1175" s="419"/>
      <c r="U1175" s="559"/>
      <c r="V1175" s="141"/>
      <c r="W1175" s="141"/>
      <c r="X1175" s="141"/>
      <c r="Y1175" s="144"/>
      <c r="Z1175" s="141"/>
      <c r="AA1175" s="141"/>
      <c r="AB1175" s="141"/>
      <c r="AC1175" s="141"/>
      <c r="AD1175" s="141"/>
      <c r="AE1175" s="141"/>
      <c r="AF1175" s="145"/>
      <c r="AG1175" s="419"/>
    </row>
    <row r="1176" spans="1:33" s="139" customFormat="1" ht="12.75" customHeight="1" x14ac:dyDescent="0.2">
      <c r="A1176" s="141"/>
      <c r="B1176" s="141"/>
      <c r="C1176" s="141"/>
      <c r="D1176" s="141"/>
      <c r="E1176" s="1014"/>
      <c r="F1176" s="1014"/>
      <c r="G1176" s="1027"/>
      <c r="H1176" s="1027"/>
      <c r="I1176" s="1174"/>
      <c r="J1176" s="1174"/>
      <c r="K1176" s="1174"/>
      <c r="L1176" s="1172"/>
      <c r="M1176" s="1172"/>
      <c r="N1176" s="1175"/>
      <c r="O1176" s="143"/>
      <c r="P1176" s="1196"/>
      <c r="Q1176" s="141"/>
      <c r="R1176" s="141"/>
      <c r="S1176" s="148"/>
      <c r="T1176" s="419"/>
      <c r="U1176" s="559"/>
      <c r="V1176" s="141"/>
      <c r="W1176" s="141"/>
      <c r="X1176" s="141"/>
      <c r="Y1176" s="144"/>
      <c r="Z1176" s="141"/>
      <c r="AA1176" s="141"/>
      <c r="AB1176" s="141"/>
      <c r="AC1176" s="141"/>
      <c r="AD1176" s="141"/>
      <c r="AE1176" s="141"/>
      <c r="AF1176" s="145"/>
      <c r="AG1176" s="419"/>
    </row>
    <row r="1177" spans="1:33" s="139" customFormat="1" ht="12.75" customHeight="1" x14ac:dyDescent="0.2">
      <c r="A1177" s="141"/>
      <c r="B1177" s="141"/>
      <c r="C1177" s="141"/>
      <c r="D1177" s="141"/>
      <c r="E1177" s="1014"/>
      <c r="F1177" s="1014"/>
      <c r="G1177" s="1027"/>
      <c r="H1177" s="1027"/>
      <c r="I1177" s="1174"/>
      <c r="J1177" s="1174"/>
      <c r="K1177" s="1174"/>
      <c r="L1177" s="1172"/>
      <c r="M1177" s="1172"/>
      <c r="N1177" s="1175"/>
      <c r="O1177" s="143"/>
      <c r="P1177" s="1196"/>
      <c r="Q1177" s="141"/>
      <c r="R1177" s="141"/>
      <c r="S1177" s="148"/>
      <c r="T1177" s="419"/>
      <c r="U1177" s="559"/>
      <c r="V1177" s="141"/>
      <c r="W1177" s="141"/>
      <c r="X1177" s="141"/>
      <c r="Y1177" s="144"/>
      <c r="Z1177" s="141"/>
      <c r="AA1177" s="141"/>
      <c r="AB1177" s="141"/>
      <c r="AC1177" s="141"/>
      <c r="AD1177" s="141"/>
      <c r="AE1177" s="141"/>
      <c r="AF1177" s="145"/>
      <c r="AG1177" s="419"/>
    </row>
    <row r="1178" spans="1:33" s="139" customFormat="1" ht="12.75" customHeight="1" x14ac:dyDescent="0.2">
      <c r="A1178" s="141"/>
      <c r="B1178" s="141"/>
      <c r="C1178" s="141"/>
      <c r="D1178" s="141"/>
      <c r="E1178" s="1014"/>
      <c r="F1178" s="1014"/>
      <c r="G1178" s="1027"/>
      <c r="H1178" s="1027"/>
      <c r="I1178" s="1174"/>
      <c r="J1178" s="1174"/>
      <c r="K1178" s="1174"/>
      <c r="L1178" s="1172"/>
      <c r="M1178" s="1172"/>
      <c r="N1178" s="1175"/>
      <c r="O1178" s="143"/>
      <c r="P1178" s="1196"/>
      <c r="Q1178" s="141"/>
      <c r="R1178" s="141"/>
      <c r="S1178" s="148"/>
      <c r="T1178" s="419"/>
      <c r="U1178" s="559"/>
      <c r="V1178" s="141"/>
      <c r="W1178" s="141"/>
      <c r="X1178" s="141"/>
      <c r="Y1178" s="144"/>
      <c r="Z1178" s="141"/>
      <c r="AA1178" s="141"/>
      <c r="AB1178" s="141"/>
      <c r="AC1178" s="141"/>
      <c r="AD1178" s="141"/>
      <c r="AE1178" s="141"/>
      <c r="AF1178" s="145"/>
      <c r="AG1178" s="419"/>
    </row>
    <row r="1179" spans="1:33" s="139" customFormat="1" ht="12.75" customHeight="1" x14ac:dyDescent="0.2">
      <c r="A1179" s="141"/>
      <c r="B1179" s="141"/>
      <c r="C1179" s="141"/>
      <c r="D1179" s="141"/>
      <c r="E1179" s="1014"/>
      <c r="F1179" s="1014"/>
      <c r="G1179" s="1027"/>
      <c r="H1179" s="1027"/>
      <c r="I1179" s="1174"/>
      <c r="J1179" s="1174"/>
      <c r="K1179" s="1174"/>
      <c r="L1179" s="1172"/>
      <c r="M1179" s="1172"/>
      <c r="N1179" s="1175"/>
      <c r="O1179" s="143"/>
      <c r="P1179" s="1196"/>
      <c r="Q1179" s="141"/>
      <c r="R1179" s="141"/>
      <c r="S1179" s="148"/>
      <c r="T1179" s="419"/>
      <c r="U1179" s="559"/>
      <c r="V1179" s="141"/>
      <c r="W1179" s="141"/>
      <c r="X1179" s="141"/>
      <c r="Y1179" s="144"/>
      <c r="Z1179" s="141"/>
      <c r="AA1179" s="141"/>
      <c r="AB1179" s="141"/>
      <c r="AC1179" s="141"/>
      <c r="AD1179" s="141"/>
      <c r="AE1179" s="141"/>
      <c r="AF1179" s="145"/>
      <c r="AG1179" s="419"/>
    </row>
    <row r="1180" spans="1:33" s="139" customFormat="1" ht="12.75" customHeight="1" x14ac:dyDescent="0.2">
      <c r="A1180" s="141"/>
      <c r="B1180" s="141"/>
      <c r="C1180" s="141"/>
      <c r="D1180" s="141"/>
      <c r="E1180" s="1014"/>
      <c r="F1180" s="1014"/>
      <c r="G1180" s="1027"/>
      <c r="H1180" s="1027"/>
      <c r="I1180" s="1174"/>
      <c r="J1180" s="1174"/>
      <c r="K1180" s="1174"/>
      <c r="L1180" s="1172"/>
      <c r="M1180" s="1172"/>
      <c r="N1180" s="1175"/>
      <c r="O1180" s="143"/>
      <c r="P1180" s="1196"/>
      <c r="Q1180" s="141"/>
      <c r="R1180" s="141"/>
      <c r="S1180" s="148"/>
      <c r="T1180" s="419"/>
      <c r="U1180" s="559"/>
      <c r="V1180" s="141"/>
      <c r="W1180" s="141"/>
      <c r="X1180" s="141"/>
      <c r="Y1180" s="144"/>
      <c r="Z1180" s="141"/>
      <c r="AA1180" s="141"/>
      <c r="AB1180" s="141"/>
      <c r="AC1180" s="141"/>
      <c r="AD1180" s="141"/>
      <c r="AE1180" s="141"/>
      <c r="AF1180" s="145"/>
      <c r="AG1180" s="419"/>
    </row>
    <row r="1181" spans="1:33" s="139" customFormat="1" ht="12.75" customHeight="1" x14ac:dyDescent="0.2">
      <c r="A1181" s="141"/>
      <c r="B1181" s="141"/>
      <c r="C1181" s="141"/>
      <c r="D1181" s="141"/>
      <c r="E1181" s="1014"/>
      <c r="F1181" s="1014"/>
      <c r="G1181" s="1027"/>
      <c r="H1181" s="1027"/>
      <c r="I1181" s="1174"/>
      <c r="J1181" s="1174"/>
      <c r="K1181" s="1174"/>
      <c r="L1181" s="1172"/>
      <c r="M1181" s="1172"/>
      <c r="N1181" s="1175"/>
      <c r="O1181" s="143"/>
      <c r="P1181" s="1196"/>
      <c r="Q1181" s="141"/>
      <c r="R1181" s="141"/>
      <c r="S1181" s="148"/>
      <c r="T1181" s="419"/>
      <c r="U1181" s="559"/>
      <c r="V1181" s="141"/>
      <c r="W1181" s="141"/>
      <c r="X1181" s="141"/>
      <c r="Y1181" s="144"/>
      <c r="Z1181" s="141"/>
      <c r="AA1181" s="141"/>
      <c r="AB1181" s="141"/>
      <c r="AC1181" s="141"/>
      <c r="AD1181" s="141"/>
      <c r="AE1181" s="141"/>
      <c r="AF1181" s="145"/>
      <c r="AG1181" s="419"/>
    </row>
    <row r="1182" spans="1:33" s="139" customFormat="1" ht="12.75" customHeight="1" x14ac:dyDescent="0.2">
      <c r="A1182" s="141"/>
      <c r="B1182" s="141"/>
      <c r="C1182" s="141"/>
      <c r="D1182" s="141"/>
      <c r="E1182" s="1014"/>
      <c r="F1182" s="1014"/>
      <c r="G1182" s="1027"/>
      <c r="H1182" s="1027"/>
      <c r="I1182" s="1174"/>
      <c r="J1182" s="1174"/>
      <c r="K1182" s="1174"/>
      <c r="L1182" s="1172"/>
      <c r="M1182" s="1172"/>
      <c r="N1182" s="1175"/>
      <c r="O1182" s="143"/>
      <c r="P1182" s="1196"/>
      <c r="Q1182" s="141"/>
      <c r="R1182" s="141"/>
      <c r="S1182" s="148"/>
      <c r="T1182" s="419"/>
      <c r="U1182" s="559"/>
      <c r="V1182" s="141"/>
      <c r="W1182" s="141"/>
      <c r="X1182" s="141"/>
      <c r="Y1182" s="144"/>
      <c r="Z1182" s="141"/>
      <c r="AA1182" s="141"/>
      <c r="AB1182" s="141"/>
      <c r="AC1182" s="141"/>
      <c r="AD1182" s="141"/>
      <c r="AE1182" s="141"/>
      <c r="AF1182" s="145"/>
      <c r="AG1182" s="419"/>
    </row>
    <row r="1183" spans="1:33" s="139" customFormat="1" ht="12.75" customHeight="1" x14ac:dyDescent="0.2">
      <c r="A1183" s="141"/>
      <c r="B1183" s="141"/>
      <c r="C1183" s="141"/>
      <c r="D1183" s="141"/>
      <c r="E1183" s="1014"/>
      <c r="F1183" s="1014"/>
      <c r="G1183" s="1027"/>
      <c r="H1183" s="1027"/>
      <c r="I1183" s="1174"/>
      <c r="J1183" s="1174"/>
      <c r="K1183" s="1174"/>
      <c r="L1183" s="1172"/>
      <c r="M1183" s="1172"/>
      <c r="N1183" s="1175"/>
      <c r="O1183" s="143"/>
      <c r="P1183" s="1196"/>
      <c r="Q1183" s="141"/>
      <c r="R1183" s="141"/>
      <c r="S1183" s="148"/>
      <c r="T1183" s="419"/>
      <c r="U1183" s="559"/>
      <c r="V1183" s="141"/>
      <c r="W1183" s="141"/>
      <c r="X1183" s="141"/>
      <c r="Y1183" s="144"/>
      <c r="Z1183" s="141"/>
      <c r="AA1183" s="141"/>
      <c r="AB1183" s="141"/>
      <c r="AC1183" s="141"/>
      <c r="AD1183" s="141"/>
      <c r="AE1183" s="141"/>
      <c r="AF1183" s="145"/>
      <c r="AG1183" s="419"/>
    </row>
    <row r="1184" spans="1:33" s="139" customFormat="1" ht="12.75" customHeight="1" x14ac:dyDescent="0.2">
      <c r="A1184" s="141"/>
      <c r="B1184" s="141"/>
      <c r="C1184" s="141"/>
      <c r="D1184" s="141"/>
      <c r="E1184" s="1014"/>
      <c r="F1184" s="1014"/>
      <c r="G1184" s="1027"/>
      <c r="H1184" s="1027"/>
      <c r="I1184" s="1174"/>
      <c r="J1184" s="1174"/>
      <c r="K1184" s="1174"/>
      <c r="L1184" s="1172"/>
      <c r="M1184" s="1172"/>
      <c r="N1184" s="1175"/>
      <c r="O1184" s="143"/>
      <c r="P1184" s="1196"/>
      <c r="Q1184" s="141"/>
      <c r="R1184" s="141"/>
      <c r="S1184" s="148"/>
      <c r="T1184" s="419"/>
      <c r="U1184" s="559"/>
      <c r="V1184" s="141"/>
      <c r="W1184" s="141"/>
      <c r="X1184" s="141"/>
      <c r="Y1184" s="144"/>
      <c r="Z1184" s="141"/>
      <c r="AA1184" s="141"/>
      <c r="AB1184" s="141"/>
      <c r="AC1184" s="141"/>
      <c r="AD1184" s="141"/>
      <c r="AE1184" s="141"/>
      <c r="AF1184" s="145"/>
      <c r="AG1184" s="419"/>
    </row>
    <row r="1185" spans="1:33" s="139" customFormat="1" ht="12.75" customHeight="1" x14ac:dyDescent="0.2">
      <c r="A1185" s="141"/>
      <c r="B1185" s="141"/>
      <c r="C1185" s="141"/>
      <c r="D1185" s="141"/>
      <c r="E1185" s="1014"/>
      <c r="F1185" s="1014"/>
      <c r="G1185" s="1027"/>
      <c r="H1185" s="1027"/>
      <c r="I1185" s="1174"/>
      <c r="J1185" s="1174"/>
      <c r="K1185" s="1174"/>
      <c r="L1185" s="1172"/>
      <c r="M1185" s="1172"/>
      <c r="N1185" s="1175"/>
      <c r="O1185" s="143"/>
      <c r="P1185" s="1196"/>
      <c r="Q1185" s="141"/>
      <c r="R1185" s="141"/>
      <c r="S1185" s="148"/>
      <c r="T1185" s="419"/>
      <c r="U1185" s="559"/>
      <c r="V1185" s="141"/>
      <c r="W1185" s="141"/>
      <c r="X1185" s="141"/>
      <c r="Y1185" s="144"/>
      <c r="Z1185" s="141"/>
      <c r="AA1185" s="141"/>
      <c r="AB1185" s="141"/>
      <c r="AC1185" s="141"/>
      <c r="AD1185" s="141"/>
      <c r="AE1185" s="141"/>
      <c r="AF1185" s="145"/>
      <c r="AG1185" s="419"/>
    </row>
    <row r="1186" spans="1:33" s="139" customFormat="1" ht="12.75" customHeight="1" x14ac:dyDescent="0.2">
      <c r="A1186" s="141"/>
      <c r="B1186" s="141"/>
      <c r="C1186" s="141"/>
      <c r="D1186" s="141"/>
      <c r="E1186" s="1014"/>
      <c r="F1186" s="1014"/>
      <c r="G1186" s="1027"/>
      <c r="H1186" s="1027"/>
      <c r="I1186" s="1174"/>
      <c r="J1186" s="1174"/>
      <c r="K1186" s="1174"/>
      <c r="L1186" s="1172"/>
      <c r="M1186" s="1172"/>
      <c r="N1186" s="1175"/>
      <c r="O1186" s="143"/>
      <c r="P1186" s="1196"/>
      <c r="Q1186" s="141"/>
      <c r="R1186" s="141"/>
      <c r="S1186" s="148"/>
      <c r="T1186" s="419"/>
      <c r="U1186" s="559"/>
      <c r="V1186" s="141"/>
      <c r="W1186" s="141"/>
      <c r="X1186" s="141"/>
      <c r="Y1186" s="144"/>
      <c r="Z1186" s="141"/>
      <c r="AA1186" s="141"/>
      <c r="AB1186" s="141"/>
      <c r="AC1186" s="141"/>
      <c r="AD1186" s="141"/>
      <c r="AE1186" s="141"/>
      <c r="AF1186" s="145"/>
      <c r="AG1186" s="419"/>
    </row>
    <row r="1187" spans="1:33" s="139" customFormat="1" ht="12.75" customHeight="1" x14ac:dyDescent="0.2">
      <c r="A1187" s="141"/>
      <c r="B1187" s="141"/>
      <c r="C1187" s="141"/>
      <c r="D1187" s="141"/>
      <c r="E1187" s="1014"/>
      <c r="F1187" s="1014"/>
      <c r="G1187" s="1027"/>
      <c r="H1187" s="1027"/>
      <c r="I1187" s="1174"/>
      <c r="J1187" s="1174"/>
      <c r="K1187" s="1174"/>
      <c r="L1187" s="1172"/>
      <c r="M1187" s="1172"/>
      <c r="N1187" s="1175"/>
      <c r="O1187" s="143"/>
      <c r="P1187" s="1196"/>
      <c r="Q1187" s="141"/>
      <c r="R1187" s="141"/>
      <c r="S1187" s="148"/>
      <c r="T1187" s="419"/>
      <c r="U1187" s="559"/>
      <c r="V1187" s="141"/>
      <c r="W1187" s="141"/>
      <c r="X1187" s="141"/>
      <c r="Y1187" s="144"/>
      <c r="Z1187" s="141"/>
      <c r="AA1187" s="141"/>
      <c r="AB1187" s="141"/>
      <c r="AC1187" s="141"/>
      <c r="AD1187" s="141"/>
      <c r="AE1187" s="141"/>
      <c r="AF1187" s="145"/>
      <c r="AG1187" s="419"/>
    </row>
    <row r="1188" spans="1:33" s="139" customFormat="1" ht="12.75" customHeight="1" x14ac:dyDescent="0.2">
      <c r="A1188" s="141"/>
      <c r="B1188" s="141"/>
      <c r="C1188" s="141"/>
      <c r="D1188" s="141"/>
      <c r="E1188" s="1014"/>
      <c r="F1188" s="1014"/>
      <c r="G1188" s="1027"/>
      <c r="H1188" s="1027"/>
      <c r="I1188" s="1174"/>
      <c r="J1188" s="1174"/>
      <c r="K1188" s="1174"/>
      <c r="L1188" s="1172"/>
      <c r="M1188" s="1172"/>
      <c r="N1188" s="1175"/>
      <c r="O1188" s="143"/>
      <c r="P1188" s="1196"/>
      <c r="Q1188" s="141"/>
      <c r="R1188" s="141"/>
      <c r="S1188" s="148"/>
      <c r="T1188" s="419"/>
      <c r="U1188" s="559"/>
      <c r="V1188" s="141"/>
      <c r="W1188" s="141"/>
      <c r="X1188" s="141"/>
      <c r="Y1188" s="144"/>
      <c r="Z1188" s="141"/>
      <c r="AA1188" s="141"/>
      <c r="AB1188" s="141"/>
      <c r="AC1188" s="141"/>
      <c r="AD1188" s="141"/>
      <c r="AE1188" s="141"/>
      <c r="AF1188" s="145"/>
      <c r="AG1188" s="419"/>
    </row>
    <row r="1189" spans="1:33" s="139" customFormat="1" ht="12.75" customHeight="1" x14ac:dyDescent="0.2">
      <c r="A1189" s="141"/>
      <c r="B1189" s="141"/>
      <c r="C1189" s="141"/>
      <c r="D1189" s="141"/>
      <c r="E1189" s="1014"/>
      <c r="F1189" s="1014"/>
      <c r="G1189" s="1027"/>
      <c r="H1189" s="1027"/>
      <c r="I1189" s="1174"/>
      <c r="J1189" s="1174"/>
      <c r="K1189" s="1174"/>
      <c r="L1189" s="1172"/>
      <c r="M1189" s="1172"/>
      <c r="N1189" s="1175"/>
      <c r="O1189" s="143"/>
      <c r="P1189" s="1196"/>
      <c r="Q1189" s="141"/>
      <c r="R1189" s="141"/>
      <c r="S1189" s="148"/>
      <c r="T1189" s="419"/>
      <c r="U1189" s="559"/>
      <c r="V1189" s="141"/>
      <c r="W1189" s="141"/>
      <c r="X1189" s="141"/>
      <c r="Y1189" s="144"/>
      <c r="Z1189" s="141"/>
      <c r="AA1189" s="141"/>
      <c r="AB1189" s="141"/>
      <c r="AC1189" s="141"/>
      <c r="AD1189" s="141"/>
      <c r="AE1189" s="141"/>
      <c r="AF1189" s="145"/>
      <c r="AG1189" s="419"/>
    </row>
    <row r="1190" spans="1:33" s="139" customFormat="1" ht="12.75" customHeight="1" x14ac:dyDescent="0.2">
      <c r="A1190" s="141"/>
      <c r="B1190" s="141"/>
      <c r="C1190" s="141"/>
      <c r="D1190" s="141"/>
      <c r="E1190" s="1014"/>
      <c r="F1190" s="1014"/>
      <c r="G1190" s="1027"/>
      <c r="H1190" s="1027"/>
      <c r="I1190" s="1174"/>
      <c r="J1190" s="1174"/>
      <c r="K1190" s="1174"/>
      <c r="L1190" s="1172"/>
      <c r="M1190" s="1172"/>
      <c r="N1190" s="1175"/>
      <c r="O1190" s="143"/>
      <c r="P1190" s="1196"/>
      <c r="Q1190" s="141"/>
      <c r="R1190" s="141"/>
      <c r="S1190" s="148"/>
      <c r="T1190" s="419"/>
      <c r="U1190" s="559"/>
      <c r="V1190" s="141"/>
      <c r="W1190" s="141"/>
      <c r="X1190" s="141"/>
      <c r="Y1190" s="144"/>
      <c r="Z1190" s="141"/>
      <c r="AA1190" s="141"/>
      <c r="AB1190" s="141"/>
      <c r="AC1190" s="141"/>
      <c r="AD1190" s="141"/>
      <c r="AE1190" s="141"/>
      <c r="AF1190" s="145"/>
      <c r="AG1190" s="419"/>
    </row>
    <row r="1191" spans="1:33" s="139" customFormat="1" ht="12.75" customHeight="1" x14ac:dyDescent="0.2">
      <c r="A1191" s="141"/>
      <c r="B1191" s="141"/>
      <c r="C1191" s="141"/>
      <c r="D1191" s="141"/>
      <c r="E1191" s="1014"/>
      <c r="F1191" s="1014"/>
      <c r="G1191" s="1027"/>
      <c r="H1191" s="1027"/>
      <c r="I1191" s="1174"/>
      <c r="J1191" s="1174"/>
      <c r="K1191" s="1174"/>
      <c r="L1191" s="1172"/>
      <c r="M1191" s="1172"/>
      <c r="N1191" s="1175"/>
      <c r="O1191" s="143"/>
      <c r="P1191" s="1196"/>
      <c r="Q1191" s="141"/>
      <c r="R1191" s="141"/>
      <c r="S1191" s="148"/>
      <c r="T1191" s="419"/>
      <c r="U1191" s="559"/>
      <c r="V1191" s="141"/>
      <c r="W1191" s="141"/>
      <c r="X1191" s="141"/>
      <c r="Y1191" s="144"/>
      <c r="Z1191" s="141"/>
      <c r="AA1191" s="141"/>
      <c r="AB1191" s="141"/>
      <c r="AC1191" s="141"/>
      <c r="AD1191" s="141"/>
      <c r="AE1191" s="141"/>
      <c r="AF1191" s="145"/>
      <c r="AG1191" s="419"/>
    </row>
    <row r="1192" spans="1:33" s="139" customFormat="1" ht="12.75" customHeight="1" x14ac:dyDescent="0.2">
      <c r="A1192" s="141"/>
      <c r="B1192" s="141"/>
      <c r="C1192" s="141"/>
      <c r="D1192" s="141"/>
      <c r="E1192" s="1014"/>
      <c r="F1192" s="1014"/>
      <c r="G1192" s="1027"/>
      <c r="H1192" s="1027"/>
      <c r="I1192" s="1174"/>
      <c r="J1192" s="1174"/>
      <c r="K1192" s="1174"/>
      <c r="L1192" s="1172"/>
      <c r="M1192" s="1172"/>
      <c r="N1192" s="1175"/>
      <c r="O1192" s="143"/>
      <c r="P1192" s="1196"/>
      <c r="Q1192" s="141"/>
      <c r="R1192" s="141"/>
      <c r="S1192" s="148"/>
      <c r="T1192" s="419"/>
      <c r="U1192" s="559"/>
      <c r="V1192" s="141"/>
      <c r="W1192" s="141"/>
      <c r="X1192" s="141"/>
      <c r="Y1192" s="144"/>
      <c r="Z1192" s="141"/>
      <c r="AA1192" s="141"/>
      <c r="AB1192" s="141"/>
      <c r="AC1192" s="141"/>
      <c r="AD1192" s="141"/>
      <c r="AE1192" s="141"/>
      <c r="AF1192" s="145"/>
      <c r="AG1192" s="419"/>
    </row>
    <row r="1193" spans="1:33" s="139" customFormat="1" ht="12.75" customHeight="1" x14ac:dyDescent="0.2">
      <c r="A1193" s="141"/>
      <c r="B1193" s="141"/>
      <c r="C1193" s="141"/>
      <c r="D1193" s="141"/>
      <c r="E1193" s="1014"/>
      <c r="F1193" s="1014"/>
      <c r="G1193" s="1027"/>
      <c r="H1193" s="1027"/>
      <c r="I1193" s="1174"/>
      <c r="J1193" s="1174"/>
      <c r="K1193" s="1174"/>
      <c r="L1193" s="1172"/>
      <c r="M1193" s="1172"/>
      <c r="N1193" s="1175"/>
      <c r="O1193" s="143"/>
      <c r="P1193" s="1196"/>
      <c r="Q1193" s="141"/>
      <c r="R1193" s="141"/>
      <c r="S1193" s="148"/>
      <c r="T1193" s="419"/>
      <c r="U1193" s="559"/>
      <c r="V1193" s="141"/>
      <c r="W1193" s="141"/>
      <c r="X1193" s="141"/>
      <c r="Y1193" s="144"/>
      <c r="Z1193" s="141"/>
      <c r="AA1193" s="141"/>
      <c r="AB1193" s="141"/>
      <c r="AC1193" s="141"/>
      <c r="AD1193" s="141"/>
      <c r="AE1193" s="141"/>
      <c r="AF1193" s="145"/>
      <c r="AG1193" s="419"/>
    </row>
    <row r="1194" spans="1:33" s="139" customFormat="1" ht="12.75" customHeight="1" x14ac:dyDescent="0.2">
      <c r="A1194" s="141"/>
      <c r="B1194" s="141"/>
      <c r="C1194" s="141"/>
      <c r="D1194" s="141"/>
      <c r="E1194" s="1014"/>
      <c r="F1194" s="1014"/>
      <c r="G1194" s="1027"/>
      <c r="H1194" s="1027"/>
      <c r="I1194" s="1174"/>
      <c r="J1194" s="1174"/>
      <c r="K1194" s="1174"/>
      <c r="L1194" s="1172"/>
      <c r="M1194" s="1172"/>
      <c r="N1194" s="1175"/>
      <c r="O1194" s="143"/>
      <c r="P1194" s="1196"/>
      <c r="Q1194" s="141"/>
      <c r="R1194" s="141"/>
      <c r="S1194" s="148"/>
      <c r="T1194" s="419"/>
      <c r="U1194" s="559"/>
      <c r="V1194" s="141"/>
      <c r="W1194" s="141"/>
      <c r="X1194" s="141"/>
      <c r="Y1194" s="144"/>
      <c r="Z1194" s="141"/>
      <c r="AA1194" s="141"/>
      <c r="AB1194" s="141"/>
      <c r="AC1194" s="141"/>
      <c r="AD1194" s="141"/>
      <c r="AE1194" s="141"/>
      <c r="AF1194" s="145"/>
      <c r="AG1194" s="419"/>
    </row>
    <row r="1195" spans="1:33" s="139" customFormat="1" ht="12.75" customHeight="1" x14ac:dyDescent="0.2">
      <c r="A1195" s="141"/>
      <c r="B1195" s="141"/>
      <c r="C1195" s="141"/>
      <c r="D1195" s="141"/>
      <c r="E1195" s="1014"/>
      <c r="F1195" s="1014"/>
      <c r="G1195" s="1027"/>
      <c r="H1195" s="1027"/>
      <c r="I1195" s="1174"/>
      <c r="J1195" s="1174"/>
      <c r="K1195" s="1174"/>
      <c r="L1195" s="1172"/>
      <c r="M1195" s="1172"/>
      <c r="N1195" s="1175"/>
      <c r="O1195" s="143"/>
      <c r="P1195" s="1196"/>
      <c r="Q1195" s="141"/>
      <c r="R1195" s="141"/>
      <c r="S1195" s="148"/>
      <c r="T1195" s="419"/>
      <c r="U1195" s="559"/>
      <c r="V1195" s="141"/>
      <c r="W1195" s="141"/>
      <c r="X1195" s="141"/>
      <c r="Y1195" s="144"/>
      <c r="Z1195" s="141"/>
      <c r="AA1195" s="141"/>
      <c r="AB1195" s="141"/>
      <c r="AC1195" s="141"/>
      <c r="AD1195" s="141"/>
      <c r="AE1195" s="141"/>
      <c r="AF1195" s="145"/>
      <c r="AG1195" s="419"/>
    </row>
    <row r="1196" spans="1:33" s="139" customFormat="1" ht="12.75" customHeight="1" x14ac:dyDescent="0.2">
      <c r="A1196" s="141"/>
      <c r="B1196" s="141"/>
      <c r="C1196" s="141"/>
      <c r="D1196" s="141"/>
      <c r="E1196" s="1014"/>
      <c r="F1196" s="1014"/>
      <c r="G1196" s="1027"/>
      <c r="H1196" s="1027"/>
      <c r="I1196" s="1174"/>
      <c r="J1196" s="1174"/>
      <c r="K1196" s="1174"/>
      <c r="L1196" s="1172"/>
      <c r="M1196" s="1172"/>
      <c r="N1196" s="1175"/>
      <c r="O1196" s="143"/>
      <c r="P1196" s="1196"/>
      <c r="Q1196" s="141"/>
      <c r="R1196" s="141"/>
      <c r="S1196" s="148"/>
      <c r="T1196" s="419"/>
      <c r="U1196" s="559"/>
      <c r="V1196" s="141"/>
      <c r="W1196" s="141"/>
      <c r="X1196" s="141"/>
      <c r="Y1196" s="144"/>
      <c r="Z1196" s="141"/>
      <c r="AA1196" s="141"/>
      <c r="AB1196" s="141"/>
      <c r="AC1196" s="141"/>
      <c r="AD1196" s="141"/>
      <c r="AE1196" s="141"/>
      <c r="AF1196" s="145"/>
      <c r="AG1196" s="419"/>
    </row>
    <row r="1197" spans="1:33" s="139" customFormat="1" ht="12.75" customHeight="1" x14ac:dyDescent="0.2">
      <c r="A1197" s="141"/>
      <c r="B1197" s="141"/>
      <c r="C1197" s="141"/>
      <c r="D1197" s="141"/>
      <c r="E1197" s="1014"/>
      <c r="F1197" s="1014"/>
      <c r="G1197" s="1027"/>
      <c r="H1197" s="1027"/>
      <c r="I1197" s="1174"/>
      <c r="J1197" s="1174"/>
      <c r="K1197" s="1174"/>
      <c r="L1197" s="1172"/>
      <c r="M1197" s="1172"/>
      <c r="N1197" s="1175"/>
      <c r="O1197" s="143"/>
      <c r="P1197" s="1196"/>
      <c r="Q1197" s="141"/>
      <c r="R1197" s="141"/>
      <c r="S1197" s="148"/>
      <c r="T1197" s="419"/>
      <c r="U1197" s="559"/>
      <c r="V1197" s="141"/>
      <c r="W1197" s="141"/>
      <c r="X1197" s="141"/>
      <c r="Y1197" s="144"/>
      <c r="Z1197" s="141"/>
      <c r="AA1197" s="141"/>
      <c r="AB1197" s="141"/>
      <c r="AC1197" s="141"/>
      <c r="AD1197" s="141"/>
      <c r="AE1197" s="141"/>
      <c r="AF1197" s="145"/>
      <c r="AG1197" s="419"/>
    </row>
    <row r="1198" spans="1:33" s="139" customFormat="1" ht="12.75" customHeight="1" x14ac:dyDescent="0.2">
      <c r="A1198" s="141"/>
      <c r="B1198" s="141"/>
      <c r="C1198" s="141"/>
      <c r="D1198" s="141"/>
      <c r="E1198" s="1014"/>
      <c r="F1198" s="1014"/>
      <c r="G1198" s="1027"/>
      <c r="H1198" s="1027"/>
      <c r="I1198" s="1174"/>
      <c r="J1198" s="1174"/>
      <c r="K1198" s="1174"/>
      <c r="L1198" s="1172"/>
      <c r="M1198" s="1172"/>
      <c r="N1198" s="1175"/>
      <c r="O1198" s="143"/>
      <c r="P1198" s="1196"/>
      <c r="Q1198" s="141"/>
      <c r="R1198" s="141"/>
      <c r="S1198" s="148"/>
      <c r="T1198" s="419"/>
      <c r="U1198" s="559"/>
      <c r="V1198" s="141"/>
      <c r="W1198" s="141"/>
      <c r="X1198" s="141"/>
      <c r="Y1198" s="144"/>
      <c r="Z1198" s="141"/>
      <c r="AA1198" s="141"/>
      <c r="AB1198" s="141"/>
      <c r="AC1198" s="141"/>
      <c r="AD1198" s="141"/>
      <c r="AE1198" s="141"/>
      <c r="AF1198" s="145"/>
      <c r="AG1198" s="419"/>
    </row>
    <row r="1199" spans="1:33" s="139" customFormat="1" ht="12.75" customHeight="1" x14ac:dyDescent="0.2">
      <c r="A1199" s="141"/>
      <c r="B1199" s="141"/>
      <c r="C1199" s="141"/>
      <c r="D1199" s="141"/>
      <c r="E1199" s="1014"/>
      <c r="F1199" s="1014"/>
      <c r="G1199" s="1027"/>
      <c r="H1199" s="1027"/>
      <c r="I1199" s="1174"/>
      <c r="J1199" s="1174"/>
      <c r="K1199" s="1174"/>
      <c r="L1199" s="1172"/>
      <c r="M1199" s="1172"/>
      <c r="N1199" s="1175"/>
      <c r="O1199" s="143"/>
      <c r="P1199" s="1196"/>
      <c r="Q1199" s="141"/>
      <c r="R1199" s="141"/>
      <c r="S1199" s="148"/>
      <c r="T1199" s="419"/>
      <c r="U1199" s="559"/>
      <c r="V1199" s="141"/>
      <c r="W1199" s="141"/>
      <c r="X1199" s="141"/>
      <c r="Y1199" s="144"/>
      <c r="Z1199" s="141"/>
      <c r="AA1199" s="141"/>
      <c r="AB1199" s="141"/>
      <c r="AC1199" s="141"/>
      <c r="AD1199" s="141"/>
      <c r="AE1199" s="141"/>
      <c r="AF1199" s="145"/>
      <c r="AG1199" s="419"/>
    </row>
    <row r="1200" spans="1:33" s="139" customFormat="1" ht="12.75" customHeight="1" x14ac:dyDescent="0.2">
      <c r="A1200" s="141"/>
      <c r="B1200" s="141"/>
      <c r="C1200" s="141"/>
      <c r="D1200" s="141"/>
      <c r="E1200" s="1014"/>
      <c r="F1200" s="1014"/>
      <c r="G1200" s="1027"/>
      <c r="H1200" s="1027"/>
      <c r="I1200" s="1174"/>
      <c r="J1200" s="1174"/>
      <c r="K1200" s="1174"/>
      <c r="L1200" s="1172"/>
      <c r="M1200" s="1172"/>
      <c r="N1200" s="1175"/>
      <c r="O1200" s="143"/>
      <c r="P1200" s="1196"/>
      <c r="Q1200" s="141"/>
      <c r="R1200" s="141"/>
      <c r="S1200" s="148"/>
      <c r="T1200" s="419"/>
      <c r="U1200" s="559"/>
      <c r="V1200" s="141"/>
      <c r="W1200" s="141"/>
      <c r="X1200" s="141"/>
      <c r="Y1200" s="144"/>
      <c r="Z1200" s="141"/>
      <c r="AA1200" s="141"/>
      <c r="AB1200" s="141"/>
      <c r="AC1200" s="141"/>
      <c r="AD1200" s="141"/>
      <c r="AE1200" s="141"/>
      <c r="AF1200" s="145"/>
      <c r="AG1200" s="419"/>
    </row>
    <row r="1201" spans="1:33" s="139" customFormat="1" ht="12.75" customHeight="1" x14ac:dyDescent="0.2">
      <c r="A1201" s="141"/>
      <c r="B1201" s="141"/>
      <c r="C1201" s="141"/>
      <c r="D1201" s="141"/>
      <c r="E1201" s="1014"/>
      <c r="F1201" s="1014"/>
      <c r="G1201" s="1027"/>
      <c r="H1201" s="1027"/>
      <c r="I1201" s="1174"/>
      <c r="J1201" s="1174"/>
      <c r="K1201" s="1174"/>
      <c r="L1201" s="1172"/>
      <c r="M1201" s="1172"/>
      <c r="N1201" s="1175"/>
      <c r="O1201" s="143"/>
      <c r="P1201" s="1196"/>
      <c r="Q1201" s="141"/>
      <c r="R1201" s="141"/>
      <c r="S1201" s="148"/>
      <c r="T1201" s="419"/>
      <c r="U1201" s="559"/>
      <c r="V1201" s="141"/>
      <c r="W1201" s="141"/>
      <c r="X1201" s="141"/>
      <c r="Y1201" s="144"/>
      <c r="Z1201" s="141"/>
      <c r="AA1201" s="141"/>
      <c r="AB1201" s="141"/>
      <c r="AC1201" s="141"/>
      <c r="AD1201" s="141"/>
      <c r="AE1201" s="141"/>
      <c r="AF1201" s="145"/>
      <c r="AG1201" s="419"/>
    </row>
    <row r="1202" spans="1:33" s="139" customFormat="1" ht="12.75" customHeight="1" x14ac:dyDescent="0.2">
      <c r="A1202" s="141"/>
      <c r="B1202" s="141"/>
      <c r="C1202" s="141"/>
      <c r="D1202" s="141"/>
      <c r="E1202" s="1014"/>
      <c r="F1202" s="1014"/>
      <c r="G1202" s="1027"/>
      <c r="H1202" s="1027"/>
      <c r="I1202" s="1174"/>
      <c r="J1202" s="1174"/>
      <c r="K1202" s="1174"/>
      <c r="L1202" s="1172"/>
      <c r="M1202" s="1172"/>
      <c r="N1202" s="1175"/>
      <c r="O1202" s="143"/>
      <c r="P1202" s="1196"/>
      <c r="Q1202" s="141"/>
      <c r="R1202" s="141"/>
      <c r="S1202" s="148"/>
      <c r="T1202" s="419"/>
      <c r="U1202" s="559"/>
      <c r="V1202" s="141"/>
      <c r="W1202" s="141"/>
      <c r="X1202" s="141"/>
      <c r="Y1202" s="144"/>
      <c r="Z1202" s="141"/>
      <c r="AA1202" s="141"/>
      <c r="AB1202" s="141"/>
      <c r="AC1202" s="141"/>
      <c r="AD1202" s="141"/>
      <c r="AE1202" s="141"/>
      <c r="AF1202" s="145"/>
      <c r="AG1202" s="419"/>
    </row>
    <row r="1203" spans="1:33" s="139" customFormat="1" ht="12.75" customHeight="1" x14ac:dyDescent="0.2">
      <c r="A1203" s="141"/>
      <c r="B1203" s="141"/>
      <c r="C1203" s="141"/>
      <c r="D1203" s="141"/>
      <c r="E1203" s="1014"/>
      <c r="F1203" s="1014"/>
      <c r="G1203" s="1027"/>
      <c r="H1203" s="1027"/>
      <c r="I1203" s="1174"/>
      <c r="J1203" s="1174"/>
      <c r="K1203" s="1174"/>
      <c r="L1203" s="1172"/>
      <c r="M1203" s="1172"/>
      <c r="N1203" s="1175"/>
      <c r="O1203" s="143"/>
      <c r="P1203" s="1196"/>
      <c r="Q1203" s="141"/>
      <c r="R1203" s="141"/>
      <c r="S1203" s="148"/>
      <c r="T1203" s="419"/>
      <c r="U1203" s="559"/>
      <c r="V1203" s="141"/>
      <c r="W1203" s="141"/>
      <c r="X1203" s="141"/>
      <c r="Y1203" s="144"/>
      <c r="Z1203" s="141"/>
      <c r="AA1203" s="141"/>
      <c r="AB1203" s="141"/>
      <c r="AC1203" s="141"/>
      <c r="AD1203" s="141"/>
      <c r="AE1203" s="141"/>
      <c r="AF1203" s="145"/>
      <c r="AG1203" s="419"/>
    </row>
    <row r="1204" spans="1:33" s="139" customFormat="1" ht="12.75" customHeight="1" x14ac:dyDescent="0.2">
      <c r="A1204" s="141"/>
      <c r="B1204" s="141"/>
      <c r="C1204" s="141"/>
      <c r="D1204" s="141"/>
      <c r="E1204" s="1014"/>
      <c r="F1204" s="1014"/>
      <c r="G1204" s="1027"/>
      <c r="H1204" s="1027"/>
      <c r="I1204" s="1174"/>
      <c r="J1204" s="1174"/>
      <c r="K1204" s="1174"/>
      <c r="L1204" s="1172"/>
      <c r="M1204" s="1172"/>
      <c r="N1204" s="1175"/>
      <c r="O1204" s="143"/>
      <c r="P1204" s="1196"/>
      <c r="Q1204" s="141"/>
      <c r="R1204" s="141"/>
      <c r="S1204" s="148"/>
      <c r="T1204" s="419"/>
      <c r="U1204" s="559"/>
      <c r="V1204" s="141"/>
      <c r="W1204" s="141"/>
      <c r="X1204" s="141"/>
      <c r="Y1204" s="144"/>
      <c r="Z1204" s="141"/>
      <c r="AA1204" s="141"/>
      <c r="AB1204" s="141"/>
      <c r="AC1204" s="141"/>
      <c r="AD1204" s="141"/>
      <c r="AE1204" s="141"/>
      <c r="AF1204" s="145"/>
      <c r="AG1204" s="419"/>
    </row>
    <row r="1205" spans="1:33" s="139" customFormat="1" ht="12.75" customHeight="1" x14ac:dyDescent="0.2">
      <c r="A1205" s="141"/>
      <c r="B1205" s="141"/>
      <c r="C1205" s="141"/>
      <c r="D1205" s="141"/>
      <c r="E1205" s="1014"/>
      <c r="F1205" s="1014"/>
      <c r="G1205" s="1027"/>
      <c r="H1205" s="1027"/>
      <c r="I1205" s="1174"/>
      <c r="J1205" s="1174"/>
      <c r="K1205" s="1174"/>
      <c r="L1205" s="1172"/>
      <c r="M1205" s="1172"/>
      <c r="N1205" s="1175"/>
      <c r="O1205" s="143"/>
      <c r="P1205" s="1196"/>
      <c r="Q1205" s="141"/>
      <c r="R1205" s="141"/>
      <c r="S1205" s="148"/>
      <c r="T1205" s="419"/>
      <c r="U1205" s="559"/>
      <c r="V1205" s="141"/>
      <c r="W1205" s="141"/>
      <c r="X1205" s="141"/>
      <c r="Y1205" s="144"/>
      <c r="Z1205" s="141"/>
      <c r="AA1205" s="141"/>
      <c r="AB1205" s="141"/>
      <c r="AC1205" s="141"/>
      <c r="AD1205" s="141"/>
      <c r="AE1205" s="141"/>
      <c r="AF1205" s="145"/>
      <c r="AG1205" s="419"/>
    </row>
    <row r="1206" spans="1:33" s="139" customFormat="1" ht="12.75" customHeight="1" x14ac:dyDescent="0.2">
      <c r="A1206" s="141"/>
      <c r="B1206" s="141"/>
      <c r="C1206" s="141"/>
      <c r="D1206" s="141"/>
      <c r="E1206" s="1014"/>
      <c r="F1206" s="1014"/>
      <c r="G1206" s="1027"/>
      <c r="H1206" s="1027"/>
      <c r="I1206" s="1174"/>
      <c r="J1206" s="1174"/>
      <c r="K1206" s="1174"/>
      <c r="L1206" s="1172"/>
      <c r="M1206" s="1172"/>
      <c r="N1206" s="1175"/>
      <c r="O1206" s="143"/>
      <c r="P1206" s="1196"/>
      <c r="Q1206" s="141"/>
      <c r="R1206" s="141"/>
      <c r="S1206" s="148"/>
      <c r="T1206" s="419"/>
      <c r="U1206" s="559"/>
      <c r="V1206" s="141"/>
      <c r="W1206" s="141"/>
      <c r="X1206" s="141"/>
      <c r="Y1206" s="144"/>
      <c r="Z1206" s="141"/>
      <c r="AA1206" s="141"/>
      <c r="AB1206" s="141"/>
      <c r="AC1206" s="141"/>
      <c r="AD1206" s="141"/>
      <c r="AE1206" s="141"/>
      <c r="AF1206" s="145"/>
      <c r="AG1206" s="419"/>
    </row>
    <row r="1207" spans="1:33" s="139" customFormat="1" ht="12.75" customHeight="1" x14ac:dyDescent="0.2">
      <c r="A1207" s="141"/>
      <c r="B1207" s="141"/>
      <c r="C1207" s="141"/>
      <c r="D1207" s="141"/>
      <c r="E1207" s="1014"/>
      <c r="F1207" s="1014"/>
      <c r="G1207" s="1027"/>
      <c r="H1207" s="1027"/>
      <c r="I1207" s="1174"/>
      <c r="J1207" s="1174"/>
      <c r="K1207" s="1174"/>
      <c r="L1207" s="1172"/>
      <c r="M1207" s="1172"/>
      <c r="N1207" s="1175"/>
      <c r="O1207" s="143"/>
      <c r="P1207" s="1196"/>
      <c r="Q1207" s="141"/>
      <c r="R1207" s="141"/>
      <c r="S1207" s="148"/>
      <c r="T1207" s="419"/>
      <c r="U1207" s="559"/>
      <c r="V1207" s="141"/>
      <c r="W1207" s="141"/>
      <c r="X1207" s="141"/>
      <c r="Y1207" s="144"/>
      <c r="Z1207" s="141"/>
      <c r="AA1207" s="141"/>
      <c r="AB1207" s="141"/>
      <c r="AC1207" s="141"/>
      <c r="AD1207" s="141"/>
      <c r="AE1207" s="141"/>
      <c r="AF1207" s="145"/>
      <c r="AG1207" s="419"/>
    </row>
    <row r="1208" spans="1:33" s="139" customFormat="1" ht="12.75" customHeight="1" x14ac:dyDescent="0.2">
      <c r="A1208" s="141"/>
      <c r="B1208" s="141"/>
      <c r="C1208" s="141"/>
      <c r="D1208" s="141"/>
      <c r="E1208" s="1014"/>
      <c r="F1208" s="1014"/>
      <c r="G1208" s="1027"/>
      <c r="H1208" s="1027"/>
      <c r="I1208" s="1174"/>
      <c r="J1208" s="1174"/>
      <c r="K1208" s="1174"/>
      <c r="L1208" s="1172"/>
      <c r="M1208" s="1172"/>
      <c r="N1208" s="1175"/>
      <c r="O1208" s="143"/>
      <c r="P1208" s="1196"/>
      <c r="Q1208" s="141"/>
      <c r="R1208" s="141"/>
      <c r="S1208" s="148"/>
      <c r="T1208" s="419"/>
      <c r="U1208" s="559"/>
      <c r="V1208" s="141"/>
      <c r="W1208" s="141"/>
      <c r="X1208" s="141"/>
      <c r="Y1208" s="144"/>
      <c r="Z1208" s="141"/>
      <c r="AA1208" s="141"/>
      <c r="AB1208" s="141"/>
      <c r="AC1208" s="141"/>
      <c r="AD1208" s="141"/>
      <c r="AE1208" s="141"/>
      <c r="AF1208" s="145"/>
      <c r="AG1208" s="419"/>
    </row>
    <row r="1209" spans="1:33" s="139" customFormat="1" ht="12.75" customHeight="1" x14ac:dyDescent="0.2">
      <c r="A1209" s="141"/>
      <c r="B1209" s="141"/>
      <c r="C1209" s="141"/>
      <c r="D1209" s="141"/>
      <c r="E1209" s="1014"/>
      <c r="F1209" s="1014"/>
      <c r="G1209" s="1027"/>
      <c r="H1209" s="1027"/>
      <c r="I1209" s="1174"/>
      <c r="J1209" s="1174"/>
      <c r="K1209" s="1174"/>
      <c r="L1209" s="1172"/>
      <c r="M1209" s="1172"/>
      <c r="N1209" s="1175"/>
      <c r="O1209" s="143"/>
      <c r="P1209" s="1196"/>
      <c r="Q1209" s="141"/>
      <c r="R1209" s="141"/>
      <c r="S1209" s="148"/>
      <c r="T1209" s="419"/>
      <c r="U1209" s="559"/>
      <c r="V1209" s="141"/>
      <c r="W1209" s="141"/>
      <c r="X1209" s="141"/>
      <c r="Y1209" s="144"/>
      <c r="Z1209" s="141"/>
      <c r="AA1209" s="141"/>
      <c r="AB1209" s="141"/>
      <c r="AC1209" s="141"/>
      <c r="AD1209" s="141"/>
      <c r="AE1209" s="141"/>
      <c r="AF1209" s="145"/>
      <c r="AG1209" s="419"/>
    </row>
    <row r="1210" spans="1:33" s="139" customFormat="1" ht="12.75" customHeight="1" x14ac:dyDescent="0.2">
      <c r="A1210" s="141"/>
      <c r="B1210" s="141"/>
      <c r="C1210" s="141"/>
      <c r="D1210" s="141"/>
      <c r="E1210" s="1014"/>
      <c r="F1210" s="1014"/>
      <c r="G1210" s="1027"/>
      <c r="H1210" s="1027"/>
      <c r="I1210" s="1174"/>
      <c r="J1210" s="1174"/>
      <c r="K1210" s="1174"/>
      <c r="L1210" s="1172"/>
      <c r="M1210" s="1172"/>
      <c r="N1210" s="1175"/>
      <c r="O1210" s="143"/>
      <c r="P1210" s="1196"/>
      <c r="Q1210" s="141"/>
      <c r="R1210" s="141"/>
      <c r="S1210" s="148"/>
      <c r="T1210" s="419"/>
      <c r="U1210" s="559"/>
      <c r="V1210" s="141"/>
      <c r="W1210" s="141"/>
      <c r="X1210" s="141"/>
      <c r="Y1210" s="144"/>
      <c r="Z1210" s="141"/>
      <c r="AA1210" s="141"/>
      <c r="AB1210" s="141"/>
      <c r="AC1210" s="141"/>
      <c r="AD1210" s="141"/>
      <c r="AE1210" s="141"/>
      <c r="AF1210" s="145"/>
      <c r="AG1210" s="419"/>
    </row>
    <row r="1211" spans="1:33" s="139" customFormat="1" ht="12.75" customHeight="1" x14ac:dyDescent="0.2">
      <c r="A1211" s="141"/>
      <c r="B1211" s="141"/>
      <c r="C1211" s="141"/>
      <c r="D1211" s="141"/>
      <c r="E1211" s="1014"/>
      <c r="F1211" s="1014"/>
      <c r="G1211" s="1027"/>
      <c r="H1211" s="1027"/>
      <c r="I1211" s="1174"/>
      <c r="J1211" s="1174"/>
      <c r="K1211" s="1174"/>
      <c r="L1211" s="1172"/>
      <c r="M1211" s="1172"/>
      <c r="N1211" s="1175"/>
      <c r="O1211" s="143"/>
      <c r="P1211" s="1196"/>
      <c r="Q1211" s="141"/>
      <c r="R1211" s="141"/>
      <c r="S1211" s="148"/>
      <c r="T1211" s="419"/>
      <c r="U1211" s="559"/>
      <c r="V1211" s="141"/>
      <c r="W1211" s="141"/>
      <c r="X1211" s="141"/>
      <c r="Y1211" s="144"/>
      <c r="Z1211" s="141"/>
      <c r="AA1211" s="141"/>
      <c r="AB1211" s="141"/>
      <c r="AC1211" s="141"/>
      <c r="AD1211" s="141"/>
      <c r="AE1211" s="141"/>
      <c r="AF1211" s="145"/>
      <c r="AG1211" s="419"/>
    </row>
    <row r="1212" spans="1:33" s="139" customFormat="1" ht="12.75" customHeight="1" x14ac:dyDescent="0.2">
      <c r="A1212" s="141"/>
      <c r="B1212" s="141"/>
      <c r="C1212" s="141"/>
      <c r="D1212" s="141"/>
      <c r="E1212" s="1014"/>
      <c r="F1212" s="1014"/>
      <c r="G1212" s="1027"/>
      <c r="H1212" s="1027"/>
      <c r="I1212" s="1174"/>
      <c r="J1212" s="1174"/>
      <c r="K1212" s="1174"/>
      <c r="L1212" s="1172"/>
      <c r="M1212" s="1172"/>
      <c r="N1212" s="1175"/>
      <c r="O1212" s="143"/>
      <c r="P1212" s="1196"/>
      <c r="Q1212" s="141"/>
      <c r="R1212" s="141"/>
      <c r="S1212" s="148"/>
      <c r="T1212" s="419"/>
      <c r="U1212" s="559"/>
      <c r="V1212" s="141"/>
      <c r="W1212" s="141"/>
      <c r="X1212" s="141"/>
      <c r="Y1212" s="144"/>
      <c r="Z1212" s="141"/>
      <c r="AA1212" s="141"/>
      <c r="AB1212" s="141"/>
      <c r="AC1212" s="141"/>
      <c r="AD1212" s="141"/>
      <c r="AE1212" s="141"/>
      <c r="AF1212" s="145"/>
      <c r="AG1212" s="419"/>
    </row>
    <row r="1213" spans="1:33" s="139" customFormat="1" ht="12.75" customHeight="1" x14ac:dyDescent="0.2">
      <c r="A1213" s="141"/>
      <c r="B1213" s="141"/>
      <c r="C1213" s="141"/>
      <c r="D1213" s="141"/>
      <c r="E1213" s="1014"/>
      <c r="F1213" s="1014"/>
      <c r="G1213" s="1027"/>
      <c r="H1213" s="1027"/>
      <c r="I1213" s="1174"/>
      <c r="J1213" s="1174"/>
      <c r="K1213" s="1174"/>
      <c r="L1213" s="1172"/>
      <c r="M1213" s="1172"/>
      <c r="N1213" s="1175"/>
      <c r="O1213" s="143"/>
      <c r="P1213" s="1196"/>
      <c r="Q1213" s="141"/>
      <c r="R1213" s="141"/>
      <c r="S1213" s="148"/>
      <c r="T1213" s="419"/>
      <c r="U1213" s="559"/>
      <c r="V1213" s="141"/>
      <c r="W1213" s="141"/>
      <c r="X1213" s="141"/>
      <c r="Y1213" s="144"/>
      <c r="Z1213" s="141"/>
      <c r="AA1213" s="141"/>
      <c r="AB1213" s="141"/>
      <c r="AC1213" s="141"/>
      <c r="AD1213" s="141"/>
      <c r="AE1213" s="141"/>
      <c r="AF1213" s="145"/>
      <c r="AG1213" s="419"/>
    </row>
    <row r="1214" spans="1:33" s="139" customFormat="1" ht="12.75" customHeight="1" x14ac:dyDescent="0.2">
      <c r="A1214" s="141"/>
      <c r="B1214" s="141"/>
      <c r="C1214" s="141"/>
      <c r="D1214" s="141"/>
      <c r="E1214" s="1014"/>
      <c r="F1214" s="1014"/>
      <c r="G1214" s="1027"/>
      <c r="H1214" s="1027"/>
      <c r="I1214" s="1174"/>
      <c r="J1214" s="1174"/>
      <c r="K1214" s="1174"/>
      <c r="L1214" s="1172"/>
      <c r="M1214" s="1172"/>
      <c r="N1214" s="1175"/>
      <c r="O1214" s="143"/>
      <c r="P1214" s="1196"/>
      <c r="Q1214" s="141"/>
      <c r="R1214" s="141"/>
      <c r="S1214" s="148"/>
      <c r="T1214" s="419"/>
      <c r="U1214" s="559"/>
      <c r="V1214" s="141"/>
      <c r="W1214" s="141"/>
      <c r="X1214" s="141"/>
      <c r="Y1214" s="144"/>
      <c r="Z1214" s="141"/>
      <c r="AA1214" s="141"/>
      <c r="AB1214" s="141"/>
      <c r="AC1214" s="141"/>
      <c r="AD1214" s="141"/>
      <c r="AE1214" s="141"/>
      <c r="AF1214" s="145"/>
      <c r="AG1214" s="419"/>
    </row>
    <row r="1215" spans="1:33" s="139" customFormat="1" ht="12.75" customHeight="1" x14ac:dyDescent="0.2">
      <c r="A1215" s="141"/>
      <c r="B1215" s="141"/>
      <c r="C1215" s="141"/>
      <c r="D1215" s="141"/>
      <c r="E1215" s="1014"/>
      <c r="F1215" s="1014"/>
      <c r="G1215" s="1027"/>
      <c r="H1215" s="1027"/>
      <c r="I1215" s="1174"/>
      <c r="J1215" s="1174"/>
      <c r="K1215" s="1174"/>
      <c r="L1215" s="1172"/>
      <c r="M1215" s="1172"/>
      <c r="N1215" s="1175"/>
      <c r="O1215" s="143"/>
      <c r="P1215" s="1196"/>
      <c r="Q1215" s="141"/>
      <c r="R1215" s="141"/>
      <c r="S1215" s="148"/>
      <c r="T1215" s="419"/>
      <c r="U1215" s="559"/>
      <c r="V1215" s="141"/>
      <c r="W1215" s="141"/>
      <c r="X1215" s="141"/>
      <c r="Y1215" s="144"/>
      <c r="Z1215" s="141"/>
      <c r="AA1215" s="141"/>
      <c r="AB1215" s="141"/>
      <c r="AC1215" s="141"/>
      <c r="AD1215" s="141"/>
      <c r="AE1215" s="141"/>
      <c r="AF1215" s="145"/>
      <c r="AG1215" s="419"/>
    </row>
    <row r="1216" spans="1:33" s="139" customFormat="1" ht="12.75" customHeight="1" x14ac:dyDescent="0.2">
      <c r="A1216" s="141"/>
      <c r="B1216" s="141"/>
      <c r="C1216" s="141"/>
      <c r="D1216" s="141"/>
      <c r="E1216" s="1014"/>
      <c r="F1216" s="1014"/>
      <c r="G1216" s="1027"/>
      <c r="H1216" s="1027"/>
      <c r="I1216" s="1174"/>
      <c r="J1216" s="1174"/>
      <c r="K1216" s="1174"/>
      <c r="L1216" s="1172"/>
      <c r="M1216" s="1172"/>
      <c r="N1216" s="1175"/>
      <c r="O1216" s="143"/>
      <c r="P1216" s="1196"/>
      <c r="Q1216" s="141"/>
      <c r="R1216" s="141"/>
      <c r="S1216" s="148"/>
      <c r="T1216" s="419"/>
      <c r="U1216" s="559"/>
      <c r="V1216" s="141"/>
      <c r="W1216" s="141"/>
      <c r="X1216" s="141"/>
      <c r="Y1216" s="144"/>
      <c r="Z1216" s="141"/>
      <c r="AA1216" s="141"/>
      <c r="AB1216" s="141"/>
      <c r="AC1216" s="141"/>
      <c r="AD1216" s="141"/>
      <c r="AE1216" s="141"/>
      <c r="AF1216" s="145"/>
      <c r="AG1216" s="419"/>
    </row>
    <row r="1217" spans="1:33" s="139" customFormat="1" ht="12.75" customHeight="1" x14ac:dyDescent="0.2">
      <c r="A1217" s="141"/>
      <c r="B1217" s="141"/>
      <c r="C1217" s="141"/>
      <c r="D1217" s="141"/>
      <c r="E1217" s="1014"/>
      <c r="F1217" s="1014"/>
      <c r="G1217" s="1027"/>
      <c r="H1217" s="1027"/>
      <c r="I1217" s="1174"/>
      <c r="J1217" s="1174"/>
      <c r="K1217" s="1174"/>
      <c r="L1217" s="1172"/>
      <c r="M1217" s="1172"/>
      <c r="N1217" s="1175"/>
      <c r="O1217" s="143"/>
      <c r="P1217" s="1196"/>
      <c r="Q1217" s="141"/>
      <c r="R1217" s="141"/>
      <c r="S1217" s="148"/>
      <c r="T1217" s="419"/>
      <c r="U1217" s="559"/>
      <c r="V1217" s="141"/>
      <c r="W1217" s="141"/>
      <c r="X1217" s="141"/>
      <c r="Y1217" s="144"/>
      <c r="Z1217" s="141"/>
      <c r="AA1217" s="141"/>
      <c r="AB1217" s="141"/>
      <c r="AC1217" s="141"/>
      <c r="AD1217" s="141"/>
      <c r="AE1217" s="141"/>
      <c r="AF1217" s="145"/>
      <c r="AG1217" s="419"/>
    </row>
    <row r="1218" spans="1:33" s="139" customFormat="1" ht="12.75" customHeight="1" x14ac:dyDescent="0.2">
      <c r="A1218" s="141"/>
      <c r="B1218" s="141"/>
      <c r="C1218" s="141"/>
      <c r="D1218" s="141"/>
      <c r="E1218" s="1014"/>
      <c r="F1218" s="1014"/>
      <c r="G1218" s="1027"/>
      <c r="H1218" s="1027"/>
      <c r="I1218" s="1174"/>
      <c r="J1218" s="1174"/>
      <c r="K1218" s="1174"/>
      <c r="L1218" s="1172"/>
      <c r="M1218" s="1172"/>
      <c r="N1218" s="1175"/>
      <c r="O1218" s="143"/>
      <c r="P1218" s="1196"/>
      <c r="Q1218" s="141"/>
      <c r="R1218" s="141"/>
      <c r="S1218" s="148"/>
      <c r="T1218" s="419"/>
      <c r="U1218" s="559"/>
      <c r="V1218" s="141"/>
      <c r="W1218" s="141"/>
      <c r="X1218" s="141"/>
      <c r="Y1218" s="144"/>
      <c r="Z1218" s="141"/>
      <c r="AA1218" s="141"/>
      <c r="AB1218" s="141"/>
      <c r="AC1218" s="141"/>
      <c r="AD1218" s="141"/>
      <c r="AE1218" s="141"/>
      <c r="AF1218" s="145"/>
      <c r="AG1218" s="419"/>
    </row>
    <row r="1219" spans="1:33" s="139" customFormat="1" ht="12.75" customHeight="1" x14ac:dyDescent="0.2">
      <c r="A1219" s="141"/>
      <c r="B1219" s="141"/>
      <c r="C1219" s="141"/>
      <c r="D1219" s="141"/>
      <c r="E1219" s="1014"/>
      <c r="F1219" s="1014"/>
      <c r="G1219" s="1027"/>
      <c r="H1219" s="1027"/>
      <c r="I1219" s="1174"/>
      <c r="J1219" s="1174"/>
      <c r="K1219" s="1174"/>
      <c r="L1219" s="1172"/>
      <c r="M1219" s="1172"/>
      <c r="N1219" s="1175"/>
      <c r="O1219" s="143"/>
      <c r="P1219" s="1196"/>
      <c r="Q1219" s="141"/>
      <c r="R1219" s="141"/>
      <c r="S1219" s="148"/>
      <c r="T1219" s="419"/>
      <c r="U1219" s="559"/>
      <c r="V1219" s="141"/>
      <c r="W1219" s="141"/>
      <c r="X1219" s="141"/>
      <c r="Y1219" s="144"/>
      <c r="Z1219" s="141"/>
      <c r="AA1219" s="141"/>
      <c r="AB1219" s="141"/>
      <c r="AC1219" s="141"/>
      <c r="AD1219" s="141"/>
      <c r="AE1219" s="141"/>
      <c r="AF1219" s="145"/>
      <c r="AG1219" s="419"/>
    </row>
    <row r="1220" spans="1:33" s="139" customFormat="1" ht="12.75" customHeight="1" x14ac:dyDescent="0.2">
      <c r="A1220" s="141"/>
      <c r="B1220" s="141"/>
      <c r="C1220" s="141"/>
      <c r="D1220" s="141"/>
      <c r="E1220" s="1014"/>
      <c r="F1220" s="1014"/>
      <c r="G1220" s="1027"/>
      <c r="H1220" s="1027"/>
      <c r="I1220" s="1174"/>
      <c r="J1220" s="1174"/>
      <c r="K1220" s="1174"/>
      <c r="L1220" s="1172"/>
      <c r="M1220" s="1172"/>
      <c r="N1220" s="1175"/>
      <c r="O1220" s="143"/>
      <c r="P1220" s="1196"/>
      <c r="Q1220" s="141"/>
      <c r="R1220" s="141"/>
      <c r="S1220" s="148"/>
      <c r="T1220" s="419"/>
      <c r="U1220" s="559"/>
      <c r="V1220" s="141"/>
      <c r="W1220" s="141"/>
      <c r="X1220" s="141"/>
      <c r="Y1220" s="144"/>
      <c r="Z1220" s="141"/>
      <c r="AA1220" s="141"/>
      <c r="AB1220" s="141"/>
      <c r="AC1220" s="141"/>
      <c r="AD1220" s="141"/>
      <c r="AE1220" s="141"/>
      <c r="AF1220" s="145"/>
      <c r="AG1220" s="419"/>
    </row>
    <row r="1221" spans="1:33" s="139" customFormat="1" ht="12.75" customHeight="1" x14ac:dyDescent="0.2">
      <c r="A1221" s="141"/>
      <c r="B1221" s="141"/>
      <c r="C1221" s="141"/>
      <c r="D1221" s="141"/>
      <c r="E1221" s="1014"/>
      <c r="F1221" s="1014"/>
      <c r="G1221" s="1027"/>
      <c r="H1221" s="1027"/>
      <c r="I1221" s="1174"/>
      <c r="J1221" s="1174"/>
      <c r="K1221" s="1174"/>
      <c r="L1221" s="1172"/>
      <c r="M1221" s="1172"/>
      <c r="N1221" s="1175"/>
      <c r="O1221" s="143"/>
      <c r="P1221" s="1196"/>
      <c r="Q1221" s="141"/>
      <c r="R1221" s="141"/>
      <c r="S1221" s="148"/>
      <c r="T1221" s="419"/>
      <c r="U1221" s="559"/>
      <c r="V1221" s="141"/>
      <c r="W1221" s="141"/>
      <c r="X1221" s="141"/>
      <c r="Y1221" s="144"/>
      <c r="Z1221" s="141"/>
      <c r="AA1221" s="141"/>
      <c r="AB1221" s="141"/>
      <c r="AC1221" s="141"/>
      <c r="AD1221" s="141"/>
      <c r="AE1221" s="141"/>
      <c r="AF1221" s="145"/>
      <c r="AG1221" s="419"/>
    </row>
    <row r="1222" spans="1:33" s="139" customFormat="1" ht="12.75" customHeight="1" x14ac:dyDescent="0.2">
      <c r="A1222" s="141"/>
      <c r="B1222" s="141"/>
      <c r="C1222" s="141"/>
      <c r="D1222" s="141"/>
      <c r="E1222" s="1014"/>
      <c r="F1222" s="1014"/>
      <c r="G1222" s="1027"/>
      <c r="H1222" s="1027"/>
      <c r="I1222" s="1174"/>
      <c r="J1222" s="1174"/>
      <c r="K1222" s="1174"/>
      <c r="L1222" s="1172"/>
      <c r="M1222" s="1172"/>
      <c r="N1222" s="1175"/>
      <c r="O1222" s="143"/>
      <c r="P1222" s="1196"/>
      <c r="Q1222" s="141"/>
      <c r="R1222" s="141"/>
      <c r="S1222" s="148"/>
      <c r="T1222" s="419"/>
      <c r="U1222" s="559"/>
      <c r="V1222" s="141"/>
      <c r="W1222" s="141"/>
      <c r="X1222" s="141"/>
      <c r="Y1222" s="144"/>
      <c r="Z1222" s="141"/>
      <c r="AA1222" s="141"/>
      <c r="AB1222" s="141"/>
      <c r="AC1222" s="141"/>
      <c r="AD1222" s="141"/>
      <c r="AE1222" s="141"/>
      <c r="AF1222" s="145"/>
      <c r="AG1222" s="419"/>
    </row>
    <row r="1223" spans="1:33" s="139" customFormat="1" ht="12.75" customHeight="1" x14ac:dyDescent="0.2">
      <c r="A1223" s="141"/>
      <c r="B1223" s="141"/>
      <c r="C1223" s="141"/>
      <c r="D1223" s="141"/>
      <c r="E1223" s="1014"/>
      <c r="F1223" s="1014"/>
      <c r="G1223" s="1027"/>
      <c r="H1223" s="1027"/>
      <c r="I1223" s="1174"/>
      <c r="J1223" s="1174"/>
      <c r="K1223" s="1174"/>
      <c r="L1223" s="1172"/>
      <c r="M1223" s="1172"/>
      <c r="N1223" s="1175"/>
      <c r="O1223" s="143"/>
      <c r="P1223" s="1196"/>
      <c r="Q1223" s="141"/>
      <c r="R1223" s="141"/>
      <c r="S1223" s="148"/>
      <c r="T1223" s="419"/>
      <c r="U1223" s="559"/>
      <c r="V1223" s="141"/>
      <c r="W1223" s="141"/>
      <c r="X1223" s="141"/>
      <c r="Y1223" s="144"/>
      <c r="Z1223" s="141"/>
      <c r="AA1223" s="141"/>
      <c r="AB1223" s="141"/>
      <c r="AC1223" s="141"/>
      <c r="AD1223" s="141"/>
      <c r="AE1223" s="141"/>
      <c r="AF1223" s="145"/>
      <c r="AG1223" s="419"/>
    </row>
    <row r="1224" spans="1:33" s="139" customFormat="1" ht="12.75" customHeight="1" x14ac:dyDescent="0.2">
      <c r="A1224" s="141"/>
      <c r="B1224" s="141"/>
      <c r="C1224" s="141"/>
      <c r="D1224" s="141"/>
      <c r="E1224" s="1014"/>
      <c r="F1224" s="1014"/>
      <c r="G1224" s="1027"/>
      <c r="H1224" s="1027"/>
      <c r="I1224" s="1174"/>
      <c r="J1224" s="1174"/>
      <c r="K1224" s="1174"/>
      <c r="L1224" s="1172"/>
      <c r="M1224" s="1172"/>
      <c r="N1224" s="1175"/>
      <c r="O1224" s="143"/>
      <c r="P1224" s="1196"/>
      <c r="Q1224" s="141"/>
      <c r="R1224" s="141"/>
      <c r="S1224" s="148"/>
      <c r="T1224" s="419"/>
      <c r="U1224" s="559"/>
      <c r="V1224" s="141"/>
      <c r="W1224" s="141"/>
      <c r="X1224" s="141"/>
      <c r="Y1224" s="144"/>
      <c r="Z1224" s="141"/>
      <c r="AA1224" s="141"/>
      <c r="AB1224" s="141"/>
      <c r="AC1224" s="141"/>
      <c r="AD1224" s="141"/>
      <c r="AE1224" s="141"/>
      <c r="AF1224" s="145"/>
      <c r="AG1224" s="419"/>
    </row>
    <row r="1225" spans="1:33" s="139" customFormat="1" ht="12.75" customHeight="1" x14ac:dyDescent="0.2">
      <c r="A1225" s="141"/>
      <c r="B1225" s="141"/>
      <c r="C1225" s="141"/>
      <c r="D1225" s="141"/>
      <c r="E1225" s="1014"/>
      <c r="F1225" s="1014"/>
      <c r="G1225" s="1027"/>
      <c r="H1225" s="1027"/>
      <c r="I1225" s="1174"/>
      <c r="J1225" s="1174"/>
      <c r="K1225" s="1174"/>
      <c r="L1225" s="1172"/>
      <c r="M1225" s="1172"/>
      <c r="N1225" s="1175"/>
      <c r="O1225" s="143"/>
      <c r="P1225" s="1196"/>
      <c r="Q1225" s="141"/>
      <c r="R1225" s="141"/>
      <c r="S1225" s="148"/>
      <c r="T1225" s="419"/>
      <c r="U1225" s="559"/>
      <c r="V1225" s="141"/>
      <c r="W1225" s="141"/>
      <c r="X1225" s="141"/>
      <c r="Y1225" s="144"/>
      <c r="Z1225" s="141"/>
      <c r="AA1225" s="141"/>
      <c r="AB1225" s="141"/>
      <c r="AC1225" s="141"/>
      <c r="AD1225" s="141"/>
      <c r="AE1225" s="141"/>
      <c r="AF1225" s="145"/>
      <c r="AG1225" s="419"/>
    </row>
    <row r="1226" spans="1:33" s="139" customFormat="1" ht="12.75" customHeight="1" x14ac:dyDescent="0.2">
      <c r="A1226" s="141"/>
      <c r="B1226" s="141"/>
      <c r="C1226" s="141"/>
      <c r="D1226" s="141"/>
      <c r="E1226" s="1014"/>
      <c r="F1226" s="1014"/>
      <c r="G1226" s="1027"/>
      <c r="H1226" s="1027"/>
      <c r="I1226" s="1174"/>
      <c r="J1226" s="1174"/>
      <c r="K1226" s="1174"/>
      <c r="L1226" s="1172"/>
      <c r="M1226" s="1172"/>
      <c r="N1226" s="1175"/>
      <c r="O1226" s="143"/>
      <c r="P1226" s="1196"/>
      <c r="Q1226" s="141"/>
      <c r="R1226" s="141"/>
      <c r="S1226" s="148"/>
      <c r="T1226" s="419"/>
      <c r="U1226" s="559"/>
      <c r="V1226" s="141"/>
      <c r="W1226" s="141"/>
      <c r="X1226" s="141"/>
      <c r="Y1226" s="144"/>
      <c r="Z1226" s="141"/>
      <c r="AA1226" s="141"/>
      <c r="AB1226" s="141"/>
      <c r="AC1226" s="141"/>
      <c r="AD1226" s="141"/>
      <c r="AE1226" s="141"/>
      <c r="AF1226" s="145"/>
      <c r="AG1226" s="419"/>
    </row>
    <row r="1227" spans="1:33" s="139" customFormat="1" ht="12.75" customHeight="1" x14ac:dyDescent="0.2">
      <c r="A1227" s="141"/>
      <c r="B1227" s="141"/>
      <c r="C1227" s="141"/>
      <c r="D1227" s="141"/>
      <c r="E1227" s="1014"/>
      <c r="F1227" s="1014"/>
      <c r="G1227" s="1027"/>
      <c r="H1227" s="1027"/>
      <c r="I1227" s="1174"/>
      <c r="J1227" s="1174"/>
      <c r="K1227" s="1174"/>
      <c r="L1227" s="1172"/>
      <c r="M1227" s="1172"/>
      <c r="N1227" s="1175"/>
      <c r="O1227" s="143"/>
      <c r="P1227" s="1196"/>
      <c r="Q1227" s="141"/>
      <c r="R1227" s="141"/>
      <c r="S1227" s="148"/>
      <c r="T1227" s="419"/>
      <c r="U1227" s="559"/>
      <c r="V1227" s="141"/>
      <c r="W1227" s="141"/>
      <c r="X1227" s="141"/>
      <c r="Y1227" s="144"/>
      <c r="Z1227" s="141"/>
      <c r="AA1227" s="141"/>
      <c r="AB1227" s="141"/>
      <c r="AC1227" s="141"/>
      <c r="AD1227" s="141"/>
      <c r="AE1227" s="141"/>
      <c r="AF1227" s="145"/>
      <c r="AG1227" s="419"/>
    </row>
    <row r="1228" spans="1:33" s="139" customFormat="1" ht="12.75" customHeight="1" x14ac:dyDescent="0.2">
      <c r="A1228" s="141"/>
      <c r="B1228" s="141"/>
      <c r="C1228" s="141"/>
      <c r="D1228" s="141"/>
      <c r="E1228" s="1014"/>
      <c r="F1228" s="1014"/>
      <c r="G1228" s="1027"/>
      <c r="H1228" s="1027"/>
      <c r="I1228" s="1174"/>
      <c r="J1228" s="1174"/>
      <c r="K1228" s="1174"/>
      <c r="L1228" s="1172"/>
      <c r="M1228" s="1172"/>
      <c r="N1228" s="1175"/>
      <c r="O1228" s="143"/>
      <c r="P1228" s="1196"/>
      <c r="Q1228" s="141"/>
      <c r="R1228" s="141"/>
      <c r="S1228" s="148"/>
      <c r="T1228" s="419"/>
      <c r="U1228" s="559"/>
      <c r="V1228" s="141"/>
      <c r="W1228" s="141"/>
      <c r="X1228" s="141"/>
      <c r="Y1228" s="144"/>
      <c r="Z1228" s="141"/>
      <c r="AA1228" s="141"/>
      <c r="AB1228" s="141"/>
      <c r="AC1228" s="141"/>
      <c r="AD1228" s="141"/>
      <c r="AE1228" s="141"/>
      <c r="AF1228" s="145"/>
      <c r="AG1228" s="419"/>
    </row>
    <row r="1229" spans="1:33" s="139" customFormat="1" ht="12.75" customHeight="1" x14ac:dyDescent="0.2">
      <c r="A1229" s="141"/>
      <c r="B1229" s="141"/>
      <c r="C1229" s="141"/>
      <c r="D1229" s="141"/>
      <c r="E1229" s="1014"/>
      <c r="F1229" s="1014"/>
      <c r="G1229" s="1027"/>
      <c r="H1229" s="1027"/>
      <c r="I1229" s="1174"/>
      <c r="J1229" s="1174"/>
      <c r="K1229" s="1174"/>
      <c r="L1229" s="1172"/>
      <c r="M1229" s="1172"/>
      <c r="N1229" s="1175"/>
      <c r="O1229" s="143"/>
      <c r="P1229" s="1196"/>
      <c r="Q1229" s="141"/>
      <c r="R1229" s="141"/>
      <c r="S1229" s="148"/>
      <c r="T1229" s="419"/>
      <c r="U1229" s="559"/>
      <c r="V1229" s="141"/>
      <c r="W1229" s="141"/>
      <c r="X1229" s="141"/>
      <c r="Y1229" s="144"/>
      <c r="Z1229" s="141"/>
      <c r="AA1229" s="141"/>
      <c r="AB1229" s="141"/>
      <c r="AC1229" s="141"/>
      <c r="AD1229" s="141"/>
      <c r="AE1229" s="141"/>
      <c r="AF1229" s="145"/>
      <c r="AG1229" s="419"/>
    </row>
    <row r="1230" spans="1:33" s="139" customFormat="1" ht="12.75" customHeight="1" x14ac:dyDescent="0.2">
      <c r="A1230" s="141"/>
      <c r="B1230" s="141"/>
      <c r="C1230" s="141"/>
      <c r="D1230" s="141"/>
      <c r="E1230" s="1014"/>
      <c r="F1230" s="1014"/>
      <c r="G1230" s="1027"/>
      <c r="H1230" s="1027"/>
      <c r="I1230" s="1174"/>
      <c r="J1230" s="1174"/>
      <c r="K1230" s="1174"/>
      <c r="L1230" s="1172"/>
      <c r="M1230" s="1172"/>
      <c r="N1230" s="1175"/>
      <c r="O1230" s="143"/>
      <c r="P1230" s="1196"/>
      <c r="Q1230" s="141"/>
      <c r="R1230" s="141"/>
      <c r="S1230" s="148"/>
      <c r="T1230" s="419"/>
      <c r="U1230" s="559"/>
      <c r="V1230" s="141"/>
      <c r="W1230" s="141"/>
      <c r="X1230" s="141"/>
      <c r="Y1230" s="144"/>
      <c r="Z1230" s="141"/>
      <c r="AA1230" s="141"/>
      <c r="AB1230" s="141"/>
      <c r="AC1230" s="141"/>
      <c r="AD1230" s="141"/>
      <c r="AE1230" s="141"/>
      <c r="AF1230" s="145"/>
      <c r="AG1230" s="419"/>
    </row>
    <row r="1231" spans="1:33" s="139" customFormat="1" ht="12.75" customHeight="1" x14ac:dyDescent="0.2">
      <c r="A1231" s="141"/>
      <c r="B1231" s="141"/>
      <c r="C1231" s="141"/>
      <c r="D1231" s="141"/>
      <c r="E1231" s="1014"/>
      <c r="F1231" s="1014"/>
      <c r="G1231" s="1027"/>
      <c r="H1231" s="1027"/>
      <c r="I1231" s="1174"/>
      <c r="J1231" s="1174"/>
      <c r="K1231" s="1174"/>
      <c r="L1231" s="1172"/>
      <c r="M1231" s="1172"/>
      <c r="N1231" s="1175"/>
      <c r="O1231" s="143"/>
      <c r="P1231" s="1196"/>
      <c r="Q1231" s="141"/>
      <c r="R1231" s="141"/>
      <c r="S1231" s="148"/>
      <c r="T1231" s="419"/>
      <c r="U1231" s="559"/>
      <c r="V1231" s="141"/>
      <c r="W1231" s="141"/>
      <c r="X1231" s="141"/>
      <c r="Y1231" s="144"/>
      <c r="Z1231" s="141"/>
      <c r="AA1231" s="141"/>
      <c r="AB1231" s="141"/>
      <c r="AC1231" s="141"/>
      <c r="AD1231" s="141"/>
      <c r="AE1231" s="141"/>
      <c r="AF1231" s="145"/>
      <c r="AG1231" s="419"/>
    </row>
    <row r="1232" spans="1:33" s="139" customFormat="1" ht="12.75" customHeight="1" x14ac:dyDescent="0.2">
      <c r="A1232" s="141"/>
      <c r="B1232" s="141"/>
      <c r="C1232" s="141"/>
      <c r="D1232" s="141"/>
      <c r="E1232" s="1014"/>
      <c r="F1232" s="1014"/>
      <c r="G1232" s="1027"/>
      <c r="H1232" s="1027"/>
      <c r="I1232" s="1174"/>
      <c r="J1232" s="1174"/>
      <c r="K1232" s="1174"/>
      <c r="L1232" s="1172"/>
      <c r="M1232" s="1172"/>
      <c r="N1232" s="1175"/>
      <c r="O1232" s="143"/>
      <c r="P1232" s="1196"/>
      <c r="Q1232" s="141"/>
      <c r="R1232" s="141"/>
      <c r="S1232" s="148"/>
      <c r="T1232" s="419"/>
      <c r="U1232" s="559"/>
      <c r="V1232" s="141"/>
      <c r="W1232" s="141"/>
      <c r="X1232" s="141"/>
      <c r="Y1232" s="144"/>
      <c r="Z1232" s="141"/>
      <c r="AA1232" s="141"/>
      <c r="AB1232" s="141"/>
      <c r="AC1232" s="141"/>
      <c r="AD1232" s="141"/>
      <c r="AE1232" s="141"/>
      <c r="AF1232" s="145"/>
      <c r="AG1232" s="419"/>
    </row>
    <row r="1233" spans="1:33" s="139" customFormat="1" ht="12.75" customHeight="1" x14ac:dyDescent="0.2">
      <c r="A1233" s="141"/>
      <c r="B1233" s="141"/>
      <c r="C1233" s="141"/>
      <c r="D1233" s="141"/>
      <c r="E1233" s="1014"/>
      <c r="F1233" s="1014"/>
      <c r="G1233" s="1027"/>
      <c r="H1233" s="1027"/>
      <c r="I1233" s="1174"/>
      <c r="J1233" s="1174"/>
      <c r="K1233" s="1174"/>
      <c r="L1233" s="1172"/>
      <c r="M1233" s="1172"/>
      <c r="N1233" s="1175"/>
      <c r="O1233" s="143"/>
      <c r="P1233" s="1196"/>
      <c r="Q1233" s="141"/>
      <c r="R1233" s="141"/>
      <c r="S1233" s="148"/>
      <c r="T1233" s="419"/>
      <c r="U1233" s="559"/>
      <c r="V1233" s="141"/>
      <c r="W1233" s="141"/>
      <c r="X1233" s="141"/>
      <c r="Y1233" s="144"/>
      <c r="Z1233" s="141"/>
      <c r="AA1233" s="141"/>
      <c r="AB1233" s="141"/>
      <c r="AC1233" s="141"/>
      <c r="AD1233" s="141"/>
      <c r="AE1233" s="141"/>
      <c r="AF1233" s="145"/>
      <c r="AG1233" s="419"/>
    </row>
    <row r="1234" spans="1:33" s="139" customFormat="1" ht="12.75" customHeight="1" x14ac:dyDescent="0.2">
      <c r="A1234" s="141"/>
      <c r="B1234" s="141"/>
      <c r="C1234" s="141"/>
      <c r="D1234" s="141"/>
      <c r="E1234" s="1014"/>
      <c r="F1234" s="1014"/>
      <c r="G1234" s="1027"/>
      <c r="H1234" s="1027"/>
      <c r="I1234" s="1174"/>
      <c r="J1234" s="1174"/>
      <c r="K1234" s="1174"/>
      <c r="L1234" s="1172"/>
      <c r="M1234" s="1172"/>
      <c r="N1234" s="1175"/>
      <c r="O1234" s="143"/>
      <c r="P1234" s="1196"/>
      <c r="Q1234" s="141"/>
      <c r="R1234" s="141"/>
      <c r="S1234" s="148"/>
      <c r="T1234" s="419"/>
      <c r="U1234" s="559"/>
      <c r="V1234" s="141"/>
      <c r="W1234" s="141"/>
      <c r="X1234" s="141"/>
      <c r="Y1234" s="144"/>
      <c r="Z1234" s="141"/>
      <c r="AA1234" s="141"/>
      <c r="AB1234" s="141"/>
      <c r="AC1234" s="141"/>
      <c r="AD1234" s="141"/>
      <c r="AE1234" s="141"/>
      <c r="AF1234" s="145"/>
      <c r="AG1234" s="419"/>
    </row>
    <row r="1235" spans="1:33" s="139" customFormat="1" ht="12.75" customHeight="1" x14ac:dyDescent="0.2">
      <c r="A1235" s="141"/>
      <c r="B1235" s="141"/>
      <c r="C1235" s="141"/>
      <c r="D1235" s="141"/>
      <c r="E1235" s="1014"/>
      <c r="F1235" s="1014"/>
      <c r="G1235" s="1027"/>
      <c r="H1235" s="1027"/>
      <c r="I1235" s="1174"/>
      <c r="J1235" s="1174"/>
      <c r="K1235" s="1174"/>
      <c r="L1235" s="1172"/>
      <c r="M1235" s="1172"/>
      <c r="N1235" s="1175"/>
      <c r="O1235" s="143"/>
      <c r="P1235" s="1196"/>
      <c r="Q1235" s="141"/>
      <c r="R1235" s="141"/>
      <c r="S1235" s="148"/>
      <c r="T1235" s="419"/>
      <c r="U1235" s="559"/>
      <c r="V1235" s="141"/>
      <c r="W1235" s="141"/>
      <c r="X1235" s="141"/>
      <c r="Y1235" s="144"/>
      <c r="Z1235" s="141"/>
      <c r="AA1235" s="141"/>
      <c r="AB1235" s="141"/>
      <c r="AC1235" s="141"/>
      <c r="AD1235" s="141"/>
      <c r="AE1235" s="141"/>
      <c r="AF1235" s="145"/>
      <c r="AG1235" s="419"/>
    </row>
    <row r="1236" spans="1:33" s="139" customFormat="1" ht="12.75" customHeight="1" x14ac:dyDescent="0.2">
      <c r="A1236" s="141"/>
      <c r="B1236" s="141"/>
      <c r="C1236" s="141"/>
      <c r="D1236" s="141"/>
      <c r="E1236" s="1014"/>
      <c r="F1236" s="1014"/>
      <c r="G1236" s="1027"/>
      <c r="H1236" s="1027"/>
      <c r="I1236" s="1174"/>
      <c r="J1236" s="1174"/>
      <c r="K1236" s="1174"/>
      <c r="L1236" s="1172"/>
      <c r="M1236" s="1172"/>
      <c r="N1236" s="1175"/>
      <c r="O1236" s="143"/>
      <c r="P1236" s="1196"/>
      <c r="Q1236" s="141"/>
      <c r="R1236" s="141"/>
      <c r="S1236" s="148"/>
      <c r="T1236" s="419"/>
      <c r="U1236" s="559"/>
      <c r="V1236" s="141"/>
      <c r="W1236" s="141"/>
      <c r="X1236" s="141"/>
      <c r="Y1236" s="144"/>
      <c r="Z1236" s="141"/>
      <c r="AA1236" s="141"/>
      <c r="AB1236" s="141"/>
      <c r="AC1236" s="141"/>
      <c r="AD1236" s="141"/>
      <c r="AE1236" s="141"/>
      <c r="AF1236" s="145"/>
      <c r="AG1236" s="419"/>
    </row>
    <row r="1237" spans="1:33" s="139" customFormat="1" ht="12.75" customHeight="1" x14ac:dyDescent="0.2">
      <c r="A1237" s="141"/>
      <c r="B1237" s="141"/>
      <c r="C1237" s="141"/>
      <c r="D1237" s="141"/>
      <c r="E1237" s="1014"/>
      <c r="F1237" s="1014"/>
      <c r="G1237" s="1027"/>
      <c r="H1237" s="1027"/>
      <c r="I1237" s="1174"/>
      <c r="J1237" s="1174"/>
      <c r="K1237" s="1174"/>
      <c r="L1237" s="1172"/>
      <c r="M1237" s="1172"/>
      <c r="N1237" s="1175"/>
      <c r="O1237" s="143"/>
      <c r="P1237" s="1196"/>
      <c r="Q1237" s="141"/>
      <c r="R1237" s="141"/>
      <c r="S1237" s="148"/>
      <c r="T1237" s="419"/>
      <c r="U1237" s="559"/>
      <c r="V1237" s="141"/>
      <c r="W1237" s="141"/>
      <c r="X1237" s="141"/>
      <c r="Y1237" s="144"/>
      <c r="Z1237" s="141"/>
      <c r="AA1237" s="141"/>
      <c r="AB1237" s="141"/>
      <c r="AC1237" s="141"/>
      <c r="AD1237" s="141"/>
      <c r="AE1237" s="141"/>
      <c r="AF1237" s="145"/>
      <c r="AG1237" s="419"/>
    </row>
    <row r="1238" spans="1:33" s="139" customFormat="1" ht="12.75" customHeight="1" x14ac:dyDescent="0.2">
      <c r="A1238" s="141"/>
      <c r="B1238" s="141"/>
      <c r="C1238" s="141"/>
      <c r="D1238" s="141"/>
      <c r="E1238" s="1014"/>
      <c r="F1238" s="1014"/>
      <c r="G1238" s="1027"/>
      <c r="H1238" s="1027"/>
      <c r="I1238" s="1174"/>
      <c r="J1238" s="1174"/>
      <c r="K1238" s="1174"/>
      <c r="L1238" s="1172"/>
      <c r="M1238" s="1172"/>
      <c r="N1238" s="1175"/>
      <c r="O1238" s="143"/>
      <c r="P1238" s="1196"/>
      <c r="Q1238" s="141"/>
      <c r="R1238" s="141"/>
      <c r="S1238" s="148"/>
      <c r="T1238" s="419"/>
      <c r="U1238" s="559"/>
      <c r="V1238" s="141"/>
      <c r="W1238" s="141"/>
      <c r="X1238" s="141"/>
      <c r="Y1238" s="144"/>
      <c r="Z1238" s="141"/>
      <c r="AA1238" s="141"/>
      <c r="AB1238" s="141"/>
      <c r="AC1238" s="141"/>
      <c r="AD1238" s="141"/>
      <c r="AE1238" s="141"/>
      <c r="AF1238" s="145"/>
      <c r="AG1238" s="419"/>
    </row>
    <row r="1239" spans="1:33" s="139" customFormat="1" ht="12.75" customHeight="1" x14ac:dyDescent="0.2">
      <c r="A1239" s="141"/>
      <c r="B1239" s="141"/>
      <c r="C1239" s="141"/>
      <c r="D1239" s="141"/>
      <c r="E1239" s="1014"/>
      <c r="F1239" s="1014"/>
      <c r="G1239" s="1027"/>
      <c r="H1239" s="1027"/>
      <c r="I1239" s="1174"/>
      <c r="J1239" s="1174"/>
      <c r="K1239" s="1174"/>
      <c r="L1239" s="1172"/>
      <c r="M1239" s="1172"/>
      <c r="N1239" s="1175"/>
      <c r="O1239" s="143"/>
      <c r="P1239" s="1196"/>
      <c r="Q1239" s="141"/>
      <c r="R1239" s="141"/>
      <c r="S1239" s="148"/>
      <c r="T1239" s="419"/>
      <c r="U1239" s="559"/>
      <c r="V1239" s="141"/>
      <c r="W1239" s="141"/>
      <c r="X1239" s="141"/>
      <c r="Y1239" s="144"/>
      <c r="Z1239" s="141"/>
      <c r="AA1239" s="141"/>
      <c r="AB1239" s="141"/>
      <c r="AC1239" s="141"/>
      <c r="AD1239" s="141"/>
      <c r="AE1239" s="141"/>
      <c r="AF1239" s="145"/>
      <c r="AG1239" s="419"/>
    </row>
    <row r="1240" spans="1:33" s="139" customFormat="1" ht="12.75" customHeight="1" x14ac:dyDescent="0.2">
      <c r="A1240" s="141"/>
      <c r="B1240" s="141"/>
      <c r="C1240" s="141"/>
      <c r="D1240" s="141"/>
      <c r="E1240" s="1014"/>
      <c r="F1240" s="1014"/>
      <c r="G1240" s="1027"/>
      <c r="H1240" s="1027"/>
      <c r="I1240" s="1174"/>
      <c r="J1240" s="1174"/>
      <c r="K1240" s="1174"/>
      <c r="L1240" s="1172"/>
      <c r="M1240" s="1172"/>
      <c r="N1240" s="1175"/>
      <c r="O1240" s="143"/>
      <c r="P1240" s="1196"/>
      <c r="Q1240" s="141"/>
      <c r="R1240" s="141"/>
      <c r="S1240" s="148"/>
      <c r="T1240" s="419"/>
      <c r="U1240" s="559"/>
      <c r="V1240" s="141"/>
      <c r="W1240" s="141"/>
      <c r="X1240" s="141"/>
      <c r="Y1240" s="144"/>
      <c r="Z1240" s="141"/>
      <c r="AA1240" s="141"/>
      <c r="AB1240" s="141"/>
      <c r="AC1240" s="141"/>
      <c r="AD1240" s="141"/>
      <c r="AE1240" s="141"/>
      <c r="AF1240" s="145"/>
      <c r="AG1240" s="419"/>
    </row>
    <row r="1241" spans="1:33" s="139" customFormat="1" ht="12.75" customHeight="1" x14ac:dyDescent="0.2">
      <c r="A1241" s="141"/>
      <c r="B1241" s="141"/>
      <c r="C1241" s="141"/>
      <c r="D1241" s="141"/>
      <c r="E1241" s="1014"/>
      <c r="F1241" s="1014"/>
      <c r="G1241" s="1027"/>
      <c r="H1241" s="1027"/>
      <c r="I1241" s="1174"/>
      <c r="J1241" s="1174"/>
      <c r="K1241" s="1174"/>
      <c r="L1241" s="1172"/>
      <c r="M1241" s="1172"/>
      <c r="N1241" s="1175"/>
      <c r="O1241" s="143"/>
      <c r="P1241" s="1196"/>
      <c r="Q1241" s="141"/>
      <c r="R1241" s="141"/>
      <c r="S1241" s="148"/>
      <c r="T1241" s="419"/>
      <c r="U1241" s="559"/>
      <c r="V1241" s="141"/>
      <c r="W1241" s="141"/>
      <c r="X1241" s="141"/>
      <c r="Y1241" s="144"/>
      <c r="Z1241" s="141"/>
      <c r="AA1241" s="141"/>
      <c r="AB1241" s="141"/>
      <c r="AC1241" s="141"/>
      <c r="AD1241" s="141"/>
      <c r="AE1241" s="141"/>
      <c r="AF1241" s="145"/>
      <c r="AG1241" s="419"/>
    </row>
    <row r="1242" spans="1:33" s="139" customFormat="1" ht="12.75" customHeight="1" x14ac:dyDescent="0.2">
      <c r="A1242" s="141"/>
      <c r="B1242" s="141"/>
      <c r="C1242" s="141"/>
      <c r="D1242" s="141"/>
      <c r="E1242" s="1014"/>
      <c r="F1242" s="1014"/>
      <c r="G1242" s="1027"/>
      <c r="H1242" s="1027"/>
      <c r="I1242" s="1174"/>
      <c r="J1242" s="1174"/>
      <c r="K1242" s="1174"/>
      <c r="L1242" s="1172"/>
      <c r="M1242" s="1172"/>
      <c r="N1242" s="1175"/>
      <c r="O1242" s="143"/>
      <c r="P1242" s="1196"/>
      <c r="Q1242" s="141"/>
      <c r="R1242" s="141"/>
      <c r="S1242" s="148"/>
      <c r="T1242" s="419"/>
      <c r="U1242" s="559"/>
      <c r="V1242" s="141"/>
      <c r="W1242" s="141"/>
      <c r="X1242" s="141"/>
      <c r="Y1242" s="144"/>
      <c r="Z1242" s="141"/>
      <c r="AA1242" s="141"/>
      <c r="AB1242" s="141"/>
      <c r="AC1242" s="141"/>
      <c r="AD1242" s="141"/>
      <c r="AE1242" s="141"/>
      <c r="AF1242" s="145"/>
      <c r="AG1242" s="419"/>
    </row>
    <row r="1243" spans="1:33" s="139" customFormat="1" ht="12.75" customHeight="1" x14ac:dyDescent="0.2">
      <c r="A1243" s="141"/>
      <c r="B1243" s="141"/>
      <c r="C1243" s="141"/>
      <c r="D1243" s="141"/>
      <c r="E1243" s="1014"/>
      <c r="F1243" s="1014"/>
      <c r="G1243" s="1027"/>
      <c r="H1243" s="1027"/>
      <c r="I1243" s="1174"/>
      <c r="J1243" s="1174"/>
      <c r="K1243" s="1174"/>
      <c r="L1243" s="1172"/>
      <c r="M1243" s="1172"/>
      <c r="N1243" s="1175"/>
      <c r="O1243" s="143"/>
      <c r="P1243" s="1196"/>
      <c r="Q1243" s="141"/>
      <c r="R1243" s="141"/>
      <c r="S1243" s="148"/>
      <c r="T1243" s="419"/>
      <c r="U1243" s="559"/>
      <c r="V1243" s="141"/>
      <c r="W1243" s="141"/>
      <c r="X1243" s="141"/>
      <c r="Y1243" s="144"/>
      <c r="Z1243" s="141"/>
      <c r="AA1243" s="141"/>
      <c r="AB1243" s="141"/>
      <c r="AC1243" s="141"/>
      <c r="AD1243" s="141"/>
      <c r="AE1243" s="141"/>
      <c r="AF1243" s="145"/>
      <c r="AG1243" s="419"/>
    </row>
    <row r="1244" spans="1:33" s="139" customFormat="1" ht="12.75" customHeight="1" x14ac:dyDescent="0.2">
      <c r="A1244" s="141"/>
      <c r="B1244" s="141"/>
      <c r="C1244" s="141"/>
      <c r="D1244" s="141"/>
      <c r="E1244" s="1014"/>
      <c r="F1244" s="1014"/>
      <c r="G1244" s="1027"/>
      <c r="H1244" s="1027"/>
      <c r="I1244" s="1174"/>
      <c r="J1244" s="1174"/>
      <c r="K1244" s="1174"/>
      <c r="L1244" s="1172"/>
      <c r="M1244" s="1172"/>
      <c r="N1244" s="1175"/>
      <c r="O1244" s="143"/>
      <c r="P1244" s="1196"/>
      <c r="Q1244" s="141"/>
      <c r="R1244" s="141"/>
      <c r="S1244" s="148"/>
      <c r="T1244" s="419"/>
      <c r="U1244" s="559"/>
      <c r="V1244" s="141"/>
      <c r="W1244" s="141"/>
      <c r="X1244" s="141"/>
      <c r="Y1244" s="144"/>
      <c r="Z1244" s="141"/>
      <c r="AA1244" s="141"/>
      <c r="AB1244" s="141"/>
      <c r="AC1244" s="141"/>
      <c r="AD1244" s="141"/>
      <c r="AE1244" s="141"/>
      <c r="AF1244" s="145"/>
      <c r="AG1244" s="419"/>
    </row>
    <row r="1245" spans="1:33" s="139" customFormat="1" ht="12.75" customHeight="1" x14ac:dyDescent="0.2">
      <c r="A1245" s="141"/>
      <c r="B1245" s="141"/>
      <c r="C1245" s="141"/>
      <c r="D1245" s="141"/>
      <c r="E1245" s="1014"/>
      <c r="F1245" s="1014"/>
      <c r="G1245" s="1027"/>
      <c r="H1245" s="1027"/>
      <c r="I1245" s="1174"/>
      <c r="J1245" s="1174"/>
      <c r="K1245" s="1174"/>
      <c r="L1245" s="1172"/>
      <c r="M1245" s="1172"/>
      <c r="N1245" s="1175"/>
      <c r="O1245" s="143"/>
      <c r="P1245" s="1196"/>
      <c r="Q1245" s="141"/>
      <c r="R1245" s="141"/>
      <c r="S1245" s="148"/>
      <c r="T1245" s="419"/>
      <c r="U1245" s="559"/>
      <c r="V1245" s="141"/>
      <c r="W1245" s="141"/>
      <c r="X1245" s="141"/>
      <c r="Y1245" s="144"/>
      <c r="Z1245" s="141"/>
      <c r="AA1245" s="141"/>
      <c r="AB1245" s="141"/>
      <c r="AC1245" s="141"/>
      <c r="AD1245" s="141"/>
      <c r="AE1245" s="141"/>
      <c r="AF1245" s="145"/>
      <c r="AG1245" s="419"/>
    </row>
    <row r="1246" spans="1:33" s="139" customFormat="1" ht="12.75" customHeight="1" x14ac:dyDescent="0.2">
      <c r="A1246" s="141"/>
      <c r="B1246" s="141"/>
      <c r="C1246" s="141"/>
      <c r="D1246" s="141"/>
      <c r="E1246" s="1014"/>
      <c r="F1246" s="1014"/>
      <c r="G1246" s="1027"/>
      <c r="H1246" s="1027"/>
      <c r="I1246" s="1174"/>
      <c r="J1246" s="1174"/>
      <c r="K1246" s="1174"/>
      <c r="L1246" s="1172"/>
      <c r="M1246" s="1172"/>
      <c r="N1246" s="1175"/>
      <c r="O1246" s="143"/>
      <c r="P1246" s="1196"/>
      <c r="Q1246" s="141"/>
      <c r="R1246" s="141"/>
      <c r="S1246" s="148"/>
      <c r="T1246" s="419"/>
      <c r="U1246" s="559"/>
      <c r="V1246" s="141"/>
      <c r="W1246" s="141"/>
      <c r="X1246" s="141"/>
      <c r="Y1246" s="144"/>
      <c r="Z1246" s="141"/>
      <c r="AA1246" s="141"/>
      <c r="AB1246" s="141"/>
      <c r="AC1246" s="141"/>
      <c r="AD1246" s="141"/>
      <c r="AE1246" s="141"/>
      <c r="AF1246" s="145"/>
      <c r="AG1246" s="419"/>
    </row>
    <row r="1247" spans="1:33" s="139" customFormat="1" ht="12.75" customHeight="1" x14ac:dyDescent="0.2">
      <c r="A1247" s="141"/>
      <c r="B1247" s="141"/>
      <c r="C1247" s="141"/>
      <c r="D1247" s="141"/>
      <c r="E1247" s="1014"/>
      <c r="F1247" s="1014"/>
      <c r="G1247" s="1027"/>
      <c r="H1247" s="1027"/>
      <c r="I1247" s="1174"/>
      <c r="J1247" s="1174"/>
      <c r="K1247" s="1174"/>
      <c r="L1247" s="1172"/>
      <c r="M1247" s="1172"/>
      <c r="N1247" s="1175"/>
      <c r="O1247" s="143"/>
      <c r="P1247" s="1196"/>
      <c r="Q1247" s="141"/>
      <c r="R1247" s="141"/>
      <c r="S1247" s="148"/>
      <c r="T1247" s="419"/>
      <c r="U1247" s="559"/>
      <c r="V1247" s="141"/>
      <c r="W1247" s="141"/>
      <c r="X1247" s="141"/>
      <c r="Y1247" s="144"/>
      <c r="Z1247" s="141"/>
      <c r="AA1247" s="141"/>
      <c r="AB1247" s="141"/>
      <c r="AC1247" s="141"/>
      <c r="AD1247" s="141"/>
      <c r="AE1247" s="141"/>
      <c r="AF1247" s="145"/>
      <c r="AG1247" s="419"/>
    </row>
    <row r="1248" spans="1:33" s="139" customFormat="1" ht="12.75" customHeight="1" x14ac:dyDescent="0.2">
      <c r="A1248" s="141"/>
      <c r="B1248" s="141"/>
      <c r="C1248" s="141"/>
      <c r="D1248" s="141"/>
      <c r="E1248" s="1014"/>
      <c r="F1248" s="1014"/>
      <c r="G1248" s="1027"/>
      <c r="H1248" s="1027"/>
      <c r="I1248" s="1174"/>
      <c r="J1248" s="1174"/>
      <c r="K1248" s="1174"/>
      <c r="L1248" s="1172"/>
      <c r="M1248" s="1172"/>
      <c r="N1248" s="1175"/>
      <c r="O1248" s="143"/>
      <c r="P1248" s="1196"/>
      <c r="Q1248" s="141"/>
      <c r="R1248" s="141"/>
      <c r="S1248" s="148"/>
      <c r="T1248" s="419"/>
      <c r="U1248" s="559"/>
      <c r="V1248" s="141"/>
      <c r="W1248" s="141"/>
      <c r="X1248" s="141"/>
      <c r="Y1248" s="144"/>
      <c r="Z1248" s="141"/>
      <c r="AA1248" s="141"/>
      <c r="AB1248" s="141"/>
      <c r="AC1248" s="141"/>
      <c r="AD1248" s="141"/>
      <c r="AE1248" s="141"/>
      <c r="AF1248" s="145"/>
      <c r="AG1248" s="419"/>
    </row>
    <row r="1249" spans="1:33" s="139" customFormat="1" ht="12.75" customHeight="1" x14ac:dyDescent="0.2">
      <c r="A1249" s="141"/>
      <c r="B1249" s="141"/>
      <c r="C1249" s="141"/>
      <c r="D1249" s="141"/>
      <c r="E1249" s="1014"/>
      <c r="F1249" s="1014"/>
      <c r="G1249" s="1027"/>
      <c r="H1249" s="1027"/>
      <c r="I1249" s="1174"/>
      <c r="J1249" s="1174"/>
      <c r="K1249" s="1174"/>
      <c r="L1249" s="1172"/>
      <c r="M1249" s="1172"/>
      <c r="N1249" s="1175"/>
      <c r="O1249" s="143"/>
      <c r="P1249" s="1196"/>
      <c r="Q1249" s="141"/>
      <c r="R1249" s="141"/>
      <c r="S1249" s="148"/>
      <c r="T1249" s="419"/>
      <c r="U1249" s="559"/>
      <c r="V1249" s="141"/>
      <c r="W1249" s="141"/>
      <c r="X1249" s="141"/>
      <c r="Y1249" s="144"/>
      <c r="Z1249" s="141"/>
      <c r="AA1249" s="141"/>
      <c r="AB1249" s="141"/>
      <c r="AC1249" s="141"/>
      <c r="AD1249" s="141"/>
      <c r="AE1249" s="141"/>
      <c r="AF1249" s="145"/>
      <c r="AG1249" s="419"/>
    </row>
    <row r="1250" spans="1:33" s="139" customFormat="1" ht="12.75" customHeight="1" x14ac:dyDescent="0.2">
      <c r="A1250" s="141"/>
      <c r="B1250" s="141"/>
      <c r="C1250" s="141"/>
      <c r="D1250" s="141"/>
      <c r="E1250" s="1014"/>
      <c r="F1250" s="1014"/>
      <c r="G1250" s="1027"/>
      <c r="H1250" s="1027"/>
      <c r="I1250" s="1174"/>
      <c r="J1250" s="1174"/>
      <c r="K1250" s="1174"/>
      <c r="L1250" s="1172"/>
      <c r="M1250" s="1172"/>
      <c r="N1250" s="1175"/>
      <c r="O1250" s="143"/>
      <c r="P1250" s="1196"/>
      <c r="Q1250" s="141"/>
      <c r="R1250" s="141"/>
      <c r="S1250" s="148"/>
      <c r="T1250" s="419"/>
      <c r="U1250" s="559"/>
      <c r="V1250" s="141"/>
      <c r="W1250" s="141"/>
      <c r="X1250" s="141"/>
      <c r="Y1250" s="144"/>
      <c r="Z1250" s="141"/>
      <c r="AA1250" s="141"/>
      <c r="AB1250" s="141"/>
      <c r="AC1250" s="141"/>
      <c r="AD1250" s="141"/>
      <c r="AE1250" s="141"/>
      <c r="AF1250" s="145"/>
      <c r="AG1250" s="419"/>
    </row>
    <row r="1251" spans="1:33" s="139" customFormat="1" ht="12.75" customHeight="1" x14ac:dyDescent="0.2">
      <c r="A1251" s="141"/>
      <c r="B1251" s="141"/>
      <c r="C1251" s="141"/>
      <c r="D1251" s="141"/>
      <c r="E1251" s="1014"/>
      <c r="F1251" s="1014"/>
      <c r="G1251" s="1027"/>
      <c r="H1251" s="1027"/>
      <c r="I1251" s="1174"/>
      <c r="J1251" s="1174"/>
      <c r="K1251" s="1174"/>
      <c r="L1251" s="1172"/>
      <c r="M1251" s="1172"/>
      <c r="N1251" s="1175"/>
      <c r="O1251" s="143"/>
      <c r="P1251" s="1196"/>
      <c r="Q1251" s="141"/>
      <c r="R1251" s="141"/>
      <c r="S1251" s="148"/>
      <c r="T1251" s="419"/>
      <c r="U1251" s="559"/>
      <c r="V1251" s="141"/>
      <c r="W1251" s="141"/>
      <c r="X1251" s="141"/>
      <c r="Y1251" s="144"/>
      <c r="Z1251" s="141"/>
      <c r="AA1251" s="141"/>
      <c r="AB1251" s="141"/>
      <c r="AC1251" s="141"/>
      <c r="AD1251" s="141"/>
      <c r="AE1251" s="141"/>
      <c r="AF1251" s="145"/>
      <c r="AG1251" s="419"/>
    </row>
    <row r="1252" spans="1:33" s="139" customFormat="1" ht="12.75" customHeight="1" x14ac:dyDescent="0.2">
      <c r="A1252" s="141"/>
      <c r="B1252" s="141"/>
      <c r="C1252" s="141"/>
      <c r="D1252" s="141"/>
      <c r="E1252" s="1014"/>
      <c r="F1252" s="1014"/>
      <c r="G1252" s="1027"/>
      <c r="H1252" s="1027"/>
      <c r="I1252" s="1174"/>
      <c r="J1252" s="1174"/>
      <c r="K1252" s="1174"/>
      <c r="L1252" s="1172"/>
      <c r="M1252" s="1172"/>
      <c r="N1252" s="1175"/>
      <c r="O1252" s="143"/>
      <c r="P1252" s="1196"/>
      <c r="Q1252" s="141"/>
      <c r="R1252" s="141"/>
      <c r="S1252" s="148"/>
      <c r="T1252" s="419"/>
      <c r="U1252" s="559"/>
      <c r="V1252" s="141"/>
      <c r="W1252" s="141"/>
      <c r="X1252" s="141"/>
      <c r="Y1252" s="144"/>
      <c r="Z1252" s="141"/>
      <c r="AA1252" s="141"/>
      <c r="AB1252" s="141"/>
      <c r="AC1252" s="141"/>
      <c r="AD1252" s="141"/>
      <c r="AE1252" s="141"/>
      <c r="AF1252" s="145"/>
      <c r="AG1252" s="419"/>
    </row>
    <row r="1253" spans="1:33" s="139" customFormat="1" ht="12.75" customHeight="1" x14ac:dyDescent="0.2">
      <c r="A1253" s="141"/>
      <c r="B1253" s="141"/>
      <c r="C1253" s="141"/>
      <c r="D1253" s="141"/>
      <c r="E1253" s="1014"/>
      <c r="F1253" s="1014"/>
      <c r="G1253" s="1027"/>
      <c r="H1253" s="1027"/>
      <c r="I1253" s="1174"/>
      <c r="J1253" s="1174"/>
      <c r="K1253" s="1174"/>
      <c r="L1253" s="1172"/>
      <c r="M1253" s="1172"/>
      <c r="N1253" s="1175"/>
      <c r="O1253" s="143"/>
      <c r="P1253" s="1196"/>
      <c r="Q1253" s="141"/>
      <c r="R1253" s="141"/>
      <c r="S1253" s="148"/>
      <c r="T1253" s="419"/>
      <c r="U1253" s="559"/>
      <c r="V1253" s="141"/>
      <c r="W1253" s="141"/>
      <c r="X1253" s="141"/>
      <c r="Y1253" s="144"/>
      <c r="Z1253" s="141"/>
      <c r="AA1253" s="141"/>
      <c r="AB1253" s="141"/>
      <c r="AC1253" s="141"/>
      <c r="AD1253" s="141"/>
      <c r="AE1253" s="141"/>
      <c r="AF1253" s="145"/>
      <c r="AG1253" s="419"/>
    </row>
    <row r="1254" spans="1:33" s="139" customFormat="1" ht="12.75" customHeight="1" x14ac:dyDescent="0.2">
      <c r="A1254" s="141"/>
      <c r="B1254" s="141"/>
      <c r="C1254" s="141"/>
      <c r="D1254" s="141"/>
      <c r="E1254" s="1014"/>
      <c r="F1254" s="1014"/>
      <c r="G1254" s="1027"/>
      <c r="H1254" s="1027"/>
      <c r="I1254" s="1174"/>
      <c r="J1254" s="1174"/>
      <c r="K1254" s="1174"/>
      <c r="L1254" s="1172"/>
      <c r="M1254" s="1172"/>
      <c r="N1254" s="1175"/>
      <c r="O1254" s="143"/>
      <c r="P1254" s="1196"/>
      <c r="Q1254" s="141"/>
      <c r="R1254" s="141"/>
      <c r="S1254" s="148"/>
      <c r="T1254" s="419"/>
      <c r="U1254" s="559"/>
      <c r="V1254" s="141"/>
      <c r="W1254" s="141"/>
      <c r="X1254" s="141"/>
      <c r="Y1254" s="144"/>
      <c r="Z1254" s="141"/>
      <c r="AA1254" s="141"/>
      <c r="AB1254" s="141"/>
      <c r="AC1254" s="141"/>
      <c r="AD1254" s="141"/>
      <c r="AE1254" s="141"/>
      <c r="AF1254" s="145"/>
      <c r="AG1254" s="419"/>
    </row>
    <row r="1255" spans="1:33" s="139" customFormat="1" ht="12.75" customHeight="1" x14ac:dyDescent="0.2">
      <c r="A1255" s="141"/>
      <c r="B1255" s="141"/>
      <c r="C1255" s="141"/>
      <c r="D1255" s="141"/>
      <c r="E1255" s="1014"/>
      <c r="F1255" s="1014"/>
      <c r="G1255" s="1027"/>
      <c r="H1255" s="1027"/>
      <c r="I1255" s="1174"/>
      <c r="J1255" s="1174"/>
      <c r="K1255" s="1174"/>
      <c r="L1255" s="1172"/>
      <c r="M1255" s="1172"/>
      <c r="N1255" s="1175"/>
      <c r="O1255" s="143"/>
      <c r="P1255" s="1196"/>
      <c r="Q1255" s="141"/>
      <c r="R1255" s="141"/>
      <c r="S1255" s="148"/>
      <c r="T1255" s="419"/>
      <c r="U1255" s="559"/>
      <c r="V1255" s="141"/>
      <c r="W1255" s="141"/>
      <c r="X1255" s="141"/>
      <c r="Y1255" s="144"/>
      <c r="Z1255" s="141"/>
      <c r="AA1255" s="141"/>
      <c r="AB1255" s="141"/>
      <c r="AC1255" s="141"/>
      <c r="AD1255" s="141"/>
      <c r="AE1255" s="141"/>
      <c r="AF1255" s="145"/>
      <c r="AG1255" s="419"/>
    </row>
    <row r="1256" spans="1:33" s="139" customFormat="1" ht="12.75" customHeight="1" x14ac:dyDescent="0.2">
      <c r="A1256" s="141"/>
      <c r="B1256" s="141"/>
      <c r="C1256" s="141"/>
      <c r="D1256" s="141"/>
      <c r="E1256" s="1014"/>
      <c r="F1256" s="1014"/>
      <c r="G1256" s="1027"/>
      <c r="H1256" s="1027"/>
      <c r="I1256" s="1174"/>
      <c r="J1256" s="1174"/>
      <c r="K1256" s="1174"/>
      <c r="L1256" s="1172"/>
      <c r="M1256" s="1172"/>
      <c r="N1256" s="1175"/>
      <c r="O1256" s="143"/>
      <c r="P1256" s="1196"/>
      <c r="Q1256" s="141"/>
      <c r="R1256" s="141"/>
      <c r="S1256" s="148"/>
      <c r="T1256" s="419"/>
      <c r="U1256" s="559"/>
      <c r="V1256" s="141"/>
      <c r="W1256" s="141"/>
      <c r="X1256" s="141"/>
      <c r="Y1256" s="144"/>
      <c r="Z1256" s="141"/>
      <c r="AA1256" s="141"/>
      <c r="AB1256" s="141"/>
      <c r="AC1256" s="141"/>
      <c r="AD1256" s="141"/>
      <c r="AE1256" s="141"/>
      <c r="AF1256" s="145"/>
      <c r="AG1256" s="419"/>
    </row>
    <row r="1257" spans="1:33" s="139" customFormat="1" ht="12.75" customHeight="1" x14ac:dyDescent="0.2">
      <c r="A1257" s="141"/>
      <c r="B1257" s="141"/>
      <c r="C1257" s="141"/>
      <c r="D1257" s="141"/>
      <c r="E1257" s="1014"/>
      <c r="F1257" s="1014"/>
      <c r="G1257" s="1027"/>
      <c r="H1257" s="1027"/>
      <c r="I1257" s="1174"/>
      <c r="J1257" s="1174"/>
      <c r="K1257" s="1174"/>
      <c r="L1257" s="1172"/>
      <c r="M1257" s="1172"/>
      <c r="N1257" s="1175"/>
      <c r="O1257" s="143"/>
      <c r="P1257" s="1196"/>
      <c r="Q1257" s="141"/>
      <c r="R1257" s="141"/>
      <c r="S1257" s="148"/>
      <c r="T1257" s="419"/>
      <c r="U1257" s="559"/>
      <c r="V1257" s="141"/>
      <c r="W1257" s="141"/>
      <c r="X1257" s="141"/>
      <c r="Y1257" s="144"/>
      <c r="Z1257" s="141"/>
      <c r="AA1257" s="141"/>
      <c r="AB1257" s="141"/>
      <c r="AC1257" s="141"/>
      <c r="AD1257" s="141"/>
      <c r="AE1257" s="141"/>
      <c r="AF1257" s="145"/>
      <c r="AG1257" s="419"/>
    </row>
    <row r="1258" spans="1:33" s="139" customFormat="1" ht="12.75" customHeight="1" x14ac:dyDescent="0.2">
      <c r="A1258" s="141"/>
      <c r="B1258" s="141"/>
      <c r="C1258" s="141"/>
      <c r="D1258" s="141"/>
      <c r="E1258" s="1014"/>
      <c r="F1258" s="1014"/>
      <c r="G1258" s="1027"/>
      <c r="H1258" s="1027"/>
      <c r="I1258" s="1174"/>
      <c r="J1258" s="1174"/>
      <c r="K1258" s="1174"/>
      <c r="L1258" s="1172"/>
      <c r="M1258" s="1172"/>
      <c r="N1258" s="1175"/>
      <c r="O1258" s="143"/>
      <c r="P1258" s="1196"/>
      <c r="Q1258" s="141"/>
      <c r="R1258" s="141"/>
      <c r="S1258" s="148"/>
      <c r="T1258" s="419"/>
      <c r="U1258" s="559"/>
      <c r="V1258" s="141"/>
      <c r="W1258" s="141"/>
      <c r="X1258" s="141"/>
      <c r="Y1258" s="144"/>
      <c r="Z1258" s="141"/>
      <c r="AA1258" s="141"/>
      <c r="AB1258" s="141"/>
      <c r="AC1258" s="141"/>
      <c r="AD1258" s="141"/>
      <c r="AE1258" s="141"/>
      <c r="AF1258" s="145"/>
      <c r="AG1258" s="419"/>
    </row>
    <row r="1259" spans="1:33" s="139" customFormat="1" ht="12.75" customHeight="1" x14ac:dyDescent="0.2">
      <c r="A1259" s="141"/>
      <c r="B1259" s="141"/>
      <c r="C1259" s="141"/>
      <c r="D1259" s="141"/>
      <c r="E1259" s="1014"/>
      <c r="F1259" s="1014"/>
      <c r="G1259" s="1027"/>
      <c r="H1259" s="1027"/>
      <c r="I1259" s="1174"/>
      <c r="J1259" s="1174"/>
      <c r="K1259" s="1174"/>
      <c r="L1259" s="1172"/>
      <c r="M1259" s="1172"/>
      <c r="N1259" s="1175"/>
      <c r="O1259" s="143"/>
      <c r="P1259" s="1196"/>
      <c r="Q1259" s="141"/>
      <c r="R1259" s="141"/>
      <c r="S1259" s="148"/>
      <c r="T1259" s="419"/>
      <c r="U1259" s="559"/>
      <c r="V1259" s="141"/>
      <c r="W1259" s="141"/>
      <c r="X1259" s="141"/>
      <c r="Y1259" s="144"/>
      <c r="Z1259" s="141"/>
      <c r="AA1259" s="141"/>
      <c r="AB1259" s="141"/>
      <c r="AC1259" s="141"/>
      <c r="AD1259" s="141"/>
      <c r="AE1259" s="141"/>
      <c r="AF1259" s="145"/>
      <c r="AG1259" s="419"/>
    </row>
    <row r="1260" spans="1:33" s="139" customFormat="1" ht="12.75" customHeight="1" x14ac:dyDescent="0.2">
      <c r="A1260" s="141"/>
      <c r="B1260" s="141"/>
      <c r="C1260" s="141"/>
      <c r="D1260" s="141"/>
      <c r="E1260" s="1014"/>
      <c r="F1260" s="1014"/>
      <c r="G1260" s="1027"/>
      <c r="H1260" s="1027"/>
      <c r="I1260" s="1174"/>
      <c r="J1260" s="1174"/>
      <c r="K1260" s="1174"/>
      <c r="L1260" s="1172"/>
      <c r="M1260" s="1172"/>
      <c r="N1260" s="1175"/>
      <c r="O1260" s="143"/>
      <c r="P1260" s="1196"/>
      <c r="Q1260" s="141"/>
      <c r="R1260" s="141"/>
      <c r="S1260" s="148"/>
      <c r="T1260" s="419"/>
      <c r="U1260" s="559"/>
      <c r="V1260" s="141"/>
      <c r="W1260" s="141"/>
      <c r="X1260" s="141"/>
      <c r="Y1260" s="144"/>
      <c r="Z1260" s="141"/>
      <c r="AA1260" s="141"/>
      <c r="AB1260" s="141"/>
      <c r="AC1260" s="141"/>
      <c r="AD1260" s="141"/>
      <c r="AE1260" s="141"/>
      <c r="AF1260" s="145"/>
      <c r="AG1260" s="419"/>
    </row>
    <row r="1261" spans="1:33" s="139" customFormat="1" ht="12.75" customHeight="1" x14ac:dyDescent="0.2">
      <c r="A1261" s="141"/>
      <c r="B1261" s="141"/>
      <c r="C1261" s="141"/>
      <c r="D1261" s="141"/>
      <c r="E1261" s="1014"/>
      <c r="F1261" s="1014"/>
      <c r="G1261" s="1027"/>
      <c r="H1261" s="1027"/>
      <c r="I1261" s="1174"/>
      <c r="J1261" s="1174"/>
      <c r="K1261" s="1174"/>
      <c r="L1261" s="1172"/>
      <c r="M1261" s="1172"/>
      <c r="N1261" s="1175"/>
      <c r="O1261" s="143"/>
      <c r="P1261" s="1196"/>
      <c r="Q1261" s="141"/>
      <c r="R1261" s="141"/>
      <c r="S1261" s="148"/>
      <c r="T1261" s="419"/>
      <c r="U1261" s="559"/>
      <c r="V1261" s="141"/>
      <c r="W1261" s="141"/>
      <c r="X1261" s="141"/>
      <c r="Y1261" s="144"/>
      <c r="Z1261" s="141"/>
      <c r="AA1261" s="141"/>
      <c r="AB1261" s="141"/>
      <c r="AC1261" s="141"/>
      <c r="AD1261" s="141"/>
      <c r="AE1261" s="141"/>
      <c r="AF1261" s="145"/>
      <c r="AG1261" s="419"/>
    </row>
    <row r="1262" spans="1:33" s="139" customFormat="1" ht="12.75" customHeight="1" x14ac:dyDescent="0.2">
      <c r="A1262" s="141"/>
      <c r="B1262" s="141"/>
      <c r="C1262" s="141"/>
      <c r="D1262" s="141"/>
      <c r="E1262" s="1014"/>
      <c r="F1262" s="1014"/>
      <c r="G1262" s="1027"/>
      <c r="H1262" s="1027"/>
      <c r="I1262" s="1174"/>
      <c r="J1262" s="1174"/>
      <c r="K1262" s="1174"/>
      <c r="L1262" s="1172"/>
      <c r="M1262" s="1172"/>
      <c r="N1262" s="1175"/>
      <c r="O1262" s="143"/>
      <c r="P1262" s="1196"/>
      <c r="Q1262" s="141"/>
      <c r="R1262" s="141"/>
      <c r="S1262" s="148"/>
      <c r="T1262" s="419"/>
      <c r="U1262" s="559"/>
      <c r="V1262" s="141"/>
      <c r="W1262" s="141"/>
      <c r="X1262" s="141"/>
      <c r="Y1262" s="144"/>
      <c r="Z1262" s="141"/>
      <c r="AA1262" s="141"/>
      <c r="AB1262" s="141"/>
      <c r="AC1262" s="141"/>
      <c r="AD1262" s="141"/>
      <c r="AE1262" s="141"/>
      <c r="AF1262" s="145"/>
      <c r="AG1262" s="419"/>
    </row>
    <row r="1263" spans="1:33" s="139" customFormat="1" ht="12.75" customHeight="1" x14ac:dyDescent="0.2">
      <c r="A1263" s="141"/>
      <c r="B1263" s="141"/>
      <c r="C1263" s="141"/>
      <c r="D1263" s="141"/>
      <c r="E1263" s="1014"/>
      <c r="F1263" s="1014"/>
      <c r="G1263" s="1027"/>
      <c r="H1263" s="1027"/>
      <c r="I1263" s="1174"/>
      <c r="J1263" s="1174"/>
      <c r="K1263" s="1174"/>
      <c r="L1263" s="1172"/>
      <c r="M1263" s="1172"/>
      <c r="N1263" s="1175"/>
      <c r="O1263" s="143"/>
      <c r="P1263" s="1196"/>
      <c r="Q1263" s="141"/>
      <c r="R1263" s="141"/>
      <c r="S1263" s="148"/>
      <c r="T1263" s="419"/>
      <c r="U1263" s="559"/>
      <c r="V1263" s="141"/>
      <c r="W1263" s="141"/>
      <c r="X1263" s="141"/>
      <c r="Y1263" s="144"/>
      <c r="Z1263" s="141"/>
      <c r="AA1263" s="141"/>
      <c r="AB1263" s="141"/>
      <c r="AC1263" s="141"/>
      <c r="AD1263" s="141"/>
      <c r="AE1263" s="141"/>
      <c r="AF1263" s="145"/>
      <c r="AG1263" s="419"/>
    </row>
    <row r="1264" spans="1:33" s="139" customFormat="1" ht="12.75" customHeight="1" x14ac:dyDescent="0.2">
      <c r="A1264" s="141"/>
      <c r="B1264" s="141"/>
      <c r="C1264" s="141"/>
      <c r="D1264" s="141"/>
      <c r="E1264" s="1014"/>
      <c r="F1264" s="1014"/>
      <c r="G1264" s="1027"/>
      <c r="H1264" s="1027"/>
      <c r="I1264" s="1174"/>
      <c r="J1264" s="1174"/>
      <c r="K1264" s="1174"/>
      <c r="L1264" s="1172"/>
      <c r="M1264" s="1172"/>
      <c r="N1264" s="1175"/>
      <c r="O1264" s="143"/>
      <c r="P1264" s="1196"/>
      <c r="Q1264" s="141"/>
      <c r="R1264" s="141"/>
      <c r="S1264" s="148"/>
      <c r="T1264" s="419"/>
      <c r="U1264" s="559"/>
      <c r="V1264" s="141"/>
      <c r="W1264" s="141"/>
      <c r="X1264" s="141"/>
      <c r="Y1264" s="144"/>
      <c r="Z1264" s="141"/>
      <c r="AA1264" s="141"/>
      <c r="AB1264" s="141"/>
      <c r="AC1264" s="141"/>
      <c r="AD1264" s="141"/>
      <c r="AE1264" s="141"/>
      <c r="AF1264" s="145"/>
      <c r="AG1264" s="419"/>
    </row>
    <row r="1265" spans="1:33" s="139" customFormat="1" ht="12.75" customHeight="1" x14ac:dyDescent="0.2">
      <c r="A1265" s="141"/>
      <c r="B1265" s="141"/>
      <c r="C1265" s="141"/>
      <c r="D1265" s="141"/>
      <c r="E1265" s="1014"/>
      <c r="F1265" s="1014"/>
      <c r="G1265" s="1027"/>
      <c r="H1265" s="1027"/>
      <c r="I1265" s="1174"/>
      <c r="J1265" s="1174"/>
      <c r="K1265" s="1174"/>
      <c r="L1265" s="1172"/>
      <c r="M1265" s="1172"/>
      <c r="N1265" s="1175"/>
      <c r="O1265" s="143"/>
      <c r="P1265" s="1196"/>
      <c r="Q1265" s="141"/>
      <c r="R1265" s="141"/>
      <c r="S1265" s="148"/>
      <c r="T1265" s="419"/>
      <c r="U1265" s="559"/>
      <c r="V1265" s="141"/>
      <c r="W1265" s="141"/>
      <c r="X1265" s="141"/>
      <c r="Y1265" s="144"/>
      <c r="Z1265" s="141"/>
      <c r="AA1265" s="141"/>
      <c r="AB1265" s="141"/>
      <c r="AC1265" s="141"/>
      <c r="AD1265" s="141"/>
      <c r="AE1265" s="141"/>
      <c r="AF1265" s="145"/>
      <c r="AG1265" s="419"/>
    </row>
    <row r="1266" spans="1:33" s="139" customFormat="1" ht="12.75" customHeight="1" x14ac:dyDescent="0.2">
      <c r="A1266" s="141"/>
      <c r="B1266" s="141"/>
      <c r="C1266" s="141"/>
      <c r="D1266" s="141"/>
      <c r="E1266" s="1014"/>
      <c r="F1266" s="1014"/>
      <c r="G1266" s="1027"/>
      <c r="H1266" s="1027"/>
      <c r="I1266" s="1174"/>
      <c r="J1266" s="1174"/>
      <c r="K1266" s="1174"/>
      <c r="L1266" s="1172"/>
      <c r="M1266" s="1172"/>
      <c r="N1266" s="1175"/>
      <c r="O1266" s="143"/>
      <c r="P1266" s="1196"/>
      <c r="Q1266" s="141"/>
      <c r="R1266" s="141"/>
      <c r="S1266" s="148"/>
      <c r="T1266" s="419"/>
      <c r="U1266" s="559"/>
      <c r="V1266" s="141"/>
      <c r="W1266" s="141"/>
      <c r="X1266" s="141"/>
      <c r="Y1266" s="144"/>
      <c r="Z1266" s="141"/>
      <c r="AA1266" s="141"/>
      <c r="AB1266" s="141"/>
      <c r="AC1266" s="141"/>
      <c r="AD1266" s="141"/>
      <c r="AE1266" s="141"/>
      <c r="AF1266" s="145"/>
      <c r="AG1266" s="419"/>
    </row>
    <row r="1267" spans="1:33" s="139" customFormat="1" ht="12.75" customHeight="1" x14ac:dyDescent="0.2">
      <c r="A1267" s="141"/>
      <c r="B1267" s="141"/>
      <c r="C1267" s="141"/>
      <c r="D1267" s="141"/>
      <c r="E1267" s="1014"/>
      <c r="F1267" s="1014"/>
      <c r="G1267" s="1027"/>
      <c r="H1267" s="1027"/>
      <c r="I1267" s="1174"/>
      <c r="J1267" s="1174"/>
      <c r="K1267" s="1174"/>
      <c r="L1267" s="1172"/>
      <c r="M1267" s="1172"/>
      <c r="N1267" s="1175"/>
      <c r="O1267" s="143"/>
      <c r="P1267" s="1196"/>
      <c r="Q1267" s="141"/>
      <c r="R1267" s="141"/>
      <c r="S1267" s="148"/>
      <c r="T1267" s="419"/>
      <c r="U1267" s="559"/>
      <c r="V1267" s="141"/>
      <c r="W1267" s="141"/>
      <c r="X1267" s="141"/>
      <c r="Y1267" s="144"/>
      <c r="Z1267" s="141"/>
      <c r="AA1267" s="141"/>
      <c r="AB1267" s="141"/>
      <c r="AC1267" s="141"/>
      <c r="AD1267" s="141"/>
      <c r="AE1267" s="141"/>
      <c r="AF1267" s="145"/>
      <c r="AG1267" s="419"/>
    </row>
    <row r="1268" spans="1:33" s="139" customFormat="1" ht="12.75" customHeight="1" x14ac:dyDescent="0.2">
      <c r="A1268" s="141"/>
      <c r="B1268" s="141"/>
      <c r="C1268" s="141"/>
      <c r="D1268" s="141"/>
      <c r="E1268" s="1014"/>
      <c r="F1268" s="1014"/>
      <c r="G1268" s="1027"/>
      <c r="H1268" s="1027"/>
      <c r="I1268" s="1174"/>
      <c r="J1268" s="1174"/>
      <c r="K1268" s="1174"/>
      <c r="L1268" s="1172"/>
      <c r="M1268" s="1172"/>
      <c r="N1268" s="1175"/>
      <c r="O1268" s="143"/>
      <c r="P1268" s="1196"/>
      <c r="Q1268" s="141"/>
      <c r="R1268" s="141"/>
      <c r="S1268" s="148"/>
      <c r="T1268" s="419"/>
      <c r="U1268" s="559"/>
      <c r="V1268" s="141"/>
      <c r="W1268" s="141"/>
      <c r="X1268" s="141"/>
      <c r="Y1268" s="144"/>
      <c r="Z1268" s="141"/>
      <c r="AA1268" s="141"/>
      <c r="AB1268" s="141"/>
      <c r="AC1268" s="141"/>
      <c r="AD1268" s="141"/>
      <c r="AE1268" s="141"/>
      <c r="AF1268" s="145"/>
      <c r="AG1268" s="419"/>
    </row>
    <row r="1269" spans="1:33" s="139" customFormat="1" ht="12.75" customHeight="1" x14ac:dyDescent="0.2">
      <c r="A1269" s="141"/>
      <c r="B1269" s="141"/>
      <c r="C1269" s="141"/>
      <c r="D1269" s="141"/>
      <c r="E1269" s="1014"/>
      <c r="F1269" s="1014"/>
      <c r="G1269" s="1027"/>
      <c r="H1269" s="1027"/>
      <c r="I1269" s="1174"/>
      <c r="J1269" s="1174"/>
      <c r="K1269" s="1174"/>
      <c r="L1269" s="1172"/>
      <c r="M1269" s="1172"/>
      <c r="N1269" s="1175"/>
      <c r="O1269" s="143"/>
      <c r="P1269" s="1196"/>
      <c r="Q1269" s="141"/>
      <c r="R1269" s="141"/>
      <c r="S1269" s="148"/>
      <c r="T1269" s="419"/>
      <c r="U1269" s="559"/>
      <c r="V1269" s="141"/>
      <c r="W1269" s="141"/>
      <c r="X1269" s="141"/>
      <c r="Y1269" s="144"/>
      <c r="Z1269" s="141"/>
      <c r="AA1269" s="141"/>
      <c r="AB1269" s="141"/>
      <c r="AC1269" s="141"/>
      <c r="AD1269" s="141"/>
      <c r="AE1269" s="141"/>
      <c r="AF1269" s="145"/>
      <c r="AG1269" s="419"/>
    </row>
    <row r="1270" spans="1:33" s="139" customFormat="1" ht="12.75" customHeight="1" x14ac:dyDescent="0.2">
      <c r="A1270" s="141"/>
      <c r="B1270" s="141"/>
      <c r="C1270" s="141"/>
      <c r="D1270" s="141"/>
      <c r="E1270" s="1014"/>
      <c r="F1270" s="1014"/>
      <c r="G1270" s="1027"/>
      <c r="H1270" s="1027"/>
      <c r="I1270" s="1174"/>
      <c r="J1270" s="1174"/>
      <c r="K1270" s="1174"/>
      <c r="L1270" s="1172"/>
      <c r="M1270" s="1172"/>
      <c r="N1270" s="1175"/>
      <c r="O1270" s="143"/>
      <c r="P1270" s="1196"/>
      <c r="Q1270" s="141"/>
      <c r="R1270" s="141"/>
      <c r="S1270" s="148"/>
      <c r="T1270" s="419"/>
      <c r="U1270" s="559"/>
      <c r="V1270" s="141"/>
      <c r="W1270" s="141"/>
      <c r="X1270" s="141"/>
      <c r="Y1270" s="144"/>
      <c r="Z1270" s="141"/>
      <c r="AA1270" s="141"/>
      <c r="AB1270" s="141"/>
      <c r="AC1270" s="141"/>
      <c r="AD1270" s="141"/>
      <c r="AE1270" s="141"/>
      <c r="AF1270" s="145"/>
      <c r="AG1270" s="419"/>
    </row>
    <row r="1271" spans="1:33" s="139" customFormat="1" ht="12.75" customHeight="1" x14ac:dyDescent="0.2">
      <c r="A1271" s="141"/>
      <c r="B1271" s="141"/>
      <c r="C1271" s="141"/>
      <c r="D1271" s="141"/>
      <c r="E1271" s="1014"/>
      <c r="F1271" s="1014"/>
      <c r="G1271" s="1027"/>
      <c r="H1271" s="1027"/>
      <c r="I1271" s="1174"/>
      <c r="J1271" s="1174"/>
      <c r="K1271" s="1174"/>
      <c r="L1271" s="1172"/>
      <c r="M1271" s="1172"/>
      <c r="N1271" s="1175"/>
      <c r="O1271" s="143"/>
      <c r="P1271" s="1196"/>
      <c r="Q1271" s="141"/>
      <c r="R1271" s="141"/>
      <c r="S1271" s="148"/>
      <c r="T1271" s="419"/>
      <c r="U1271" s="559"/>
      <c r="V1271" s="141"/>
      <c r="W1271" s="141"/>
      <c r="X1271" s="141"/>
      <c r="Y1271" s="144"/>
      <c r="Z1271" s="141"/>
      <c r="AA1271" s="141"/>
      <c r="AB1271" s="141"/>
      <c r="AC1271" s="141"/>
      <c r="AD1271" s="141"/>
      <c r="AE1271" s="141"/>
      <c r="AF1271" s="145"/>
      <c r="AG1271" s="419"/>
    </row>
    <row r="1272" spans="1:33" s="139" customFormat="1" ht="12.75" customHeight="1" x14ac:dyDescent="0.2">
      <c r="A1272" s="141"/>
      <c r="B1272" s="141"/>
      <c r="C1272" s="141"/>
      <c r="D1272" s="141"/>
      <c r="E1272" s="1014"/>
      <c r="F1272" s="1014"/>
      <c r="G1272" s="1027"/>
      <c r="H1272" s="1027"/>
      <c r="I1272" s="1174"/>
      <c r="J1272" s="1174"/>
      <c r="K1272" s="1174"/>
      <c r="L1272" s="1172"/>
      <c r="M1272" s="1172"/>
      <c r="N1272" s="1175"/>
      <c r="O1272" s="143"/>
      <c r="P1272" s="1196"/>
      <c r="Q1272" s="141"/>
      <c r="R1272" s="141"/>
      <c r="S1272" s="148"/>
      <c r="T1272" s="419"/>
      <c r="U1272" s="559"/>
      <c r="V1272" s="141"/>
      <c r="W1272" s="141"/>
      <c r="X1272" s="141"/>
      <c r="Y1272" s="144"/>
      <c r="Z1272" s="141"/>
      <c r="AA1272" s="141"/>
      <c r="AB1272" s="141"/>
      <c r="AC1272" s="141"/>
      <c r="AD1272" s="141"/>
      <c r="AE1272" s="141"/>
      <c r="AF1272" s="145"/>
      <c r="AG1272" s="419"/>
    </row>
    <row r="1273" spans="1:33" s="139" customFormat="1" ht="12.75" customHeight="1" x14ac:dyDescent="0.2">
      <c r="A1273" s="141"/>
      <c r="B1273" s="141"/>
      <c r="C1273" s="141"/>
      <c r="D1273" s="141"/>
      <c r="E1273" s="1014"/>
      <c r="F1273" s="1014"/>
      <c r="G1273" s="1027"/>
      <c r="H1273" s="1027"/>
      <c r="I1273" s="1174"/>
      <c r="J1273" s="1174"/>
      <c r="K1273" s="1174"/>
      <c r="L1273" s="1172"/>
      <c r="M1273" s="1172"/>
      <c r="N1273" s="1175"/>
      <c r="O1273" s="143"/>
      <c r="P1273" s="1196"/>
      <c r="Q1273" s="141"/>
      <c r="R1273" s="141"/>
      <c r="S1273" s="148"/>
      <c r="T1273" s="419"/>
      <c r="U1273" s="559"/>
      <c r="V1273" s="141"/>
      <c r="W1273" s="141"/>
      <c r="X1273" s="141"/>
      <c r="Y1273" s="144"/>
      <c r="Z1273" s="141"/>
      <c r="AA1273" s="141"/>
      <c r="AB1273" s="141"/>
      <c r="AC1273" s="141"/>
      <c r="AD1273" s="141"/>
      <c r="AE1273" s="141"/>
      <c r="AF1273" s="145"/>
      <c r="AG1273" s="419"/>
    </row>
    <row r="1274" spans="1:33" s="139" customFormat="1" ht="12.75" customHeight="1" x14ac:dyDescent="0.2">
      <c r="A1274" s="141"/>
      <c r="B1274" s="141"/>
      <c r="C1274" s="141"/>
      <c r="D1274" s="141"/>
      <c r="E1274" s="1014"/>
      <c r="F1274" s="1014"/>
      <c r="G1274" s="1027"/>
      <c r="H1274" s="1027"/>
      <c r="I1274" s="1174"/>
      <c r="J1274" s="1174"/>
      <c r="K1274" s="1174"/>
      <c r="L1274" s="1172"/>
      <c r="M1274" s="1172"/>
      <c r="N1274" s="1175"/>
      <c r="O1274" s="143"/>
      <c r="P1274" s="1196"/>
      <c r="Q1274" s="141"/>
      <c r="R1274" s="141"/>
      <c r="S1274" s="148"/>
      <c r="T1274" s="419"/>
      <c r="U1274" s="559"/>
      <c r="V1274" s="141"/>
      <c r="W1274" s="141"/>
      <c r="X1274" s="141"/>
      <c r="Y1274" s="144"/>
      <c r="Z1274" s="141"/>
      <c r="AA1274" s="141"/>
      <c r="AB1274" s="141"/>
      <c r="AC1274" s="141"/>
      <c r="AD1274" s="141"/>
      <c r="AE1274" s="141"/>
      <c r="AF1274" s="145"/>
      <c r="AG1274" s="419"/>
    </row>
    <row r="1275" spans="1:33" s="139" customFormat="1" ht="12.75" customHeight="1" x14ac:dyDescent="0.2">
      <c r="A1275" s="141"/>
      <c r="B1275" s="141"/>
      <c r="C1275" s="141"/>
      <c r="D1275" s="141"/>
      <c r="E1275" s="1014"/>
      <c r="F1275" s="1014"/>
      <c r="G1275" s="1027"/>
      <c r="H1275" s="1027"/>
      <c r="I1275" s="1174"/>
      <c r="J1275" s="1174"/>
      <c r="K1275" s="1174"/>
      <c r="L1275" s="1172"/>
      <c r="M1275" s="1172"/>
      <c r="N1275" s="1175"/>
      <c r="O1275" s="143"/>
      <c r="P1275" s="1196"/>
      <c r="Q1275" s="141"/>
      <c r="R1275" s="141"/>
      <c r="S1275" s="148"/>
      <c r="T1275" s="419"/>
      <c r="U1275" s="559"/>
      <c r="V1275" s="141"/>
      <c r="W1275" s="141"/>
      <c r="X1275" s="141"/>
      <c r="Y1275" s="144"/>
      <c r="Z1275" s="141"/>
      <c r="AA1275" s="141"/>
      <c r="AB1275" s="141"/>
      <c r="AC1275" s="141"/>
      <c r="AD1275" s="141"/>
      <c r="AE1275" s="141"/>
      <c r="AF1275" s="145"/>
      <c r="AG1275" s="419"/>
    </row>
    <row r="1276" spans="1:33" s="139" customFormat="1" ht="12.75" customHeight="1" x14ac:dyDescent="0.2">
      <c r="A1276" s="141"/>
      <c r="B1276" s="141"/>
      <c r="C1276" s="141"/>
      <c r="D1276" s="141"/>
      <c r="E1276" s="1014"/>
      <c r="F1276" s="1014"/>
      <c r="G1276" s="1027"/>
      <c r="H1276" s="1027"/>
      <c r="I1276" s="1174"/>
      <c r="J1276" s="1174"/>
      <c r="K1276" s="1174"/>
      <c r="L1276" s="1172"/>
      <c r="M1276" s="1172"/>
      <c r="N1276" s="1175"/>
      <c r="O1276" s="143"/>
      <c r="P1276" s="1196"/>
      <c r="Q1276" s="141"/>
      <c r="R1276" s="141"/>
      <c r="S1276" s="148"/>
      <c r="T1276" s="419"/>
      <c r="U1276" s="559"/>
      <c r="V1276" s="141"/>
      <c r="W1276" s="141"/>
      <c r="X1276" s="141"/>
      <c r="Y1276" s="144"/>
      <c r="Z1276" s="141"/>
      <c r="AA1276" s="141"/>
      <c r="AB1276" s="141"/>
      <c r="AC1276" s="141"/>
      <c r="AD1276" s="141"/>
      <c r="AE1276" s="141"/>
      <c r="AF1276" s="145"/>
      <c r="AG1276" s="419"/>
    </row>
    <row r="1277" spans="1:33" s="139" customFormat="1" ht="12.75" customHeight="1" x14ac:dyDescent="0.2">
      <c r="A1277" s="141"/>
      <c r="B1277" s="141"/>
      <c r="C1277" s="141"/>
      <c r="D1277" s="141"/>
      <c r="E1277" s="1014"/>
      <c r="F1277" s="1014"/>
      <c r="G1277" s="1027"/>
      <c r="H1277" s="1027"/>
      <c r="I1277" s="1174"/>
      <c r="J1277" s="1174"/>
      <c r="K1277" s="1174"/>
      <c r="L1277" s="1172"/>
      <c r="M1277" s="1172"/>
      <c r="N1277" s="1175"/>
      <c r="O1277" s="143"/>
      <c r="P1277" s="1196"/>
      <c r="Q1277" s="141"/>
      <c r="R1277" s="141"/>
      <c r="S1277" s="148"/>
      <c r="T1277" s="419"/>
      <c r="U1277" s="559"/>
      <c r="V1277" s="141"/>
      <c r="W1277" s="141"/>
      <c r="X1277" s="141"/>
      <c r="Y1277" s="144"/>
      <c r="Z1277" s="141"/>
      <c r="AA1277" s="141"/>
      <c r="AB1277" s="141"/>
      <c r="AC1277" s="141"/>
      <c r="AD1277" s="141"/>
      <c r="AE1277" s="141"/>
      <c r="AF1277" s="145"/>
      <c r="AG1277" s="419"/>
    </row>
    <row r="1278" spans="1:33" s="139" customFormat="1" ht="12.75" customHeight="1" x14ac:dyDescent="0.2">
      <c r="A1278" s="141"/>
      <c r="B1278" s="141"/>
      <c r="C1278" s="141"/>
      <c r="D1278" s="141"/>
      <c r="E1278" s="1014"/>
      <c r="F1278" s="1014"/>
      <c r="G1278" s="1027"/>
      <c r="H1278" s="1027"/>
      <c r="I1278" s="1174"/>
      <c r="J1278" s="1174"/>
      <c r="K1278" s="1174"/>
      <c r="L1278" s="1172"/>
      <c r="M1278" s="1172"/>
      <c r="N1278" s="1175"/>
      <c r="O1278" s="143"/>
      <c r="P1278" s="1196"/>
      <c r="Q1278" s="141"/>
      <c r="R1278" s="141"/>
      <c r="S1278" s="148"/>
      <c r="T1278" s="419"/>
      <c r="U1278" s="559"/>
      <c r="V1278" s="141"/>
      <c r="W1278" s="141"/>
      <c r="X1278" s="141"/>
      <c r="Y1278" s="144"/>
      <c r="Z1278" s="141"/>
      <c r="AA1278" s="141"/>
      <c r="AB1278" s="141"/>
      <c r="AC1278" s="141"/>
      <c r="AD1278" s="141"/>
      <c r="AE1278" s="141"/>
      <c r="AF1278" s="145"/>
      <c r="AG1278" s="419"/>
    </row>
    <row r="1279" spans="1:33" s="139" customFormat="1" ht="12.75" customHeight="1" x14ac:dyDescent="0.2">
      <c r="A1279" s="141"/>
      <c r="B1279" s="141"/>
      <c r="C1279" s="141"/>
      <c r="D1279" s="141"/>
      <c r="E1279" s="1014"/>
      <c r="F1279" s="1014"/>
      <c r="G1279" s="1027"/>
      <c r="H1279" s="1027"/>
      <c r="I1279" s="1174"/>
      <c r="J1279" s="1174"/>
      <c r="K1279" s="1174"/>
      <c r="L1279" s="1172"/>
      <c r="M1279" s="1172"/>
      <c r="N1279" s="1175"/>
      <c r="O1279" s="143"/>
      <c r="P1279" s="1196"/>
      <c r="Q1279" s="141"/>
      <c r="R1279" s="141"/>
      <c r="S1279" s="148"/>
      <c r="T1279" s="419"/>
      <c r="U1279" s="559"/>
      <c r="V1279" s="141"/>
      <c r="W1279" s="141"/>
      <c r="X1279" s="141"/>
      <c r="Y1279" s="144"/>
      <c r="Z1279" s="141"/>
      <c r="AA1279" s="141"/>
      <c r="AB1279" s="141"/>
      <c r="AC1279" s="141"/>
      <c r="AD1279" s="141"/>
      <c r="AE1279" s="141"/>
      <c r="AF1279" s="145"/>
      <c r="AG1279" s="419"/>
    </row>
    <row r="1280" spans="1:33" s="139" customFormat="1" ht="12.75" customHeight="1" x14ac:dyDescent="0.2">
      <c r="A1280" s="141"/>
      <c r="B1280" s="141"/>
      <c r="C1280" s="141"/>
      <c r="D1280" s="141"/>
      <c r="E1280" s="1014"/>
      <c r="F1280" s="1014"/>
      <c r="G1280" s="1027"/>
      <c r="H1280" s="1027"/>
      <c r="I1280" s="1174"/>
      <c r="J1280" s="1174"/>
      <c r="K1280" s="1174"/>
      <c r="L1280" s="1172"/>
      <c r="M1280" s="1172"/>
      <c r="N1280" s="1175"/>
      <c r="O1280" s="143"/>
      <c r="P1280" s="1196"/>
      <c r="Q1280" s="141"/>
      <c r="R1280" s="141"/>
      <c r="S1280" s="148"/>
      <c r="T1280" s="419"/>
      <c r="U1280" s="559"/>
      <c r="V1280" s="141"/>
      <c r="W1280" s="141"/>
      <c r="X1280" s="141"/>
      <c r="Y1280" s="144"/>
      <c r="Z1280" s="141"/>
      <c r="AA1280" s="141"/>
      <c r="AB1280" s="141"/>
      <c r="AC1280" s="141"/>
      <c r="AD1280" s="141"/>
      <c r="AE1280" s="141"/>
      <c r="AF1280" s="145"/>
      <c r="AG1280" s="419"/>
    </row>
    <row r="1281" spans="1:33" s="139" customFormat="1" ht="12.75" customHeight="1" x14ac:dyDescent="0.2">
      <c r="A1281" s="141"/>
      <c r="B1281" s="141"/>
      <c r="C1281" s="141"/>
      <c r="D1281" s="141"/>
      <c r="E1281" s="1014"/>
      <c r="F1281" s="1014"/>
      <c r="G1281" s="1027"/>
      <c r="H1281" s="1027"/>
      <c r="I1281" s="1174"/>
      <c r="J1281" s="1174"/>
      <c r="K1281" s="1174"/>
      <c r="L1281" s="1172"/>
      <c r="M1281" s="1172"/>
      <c r="N1281" s="1175"/>
      <c r="O1281" s="143"/>
      <c r="P1281" s="1196"/>
      <c r="Q1281" s="141"/>
      <c r="R1281" s="141"/>
      <c r="S1281" s="148"/>
      <c r="T1281" s="419"/>
      <c r="U1281" s="559"/>
      <c r="V1281" s="141"/>
      <c r="W1281" s="141"/>
      <c r="X1281" s="141"/>
      <c r="Y1281" s="144"/>
      <c r="Z1281" s="141"/>
      <c r="AA1281" s="141"/>
      <c r="AB1281" s="141"/>
      <c r="AC1281" s="141"/>
      <c r="AD1281" s="141"/>
      <c r="AE1281" s="141"/>
      <c r="AF1281" s="145"/>
      <c r="AG1281" s="419"/>
    </row>
    <row r="1282" spans="1:33" s="139" customFormat="1" ht="12.75" customHeight="1" x14ac:dyDescent="0.2">
      <c r="A1282" s="141"/>
      <c r="B1282" s="141"/>
      <c r="C1282" s="141"/>
      <c r="D1282" s="141"/>
      <c r="E1282" s="1014"/>
      <c r="F1282" s="1014"/>
      <c r="G1282" s="1027"/>
      <c r="H1282" s="1027"/>
      <c r="I1282" s="1174"/>
      <c r="J1282" s="1174"/>
      <c r="K1282" s="1174"/>
      <c r="L1282" s="1172"/>
      <c r="M1282" s="1172"/>
      <c r="N1282" s="1175"/>
      <c r="O1282" s="143"/>
      <c r="P1282" s="1196"/>
      <c r="Q1282" s="141"/>
      <c r="R1282" s="141"/>
      <c r="S1282" s="148"/>
      <c r="T1282" s="419"/>
      <c r="U1282" s="559"/>
      <c r="V1282" s="141"/>
      <c r="W1282" s="141"/>
      <c r="X1282" s="141"/>
      <c r="Y1282" s="144"/>
      <c r="Z1282" s="141"/>
      <c r="AA1282" s="141"/>
      <c r="AB1282" s="141"/>
      <c r="AC1282" s="141"/>
      <c r="AD1282" s="141"/>
      <c r="AE1282" s="141"/>
      <c r="AF1282" s="145"/>
      <c r="AG1282" s="419"/>
    </row>
    <row r="1283" spans="1:33" s="139" customFormat="1" ht="12.75" customHeight="1" x14ac:dyDescent="0.2">
      <c r="A1283" s="141"/>
      <c r="B1283" s="141"/>
      <c r="C1283" s="141"/>
      <c r="D1283" s="141"/>
      <c r="E1283" s="1014"/>
      <c r="F1283" s="1014"/>
      <c r="G1283" s="1027"/>
      <c r="H1283" s="1027"/>
      <c r="I1283" s="1174"/>
      <c r="J1283" s="1174"/>
      <c r="K1283" s="1174"/>
      <c r="L1283" s="1172"/>
      <c r="M1283" s="1172"/>
      <c r="N1283" s="1175"/>
      <c r="O1283" s="143"/>
      <c r="P1283" s="1196"/>
      <c r="Q1283" s="141"/>
      <c r="R1283" s="141"/>
      <c r="S1283" s="148"/>
      <c r="T1283" s="419"/>
      <c r="U1283" s="559"/>
      <c r="V1283" s="141"/>
      <c r="W1283" s="141"/>
      <c r="X1283" s="141"/>
      <c r="Y1283" s="144"/>
      <c r="Z1283" s="141"/>
      <c r="AA1283" s="141"/>
      <c r="AB1283" s="141"/>
      <c r="AC1283" s="141"/>
      <c r="AD1283" s="141"/>
      <c r="AE1283" s="141"/>
      <c r="AF1283" s="145"/>
      <c r="AG1283" s="419"/>
    </row>
    <row r="1284" spans="1:33" s="139" customFormat="1" ht="12.75" customHeight="1" x14ac:dyDescent="0.2">
      <c r="A1284" s="141"/>
      <c r="B1284" s="141"/>
      <c r="C1284" s="141"/>
      <c r="D1284" s="141"/>
      <c r="E1284" s="1014"/>
      <c r="F1284" s="1014"/>
      <c r="G1284" s="1027"/>
      <c r="H1284" s="1027"/>
      <c r="I1284" s="1174"/>
      <c r="J1284" s="1174"/>
      <c r="K1284" s="1174"/>
      <c r="L1284" s="1172"/>
      <c r="M1284" s="1172"/>
      <c r="N1284" s="1175"/>
      <c r="O1284" s="143"/>
      <c r="P1284" s="1196"/>
      <c r="Q1284" s="141"/>
      <c r="R1284" s="141"/>
      <c r="S1284" s="148"/>
      <c r="T1284" s="419"/>
      <c r="U1284" s="559"/>
      <c r="V1284" s="141"/>
      <c r="W1284" s="141"/>
      <c r="X1284" s="141"/>
      <c r="Y1284" s="144"/>
      <c r="Z1284" s="141"/>
      <c r="AA1284" s="141"/>
      <c r="AB1284" s="141"/>
      <c r="AC1284" s="141"/>
      <c r="AD1284" s="141"/>
      <c r="AE1284" s="141"/>
      <c r="AF1284" s="145"/>
      <c r="AG1284" s="419"/>
    </row>
    <row r="1285" spans="1:33" s="139" customFormat="1" ht="12.75" customHeight="1" x14ac:dyDescent="0.2">
      <c r="A1285" s="141"/>
      <c r="B1285" s="141"/>
      <c r="C1285" s="141"/>
      <c r="D1285" s="141"/>
      <c r="E1285" s="1014"/>
      <c r="F1285" s="1014"/>
      <c r="G1285" s="1027"/>
      <c r="H1285" s="1027"/>
      <c r="I1285" s="1174"/>
      <c r="J1285" s="1174"/>
      <c r="K1285" s="1174"/>
      <c r="L1285" s="1172"/>
      <c r="M1285" s="1172"/>
      <c r="N1285" s="1175"/>
      <c r="O1285" s="143"/>
      <c r="P1285" s="1196"/>
      <c r="Q1285" s="141"/>
      <c r="R1285" s="141"/>
      <c r="S1285" s="148"/>
      <c r="T1285" s="419"/>
      <c r="U1285" s="559"/>
      <c r="V1285" s="141"/>
      <c r="W1285" s="141"/>
      <c r="X1285" s="141"/>
      <c r="Y1285" s="144"/>
      <c r="Z1285" s="141"/>
      <c r="AA1285" s="141"/>
      <c r="AB1285" s="141"/>
      <c r="AC1285" s="141"/>
      <c r="AD1285" s="141"/>
      <c r="AE1285" s="141"/>
      <c r="AF1285" s="145"/>
      <c r="AG1285" s="419"/>
    </row>
    <row r="1286" spans="1:33" s="139" customFormat="1" ht="12.75" customHeight="1" x14ac:dyDescent="0.2">
      <c r="A1286" s="141"/>
      <c r="B1286" s="141"/>
      <c r="C1286" s="141"/>
      <c r="D1286" s="141"/>
      <c r="E1286" s="1014"/>
      <c r="F1286" s="1014"/>
      <c r="G1286" s="1027"/>
      <c r="H1286" s="1027"/>
      <c r="I1286" s="1174"/>
      <c r="J1286" s="1174"/>
      <c r="K1286" s="1174"/>
      <c r="L1286" s="1172"/>
      <c r="M1286" s="1172"/>
      <c r="N1286" s="1175"/>
      <c r="O1286" s="143"/>
      <c r="P1286" s="1196"/>
      <c r="Q1286" s="141"/>
      <c r="R1286" s="141"/>
      <c r="S1286" s="148"/>
      <c r="T1286" s="419"/>
      <c r="U1286" s="559"/>
      <c r="V1286" s="141"/>
      <c r="W1286" s="141"/>
      <c r="X1286" s="141"/>
      <c r="Y1286" s="144"/>
      <c r="Z1286" s="141"/>
      <c r="AA1286" s="141"/>
      <c r="AB1286" s="141"/>
      <c r="AC1286" s="141"/>
      <c r="AD1286" s="141"/>
      <c r="AE1286" s="141"/>
      <c r="AF1286" s="145"/>
      <c r="AG1286" s="419"/>
    </row>
    <row r="1287" spans="1:33" s="139" customFormat="1" ht="12.75" customHeight="1" x14ac:dyDescent="0.2">
      <c r="A1287" s="141"/>
      <c r="B1287" s="141"/>
      <c r="C1287" s="141"/>
      <c r="D1287" s="141"/>
      <c r="E1287" s="1014"/>
      <c r="F1287" s="1014"/>
      <c r="G1287" s="1027"/>
      <c r="H1287" s="1027"/>
      <c r="I1287" s="1174"/>
      <c r="J1287" s="1174"/>
      <c r="K1287" s="1174"/>
      <c r="L1287" s="1172"/>
      <c r="M1287" s="1172"/>
      <c r="N1287" s="1175"/>
      <c r="O1287" s="143"/>
      <c r="P1287" s="1196"/>
      <c r="Q1287" s="141"/>
      <c r="R1287" s="141"/>
      <c r="S1287" s="148"/>
      <c r="T1287" s="419"/>
      <c r="U1287" s="559"/>
      <c r="V1287" s="141"/>
      <c r="W1287" s="141"/>
      <c r="X1287" s="141"/>
      <c r="Y1287" s="144"/>
      <c r="Z1287" s="141"/>
      <c r="AA1287" s="141"/>
      <c r="AB1287" s="141"/>
      <c r="AC1287" s="141"/>
      <c r="AD1287" s="141"/>
      <c r="AE1287" s="141"/>
      <c r="AF1287" s="145"/>
      <c r="AG1287" s="419"/>
    </row>
    <row r="1288" spans="1:33" s="139" customFormat="1" ht="12.75" customHeight="1" x14ac:dyDescent="0.2">
      <c r="A1288" s="141"/>
      <c r="B1288" s="141"/>
      <c r="C1288" s="141"/>
      <c r="D1288" s="141"/>
      <c r="E1288" s="1014"/>
      <c r="F1288" s="1014"/>
      <c r="G1288" s="1027"/>
      <c r="H1288" s="1027"/>
      <c r="I1288" s="1174"/>
      <c r="J1288" s="1174"/>
      <c r="K1288" s="1174"/>
      <c r="L1288" s="1172"/>
      <c r="M1288" s="1172"/>
      <c r="N1288" s="1175"/>
      <c r="O1288" s="143"/>
      <c r="P1288" s="1196"/>
      <c r="Q1288" s="141"/>
      <c r="R1288" s="141"/>
      <c r="S1288" s="148"/>
      <c r="T1288" s="419"/>
      <c r="U1288" s="559"/>
      <c r="V1288" s="141"/>
      <c r="W1288" s="141"/>
      <c r="X1288" s="141"/>
      <c r="Y1288" s="144"/>
      <c r="Z1288" s="141"/>
      <c r="AA1288" s="141"/>
      <c r="AB1288" s="141"/>
      <c r="AC1288" s="141"/>
      <c r="AD1288" s="141"/>
      <c r="AE1288" s="141"/>
      <c r="AF1288" s="145"/>
      <c r="AG1288" s="419"/>
    </row>
    <row r="1289" spans="1:33" s="139" customFormat="1" ht="12.75" customHeight="1" x14ac:dyDescent="0.2">
      <c r="A1289" s="141"/>
      <c r="B1289" s="141"/>
      <c r="C1289" s="141"/>
      <c r="D1289" s="141"/>
      <c r="E1289" s="1014"/>
      <c r="F1289" s="1014"/>
      <c r="G1289" s="1027"/>
      <c r="H1289" s="1027"/>
      <c r="I1289" s="1174"/>
      <c r="J1289" s="1174"/>
      <c r="K1289" s="1174"/>
      <c r="L1289" s="1172"/>
      <c r="M1289" s="1172"/>
      <c r="N1289" s="1175"/>
      <c r="O1289" s="143"/>
      <c r="P1289" s="1196"/>
      <c r="Q1289" s="141"/>
      <c r="R1289" s="141"/>
      <c r="S1289" s="148"/>
      <c r="T1289" s="419"/>
      <c r="U1289" s="559"/>
      <c r="V1289" s="141"/>
      <c r="W1289" s="141"/>
      <c r="X1289" s="141"/>
      <c r="Y1289" s="144"/>
      <c r="Z1289" s="141"/>
      <c r="AA1289" s="141"/>
      <c r="AB1289" s="141"/>
      <c r="AC1289" s="141"/>
      <c r="AD1289" s="141"/>
      <c r="AE1289" s="141"/>
      <c r="AF1289" s="145"/>
      <c r="AG1289" s="419"/>
    </row>
    <row r="1290" spans="1:33" s="139" customFormat="1" ht="12.75" customHeight="1" x14ac:dyDescent="0.2">
      <c r="A1290" s="141"/>
      <c r="B1290" s="141"/>
      <c r="C1290" s="141"/>
      <c r="D1290" s="141"/>
      <c r="E1290" s="1014"/>
      <c r="F1290" s="1014"/>
      <c r="G1290" s="1027"/>
      <c r="H1290" s="1027"/>
      <c r="I1290" s="1174"/>
      <c r="J1290" s="1174"/>
      <c r="K1290" s="1174"/>
      <c r="L1290" s="1172"/>
      <c r="M1290" s="1172"/>
      <c r="N1290" s="1175"/>
      <c r="O1290" s="143"/>
      <c r="P1290" s="1196"/>
      <c r="Q1290" s="141"/>
      <c r="R1290" s="141"/>
      <c r="S1290" s="148"/>
      <c r="T1290" s="419"/>
      <c r="U1290" s="559"/>
      <c r="V1290" s="141"/>
      <c r="W1290" s="141"/>
      <c r="X1290" s="141"/>
      <c r="Y1290" s="144"/>
      <c r="Z1290" s="141"/>
      <c r="AA1290" s="141"/>
      <c r="AB1290" s="141"/>
      <c r="AC1290" s="141"/>
      <c r="AD1290" s="141"/>
      <c r="AE1290" s="141"/>
      <c r="AF1290" s="145"/>
      <c r="AG1290" s="419"/>
    </row>
    <row r="1291" spans="1:33" s="139" customFormat="1" ht="12.75" customHeight="1" x14ac:dyDescent="0.2">
      <c r="A1291" s="141"/>
      <c r="B1291" s="141"/>
      <c r="C1291" s="141"/>
      <c r="D1291" s="141"/>
      <c r="E1291" s="1014"/>
      <c r="F1291" s="1014"/>
      <c r="G1291" s="1027"/>
      <c r="H1291" s="1027"/>
      <c r="I1291" s="1174"/>
      <c r="J1291" s="1174"/>
      <c r="K1291" s="1174"/>
      <c r="L1291" s="1172"/>
      <c r="M1291" s="1172"/>
      <c r="N1291" s="1175"/>
      <c r="O1291" s="143"/>
      <c r="P1291" s="1196"/>
      <c r="Q1291" s="141"/>
      <c r="R1291" s="141"/>
      <c r="S1291" s="148"/>
      <c r="T1291" s="419"/>
      <c r="U1291" s="559"/>
      <c r="V1291" s="141"/>
      <c r="W1291" s="141"/>
      <c r="X1291" s="141"/>
      <c r="Y1291" s="144"/>
      <c r="Z1291" s="141"/>
      <c r="AA1291" s="141"/>
      <c r="AB1291" s="141"/>
      <c r="AC1291" s="141"/>
      <c r="AD1291" s="141"/>
      <c r="AE1291" s="141"/>
      <c r="AF1291" s="145"/>
      <c r="AG1291" s="419"/>
    </row>
    <row r="1292" spans="1:33" s="139" customFormat="1" ht="12.75" customHeight="1" x14ac:dyDescent="0.2">
      <c r="A1292" s="141"/>
      <c r="B1292" s="141"/>
      <c r="C1292" s="141"/>
      <c r="D1292" s="141"/>
      <c r="E1292" s="1014"/>
      <c r="F1292" s="1014"/>
      <c r="G1292" s="1027"/>
      <c r="H1292" s="1027"/>
      <c r="I1292" s="1174"/>
      <c r="J1292" s="1174"/>
      <c r="K1292" s="1174"/>
      <c r="L1292" s="1172"/>
      <c r="M1292" s="1172"/>
      <c r="N1292" s="1175"/>
      <c r="O1292" s="143"/>
      <c r="P1292" s="1196"/>
      <c r="Q1292" s="141"/>
      <c r="R1292" s="141"/>
      <c r="S1292" s="148"/>
      <c r="T1292" s="419"/>
      <c r="U1292" s="559"/>
      <c r="V1292" s="141"/>
      <c r="W1292" s="141"/>
      <c r="X1292" s="141"/>
      <c r="Y1292" s="144"/>
      <c r="Z1292" s="141"/>
      <c r="AA1292" s="141"/>
      <c r="AB1292" s="141"/>
      <c r="AC1292" s="141"/>
      <c r="AD1292" s="141"/>
      <c r="AE1292" s="141"/>
      <c r="AF1292" s="145"/>
      <c r="AG1292" s="419"/>
    </row>
    <row r="1293" spans="1:33" s="139" customFormat="1" ht="12.75" customHeight="1" x14ac:dyDescent="0.2">
      <c r="A1293" s="141"/>
      <c r="B1293" s="141"/>
      <c r="C1293" s="141"/>
      <c r="D1293" s="141"/>
      <c r="E1293" s="1014"/>
      <c r="F1293" s="1014"/>
      <c r="G1293" s="1027"/>
      <c r="H1293" s="1027"/>
      <c r="I1293" s="1174"/>
      <c r="J1293" s="1174"/>
      <c r="K1293" s="1174"/>
      <c r="L1293" s="1172"/>
      <c r="M1293" s="1172"/>
      <c r="N1293" s="1175"/>
      <c r="O1293" s="143"/>
      <c r="P1293" s="1196"/>
      <c r="Q1293" s="141"/>
      <c r="R1293" s="141"/>
      <c r="S1293" s="148"/>
      <c r="T1293" s="419"/>
      <c r="U1293" s="559"/>
      <c r="V1293" s="141"/>
      <c r="W1293" s="141"/>
      <c r="X1293" s="141"/>
      <c r="Y1293" s="144"/>
      <c r="Z1293" s="141"/>
      <c r="AA1293" s="141"/>
      <c r="AB1293" s="141"/>
      <c r="AC1293" s="141"/>
      <c r="AD1293" s="141"/>
      <c r="AE1293" s="141"/>
      <c r="AF1293" s="145"/>
      <c r="AG1293" s="419"/>
    </row>
    <row r="1294" spans="1:33" s="139" customFormat="1" ht="12.75" customHeight="1" x14ac:dyDescent="0.2">
      <c r="A1294" s="141"/>
      <c r="B1294" s="141"/>
      <c r="C1294" s="141"/>
      <c r="D1294" s="141"/>
      <c r="E1294" s="1014"/>
      <c r="F1294" s="1014"/>
      <c r="G1294" s="1027"/>
      <c r="H1294" s="1027"/>
      <c r="I1294" s="1174"/>
      <c r="J1294" s="1174"/>
      <c r="K1294" s="1174"/>
      <c r="L1294" s="1172"/>
      <c r="M1294" s="1172"/>
      <c r="N1294" s="1175"/>
      <c r="O1294" s="143"/>
      <c r="P1294" s="1196"/>
      <c r="Q1294" s="141"/>
      <c r="R1294" s="141"/>
      <c r="S1294" s="148"/>
      <c r="T1294" s="419"/>
      <c r="U1294" s="559"/>
      <c r="V1294" s="141"/>
      <c r="W1294" s="141"/>
      <c r="X1294" s="141"/>
      <c r="Y1294" s="144"/>
      <c r="Z1294" s="141"/>
      <c r="AA1294" s="141"/>
      <c r="AB1294" s="141"/>
      <c r="AC1294" s="141"/>
      <c r="AD1294" s="141"/>
      <c r="AE1294" s="141"/>
      <c r="AF1294" s="145"/>
      <c r="AG1294" s="419"/>
    </row>
    <row r="1295" spans="1:33" s="139" customFormat="1" ht="12.75" customHeight="1" x14ac:dyDescent="0.2">
      <c r="A1295" s="141"/>
      <c r="B1295" s="141"/>
      <c r="C1295" s="141"/>
      <c r="D1295" s="141"/>
      <c r="E1295" s="1014"/>
      <c r="F1295" s="1014"/>
      <c r="G1295" s="1027"/>
      <c r="H1295" s="1027"/>
      <c r="I1295" s="1174"/>
      <c r="J1295" s="1174"/>
      <c r="K1295" s="1174"/>
      <c r="L1295" s="1172"/>
      <c r="M1295" s="1172"/>
      <c r="N1295" s="1175"/>
      <c r="O1295" s="143"/>
      <c r="P1295" s="1196"/>
      <c r="Q1295" s="141"/>
      <c r="R1295" s="141"/>
      <c r="S1295" s="148"/>
      <c r="T1295" s="419"/>
      <c r="U1295" s="559"/>
      <c r="V1295" s="141"/>
      <c r="W1295" s="141"/>
      <c r="X1295" s="141"/>
      <c r="Y1295" s="144"/>
      <c r="Z1295" s="141"/>
      <c r="AA1295" s="141"/>
      <c r="AB1295" s="141"/>
      <c r="AC1295" s="141"/>
      <c r="AD1295" s="141"/>
      <c r="AE1295" s="141"/>
      <c r="AF1295" s="145"/>
      <c r="AG1295" s="419"/>
    </row>
    <row r="1296" spans="1:33" s="139" customFormat="1" ht="12.75" customHeight="1" x14ac:dyDescent="0.2">
      <c r="A1296" s="141"/>
      <c r="B1296" s="141"/>
      <c r="C1296" s="141"/>
      <c r="D1296" s="141"/>
      <c r="E1296" s="1014"/>
      <c r="F1296" s="1014"/>
      <c r="G1296" s="1027"/>
      <c r="H1296" s="1027"/>
      <c r="I1296" s="1174"/>
      <c r="J1296" s="1174"/>
      <c r="K1296" s="1174"/>
      <c r="L1296" s="1172"/>
      <c r="M1296" s="1172"/>
      <c r="N1296" s="1175"/>
      <c r="O1296" s="143"/>
      <c r="P1296" s="1196"/>
      <c r="Q1296" s="141"/>
      <c r="R1296" s="141"/>
      <c r="S1296" s="148"/>
      <c r="T1296" s="419"/>
      <c r="U1296" s="559"/>
      <c r="V1296" s="141"/>
      <c r="W1296" s="141"/>
      <c r="X1296" s="141"/>
      <c r="Y1296" s="144"/>
      <c r="Z1296" s="141"/>
      <c r="AA1296" s="141"/>
      <c r="AB1296" s="141"/>
      <c r="AC1296" s="141"/>
      <c r="AD1296" s="141"/>
      <c r="AE1296" s="141"/>
      <c r="AF1296" s="145"/>
      <c r="AG1296" s="419"/>
    </row>
    <row r="1297" spans="1:33" s="139" customFormat="1" ht="12.75" customHeight="1" x14ac:dyDescent="0.2">
      <c r="A1297" s="141"/>
      <c r="B1297" s="141"/>
      <c r="C1297" s="141"/>
      <c r="D1297" s="141"/>
      <c r="E1297" s="1014"/>
      <c r="F1297" s="1014"/>
      <c r="G1297" s="1027"/>
      <c r="H1297" s="1027"/>
      <c r="I1297" s="1174"/>
      <c r="J1297" s="1174"/>
      <c r="K1297" s="1174"/>
      <c r="L1297" s="1172"/>
      <c r="M1297" s="1172"/>
      <c r="N1297" s="1175"/>
      <c r="O1297" s="143"/>
      <c r="P1297" s="1196"/>
      <c r="Q1297" s="141"/>
      <c r="R1297" s="141"/>
      <c r="S1297" s="148"/>
      <c r="T1297" s="419"/>
      <c r="U1297" s="559"/>
      <c r="V1297" s="141"/>
      <c r="W1297" s="141"/>
      <c r="X1297" s="141"/>
      <c r="Y1297" s="144"/>
      <c r="Z1297" s="141"/>
      <c r="AA1297" s="141"/>
      <c r="AB1297" s="141"/>
      <c r="AC1297" s="141"/>
      <c r="AD1297" s="141"/>
      <c r="AE1297" s="141"/>
      <c r="AF1297" s="145"/>
      <c r="AG1297" s="419"/>
    </row>
    <row r="1298" spans="1:33" s="139" customFormat="1" ht="12.75" customHeight="1" x14ac:dyDescent="0.2">
      <c r="A1298" s="141"/>
      <c r="B1298" s="141"/>
      <c r="C1298" s="141"/>
      <c r="D1298" s="141"/>
      <c r="E1298" s="1014"/>
      <c r="F1298" s="1014"/>
      <c r="G1298" s="1027"/>
      <c r="H1298" s="1027"/>
      <c r="I1298" s="1174"/>
      <c r="J1298" s="1174"/>
      <c r="K1298" s="1174"/>
      <c r="L1298" s="1172"/>
      <c r="M1298" s="1172"/>
      <c r="N1298" s="1175"/>
      <c r="O1298" s="143"/>
      <c r="P1298" s="1196"/>
      <c r="Q1298" s="141"/>
      <c r="R1298" s="141"/>
      <c r="S1298" s="148"/>
      <c r="T1298" s="419"/>
      <c r="U1298" s="559"/>
      <c r="V1298" s="141"/>
      <c r="W1298" s="141"/>
      <c r="X1298" s="141"/>
      <c r="Y1298" s="144"/>
      <c r="Z1298" s="141"/>
      <c r="AA1298" s="141"/>
      <c r="AB1298" s="141"/>
      <c r="AC1298" s="141"/>
      <c r="AD1298" s="141"/>
      <c r="AE1298" s="141"/>
      <c r="AF1298" s="145"/>
      <c r="AG1298" s="419"/>
    </row>
    <row r="1299" spans="1:33" s="139" customFormat="1" ht="12.75" customHeight="1" x14ac:dyDescent="0.2">
      <c r="A1299" s="141"/>
      <c r="B1299" s="141"/>
      <c r="C1299" s="141"/>
      <c r="D1299" s="141"/>
      <c r="E1299" s="1014"/>
      <c r="F1299" s="1014"/>
      <c r="G1299" s="1027"/>
      <c r="H1299" s="1027"/>
      <c r="I1299" s="1174"/>
      <c r="J1299" s="1174"/>
      <c r="K1299" s="1174"/>
      <c r="L1299" s="1172"/>
      <c r="M1299" s="1172"/>
      <c r="N1299" s="1175"/>
      <c r="O1299" s="143"/>
      <c r="P1299" s="1196"/>
      <c r="Q1299" s="141"/>
      <c r="R1299" s="141"/>
      <c r="S1299" s="148"/>
      <c r="T1299" s="419"/>
      <c r="U1299" s="559"/>
      <c r="V1299" s="141"/>
      <c r="W1299" s="141"/>
      <c r="X1299" s="141"/>
      <c r="Y1299" s="144"/>
      <c r="Z1299" s="141"/>
      <c r="AA1299" s="141"/>
      <c r="AB1299" s="141"/>
      <c r="AC1299" s="141"/>
      <c r="AD1299" s="141"/>
      <c r="AE1299" s="141"/>
      <c r="AF1299" s="145"/>
      <c r="AG1299" s="419"/>
    </row>
    <row r="1300" spans="1:33" s="139" customFormat="1" ht="12.75" customHeight="1" x14ac:dyDescent="0.2">
      <c r="A1300" s="141"/>
      <c r="B1300" s="141"/>
      <c r="C1300" s="141"/>
      <c r="D1300" s="141"/>
      <c r="E1300" s="1014"/>
      <c r="F1300" s="1014"/>
      <c r="G1300" s="1027"/>
      <c r="H1300" s="1027"/>
      <c r="I1300" s="1174"/>
      <c r="J1300" s="1174"/>
      <c r="K1300" s="1174"/>
      <c r="L1300" s="1172"/>
      <c r="M1300" s="1172"/>
      <c r="N1300" s="1175"/>
      <c r="O1300" s="143"/>
      <c r="P1300" s="1196"/>
      <c r="Q1300" s="141"/>
      <c r="R1300" s="141"/>
      <c r="S1300" s="148"/>
      <c r="T1300" s="419"/>
      <c r="U1300" s="559"/>
      <c r="V1300" s="141"/>
      <c r="W1300" s="141"/>
      <c r="X1300" s="141"/>
      <c r="Y1300" s="144"/>
      <c r="Z1300" s="141"/>
      <c r="AA1300" s="141"/>
      <c r="AB1300" s="141"/>
      <c r="AC1300" s="141"/>
      <c r="AD1300" s="141"/>
      <c r="AE1300" s="141"/>
      <c r="AF1300" s="145"/>
      <c r="AG1300" s="419"/>
    </row>
    <row r="1301" spans="1:33" s="139" customFormat="1" ht="12.75" customHeight="1" x14ac:dyDescent="0.2">
      <c r="A1301" s="141"/>
      <c r="B1301" s="141"/>
      <c r="C1301" s="141"/>
      <c r="D1301" s="141"/>
      <c r="E1301" s="1014"/>
      <c r="F1301" s="1014"/>
      <c r="G1301" s="1027"/>
      <c r="H1301" s="1027"/>
      <c r="I1301" s="1174"/>
      <c r="J1301" s="1174"/>
      <c r="K1301" s="1174"/>
      <c r="L1301" s="1172"/>
      <c r="M1301" s="1172"/>
      <c r="N1301" s="1175"/>
      <c r="O1301" s="143"/>
      <c r="P1301" s="1196"/>
      <c r="Q1301" s="141"/>
      <c r="R1301" s="141"/>
      <c r="S1301" s="148"/>
      <c r="T1301" s="419"/>
      <c r="U1301" s="559"/>
      <c r="V1301" s="141"/>
      <c r="W1301" s="141"/>
      <c r="X1301" s="141"/>
      <c r="Y1301" s="144"/>
      <c r="Z1301" s="141"/>
      <c r="AA1301" s="141"/>
      <c r="AB1301" s="141"/>
      <c r="AC1301" s="141"/>
      <c r="AD1301" s="141"/>
      <c r="AE1301" s="141"/>
      <c r="AF1301" s="145"/>
      <c r="AG1301" s="419"/>
    </row>
    <row r="1302" spans="1:33" s="139" customFormat="1" ht="12.75" customHeight="1" x14ac:dyDescent="0.2">
      <c r="A1302" s="141"/>
      <c r="B1302" s="141"/>
      <c r="C1302" s="141"/>
      <c r="D1302" s="141"/>
      <c r="E1302" s="1014"/>
      <c r="F1302" s="1014"/>
      <c r="G1302" s="1027"/>
      <c r="H1302" s="1027"/>
      <c r="I1302" s="1174"/>
      <c r="J1302" s="1174"/>
      <c r="K1302" s="1174"/>
      <c r="L1302" s="1172"/>
      <c r="M1302" s="1172"/>
      <c r="N1302" s="1175"/>
      <c r="O1302" s="143"/>
      <c r="P1302" s="1196"/>
      <c r="Q1302" s="141"/>
      <c r="R1302" s="141"/>
      <c r="S1302" s="148"/>
      <c r="T1302" s="419"/>
      <c r="U1302" s="559"/>
      <c r="V1302" s="141"/>
      <c r="W1302" s="141"/>
      <c r="X1302" s="141"/>
      <c r="Y1302" s="144"/>
      <c r="Z1302" s="141"/>
      <c r="AA1302" s="141"/>
      <c r="AB1302" s="141"/>
      <c r="AC1302" s="141"/>
      <c r="AD1302" s="141"/>
      <c r="AE1302" s="141"/>
      <c r="AF1302" s="145"/>
      <c r="AG1302" s="419"/>
    </row>
    <row r="1303" spans="1:33" s="139" customFormat="1" ht="12.75" customHeight="1" x14ac:dyDescent="0.2">
      <c r="A1303" s="141"/>
      <c r="B1303" s="141"/>
      <c r="C1303" s="141"/>
      <c r="D1303" s="141"/>
      <c r="E1303" s="1014"/>
      <c r="F1303" s="1014"/>
      <c r="G1303" s="1027"/>
      <c r="H1303" s="1027"/>
      <c r="I1303" s="1174"/>
      <c r="J1303" s="1174"/>
      <c r="K1303" s="1174"/>
      <c r="L1303" s="1172"/>
      <c r="M1303" s="1172"/>
      <c r="N1303" s="1175"/>
      <c r="O1303" s="143"/>
      <c r="P1303" s="1196"/>
      <c r="Q1303" s="141"/>
      <c r="R1303" s="141"/>
      <c r="S1303" s="148"/>
      <c r="T1303" s="419"/>
      <c r="U1303" s="559"/>
      <c r="V1303" s="141"/>
      <c r="W1303" s="141"/>
      <c r="X1303" s="141"/>
      <c r="Y1303" s="144"/>
      <c r="Z1303" s="141"/>
      <c r="AA1303" s="141"/>
      <c r="AB1303" s="141"/>
      <c r="AC1303" s="141"/>
      <c r="AD1303" s="141"/>
      <c r="AE1303" s="141"/>
      <c r="AF1303" s="145"/>
      <c r="AG1303" s="419"/>
    </row>
    <row r="1304" spans="1:33" s="139" customFormat="1" ht="12.75" customHeight="1" x14ac:dyDescent="0.2">
      <c r="A1304" s="141"/>
      <c r="B1304" s="141"/>
      <c r="C1304" s="141"/>
      <c r="D1304" s="141"/>
      <c r="E1304" s="1014"/>
      <c r="F1304" s="1014"/>
      <c r="G1304" s="1027"/>
      <c r="H1304" s="1027"/>
      <c r="I1304" s="1174"/>
      <c r="J1304" s="1174"/>
      <c r="K1304" s="1174"/>
      <c r="L1304" s="1172"/>
      <c r="M1304" s="1172"/>
      <c r="N1304" s="1175"/>
      <c r="O1304" s="143"/>
      <c r="P1304" s="1196"/>
      <c r="Q1304" s="141"/>
      <c r="R1304" s="141"/>
      <c r="S1304" s="148"/>
      <c r="T1304" s="419"/>
      <c r="U1304" s="559"/>
      <c r="V1304" s="141"/>
      <c r="W1304" s="141"/>
      <c r="X1304" s="141"/>
      <c r="Y1304" s="144"/>
      <c r="Z1304" s="141"/>
      <c r="AA1304" s="141"/>
      <c r="AB1304" s="141"/>
      <c r="AC1304" s="141"/>
      <c r="AD1304" s="141"/>
      <c r="AE1304" s="141"/>
      <c r="AF1304" s="145"/>
      <c r="AG1304" s="419"/>
    </row>
    <row r="1305" spans="1:33" s="139" customFormat="1" ht="12.75" customHeight="1" x14ac:dyDescent="0.2">
      <c r="A1305" s="141"/>
      <c r="B1305" s="141"/>
      <c r="C1305" s="141"/>
      <c r="D1305" s="141"/>
      <c r="E1305" s="1014"/>
      <c r="F1305" s="1014"/>
      <c r="G1305" s="1027"/>
      <c r="H1305" s="1027"/>
      <c r="I1305" s="1174"/>
      <c r="J1305" s="1174"/>
      <c r="K1305" s="1174"/>
      <c r="L1305" s="1172"/>
      <c r="M1305" s="1172"/>
      <c r="N1305" s="1175"/>
      <c r="O1305" s="143"/>
      <c r="P1305" s="1196"/>
      <c r="Q1305" s="141"/>
      <c r="R1305" s="141"/>
      <c r="S1305" s="148"/>
      <c r="T1305" s="419"/>
      <c r="U1305" s="559"/>
      <c r="V1305" s="141"/>
      <c r="W1305" s="141"/>
      <c r="X1305" s="141"/>
      <c r="Y1305" s="144"/>
      <c r="Z1305" s="141"/>
      <c r="AA1305" s="141"/>
      <c r="AB1305" s="141"/>
      <c r="AC1305" s="141"/>
      <c r="AD1305" s="141"/>
      <c r="AE1305" s="141"/>
      <c r="AF1305" s="145"/>
      <c r="AG1305" s="419"/>
    </row>
    <row r="1306" spans="1:33" s="139" customFormat="1" ht="12.75" customHeight="1" x14ac:dyDescent="0.2">
      <c r="A1306" s="141"/>
      <c r="B1306" s="141"/>
      <c r="C1306" s="141"/>
      <c r="D1306" s="141"/>
      <c r="E1306" s="1014"/>
      <c r="F1306" s="1014"/>
      <c r="G1306" s="1027"/>
      <c r="H1306" s="1027"/>
      <c r="I1306" s="1174"/>
      <c r="J1306" s="1174"/>
      <c r="K1306" s="1174"/>
      <c r="L1306" s="1172"/>
      <c r="M1306" s="1172"/>
      <c r="N1306" s="1175"/>
      <c r="O1306" s="143"/>
      <c r="P1306" s="1196"/>
      <c r="Q1306" s="141"/>
      <c r="R1306" s="141"/>
      <c r="S1306" s="148"/>
      <c r="T1306" s="419"/>
      <c r="U1306" s="559"/>
      <c r="V1306" s="141"/>
      <c r="W1306" s="141"/>
      <c r="X1306" s="141"/>
      <c r="Y1306" s="144"/>
      <c r="Z1306" s="141"/>
      <c r="AA1306" s="141"/>
      <c r="AB1306" s="141"/>
      <c r="AC1306" s="141"/>
      <c r="AD1306" s="141"/>
      <c r="AE1306" s="141"/>
      <c r="AF1306" s="145"/>
      <c r="AG1306" s="419"/>
    </row>
    <row r="1307" spans="1:33" s="139" customFormat="1" ht="12.75" customHeight="1" x14ac:dyDescent="0.2">
      <c r="A1307" s="141"/>
      <c r="B1307" s="141"/>
      <c r="C1307" s="141"/>
      <c r="D1307" s="141"/>
      <c r="E1307" s="1014"/>
      <c r="F1307" s="1014"/>
      <c r="G1307" s="1027"/>
      <c r="H1307" s="1027"/>
      <c r="I1307" s="1174"/>
      <c r="J1307" s="1174"/>
      <c r="K1307" s="1174"/>
      <c r="L1307" s="1172"/>
      <c r="M1307" s="1172"/>
      <c r="N1307" s="1175"/>
      <c r="O1307" s="143"/>
      <c r="P1307" s="1196"/>
      <c r="Q1307" s="141"/>
      <c r="R1307" s="141"/>
      <c r="S1307" s="148"/>
      <c r="T1307" s="419"/>
      <c r="U1307" s="559"/>
      <c r="V1307" s="141"/>
      <c r="W1307" s="141"/>
      <c r="X1307" s="141"/>
      <c r="Y1307" s="144"/>
      <c r="Z1307" s="141"/>
      <c r="AA1307" s="141"/>
      <c r="AB1307" s="141"/>
      <c r="AC1307" s="141"/>
      <c r="AD1307" s="141"/>
      <c r="AE1307" s="141"/>
      <c r="AF1307" s="145"/>
      <c r="AG1307" s="419"/>
    </row>
    <row r="1308" spans="1:33" s="139" customFormat="1" ht="12.75" customHeight="1" x14ac:dyDescent="0.2">
      <c r="A1308" s="141"/>
      <c r="B1308" s="141"/>
      <c r="C1308" s="141"/>
      <c r="D1308" s="141"/>
      <c r="E1308" s="1014"/>
      <c r="F1308" s="1014"/>
      <c r="G1308" s="1027"/>
      <c r="H1308" s="1027"/>
      <c r="I1308" s="1174"/>
      <c r="J1308" s="1174"/>
      <c r="K1308" s="1174"/>
      <c r="L1308" s="1172"/>
      <c r="M1308" s="1172"/>
      <c r="N1308" s="1175"/>
      <c r="O1308" s="143"/>
      <c r="P1308" s="1196"/>
      <c r="Q1308" s="141"/>
      <c r="R1308" s="141"/>
      <c r="S1308" s="148"/>
      <c r="T1308" s="419"/>
      <c r="U1308" s="559"/>
      <c r="V1308" s="141"/>
      <c r="W1308" s="141"/>
      <c r="X1308" s="141"/>
      <c r="Y1308" s="144"/>
      <c r="Z1308" s="141"/>
      <c r="AA1308" s="141"/>
      <c r="AB1308" s="141"/>
      <c r="AC1308" s="141"/>
      <c r="AD1308" s="141"/>
      <c r="AE1308" s="141"/>
      <c r="AF1308" s="145"/>
      <c r="AG1308" s="419"/>
    </row>
    <row r="1309" spans="1:33" s="139" customFormat="1" ht="12.75" customHeight="1" x14ac:dyDescent="0.2">
      <c r="A1309" s="141"/>
      <c r="B1309" s="141"/>
      <c r="C1309" s="141"/>
      <c r="D1309" s="141"/>
      <c r="E1309" s="1014"/>
      <c r="F1309" s="1014"/>
      <c r="G1309" s="1027"/>
      <c r="H1309" s="1027"/>
      <c r="I1309" s="1174"/>
      <c r="J1309" s="1174"/>
      <c r="K1309" s="1174"/>
      <c r="L1309" s="1172"/>
      <c r="M1309" s="1172"/>
      <c r="N1309" s="1175"/>
      <c r="O1309" s="143"/>
      <c r="P1309" s="1196"/>
      <c r="Q1309" s="141"/>
      <c r="R1309" s="141"/>
      <c r="S1309" s="148"/>
      <c r="T1309" s="419"/>
      <c r="U1309" s="559"/>
      <c r="V1309" s="141"/>
      <c r="W1309" s="141"/>
      <c r="X1309" s="141"/>
      <c r="Y1309" s="144"/>
      <c r="Z1309" s="141"/>
      <c r="AA1309" s="141"/>
      <c r="AB1309" s="141"/>
      <c r="AC1309" s="141"/>
      <c r="AD1309" s="141"/>
      <c r="AE1309" s="141"/>
      <c r="AF1309" s="145"/>
      <c r="AG1309" s="419"/>
    </row>
    <row r="1310" spans="1:33" s="139" customFormat="1" ht="12.75" customHeight="1" x14ac:dyDescent="0.2">
      <c r="A1310" s="141"/>
      <c r="B1310" s="141"/>
      <c r="C1310" s="141"/>
      <c r="D1310" s="141"/>
      <c r="E1310" s="1014"/>
      <c r="F1310" s="1014"/>
      <c r="G1310" s="1027"/>
      <c r="H1310" s="1027"/>
      <c r="I1310" s="1174"/>
      <c r="J1310" s="1174"/>
      <c r="K1310" s="1174"/>
      <c r="L1310" s="1172"/>
      <c r="M1310" s="1172"/>
      <c r="N1310" s="1175"/>
      <c r="O1310" s="143"/>
      <c r="P1310" s="1196"/>
      <c r="Q1310" s="141"/>
      <c r="R1310" s="141"/>
      <c r="S1310" s="148"/>
      <c r="T1310" s="419"/>
      <c r="U1310" s="559"/>
      <c r="V1310" s="141"/>
      <c r="W1310" s="141"/>
      <c r="X1310" s="141"/>
      <c r="Y1310" s="144"/>
      <c r="Z1310" s="141"/>
      <c r="AA1310" s="141"/>
      <c r="AB1310" s="141"/>
      <c r="AC1310" s="141"/>
      <c r="AD1310" s="141"/>
      <c r="AE1310" s="141"/>
      <c r="AF1310" s="145"/>
      <c r="AG1310" s="419"/>
    </row>
    <row r="1311" spans="1:33" s="139" customFormat="1" ht="12.75" customHeight="1" x14ac:dyDescent="0.2">
      <c r="A1311" s="141"/>
      <c r="B1311" s="141"/>
      <c r="C1311" s="141"/>
      <c r="D1311" s="141"/>
      <c r="E1311" s="1014"/>
      <c r="F1311" s="1014"/>
      <c r="G1311" s="1027"/>
      <c r="H1311" s="1027"/>
      <c r="I1311" s="1174"/>
      <c r="J1311" s="1174"/>
      <c r="K1311" s="1174"/>
      <c r="L1311" s="1172"/>
      <c r="M1311" s="1172"/>
      <c r="N1311" s="1175"/>
      <c r="O1311" s="143"/>
      <c r="P1311" s="1196"/>
      <c r="Q1311" s="141"/>
      <c r="R1311" s="141"/>
      <c r="S1311" s="148"/>
      <c r="T1311" s="419"/>
      <c r="U1311" s="559"/>
      <c r="V1311" s="141"/>
      <c r="W1311" s="141"/>
      <c r="X1311" s="141"/>
      <c r="Y1311" s="144"/>
      <c r="Z1311" s="141"/>
      <c r="AA1311" s="141"/>
      <c r="AB1311" s="141"/>
      <c r="AC1311" s="141"/>
      <c r="AD1311" s="141"/>
      <c r="AE1311" s="141"/>
      <c r="AF1311" s="145"/>
      <c r="AG1311" s="419"/>
    </row>
    <row r="1312" spans="1:33" s="139" customFormat="1" ht="12.75" customHeight="1" x14ac:dyDescent="0.2">
      <c r="A1312" s="141"/>
      <c r="B1312" s="141"/>
      <c r="C1312" s="141"/>
      <c r="D1312" s="141"/>
      <c r="E1312" s="1014"/>
      <c r="F1312" s="1014"/>
      <c r="G1312" s="1027"/>
      <c r="H1312" s="1027"/>
      <c r="I1312" s="1174"/>
      <c r="J1312" s="1174"/>
      <c r="K1312" s="1174"/>
      <c r="L1312" s="1172"/>
      <c r="M1312" s="1172"/>
      <c r="N1312" s="1175"/>
      <c r="O1312" s="143"/>
      <c r="P1312" s="1196"/>
      <c r="Q1312" s="141"/>
      <c r="R1312" s="141"/>
      <c r="S1312" s="148"/>
      <c r="T1312" s="419"/>
      <c r="U1312" s="559"/>
      <c r="V1312" s="141"/>
      <c r="W1312" s="141"/>
      <c r="X1312" s="141"/>
      <c r="Y1312" s="144"/>
      <c r="Z1312" s="141"/>
      <c r="AA1312" s="141"/>
      <c r="AB1312" s="141"/>
      <c r="AC1312" s="141"/>
      <c r="AD1312" s="141"/>
      <c r="AE1312" s="141"/>
      <c r="AF1312" s="145"/>
      <c r="AG1312" s="419"/>
    </row>
    <row r="1313" spans="1:33" s="139" customFormat="1" ht="12.75" customHeight="1" x14ac:dyDescent="0.2">
      <c r="A1313" s="141"/>
      <c r="B1313" s="141"/>
      <c r="C1313" s="141"/>
      <c r="D1313" s="141"/>
      <c r="E1313" s="1014"/>
      <c r="F1313" s="1014"/>
      <c r="G1313" s="1027"/>
      <c r="H1313" s="1027"/>
      <c r="I1313" s="1174"/>
      <c r="J1313" s="1174"/>
      <c r="K1313" s="1174"/>
      <c r="L1313" s="1172"/>
      <c r="M1313" s="1172"/>
      <c r="N1313" s="1175"/>
      <c r="O1313" s="143"/>
      <c r="P1313" s="1196"/>
      <c r="Q1313" s="141"/>
      <c r="R1313" s="141"/>
      <c r="S1313" s="148"/>
      <c r="T1313" s="419"/>
      <c r="U1313" s="559"/>
      <c r="V1313" s="141"/>
      <c r="W1313" s="141"/>
      <c r="X1313" s="141"/>
      <c r="Y1313" s="144"/>
      <c r="Z1313" s="141"/>
      <c r="AA1313" s="141"/>
      <c r="AB1313" s="141"/>
      <c r="AC1313" s="141"/>
      <c r="AD1313" s="141"/>
      <c r="AE1313" s="141"/>
      <c r="AF1313" s="145"/>
      <c r="AG1313" s="419"/>
    </row>
    <row r="1314" spans="1:33" s="139" customFormat="1" ht="12.75" customHeight="1" x14ac:dyDescent="0.2">
      <c r="A1314" s="141"/>
      <c r="B1314" s="141"/>
      <c r="C1314" s="141"/>
      <c r="D1314" s="141"/>
      <c r="E1314" s="1014"/>
      <c r="F1314" s="1014"/>
      <c r="G1314" s="1027"/>
      <c r="H1314" s="1027"/>
      <c r="I1314" s="1174"/>
      <c r="J1314" s="1174"/>
      <c r="K1314" s="1174"/>
      <c r="L1314" s="1172"/>
      <c r="M1314" s="1172"/>
      <c r="N1314" s="1175"/>
      <c r="O1314" s="143"/>
      <c r="P1314" s="1196"/>
      <c r="Q1314" s="141"/>
      <c r="R1314" s="141"/>
      <c r="S1314" s="148"/>
      <c r="T1314" s="419"/>
      <c r="U1314" s="559"/>
      <c r="V1314" s="141"/>
      <c r="W1314" s="141"/>
      <c r="X1314" s="141"/>
      <c r="Y1314" s="144"/>
      <c r="Z1314" s="141"/>
      <c r="AA1314" s="141"/>
      <c r="AB1314" s="141"/>
      <c r="AC1314" s="141"/>
      <c r="AD1314" s="141"/>
      <c r="AE1314" s="141"/>
      <c r="AF1314" s="145"/>
      <c r="AG1314" s="419"/>
    </row>
    <row r="1315" spans="1:33" s="139" customFormat="1" ht="12.75" customHeight="1" x14ac:dyDescent="0.2">
      <c r="A1315" s="141"/>
      <c r="B1315" s="141"/>
      <c r="C1315" s="141"/>
      <c r="D1315" s="141"/>
      <c r="E1315" s="1014"/>
      <c r="F1315" s="1014"/>
      <c r="G1315" s="1027"/>
      <c r="H1315" s="1027"/>
      <c r="I1315" s="1174"/>
      <c r="J1315" s="1174"/>
      <c r="K1315" s="1174"/>
      <c r="L1315" s="1172"/>
      <c r="M1315" s="1172"/>
      <c r="N1315" s="1175"/>
      <c r="O1315" s="143"/>
      <c r="P1315" s="1196"/>
      <c r="Q1315" s="141"/>
      <c r="R1315" s="141"/>
      <c r="S1315" s="148"/>
      <c r="T1315" s="419"/>
      <c r="U1315" s="559"/>
      <c r="V1315" s="141"/>
      <c r="W1315" s="141"/>
      <c r="X1315" s="141"/>
      <c r="Y1315" s="144"/>
      <c r="Z1315" s="141"/>
      <c r="AA1315" s="141"/>
      <c r="AB1315" s="141"/>
      <c r="AC1315" s="141"/>
      <c r="AD1315" s="141"/>
      <c r="AE1315" s="141"/>
      <c r="AF1315" s="145"/>
      <c r="AG1315" s="419"/>
    </row>
    <row r="1316" spans="1:33" s="139" customFormat="1" ht="12.75" customHeight="1" x14ac:dyDescent="0.2">
      <c r="A1316" s="141"/>
      <c r="B1316" s="141"/>
      <c r="C1316" s="141"/>
      <c r="D1316" s="141"/>
      <c r="E1316" s="1014"/>
      <c r="F1316" s="1014"/>
      <c r="G1316" s="1027"/>
      <c r="H1316" s="1027"/>
      <c r="I1316" s="1174"/>
      <c r="J1316" s="1174"/>
      <c r="K1316" s="1174"/>
      <c r="L1316" s="1172"/>
      <c r="M1316" s="1172"/>
      <c r="N1316" s="1175"/>
      <c r="O1316" s="143"/>
      <c r="P1316" s="1196"/>
      <c r="Q1316" s="141"/>
      <c r="R1316" s="141"/>
      <c r="S1316" s="148"/>
      <c r="T1316" s="419"/>
      <c r="U1316" s="559"/>
      <c r="V1316" s="141"/>
      <c r="W1316" s="141"/>
      <c r="X1316" s="141"/>
      <c r="Y1316" s="144"/>
      <c r="Z1316" s="141"/>
      <c r="AA1316" s="141"/>
      <c r="AB1316" s="141"/>
      <c r="AC1316" s="141"/>
      <c r="AD1316" s="141"/>
      <c r="AE1316" s="141"/>
      <c r="AF1316" s="145"/>
      <c r="AG1316" s="419"/>
    </row>
    <row r="1317" spans="1:33" s="139" customFormat="1" ht="12.75" customHeight="1" x14ac:dyDescent="0.2">
      <c r="A1317" s="141"/>
      <c r="B1317" s="141"/>
      <c r="C1317" s="141"/>
      <c r="D1317" s="141"/>
      <c r="E1317" s="1014"/>
      <c r="F1317" s="1014"/>
      <c r="G1317" s="1027"/>
      <c r="H1317" s="1027"/>
      <c r="I1317" s="1174"/>
      <c r="J1317" s="1174"/>
      <c r="K1317" s="1174"/>
      <c r="L1317" s="1172"/>
      <c r="M1317" s="1172"/>
      <c r="N1317" s="1175"/>
      <c r="O1317" s="143"/>
      <c r="P1317" s="1196"/>
      <c r="Q1317" s="141"/>
      <c r="R1317" s="141"/>
      <c r="S1317" s="148"/>
      <c r="T1317" s="419"/>
      <c r="U1317" s="559"/>
      <c r="V1317" s="141"/>
      <c r="W1317" s="141"/>
      <c r="X1317" s="141"/>
      <c r="Y1317" s="144"/>
      <c r="Z1317" s="141"/>
      <c r="AA1317" s="141"/>
      <c r="AB1317" s="141"/>
      <c r="AC1317" s="141"/>
      <c r="AD1317" s="141"/>
      <c r="AE1317" s="141"/>
      <c r="AF1317" s="145"/>
      <c r="AG1317" s="419"/>
    </row>
    <row r="1318" spans="1:33" s="139" customFormat="1" ht="12.75" customHeight="1" x14ac:dyDescent="0.2">
      <c r="A1318" s="141"/>
      <c r="B1318" s="141"/>
      <c r="C1318" s="141"/>
      <c r="D1318" s="141"/>
      <c r="E1318" s="1014"/>
      <c r="F1318" s="1014"/>
      <c r="G1318" s="1027"/>
      <c r="H1318" s="1027"/>
      <c r="I1318" s="1174"/>
      <c r="J1318" s="1174"/>
      <c r="K1318" s="1174"/>
      <c r="L1318" s="1172"/>
      <c r="M1318" s="1172"/>
      <c r="N1318" s="1175"/>
      <c r="O1318" s="143"/>
      <c r="P1318" s="1196"/>
      <c r="Q1318" s="141"/>
      <c r="R1318" s="141"/>
      <c r="S1318" s="148"/>
      <c r="T1318" s="419"/>
      <c r="U1318" s="559"/>
      <c r="V1318" s="141"/>
      <c r="W1318" s="141"/>
      <c r="X1318" s="141"/>
      <c r="Y1318" s="144"/>
      <c r="Z1318" s="141"/>
      <c r="AA1318" s="141"/>
      <c r="AB1318" s="141"/>
      <c r="AC1318" s="141"/>
      <c r="AD1318" s="141"/>
      <c r="AE1318" s="141"/>
      <c r="AF1318" s="145"/>
      <c r="AG1318" s="419"/>
    </row>
    <row r="1319" spans="1:33" s="139" customFormat="1" ht="12.75" customHeight="1" x14ac:dyDescent="0.2">
      <c r="A1319" s="141"/>
      <c r="B1319" s="141"/>
      <c r="C1319" s="141"/>
      <c r="D1319" s="141"/>
      <c r="E1319" s="1014"/>
      <c r="F1319" s="1014"/>
      <c r="G1319" s="1027"/>
      <c r="H1319" s="1027"/>
      <c r="I1319" s="1174"/>
      <c r="J1319" s="1174"/>
      <c r="K1319" s="1174"/>
      <c r="L1319" s="1172"/>
      <c r="M1319" s="1172"/>
      <c r="N1319" s="1175"/>
      <c r="O1319" s="143"/>
      <c r="P1319" s="1196"/>
      <c r="Q1319" s="141"/>
      <c r="R1319" s="141"/>
      <c r="S1319" s="148"/>
      <c r="T1319" s="419"/>
      <c r="U1319" s="559"/>
      <c r="V1319" s="141"/>
      <c r="W1319" s="141"/>
      <c r="X1319" s="141"/>
      <c r="Y1319" s="144"/>
      <c r="Z1319" s="141"/>
      <c r="AA1319" s="141"/>
      <c r="AB1319" s="141"/>
      <c r="AC1319" s="141"/>
      <c r="AD1319" s="141"/>
      <c r="AE1319" s="141"/>
      <c r="AF1319" s="145"/>
      <c r="AG1319" s="419"/>
    </row>
    <row r="1320" spans="1:33" s="139" customFormat="1" ht="12.75" customHeight="1" x14ac:dyDescent="0.2">
      <c r="A1320" s="141"/>
      <c r="B1320" s="141"/>
      <c r="C1320" s="141"/>
      <c r="D1320" s="141"/>
      <c r="E1320" s="1014"/>
      <c r="F1320" s="1014"/>
      <c r="G1320" s="1027"/>
      <c r="H1320" s="1027"/>
      <c r="I1320" s="1174"/>
      <c r="J1320" s="1174"/>
      <c r="K1320" s="1174"/>
      <c r="L1320" s="1172"/>
      <c r="M1320" s="1172"/>
      <c r="N1320" s="1175"/>
      <c r="O1320" s="143"/>
      <c r="P1320" s="1196"/>
      <c r="Q1320" s="141"/>
      <c r="R1320" s="141"/>
      <c r="S1320" s="148"/>
      <c r="T1320" s="419"/>
      <c r="U1320" s="559"/>
      <c r="V1320" s="141"/>
      <c r="W1320" s="141"/>
      <c r="X1320" s="141"/>
      <c r="Y1320" s="144"/>
      <c r="Z1320" s="141"/>
      <c r="AA1320" s="141"/>
      <c r="AB1320" s="141"/>
      <c r="AC1320" s="141"/>
      <c r="AD1320" s="141"/>
      <c r="AE1320" s="141"/>
      <c r="AF1320" s="145"/>
      <c r="AG1320" s="419"/>
    </row>
    <row r="1321" spans="1:33" s="139" customFormat="1" ht="12.75" customHeight="1" x14ac:dyDescent="0.2">
      <c r="A1321" s="141"/>
      <c r="B1321" s="141"/>
      <c r="C1321" s="141"/>
      <c r="D1321" s="141"/>
      <c r="E1321" s="1014"/>
      <c r="F1321" s="1014"/>
      <c r="G1321" s="1027"/>
      <c r="H1321" s="1027"/>
      <c r="I1321" s="1174"/>
      <c r="J1321" s="1174"/>
      <c r="K1321" s="1174"/>
      <c r="L1321" s="1172"/>
      <c r="M1321" s="1172"/>
      <c r="N1321" s="1175"/>
      <c r="O1321" s="143"/>
      <c r="P1321" s="1196"/>
      <c r="Q1321" s="141"/>
      <c r="R1321" s="141"/>
      <c r="S1321" s="148"/>
      <c r="T1321" s="419"/>
      <c r="U1321" s="559"/>
      <c r="V1321" s="141"/>
      <c r="W1321" s="141"/>
      <c r="X1321" s="141"/>
      <c r="Y1321" s="144"/>
      <c r="Z1321" s="141"/>
      <c r="AA1321" s="141"/>
      <c r="AB1321" s="141"/>
      <c r="AC1321" s="141"/>
      <c r="AD1321" s="141"/>
      <c r="AE1321" s="141"/>
      <c r="AF1321" s="145"/>
      <c r="AG1321" s="419"/>
    </row>
    <row r="1322" spans="1:33" s="139" customFormat="1" ht="12.75" customHeight="1" x14ac:dyDescent="0.2">
      <c r="A1322" s="141"/>
      <c r="B1322" s="141"/>
      <c r="C1322" s="141"/>
      <c r="D1322" s="141"/>
      <c r="E1322" s="1014"/>
      <c r="F1322" s="1014"/>
      <c r="G1322" s="1027"/>
      <c r="H1322" s="1027"/>
      <c r="I1322" s="1174"/>
      <c r="J1322" s="1174"/>
      <c r="K1322" s="1174"/>
      <c r="L1322" s="1172"/>
      <c r="M1322" s="1172"/>
      <c r="N1322" s="1175"/>
      <c r="O1322" s="143"/>
      <c r="P1322" s="1196"/>
      <c r="Q1322" s="141"/>
      <c r="R1322" s="141"/>
      <c r="S1322" s="148"/>
      <c r="T1322" s="419"/>
      <c r="U1322" s="559"/>
      <c r="V1322" s="141"/>
      <c r="W1322" s="141"/>
      <c r="X1322" s="141"/>
      <c r="Y1322" s="144"/>
      <c r="Z1322" s="141"/>
      <c r="AA1322" s="141"/>
      <c r="AB1322" s="141"/>
      <c r="AC1322" s="141"/>
      <c r="AD1322" s="141"/>
      <c r="AE1322" s="141"/>
      <c r="AF1322" s="145"/>
      <c r="AG1322" s="419"/>
    </row>
    <row r="1323" spans="1:33" s="139" customFormat="1" ht="12.75" customHeight="1" x14ac:dyDescent="0.2">
      <c r="A1323" s="141"/>
      <c r="B1323" s="141"/>
      <c r="C1323" s="141"/>
      <c r="D1323" s="141"/>
      <c r="E1323" s="1014"/>
      <c r="F1323" s="1014"/>
      <c r="G1323" s="1027"/>
      <c r="H1323" s="1027"/>
      <c r="I1323" s="1174"/>
      <c r="J1323" s="1174"/>
      <c r="K1323" s="1174"/>
      <c r="L1323" s="1172"/>
      <c r="M1323" s="1172"/>
      <c r="N1323" s="1175"/>
      <c r="O1323" s="143"/>
      <c r="P1323" s="1196"/>
      <c r="Q1323" s="141"/>
      <c r="R1323" s="141"/>
      <c r="S1323" s="148"/>
      <c r="T1323" s="419"/>
      <c r="U1323" s="559"/>
      <c r="V1323" s="141"/>
      <c r="W1323" s="141"/>
      <c r="X1323" s="141"/>
      <c r="Y1323" s="144"/>
      <c r="Z1323" s="141"/>
      <c r="AA1323" s="141"/>
      <c r="AB1323" s="141"/>
      <c r="AC1323" s="141"/>
      <c r="AD1323" s="141"/>
      <c r="AE1323" s="141"/>
      <c r="AF1323" s="145"/>
      <c r="AG1323" s="419"/>
    </row>
    <row r="1324" spans="1:33" s="139" customFormat="1" ht="12.75" customHeight="1" x14ac:dyDescent="0.2">
      <c r="A1324" s="141"/>
      <c r="B1324" s="141"/>
      <c r="C1324" s="141"/>
      <c r="D1324" s="141"/>
      <c r="E1324" s="1014"/>
      <c r="F1324" s="1014"/>
      <c r="G1324" s="1027"/>
      <c r="H1324" s="1027"/>
      <c r="I1324" s="1174"/>
      <c r="J1324" s="1174"/>
      <c r="K1324" s="1174"/>
      <c r="L1324" s="1172"/>
      <c r="M1324" s="1172"/>
      <c r="N1324" s="1175"/>
      <c r="O1324" s="143"/>
      <c r="P1324" s="1196"/>
      <c r="Q1324" s="141"/>
      <c r="R1324" s="141"/>
      <c r="S1324" s="148"/>
      <c r="T1324" s="419"/>
      <c r="U1324" s="559"/>
      <c r="V1324" s="141"/>
      <c r="W1324" s="141"/>
      <c r="X1324" s="141"/>
      <c r="Y1324" s="144"/>
      <c r="Z1324" s="141"/>
      <c r="AA1324" s="141"/>
      <c r="AB1324" s="141"/>
      <c r="AC1324" s="141"/>
      <c r="AD1324" s="141"/>
      <c r="AE1324" s="141"/>
      <c r="AF1324" s="145"/>
      <c r="AG1324" s="419"/>
    </row>
    <row r="1325" spans="1:33" s="139" customFormat="1" ht="12.75" customHeight="1" x14ac:dyDescent="0.2">
      <c r="A1325" s="141"/>
      <c r="B1325" s="141"/>
      <c r="C1325" s="141"/>
      <c r="D1325" s="141"/>
      <c r="E1325" s="1014"/>
      <c r="F1325" s="1014"/>
      <c r="G1325" s="1027"/>
      <c r="H1325" s="1027"/>
      <c r="I1325" s="1174"/>
      <c r="J1325" s="1174"/>
      <c r="K1325" s="1174"/>
      <c r="L1325" s="1172"/>
      <c r="M1325" s="1172"/>
      <c r="N1325" s="1175"/>
      <c r="O1325" s="143"/>
      <c r="P1325" s="1196"/>
      <c r="Q1325" s="141"/>
      <c r="R1325" s="141"/>
      <c r="S1325" s="148"/>
      <c r="T1325" s="419"/>
      <c r="U1325" s="559"/>
      <c r="V1325" s="141"/>
      <c r="W1325" s="141"/>
      <c r="X1325" s="141"/>
      <c r="Y1325" s="144"/>
      <c r="Z1325" s="141"/>
      <c r="AA1325" s="141"/>
      <c r="AB1325" s="141"/>
      <c r="AC1325" s="141"/>
      <c r="AD1325" s="141"/>
      <c r="AE1325" s="141"/>
      <c r="AF1325" s="145"/>
      <c r="AG1325" s="419"/>
    </row>
    <row r="1326" spans="1:33" s="139" customFormat="1" ht="12.75" customHeight="1" x14ac:dyDescent="0.2">
      <c r="A1326" s="141"/>
      <c r="B1326" s="141"/>
      <c r="C1326" s="141"/>
      <c r="D1326" s="141"/>
      <c r="E1326" s="1014"/>
      <c r="F1326" s="1014"/>
      <c r="G1326" s="1027"/>
      <c r="H1326" s="1027"/>
      <c r="I1326" s="1174"/>
      <c r="J1326" s="1174"/>
      <c r="K1326" s="1174"/>
      <c r="L1326" s="1172"/>
      <c r="M1326" s="1172"/>
      <c r="N1326" s="1175"/>
      <c r="O1326" s="143"/>
      <c r="P1326" s="1196"/>
      <c r="Q1326" s="141"/>
      <c r="R1326" s="141"/>
      <c r="S1326" s="148"/>
      <c r="T1326" s="419"/>
      <c r="U1326" s="559"/>
      <c r="V1326" s="141"/>
      <c r="W1326" s="141"/>
      <c r="X1326" s="141"/>
      <c r="Y1326" s="144"/>
      <c r="Z1326" s="141"/>
      <c r="AA1326" s="141"/>
      <c r="AB1326" s="141"/>
      <c r="AC1326" s="141"/>
      <c r="AD1326" s="141"/>
      <c r="AE1326" s="141"/>
      <c r="AF1326" s="145"/>
      <c r="AG1326" s="419"/>
    </row>
    <row r="1327" spans="1:33" s="139" customFormat="1" ht="12.75" customHeight="1" x14ac:dyDescent="0.2">
      <c r="A1327" s="141"/>
      <c r="B1327" s="141"/>
      <c r="C1327" s="141"/>
      <c r="D1327" s="141"/>
      <c r="E1327" s="1014"/>
      <c r="F1327" s="1014"/>
      <c r="G1327" s="1027"/>
      <c r="H1327" s="1027"/>
      <c r="I1327" s="1174"/>
      <c r="J1327" s="1174"/>
      <c r="K1327" s="1174"/>
      <c r="L1327" s="1172"/>
      <c r="M1327" s="1172"/>
      <c r="N1327" s="1175"/>
      <c r="O1327" s="143"/>
      <c r="P1327" s="1196"/>
      <c r="Q1327" s="141"/>
      <c r="R1327" s="141"/>
      <c r="S1327" s="148"/>
      <c r="T1327" s="419"/>
      <c r="U1327" s="559"/>
      <c r="V1327" s="141"/>
      <c r="W1327" s="141"/>
      <c r="X1327" s="141"/>
      <c r="Y1327" s="144"/>
      <c r="Z1327" s="141"/>
      <c r="AA1327" s="141"/>
      <c r="AB1327" s="141"/>
      <c r="AC1327" s="141"/>
      <c r="AD1327" s="141"/>
      <c r="AE1327" s="141"/>
      <c r="AF1327" s="145"/>
      <c r="AG1327" s="419"/>
    </row>
    <row r="1328" spans="1:33" s="139" customFormat="1" ht="12.75" customHeight="1" x14ac:dyDescent="0.2">
      <c r="A1328" s="141"/>
      <c r="B1328" s="141"/>
      <c r="C1328" s="141"/>
      <c r="D1328" s="141"/>
      <c r="E1328" s="1014"/>
      <c r="F1328" s="1014"/>
      <c r="G1328" s="1027"/>
      <c r="H1328" s="1027"/>
      <c r="I1328" s="1174"/>
      <c r="J1328" s="1174"/>
      <c r="K1328" s="1174"/>
      <c r="L1328" s="1172"/>
      <c r="M1328" s="1172"/>
      <c r="N1328" s="1175"/>
      <c r="O1328" s="143"/>
      <c r="P1328" s="1196"/>
      <c r="Q1328" s="141"/>
      <c r="R1328" s="141"/>
      <c r="S1328" s="148"/>
      <c r="T1328" s="419"/>
      <c r="U1328" s="559"/>
      <c r="V1328" s="141"/>
      <c r="W1328" s="141"/>
      <c r="X1328" s="141"/>
      <c r="Y1328" s="144"/>
      <c r="Z1328" s="141"/>
      <c r="AA1328" s="141"/>
      <c r="AB1328" s="141"/>
      <c r="AC1328" s="141"/>
      <c r="AD1328" s="141"/>
      <c r="AE1328" s="141"/>
      <c r="AF1328" s="145"/>
      <c r="AG1328" s="419"/>
    </row>
    <row r="1329" spans="1:33" s="139" customFormat="1" ht="12.75" customHeight="1" x14ac:dyDescent="0.2">
      <c r="A1329" s="141"/>
      <c r="B1329" s="141"/>
      <c r="C1329" s="141"/>
      <c r="D1329" s="141"/>
      <c r="E1329" s="1014"/>
      <c r="F1329" s="1014"/>
      <c r="G1329" s="1027"/>
      <c r="H1329" s="1027"/>
      <c r="I1329" s="1174"/>
      <c r="J1329" s="1174"/>
      <c r="K1329" s="1174"/>
      <c r="L1329" s="1172"/>
      <c r="M1329" s="1172"/>
      <c r="N1329" s="1175"/>
      <c r="O1329" s="143"/>
      <c r="P1329" s="1196"/>
      <c r="Q1329" s="141"/>
      <c r="R1329" s="141"/>
      <c r="S1329" s="148"/>
      <c r="T1329" s="419"/>
      <c r="U1329" s="559"/>
      <c r="V1329" s="141"/>
      <c r="W1329" s="141"/>
      <c r="X1329" s="141"/>
      <c r="Y1329" s="144"/>
      <c r="Z1329" s="141"/>
      <c r="AA1329" s="141"/>
      <c r="AB1329" s="141"/>
      <c r="AC1329" s="141"/>
      <c r="AD1329" s="141"/>
      <c r="AE1329" s="141"/>
      <c r="AF1329" s="145"/>
      <c r="AG1329" s="419"/>
    </row>
    <row r="1330" spans="1:33" s="139" customFormat="1" ht="12.75" customHeight="1" x14ac:dyDescent="0.2">
      <c r="A1330" s="141"/>
      <c r="B1330" s="141"/>
      <c r="C1330" s="141"/>
      <c r="D1330" s="141"/>
      <c r="E1330" s="1014"/>
      <c r="F1330" s="1014"/>
      <c r="G1330" s="1027"/>
      <c r="H1330" s="1027"/>
      <c r="I1330" s="1174"/>
      <c r="J1330" s="1174"/>
      <c r="K1330" s="1174"/>
      <c r="L1330" s="1172"/>
      <c r="M1330" s="1172"/>
      <c r="N1330" s="1175"/>
      <c r="O1330" s="143"/>
      <c r="P1330" s="1196"/>
      <c r="Q1330" s="141"/>
      <c r="R1330" s="141"/>
      <c r="S1330" s="148"/>
      <c r="T1330" s="419"/>
      <c r="U1330" s="559"/>
      <c r="V1330" s="141"/>
      <c r="W1330" s="141"/>
      <c r="X1330" s="141"/>
      <c r="Y1330" s="144"/>
      <c r="Z1330" s="141"/>
      <c r="AA1330" s="141"/>
      <c r="AB1330" s="141"/>
      <c r="AC1330" s="141"/>
      <c r="AD1330" s="141"/>
      <c r="AE1330" s="141"/>
      <c r="AF1330" s="145"/>
      <c r="AG1330" s="419"/>
    </row>
    <row r="1331" spans="1:33" s="139" customFormat="1" ht="12.75" customHeight="1" x14ac:dyDescent="0.2">
      <c r="A1331" s="141"/>
      <c r="B1331" s="141"/>
      <c r="C1331" s="141"/>
      <c r="D1331" s="141"/>
      <c r="E1331" s="1014"/>
      <c r="F1331" s="1014"/>
      <c r="G1331" s="1027"/>
      <c r="H1331" s="1027"/>
      <c r="I1331" s="1174"/>
      <c r="J1331" s="1174"/>
      <c r="K1331" s="1174"/>
      <c r="L1331" s="1172"/>
      <c r="M1331" s="1172"/>
      <c r="N1331" s="1175"/>
      <c r="O1331" s="143"/>
      <c r="P1331" s="1196"/>
      <c r="Q1331" s="141"/>
      <c r="R1331" s="141"/>
      <c r="S1331" s="148"/>
      <c r="T1331" s="419"/>
      <c r="U1331" s="559"/>
      <c r="V1331" s="141"/>
      <c r="W1331" s="141"/>
      <c r="X1331" s="141"/>
      <c r="Y1331" s="144"/>
      <c r="Z1331" s="141"/>
      <c r="AA1331" s="141"/>
      <c r="AB1331" s="141"/>
      <c r="AC1331" s="141"/>
      <c r="AD1331" s="141"/>
      <c r="AE1331" s="141"/>
      <c r="AF1331" s="145"/>
      <c r="AG1331" s="419"/>
    </row>
    <row r="1332" spans="1:33" s="139" customFormat="1" ht="12.75" customHeight="1" x14ac:dyDescent="0.2">
      <c r="A1332" s="141"/>
      <c r="B1332" s="141"/>
      <c r="C1332" s="141"/>
      <c r="D1332" s="141"/>
      <c r="E1332" s="1014"/>
      <c r="F1332" s="1014"/>
      <c r="G1332" s="1027"/>
      <c r="H1332" s="1027"/>
      <c r="I1332" s="1174"/>
      <c r="J1332" s="1174"/>
      <c r="K1332" s="1174"/>
      <c r="L1332" s="1172"/>
      <c r="M1332" s="1172"/>
      <c r="N1332" s="1175"/>
      <c r="O1332" s="143"/>
      <c r="P1332" s="1196"/>
      <c r="Q1332" s="141"/>
      <c r="R1332" s="141"/>
      <c r="S1332" s="148"/>
      <c r="T1332" s="419"/>
      <c r="U1332" s="559"/>
      <c r="V1332" s="141"/>
      <c r="W1332" s="141"/>
      <c r="X1332" s="141"/>
      <c r="Y1332" s="144"/>
      <c r="Z1332" s="141"/>
      <c r="AA1332" s="141"/>
      <c r="AB1332" s="141"/>
      <c r="AC1332" s="141"/>
      <c r="AD1332" s="141"/>
      <c r="AE1332" s="141"/>
      <c r="AF1332" s="145"/>
      <c r="AG1332" s="419"/>
    </row>
    <row r="1333" spans="1:33" s="139" customFormat="1" ht="12.75" customHeight="1" x14ac:dyDescent="0.2">
      <c r="A1333" s="141"/>
      <c r="B1333" s="141"/>
      <c r="C1333" s="141"/>
      <c r="D1333" s="141"/>
      <c r="E1333" s="1014"/>
      <c r="F1333" s="1014"/>
      <c r="G1333" s="1027"/>
      <c r="H1333" s="1027"/>
      <c r="I1333" s="1174"/>
      <c r="J1333" s="1174"/>
      <c r="K1333" s="1174"/>
      <c r="L1333" s="1172"/>
      <c r="M1333" s="1172"/>
      <c r="N1333" s="1175"/>
      <c r="O1333" s="143"/>
      <c r="P1333" s="1196"/>
      <c r="Q1333" s="141"/>
      <c r="R1333" s="141"/>
      <c r="S1333" s="148"/>
      <c r="T1333" s="419"/>
      <c r="U1333" s="559"/>
      <c r="V1333" s="141"/>
      <c r="W1333" s="141"/>
      <c r="X1333" s="141"/>
      <c r="Y1333" s="144"/>
      <c r="Z1333" s="141"/>
      <c r="AA1333" s="141"/>
      <c r="AB1333" s="141"/>
      <c r="AC1333" s="141"/>
      <c r="AD1333" s="141"/>
      <c r="AE1333" s="141"/>
      <c r="AF1333" s="145"/>
      <c r="AG1333" s="419"/>
    </row>
    <row r="1334" spans="1:33" s="139" customFormat="1" ht="12.75" customHeight="1" x14ac:dyDescent="0.2">
      <c r="A1334" s="141"/>
      <c r="B1334" s="141"/>
      <c r="C1334" s="141"/>
      <c r="D1334" s="141"/>
      <c r="E1334" s="1014"/>
      <c r="F1334" s="1014"/>
      <c r="G1334" s="1027"/>
      <c r="H1334" s="1027"/>
      <c r="I1334" s="1174"/>
      <c r="J1334" s="1174"/>
      <c r="K1334" s="1174"/>
      <c r="L1334" s="1172"/>
      <c r="M1334" s="1172"/>
      <c r="N1334" s="1175"/>
      <c r="O1334" s="143"/>
      <c r="P1334" s="1196"/>
      <c r="Q1334" s="141"/>
      <c r="R1334" s="141"/>
      <c r="S1334" s="148"/>
      <c r="T1334" s="419"/>
      <c r="U1334" s="559"/>
      <c r="V1334" s="141"/>
      <c r="W1334" s="141"/>
      <c r="X1334" s="141"/>
      <c r="Y1334" s="144"/>
      <c r="Z1334" s="141"/>
      <c r="AA1334" s="141"/>
      <c r="AB1334" s="141"/>
      <c r="AC1334" s="141"/>
      <c r="AD1334" s="141"/>
      <c r="AE1334" s="141"/>
      <c r="AF1334" s="145"/>
      <c r="AG1334" s="419"/>
    </row>
    <row r="1335" spans="1:33" s="139" customFormat="1" ht="12.75" customHeight="1" x14ac:dyDescent="0.2">
      <c r="A1335" s="141"/>
      <c r="B1335" s="141"/>
      <c r="C1335" s="141"/>
      <c r="D1335" s="141"/>
      <c r="E1335" s="1014"/>
      <c r="F1335" s="1014"/>
      <c r="G1335" s="1027"/>
      <c r="H1335" s="1027"/>
      <c r="I1335" s="1174"/>
      <c r="J1335" s="1174"/>
      <c r="K1335" s="1174"/>
      <c r="L1335" s="1172"/>
      <c r="M1335" s="1172"/>
      <c r="N1335" s="1175"/>
      <c r="O1335" s="143"/>
      <c r="P1335" s="1196"/>
      <c r="Q1335" s="141"/>
      <c r="R1335" s="141"/>
      <c r="S1335" s="148"/>
      <c r="T1335" s="419"/>
      <c r="U1335" s="559"/>
      <c r="V1335" s="141"/>
      <c r="W1335" s="141"/>
      <c r="X1335" s="141"/>
      <c r="Y1335" s="144"/>
      <c r="Z1335" s="141"/>
      <c r="AA1335" s="141"/>
      <c r="AB1335" s="141"/>
      <c r="AC1335" s="141"/>
      <c r="AD1335" s="141"/>
      <c r="AE1335" s="141"/>
      <c r="AF1335" s="145"/>
      <c r="AG1335" s="419"/>
    </row>
    <row r="1336" spans="1:33" s="139" customFormat="1" ht="12.75" customHeight="1" x14ac:dyDescent="0.2">
      <c r="A1336" s="141"/>
      <c r="B1336" s="141"/>
      <c r="C1336" s="141"/>
      <c r="D1336" s="141"/>
      <c r="E1336" s="1014"/>
      <c r="F1336" s="1014"/>
      <c r="G1336" s="1027"/>
      <c r="H1336" s="1027"/>
      <c r="I1336" s="1174"/>
      <c r="J1336" s="1174"/>
      <c r="K1336" s="1174"/>
      <c r="L1336" s="1172"/>
      <c r="M1336" s="1172"/>
      <c r="N1336" s="1175"/>
      <c r="O1336" s="143"/>
      <c r="P1336" s="1196"/>
      <c r="Q1336" s="141"/>
      <c r="R1336" s="141"/>
      <c r="S1336" s="148"/>
      <c r="T1336" s="419"/>
      <c r="U1336" s="559"/>
      <c r="V1336" s="141"/>
      <c r="W1336" s="141"/>
      <c r="X1336" s="141"/>
      <c r="Y1336" s="144"/>
      <c r="Z1336" s="141"/>
      <c r="AA1336" s="141"/>
      <c r="AB1336" s="141"/>
      <c r="AC1336" s="141"/>
      <c r="AD1336" s="141"/>
      <c r="AE1336" s="141"/>
      <c r="AF1336" s="145"/>
      <c r="AG1336" s="419"/>
    </row>
    <row r="1337" spans="1:33" s="139" customFormat="1" ht="12.75" customHeight="1" x14ac:dyDescent="0.2">
      <c r="A1337" s="141"/>
      <c r="B1337" s="141"/>
      <c r="C1337" s="141"/>
      <c r="D1337" s="141"/>
      <c r="E1337" s="1014"/>
      <c r="F1337" s="1014"/>
      <c r="G1337" s="1027"/>
      <c r="H1337" s="1027"/>
      <c r="I1337" s="1174"/>
      <c r="J1337" s="1174"/>
      <c r="K1337" s="1174"/>
      <c r="L1337" s="1172"/>
      <c r="M1337" s="1172"/>
      <c r="N1337" s="1175"/>
      <c r="O1337" s="143"/>
      <c r="P1337" s="1196"/>
      <c r="Q1337" s="141"/>
      <c r="R1337" s="141"/>
      <c r="S1337" s="148"/>
      <c r="T1337" s="419"/>
      <c r="U1337" s="559"/>
      <c r="V1337" s="141"/>
      <c r="W1337" s="141"/>
      <c r="X1337" s="141"/>
      <c r="Y1337" s="144"/>
      <c r="Z1337" s="141"/>
      <c r="AA1337" s="141"/>
      <c r="AB1337" s="141"/>
      <c r="AC1337" s="141"/>
      <c r="AD1337" s="141"/>
      <c r="AE1337" s="141"/>
      <c r="AF1337" s="145"/>
      <c r="AG1337" s="419"/>
    </row>
    <row r="1338" spans="1:33" s="139" customFormat="1" ht="12.75" customHeight="1" x14ac:dyDescent="0.2">
      <c r="A1338" s="141"/>
      <c r="B1338" s="141"/>
      <c r="C1338" s="141"/>
      <c r="D1338" s="141"/>
      <c r="E1338" s="1014"/>
      <c r="F1338" s="1014"/>
      <c r="G1338" s="1027"/>
      <c r="H1338" s="1027"/>
      <c r="I1338" s="1174"/>
      <c r="J1338" s="1174"/>
      <c r="K1338" s="1174"/>
      <c r="L1338" s="1172"/>
      <c r="M1338" s="1172"/>
      <c r="N1338" s="1175"/>
      <c r="O1338" s="143"/>
      <c r="P1338" s="1196"/>
      <c r="Q1338" s="141"/>
      <c r="R1338" s="141"/>
      <c r="S1338" s="148"/>
      <c r="T1338" s="419"/>
      <c r="U1338" s="559"/>
      <c r="V1338" s="141"/>
      <c r="W1338" s="141"/>
      <c r="X1338" s="141"/>
      <c r="Y1338" s="144"/>
      <c r="Z1338" s="141"/>
      <c r="AA1338" s="141"/>
      <c r="AB1338" s="141"/>
      <c r="AC1338" s="141"/>
      <c r="AD1338" s="141"/>
      <c r="AE1338" s="141"/>
      <c r="AF1338" s="145"/>
      <c r="AG1338" s="419"/>
    </row>
    <row r="1339" spans="1:33" s="139" customFormat="1" ht="12.75" customHeight="1" x14ac:dyDescent="0.2">
      <c r="A1339" s="141"/>
      <c r="B1339" s="141"/>
      <c r="C1339" s="141"/>
      <c r="D1339" s="141"/>
      <c r="E1339" s="1014"/>
      <c r="F1339" s="1014"/>
      <c r="G1339" s="1027"/>
      <c r="H1339" s="1027"/>
      <c r="I1339" s="1174"/>
      <c r="J1339" s="1174"/>
      <c r="K1339" s="1174"/>
      <c r="L1339" s="1172"/>
      <c r="M1339" s="1172"/>
      <c r="N1339" s="1175"/>
      <c r="O1339" s="143"/>
      <c r="P1339" s="1196"/>
      <c r="Q1339" s="141"/>
      <c r="R1339" s="141"/>
      <c r="S1339" s="148"/>
      <c r="T1339" s="419"/>
      <c r="U1339" s="559"/>
      <c r="V1339" s="141"/>
      <c r="W1339" s="141"/>
      <c r="X1339" s="141"/>
      <c r="Y1339" s="144"/>
      <c r="Z1339" s="141"/>
      <c r="AA1339" s="141"/>
      <c r="AB1339" s="141"/>
      <c r="AC1339" s="141"/>
      <c r="AD1339" s="141"/>
      <c r="AE1339" s="141"/>
      <c r="AF1339" s="145"/>
      <c r="AG1339" s="419"/>
    </row>
    <row r="1340" spans="1:33" s="139" customFormat="1" ht="12.75" customHeight="1" x14ac:dyDescent="0.2">
      <c r="A1340" s="141"/>
      <c r="B1340" s="141"/>
      <c r="C1340" s="141"/>
      <c r="D1340" s="141"/>
      <c r="E1340" s="1014"/>
      <c r="F1340" s="1014"/>
      <c r="G1340" s="1027"/>
      <c r="H1340" s="1027"/>
      <c r="I1340" s="1174"/>
      <c r="J1340" s="1174"/>
      <c r="K1340" s="1174"/>
      <c r="L1340" s="1172"/>
      <c r="M1340" s="1172"/>
      <c r="N1340" s="1175"/>
      <c r="O1340" s="143"/>
      <c r="P1340" s="1196"/>
      <c r="Q1340" s="141"/>
      <c r="R1340" s="141"/>
      <c r="S1340" s="148"/>
      <c r="T1340" s="419"/>
      <c r="U1340" s="559"/>
      <c r="V1340" s="141"/>
      <c r="W1340" s="141"/>
      <c r="X1340" s="141"/>
      <c r="Y1340" s="144"/>
      <c r="Z1340" s="141"/>
      <c r="AA1340" s="141"/>
      <c r="AB1340" s="141"/>
      <c r="AC1340" s="141"/>
      <c r="AD1340" s="141"/>
      <c r="AE1340" s="141"/>
      <c r="AF1340" s="145"/>
      <c r="AG1340" s="419"/>
    </row>
    <row r="1341" spans="1:33" s="139" customFormat="1" ht="12.75" customHeight="1" x14ac:dyDescent="0.2">
      <c r="A1341" s="141"/>
      <c r="B1341" s="141"/>
      <c r="C1341" s="141"/>
      <c r="D1341" s="141"/>
      <c r="E1341" s="1014"/>
      <c r="F1341" s="1014"/>
      <c r="G1341" s="1027"/>
      <c r="H1341" s="1027"/>
      <c r="I1341" s="1174"/>
      <c r="J1341" s="1174"/>
      <c r="K1341" s="1174"/>
      <c r="L1341" s="1172"/>
      <c r="M1341" s="1172"/>
      <c r="N1341" s="1175"/>
      <c r="O1341" s="143"/>
      <c r="P1341" s="1196"/>
      <c r="Q1341" s="141"/>
      <c r="R1341" s="141"/>
      <c r="S1341" s="148"/>
      <c r="T1341" s="419"/>
      <c r="U1341" s="559"/>
      <c r="V1341" s="141"/>
      <c r="W1341" s="141"/>
      <c r="X1341" s="141"/>
      <c r="Y1341" s="144"/>
      <c r="Z1341" s="141"/>
      <c r="AA1341" s="141"/>
      <c r="AB1341" s="141"/>
      <c r="AC1341" s="141"/>
      <c r="AD1341" s="141"/>
      <c r="AE1341" s="141"/>
      <c r="AF1341" s="145"/>
      <c r="AG1341" s="419"/>
    </row>
    <row r="1342" spans="1:33" s="139" customFormat="1" ht="12.75" customHeight="1" x14ac:dyDescent="0.2">
      <c r="A1342" s="141"/>
      <c r="B1342" s="141"/>
      <c r="C1342" s="141"/>
      <c r="D1342" s="141"/>
      <c r="E1342" s="1014"/>
      <c r="F1342" s="1014"/>
      <c r="G1342" s="1027"/>
      <c r="H1342" s="1027"/>
      <c r="I1342" s="1174"/>
      <c r="J1342" s="1174"/>
      <c r="K1342" s="1174"/>
      <c r="L1342" s="1172"/>
      <c r="M1342" s="1172"/>
      <c r="N1342" s="1175"/>
      <c r="O1342" s="143"/>
      <c r="P1342" s="1196"/>
      <c r="Q1342" s="141"/>
      <c r="R1342" s="141"/>
      <c r="S1342" s="148"/>
      <c r="T1342" s="419"/>
      <c r="U1342" s="559"/>
      <c r="V1342" s="141"/>
      <c r="W1342" s="141"/>
      <c r="X1342" s="141"/>
      <c r="Y1342" s="144"/>
      <c r="Z1342" s="141"/>
      <c r="AA1342" s="141"/>
      <c r="AB1342" s="141"/>
      <c r="AC1342" s="141"/>
      <c r="AD1342" s="141"/>
      <c r="AE1342" s="141"/>
      <c r="AF1342" s="145"/>
      <c r="AG1342" s="419"/>
    </row>
    <row r="1343" spans="1:33" s="139" customFormat="1" ht="12.75" customHeight="1" x14ac:dyDescent="0.2">
      <c r="A1343" s="141"/>
      <c r="B1343" s="141"/>
      <c r="C1343" s="141"/>
      <c r="D1343" s="141"/>
      <c r="E1343" s="1014"/>
      <c r="F1343" s="1014"/>
      <c r="G1343" s="1027"/>
      <c r="H1343" s="1027"/>
      <c r="I1343" s="1174"/>
      <c r="J1343" s="1174"/>
      <c r="K1343" s="1174"/>
      <c r="L1343" s="1172"/>
      <c r="M1343" s="1172"/>
      <c r="N1343" s="1175"/>
      <c r="O1343" s="143"/>
      <c r="P1343" s="1196"/>
      <c r="Q1343" s="141"/>
      <c r="R1343" s="141"/>
      <c r="S1343" s="148"/>
      <c r="T1343" s="419"/>
      <c r="U1343" s="559"/>
      <c r="V1343" s="141"/>
      <c r="W1343" s="141"/>
      <c r="X1343" s="141"/>
      <c r="Y1343" s="144"/>
      <c r="Z1343" s="141"/>
      <c r="AA1343" s="141"/>
      <c r="AB1343" s="141"/>
      <c r="AC1343" s="141"/>
      <c r="AD1343" s="141"/>
      <c r="AE1343" s="141"/>
      <c r="AF1343" s="145"/>
      <c r="AG1343" s="419"/>
    </row>
    <row r="1344" spans="1:33" s="139" customFormat="1" ht="12.75" customHeight="1" x14ac:dyDescent="0.2">
      <c r="A1344" s="141"/>
      <c r="B1344" s="141"/>
      <c r="C1344" s="141"/>
      <c r="D1344" s="141"/>
      <c r="E1344" s="1014"/>
      <c r="F1344" s="1014"/>
      <c r="G1344" s="1027"/>
      <c r="H1344" s="1027"/>
      <c r="I1344" s="1174"/>
      <c r="J1344" s="1174"/>
      <c r="K1344" s="1174"/>
      <c r="L1344" s="1172"/>
      <c r="M1344" s="1172"/>
      <c r="N1344" s="1175"/>
      <c r="O1344" s="143"/>
      <c r="P1344" s="1196"/>
      <c r="Q1344" s="141"/>
      <c r="R1344" s="141"/>
      <c r="S1344" s="148"/>
      <c r="T1344" s="419"/>
      <c r="U1344" s="559"/>
      <c r="V1344" s="141"/>
      <c r="W1344" s="141"/>
      <c r="X1344" s="141"/>
      <c r="Y1344" s="144"/>
      <c r="Z1344" s="141"/>
      <c r="AA1344" s="141"/>
      <c r="AB1344" s="141"/>
      <c r="AC1344" s="141"/>
      <c r="AD1344" s="141"/>
      <c r="AE1344" s="141"/>
      <c r="AF1344" s="145"/>
      <c r="AG1344" s="419"/>
    </row>
    <row r="1345" spans="1:33" s="139" customFormat="1" ht="12.75" customHeight="1" x14ac:dyDescent="0.2">
      <c r="A1345" s="141"/>
      <c r="B1345" s="141"/>
      <c r="C1345" s="141"/>
      <c r="D1345" s="141"/>
      <c r="E1345" s="1014"/>
      <c r="F1345" s="1014"/>
      <c r="G1345" s="1027"/>
      <c r="H1345" s="1027"/>
      <c r="I1345" s="1174"/>
      <c r="J1345" s="1174"/>
      <c r="K1345" s="1174"/>
      <c r="L1345" s="1172"/>
      <c r="M1345" s="1172"/>
      <c r="N1345" s="1175"/>
      <c r="O1345" s="143"/>
      <c r="P1345" s="1196"/>
      <c r="Q1345" s="141"/>
      <c r="R1345" s="141"/>
      <c r="S1345" s="148"/>
      <c r="T1345" s="419"/>
      <c r="U1345" s="559"/>
      <c r="V1345" s="141"/>
      <c r="W1345" s="141"/>
      <c r="X1345" s="141"/>
      <c r="Y1345" s="144"/>
      <c r="Z1345" s="141"/>
      <c r="AA1345" s="141"/>
      <c r="AB1345" s="141"/>
      <c r="AC1345" s="141"/>
      <c r="AD1345" s="141"/>
      <c r="AE1345" s="141"/>
      <c r="AF1345" s="145"/>
      <c r="AG1345" s="419"/>
    </row>
    <row r="1346" spans="1:33" s="139" customFormat="1" ht="12.75" customHeight="1" x14ac:dyDescent="0.2">
      <c r="A1346" s="141"/>
      <c r="B1346" s="141"/>
      <c r="C1346" s="141"/>
      <c r="D1346" s="141"/>
      <c r="E1346" s="1014"/>
      <c r="F1346" s="1014"/>
      <c r="G1346" s="1027"/>
      <c r="H1346" s="1027"/>
      <c r="I1346" s="1174"/>
      <c r="J1346" s="1174"/>
      <c r="K1346" s="1174"/>
      <c r="L1346" s="1172"/>
      <c r="M1346" s="1172"/>
      <c r="N1346" s="1175"/>
      <c r="O1346" s="143"/>
      <c r="P1346" s="1196"/>
      <c r="Q1346" s="141"/>
      <c r="R1346" s="141"/>
      <c r="S1346" s="148"/>
      <c r="T1346" s="419"/>
      <c r="U1346" s="559"/>
      <c r="V1346" s="141"/>
      <c r="W1346" s="141"/>
      <c r="X1346" s="141"/>
      <c r="Y1346" s="144"/>
      <c r="Z1346" s="141"/>
      <c r="AA1346" s="141"/>
      <c r="AB1346" s="141"/>
      <c r="AC1346" s="141"/>
      <c r="AD1346" s="141"/>
      <c r="AE1346" s="141"/>
      <c r="AF1346" s="145"/>
      <c r="AG1346" s="419"/>
    </row>
    <row r="1347" spans="1:33" s="139" customFormat="1" ht="12.75" customHeight="1" x14ac:dyDescent="0.2">
      <c r="A1347" s="141"/>
      <c r="B1347" s="141"/>
      <c r="C1347" s="141"/>
      <c r="D1347" s="141"/>
      <c r="E1347" s="1014"/>
      <c r="F1347" s="1014"/>
      <c r="G1347" s="1027"/>
      <c r="H1347" s="1027"/>
      <c r="I1347" s="1174"/>
      <c r="J1347" s="1174"/>
      <c r="K1347" s="1174"/>
      <c r="L1347" s="1172"/>
      <c r="M1347" s="1172"/>
      <c r="N1347" s="1175"/>
      <c r="O1347" s="143"/>
      <c r="P1347" s="1196"/>
      <c r="Q1347" s="141"/>
      <c r="R1347" s="141"/>
      <c r="S1347" s="148"/>
      <c r="T1347" s="419"/>
      <c r="U1347" s="559"/>
      <c r="V1347" s="141"/>
      <c r="W1347" s="141"/>
      <c r="X1347" s="141"/>
      <c r="Y1347" s="144"/>
      <c r="Z1347" s="141"/>
      <c r="AA1347" s="141"/>
      <c r="AB1347" s="141"/>
      <c r="AC1347" s="141"/>
      <c r="AD1347" s="141"/>
      <c r="AE1347" s="141"/>
      <c r="AF1347" s="145"/>
      <c r="AG1347" s="419"/>
    </row>
    <row r="1348" spans="1:33" s="139" customFormat="1" ht="12.75" customHeight="1" x14ac:dyDescent="0.2">
      <c r="A1348" s="141"/>
      <c r="B1348" s="141"/>
      <c r="C1348" s="141"/>
      <c r="D1348" s="141"/>
      <c r="E1348" s="1014"/>
      <c r="F1348" s="1014"/>
      <c r="G1348" s="1027"/>
      <c r="H1348" s="1027"/>
      <c r="I1348" s="1174"/>
      <c r="J1348" s="1174"/>
      <c r="K1348" s="1174"/>
      <c r="L1348" s="1172"/>
      <c r="M1348" s="1172"/>
      <c r="N1348" s="1175"/>
      <c r="O1348" s="143"/>
      <c r="P1348" s="1196"/>
      <c r="Q1348" s="141"/>
      <c r="R1348" s="141"/>
      <c r="S1348" s="148"/>
      <c r="T1348" s="419"/>
      <c r="U1348" s="559"/>
      <c r="V1348" s="141"/>
      <c r="W1348" s="141"/>
      <c r="X1348" s="141"/>
      <c r="Y1348" s="144"/>
      <c r="Z1348" s="141"/>
      <c r="AA1348" s="141"/>
      <c r="AB1348" s="141"/>
      <c r="AC1348" s="141"/>
      <c r="AD1348" s="141"/>
      <c r="AE1348" s="141"/>
      <c r="AF1348" s="145"/>
      <c r="AG1348" s="419"/>
    </row>
    <row r="1349" spans="1:33" s="139" customFormat="1" ht="12.75" customHeight="1" x14ac:dyDescent="0.2">
      <c r="A1349" s="141"/>
      <c r="B1349" s="141"/>
      <c r="C1349" s="141"/>
      <c r="D1349" s="141"/>
      <c r="E1349" s="1014"/>
      <c r="F1349" s="1014"/>
      <c r="G1349" s="1027"/>
      <c r="H1349" s="1027"/>
      <c r="I1349" s="1174"/>
      <c r="J1349" s="1174"/>
      <c r="K1349" s="1174"/>
      <c r="L1349" s="1172"/>
      <c r="M1349" s="1172"/>
      <c r="N1349" s="1175"/>
      <c r="O1349" s="143"/>
      <c r="P1349" s="1196"/>
      <c r="Q1349" s="141"/>
      <c r="R1349" s="141"/>
      <c r="S1349" s="148"/>
      <c r="T1349" s="419"/>
      <c r="U1349" s="559"/>
      <c r="V1349" s="141"/>
      <c r="W1349" s="141"/>
      <c r="X1349" s="141"/>
      <c r="Y1349" s="144"/>
      <c r="Z1349" s="141"/>
      <c r="AA1349" s="141"/>
      <c r="AB1349" s="141"/>
      <c r="AC1349" s="141"/>
      <c r="AD1349" s="141"/>
      <c r="AE1349" s="141"/>
      <c r="AF1349" s="145"/>
      <c r="AG1349" s="419"/>
    </row>
    <row r="1350" spans="1:33" s="139" customFormat="1" ht="12.75" customHeight="1" x14ac:dyDescent="0.2">
      <c r="A1350" s="141"/>
      <c r="B1350" s="141"/>
      <c r="C1350" s="141"/>
      <c r="D1350" s="141"/>
      <c r="E1350" s="1014"/>
      <c r="F1350" s="1014"/>
      <c r="G1350" s="1027"/>
      <c r="H1350" s="1027"/>
      <c r="I1350" s="1174"/>
      <c r="J1350" s="1174"/>
      <c r="K1350" s="1174"/>
      <c r="L1350" s="1172"/>
      <c r="M1350" s="1172"/>
      <c r="N1350" s="1175"/>
      <c r="O1350" s="143"/>
      <c r="P1350" s="1196"/>
      <c r="Q1350" s="141"/>
      <c r="R1350" s="141"/>
      <c r="S1350" s="148"/>
      <c r="T1350" s="419"/>
      <c r="U1350" s="559"/>
      <c r="V1350" s="141"/>
      <c r="W1350" s="141"/>
      <c r="X1350" s="141"/>
      <c r="Y1350" s="144"/>
      <c r="Z1350" s="141"/>
      <c r="AA1350" s="141"/>
      <c r="AB1350" s="141"/>
      <c r="AC1350" s="141"/>
      <c r="AD1350" s="141"/>
      <c r="AE1350" s="141"/>
      <c r="AF1350" s="145"/>
      <c r="AG1350" s="419"/>
    </row>
    <row r="1351" spans="1:33" s="139" customFormat="1" ht="12.75" customHeight="1" x14ac:dyDescent="0.2">
      <c r="A1351" s="141"/>
      <c r="B1351" s="141"/>
      <c r="C1351" s="141"/>
      <c r="D1351" s="141"/>
      <c r="E1351" s="1014"/>
      <c r="F1351" s="1014"/>
      <c r="G1351" s="1027"/>
      <c r="H1351" s="1027"/>
      <c r="I1351" s="1174"/>
      <c r="J1351" s="1174"/>
      <c r="K1351" s="1174"/>
      <c r="L1351" s="1172"/>
      <c r="M1351" s="1172"/>
      <c r="N1351" s="1175"/>
      <c r="O1351" s="143"/>
      <c r="P1351" s="1196"/>
      <c r="Q1351" s="141"/>
      <c r="R1351" s="141"/>
      <c r="S1351" s="148"/>
      <c r="T1351" s="419"/>
      <c r="U1351" s="559"/>
      <c r="V1351" s="141"/>
      <c r="W1351" s="141"/>
      <c r="X1351" s="141"/>
      <c r="Y1351" s="144"/>
      <c r="Z1351" s="141"/>
      <c r="AA1351" s="141"/>
      <c r="AB1351" s="141"/>
      <c r="AC1351" s="141"/>
      <c r="AD1351" s="141"/>
      <c r="AE1351" s="141"/>
      <c r="AF1351" s="145"/>
      <c r="AG1351" s="419"/>
    </row>
    <row r="1352" spans="1:33" s="139" customFormat="1" ht="12.75" customHeight="1" x14ac:dyDescent="0.2">
      <c r="A1352" s="141"/>
      <c r="B1352" s="141"/>
      <c r="C1352" s="141"/>
      <c r="D1352" s="141"/>
      <c r="E1352" s="1014"/>
      <c r="F1352" s="1014"/>
      <c r="G1352" s="1027"/>
      <c r="H1352" s="1027"/>
      <c r="I1352" s="1174"/>
      <c r="J1352" s="1174"/>
      <c r="K1352" s="1174"/>
      <c r="L1352" s="1172"/>
      <c r="M1352" s="1172"/>
      <c r="N1352" s="1175"/>
      <c r="O1352" s="143"/>
      <c r="P1352" s="1196"/>
      <c r="Q1352" s="141"/>
      <c r="R1352" s="141"/>
      <c r="S1352" s="148"/>
      <c r="T1352" s="419"/>
      <c r="U1352" s="559"/>
      <c r="V1352" s="141"/>
      <c r="W1352" s="141"/>
      <c r="X1352" s="141"/>
      <c r="Y1352" s="144"/>
      <c r="Z1352" s="141"/>
      <c r="AA1352" s="141"/>
      <c r="AB1352" s="141"/>
      <c r="AC1352" s="141"/>
      <c r="AD1352" s="141"/>
      <c r="AE1352" s="141"/>
      <c r="AF1352" s="145"/>
      <c r="AG1352" s="419"/>
    </row>
    <row r="1353" spans="1:33" s="139" customFormat="1" ht="12.75" customHeight="1" x14ac:dyDescent="0.2">
      <c r="A1353" s="141"/>
      <c r="B1353" s="141"/>
      <c r="C1353" s="141"/>
      <c r="D1353" s="141"/>
      <c r="E1353" s="1014"/>
      <c r="F1353" s="1014"/>
      <c r="G1353" s="1027"/>
      <c r="H1353" s="1027"/>
      <c r="I1353" s="1174"/>
      <c r="J1353" s="1174"/>
      <c r="K1353" s="1174"/>
      <c r="L1353" s="1172"/>
      <c r="M1353" s="1172"/>
      <c r="N1353" s="1175"/>
      <c r="O1353" s="143"/>
      <c r="P1353" s="1196"/>
      <c r="Q1353" s="141"/>
      <c r="R1353" s="141"/>
      <c r="S1353" s="148"/>
      <c r="T1353" s="419"/>
      <c r="U1353" s="559"/>
      <c r="V1353" s="141"/>
      <c r="W1353" s="141"/>
      <c r="X1353" s="141"/>
      <c r="Y1353" s="144"/>
      <c r="Z1353" s="141"/>
      <c r="AA1353" s="141"/>
      <c r="AB1353" s="141"/>
      <c r="AC1353" s="141"/>
      <c r="AD1353" s="141"/>
      <c r="AE1353" s="141"/>
      <c r="AF1353" s="145"/>
      <c r="AG1353" s="419"/>
    </row>
    <row r="1354" spans="1:33" s="139" customFormat="1" ht="12.75" customHeight="1" x14ac:dyDescent="0.2">
      <c r="A1354" s="141"/>
      <c r="B1354" s="141"/>
      <c r="C1354" s="141"/>
      <c r="D1354" s="141"/>
      <c r="E1354" s="1014"/>
      <c r="F1354" s="1014"/>
      <c r="G1354" s="1027"/>
      <c r="H1354" s="1027"/>
      <c r="I1354" s="1174"/>
      <c r="J1354" s="1174"/>
      <c r="K1354" s="1174"/>
      <c r="L1354" s="1172"/>
      <c r="M1354" s="1172"/>
      <c r="N1354" s="1175"/>
      <c r="O1354" s="143"/>
      <c r="P1354" s="1196"/>
      <c r="Q1354" s="141"/>
      <c r="R1354" s="141"/>
      <c r="S1354" s="148"/>
      <c r="T1354" s="419"/>
      <c r="U1354" s="559"/>
      <c r="V1354" s="141"/>
      <c r="W1354" s="141"/>
      <c r="X1354" s="141"/>
      <c r="Y1354" s="144"/>
      <c r="Z1354" s="141"/>
      <c r="AA1354" s="141"/>
      <c r="AB1354" s="141"/>
      <c r="AC1354" s="141"/>
      <c r="AD1354" s="141"/>
      <c r="AE1354" s="141"/>
      <c r="AF1354" s="145"/>
      <c r="AG1354" s="419"/>
    </row>
    <row r="1355" spans="1:33" s="139" customFormat="1" ht="12.75" customHeight="1" x14ac:dyDescent="0.2">
      <c r="A1355" s="141"/>
      <c r="B1355" s="141"/>
      <c r="C1355" s="141"/>
      <c r="D1355" s="141"/>
      <c r="E1355" s="1014"/>
      <c r="F1355" s="1014"/>
      <c r="G1355" s="1027"/>
      <c r="H1355" s="1027"/>
      <c r="I1355" s="1174"/>
      <c r="J1355" s="1174"/>
      <c r="K1355" s="1174"/>
      <c r="L1355" s="1172"/>
      <c r="M1355" s="1172"/>
      <c r="N1355" s="1175"/>
      <c r="O1355" s="143"/>
      <c r="P1355" s="1196"/>
      <c r="Q1355" s="141"/>
      <c r="R1355" s="141"/>
      <c r="S1355" s="148"/>
      <c r="T1355" s="419"/>
      <c r="U1355" s="559"/>
      <c r="V1355" s="141"/>
      <c r="W1355" s="141"/>
      <c r="X1355" s="141"/>
      <c r="Y1355" s="144"/>
      <c r="Z1355" s="141"/>
      <c r="AA1355" s="141"/>
      <c r="AB1355" s="141"/>
      <c r="AC1355" s="141"/>
      <c r="AD1355" s="141"/>
      <c r="AE1355" s="141"/>
      <c r="AF1355" s="145"/>
      <c r="AG1355" s="419"/>
    </row>
    <row r="1356" spans="1:33" s="139" customFormat="1" ht="12.75" customHeight="1" x14ac:dyDescent="0.2">
      <c r="A1356" s="141"/>
      <c r="B1356" s="141"/>
      <c r="C1356" s="141"/>
      <c r="D1356" s="141"/>
      <c r="E1356" s="1014"/>
      <c r="F1356" s="1014"/>
      <c r="G1356" s="1027"/>
      <c r="H1356" s="1027"/>
      <c r="I1356" s="1174"/>
      <c r="J1356" s="1174"/>
      <c r="K1356" s="1174"/>
      <c r="L1356" s="1172"/>
      <c r="M1356" s="1172"/>
      <c r="N1356" s="1175"/>
      <c r="O1356" s="143"/>
      <c r="P1356" s="1196"/>
      <c r="Q1356" s="141"/>
      <c r="R1356" s="141"/>
      <c r="S1356" s="148"/>
      <c r="T1356" s="419"/>
      <c r="U1356" s="559"/>
      <c r="V1356" s="141"/>
      <c r="W1356" s="141"/>
      <c r="X1356" s="141"/>
      <c r="Y1356" s="144"/>
      <c r="Z1356" s="141"/>
      <c r="AA1356" s="141"/>
      <c r="AB1356" s="141"/>
      <c r="AC1356" s="141"/>
      <c r="AD1356" s="141"/>
      <c r="AE1356" s="141"/>
      <c r="AF1356" s="145"/>
      <c r="AG1356" s="419"/>
    </row>
    <row r="1357" spans="1:33" s="139" customFormat="1" ht="12.75" customHeight="1" x14ac:dyDescent="0.2">
      <c r="A1357" s="141"/>
      <c r="B1357" s="141"/>
      <c r="C1357" s="141"/>
      <c r="D1357" s="141"/>
      <c r="E1357" s="1014"/>
      <c r="F1357" s="1014"/>
      <c r="G1357" s="1027"/>
      <c r="H1357" s="1027"/>
      <c r="I1357" s="1174"/>
      <c r="J1357" s="1174"/>
      <c r="K1357" s="1174"/>
      <c r="L1357" s="1172"/>
      <c r="M1357" s="1172"/>
      <c r="N1357" s="1175"/>
      <c r="O1357" s="143"/>
      <c r="P1357" s="1196"/>
      <c r="Q1357" s="141"/>
      <c r="R1357" s="141"/>
      <c r="S1357" s="148"/>
      <c r="T1357" s="419"/>
      <c r="U1357" s="559"/>
      <c r="V1357" s="141"/>
      <c r="W1357" s="141"/>
      <c r="X1357" s="141"/>
      <c r="Y1357" s="144"/>
      <c r="Z1357" s="141"/>
      <c r="AA1357" s="141"/>
      <c r="AB1357" s="141"/>
      <c r="AC1357" s="141"/>
      <c r="AD1357" s="141"/>
      <c r="AE1357" s="141"/>
      <c r="AF1357" s="145"/>
      <c r="AG1357" s="419"/>
    </row>
    <row r="1358" spans="1:33" s="139" customFormat="1" ht="12.75" customHeight="1" x14ac:dyDescent="0.2">
      <c r="A1358" s="141"/>
      <c r="B1358" s="141"/>
      <c r="C1358" s="141"/>
      <c r="D1358" s="141"/>
      <c r="E1358" s="1014"/>
      <c r="F1358" s="1014"/>
      <c r="G1358" s="1027"/>
      <c r="H1358" s="1027"/>
      <c r="I1358" s="1174"/>
      <c r="J1358" s="1174"/>
      <c r="K1358" s="1174"/>
      <c r="L1358" s="1172"/>
      <c r="M1358" s="1172"/>
      <c r="N1358" s="1175"/>
      <c r="O1358" s="143"/>
      <c r="P1358" s="1196"/>
      <c r="Q1358" s="141"/>
      <c r="R1358" s="141"/>
      <c r="S1358" s="148"/>
      <c r="T1358" s="419"/>
      <c r="U1358" s="559"/>
      <c r="V1358" s="141"/>
      <c r="W1358" s="141"/>
      <c r="X1358" s="141"/>
      <c r="Y1358" s="144"/>
      <c r="Z1358" s="141"/>
      <c r="AA1358" s="141"/>
      <c r="AB1358" s="141"/>
      <c r="AC1358" s="141"/>
      <c r="AD1358" s="141"/>
      <c r="AE1358" s="141"/>
      <c r="AF1358" s="145"/>
      <c r="AG1358" s="419"/>
    </row>
    <row r="1359" spans="1:33" s="139" customFormat="1" ht="12.75" customHeight="1" x14ac:dyDescent="0.2">
      <c r="A1359" s="141"/>
      <c r="B1359" s="141"/>
      <c r="C1359" s="141"/>
      <c r="D1359" s="141"/>
      <c r="E1359" s="1014"/>
      <c r="F1359" s="1014"/>
      <c r="G1359" s="1027"/>
      <c r="H1359" s="1027"/>
      <c r="I1359" s="1174"/>
      <c r="J1359" s="1174"/>
      <c r="K1359" s="1174"/>
      <c r="L1359" s="1172"/>
      <c r="M1359" s="1172"/>
      <c r="N1359" s="1175"/>
      <c r="O1359" s="143"/>
      <c r="P1359" s="1196"/>
      <c r="Q1359" s="141"/>
      <c r="R1359" s="141"/>
      <c r="S1359" s="148"/>
      <c r="T1359" s="419"/>
      <c r="U1359" s="559"/>
      <c r="V1359" s="141"/>
      <c r="W1359" s="141"/>
      <c r="X1359" s="141"/>
      <c r="Y1359" s="144"/>
      <c r="Z1359" s="141"/>
      <c r="AA1359" s="141"/>
      <c r="AB1359" s="141"/>
      <c r="AC1359" s="141"/>
      <c r="AD1359" s="141"/>
      <c r="AE1359" s="141"/>
      <c r="AF1359" s="145"/>
      <c r="AG1359" s="419"/>
    </row>
    <row r="1360" spans="1:33" s="139" customFormat="1" ht="12.75" customHeight="1" x14ac:dyDescent="0.2">
      <c r="A1360" s="141"/>
      <c r="B1360" s="141"/>
      <c r="C1360" s="141"/>
      <c r="D1360" s="141"/>
      <c r="E1360" s="1014"/>
      <c r="F1360" s="1014"/>
      <c r="G1360" s="1027"/>
      <c r="H1360" s="1027"/>
      <c r="I1360" s="1174"/>
      <c r="J1360" s="1174"/>
      <c r="K1360" s="1174"/>
      <c r="L1360" s="1172"/>
      <c r="M1360" s="1172"/>
      <c r="N1360" s="1175"/>
      <c r="O1360" s="143"/>
      <c r="P1360" s="1196"/>
      <c r="Q1360" s="141"/>
      <c r="R1360" s="141"/>
      <c r="S1360" s="148"/>
      <c r="T1360" s="419"/>
      <c r="U1360" s="559"/>
      <c r="V1360" s="141"/>
      <c r="W1360" s="141"/>
      <c r="X1360" s="141"/>
      <c r="Y1360" s="144"/>
      <c r="Z1360" s="141"/>
      <c r="AA1360" s="141"/>
      <c r="AB1360" s="141"/>
      <c r="AC1360" s="141"/>
      <c r="AD1360" s="141"/>
      <c r="AE1360" s="141"/>
      <c r="AF1360" s="145"/>
      <c r="AG1360" s="419"/>
    </row>
    <row r="1361" spans="1:33" s="139" customFormat="1" ht="12.75" customHeight="1" x14ac:dyDescent="0.2">
      <c r="A1361" s="141"/>
      <c r="B1361" s="141"/>
      <c r="C1361" s="141"/>
      <c r="D1361" s="141"/>
      <c r="E1361" s="1014"/>
      <c r="F1361" s="1014"/>
      <c r="G1361" s="1027"/>
      <c r="H1361" s="1027"/>
      <c r="I1361" s="1174"/>
      <c r="J1361" s="1174"/>
      <c r="K1361" s="1174"/>
      <c r="L1361" s="1172"/>
      <c r="M1361" s="1172"/>
      <c r="N1361" s="1175"/>
      <c r="O1361" s="143"/>
      <c r="P1361" s="1196"/>
      <c r="Q1361" s="141"/>
      <c r="R1361" s="141"/>
      <c r="S1361" s="148"/>
      <c r="T1361" s="419"/>
      <c r="U1361" s="559"/>
      <c r="V1361" s="141"/>
      <c r="W1361" s="141"/>
      <c r="X1361" s="141"/>
      <c r="Y1361" s="144"/>
      <c r="Z1361" s="141"/>
      <c r="AA1361" s="141"/>
      <c r="AB1361" s="141"/>
      <c r="AC1361" s="141"/>
      <c r="AD1361" s="141"/>
      <c r="AE1361" s="141"/>
      <c r="AF1361" s="145"/>
      <c r="AG1361" s="419"/>
    </row>
    <row r="1362" spans="1:33" s="139" customFormat="1" ht="12.75" customHeight="1" x14ac:dyDescent="0.2">
      <c r="A1362" s="141"/>
      <c r="B1362" s="141"/>
      <c r="C1362" s="141"/>
      <c r="D1362" s="141"/>
      <c r="E1362" s="1014"/>
      <c r="F1362" s="1014"/>
      <c r="G1362" s="1027"/>
      <c r="H1362" s="1027"/>
      <c r="I1362" s="1174"/>
      <c r="J1362" s="1174"/>
      <c r="K1362" s="1174"/>
      <c r="L1362" s="1172"/>
      <c r="M1362" s="1172"/>
      <c r="N1362" s="1175"/>
      <c r="O1362" s="143"/>
      <c r="P1362" s="1196"/>
      <c r="Q1362" s="141"/>
      <c r="R1362" s="141"/>
      <c r="S1362" s="148"/>
      <c r="T1362" s="419"/>
      <c r="U1362" s="559"/>
      <c r="V1362" s="141"/>
      <c r="W1362" s="141"/>
      <c r="X1362" s="141"/>
      <c r="Y1362" s="144"/>
      <c r="Z1362" s="141"/>
      <c r="AA1362" s="141"/>
      <c r="AB1362" s="141"/>
      <c r="AC1362" s="141"/>
      <c r="AD1362" s="141"/>
      <c r="AE1362" s="141"/>
      <c r="AF1362" s="145"/>
      <c r="AG1362" s="419"/>
    </row>
    <row r="1363" spans="1:33" s="139" customFormat="1" ht="12.75" customHeight="1" x14ac:dyDescent="0.2">
      <c r="A1363" s="141"/>
      <c r="B1363" s="141"/>
      <c r="C1363" s="141"/>
      <c r="D1363" s="141"/>
      <c r="E1363" s="1014"/>
      <c r="F1363" s="1014"/>
      <c r="G1363" s="1027"/>
      <c r="H1363" s="1027"/>
      <c r="I1363" s="1174"/>
      <c r="J1363" s="1174"/>
      <c r="K1363" s="1174"/>
      <c r="L1363" s="1172"/>
      <c r="M1363" s="1172"/>
      <c r="N1363" s="1175"/>
      <c r="O1363" s="143"/>
      <c r="P1363" s="1196"/>
      <c r="Q1363" s="141"/>
      <c r="R1363" s="141"/>
      <c r="S1363" s="148"/>
      <c r="T1363" s="419"/>
      <c r="U1363" s="559"/>
      <c r="V1363" s="141"/>
      <c r="W1363" s="141"/>
      <c r="X1363" s="141"/>
      <c r="Y1363" s="144"/>
      <c r="Z1363" s="141"/>
      <c r="AA1363" s="141"/>
      <c r="AB1363" s="141"/>
      <c r="AC1363" s="141"/>
      <c r="AD1363" s="141"/>
      <c r="AE1363" s="141"/>
      <c r="AF1363" s="145"/>
      <c r="AG1363" s="419"/>
    </row>
    <row r="1364" spans="1:33" s="139" customFormat="1" ht="12.75" customHeight="1" x14ac:dyDescent="0.2">
      <c r="A1364" s="141"/>
      <c r="B1364" s="141"/>
      <c r="C1364" s="141"/>
      <c r="D1364" s="141"/>
      <c r="E1364" s="1014"/>
      <c r="F1364" s="1014"/>
      <c r="G1364" s="1027"/>
      <c r="H1364" s="1027"/>
      <c r="I1364" s="1174"/>
      <c r="J1364" s="1174"/>
      <c r="K1364" s="1174"/>
      <c r="L1364" s="1172"/>
      <c r="M1364" s="1172"/>
      <c r="N1364" s="1175"/>
      <c r="O1364" s="143"/>
      <c r="P1364" s="1196"/>
      <c r="Q1364" s="141"/>
      <c r="R1364" s="141"/>
      <c r="S1364" s="148"/>
      <c r="T1364" s="419"/>
      <c r="U1364" s="559"/>
      <c r="V1364" s="141"/>
      <c r="W1364" s="141"/>
      <c r="X1364" s="141"/>
      <c r="Y1364" s="144"/>
      <c r="Z1364" s="141"/>
      <c r="AA1364" s="141"/>
      <c r="AB1364" s="141"/>
      <c r="AC1364" s="141"/>
      <c r="AD1364" s="141"/>
      <c r="AE1364" s="141"/>
      <c r="AF1364" s="145"/>
      <c r="AG1364" s="419"/>
    </row>
    <row r="1365" spans="1:33" s="139" customFormat="1" ht="12.75" customHeight="1" x14ac:dyDescent="0.2">
      <c r="A1365" s="141"/>
      <c r="B1365" s="141"/>
      <c r="C1365" s="141"/>
      <c r="D1365" s="141"/>
      <c r="E1365" s="1014"/>
      <c r="F1365" s="1014"/>
      <c r="G1365" s="1027"/>
      <c r="H1365" s="1027"/>
      <c r="I1365" s="1174"/>
      <c r="J1365" s="1174"/>
      <c r="K1365" s="1174"/>
      <c r="L1365" s="1172"/>
      <c r="M1365" s="1172"/>
      <c r="N1365" s="1175"/>
      <c r="O1365" s="143"/>
      <c r="P1365" s="1196"/>
      <c r="Q1365" s="141"/>
      <c r="R1365" s="141"/>
      <c r="S1365" s="148"/>
      <c r="T1365" s="419"/>
      <c r="U1365" s="559"/>
      <c r="V1365" s="141"/>
      <c r="W1365" s="141"/>
      <c r="X1365" s="141"/>
      <c r="Y1365" s="144"/>
      <c r="Z1365" s="141"/>
      <c r="AA1365" s="141"/>
      <c r="AB1365" s="141"/>
      <c r="AC1365" s="141"/>
      <c r="AD1365" s="141"/>
      <c r="AE1365" s="141"/>
      <c r="AF1365" s="145"/>
      <c r="AG1365" s="419"/>
    </row>
    <row r="1366" spans="1:33" s="139" customFormat="1" ht="12.75" customHeight="1" x14ac:dyDescent="0.2">
      <c r="A1366" s="141"/>
      <c r="B1366" s="141"/>
      <c r="C1366" s="141"/>
      <c r="D1366" s="141"/>
      <c r="E1366" s="1014"/>
      <c r="F1366" s="1014"/>
      <c r="G1366" s="1027"/>
      <c r="H1366" s="1027"/>
      <c r="I1366" s="1174"/>
      <c r="J1366" s="1174"/>
      <c r="K1366" s="1174"/>
      <c r="L1366" s="1172"/>
      <c r="M1366" s="1172"/>
      <c r="N1366" s="1175"/>
      <c r="O1366" s="143"/>
      <c r="P1366" s="1196"/>
      <c r="Q1366" s="141"/>
      <c r="R1366" s="141"/>
      <c r="S1366" s="148"/>
      <c r="T1366" s="419"/>
      <c r="U1366" s="559"/>
      <c r="V1366" s="141"/>
      <c r="W1366" s="141"/>
      <c r="X1366" s="141"/>
      <c r="Y1366" s="144"/>
      <c r="Z1366" s="141"/>
      <c r="AA1366" s="141"/>
      <c r="AB1366" s="141"/>
      <c r="AC1366" s="141"/>
      <c r="AD1366" s="141"/>
      <c r="AE1366" s="141"/>
      <c r="AF1366" s="145"/>
      <c r="AG1366" s="419"/>
    </row>
    <row r="1367" spans="1:33" s="139" customFormat="1" ht="12.75" customHeight="1" x14ac:dyDescent="0.2">
      <c r="A1367" s="141"/>
      <c r="B1367" s="141"/>
      <c r="C1367" s="141"/>
      <c r="D1367" s="141"/>
      <c r="E1367" s="1014"/>
      <c r="F1367" s="1014"/>
      <c r="G1367" s="1027"/>
      <c r="H1367" s="1027"/>
      <c r="I1367" s="1174"/>
      <c r="J1367" s="1174"/>
      <c r="K1367" s="1174"/>
      <c r="L1367" s="1172"/>
      <c r="M1367" s="1172"/>
      <c r="N1367" s="1175"/>
      <c r="O1367" s="143"/>
      <c r="P1367" s="1196"/>
      <c r="Q1367" s="141"/>
      <c r="R1367" s="141"/>
      <c r="S1367" s="148"/>
      <c r="T1367" s="419"/>
      <c r="U1367" s="559"/>
      <c r="V1367" s="141"/>
      <c r="W1367" s="141"/>
      <c r="X1367" s="141"/>
      <c r="Y1367" s="144"/>
      <c r="Z1367" s="141"/>
      <c r="AA1367" s="141"/>
      <c r="AB1367" s="141"/>
      <c r="AC1367" s="141"/>
      <c r="AD1367" s="141"/>
      <c r="AE1367" s="141"/>
      <c r="AF1367" s="145"/>
      <c r="AG1367" s="419"/>
    </row>
    <row r="1368" spans="1:33" s="139" customFormat="1" ht="12.75" customHeight="1" x14ac:dyDescent="0.2">
      <c r="A1368" s="141"/>
      <c r="B1368" s="141"/>
      <c r="C1368" s="141"/>
      <c r="D1368" s="141"/>
      <c r="E1368" s="1014"/>
      <c r="F1368" s="1014"/>
      <c r="G1368" s="1027"/>
      <c r="H1368" s="1027"/>
      <c r="I1368" s="1174"/>
      <c r="J1368" s="1174"/>
      <c r="K1368" s="1174"/>
      <c r="L1368" s="1172"/>
      <c r="M1368" s="1172"/>
      <c r="N1368" s="1175"/>
      <c r="O1368" s="143"/>
      <c r="P1368" s="1196"/>
      <c r="Q1368" s="141"/>
      <c r="R1368" s="141"/>
      <c r="S1368" s="148"/>
      <c r="T1368" s="419"/>
      <c r="U1368" s="559"/>
      <c r="V1368" s="141"/>
      <c r="W1368" s="141"/>
      <c r="X1368" s="141"/>
      <c r="Y1368" s="144"/>
      <c r="Z1368" s="141"/>
      <c r="AA1368" s="141"/>
      <c r="AB1368" s="141"/>
      <c r="AC1368" s="141"/>
      <c r="AD1368" s="141"/>
      <c r="AE1368" s="141"/>
      <c r="AF1368" s="145"/>
      <c r="AG1368" s="419"/>
    </row>
    <row r="1369" spans="1:33" s="139" customFormat="1" ht="12.75" customHeight="1" x14ac:dyDescent="0.2">
      <c r="A1369" s="141"/>
      <c r="B1369" s="141"/>
      <c r="C1369" s="141"/>
      <c r="D1369" s="141"/>
      <c r="E1369" s="1014"/>
      <c r="F1369" s="1014"/>
      <c r="G1369" s="1027"/>
      <c r="H1369" s="1027"/>
      <c r="I1369" s="1174"/>
      <c r="J1369" s="1174"/>
      <c r="K1369" s="1174"/>
      <c r="L1369" s="1172"/>
      <c r="M1369" s="1172"/>
      <c r="N1369" s="1175"/>
      <c r="O1369" s="143"/>
      <c r="P1369" s="1196"/>
      <c r="Q1369" s="141"/>
      <c r="R1369" s="141"/>
      <c r="S1369" s="148"/>
      <c r="T1369" s="419"/>
      <c r="U1369" s="559"/>
      <c r="V1369" s="141"/>
      <c r="W1369" s="141"/>
      <c r="X1369" s="141"/>
      <c r="Y1369" s="144"/>
      <c r="Z1369" s="141"/>
      <c r="AA1369" s="141"/>
      <c r="AB1369" s="141"/>
      <c r="AC1369" s="141"/>
      <c r="AD1369" s="141"/>
      <c r="AE1369" s="141"/>
      <c r="AF1369" s="145"/>
      <c r="AG1369" s="419"/>
    </row>
    <row r="1370" spans="1:33" s="139" customFormat="1" ht="12.75" customHeight="1" x14ac:dyDescent="0.2">
      <c r="A1370" s="141"/>
      <c r="B1370" s="141"/>
      <c r="C1370" s="141"/>
      <c r="D1370" s="141"/>
      <c r="E1370" s="1014"/>
      <c r="F1370" s="1014"/>
      <c r="G1370" s="1027"/>
      <c r="H1370" s="1027"/>
      <c r="I1370" s="1174"/>
      <c r="J1370" s="1174"/>
      <c r="K1370" s="1174"/>
      <c r="L1370" s="1172"/>
      <c r="M1370" s="1172"/>
      <c r="N1370" s="1175"/>
      <c r="O1370" s="143"/>
      <c r="P1370" s="1196"/>
      <c r="Q1370" s="141"/>
      <c r="R1370" s="141"/>
      <c r="S1370" s="148"/>
      <c r="T1370" s="419"/>
      <c r="U1370" s="559"/>
      <c r="V1370" s="141"/>
      <c r="W1370" s="141"/>
      <c r="X1370" s="141"/>
      <c r="Y1370" s="144"/>
      <c r="Z1370" s="141"/>
      <c r="AA1370" s="141"/>
      <c r="AB1370" s="141"/>
      <c r="AC1370" s="141"/>
      <c r="AD1370" s="141"/>
      <c r="AE1370" s="141"/>
      <c r="AF1370" s="145"/>
      <c r="AG1370" s="419"/>
    </row>
    <row r="1371" spans="1:33" s="139" customFormat="1" ht="12.75" customHeight="1" x14ac:dyDescent="0.2">
      <c r="A1371" s="141"/>
      <c r="B1371" s="141"/>
      <c r="C1371" s="141"/>
      <c r="D1371" s="141"/>
      <c r="E1371" s="1014"/>
      <c r="F1371" s="1014"/>
      <c r="G1371" s="1027"/>
      <c r="H1371" s="1027"/>
      <c r="I1371" s="1174"/>
      <c r="J1371" s="1174"/>
      <c r="K1371" s="1174"/>
      <c r="L1371" s="1172"/>
      <c r="M1371" s="1172"/>
      <c r="N1371" s="1175"/>
      <c r="O1371" s="143"/>
      <c r="P1371" s="1196"/>
      <c r="Q1371" s="141"/>
      <c r="R1371" s="141"/>
      <c r="S1371" s="148"/>
      <c r="T1371" s="419"/>
      <c r="U1371" s="559"/>
      <c r="V1371" s="141"/>
      <c r="W1371" s="141"/>
      <c r="X1371" s="141"/>
      <c r="Y1371" s="144"/>
      <c r="Z1371" s="141"/>
      <c r="AA1371" s="141"/>
      <c r="AB1371" s="141"/>
      <c r="AC1371" s="141"/>
      <c r="AD1371" s="141"/>
      <c r="AE1371" s="141"/>
      <c r="AF1371" s="145"/>
      <c r="AG1371" s="419"/>
    </row>
    <row r="1372" spans="1:33" s="139" customFormat="1" ht="12.75" customHeight="1" x14ac:dyDescent="0.2">
      <c r="A1372" s="141"/>
      <c r="B1372" s="141"/>
      <c r="C1372" s="141"/>
      <c r="D1372" s="141"/>
      <c r="E1372" s="1014"/>
      <c r="F1372" s="1014"/>
      <c r="G1372" s="1027"/>
      <c r="H1372" s="1027"/>
      <c r="I1372" s="1174"/>
      <c r="J1372" s="1174"/>
      <c r="K1372" s="1174"/>
      <c r="L1372" s="1172"/>
      <c r="M1372" s="1172"/>
      <c r="N1372" s="1175"/>
      <c r="O1372" s="143"/>
      <c r="P1372" s="1196"/>
      <c r="Q1372" s="141"/>
      <c r="R1372" s="141"/>
      <c r="S1372" s="148"/>
      <c r="T1372" s="419"/>
      <c r="U1372" s="559"/>
      <c r="V1372" s="141"/>
      <c r="W1372" s="141"/>
      <c r="X1372" s="141"/>
      <c r="Y1372" s="144"/>
      <c r="Z1372" s="141"/>
      <c r="AA1372" s="141"/>
      <c r="AB1372" s="141"/>
      <c r="AC1372" s="141"/>
      <c r="AD1372" s="141"/>
      <c r="AE1372" s="141"/>
      <c r="AF1372" s="145"/>
      <c r="AG1372" s="419"/>
    </row>
    <row r="1373" spans="1:33" s="139" customFormat="1" ht="12.75" customHeight="1" x14ac:dyDescent="0.2">
      <c r="A1373" s="141"/>
      <c r="B1373" s="141"/>
      <c r="C1373" s="141"/>
      <c r="D1373" s="141"/>
      <c r="E1373" s="1014"/>
      <c r="F1373" s="1014"/>
      <c r="G1373" s="1027"/>
      <c r="H1373" s="1027"/>
      <c r="I1373" s="1174"/>
      <c r="J1373" s="1174"/>
      <c r="K1373" s="1174"/>
      <c r="L1373" s="1172"/>
      <c r="M1373" s="1172"/>
      <c r="N1373" s="1175"/>
      <c r="O1373" s="143"/>
      <c r="P1373" s="1196"/>
      <c r="Q1373" s="141"/>
      <c r="R1373" s="141"/>
      <c r="S1373" s="148"/>
      <c r="T1373" s="419"/>
      <c r="U1373" s="559"/>
      <c r="V1373" s="141"/>
      <c r="W1373" s="141"/>
      <c r="X1373" s="141"/>
      <c r="Y1373" s="144"/>
      <c r="Z1373" s="141"/>
      <c r="AA1373" s="141"/>
      <c r="AB1373" s="141"/>
      <c r="AC1373" s="141"/>
      <c r="AD1373" s="141"/>
      <c r="AE1373" s="141"/>
      <c r="AF1373" s="145"/>
      <c r="AG1373" s="419"/>
    </row>
    <row r="1374" spans="1:33" s="139" customFormat="1" ht="12.75" customHeight="1" x14ac:dyDescent="0.2">
      <c r="A1374" s="141"/>
      <c r="B1374" s="141"/>
      <c r="C1374" s="141"/>
      <c r="D1374" s="141"/>
      <c r="E1374" s="1014"/>
      <c r="F1374" s="1014"/>
      <c r="G1374" s="1027"/>
      <c r="H1374" s="1027"/>
      <c r="I1374" s="1174"/>
      <c r="J1374" s="1174"/>
      <c r="K1374" s="1174"/>
      <c r="L1374" s="1172"/>
      <c r="M1374" s="1172"/>
      <c r="N1374" s="1175"/>
      <c r="O1374" s="143"/>
      <c r="P1374" s="1196"/>
      <c r="Q1374" s="141"/>
      <c r="R1374" s="141"/>
      <c r="S1374" s="148"/>
      <c r="T1374" s="419"/>
      <c r="U1374" s="559"/>
      <c r="V1374" s="141"/>
      <c r="W1374" s="141"/>
      <c r="X1374" s="141"/>
      <c r="Y1374" s="144"/>
      <c r="Z1374" s="141"/>
      <c r="AA1374" s="141"/>
      <c r="AB1374" s="141"/>
      <c r="AC1374" s="141"/>
      <c r="AD1374" s="141"/>
      <c r="AE1374" s="141"/>
      <c r="AF1374" s="145"/>
      <c r="AG1374" s="419"/>
    </row>
    <row r="1375" spans="1:33" s="139" customFormat="1" ht="12.75" customHeight="1" x14ac:dyDescent="0.2">
      <c r="A1375" s="141"/>
      <c r="B1375" s="141"/>
      <c r="C1375" s="141"/>
      <c r="D1375" s="141"/>
      <c r="E1375" s="1014"/>
      <c r="F1375" s="1014"/>
      <c r="G1375" s="1027"/>
      <c r="H1375" s="1027"/>
      <c r="I1375" s="1174"/>
      <c r="J1375" s="1174"/>
      <c r="K1375" s="1174"/>
      <c r="L1375" s="1172"/>
      <c r="M1375" s="1172"/>
      <c r="N1375" s="1175"/>
      <c r="O1375" s="143"/>
      <c r="P1375" s="1196"/>
      <c r="Q1375" s="141"/>
      <c r="R1375" s="141"/>
      <c r="S1375" s="148"/>
      <c r="T1375" s="419"/>
      <c r="U1375" s="559"/>
      <c r="V1375" s="141"/>
      <c r="W1375" s="141"/>
      <c r="X1375" s="141"/>
      <c r="Y1375" s="144"/>
      <c r="Z1375" s="141"/>
      <c r="AA1375" s="141"/>
      <c r="AB1375" s="141"/>
      <c r="AC1375" s="141"/>
      <c r="AD1375" s="141"/>
      <c r="AE1375" s="141"/>
      <c r="AF1375" s="145"/>
      <c r="AG1375" s="419"/>
    </row>
    <row r="1376" spans="1:33" s="139" customFormat="1" ht="12.75" customHeight="1" x14ac:dyDescent="0.2">
      <c r="A1376" s="141"/>
      <c r="B1376" s="141"/>
      <c r="C1376" s="141"/>
      <c r="D1376" s="141"/>
      <c r="E1376" s="1014"/>
      <c r="F1376" s="1014"/>
      <c r="G1376" s="1027"/>
      <c r="H1376" s="1027"/>
      <c r="I1376" s="1174"/>
      <c r="J1376" s="1174"/>
      <c r="K1376" s="1174"/>
      <c r="L1376" s="1172"/>
      <c r="M1376" s="1172"/>
      <c r="N1376" s="1175"/>
      <c r="O1376" s="143"/>
      <c r="P1376" s="1196"/>
      <c r="Q1376" s="141"/>
      <c r="R1376" s="141"/>
      <c r="S1376" s="148"/>
      <c r="T1376" s="419"/>
      <c r="U1376" s="559"/>
      <c r="V1376" s="141"/>
      <c r="W1376" s="141"/>
      <c r="X1376" s="141"/>
      <c r="Y1376" s="144"/>
      <c r="Z1376" s="141"/>
      <c r="AA1376" s="141"/>
      <c r="AB1376" s="141"/>
      <c r="AC1376" s="141"/>
      <c r="AD1376" s="141"/>
      <c r="AE1376" s="141"/>
      <c r="AF1376" s="145"/>
      <c r="AG1376" s="419"/>
    </row>
    <row r="1377" spans="1:33" s="139" customFormat="1" ht="12.75" customHeight="1" x14ac:dyDescent="0.2">
      <c r="A1377" s="141"/>
      <c r="B1377" s="141"/>
      <c r="C1377" s="141"/>
      <c r="D1377" s="141"/>
      <c r="E1377" s="1014"/>
      <c r="F1377" s="1014"/>
      <c r="G1377" s="1027"/>
      <c r="H1377" s="1027"/>
      <c r="I1377" s="1174"/>
      <c r="J1377" s="1174"/>
      <c r="K1377" s="1174"/>
      <c r="L1377" s="1172"/>
      <c r="M1377" s="1172"/>
      <c r="N1377" s="1175"/>
      <c r="O1377" s="143"/>
      <c r="P1377" s="1196"/>
      <c r="Q1377" s="141"/>
      <c r="R1377" s="141"/>
      <c r="S1377" s="148"/>
      <c r="T1377" s="419"/>
      <c r="U1377" s="559"/>
      <c r="V1377" s="141"/>
      <c r="W1377" s="141"/>
      <c r="X1377" s="141"/>
      <c r="Y1377" s="144"/>
      <c r="Z1377" s="141"/>
      <c r="AA1377" s="141"/>
      <c r="AB1377" s="141"/>
      <c r="AC1377" s="141"/>
      <c r="AD1377" s="141"/>
      <c r="AE1377" s="141"/>
      <c r="AF1377" s="145"/>
      <c r="AG1377" s="419"/>
    </row>
    <row r="1378" spans="1:33" s="139" customFormat="1" ht="12.75" customHeight="1" x14ac:dyDescent="0.2">
      <c r="A1378" s="141"/>
      <c r="B1378" s="141"/>
      <c r="C1378" s="141"/>
      <c r="D1378" s="141"/>
      <c r="E1378" s="1014"/>
      <c r="F1378" s="1014"/>
      <c r="G1378" s="1027"/>
      <c r="H1378" s="1027"/>
      <c r="I1378" s="1174"/>
      <c r="J1378" s="1174"/>
      <c r="K1378" s="1174"/>
      <c r="L1378" s="1172"/>
      <c r="M1378" s="1172"/>
      <c r="N1378" s="1175"/>
      <c r="O1378" s="143"/>
      <c r="P1378" s="1196"/>
      <c r="Q1378" s="141"/>
      <c r="R1378" s="141"/>
      <c r="S1378" s="148"/>
      <c r="T1378" s="419"/>
      <c r="U1378" s="559"/>
      <c r="V1378" s="141"/>
      <c r="W1378" s="141"/>
      <c r="X1378" s="141"/>
      <c r="Y1378" s="144"/>
      <c r="Z1378" s="141"/>
      <c r="AA1378" s="141"/>
      <c r="AB1378" s="141"/>
      <c r="AC1378" s="141"/>
      <c r="AD1378" s="141"/>
      <c r="AE1378" s="141"/>
      <c r="AF1378" s="145"/>
      <c r="AG1378" s="419"/>
    </row>
    <row r="1379" spans="1:33" s="139" customFormat="1" ht="12.75" customHeight="1" x14ac:dyDescent="0.2">
      <c r="A1379" s="141"/>
      <c r="B1379" s="141"/>
      <c r="C1379" s="141"/>
      <c r="D1379" s="141"/>
      <c r="E1379" s="1014"/>
      <c r="F1379" s="1014"/>
      <c r="G1379" s="1027"/>
      <c r="H1379" s="1027"/>
      <c r="I1379" s="1174"/>
      <c r="J1379" s="1174"/>
      <c r="K1379" s="1174"/>
      <c r="L1379" s="1172"/>
      <c r="M1379" s="1172"/>
      <c r="N1379" s="1175"/>
      <c r="O1379" s="143"/>
      <c r="P1379" s="1196"/>
      <c r="Q1379" s="141"/>
      <c r="R1379" s="141"/>
      <c r="S1379" s="148"/>
      <c r="T1379" s="419"/>
      <c r="U1379" s="559"/>
      <c r="V1379" s="141"/>
      <c r="W1379" s="141"/>
      <c r="X1379" s="141"/>
      <c r="Y1379" s="144"/>
      <c r="Z1379" s="141"/>
      <c r="AA1379" s="141"/>
      <c r="AB1379" s="141"/>
      <c r="AC1379" s="141"/>
      <c r="AD1379" s="141"/>
      <c r="AE1379" s="141"/>
      <c r="AF1379" s="145"/>
      <c r="AG1379" s="419"/>
    </row>
    <row r="1380" spans="1:33" s="139" customFormat="1" ht="12.75" customHeight="1" x14ac:dyDescent="0.2">
      <c r="A1380" s="141"/>
      <c r="B1380" s="141"/>
      <c r="C1380" s="141"/>
      <c r="D1380" s="141"/>
      <c r="E1380" s="1014"/>
      <c r="F1380" s="1014"/>
      <c r="G1380" s="1027"/>
      <c r="H1380" s="1027"/>
      <c r="I1380" s="1174"/>
      <c r="J1380" s="1174"/>
      <c r="K1380" s="1174"/>
      <c r="L1380" s="1172"/>
      <c r="M1380" s="1172"/>
      <c r="N1380" s="1175"/>
      <c r="O1380" s="143"/>
      <c r="P1380" s="1196"/>
      <c r="Q1380" s="141"/>
      <c r="R1380" s="141"/>
      <c r="S1380" s="148"/>
      <c r="T1380" s="419"/>
      <c r="U1380" s="559"/>
      <c r="V1380" s="141"/>
      <c r="W1380" s="141"/>
      <c r="X1380" s="141"/>
      <c r="Y1380" s="144"/>
      <c r="Z1380" s="141"/>
      <c r="AA1380" s="141"/>
      <c r="AB1380" s="141"/>
      <c r="AC1380" s="141"/>
      <c r="AD1380" s="141"/>
      <c r="AE1380" s="141"/>
      <c r="AF1380" s="145"/>
      <c r="AG1380" s="419"/>
    </row>
    <row r="1381" spans="1:33" s="139" customFormat="1" ht="12.75" customHeight="1" x14ac:dyDescent="0.2">
      <c r="A1381" s="141"/>
      <c r="B1381" s="141"/>
      <c r="C1381" s="141"/>
      <c r="D1381" s="141"/>
      <c r="E1381" s="1014"/>
      <c r="F1381" s="1014"/>
      <c r="G1381" s="1027"/>
      <c r="H1381" s="1027"/>
      <c r="I1381" s="1174"/>
      <c r="J1381" s="1174"/>
      <c r="K1381" s="1174"/>
      <c r="L1381" s="1172"/>
      <c r="M1381" s="1172"/>
      <c r="N1381" s="1175"/>
      <c r="O1381" s="143"/>
      <c r="P1381" s="1196"/>
      <c r="Q1381" s="141"/>
      <c r="R1381" s="141"/>
      <c r="S1381" s="148"/>
      <c r="T1381" s="419"/>
      <c r="U1381" s="559"/>
      <c r="V1381" s="141"/>
      <c r="W1381" s="141"/>
      <c r="X1381" s="141"/>
      <c r="Y1381" s="144"/>
      <c r="Z1381" s="141"/>
      <c r="AA1381" s="141"/>
      <c r="AB1381" s="141"/>
      <c r="AC1381" s="141"/>
      <c r="AD1381" s="141"/>
      <c r="AE1381" s="141"/>
      <c r="AF1381" s="145"/>
      <c r="AG1381" s="419"/>
    </row>
    <row r="1382" spans="1:33" s="139" customFormat="1" ht="12.75" customHeight="1" x14ac:dyDescent="0.2">
      <c r="A1382" s="141"/>
      <c r="B1382" s="141"/>
      <c r="C1382" s="141"/>
      <c r="D1382" s="141"/>
      <c r="E1382" s="1014"/>
      <c r="F1382" s="1014"/>
      <c r="G1382" s="1027"/>
      <c r="H1382" s="1027"/>
      <c r="I1382" s="1174"/>
      <c r="J1382" s="1174"/>
      <c r="K1382" s="1174"/>
      <c r="L1382" s="1172"/>
      <c r="M1382" s="1172"/>
      <c r="N1382" s="1175"/>
      <c r="O1382" s="143"/>
      <c r="P1382" s="1196"/>
      <c r="Q1382" s="141"/>
      <c r="R1382" s="141"/>
      <c r="S1382" s="148"/>
      <c r="T1382" s="419"/>
      <c r="U1382" s="559"/>
      <c r="V1382" s="141"/>
      <c r="W1382" s="141"/>
      <c r="X1382" s="141"/>
      <c r="Y1382" s="144"/>
      <c r="Z1382" s="141"/>
      <c r="AA1382" s="141"/>
      <c r="AB1382" s="141"/>
      <c r="AC1382" s="141"/>
      <c r="AD1382" s="141"/>
      <c r="AE1382" s="141"/>
      <c r="AF1382" s="145"/>
      <c r="AG1382" s="419"/>
    </row>
    <row r="1383" spans="1:33" s="139" customFormat="1" ht="12.75" customHeight="1" x14ac:dyDescent="0.2">
      <c r="A1383" s="141"/>
      <c r="B1383" s="141"/>
      <c r="C1383" s="141"/>
      <c r="D1383" s="141"/>
      <c r="E1383" s="1014"/>
      <c r="F1383" s="1014"/>
      <c r="G1383" s="1027"/>
      <c r="H1383" s="1027"/>
      <c r="I1383" s="1174"/>
      <c r="J1383" s="1174"/>
      <c r="K1383" s="1174"/>
      <c r="L1383" s="1172"/>
      <c r="M1383" s="1172"/>
      <c r="N1383" s="1175"/>
      <c r="O1383" s="143"/>
      <c r="P1383" s="1196"/>
      <c r="Q1383" s="141"/>
      <c r="R1383" s="141"/>
      <c r="S1383" s="148"/>
      <c r="T1383" s="419"/>
      <c r="U1383" s="559"/>
      <c r="V1383" s="141"/>
      <c r="W1383" s="141"/>
      <c r="X1383" s="141"/>
      <c r="Y1383" s="144"/>
      <c r="Z1383" s="141"/>
      <c r="AA1383" s="141"/>
      <c r="AB1383" s="141"/>
      <c r="AC1383" s="141"/>
      <c r="AD1383" s="141"/>
      <c r="AE1383" s="141"/>
      <c r="AF1383" s="145"/>
      <c r="AG1383" s="419"/>
    </row>
    <row r="1384" spans="1:33" s="139" customFormat="1" ht="12.75" customHeight="1" x14ac:dyDescent="0.2">
      <c r="A1384" s="141"/>
      <c r="B1384" s="141"/>
      <c r="C1384" s="141"/>
      <c r="D1384" s="141"/>
      <c r="E1384" s="1014"/>
      <c r="F1384" s="1014"/>
      <c r="G1384" s="1027"/>
      <c r="H1384" s="1027"/>
      <c r="I1384" s="1174"/>
      <c r="J1384" s="1174"/>
      <c r="K1384" s="1174"/>
      <c r="L1384" s="1172"/>
      <c r="M1384" s="1172"/>
      <c r="N1384" s="1175"/>
      <c r="O1384" s="143"/>
      <c r="P1384" s="1196"/>
      <c r="Q1384" s="141"/>
      <c r="R1384" s="141"/>
      <c r="S1384" s="148"/>
      <c r="T1384" s="419"/>
      <c r="U1384" s="559"/>
      <c r="V1384" s="141"/>
      <c r="W1384" s="141"/>
      <c r="X1384" s="141"/>
      <c r="Y1384" s="144"/>
      <c r="Z1384" s="141"/>
      <c r="AA1384" s="141"/>
      <c r="AB1384" s="141"/>
      <c r="AC1384" s="141"/>
      <c r="AD1384" s="141"/>
      <c r="AE1384" s="141"/>
      <c r="AF1384" s="145"/>
      <c r="AG1384" s="419"/>
    </row>
    <row r="1385" spans="1:33" s="139" customFormat="1" ht="12.75" customHeight="1" x14ac:dyDescent="0.2">
      <c r="A1385" s="141"/>
      <c r="B1385" s="141"/>
      <c r="C1385" s="141"/>
      <c r="D1385" s="141"/>
      <c r="E1385" s="1014"/>
      <c r="F1385" s="1014"/>
      <c r="G1385" s="1027"/>
      <c r="H1385" s="1027"/>
      <c r="I1385" s="1174"/>
      <c r="J1385" s="1174"/>
      <c r="K1385" s="1174"/>
      <c r="L1385" s="1172"/>
      <c r="M1385" s="1172"/>
      <c r="N1385" s="1175"/>
      <c r="O1385" s="143"/>
      <c r="P1385" s="1196"/>
      <c r="Q1385" s="141"/>
      <c r="R1385" s="141"/>
      <c r="S1385" s="148"/>
      <c r="T1385" s="419"/>
      <c r="U1385" s="559"/>
      <c r="V1385" s="141"/>
      <c r="W1385" s="141"/>
      <c r="X1385" s="141"/>
      <c r="Y1385" s="144"/>
      <c r="Z1385" s="141"/>
      <c r="AA1385" s="141"/>
      <c r="AB1385" s="141"/>
      <c r="AC1385" s="141"/>
      <c r="AD1385" s="141"/>
      <c r="AE1385" s="141"/>
      <c r="AF1385" s="145"/>
      <c r="AG1385" s="419"/>
    </row>
    <row r="1386" spans="1:33" s="139" customFormat="1" ht="12.75" customHeight="1" x14ac:dyDescent="0.2">
      <c r="A1386" s="141"/>
      <c r="B1386" s="141"/>
      <c r="C1386" s="141"/>
      <c r="D1386" s="141"/>
      <c r="E1386" s="1014"/>
      <c r="F1386" s="1014"/>
      <c r="G1386" s="1027"/>
      <c r="H1386" s="1027"/>
      <c r="I1386" s="1174"/>
      <c r="J1386" s="1174"/>
      <c r="K1386" s="1174"/>
      <c r="L1386" s="1172"/>
      <c r="M1386" s="1172"/>
      <c r="N1386" s="1175"/>
      <c r="O1386" s="143"/>
      <c r="P1386" s="1196"/>
      <c r="Q1386" s="141"/>
      <c r="R1386" s="141"/>
      <c r="S1386" s="148"/>
      <c r="T1386" s="419"/>
      <c r="U1386" s="559"/>
      <c r="V1386" s="141"/>
      <c r="W1386" s="141"/>
      <c r="X1386" s="141"/>
      <c r="Y1386" s="144"/>
      <c r="Z1386" s="141"/>
      <c r="AA1386" s="141"/>
      <c r="AB1386" s="141"/>
      <c r="AC1386" s="141"/>
      <c r="AD1386" s="141"/>
      <c r="AE1386" s="141"/>
      <c r="AF1386" s="145"/>
      <c r="AG1386" s="419"/>
    </row>
    <row r="1387" spans="1:33" s="139" customFormat="1" ht="12.75" customHeight="1" x14ac:dyDescent="0.2">
      <c r="A1387" s="141"/>
      <c r="B1387" s="141"/>
      <c r="C1387" s="141"/>
      <c r="D1387" s="141"/>
      <c r="E1387" s="1014"/>
      <c r="F1387" s="1014"/>
      <c r="G1387" s="1027"/>
      <c r="H1387" s="1027"/>
      <c r="I1387" s="1174"/>
      <c r="J1387" s="1174"/>
      <c r="K1387" s="1174"/>
      <c r="L1387" s="1172"/>
      <c r="M1387" s="1172"/>
      <c r="N1387" s="1175"/>
      <c r="O1387" s="143"/>
      <c r="P1387" s="1196"/>
      <c r="Q1387" s="141"/>
      <c r="R1387" s="141"/>
      <c r="S1387" s="148"/>
      <c r="T1387" s="419"/>
      <c r="U1387" s="559"/>
      <c r="V1387" s="141"/>
      <c r="W1387" s="141"/>
      <c r="X1387" s="141"/>
      <c r="Y1387" s="144"/>
      <c r="Z1387" s="141"/>
      <c r="AA1387" s="141"/>
      <c r="AB1387" s="141"/>
      <c r="AC1387" s="141"/>
      <c r="AD1387" s="141"/>
      <c r="AE1387" s="141"/>
      <c r="AF1387" s="145"/>
      <c r="AG1387" s="419"/>
    </row>
    <row r="1388" spans="1:33" s="139" customFormat="1" ht="12.75" customHeight="1" x14ac:dyDescent="0.2">
      <c r="A1388" s="141"/>
      <c r="B1388" s="141"/>
      <c r="C1388" s="141"/>
      <c r="D1388" s="141"/>
      <c r="E1388" s="1014"/>
      <c r="F1388" s="1014"/>
      <c r="G1388" s="1027"/>
      <c r="H1388" s="1027"/>
      <c r="I1388" s="1174"/>
      <c r="J1388" s="1174"/>
      <c r="K1388" s="1174"/>
      <c r="L1388" s="1172"/>
      <c r="M1388" s="1172"/>
      <c r="N1388" s="1175"/>
      <c r="O1388" s="143"/>
      <c r="P1388" s="1196"/>
      <c r="Q1388" s="141"/>
      <c r="R1388" s="141"/>
      <c r="S1388" s="148"/>
      <c r="T1388" s="419"/>
      <c r="U1388" s="559"/>
      <c r="V1388" s="141"/>
      <c r="W1388" s="141"/>
      <c r="X1388" s="141"/>
      <c r="Y1388" s="144"/>
      <c r="Z1388" s="141"/>
      <c r="AA1388" s="141"/>
      <c r="AB1388" s="141"/>
      <c r="AC1388" s="141"/>
      <c r="AD1388" s="141"/>
      <c r="AE1388" s="141"/>
      <c r="AF1388" s="145"/>
      <c r="AG1388" s="419"/>
    </row>
    <row r="1389" spans="1:33" s="139" customFormat="1" ht="12.75" customHeight="1" x14ac:dyDescent="0.2">
      <c r="A1389" s="141"/>
      <c r="B1389" s="141"/>
      <c r="C1389" s="141"/>
      <c r="D1389" s="141"/>
      <c r="E1389" s="1014"/>
      <c r="F1389" s="1014"/>
      <c r="G1389" s="1027"/>
      <c r="H1389" s="1027"/>
      <c r="I1389" s="1174"/>
      <c r="J1389" s="1174"/>
      <c r="K1389" s="1174"/>
      <c r="L1389" s="1172"/>
      <c r="M1389" s="1172"/>
      <c r="N1389" s="1175"/>
      <c r="O1389" s="143"/>
      <c r="P1389" s="1196"/>
      <c r="Q1389" s="141"/>
      <c r="R1389" s="141"/>
      <c r="S1389" s="148"/>
      <c r="T1389" s="419"/>
      <c r="U1389" s="559"/>
      <c r="V1389" s="141"/>
      <c r="W1389" s="141"/>
      <c r="X1389" s="141"/>
      <c r="Y1389" s="144"/>
      <c r="Z1389" s="141"/>
      <c r="AA1389" s="141"/>
      <c r="AB1389" s="141"/>
      <c r="AC1389" s="141"/>
      <c r="AD1389" s="141"/>
      <c r="AE1389" s="141"/>
      <c r="AF1389" s="145"/>
      <c r="AG1389" s="419"/>
    </row>
    <row r="1390" spans="1:33" s="139" customFormat="1" ht="12.75" customHeight="1" x14ac:dyDescent="0.2">
      <c r="A1390" s="141"/>
      <c r="B1390" s="141"/>
      <c r="C1390" s="141"/>
      <c r="D1390" s="141"/>
      <c r="E1390" s="1014"/>
      <c r="F1390" s="1014"/>
      <c r="G1390" s="1027"/>
      <c r="H1390" s="1027"/>
      <c r="I1390" s="1174"/>
      <c r="J1390" s="1174"/>
      <c r="K1390" s="1174"/>
      <c r="L1390" s="1172"/>
      <c r="M1390" s="1172"/>
      <c r="N1390" s="1175"/>
      <c r="O1390" s="143"/>
      <c r="P1390" s="1196"/>
      <c r="Q1390" s="141"/>
      <c r="R1390" s="141"/>
      <c r="S1390" s="148"/>
      <c r="T1390" s="419"/>
      <c r="U1390" s="559"/>
      <c r="V1390" s="141"/>
      <c r="W1390" s="141"/>
      <c r="X1390" s="141"/>
      <c r="Y1390" s="144"/>
      <c r="Z1390" s="141"/>
      <c r="AA1390" s="141"/>
      <c r="AB1390" s="141"/>
      <c r="AC1390" s="141"/>
      <c r="AD1390" s="141"/>
      <c r="AE1390" s="141"/>
      <c r="AF1390" s="145"/>
      <c r="AG1390" s="419"/>
    </row>
    <row r="1391" spans="1:33" s="139" customFormat="1" ht="12.75" customHeight="1" x14ac:dyDescent="0.2">
      <c r="A1391" s="141"/>
      <c r="B1391" s="141"/>
      <c r="C1391" s="141"/>
      <c r="D1391" s="141"/>
      <c r="E1391" s="1014"/>
      <c r="F1391" s="1014"/>
      <c r="G1391" s="1027"/>
      <c r="H1391" s="1027"/>
      <c r="I1391" s="1174"/>
      <c r="J1391" s="1174"/>
      <c r="K1391" s="1174"/>
      <c r="L1391" s="1172"/>
      <c r="M1391" s="1172"/>
      <c r="N1391" s="1175"/>
      <c r="O1391" s="143"/>
      <c r="P1391" s="1196"/>
      <c r="Q1391" s="141"/>
      <c r="R1391" s="141"/>
      <c r="S1391" s="148"/>
      <c r="T1391" s="419"/>
      <c r="U1391" s="559"/>
      <c r="V1391" s="141"/>
      <c r="W1391" s="141"/>
      <c r="X1391" s="141"/>
      <c r="Y1391" s="144"/>
      <c r="Z1391" s="141"/>
      <c r="AA1391" s="141"/>
      <c r="AB1391" s="141"/>
      <c r="AC1391" s="141"/>
      <c r="AD1391" s="141"/>
      <c r="AE1391" s="141"/>
      <c r="AF1391" s="145"/>
      <c r="AG1391" s="419"/>
    </row>
    <row r="1392" spans="1:33" s="139" customFormat="1" ht="12.75" customHeight="1" x14ac:dyDescent="0.2">
      <c r="A1392" s="141"/>
      <c r="B1392" s="141"/>
      <c r="C1392" s="141"/>
      <c r="D1392" s="141"/>
      <c r="E1392" s="1014"/>
      <c r="F1392" s="1014"/>
      <c r="G1392" s="1027"/>
      <c r="H1392" s="1027"/>
      <c r="I1392" s="1174"/>
      <c r="J1392" s="1174"/>
      <c r="K1392" s="1174"/>
      <c r="L1392" s="1172"/>
      <c r="M1392" s="1172"/>
      <c r="N1392" s="1175"/>
      <c r="O1392" s="143"/>
      <c r="P1392" s="1196"/>
      <c r="Q1392" s="141"/>
      <c r="R1392" s="141"/>
      <c r="S1392" s="148"/>
      <c r="T1392" s="419"/>
      <c r="U1392" s="559"/>
      <c r="V1392" s="141"/>
      <c r="W1392" s="141"/>
      <c r="X1392" s="141"/>
      <c r="Y1392" s="144"/>
      <c r="Z1392" s="141"/>
      <c r="AA1392" s="141"/>
      <c r="AB1392" s="141"/>
      <c r="AC1392" s="141"/>
      <c r="AD1392" s="141"/>
      <c r="AE1392" s="141"/>
      <c r="AF1392" s="145"/>
      <c r="AG1392" s="419"/>
    </row>
    <row r="1393" spans="1:33" s="139" customFormat="1" ht="12.75" customHeight="1" x14ac:dyDescent="0.2">
      <c r="A1393" s="141"/>
      <c r="B1393" s="141"/>
      <c r="C1393" s="141"/>
      <c r="D1393" s="141"/>
      <c r="E1393" s="1014"/>
      <c r="F1393" s="1014"/>
      <c r="G1393" s="1027"/>
      <c r="H1393" s="1027"/>
      <c r="I1393" s="1174"/>
      <c r="J1393" s="1174"/>
      <c r="K1393" s="1174"/>
      <c r="L1393" s="1172"/>
      <c r="M1393" s="1172"/>
      <c r="N1393" s="1175"/>
      <c r="O1393" s="143"/>
      <c r="P1393" s="1196"/>
      <c r="Q1393" s="141"/>
      <c r="R1393" s="141"/>
      <c r="S1393" s="148"/>
      <c r="T1393" s="419"/>
      <c r="U1393" s="559"/>
      <c r="V1393" s="141"/>
      <c r="W1393" s="141"/>
      <c r="X1393" s="141"/>
      <c r="Y1393" s="144"/>
      <c r="Z1393" s="141"/>
      <c r="AA1393" s="141"/>
      <c r="AB1393" s="141"/>
      <c r="AC1393" s="141"/>
      <c r="AD1393" s="141"/>
      <c r="AE1393" s="141"/>
      <c r="AF1393" s="145"/>
      <c r="AG1393" s="419"/>
    </row>
    <row r="1394" spans="1:33" s="139" customFormat="1" ht="12.75" customHeight="1" x14ac:dyDescent="0.2">
      <c r="A1394" s="141"/>
      <c r="B1394" s="141"/>
      <c r="C1394" s="141"/>
      <c r="D1394" s="141"/>
      <c r="E1394" s="1014"/>
      <c r="F1394" s="1014"/>
      <c r="G1394" s="1027"/>
      <c r="H1394" s="1027"/>
      <c r="I1394" s="1174"/>
      <c r="J1394" s="1174"/>
      <c r="K1394" s="1174"/>
      <c r="L1394" s="1172"/>
      <c r="M1394" s="1172"/>
      <c r="N1394" s="1175"/>
      <c r="O1394" s="143"/>
      <c r="P1394" s="1196"/>
      <c r="Q1394" s="141"/>
      <c r="R1394" s="141"/>
      <c r="S1394" s="148"/>
      <c r="T1394" s="419"/>
      <c r="U1394" s="559"/>
      <c r="V1394" s="141"/>
      <c r="W1394" s="141"/>
      <c r="X1394" s="141"/>
      <c r="Y1394" s="144"/>
      <c r="Z1394" s="141"/>
      <c r="AA1394" s="141"/>
      <c r="AB1394" s="141"/>
      <c r="AC1394" s="141"/>
      <c r="AD1394" s="141"/>
      <c r="AE1394" s="141"/>
      <c r="AF1394" s="145"/>
      <c r="AG1394" s="419"/>
    </row>
    <row r="1395" spans="1:33" s="139" customFormat="1" ht="12.75" customHeight="1" x14ac:dyDescent="0.2">
      <c r="A1395" s="141"/>
      <c r="B1395" s="141"/>
      <c r="C1395" s="141"/>
      <c r="D1395" s="141"/>
      <c r="E1395" s="1014"/>
      <c r="F1395" s="1014"/>
      <c r="G1395" s="1027"/>
      <c r="H1395" s="1027"/>
      <c r="I1395" s="1174"/>
      <c r="J1395" s="1174"/>
      <c r="K1395" s="1174"/>
      <c r="L1395" s="1172"/>
      <c r="M1395" s="1172"/>
      <c r="N1395" s="1175"/>
      <c r="O1395" s="143"/>
      <c r="P1395" s="1196"/>
      <c r="Q1395" s="141"/>
      <c r="R1395" s="141"/>
      <c r="S1395" s="148"/>
      <c r="T1395" s="419"/>
      <c r="U1395" s="559"/>
      <c r="V1395" s="141"/>
      <c r="W1395" s="141"/>
      <c r="X1395" s="141"/>
      <c r="Y1395" s="144"/>
      <c r="Z1395" s="141"/>
      <c r="AA1395" s="141"/>
      <c r="AB1395" s="141"/>
      <c r="AC1395" s="141"/>
      <c r="AD1395" s="141"/>
      <c r="AE1395" s="141"/>
      <c r="AF1395" s="145"/>
      <c r="AG1395" s="419"/>
    </row>
    <row r="1396" spans="1:33" s="139" customFormat="1" ht="12.75" customHeight="1" x14ac:dyDescent="0.2">
      <c r="A1396" s="141"/>
      <c r="B1396" s="141"/>
      <c r="C1396" s="141"/>
      <c r="D1396" s="141"/>
      <c r="E1396" s="1014"/>
      <c r="F1396" s="1014"/>
      <c r="G1396" s="1027"/>
      <c r="H1396" s="1027"/>
      <c r="I1396" s="1174"/>
      <c r="J1396" s="1174"/>
      <c r="K1396" s="1174"/>
      <c r="L1396" s="1172"/>
      <c r="M1396" s="1172"/>
      <c r="N1396" s="1175"/>
      <c r="O1396" s="143"/>
      <c r="P1396" s="1196"/>
      <c r="Q1396" s="141"/>
      <c r="R1396" s="141"/>
      <c r="S1396" s="148"/>
      <c r="T1396" s="419"/>
      <c r="U1396" s="559"/>
      <c r="V1396" s="141"/>
      <c r="W1396" s="141"/>
      <c r="X1396" s="141"/>
      <c r="Y1396" s="144"/>
      <c r="Z1396" s="141"/>
      <c r="AA1396" s="141"/>
      <c r="AB1396" s="141"/>
      <c r="AC1396" s="141"/>
      <c r="AD1396" s="141"/>
      <c r="AE1396" s="141"/>
      <c r="AF1396" s="145"/>
      <c r="AG1396" s="419"/>
    </row>
    <row r="1397" spans="1:33" s="139" customFormat="1" ht="12.75" customHeight="1" x14ac:dyDescent="0.2">
      <c r="A1397" s="141"/>
      <c r="B1397" s="141"/>
      <c r="C1397" s="141"/>
      <c r="D1397" s="141"/>
      <c r="E1397" s="1014"/>
      <c r="F1397" s="1014"/>
      <c r="G1397" s="1027"/>
      <c r="H1397" s="1027"/>
      <c r="I1397" s="1174"/>
      <c r="J1397" s="1174"/>
      <c r="K1397" s="1174"/>
      <c r="L1397" s="1172"/>
      <c r="M1397" s="1172"/>
      <c r="N1397" s="1175"/>
      <c r="O1397" s="143"/>
      <c r="P1397" s="1196"/>
      <c r="Q1397" s="141"/>
      <c r="R1397" s="141"/>
      <c r="S1397" s="148"/>
      <c r="T1397" s="419"/>
      <c r="U1397" s="559"/>
      <c r="V1397" s="141"/>
      <c r="W1397" s="141"/>
      <c r="X1397" s="141"/>
      <c r="Y1397" s="144"/>
      <c r="Z1397" s="141"/>
      <c r="AA1397" s="141"/>
      <c r="AB1397" s="141"/>
      <c r="AC1397" s="141"/>
      <c r="AD1397" s="141"/>
      <c r="AE1397" s="141"/>
      <c r="AF1397" s="145"/>
      <c r="AG1397" s="419"/>
    </row>
    <row r="1398" spans="1:33" s="139" customFormat="1" ht="12.75" customHeight="1" x14ac:dyDescent="0.2">
      <c r="A1398" s="141"/>
      <c r="B1398" s="141"/>
      <c r="C1398" s="141"/>
      <c r="D1398" s="141"/>
      <c r="E1398" s="1014"/>
      <c r="F1398" s="1014"/>
      <c r="G1398" s="1027"/>
      <c r="H1398" s="1027"/>
      <c r="I1398" s="1174"/>
      <c r="J1398" s="1174"/>
      <c r="K1398" s="1174"/>
      <c r="L1398" s="1172"/>
      <c r="M1398" s="1172"/>
      <c r="N1398" s="1175"/>
      <c r="O1398" s="143"/>
      <c r="P1398" s="1196"/>
      <c r="Q1398" s="141"/>
      <c r="R1398" s="141"/>
      <c r="S1398" s="148"/>
      <c r="T1398" s="419"/>
      <c r="U1398" s="559"/>
      <c r="V1398" s="141"/>
      <c r="W1398" s="141"/>
      <c r="X1398" s="141"/>
      <c r="Y1398" s="144"/>
      <c r="Z1398" s="141"/>
      <c r="AA1398" s="141"/>
      <c r="AB1398" s="141"/>
      <c r="AC1398" s="141"/>
      <c r="AD1398" s="141"/>
      <c r="AE1398" s="141"/>
      <c r="AF1398" s="145"/>
      <c r="AG1398" s="419"/>
    </row>
    <row r="1399" spans="1:33" s="139" customFormat="1" ht="12.75" customHeight="1" x14ac:dyDescent="0.2">
      <c r="A1399" s="141"/>
      <c r="B1399" s="141"/>
      <c r="C1399" s="141"/>
      <c r="D1399" s="141"/>
      <c r="E1399" s="1014"/>
      <c r="F1399" s="1014"/>
      <c r="G1399" s="1027"/>
      <c r="H1399" s="1027"/>
      <c r="I1399" s="1174"/>
      <c r="J1399" s="1174"/>
      <c r="K1399" s="1174"/>
      <c r="L1399" s="1172"/>
      <c r="M1399" s="1172"/>
      <c r="N1399" s="1175"/>
      <c r="O1399" s="143"/>
      <c r="P1399" s="1196"/>
      <c r="Q1399" s="141"/>
      <c r="R1399" s="141"/>
      <c r="S1399" s="148"/>
      <c r="T1399" s="419"/>
      <c r="U1399" s="559"/>
      <c r="V1399" s="141"/>
      <c r="W1399" s="141"/>
      <c r="X1399" s="141"/>
      <c r="Y1399" s="144"/>
      <c r="Z1399" s="141"/>
      <c r="AA1399" s="141"/>
      <c r="AB1399" s="141"/>
      <c r="AC1399" s="141"/>
      <c r="AD1399" s="141"/>
      <c r="AE1399" s="141"/>
      <c r="AF1399" s="145"/>
      <c r="AG1399" s="419"/>
    </row>
    <row r="1400" spans="1:33" s="139" customFormat="1" ht="12.75" customHeight="1" x14ac:dyDescent="0.2">
      <c r="A1400" s="141"/>
      <c r="B1400" s="141"/>
      <c r="C1400" s="141"/>
      <c r="D1400" s="141"/>
      <c r="E1400" s="1014"/>
      <c r="F1400" s="1014"/>
      <c r="G1400" s="1027"/>
      <c r="H1400" s="1027"/>
      <c r="I1400" s="1174"/>
      <c r="J1400" s="1174"/>
      <c r="K1400" s="1174"/>
      <c r="L1400" s="1172"/>
      <c r="M1400" s="1172"/>
      <c r="N1400" s="1175"/>
      <c r="O1400" s="143"/>
      <c r="P1400" s="1196"/>
      <c r="Q1400" s="141"/>
      <c r="R1400" s="141"/>
      <c r="S1400" s="148"/>
      <c r="T1400" s="419"/>
      <c r="U1400" s="559"/>
      <c r="V1400" s="141"/>
      <c r="W1400" s="141"/>
      <c r="X1400" s="141"/>
      <c r="Y1400" s="144"/>
      <c r="Z1400" s="141"/>
      <c r="AA1400" s="141"/>
      <c r="AB1400" s="141"/>
      <c r="AC1400" s="141"/>
      <c r="AD1400" s="141"/>
      <c r="AE1400" s="141"/>
      <c r="AF1400" s="145"/>
      <c r="AG1400" s="419"/>
    </row>
    <row r="1401" spans="1:33" s="139" customFormat="1" ht="12.75" customHeight="1" x14ac:dyDescent="0.2">
      <c r="A1401" s="141"/>
      <c r="B1401" s="141"/>
      <c r="C1401" s="141"/>
      <c r="D1401" s="141"/>
      <c r="E1401" s="1014"/>
      <c r="F1401" s="1014"/>
      <c r="G1401" s="1027"/>
      <c r="H1401" s="1027"/>
      <c r="I1401" s="1174"/>
      <c r="J1401" s="1174"/>
      <c r="K1401" s="1174"/>
      <c r="L1401" s="1172"/>
      <c r="M1401" s="1172"/>
      <c r="N1401" s="1175"/>
      <c r="O1401" s="143"/>
      <c r="P1401" s="1196"/>
      <c r="Q1401" s="141"/>
      <c r="R1401" s="141"/>
      <c r="S1401" s="148"/>
      <c r="T1401" s="419"/>
      <c r="U1401" s="559"/>
      <c r="V1401" s="141"/>
      <c r="W1401" s="141"/>
      <c r="X1401" s="141"/>
      <c r="Y1401" s="144"/>
      <c r="Z1401" s="141"/>
      <c r="AA1401" s="141"/>
      <c r="AB1401" s="141"/>
      <c r="AC1401" s="141"/>
      <c r="AD1401" s="141"/>
      <c r="AE1401" s="141"/>
      <c r="AF1401" s="145"/>
      <c r="AG1401" s="419"/>
    </row>
    <row r="1402" spans="1:33" s="139" customFormat="1" ht="12.75" customHeight="1" x14ac:dyDescent="0.2">
      <c r="A1402" s="141"/>
      <c r="B1402" s="141"/>
      <c r="C1402" s="141"/>
      <c r="D1402" s="141"/>
      <c r="E1402" s="1014"/>
      <c r="F1402" s="1014"/>
      <c r="G1402" s="1027"/>
      <c r="H1402" s="1027"/>
      <c r="I1402" s="1174"/>
      <c r="J1402" s="1174"/>
      <c r="K1402" s="1174"/>
      <c r="L1402" s="1172"/>
      <c r="M1402" s="1172"/>
      <c r="N1402" s="1175"/>
      <c r="O1402" s="143"/>
      <c r="P1402" s="1196"/>
      <c r="Q1402" s="141"/>
      <c r="R1402" s="141"/>
      <c r="S1402" s="148"/>
      <c r="T1402" s="419"/>
      <c r="U1402" s="559"/>
      <c r="V1402" s="141"/>
      <c r="W1402" s="141"/>
      <c r="X1402" s="141"/>
      <c r="Y1402" s="144"/>
      <c r="Z1402" s="141"/>
      <c r="AA1402" s="141"/>
      <c r="AB1402" s="141"/>
      <c r="AC1402" s="141"/>
      <c r="AD1402" s="141"/>
      <c r="AE1402" s="141"/>
      <c r="AF1402" s="145"/>
      <c r="AG1402" s="419"/>
    </row>
    <row r="1403" spans="1:33" s="139" customFormat="1" ht="12.75" customHeight="1" x14ac:dyDescent="0.2">
      <c r="A1403" s="141"/>
      <c r="B1403" s="141"/>
      <c r="C1403" s="141"/>
      <c r="D1403" s="141"/>
      <c r="E1403" s="1014"/>
      <c r="F1403" s="1014"/>
      <c r="G1403" s="1027"/>
      <c r="H1403" s="1027"/>
      <c r="I1403" s="1174"/>
      <c r="J1403" s="1174"/>
      <c r="K1403" s="1174"/>
      <c r="L1403" s="1172"/>
      <c r="M1403" s="1172"/>
      <c r="N1403" s="1175"/>
      <c r="O1403" s="143"/>
      <c r="P1403" s="1196"/>
      <c r="Q1403" s="141"/>
      <c r="R1403" s="141"/>
      <c r="S1403" s="148"/>
      <c r="T1403" s="419"/>
      <c r="U1403" s="559"/>
      <c r="V1403" s="141"/>
      <c r="W1403" s="141"/>
      <c r="X1403" s="141"/>
      <c r="Y1403" s="144"/>
      <c r="Z1403" s="141"/>
      <c r="AA1403" s="141"/>
      <c r="AB1403" s="141"/>
      <c r="AC1403" s="141"/>
      <c r="AD1403" s="141"/>
      <c r="AE1403" s="141"/>
      <c r="AF1403" s="145"/>
      <c r="AG1403" s="419"/>
    </row>
    <row r="1404" spans="1:33" s="139" customFormat="1" ht="12.75" customHeight="1" x14ac:dyDescent="0.2">
      <c r="A1404" s="141"/>
      <c r="B1404" s="141"/>
      <c r="C1404" s="141"/>
      <c r="D1404" s="141"/>
      <c r="E1404" s="1014"/>
      <c r="F1404" s="1014"/>
      <c r="G1404" s="1027"/>
      <c r="H1404" s="1027"/>
      <c r="I1404" s="1174"/>
      <c r="J1404" s="1174"/>
      <c r="K1404" s="1174"/>
      <c r="L1404" s="1172"/>
      <c r="M1404" s="1172"/>
      <c r="N1404" s="1175"/>
      <c r="O1404" s="143"/>
      <c r="P1404" s="1196"/>
      <c r="Q1404" s="141"/>
      <c r="R1404" s="141"/>
      <c r="S1404" s="148"/>
      <c r="T1404" s="419"/>
      <c r="U1404" s="559"/>
      <c r="V1404" s="141"/>
      <c r="W1404" s="141"/>
      <c r="X1404" s="141"/>
      <c r="Y1404" s="144"/>
      <c r="Z1404" s="141"/>
      <c r="AA1404" s="141"/>
      <c r="AB1404" s="141"/>
      <c r="AC1404" s="141"/>
      <c r="AD1404" s="141"/>
      <c r="AE1404" s="141"/>
      <c r="AF1404" s="145"/>
      <c r="AG1404" s="419"/>
    </row>
    <row r="1405" spans="1:33" s="139" customFormat="1" ht="12.75" customHeight="1" x14ac:dyDescent="0.2">
      <c r="A1405" s="141"/>
      <c r="B1405" s="141"/>
      <c r="C1405" s="141"/>
      <c r="D1405" s="141"/>
      <c r="E1405" s="1014"/>
      <c r="F1405" s="1014"/>
      <c r="G1405" s="1027"/>
      <c r="H1405" s="1027"/>
      <c r="I1405" s="1174"/>
      <c r="J1405" s="1174"/>
      <c r="K1405" s="1174"/>
      <c r="L1405" s="1172"/>
      <c r="M1405" s="1172"/>
      <c r="N1405" s="1175"/>
      <c r="O1405" s="143"/>
      <c r="P1405" s="1196"/>
      <c r="Q1405" s="141"/>
      <c r="R1405" s="141"/>
      <c r="S1405" s="148"/>
      <c r="T1405" s="419"/>
      <c r="U1405" s="559"/>
      <c r="V1405" s="141"/>
      <c r="W1405" s="141"/>
      <c r="X1405" s="141"/>
      <c r="Y1405" s="144"/>
      <c r="Z1405" s="141"/>
      <c r="AA1405" s="141"/>
      <c r="AB1405" s="141"/>
      <c r="AC1405" s="141"/>
      <c r="AD1405" s="141"/>
      <c r="AE1405" s="141"/>
      <c r="AF1405" s="145"/>
      <c r="AG1405" s="419"/>
    </row>
    <row r="1406" spans="1:33" s="139" customFormat="1" ht="12.75" customHeight="1" x14ac:dyDescent="0.2">
      <c r="A1406" s="141"/>
      <c r="B1406" s="141"/>
      <c r="C1406" s="141"/>
      <c r="D1406" s="141"/>
      <c r="E1406" s="1014"/>
      <c r="F1406" s="1014"/>
      <c r="G1406" s="1027"/>
      <c r="H1406" s="1027"/>
      <c r="I1406" s="1174"/>
      <c r="J1406" s="1174"/>
      <c r="K1406" s="1174"/>
      <c r="L1406" s="1172"/>
      <c r="M1406" s="1172"/>
      <c r="N1406" s="1175"/>
      <c r="O1406" s="143"/>
      <c r="P1406" s="1196"/>
      <c r="Q1406" s="141"/>
      <c r="R1406" s="141"/>
      <c r="S1406" s="148"/>
      <c r="T1406" s="419"/>
      <c r="U1406" s="559"/>
      <c r="V1406" s="141"/>
      <c r="W1406" s="141"/>
      <c r="X1406" s="141"/>
      <c r="Y1406" s="144"/>
      <c r="Z1406" s="141"/>
      <c r="AA1406" s="141"/>
      <c r="AB1406" s="141"/>
      <c r="AC1406" s="141"/>
      <c r="AD1406" s="141"/>
      <c r="AE1406" s="141"/>
      <c r="AF1406" s="145"/>
      <c r="AG1406" s="419"/>
    </row>
    <row r="1407" spans="1:33" s="139" customFormat="1" ht="12.75" customHeight="1" x14ac:dyDescent="0.2">
      <c r="A1407" s="141"/>
      <c r="B1407" s="141"/>
      <c r="C1407" s="141"/>
      <c r="D1407" s="141"/>
      <c r="E1407" s="1014"/>
      <c r="F1407" s="1014"/>
      <c r="G1407" s="1027"/>
      <c r="H1407" s="1027"/>
      <c r="I1407" s="1174"/>
      <c r="J1407" s="1174"/>
      <c r="K1407" s="1174"/>
      <c r="L1407" s="1172"/>
      <c r="M1407" s="1172"/>
      <c r="N1407" s="1175"/>
      <c r="O1407" s="143"/>
      <c r="P1407" s="1196"/>
      <c r="Q1407" s="141"/>
      <c r="R1407" s="141"/>
      <c r="S1407" s="148"/>
      <c r="T1407" s="419"/>
      <c r="U1407" s="559"/>
      <c r="V1407" s="141"/>
      <c r="W1407" s="141"/>
      <c r="X1407" s="141"/>
      <c r="Y1407" s="144"/>
      <c r="Z1407" s="141"/>
      <c r="AA1407" s="141"/>
      <c r="AB1407" s="141"/>
      <c r="AC1407" s="141"/>
      <c r="AD1407" s="141"/>
      <c r="AE1407" s="141"/>
      <c r="AF1407" s="145"/>
      <c r="AG1407" s="419"/>
    </row>
    <row r="1408" spans="1:33" s="139" customFormat="1" ht="12.75" customHeight="1" x14ac:dyDescent="0.2">
      <c r="A1408" s="141"/>
      <c r="B1408" s="141"/>
      <c r="C1408" s="141"/>
      <c r="D1408" s="141"/>
      <c r="E1408" s="1014"/>
      <c r="F1408" s="1014"/>
      <c r="G1408" s="1027"/>
      <c r="H1408" s="1027"/>
      <c r="I1408" s="1174"/>
      <c r="J1408" s="1174"/>
      <c r="K1408" s="1174"/>
      <c r="L1408" s="1172"/>
      <c r="M1408" s="1172"/>
      <c r="N1408" s="1175"/>
      <c r="O1408" s="143"/>
      <c r="P1408" s="1196"/>
      <c r="Q1408" s="141"/>
      <c r="R1408" s="141"/>
      <c r="S1408" s="148"/>
      <c r="T1408" s="419"/>
      <c r="U1408" s="559"/>
      <c r="V1408" s="141"/>
      <c r="W1408" s="141"/>
      <c r="X1408" s="141"/>
      <c r="Y1408" s="144"/>
      <c r="Z1408" s="141"/>
      <c r="AA1408" s="141"/>
      <c r="AB1408" s="141"/>
      <c r="AC1408" s="141"/>
      <c r="AD1408" s="141"/>
      <c r="AE1408" s="141"/>
      <c r="AF1408" s="145"/>
      <c r="AG1408" s="419"/>
    </row>
    <row r="1409" spans="1:33" s="139" customFormat="1" ht="12.75" customHeight="1" x14ac:dyDescent="0.2">
      <c r="A1409" s="141"/>
      <c r="B1409" s="141"/>
      <c r="C1409" s="141"/>
      <c r="D1409" s="141"/>
      <c r="E1409" s="1014"/>
      <c r="F1409" s="1014"/>
      <c r="G1409" s="1027"/>
      <c r="H1409" s="1027"/>
      <c r="I1409" s="1174"/>
      <c r="J1409" s="1174"/>
      <c r="K1409" s="1174"/>
      <c r="L1409" s="1172"/>
      <c r="M1409" s="1172"/>
      <c r="N1409" s="1175"/>
      <c r="O1409" s="143"/>
      <c r="P1409" s="1196"/>
      <c r="Q1409" s="141"/>
      <c r="R1409" s="141"/>
      <c r="S1409" s="148"/>
      <c r="T1409" s="419"/>
      <c r="U1409" s="559"/>
      <c r="V1409" s="141"/>
      <c r="W1409" s="141"/>
      <c r="X1409" s="141"/>
      <c r="Y1409" s="144"/>
      <c r="Z1409" s="141"/>
      <c r="AA1409" s="141"/>
      <c r="AB1409" s="141"/>
      <c r="AC1409" s="141"/>
      <c r="AD1409" s="141"/>
      <c r="AE1409" s="141"/>
      <c r="AF1409" s="145"/>
      <c r="AG1409" s="419"/>
    </row>
    <row r="1410" spans="1:33" s="139" customFormat="1" ht="12.75" customHeight="1" x14ac:dyDescent="0.2">
      <c r="A1410" s="141"/>
      <c r="B1410" s="141"/>
      <c r="C1410" s="141"/>
      <c r="D1410" s="141"/>
      <c r="E1410" s="1014"/>
      <c r="F1410" s="1014"/>
      <c r="G1410" s="1027"/>
      <c r="H1410" s="1027"/>
      <c r="I1410" s="1174"/>
      <c r="J1410" s="1174"/>
      <c r="K1410" s="1174"/>
      <c r="L1410" s="1172"/>
      <c r="M1410" s="1172"/>
      <c r="N1410" s="1175"/>
      <c r="O1410" s="143"/>
      <c r="P1410" s="1196"/>
      <c r="Q1410" s="141"/>
      <c r="R1410" s="141"/>
      <c r="S1410" s="148"/>
      <c r="T1410" s="419"/>
      <c r="U1410" s="559"/>
      <c r="V1410" s="141"/>
      <c r="W1410" s="141"/>
      <c r="X1410" s="141"/>
      <c r="Y1410" s="144"/>
      <c r="Z1410" s="141"/>
      <c r="AA1410" s="141"/>
      <c r="AB1410" s="141"/>
      <c r="AC1410" s="141"/>
      <c r="AD1410" s="141"/>
      <c r="AE1410" s="141"/>
      <c r="AF1410" s="145"/>
      <c r="AG1410" s="419"/>
    </row>
    <row r="1411" spans="1:33" s="139" customFormat="1" ht="12.75" customHeight="1" x14ac:dyDescent="0.2">
      <c r="A1411" s="141"/>
      <c r="B1411" s="141"/>
      <c r="C1411" s="141"/>
      <c r="D1411" s="141"/>
      <c r="E1411" s="1014"/>
      <c r="F1411" s="1014"/>
      <c r="G1411" s="1027"/>
      <c r="H1411" s="1027"/>
      <c r="I1411" s="1174"/>
      <c r="J1411" s="1174"/>
      <c r="K1411" s="1174"/>
      <c r="L1411" s="1172"/>
      <c r="M1411" s="1172"/>
      <c r="N1411" s="1175"/>
      <c r="O1411" s="143"/>
      <c r="P1411" s="1196"/>
      <c r="Q1411" s="141"/>
      <c r="R1411" s="141"/>
      <c r="S1411" s="148"/>
      <c r="T1411" s="419"/>
      <c r="U1411" s="559"/>
      <c r="V1411" s="141"/>
      <c r="W1411" s="141"/>
      <c r="X1411" s="141"/>
      <c r="Y1411" s="144"/>
      <c r="Z1411" s="141"/>
      <c r="AA1411" s="141"/>
      <c r="AB1411" s="141"/>
      <c r="AC1411" s="141"/>
      <c r="AD1411" s="141"/>
      <c r="AE1411" s="141"/>
      <c r="AF1411" s="145"/>
      <c r="AG1411" s="419"/>
    </row>
    <row r="1412" spans="1:33" s="139" customFormat="1" ht="12.75" customHeight="1" x14ac:dyDescent="0.2">
      <c r="A1412" s="141"/>
      <c r="B1412" s="141"/>
      <c r="C1412" s="141"/>
      <c r="D1412" s="141"/>
      <c r="E1412" s="1014"/>
      <c r="F1412" s="1014"/>
      <c r="G1412" s="1027"/>
      <c r="H1412" s="1027"/>
      <c r="I1412" s="1174"/>
      <c r="J1412" s="1174"/>
      <c r="K1412" s="1174"/>
      <c r="L1412" s="1172"/>
      <c r="M1412" s="1172"/>
      <c r="N1412" s="1175"/>
      <c r="O1412" s="143"/>
      <c r="P1412" s="1196"/>
      <c r="Q1412" s="141"/>
      <c r="R1412" s="141"/>
      <c r="S1412" s="148"/>
      <c r="T1412" s="419"/>
      <c r="U1412" s="559"/>
      <c r="V1412" s="141"/>
      <c r="W1412" s="141"/>
      <c r="X1412" s="141"/>
      <c r="Y1412" s="144"/>
      <c r="Z1412" s="141"/>
      <c r="AA1412" s="141"/>
      <c r="AB1412" s="141"/>
      <c r="AC1412" s="141"/>
      <c r="AD1412" s="141"/>
      <c r="AE1412" s="141"/>
      <c r="AF1412" s="145"/>
      <c r="AG1412" s="419"/>
    </row>
    <row r="1413" spans="1:33" s="139" customFormat="1" ht="12.75" customHeight="1" x14ac:dyDescent="0.2">
      <c r="A1413" s="141"/>
      <c r="B1413" s="141"/>
      <c r="C1413" s="141"/>
      <c r="D1413" s="141"/>
      <c r="E1413" s="1014"/>
      <c r="F1413" s="1014"/>
      <c r="G1413" s="1027"/>
      <c r="H1413" s="1027"/>
      <c r="I1413" s="1174"/>
      <c r="J1413" s="1174"/>
      <c r="K1413" s="1174"/>
      <c r="L1413" s="1172"/>
      <c r="M1413" s="1172"/>
      <c r="N1413" s="1175"/>
      <c r="O1413" s="143"/>
      <c r="P1413" s="1196"/>
      <c r="Q1413" s="141"/>
      <c r="R1413" s="141"/>
      <c r="S1413" s="148"/>
      <c r="T1413" s="419"/>
      <c r="U1413" s="559"/>
      <c r="V1413" s="141"/>
      <c r="W1413" s="141"/>
      <c r="X1413" s="141"/>
      <c r="Y1413" s="144"/>
      <c r="Z1413" s="141"/>
      <c r="AA1413" s="141"/>
      <c r="AB1413" s="141"/>
      <c r="AC1413" s="141"/>
      <c r="AD1413" s="141"/>
      <c r="AE1413" s="141"/>
      <c r="AF1413" s="145"/>
      <c r="AG1413" s="419"/>
    </row>
    <row r="1414" spans="1:33" s="139" customFormat="1" ht="12.75" customHeight="1" x14ac:dyDescent="0.2">
      <c r="A1414" s="141"/>
      <c r="B1414" s="141"/>
      <c r="C1414" s="141"/>
      <c r="D1414" s="141"/>
      <c r="E1414" s="1014"/>
      <c r="F1414" s="1014"/>
      <c r="G1414" s="1027"/>
      <c r="H1414" s="1027"/>
      <c r="I1414" s="1174"/>
      <c r="J1414" s="1174"/>
      <c r="K1414" s="1174"/>
      <c r="L1414" s="1172"/>
      <c r="M1414" s="1172"/>
      <c r="N1414" s="1175"/>
      <c r="O1414" s="143"/>
      <c r="P1414" s="1196"/>
      <c r="Q1414" s="141"/>
      <c r="R1414" s="141"/>
      <c r="S1414" s="148"/>
      <c r="T1414" s="419"/>
      <c r="U1414" s="559"/>
      <c r="V1414" s="141"/>
      <c r="W1414" s="141"/>
      <c r="X1414" s="141"/>
      <c r="Y1414" s="144"/>
      <c r="Z1414" s="141"/>
      <c r="AA1414" s="141"/>
      <c r="AB1414" s="141"/>
      <c r="AC1414" s="141"/>
      <c r="AD1414" s="141"/>
      <c r="AE1414" s="141"/>
      <c r="AF1414" s="145"/>
      <c r="AG1414" s="419"/>
    </row>
    <row r="1415" spans="1:33" s="139" customFormat="1" ht="12.75" customHeight="1" x14ac:dyDescent="0.2">
      <c r="A1415" s="141"/>
      <c r="B1415" s="141"/>
      <c r="C1415" s="141"/>
      <c r="D1415" s="141"/>
      <c r="E1415" s="1014"/>
      <c r="F1415" s="1014"/>
      <c r="G1415" s="1027"/>
      <c r="H1415" s="1027"/>
      <c r="I1415" s="1174"/>
      <c r="J1415" s="1174"/>
      <c r="K1415" s="1174"/>
      <c r="L1415" s="1172"/>
      <c r="M1415" s="1172"/>
      <c r="N1415" s="1175"/>
      <c r="O1415" s="143"/>
      <c r="P1415" s="1196"/>
      <c r="Q1415" s="141"/>
      <c r="R1415" s="141"/>
      <c r="S1415" s="148"/>
      <c r="T1415" s="419"/>
      <c r="U1415" s="559"/>
      <c r="V1415" s="141"/>
      <c r="W1415" s="141"/>
      <c r="X1415" s="141"/>
      <c r="Y1415" s="144"/>
      <c r="Z1415" s="141"/>
      <c r="AA1415" s="141"/>
      <c r="AB1415" s="141"/>
      <c r="AC1415" s="141"/>
      <c r="AD1415" s="141"/>
      <c r="AE1415" s="141"/>
      <c r="AF1415" s="145"/>
      <c r="AG1415" s="419"/>
    </row>
    <row r="1416" spans="1:33" s="139" customFormat="1" ht="12.75" customHeight="1" x14ac:dyDescent="0.2">
      <c r="A1416" s="141"/>
      <c r="B1416" s="141"/>
      <c r="C1416" s="141"/>
      <c r="D1416" s="141"/>
      <c r="E1416" s="1014"/>
      <c r="F1416" s="1014"/>
      <c r="G1416" s="1027"/>
      <c r="H1416" s="1027"/>
      <c r="I1416" s="1174"/>
      <c r="J1416" s="1174"/>
      <c r="K1416" s="1174"/>
      <c r="L1416" s="1172"/>
      <c r="M1416" s="1172"/>
      <c r="N1416" s="1175"/>
      <c r="O1416" s="143"/>
      <c r="P1416" s="1196"/>
      <c r="Q1416" s="141"/>
      <c r="R1416" s="141"/>
      <c r="S1416" s="148"/>
      <c r="T1416" s="419"/>
      <c r="U1416" s="559"/>
      <c r="V1416" s="141"/>
      <c r="W1416" s="141"/>
      <c r="X1416" s="141"/>
      <c r="Y1416" s="144"/>
      <c r="Z1416" s="141"/>
      <c r="AA1416" s="141"/>
      <c r="AB1416" s="141"/>
      <c r="AC1416" s="141"/>
      <c r="AD1416" s="141"/>
      <c r="AE1416" s="141"/>
      <c r="AF1416" s="145"/>
      <c r="AG1416" s="419"/>
    </row>
    <row r="1417" spans="1:33" s="139" customFormat="1" ht="12.75" customHeight="1" x14ac:dyDescent="0.2">
      <c r="A1417" s="141"/>
      <c r="B1417" s="141"/>
      <c r="C1417" s="141"/>
      <c r="D1417" s="141"/>
      <c r="E1417" s="1014"/>
      <c r="F1417" s="1014"/>
      <c r="G1417" s="1027"/>
      <c r="H1417" s="1027"/>
      <c r="I1417" s="1174"/>
      <c r="J1417" s="1174"/>
      <c r="K1417" s="1174"/>
      <c r="L1417" s="1172"/>
      <c r="M1417" s="1172"/>
      <c r="N1417" s="1175"/>
      <c r="O1417" s="143"/>
      <c r="P1417" s="1196"/>
      <c r="Q1417" s="141"/>
      <c r="R1417" s="141"/>
      <c r="S1417" s="148"/>
      <c r="T1417" s="419"/>
      <c r="U1417" s="559"/>
      <c r="V1417" s="141"/>
      <c r="W1417" s="141"/>
      <c r="X1417" s="141"/>
      <c r="Y1417" s="144"/>
      <c r="Z1417" s="141"/>
      <c r="AA1417" s="141"/>
      <c r="AB1417" s="141"/>
      <c r="AC1417" s="141"/>
      <c r="AD1417" s="141"/>
      <c r="AE1417" s="141"/>
      <c r="AF1417" s="145"/>
      <c r="AG1417" s="419"/>
    </row>
    <row r="1418" spans="1:33" s="139" customFormat="1" ht="12.75" customHeight="1" x14ac:dyDescent="0.2">
      <c r="A1418" s="141"/>
      <c r="B1418" s="141"/>
      <c r="C1418" s="141"/>
      <c r="D1418" s="141"/>
      <c r="E1418" s="1014"/>
      <c r="F1418" s="1014"/>
      <c r="G1418" s="1027"/>
      <c r="H1418" s="1027"/>
      <c r="I1418" s="1174"/>
      <c r="J1418" s="1174"/>
      <c r="K1418" s="1174"/>
      <c r="L1418" s="1172"/>
      <c r="M1418" s="1172"/>
      <c r="N1418" s="1175"/>
      <c r="O1418" s="143"/>
      <c r="P1418" s="1196"/>
      <c r="Q1418" s="141"/>
      <c r="R1418" s="141"/>
      <c r="S1418" s="148"/>
      <c r="T1418" s="419"/>
      <c r="U1418" s="559"/>
      <c r="V1418" s="141"/>
      <c r="W1418" s="141"/>
      <c r="X1418" s="141"/>
      <c r="Y1418" s="144"/>
      <c r="Z1418" s="141"/>
      <c r="AA1418" s="141"/>
      <c r="AB1418" s="141"/>
      <c r="AC1418" s="141"/>
      <c r="AD1418" s="141"/>
      <c r="AE1418" s="141"/>
      <c r="AF1418" s="145"/>
      <c r="AG1418" s="419"/>
    </row>
    <row r="1419" spans="1:33" s="139" customFormat="1" ht="12.75" customHeight="1" x14ac:dyDescent="0.2">
      <c r="A1419" s="141"/>
      <c r="B1419" s="141"/>
      <c r="C1419" s="141"/>
      <c r="D1419" s="141"/>
      <c r="E1419" s="1014"/>
      <c r="F1419" s="1014"/>
      <c r="G1419" s="1027"/>
      <c r="H1419" s="1027"/>
      <c r="I1419" s="1174"/>
      <c r="J1419" s="1174"/>
      <c r="K1419" s="1174"/>
      <c r="L1419" s="1172"/>
      <c r="M1419" s="1172"/>
      <c r="N1419" s="1175"/>
      <c r="O1419" s="143"/>
      <c r="P1419" s="1196"/>
      <c r="Q1419" s="141"/>
      <c r="R1419" s="141"/>
      <c r="S1419" s="148"/>
      <c r="T1419" s="419"/>
      <c r="U1419" s="559"/>
      <c r="V1419" s="141"/>
      <c r="W1419" s="141"/>
      <c r="X1419" s="141"/>
      <c r="Y1419" s="144"/>
      <c r="Z1419" s="141"/>
      <c r="AA1419" s="141"/>
      <c r="AB1419" s="141"/>
      <c r="AC1419" s="141"/>
      <c r="AD1419" s="141"/>
      <c r="AE1419" s="141"/>
      <c r="AF1419" s="145"/>
      <c r="AG1419" s="419"/>
    </row>
    <row r="1420" spans="1:33" s="139" customFormat="1" ht="12.75" customHeight="1" x14ac:dyDescent="0.2">
      <c r="A1420" s="141"/>
      <c r="B1420" s="141"/>
      <c r="C1420" s="141"/>
      <c r="D1420" s="141"/>
      <c r="E1420" s="1014"/>
      <c r="F1420" s="1014"/>
      <c r="G1420" s="1027"/>
      <c r="H1420" s="1027"/>
      <c r="I1420" s="1174"/>
      <c r="J1420" s="1174"/>
      <c r="K1420" s="1174"/>
      <c r="L1420" s="1172"/>
      <c r="M1420" s="1172"/>
      <c r="N1420" s="1175"/>
      <c r="O1420" s="143"/>
      <c r="P1420" s="1196"/>
      <c r="Q1420" s="141"/>
      <c r="R1420" s="141"/>
      <c r="S1420" s="148"/>
      <c r="T1420" s="419"/>
      <c r="U1420" s="559"/>
      <c r="V1420" s="141"/>
      <c r="W1420" s="141"/>
      <c r="X1420" s="141"/>
      <c r="Y1420" s="144"/>
      <c r="Z1420" s="141"/>
      <c r="AA1420" s="141"/>
      <c r="AB1420" s="141"/>
      <c r="AC1420" s="141"/>
      <c r="AD1420" s="141"/>
      <c r="AE1420" s="141"/>
      <c r="AF1420" s="145"/>
      <c r="AG1420" s="419"/>
    </row>
    <row r="1421" spans="1:33" s="139" customFormat="1" ht="12.75" customHeight="1" x14ac:dyDescent="0.2">
      <c r="A1421" s="141"/>
      <c r="B1421" s="141"/>
      <c r="C1421" s="141"/>
      <c r="D1421" s="141"/>
      <c r="E1421" s="1014"/>
      <c r="F1421" s="1014"/>
      <c r="G1421" s="1027"/>
      <c r="H1421" s="1027"/>
      <c r="I1421" s="1174"/>
      <c r="J1421" s="1174"/>
      <c r="K1421" s="1174"/>
      <c r="L1421" s="1172"/>
      <c r="M1421" s="1172"/>
      <c r="N1421" s="1175"/>
      <c r="O1421" s="143"/>
      <c r="P1421" s="1196"/>
      <c r="Q1421" s="141"/>
      <c r="R1421" s="141"/>
      <c r="S1421" s="148"/>
      <c r="T1421" s="419"/>
      <c r="U1421" s="559"/>
      <c r="V1421" s="141"/>
      <c r="W1421" s="141"/>
      <c r="X1421" s="141"/>
      <c r="Y1421" s="144"/>
      <c r="Z1421" s="141"/>
      <c r="AA1421" s="141"/>
      <c r="AB1421" s="141"/>
      <c r="AC1421" s="141"/>
      <c r="AD1421" s="141"/>
      <c r="AE1421" s="141"/>
      <c r="AF1421" s="145"/>
      <c r="AG1421" s="419"/>
    </row>
    <row r="1422" spans="1:33" s="139" customFormat="1" ht="12.75" customHeight="1" x14ac:dyDescent="0.2">
      <c r="A1422" s="141"/>
      <c r="B1422" s="141"/>
      <c r="C1422" s="141"/>
      <c r="D1422" s="141"/>
      <c r="E1422" s="1014"/>
      <c r="F1422" s="1014"/>
      <c r="G1422" s="1027"/>
      <c r="H1422" s="1027"/>
      <c r="I1422" s="1174"/>
      <c r="J1422" s="1174"/>
      <c r="K1422" s="1174"/>
      <c r="L1422" s="1172"/>
      <c r="M1422" s="1172"/>
      <c r="N1422" s="1175"/>
      <c r="O1422" s="143"/>
      <c r="P1422" s="1196"/>
      <c r="Q1422" s="141"/>
      <c r="R1422" s="141"/>
      <c r="S1422" s="148"/>
      <c r="T1422" s="419"/>
      <c r="U1422" s="559"/>
      <c r="V1422" s="141"/>
      <c r="W1422" s="141"/>
      <c r="X1422" s="141"/>
      <c r="Y1422" s="144"/>
      <c r="Z1422" s="141"/>
      <c r="AA1422" s="141"/>
      <c r="AB1422" s="141"/>
      <c r="AC1422" s="141"/>
      <c r="AD1422" s="141"/>
      <c r="AE1422" s="141"/>
      <c r="AF1422" s="145"/>
      <c r="AG1422" s="419"/>
    </row>
    <row r="1423" spans="1:33" s="139" customFormat="1" ht="12.75" customHeight="1" x14ac:dyDescent="0.2">
      <c r="A1423" s="141"/>
      <c r="B1423" s="141"/>
      <c r="C1423" s="141"/>
      <c r="D1423" s="141"/>
      <c r="E1423" s="1014"/>
      <c r="F1423" s="1014"/>
      <c r="G1423" s="1027"/>
      <c r="H1423" s="1027"/>
      <c r="I1423" s="1174"/>
      <c r="J1423" s="1174"/>
      <c r="K1423" s="1174"/>
      <c r="L1423" s="1172"/>
      <c r="M1423" s="1172"/>
      <c r="N1423" s="1175"/>
      <c r="O1423" s="143"/>
      <c r="P1423" s="1196"/>
      <c r="Q1423" s="141"/>
      <c r="R1423" s="141"/>
      <c r="S1423" s="148"/>
      <c r="T1423" s="419"/>
      <c r="U1423" s="559"/>
      <c r="V1423" s="141"/>
      <c r="W1423" s="141"/>
      <c r="X1423" s="141"/>
      <c r="Y1423" s="144"/>
      <c r="Z1423" s="141"/>
      <c r="AA1423" s="141"/>
      <c r="AB1423" s="141"/>
      <c r="AC1423" s="141"/>
      <c r="AD1423" s="141"/>
      <c r="AE1423" s="141"/>
      <c r="AF1423" s="145"/>
      <c r="AG1423" s="419"/>
    </row>
    <row r="1424" spans="1:33" s="139" customFormat="1" ht="12.75" customHeight="1" x14ac:dyDescent="0.2">
      <c r="A1424" s="141"/>
      <c r="B1424" s="141"/>
      <c r="C1424" s="141"/>
      <c r="D1424" s="141"/>
      <c r="E1424" s="1014"/>
      <c r="F1424" s="1014"/>
      <c r="G1424" s="1027"/>
      <c r="H1424" s="1027"/>
      <c r="I1424" s="1174"/>
      <c r="J1424" s="1174"/>
      <c r="K1424" s="1174"/>
      <c r="L1424" s="1172"/>
      <c r="M1424" s="1172"/>
      <c r="N1424" s="1175"/>
      <c r="O1424" s="143"/>
      <c r="P1424" s="1196"/>
      <c r="Q1424" s="141"/>
      <c r="R1424" s="141"/>
      <c r="S1424" s="148"/>
      <c r="T1424" s="419"/>
      <c r="U1424" s="559"/>
      <c r="V1424" s="141"/>
      <c r="W1424" s="141"/>
      <c r="X1424" s="141"/>
      <c r="Y1424" s="144"/>
      <c r="Z1424" s="141"/>
      <c r="AA1424" s="141"/>
      <c r="AB1424" s="141"/>
      <c r="AC1424" s="141"/>
      <c r="AD1424" s="141"/>
      <c r="AE1424" s="141"/>
      <c r="AF1424" s="145"/>
      <c r="AG1424" s="419"/>
    </row>
    <row r="1425" spans="1:33" s="139" customFormat="1" ht="12.75" customHeight="1" x14ac:dyDescent="0.2">
      <c r="A1425" s="141"/>
      <c r="B1425" s="141"/>
      <c r="C1425" s="141"/>
      <c r="D1425" s="141"/>
      <c r="E1425" s="1014"/>
      <c r="F1425" s="1014"/>
      <c r="G1425" s="1027"/>
      <c r="H1425" s="1027"/>
      <c r="I1425" s="1174"/>
      <c r="J1425" s="1174"/>
      <c r="K1425" s="1174"/>
      <c r="L1425" s="1172"/>
      <c r="M1425" s="1172"/>
      <c r="N1425" s="1175"/>
      <c r="O1425" s="143"/>
      <c r="P1425" s="1196"/>
      <c r="Q1425" s="141"/>
      <c r="R1425" s="141"/>
      <c r="S1425" s="148"/>
      <c r="T1425" s="419"/>
      <c r="U1425" s="559"/>
      <c r="V1425" s="141"/>
      <c r="W1425" s="141"/>
      <c r="X1425" s="141"/>
      <c r="Y1425" s="144"/>
      <c r="Z1425" s="141"/>
      <c r="AA1425" s="141"/>
      <c r="AB1425" s="141"/>
      <c r="AC1425" s="141"/>
      <c r="AD1425" s="141"/>
      <c r="AE1425" s="141"/>
      <c r="AF1425" s="145"/>
      <c r="AG1425" s="419"/>
    </row>
    <row r="1426" spans="1:33" s="139" customFormat="1" ht="12.75" customHeight="1" x14ac:dyDescent="0.2">
      <c r="A1426" s="141"/>
      <c r="B1426" s="141"/>
      <c r="C1426" s="141"/>
      <c r="D1426" s="141"/>
      <c r="E1426" s="1014"/>
      <c r="F1426" s="1014"/>
      <c r="G1426" s="1027"/>
      <c r="H1426" s="1027"/>
      <c r="I1426" s="1174"/>
      <c r="J1426" s="1174"/>
      <c r="K1426" s="1174"/>
      <c r="L1426" s="1172"/>
      <c r="M1426" s="1172"/>
      <c r="N1426" s="1175"/>
      <c r="O1426" s="143"/>
      <c r="P1426" s="1196"/>
      <c r="Q1426" s="141"/>
      <c r="R1426" s="141"/>
      <c r="S1426" s="148"/>
      <c r="T1426" s="419"/>
      <c r="U1426" s="559"/>
      <c r="V1426" s="141"/>
      <c r="W1426" s="141"/>
      <c r="X1426" s="141"/>
      <c r="Y1426" s="144"/>
      <c r="Z1426" s="141"/>
      <c r="AA1426" s="141"/>
      <c r="AB1426" s="141"/>
      <c r="AC1426" s="141"/>
      <c r="AD1426" s="141"/>
      <c r="AE1426" s="141"/>
      <c r="AF1426" s="145"/>
      <c r="AG1426" s="419"/>
    </row>
    <row r="1427" spans="1:33" s="139" customFormat="1" ht="12.75" customHeight="1" x14ac:dyDescent="0.2">
      <c r="A1427" s="141"/>
      <c r="B1427" s="141"/>
      <c r="C1427" s="141"/>
      <c r="D1427" s="141"/>
      <c r="E1427" s="1014"/>
      <c r="F1427" s="1014"/>
      <c r="G1427" s="1027"/>
      <c r="H1427" s="1027"/>
      <c r="I1427" s="1174"/>
      <c r="J1427" s="1174"/>
      <c r="K1427" s="1174"/>
      <c r="L1427" s="1172"/>
      <c r="M1427" s="1172"/>
      <c r="N1427" s="1175"/>
      <c r="O1427" s="143"/>
      <c r="P1427" s="1196"/>
      <c r="Q1427" s="141"/>
      <c r="R1427" s="141"/>
      <c r="S1427" s="148"/>
      <c r="T1427" s="419"/>
      <c r="U1427" s="559"/>
      <c r="V1427" s="141"/>
      <c r="W1427" s="141"/>
      <c r="X1427" s="141"/>
      <c r="Y1427" s="144"/>
      <c r="Z1427" s="141"/>
      <c r="AA1427" s="141"/>
      <c r="AB1427" s="141"/>
      <c r="AC1427" s="141"/>
      <c r="AD1427" s="141"/>
      <c r="AE1427" s="141"/>
      <c r="AF1427" s="145"/>
      <c r="AG1427" s="419"/>
    </row>
    <row r="1428" spans="1:33" s="139" customFormat="1" ht="12.75" customHeight="1" x14ac:dyDescent="0.2">
      <c r="A1428" s="141"/>
      <c r="B1428" s="141"/>
      <c r="C1428" s="141"/>
      <c r="D1428" s="141"/>
      <c r="E1428" s="1014"/>
      <c r="F1428" s="1014"/>
      <c r="G1428" s="1027"/>
      <c r="H1428" s="1027"/>
      <c r="I1428" s="1174"/>
      <c r="J1428" s="1174"/>
      <c r="K1428" s="1174"/>
      <c r="L1428" s="1172"/>
      <c r="M1428" s="1172"/>
      <c r="N1428" s="1175"/>
      <c r="O1428" s="143"/>
      <c r="P1428" s="1196"/>
      <c r="Q1428" s="141"/>
      <c r="R1428" s="141"/>
      <c r="S1428" s="148"/>
      <c r="T1428" s="419"/>
      <c r="U1428" s="559"/>
      <c r="V1428" s="141"/>
      <c r="W1428" s="141"/>
      <c r="X1428" s="141"/>
      <c r="Y1428" s="144"/>
      <c r="Z1428" s="141"/>
      <c r="AA1428" s="141"/>
      <c r="AB1428" s="141"/>
      <c r="AC1428" s="141"/>
      <c r="AD1428" s="141"/>
      <c r="AE1428" s="141"/>
      <c r="AF1428" s="145"/>
      <c r="AG1428" s="419"/>
    </row>
    <row r="1429" spans="1:33" s="139" customFormat="1" ht="12.75" customHeight="1" x14ac:dyDescent="0.2">
      <c r="A1429" s="141"/>
      <c r="B1429" s="141"/>
      <c r="C1429" s="141"/>
      <c r="D1429" s="141"/>
      <c r="E1429" s="1014"/>
      <c r="F1429" s="1014"/>
      <c r="G1429" s="1027"/>
      <c r="H1429" s="1027"/>
      <c r="I1429" s="1174"/>
      <c r="J1429" s="1174"/>
      <c r="K1429" s="1174"/>
      <c r="L1429" s="1172"/>
      <c r="M1429" s="1172"/>
      <c r="N1429" s="1175"/>
      <c r="O1429" s="143"/>
      <c r="P1429" s="1196"/>
      <c r="Q1429" s="141"/>
      <c r="R1429" s="141"/>
      <c r="S1429" s="148"/>
      <c r="T1429" s="419"/>
      <c r="U1429" s="559"/>
      <c r="V1429" s="141"/>
      <c r="W1429" s="141"/>
      <c r="X1429" s="141"/>
      <c r="Y1429" s="144"/>
      <c r="Z1429" s="141"/>
      <c r="AA1429" s="141"/>
      <c r="AB1429" s="141"/>
      <c r="AC1429" s="141"/>
      <c r="AD1429" s="141"/>
      <c r="AE1429" s="141"/>
      <c r="AF1429" s="145"/>
      <c r="AG1429" s="419"/>
    </row>
    <row r="1430" spans="1:33" s="139" customFormat="1" ht="12.75" customHeight="1" x14ac:dyDescent="0.2">
      <c r="A1430" s="141"/>
      <c r="B1430" s="141"/>
      <c r="C1430" s="141"/>
      <c r="D1430" s="141"/>
      <c r="E1430" s="1014"/>
      <c r="F1430" s="1014"/>
      <c r="G1430" s="1027"/>
      <c r="H1430" s="1027"/>
      <c r="I1430" s="1174"/>
      <c r="J1430" s="1174"/>
      <c r="K1430" s="1174"/>
      <c r="L1430" s="1172"/>
      <c r="M1430" s="1172"/>
      <c r="N1430" s="1175"/>
      <c r="O1430" s="143"/>
      <c r="P1430" s="1196"/>
      <c r="Q1430" s="141"/>
      <c r="R1430" s="141"/>
      <c r="S1430" s="148"/>
      <c r="T1430" s="419"/>
      <c r="U1430" s="559"/>
      <c r="V1430" s="141"/>
      <c r="W1430" s="141"/>
      <c r="X1430" s="141"/>
      <c r="Y1430" s="144"/>
      <c r="Z1430" s="141"/>
      <c r="AA1430" s="141"/>
      <c r="AB1430" s="141"/>
      <c r="AC1430" s="141"/>
      <c r="AD1430" s="141"/>
      <c r="AE1430" s="141"/>
      <c r="AF1430" s="145"/>
      <c r="AG1430" s="419"/>
    </row>
    <row r="1431" spans="1:33" s="139" customFormat="1" ht="12.75" customHeight="1" x14ac:dyDescent="0.2">
      <c r="A1431" s="141"/>
      <c r="B1431" s="141"/>
      <c r="C1431" s="141"/>
      <c r="D1431" s="141"/>
      <c r="E1431" s="1014"/>
      <c r="F1431" s="1014"/>
      <c r="G1431" s="1027"/>
      <c r="H1431" s="1027"/>
      <c r="I1431" s="1174"/>
      <c r="J1431" s="1174"/>
      <c r="K1431" s="1174"/>
      <c r="L1431" s="1172"/>
      <c r="M1431" s="1172"/>
      <c r="N1431" s="1175"/>
      <c r="O1431" s="143"/>
      <c r="P1431" s="1196"/>
      <c r="Q1431" s="141"/>
      <c r="R1431" s="141"/>
      <c r="S1431" s="148"/>
      <c r="T1431" s="419"/>
      <c r="U1431" s="559"/>
      <c r="V1431" s="141"/>
      <c r="W1431" s="141"/>
      <c r="X1431" s="141"/>
      <c r="Y1431" s="144"/>
      <c r="Z1431" s="141"/>
      <c r="AA1431" s="141"/>
      <c r="AB1431" s="141"/>
      <c r="AC1431" s="141"/>
      <c r="AD1431" s="141"/>
      <c r="AE1431" s="141"/>
      <c r="AF1431" s="145"/>
      <c r="AG1431" s="419"/>
    </row>
    <row r="1432" spans="1:33" s="139" customFormat="1" ht="12.75" customHeight="1" x14ac:dyDescent="0.2">
      <c r="A1432" s="141"/>
      <c r="B1432" s="141"/>
      <c r="C1432" s="141"/>
      <c r="D1432" s="141"/>
      <c r="E1432" s="1014"/>
      <c r="F1432" s="1014"/>
      <c r="G1432" s="1027"/>
      <c r="H1432" s="1027"/>
      <c r="I1432" s="1174"/>
      <c r="J1432" s="1174"/>
      <c r="K1432" s="1174"/>
      <c r="L1432" s="1172"/>
      <c r="M1432" s="1172"/>
      <c r="N1432" s="1175"/>
      <c r="O1432" s="143"/>
      <c r="P1432" s="1196"/>
      <c r="Q1432" s="141"/>
      <c r="R1432" s="141"/>
      <c r="S1432" s="148"/>
      <c r="T1432" s="419"/>
      <c r="U1432" s="559"/>
      <c r="V1432" s="141"/>
      <c r="W1432" s="141"/>
      <c r="X1432" s="141"/>
      <c r="Y1432" s="144"/>
      <c r="Z1432" s="141"/>
      <c r="AA1432" s="141"/>
      <c r="AB1432" s="141"/>
      <c r="AC1432" s="141"/>
      <c r="AD1432" s="141"/>
      <c r="AE1432" s="141"/>
      <c r="AF1432" s="145"/>
      <c r="AG1432" s="419"/>
    </row>
    <row r="1433" spans="1:33" s="139" customFormat="1" ht="12.75" customHeight="1" x14ac:dyDescent="0.2">
      <c r="A1433" s="141"/>
      <c r="B1433" s="141"/>
      <c r="C1433" s="141"/>
      <c r="D1433" s="141"/>
      <c r="E1433" s="1014"/>
      <c r="F1433" s="1014"/>
      <c r="G1433" s="1027"/>
      <c r="H1433" s="1027"/>
      <c r="I1433" s="1174"/>
      <c r="J1433" s="1174"/>
      <c r="K1433" s="1174"/>
      <c r="L1433" s="1172"/>
      <c r="M1433" s="1172"/>
      <c r="N1433" s="1175"/>
      <c r="O1433" s="143"/>
      <c r="P1433" s="1196"/>
      <c r="Q1433" s="141"/>
      <c r="R1433" s="141"/>
      <c r="S1433" s="148"/>
      <c r="T1433" s="419"/>
      <c r="U1433" s="559"/>
      <c r="V1433" s="141"/>
      <c r="W1433" s="141"/>
      <c r="X1433" s="141"/>
      <c r="Y1433" s="144"/>
      <c r="Z1433" s="141"/>
      <c r="AA1433" s="141"/>
      <c r="AB1433" s="141"/>
      <c r="AC1433" s="141"/>
      <c r="AD1433" s="141"/>
      <c r="AE1433" s="141"/>
      <c r="AF1433" s="145"/>
      <c r="AG1433" s="419"/>
    </row>
    <row r="1434" spans="1:33" s="139" customFormat="1" ht="12.75" customHeight="1" x14ac:dyDescent="0.2">
      <c r="A1434" s="141"/>
      <c r="B1434" s="141"/>
      <c r="C1434" s="141"/>
      <c r="D1434" s="141"/>
      <c r="E1434" s="1014"/>
      <c r="F1434" s="1014"/>
      <c r="G1434" s="1027"/>
      <c r="H1434" s="1027"/>
      <c r="I1434" s="1174"/>
      <c r="J1434" s="1174"/>
      <c r="K1434" s="1174"/>
      <c r="L1434" s="1172"/>
      <c r="M1434" s="1172"/>
      <c r="N1434" s="1175"/>
      <c r="O1434" s="143"/>
      <c r="P1434" s="1196"/>
      <c r="Q1434" s="141"/>
      <c r="R1434" s="141"/>
      <c r="S1434" s="148"/>
      <c r="T1434" s="419"/>
      <c r="U1434" s="559"/>
      <c r="V1434" s="141"/>
      <c r="W1434" s="141"/>
      <c r="X1434" s="141"/>
      <c r="Y1434" s="144"/>
      <c r="Z1434" s="141"/>
      <c r="AA1434" s="141"/>
      <c r="AB1434" s="141"/>
      <c r="AC1434" s="141"/>
      <c r="AD1434" s="141"/>
      <c r="AE1434" s="141"/>
      <c r="AF1434" s="145"/>
      <c r="AG1434" s="419"/>
    </row>
    <row r="1435" spans="1:33" s="139" customFormat="1" ht="12.75" customHeight="1" x14ac:dyDescent="0.2">
      <c r="A1435" s="141"/>
      <c r="B1435" s="141"/>
      <c r="C1435" s="141"/>
      <c r="D1435" s="141"/>
      <c r="E1435" s="1014"/>
      <c r="F1435" s="1014"/>
      <c r="G1435" s="1027"/>
      <c r="H1435" s="1027"/>
      <c r="I1435" s="1174"/>
      <c r="J1435" s="1174"/>
      <c r="K1435" s="1174"/>
      <c r="L1435" s="1172"/>
      <c r="M1435" s="1172"/>
      <c r="N1435" s="1175"/>
      <c r="O1435" s="143"/>
      <c r="P1435" s="1196"/>
      <c r="Q1435" s="141"/>
      <c r="R1435" s="141"/>
      <c r="S1435" s="148"/>
      <c r="T1435" s="419"/>
      <c r="U1435" s="559"/>
      <c r="V1435" s="141"/>
      <c r="W1435" s="141"/>
      <c r="X1435" s="141"/>
      <c r="Y1435" s="144"/>
      <c r="Z1435" s="141"/>
      <c r="AA1435" s="141"/>
      <c r="AB1435" s="141"/>
      <c r="AC1435" s="141"/>
      <c r="AD1435" s="141"/>
      <c r="AE1435" s="141"/>
      <c r="AF1435" s="145"/>
      <c r="AG1435" s="419"/>
    </row>
    <row r="1436" spans="1:33" s="139" customFormat="1" ht="12.75" customHeight="1" x14ac:dyDescent="0.2">
      <c r="A1436" s="141"/>
      <c r="B1436" s="141"/>
      <c r="C1436" s="141"/>
      <c r="D1436" s="141"/>
      <c r="E1436" s="1014"/>
      <c r="F1436" s="1014"/>
      <c r="G1436" s="1027"/>
      <c r="H1436" s="1027"/>
      <c r="I1436" s="1174"/>
      <c r="J1436" s="1174"/>
      <c r="K1436" s="1174"/>
      <c r="L1436" s="1172"/>
      <c r="M1436" s="1172"/>
      <c r="N1436" s="1175"/>
      <c r="O1436" s="143"/>
      <c r="P1436" s="1196"/>
      <c r="Q1436" s="141"/>
      <c r="R1436" s="141"/>
      <c r="S1436" s="148"/>
      <c r="T1436" s="419"/>
      <c r="U1436" s="559"/>
      <c r="V1436" s="141"/>
      <c r="W1436" s="141"/>
      <c r="X1436" s="141"/>
      <c r="Y1436" s="144"/>
      <c r="Z1436" s="141"/>
      <c r="AA1436" s="141"/>
      <c r="AB1436" s="141"/>
      <c r="AC1436" s="141"/>
      <c r="AD1436" s="141"/>
      <c r="AE1436" s="141"/>
      <c r="AF1436" s="145"/>
      <c r="AG1436" s="419"/>
    </row>
    <row r="1437" spans="1:33" s="139" customFormat="1" ht="12.75" customHeight="1" x14ac:dyDescent="0.2">
      <c r="A1437" s="141"/>
      <c r="B1437" s="141"/>
      <c r="C1437" s="141"/>
      <c r="D1437" s="141"/>
      <c r="E1437" s="1014"/>
      <c r="F1437" s="1014"/>
      <c r="G1437" s="1027"/>
      <c r="H1437" s="1027"/>
      <c r="I1437" s="1174"/>
      <c r="J1437" s="1174"/>
      <c r="K1437" s="1174"/>
      <c r="L1437" s="1172"/>
      <c r="M1437" s="1172"/>
      <c r="N1437" s="1175"/>
      <c r="O1437" s="143"/>
      <c r="P1437" s="1196"/>
      <c r="Q1437" s="141"/>
      <c r="R1437" s="141"/>
      <c r="S1437" s="148"/>
      <c r="T1437" s="419"/>
      <c r="U1437" s="559"/>
      <c r="V1437" s="141"/>
      <c r="W1437" s="141"/>
      <c r="X1437" s="141"/>
      <c r="Y1437" s="144"/>
      <c r="Z1437" s="141"/>
      <c r="AA1437" s="141"/>
      <c r="AB1437" s="141"/>
      <c r="AC1437" s="141"/>
      <c r="AD1437" s="141"/>
      <c r="AE1437" s="141"/>
      <c r="AF1437" s="145"/>
      <c r="AG1437" s="419"/>
    </row>
    <row r="1438" spans="1:33" s="139" customFormat="1" ht="12.75" customHeight="1" x14ac:dyDescent="0.2">
      <c r="A1438" s="141"/>
      <c r="B1438" s="141"/>
      <c r="C1438" s="141"/>
      <c r="D1438" s="141"/>
      <c r="E1438" s="1014"/>
      <c r="F1438" s="1014"/>
      <c r="G1438" s="1027"/>
      <c r="H1438" s="1027"/>
      <c r="I1438" s="1174"/>
      <c r="J1438" s="1174"/>
      <c r="K1438" s="1174"/>
      <c r="L1438" s="1172"/>
      <c r="M1438" s="1172"/>
      <c r="N1438" s="1175"/>
      <c r="O1438" s="143"/>
      <c r="P1438" s="1196"/>
      <c r="Q1438" s="141"/>
      <c r="R1438" s="141"/>
      <c r="S1438" s="148"/>
      <c r="T1438" s="419"/>
      <c r="U1438" s="559"/>
      <c r="V1438" s="141"/>
      <c r="W1438" s="141"/>
      <c r="X1438" s="141"/>
      <c r="Y1438" s="144"/>
      <c r="Z1438" s="141"/>
      <c r="AA1438" s="141"/>
      <c r="AB1438" s="141"/>
      <c r="AC1438" s="141"/>
      <c r="AD1438" s="141"/>
      <c r="AE1438" s="141"/>
      <c r="AF1438" s="145"/>
      <c r="AG1438" s="419"/>
    </row>
    <row r="1439" spans="1:33" s="139" customFormat="1" ht="12.75" customHeight="1" x14ac:dyDescent="0.2">
      <c r="A1439" s="141"/>
      <c r="B1439" s="141"/>
      <c r="C1439" s="141"/>
      <c r="D1439" s="141"/>
      <c r="E1439" s="1014"/>
      <c r="F1439" s="1014"/>
      <c r="G1439" s="1027"/>
      <c r="H1439" s="1027"/>
      <c r="I1439" s="1174"/>
      <c r="J1439" s="1174"/>
      <c r="K1439" s="1174"/>
      <c r="L1439" s="1172"/>
      <c r="M1439" s="1172"/>
      <c r="N1439" s="1175"/>
      <c r="O1439" s="143"/>
      <c r="P1439" s="1196"/>
      <c r="Q1439" s="141"/>
      <c r="R1439" s="141"/>
      <c r="S1439" s="148"/>
      <c r="T1439" s="419"/>
      <c r="U1439" s="559"/>
      <c r="V1439" s="141"/>
      <c r="W1439" s="141"/>
      <c r="X1439" s="141"/>
      <c r="Y1439" s="144"/>
      <c r="Z1439" s="141"/>
      <c r="AA1439" s="141"/>
      <c r="AB1439" s="141"/>
      <c r="AC1439" s="141"/>
      <c r="AD1439" s="141"/>
      <c r="AE1439" s="141"/>
      <c r="AF1439" s="145"/>
      <c r="AG1439" s="419"/>
    </row>
    <row r="1440" spans="1:33" s="139" customFormat="1" ht="12.75" customHeight="1" x14ac:dyDescent="0.2">
      <c r="A1440" s="141"/>
      <c r="B1440" s="141"/>
      <c r="C1440" s="141"/>
      <c r="D1440" s="141"/>
      <c r="E1440" s="1014"/>
      <c r="F1440" s="1014"/>
      <c r="G1440" s="1027"/>
      <c r="H1440" s="1027"/>
      <c r="I1440" s="1174"/>
      <c r="J1440" s="1174"/>
      <c r="K1440" s="1174"/>
      <c r="L1440" s="1172"/>
      <c r="M1440" s="1172"/>
      <c r="N1440" s="1175"/>
      <c r="O1440" s="143"/>
      <c r="P1440" s="1196"/>
      <c r="Q1440" s="141"/>
      <c r="R1440" s="141"/>
      <c r="S1440" s="148"/>
      <c r="T1440" s="419"/>
      <c r="U1440" s="559"/>
      <c r="V1440" s="141"/>
      <c r="W1440" s="141"/>
      <c r="X1440" s="141"/>
      <c r="Y1440" s="144"/>
      <c r="Z1440" s="141"/>
      <c r="AA1440" s="141"/>
      <c r="AB1440" s="141"/>
      <c r="AC1440" s="141"/>
      <c r="AD1440" s="141"/>
      <c r="AE1440" s="141"/>
      <c r="AF1440" s="145"/>
      <c r="AG1440" s="419"/>
    </row>
    <row r="1441" spans="1:33" s="139" customFormat="1" ht="12.75" customHeight="1" x14ac:dyDescent="0.2">
      <c r="A1441" s="141"/>
      <c r="B1441" s="141"/>
      <c r="C1441" s="141"/>
      <c r="D1441" s="141"/>
      <c r="E1441" s="1014"/>
      <c r="F1441" s="1014"/>
      <c r="G1441" s="1027"/>
      <c r="H1441" s="1027"/>
      <c r="I1441" s="1174"/>
      <c r="J1441" s="1174"/>
      <c r="K1441" s="1174"/>
      <c r="L1441" s="1172"/>
      <c r="M1441" s="1172"/>
      <c r="N1441" s="1175"/>
      <c r="O1441" s="143"/>
      <c r="P1441" s="1196"/>
      <c r="Q1441" s="141"/>
      <c r="R1441" s="141"/>
      <c r="S1441" s="148"/>
      <c r="T1441" s="419"/>
      <c r="U1441" s="559"/>
      <c r="V1441" s="141"/>
      <c r="W1441" s="141"/>
      <c r="X1441" s="141"/>
      <c r="Y1441" s="144"/>
      <c r="Z1441" s="141"/>
      <c r="AA1441" s="141"/>
      <c r="AB1441" s="141"/>
      <c r="AC1441" s="141"/>
      <c r="AD1441" s="141"/>
      <c r="AE1441" s="141"/>
      <c r="AF1441" s="145"/>
      <c r="AG1441" s="419"/>
    </row>
    <row r="1442" spans="1:33" s="139" customFormat="1" ht="12.75" customHeight="1" x14ac:dyDescent="0.2">
      <c r="A1442" s="141"/>
      <c r="B1442" s="141"/>
      <c r="C1442" s="141"/>
      <c r="D1442" s="141"/>
      <c r="E1442" s="1014"/>
      <c r="F1442" s="1014"/>
      <c r="G1442" s="1027"/>
      <c r="H1442" s="1027"/>
      <c r="I1442" s="1174"/>
      <c r="J1442" s="1174"/>
      <c r="K1442" s="1174"/>
      <c r="L1442" s="1172"/>
      <c r="M1442" s="1172"/>
      <c r="N1442" s="1175"/>
      <c r="O1442" s="143"/>
      <c r="P1442" s="1196"/>
      <c r="Q1442" s="141"/>
      <c r="R1442" s="141"/>
      <c r="S1442" s="148"/>
      <c r="T1442" s="419"/>
      <c r="U1442" s="559"/>
      <c r="V1442" s="141"/>
      <c r="W1442" s="141"/>
      <c r="X1442" s="141"/>
      <c r="Y1442" s="144"/>
      <c r="Z1442" s="141"/>
      <c r="AA1442" s="141"/>
      <c r="AB1442" s="141"/>
      <c r="AC1442" s="141"/>
      <c r="AD1442" s="141"/>
      <c r="AE1442" s="141"/>
      <c r="AF1442" s="145"/>
      <c r="AG1442" s="419"/>
    </row>
    <row r="1443" spans="1:33" s="139" customFormat="1" ht="12.75" customHeight="1" x14ac:dyDescent="0.2">
      <c r="A1443" s="141"/>
      <c r="B1443" s="141"/>
      <c r="C1443" s="141"/>
      <c r="D1443" s="141"/>
      <c r="E1443" s="1014"/>
      <c r="F1443" s="1014"/>
      <c r="G1443" s="1027"/>
      <c r="H1443" s="1027"/>
      <c r="I1443" s="1174"/>
      <c r="J1443" s="1174"/>
      <c r="K1443" s="1174"/>
      <c r="L1443" s="1172"/>
      <c r="M1443" s="1172"/>
      <c r="N1443" s="1175"/>
      <c r="O1443" s="143"/>
      <c r="P1443" s="1196"/>
      <c r="Q1443" s="141"/>
      <c r="R1443" s="141"/>
      <c r="S1443" s="148"/>
      <c r="T1443" s="419"/>
      <c r="U1443" s="559"/>
      <c r="V1443" s="141"/>
      <c r="W1443" s="141"/>
      <c r="X1443" s="141"/>
      <c r="Y1443" s="144"/>
      <c r="Z1443" s="141"/>
      <c r="AA1443" s="141"/>
      <c r="AB1443" s="141"/>
      <c r="AC1443" s="141"/>
      <c r="AD1443" s="141"/>
      <c r="AE1443" s="141"/>
      <c r="AF1443" s="145"/>
      <c r="AG1443" s="419"/>
    </row>
    <row r="1444" spans="1:33" s="139" customFormat="1" ht="12.75" customHeight="1" x14ac:dyDescent="0.2">
      <c r="A1444" s="141"/>
      <c r="B1444" s="141"/>
      <c r="C1444" s="141"/>
      <c r="D1444" s="141"/>
      <c r="E1444" s="1014"/>
      <c r="F1444" s="1014"/>
      <c r="G1444" s="1027"/>
      <c r="H1444" s="1027"/>
      <c r="I1444" s="1174"/>
      <c r="J1444" s="1174"/>
      <c r="K1444" s="1174"/>
      <c r="L1444" s="1172"/>
      <c r="M1444" s="1172"/>
      <c r="N1444" s="1175"/>
      <c r="O1444" s="143"/>
      <c r="P1444" s="1196"/>
      <c r="Q1444" s="141"/>
      <c r="R1444" s="141"/>
      <c r="S1444" s="148"/>
      <c r="T1444" s="419"/>
      <c r="U1444" s="559"/>
      <c r="V1444" s="141"/>
      <c r="W1444" s="141"/>
      <c r="X1444" s="141"/>
      <c r="Y1444" s="144"/>
      <c r="Z1444" s="141"/>
      <c r="AA1444" s="141"/>
      <c r="AB1444" s="141"/>
      <c r="AC1444" s="141"/>
      <c r="AD1444" s="141"/>
      <c r="AE1444" s="141"/>
      <c r="AF1444" s="145"/>
      <c r="AG1444" s="419"/>
    </row>
    <row r="1445" spans="1:33" s="139" customFormat="1" ht="12.75" customHeight="1" x14ac:dyDescent="0.2">
      <c r="A1445" s="141"/>
      <c r="B1445" s="141"/>
      <c r="C1445" s="141"/>
      <c r="D1445" s="141"/>
      <c r="E1445" s="1014"/>
      <c r="F1445" s="1014"/>
      <c r="G1445" s="1027"/>
      <c r="H1445" s="1027"/>
      <c r="I1445" s="1174"/>
      <c r="J1445" s="1174"/>
      <c r="K1445" s="1174"/>
      <c r="L1445" s="1172"/>
      <c r="M1445" s="1172"/>
      <c r="N1445" s="1175"/>
      <c r="O1445" s="143"/>
      <c r="P1445" s="1196"/>
      <c r="Q1445" s="141"/>
      <c r="R1445" s="141"/>
      <c r="S1445" s="148"/>
      <c r="T1445" s="419"/>
      <c r="U1445" s="559"/>
      <c r="V1445" s="141"/>
      <c r="W1445" s="141"/>
      <c r="X1445" s="141"/>
      <c r="Y1445" s="144"/>
      <c r="Z1445" s="141"/>
      <c r="AA1445" s="141"/>
      <c r="AB1445" s="141"/>
      <c r="AC1445" s="141"/>
      <c r="AD1445" s="141"/>
      <c r="AE1445" s="141"/>
      <c r="AF1445" s="145"/>
      <c r="AG1445" s="419"/>
    </row>
    <row r="1446" spans="1:33" s="139" customFormat="1" ht="12.75" customHeight="1" x14ac:dyDescent="0.2">
      <c r="A1446" s="141"/>
      <c r="B1446" s="141"/>
      <c r="C1446" s="141"/>
      <c r="D1446" s="141"/>
      <c r="E1446" s="1014"/>
      <c r="F1446" s="1014"/>
      <c r="G1446" s="1027"/>
      <c r="H1446" s="1027"/>
      <c r="I1446" s="1174"/>
      <c r="J1446" s="1174"/>
      <c r="K1446" s="1174"/>
      <c r="L1446" s="1172"/>
      <c r="M1446" s="1172"/>
      <c r="N1446" s="1175"/>
      <c r="O1446" s="143"/>
      <c r="P1446" s="1196"/>
      <c r="Q1446" s="141"/>
      <c r="R1446" s="141"/>
      <c r="S1446" s="148"/>
      <c r="T1446" s="419"/>
      <c r="U1446" s="559"/>
      <c r="V1446" s="141"/>
      <c r="W1446" s="141"/>
      <c r="X1446" s="141"/>
      <c r="Y1446" s="144"/>
      <c r="Z1446" s="141"/>
      <c r="AA1446" s="141"/>
      <c r="AB1446" s="141"/>
      <c r="AC1446" s="141"/>
      <c r="AD1446" s="141"/>
      <c r="AE1446" s="141"/>
      <c r="AF1446" s="145"/>
      <c r="AG1446" s="419"/>
    </row>
    <row r="1447" spans="1:33" s="139" customFormat="1" ht="12.75" customHeight="1" x14ac:dyDescent="0.2">
      <c r="A1447" s="141"/>
      <c r="B1447" s="141"/>
      <c r="C1447" s="141"/>
      <c r="D1447" s="141"/>
      <c r="E1447" s="1014"/>
      <c r="F1447" s="1014"/>
      <c r="G1447" s="1027"/>
      <c r="H1447" s="1027"/>
      <c r="I1447" s="1174"/>
      <c r="J1447" s="1174"/>
      <c r="K1447" s="1174"/>
      <c r="L1447" s="1172"/>
      <c r="M1447" s="1172"/>
      <c r="N1447" s="1175"/>
      <c r="O1447" s="143"/>
      <c r="P1447" s="1196"/>
      <c r="Q1447" s="141"/>
      <c r="R1447" s="141"/>
      <c r="S1447" s="148"/>
      <c r="T1447" s="419"/>
      <c r="U1447" s="559"/>
      <c r="V1447" s="141"/>
      <c r="W1447" s="141"/>
      <c r="X1447" s="141"/>
      <c r="Y1447" s="144"/>
      <c r="Z1447" s="141"/>
      <c r="AA1447" s="141"/>
      <c r="AB1447" s="141"/>
      <c r="AC1447" s="141"/>
      <c r="AD1447" s="141"/>
      <c r="AE1447" s="141"/>
      <c r="AF1447" s="145"/>
      <c r="AG1447" s="419"/>
    </row>
    <row r="1448" spans="1:33" s="139" customFormat="1" ht="12.75" customHeight="1" x14ac:dyDescent="0.2">
      <c r="A1448" s="141"/>
      <c r="B1448" s="141"/>
      <c r="C1448" s="141"/>
      <c r="D1448" s="141"/>
      <c r="E1448" s="1014"/>
      <c r="F1448" s="1014"/>
      <c r="G1448" s="1027"/>
      <c r="H1448" s="1027"/>
      <c r="I1448" s="1174"/>
      <c r="J1448" s="1174"/>
      <c r="K1448" s="1174"/>
      <c r="L1448" s="1172"/>
      <c r="M1448" s="1172"/>
      <c r="N1448" s="1175"/>
      <c r="O1448" s="143"/>
      <c r="P1448" s="1196"/>
      <c r="Q1448" s="141"/>
      <c r="R1448" s="141"/>
      <c r="S1448" s="148"/>
      <c r="T1448" s="419"/>
      <c r="U1448" s="559"/>
      <c r="V1448" s="141"/>
      <c r="W1448" s="141"/>
      <c r="X1448" s="141"/>
      <c r="Y1448" s="144"/>
      <c r="Z1448" s="141"/>
      <c r="AA1448" s="141"/>
      <c r="AB1448" s="141"/>
      <c r="AC1448" s="141"/>
      <c r="AD1448" s="141"/>
      <c r="AE1448" s="141"/>
      <c r="AF1448" s="145"/>
      <c r="AG1448" s="419"/>
    </row>
    <row r="1449" spans="1:33" s="139" customFormat="1" ht="12.75" customHeight="1" x14ac:dyDescent="0.2">
      <c r="A1449" s="141"/>
      <c r="B1449" s="141"/>
      <c r="C1449" s="141"/>
      <c r="D1449" s="141"/>
      <c r="E1449" s="1014"/>
      <c r="F1449" s="1014"/>
      <c r="G1449" s="1027"/>
      <c r="H1449" s="1027"/>
      <c r="I1449" s="1174"/>
      <c r="J1449" s="1174"/>
      <c r="K1449" s="1174"/>
      <c r="L1449" s="1172"/>
      <c r="M1449" s="1172"/>
      <c r="N1449" s="1175"/>
      <c r="O1449" s="143"/>
      <c r="P1449" s="1196"/>
      <c r="Q1449" s="141"/>
      <c r="R1449" s="141"/>
      <c r="S1449" s="148"/>
      <c r="T1449" s="419"/>
      <c r="U1449" s="559"/>
      <c r="V1449" s="141"/>
      <c r="W1449" s="141"/>
      <c r="X1449" s="141"/>
      <c r="Y1449" s="144"/>
      <c r="Z1449" s="141"/>
      <c r="AA1449" s="141"/>
      <c r="AB1449" s="141"/>
      <c r="AC1449" s="141"/>
      <c r="AD1449" s="141"/>
      <c r="AE1449" s="141"/>
      <c r="AF1449" s="145"/>
      <c r="AG1449" s="419"/>
    </row>
    <row r="1450" spans="1:33" s="139" customFormat="1" ht="12.75" customHeight="1" x14ac:dyDescent="0.2">
      <c r="A1450" s="141"/>
      <c r="B1450" s="141"/>
      <c r="C1450" s="141"/>
      <c r="D1450" s="141"/>
      <c r="E1450" s="1014"/>
      <c r="F1450" s="1014"/>
      <c r="G1450" s="1027"/>
      <c r="H1450" s="1027"/>
      <c r="I1450" s="1174"/>
      <c r="J1450" s="1174"/>
      <c r="K1450" s="1174"/>
      <c r="L1450" s="1172"/>
      <c r="M1450" s="1172"/>
      <c r="N1450" s="1175"/>
      <c r="O1450" s="143"/>
      <c r="P1450" s="1196"/>
      <c r="Q1450" s="141"/>
      <c r="R1450" s="141"/>
      <c r="S1450" s="148"/>
      <c r="T1450" s="419"/>
      <c r="U1450" s="559"/>
      <c r="V1450" s="141"/>
      <c r="W1450" s="141"/>
      <c r="X1450" s="141"/>
      <c r="Y1450" s="144"/>
      <c r="Z1450" s="141"/>
      <c r="AA1450" s="141"/>
      <c r="AB1450" s="141"/>
      <c r="AC1450" s="141"/>
      <c r="AD1450" s="141"/>
      <c r="AE1450" s="141"/>
      <c r="AF1450" s="145"/>
      <c r="AG1450" s="419"/>
    </row>
    <row r="1451" spans="1:33" s="139" customFormat="1" ht="12.75" customHeight="1" x14ac:dyDescent="0.2">
      <c r="A1451" s="141"/>
      <c r="B1451" s="141"/>
      <c r="C1451" s="141"/>
      <c r="D1451" s="141"/>
      <c r="E1451" s="1014"/>
      <c r="F1451" s="1014"/>
      <c r="G1451" s="1027"/>
      <c r="H1451" s="1027"/>
      <c r="I1451" s="1174"/>
      <c r="J1451" s="1174"/>
      <c r="K1451" s="1174"/>
      <c r="L1451" s="1172"/>
      <c r="M1451" s="1172"/>
      <c r="N1451" s="1175"/>
      <c r="O1451" s="143"/>
      <c r="P1451" s="1196"/>
      <c r="Q1451" s="141"/>
      <c r="R1451" s="141"/>
      <c r="S1451" s="148"/>
      <c r="T1451" s="419"/>
      <c r="U1451" s="559"/>
      <c r="V1451" s="141"/>
      <c r="W1451" s="141"/>
      <c r="X1451" s="141"/>
      <c r="Y1451" s="144"/>
      <c r="Z1451" s="141"/>
      <c r="AA1451" s="141"/>
      <c r="AB1451" s="141"/>
      <c r="AC1451" s="141"/>
      <c r="AD1451" s="141"/>
      <c r="AE1451" s="141"/>
      <c r="AF1451" s="145"/>
      <c r="AG1451" s="419"/>
    </row>
    <row r="1452" spans="1:33" s="139" customFormat="1" ht="12.75" customHeight="1" x14ac:dyDescent="0.2">
      <c r="A1452" s="141"/>
      <c r="B1452" s="141"/>
      <c r="C1452" s="141"/>
      <c r="D1452" s="141"/>
      <c r="E1452" s="1014"/>
      <c r="F1452" s="1014"/>
      <c r="G1452" s="1027"/>
      <c r="H1452" s="1027"/>
      <c r="I1452" s="1174"/>
      <c r="J1452" s="1174"/>
      <c r="K1452" s="1174"/>
      <c r="L1452" s="1172"/>
      <c r="M1452" s="1172"/>
      <c r="N1452" s="1175"/>
      <c r="O1452" s="143"/>
      <c r="P1452" s="1196"/>
      <c r="Q1452" s="141"/>
      <c r="R1452" s="141"/>
      <c r="S1452" s="148"/>
      <c r="T1452" s="419"/>
      <c r="U1452" s="559"/>
      <c r="V1452" s="141"/>
      <c r="W1452" s="141"/>
      <c r="X1452" s="141"/>
      <c r="Y1452" s="144"/>
      <c r="Z1452" s="141"/>
      <c r="AA1452" s="141"/>
      <c r="AB1452" s="141"/>
      <c r="AC1452" s="141"/>
      <c r="AD1452" s="141"/>
      <c r="AE1452" s="141"/>
      <c r="AF1452" s="145"/>
      <c r="AG1452" s="419"/>
    </row>
    <row r="1453" spans="1:33" s="139" customFormat="1" ht="12.75" customHeight="1" x14ac:dyDescent="0.2">
      <c r="A1453" s="141"/>
      <c r="B1453" s="141"/>
      <c r="C1453" s="141"/>
      <c r="D1453" s="141"/>
      <c r="E1453" s="1014"/>
      <c r="F1453" s="1014"/>
      <c r="G1453" s="1027"/>
      <c r="H1453" s="1027"/>
      <c r="I1453" s="1174"/>
      <c r="J1453" s="1174"/>
      <c r="K1453" s="1174"/>
      <c r="L1453" s="1172"/>
      <c r="M1453" s="1172"/>
      <c r="N1453" s="1175"/>
      <c r="O1453" s="143"/>
      <c r="P1453" s="1196"/>
      <c r="Q1453" s="141"/>
      <c r="R1453" s="141"/>
      <c r="S1453" s="148"/>
      <c r="T1453" s="419"/>
      <c r="U1453" s="559"/>
      <c r="V1453" s="141"/>
      <c r="W1453" s="141"/>
      <c r="X1453" s="141"/>
      <c r="Y1453" s="144"/>
      <c r="Z1453" s="141"/>
      <c r="AA1453" s="141"/>
      <c r="AB1453" s="141"/>
      <c r="AC1453" s="141"/>
      <c r="AD1453" s="141"/>
      <c r="AE1453" s="141"/>
      <c r="AF1453" s="145"/>
      <c r="AG1453" s="419"/>
    </row>
    <row r="1454" spans="1:33" s="139" customFormat="1" ht="12.75" customHeight="1" x14ac:dyDescent="0.2">
      <c r="A1454" s="141"/>
      <c r="B1454" s="141"/>
      <c r="C1454" s="141"/>
      <c r="D1454" s="141"/>
      <c r="E1454" s="1014"/>
      <c r="F1454" s="1014"/>
      <c r="G1454" s="1027"/>
      <c r="H1454" s="1027"/>
      <c r="I1454" s="1174"/>
      <c r="J1454" s="1174"/>
      <c r="K1454" s="1174"/>
      <c r="L1454" s="1172"/>
      <c r="M1454" s="1172"/>
      <c r="N1454" s="1175"/>
      <c r="O1454" s="143"/>
      <c r="P1454" s="1196"/>
      <c r="Q1454" s="141"/>
      <c r="R1454" s="141"/>
      <c r="S1454" s="148"/>
      <c r="T1454" s="419"/>
      <c r="U1454" s="559"/>
      <c r="V1454" s="141"/>
      <c r="W1454" s="141"/>
      <c r="X1454" s="141"/>
      <c r="Y1454" s="144"/>
      <c r="Z1454" s="141"/>
      <c r="AA1454" s="141"/>
      <c r="AB1454" s="141"/>
      <c r="AC1454" s="141"/>
      <c r="AD1454" s="141"/>
      <c r="AE1454" s="141"/>
      <c r="AF1454" s="145"/>
      <c r="AG1454" s="419"/>
    </row>
    <row r="1455" spans="1:33" s="139" customFormat="1" ht="12.75" customHeight="1" x14ac:dyDescent="0.2">
      <c r="A1455" s="141"/>
      <c r="B1455" s="141"/>
      <c r="C1455" s="141"/>
      <c r="D1455" s="141"/>
      <c r="E1455" s="1014"/>
      <c r="F1455" s="1014"/>
      <c r="G1455" s="1027"/>
      <c r="H1455" s="1027"/>
      <c r="I1455" s="1174"/>
      <c r="J1455" s="1174"/>
      <c r="K1455" s="1174"/>
      <c r="L1455" s="1172"/>
      <c r="M1455" s="1172"/>
      <c r="N1455" s="1175"/>
      <c r="O1455" s="143"/>
      <c r="P1455" s="1196"/>
      <c r="Q1455" s="141"/>
      <c r="R1455" s="141"/>
      <c r="S1455" s="148"/>
      <c r="T1455" s="419"/>
      <c r="U1455" s="559"/>
      <c r="V1455" s="141"/>
      <c r="W1455" s="141"/>
      <c r="X1455" s="141"/>
      <c r="Y1455" s="144"/>
      <c r="Z1455" s="141"/>
      <c r="AA1455" s="141"/>
      <c r="AB1455" s="141"/>
      <c r="AC1455" s="141"/>
      <c r="AD1455" s="141"/>
      <c r="AE1455" s="141"/>
      <c r="AF1455" s="145"/>
      <c r="AG1455" s="419"/>
    </row>
    <row r="1456" spans="1:33" s="139" customFormat="1" ht="12.75" customHeight="1" x14ac:dyDescent="0.2">
      <c r="A1456" s="141"/>
      <c r="B1456" s="141"/>
      <c r="C1456" s="141"/>
      <c r="D1456" s="141"/>
      <c r="E1456" s="1014"/>
      <c r="F1456" s="1014"/>
      <c r="G1456" s="1027"/>
      <c r="H1456" s="1027"/>
      <c r="I1456" s="1174"/>
      <c r="J1456" s="1174"/>
      <c r="K1456" s="1174"/>
      <c r="L1456" s="1172"/>
      <c r="M1456" s="1172"/>
      <c r="N1456" s="1175"/>
      <c r="O1456" s="143"/>
      <c r="P1456" s="1196"/>
      <c r="Q1456" s="141"/>
      <c r="R1456" s="141"/>
      <c r="S1456" s="148"/>
      <c r="T1456" s="419"/>
      <c r="U1456" s="559"/>
      <c r="V1456" s="141"/>
      <c r="W1456" s="141"/>
      <c r="X1456" s="141"/>
      <c r="Y1456" s="144"/>
      <c r="Z1456" s="141"/>
      <c r="AA1456" s="141"/>
      <c r="AB1456" s="141"/>
      <c r="AC1456" s="141"/>
      <c r="AD1456" s="141"/>
      <c r="AE1456" s="141"/>
      <c r="AF1456" s="145"/>
      <c r="AG1456" s="419"/>
    </row>
    <row r="1457" spans="1:33" s="139" customFormat="1" ht="12.75" customHeight="1" x14ac:dyDescent="0.2">
      <c r="A1457" s="141"/>
      <c r="B1457" s="141"/>
      <c r="C1457" s="141"/>
      <c r="D1457" s="141"/>
      <c r="E1457" s="1014"/>
      <c r="F1457" s="1014"/>
      <c r="G1457" s="1027"/>
      <c r="H1457" s="1027"/>
      <c r="I1457" s="1174"/>
      <c r="J1457" s="1174"/>
      <c r="K1457" s="1174"/>
      <c r="L1457" s="1172"/>
      <c r="M1457" s="1172"/>
      <c r="N1457" s="1175"/>
      <c r="O1457" s="143"/>
      <c r="P1457" s="1196"/>
      <c r="Q1457" s="141"/>
      <c r="R1457" s="141"/>
      <c r="S1457" s="148"/>
      <c r="T1457" s="419"/>
      <c r="U1457" s="559"/>
      <c r="V1457" s="141"/>
      <c r="W1457" s="141"/>
      <c r="X1457" s="141"/>
      <c r="Y1457" s="144"/>
      <c r="Z1457" s="141"/>
      <c r="AA1457" s="141"/>
      <c r="AB1457" s="141"/>
      <c r="AC1457" s="141"/>
      <c r="AD1457" s="141"/>
      <c r="AE1457" s="141"/>
      <c r="AF1457" s="145"/>
      <c r="AG1457" s="419"/>
    </row>
    <row r="1458" spans="1:33" s="139" customFormat="1" ht="12.75" customHeight="1" x14ac:dyDescent="0.2">
      <c r="A1458" s="141"/>
      <c r="B1458" s="141"/>
      <c r="C1458" s="141"/>
      <c r="D1458" s="141"/>
      <c r="E1458" s="1014"/>
      <c r="F1458" s="1014"/>
      <c r="G1458" s="1027"/>
      <c r="H1458" s="1027"/>
      <c r="I1458" s="1174"/>
      <c r="J1458" s="1174"/>
      <c r="K1458" s="1174"/>
      <c r="L1458" s="1172"/>
      <c r="M1458" s="1172"/>
      <c r="N1458" s="1175"/>
      <c r="O1458" s="143"/>
      <c r="P1458" s="1196"/>
      <c r="Q1458" s="141"/>
      <c r="R1458" s="141"/>
      <c r="S1458" s="148"/>
      <c r="T1458" s="419"/>
      <c r="U1458" s="559"/>
      <c r="V1458" s="141"/>
      <c r="W1458" s="141"/>
      <c r="X1458" s="141"/>
      <c r="Y1458" s="144"/>
      <c r="Z1458" s="141"/>
      <c r="AA1458" s="141"/>
      <c r="AB1458" s="141"/>
      <c r="AC1458" s="141"/>
      <c r="AD1458" s="141"/>
      <c r="AE1458" s="141"/>
      <c r="AF1458" s="145"/>
      <c r="AG1458" s="419"/>
    </row>
    <row r="1459" spans="1:33" s="139" customFormat="1" ht="12.75" customHeight="1" x14ac:dyDescent="0.2">
      <c r="A1459" s="141"/>
      <c r="B1459" s="141"/>
      <c r="C1459" s="141"/>
      <c r="D1459" s="141"/>
      <c r="E1459" s="1014"/>
      <c r="F1459" s="1014"/>
      <c r="G1459" s="1027"/>
      <c r="H1459" s="1027"/>
      <c r="I1459" s="1174"/>
      <c r="J1459" s="1174"/>
      <c r="K1459" s="1174"/>
      <c r="L1459" s="1172"/>
      <c r="M1459" s="1172"/>
      <c r="N1459" s="1175"/>
      <c r="O1459" s="143"/>
      <c r="P1459" s="1196"/>
      <c r="Q1459" s="141"/>
      <c r="R1459" s="141"/>
      <c r="S1459" s="148"/>
      <c r="T1459" s="419"/>
      <c r="U1459" s="559"/>
      <c r="V1459" s="141"/>
      <c r="W1459" s="141"/>
      <c r="X1459" s="141"/>
      <c r="Y1459" s="144"/>
      <c r="Z1459" s="141"/>
      <c r="AA1459" s="141"/>
      <c r="AB1459" s="141"/>
      <c r="AC1459" s="141"/>
      <c r="AD1459" s="141"/>
      <c r="AE1459" s="141"/>
      <c r="AF1459" s="145"/>
      <c r="AG1459" s="419"/>
    </row>
    <row r="1460" spans="1:33" s="139" customFormat="1" ht="12.75" customHeight="1" x14ac:dyDescent="0.2">
      <c r="A1460" s="141"/>
      <c r="B1460" s="141"/>
      <c r="C1460" s="141"/>
      <c r="D1460" s="141"/>
      <c r="E1460" s="1014"/>
      <c r="F1460" s="1014"/>
      <c r="G1460" s="1027"/>
      <c r="H1460" s="1027"/>
      <c r="I1460" s="1174"/>
      <c r="J1460" s="1174"/>
      <c r="K1460" s="1174"/>
      <c r="L1460" s="1172"/>
      <c r="M1460" s="1172"/>
      <c r="N1460" s="1175"/>
      <c r="O1460" s="143"/>
      <c r="P1460" s="1196"/>
      <c r="Q1460" s="141"/>
      <c r="R1460" s="141"/>
      <c r="S1460" s="148"/>
      <c r="T1460" s="419"/>
      <c r="U1460" s="559"/>
      <c r="V1460" s="141"/>
      <c r="W1460" s="141"/>
      <c r="X1460" s="141"/>
      <c r="Y1460" s="144"/>
      <c r="Z1460" s="141"/>
      <c r="AA1460" s="141"/>
      <c r="AB1460" s="141"/>
      <c r="AC1460" s="141"/>
      <c r="AD1460" s="141"/>
      <c r="AE1460" s="141"/>
      <c r="AF1460" s="145"/>
      <c r="AG1460" s="419"/>
    </row>
    <row r="1461" spans="1:33" s="139" customFormat="1" ht="12.75" customHeight="1" x14ac:dyDescent="0.2">
      <c r="A1461" s="141"/>
      <c r="B1461" s="141"/>
      <c r="C1461" s="141"/>
      <c r="D1461" s="141"/>
      <c r="E1461" s="1014"/>
      <c r="F1461" s="1014"/>
      <c r="G1461" s="1027"/>
      <c r="H1461" s="1027"/>
      <c r="I1461" s="1174"/>
      <c r="J1461" s="1174"/>
      <c r="K1461" s="1174"/>
      <c r="L1461" s="1172"/>
      <c r="M1461" s="1172"/>
      <c r="N1461" s="1175"/>
      <c r="O1461" s="143"/>
      <c r="P1461" s="1196"/>
      <c r="Q1461" s="141"/>
      <c r="R1461" s="141"/>
      <c r="S1461" s="148"/>
      <c r="T1461" s="419"/>
      <c r="U1461" s="559"/>
      <c r="V1461" s="141"/>
      <c r="W1461" s="141"/>
      <c r="X1461" s="141"/>
      <c r="Y1461" s="144"/>
      <c r="Z1461" s="141"/>
      <c r="AA1461" s="141"/>
      <c r="AB1461" s="141"/>
      <c r="AC1461" s="141"/>
      <c r="AD1461" s="141"/>
      <c r="AE1461" s="141"/>
      <c r="AF1461" s="145"/>
      <c r="AG1461" s="419"/>
    </row>
    <row r="1462" spans="1:33" s="139" customFormat="1" ht="12.75" customHeight="1" x14ac:dyDescent="0.2">
      <c r="A1462" s="141"/>
      <c r="B1462" s="141"/>
      <c r="C1462" s="141"/>
      <c r="D1462" s="141"/>
      <c r="E1462" s="1014"/>
      <c r="F1462" s="1014"/>
      <c r="G1462" s="1027"/>
      <c r="H1462" s="1027"/>
      <c r="I1462" s="1174"/>
      <c r="J1462" s="1174"/>
      <c r="K1462" s="1174"/>
      <c r="L1462" s="1172"/>
      <c r="M1462" s="1172"/>
      <c r="N1462" s="1175"/>
      <c r="O1462" s="143"/>
      <c r="P1462" s="1196"/>
      <c r="Q1462" s="141"/>
      <c r="R1462" s="141"/>
      <c r="S1462" s="148"/>
      <c r="T1462" s="419"/>
      <c r="U1462" s="559"/>
      <c r="V1462" s="141"/>
      <c r="W1462" s="141"/>
      <c r="X1462" s="141"/>
      <c r="Y1462" s="144"/>
      <c r="Z1462" s="141"/>
      <c r="AA1462" s="141"/>
      <c r="AB1462" s="141"/>
      <c r="AC1462" s="141"/>
      <c r="AD1462" s="141"/>
      <c r="AE1462" s="141"/>
      <c r="AF1462" s="145"/>
      <c r="AG1462" s="419"/>
    </row>
    <row r="1463" spans="1:33" s="139" customFormat="1" ht="12.75" customHeight="1" x14ac:dyDescent="0.2">
      <c r="A1463" s="141"/>
      <c r="B1463" s="141"/>
      <c r="C1463" s="141"/>
      <c r="D1463" s="141"/>
      <c r="E1463" s="1014"/>
      <c r="F1463" s="1014"/>
      <c r="G1463" s="1027"/>
      <c r="H1463" s="1027"/>
      <c r="I1463" s="1174"/>
      <c r="J1463" s="1174"/>
      <c r="K1463" s="1174"/>
      <c r="L1463" s="1172"/>
      <c r="M1463" s="1172"/>
      <c r="N1463" s="1175"/>
      <c r="O1463" s="143"/>
      <c r="P1463" s="1196"/>
      <c r="Q1463" s="141"/>
      <c r="R1463" s="141"/>
      <c r="S1463" s="148"/>
      <c r="T1463" s="419"/>
      <c r="U1463" s="559"/>
      <c r="V1463" s="141"/>
      <c r="W1463" s="141"/>
      <c r="X1463" s="141"/>
      <c r="Y1463" s="144"/>
      <c r="Z1463" s="141"/>
      <c r="AA1463" s="141"/>
      <c r="AB1463" s="141"/>
      <c r="AC1463" s="141"/>
      <c r="AD1463" s="141"/>
      <c r="AE1463" s="141"/>
      <c r="AF1463" s="145"/>
      <c r="AG1463" s="419"/>
    </row>
    <row r="1464" spans="1:33" s="139" customFormat="1" ht="12.75" customHeight="1" x14ac:dyDescent="0.2">
      <c r="A1464" s="141"/>
      <c r="B1464" s="141"/>
      <c r="C1464" s="141"/>
      <c r="D1464" s="141"/>
      <c r="E1464" s="1014"/>
      <c r="F1464" s="1014"/>
      <c r="G1464" s="1027"/>
      <c r="H1464" s="1027"/>
      <c r="I1464" s="1174"/>
      <c r="J1464" s="1174"/>
      <c r="K1464" s="1174"/>
      <c r="L1464" s="1172"/>
      <c r="M1464" s="1172"/>
      <c r="N1464" s="1175"/>
      <c r="O1464" s="143"/>
      <c r="P1464" s="1196"/>
      <c r="Q1464" s="141"/>
      <c r="R1464" s="141"/>
      <c r="S1464" s="148"/>
      <c r="T1464" s="419"/>
      <c r="U1464" s="559"/>
      <c r="V1464" s="141"/>
      <c r="W1464" s="141"/>
      <c r="X1464" s="141"/>
      <c r="Y1464" s="144"/>
      <c r="Z1464" s="141"/>
      <c r="AA1464" s="141"/>
      <c r="AB1464" s="141"/>
      <c r="AC1464" s="141"/>
      <c r="AD1464" s="141"/>
      <c r="AE1464" s="141"/>
      <c r="AF1464" s="145"/>
      <c r="AG1464" s="419"/>
    </row>
    <row r="1465" spans="1:33" s="139" customFormat="1" ht="12.75" customHeight="1" x14ac:dyDescent="0.2">
      <c r="A1465" s="141"/>
      <c r="B1465" s="141"/>
      <c r="C1465" s="141"/>
      <c r="D1465" s="141"/>
      <c r="E1465" s="1014"/>
      <c r="F1465" s="1014"/>
      <c r="G1465" s="1027"/>
      <c r="H1465" s="1027"/>
      <c r="I1465" s="1174"/>
      <c r="J1465" s="1174"/>
      <c r="K1465" s="1174"/>
      <c r="L1465" s="1172"/>
      <c r="M1465" s="1172"/>
      <c r="N1465" s="1175"/>
      <c r="O1465" s="143"/>
      <c r="P1465" s="1196"/>
      <c r="Q1465" s="141"/>
      <c r="R1465" s="141"/>
      <c r="S1465" s="148"/>
      <c r="T1465" s="419"/>
      <c r="U1465" s="559"/>
      <c r="V1465" s="141"/>
      <c r="W1465" s="141"/>
      <c r="X1465" s="141"/>
      <c r="Y1465" s="144"/>
      <c r="Z1465" s="141"/>
      <c r="AA1465" s="141"/>
      <c r="AB1465" s="141"/>
      <c r="AC1465" s="141"/>
      <c r="AD1465" s="141"/>
      <c r="AE1465" s="141"/>
      <c r="AF1465" s="145"/>
      <c r="AG1465" s="419"/>
    </row>
    <row r="1466" spans="1:33" s="139" customFormat="1" ht="12.75" customHeight="1" x14ac:dyDescent="0.2">
      <c r="A1466" s="141"/>
      <c r="B1466" s="141"/>
      <c r="C1466" s="141"/>
      <c r="D1466" s="141"/>
      <c r="E1466" s="1014"/>
      <c r="F1466" s="1014"/>
      <c r="G1466" s="1027"/>
      <c r="H1466" s="1027"/>
      <c r="I1466" s="1174"/>
      <c r="J1466" s="1174"/>
      <c r="K1466" s="1174"/>
      <c r="L1466" s="1172"/>
      <c r="M1466" s="1172"/>
      <c r="N1466" s="1175"/>
      <c r="O1466" s="143"/>
      <c r="P1466" s="1196"/>
      <c r="Q1466" s="141"/>
      <c r="R1466" s="141"/>
      <c r="S1466" s="148"/>
      <c r="T1466" s="419"/>
      <c r="U1466" s="559"/>
      <c r="V1466" s="141"/>
      <c r="W1466" s="141"/>
      <c r="X1466" s="141"/>
      <c r="Y1466" s="144"/>
      <c r="Z1466" s="141"/>
      <c r="AA1466" s="141"/>
      <c r="AB1466" s="141"/>
      <c r="AC1466" s="141"/>
      <c r="AD1466" s="141"/>
      <c r="AE1466" s="141"/>
      <c r="AF1466" s="145"/>
      <c r="AG1466" s="419"/>
    </row>
    <row r="1467" spans="1:33" s="139" customFormat="1" ht="12.75" customHeight="1" x14ac:dyDescent="0.2">
      <c r="A1467" s="141"/>
      <c r="B1467" s="141"/>
      <c r="C1467" s="141"/>
      <c r="D1467" s="141"/>
      <c r="E1467" s="1014"/>
      <c r="F1467" s="1014"/>
      <c r="G1467" s="1027"/>
      <c r="H1467" s="1027"/>
      <c r="I1467" s="1174"/>
      <c r="J1467" s="1174"/>
      <c r="K1467" s="1174"/>
      <c r="L1467" s="1172"/>
      <c r="M1467" s="1172"/>
      <c r="N1467" s="1175"/>
      <c r="O1467" s="143"/>
      <c r="P1467" s="1196"/>
      <c r="Q1467" s="141"/>
      <c r="R1467" s="141"/>
      <c r="S1467" s="148"/>
      <c r="T1467" s="419"/>
      <c r="U1467" s="559"/>
      <c r="V1467" s="141"/>
      <c r="W1467" s="141"/>
      <c r="X1467" s="141"/>
      <c r="Y1467" s="144"/>
      <c r="Z1467" s="141"/>
      <c r="AA1467" s="141"/>
      <c r="AB1467" s="141"/>
      <c r="AC1467" s="141"/>
      <c r="AD1467" s="141"/>
      <c r="AE1467" s="141"/>
      <c r="AF1467" s="145"/>
      <c r="AG1467" s="419"/>
    </row>
    <row r="1468" spans="1:33" s="139" customFormat="1" ht="12.75" customHeight="1" x14ac:dyDescent="0.2">
      <c r="A1468" s="141"/>
      <c r="B1468" s="141"/>
      <c r="C1468" s="141"/>
      <c r="D1468" s="141"/>
      <c r="E1468" s="1014"/>
      <c r="F1468" s="1014"/>
      <c r="G1468" s="1027"/>
      <c r="H1468" s="1027"/>
      <c r="I1468" s="1174"/>
      <c r="J1468" s="1174"/>
      <c r="K1468" s="1174"/>
      <c r="L1468" s="1172"/>
      <c r="M1468" s="1172"/>
      <c r="N1468" s="1175"/>
      <c r="O1468" s="143"/>
      <c r="P1468" s="1196"/>
      <c r="Q1468" s="141"/>
      <c r="R1468" s="141"/>
      <c r="S1468" s="148"/>
      <c r="T1468" s="419"/>
      <c r="U1468" s="559"/>
      <c r="V1468" s="141"/>
      <c r="W1468" s="141"/>
      <c r="X1468" s="141"/>
      <c r="Y1468" s="144"/>
      <c r="Z1468" s="141"/>
      <c r="AA1468" s="141"/>
      <c r="AB1468" s="141"/>
      <c r="AC1468" s="141"/>
      <c r="AD1468" s="141"/>
      <c r="AE1468" s="141"/>
      <c r="AF1468" s="145"/>
      <c r="AG1468" s="419"/>
    </row>
    <row r="1469" spans="1:33" s="139" customFormat="1" ht="12.75" customHeight="1" x14ac:dyDescent="0.2">
      <c r="A1469" s="141"/>
      <c r="B1469" s="141"/>
      <c r="C1469" s="141"/>
      <c r="D1469" s="141"/>
      <c r="E1469" s="1014"/>
      <c r="F1469" s="1014"/>
      <c r="G1469" s="1027"/>
      <c r="H1469" s="1027"/>
      <c r="I1469" s="1174"/>
      <c r="J1469" s="1174"/>
      <c r="K1469" s="1174"/>
      <c r="L1469" s="1172"/>
      <c r="M1469" s="1172"/>
      <c r="N1469" s="1175"/>
      <c r="O1469" s="143"/>
      <c r="P1469" s="1196"/>
      <c r="Q1469" s="141"/>
      <c r="R1469" s="141"/>
      <c r="S1469" s="148"/>
      <c r="T1469" s="419"/>
      <c r="U1469" s="559"/>
      <c r="V1469" s="141"/>
      <c r="W1469" s="141"/>
      <c r="X1469" s="141"/>
      <c r="Y1469" s="144"/>
      <c r="Z1469" s="141"/>
      <c r="AA1469" s="141"/>
      <c r="AB1469" s="141"/>
      <c r="AC1469" s="141"/>
      <c r="AD1469" s="141"/>
      <c r="AE1469" s="141"/>
      <c r="AF1469" s="145"/>
      <c r="AG1469" s="419"/>
    </row>
    <row r="1470" spans="1:33" s="139" customFormat="1" ht="12.75" customHeight="1" x14ac:dyDescent="0.2">
      <c r="A1470" s="141"/>
      <c r="B1470" s="141"/>
      <c r="C1470" s="141"/>
      <c r="D1470" s="141"/>
      <c r="E1470" s="1014"/>
      <c r="F1470" s="1014"/>
      <c r="G1470" s="1027"/>
      <c r="H1470" s="1027"/>
      <c r="I1470" s="1174"/>
      <c r="J1470" s="1174"/>
      <c r="K1470" s="1174"/>
      <c r="L1470" s="1172"/>
      <c r="M1470" s="1172"/>
      <c r="N1470" s="1175"/>
      <c r="O1470" s="143"/>
      <c r="P1470" s="1196"/>
      <c r="Q1470" s="141"/>
      <c r="R1470" s="141"/>
      <c r="S1470" s="148"/>
      <c r="T1470" s="419"/>
      <c r="U1470" s="559"/>
      <c r="V1470" s="141"/>
      <c r="W1470" s="141"/>
      <c r="X1470" s="141"/>
      <c r="Y1470" s="144"/>
      <c r="Z1470" s="141"/>
      <c r="AA1470" s="141"/>
      <c r="AB1470" s="141"/>
      <c r="AC1470" s="141"/>
      <c r="AD1470" s="141"/>
      <c r="AE1470" s="141"/>
      <c r="AF1470" s="145"/>
      <c r="AG1470" s="419"/>
    </row>
    <row r="1471" spans="1:33" s="139" customFormat="1" ht="12.75" customHeight="1" x14ac:dyDescent="0.2">
      <c r="A1471" s="141"/>
      <c r="B1471" s="141"/>
      <c r="C1471" s="141"/>
      <c r="D1471" s="141"/>
      <c r="E1471" s="1014"/>
      <c r="F1471" s="1014"/>
      <c r="G1471" s="1027"/>
      <c r="H1471" s="1027"/>
      <c r="I1471" s="1174"/>
      <c r="J1471" s="1174"/>
      <c r="K1471" s="1174"/>
      <c r="L1471" s="1172"/>
      <c r="M1471" s="1172"/>
      <c r="N1471" s="1175"/>
      <c r="O1471" s="143"/>
      <c r="P1471" s="1196"/>
      <c r="Q1471" s="141"/>
      <c r="R1471" s="141"/>
      <c r="S1471" s="148"/>
      <c r="T1471" s="419"/>
      <c r="U1471" s="559"/>
      <c r="V1471" s="141"/>
      <c r="W1471" s="141"/>
      <c r="X1471" s="141"/>
      <c r="Y1471" s="144"/>
      <c r="Z1471" s="141"/>
      <c r="AA1471" s="141"/>
      <c r="AB1471" s="141"/>
      <c r="AC1471" s="141"/>
      <c r="AD1471" s="141"/>
      <c r="AE1471" s="141"/>
      <c r="AF1471" s="145"/>
      <c r="AG1471" s="419"/>
    </row>
    <row r="1472" spans="1:33" s="139" customFormat="1" ht="12.75" customHeight="1" x14ac:dyDescent="0.2">
      <c r="A1472" s="141"/>
      <c r="B1472" s="141"/>
      <c r="C1472" s="141"/>
      <c r="D1472" s="141"/>
      <c r="E1472" s="1014"/>
      <c r="F1472" s="1014"/>
      <c r="G1472" s="1027"/>
      <c r="H1472" s="1027"/>
      <c r="I1472" s="1174"/>
      <c r="J1472" s="1174"/>
      <c r="K1472" s="1174"/>
      <c r="L1472" s="1172"/>
      <c r="M1472" s="1172"/>
      <c r="N1472" s="1175"/>
      <c r="O1472" s="143"/>
      <c r="P1472" s="1196"/>
      <c r="Q1472" s="141"/>
      <c r="R1472" s="141"/>
      <c r="S1472" s="148"/>
      <c r="T1472" s="419"/>
      <c r="U1472" s="559"/>
      <c r="V1472" s="141"/>
      <c r="W1472" s="141"/>
      <c r="X1472" s="141"/>
      <c r="Y1472" s="144"/>
      <c r="Z1472" s="141"/>
      <c r="AA1472" s="141"/>
      <c r="AB1472" s="141"/>
      <c r="AC1472" s="141"/>
      <c r="AD1472" s="141"/>
      <c r="AE1472" s="141"/>
      <c r="AF1472" s="145"/>
      <c r="AG1472" s="419"/>
    </row>
    <row r="1473" spans="1:33" s="139" customFormat="1" ht="12.75" customHeight="1" x14ac:dyDescent="0.2">
      <c r="A1473" s="141"/>
      <c r="B1473" s="141"/>
      <c r="C1473" s="141"/>
      <c r="D1473" s="141"/>
      <c r="E1473" s="1014"/>
      <c r="F1473" s="1014"/>
      <c r="G1473" s="1027"/>
      <c r="H1473" s="1027"/>
      <c r="I1473" s="1174"/>
      <c r="J1473" s="1174"/>
      <c r="K1473" s="1174"/>
      <c r="L1473" s="1172"/>
      <c r="M1473" s="1172"/>
      <c r="N1473" s="1175"/>
      <c r="O1473" s="143"/>
      <c r="P1473" s="1196"/>
      <c r="Q1473" s="141"/>
      <c r="R1473" s="141"/>
      <c r="S1473" s="148"/>
      <c r="T1473" s="419"/>
      <c r="U1473" s="559"/>
      <c r="V1473" s="141"/>
      <c r="W1473" s="141"/>
      <c r="X1473" s="141"/>
      <c r="Y1473" s="144"/>
      <c r="Z1473" s="141"/>
      <c r="AA1473" s="141"/>
      <c r="AB1473" s="141"/>
      <c r="AC1473" s="141"/>
      <c r="AD1473" s="141"/>
      <c r="AE1473" s="141"/>
      <c r="AF1473" s="145"/>
      <c r="AG1473" s="419"/>
    </row>
    <row r="1474" spans="1:33" s="139" customFormat="1" ht="12.75" customHeight="1" x14ac:dyDescent="0.2">
      <c r="A1474" s="141"/>
      <c r="B1474" s="141"/>
      <c r="C1474" s="141"/>
      <c r="D1474" s="141"/>
      <c r="E1474" s="1014"/>
      <c r="F1474" s="1014"/>
      <c r="G1474" s="1027"/>
      <c r="H1474" s="1027"/>
      <c r="I1474" s="1174"/>
      <c r="J1474" s="1174"/>
      <c r="K1474" s="1174"/>
      <c r="L1474" s="1172"/>
      <c r="M1474" s="1172"/>
      <c r="N1474" s="1175"/>
      <c r="O1474" s="143"/>
      <c r="P1474" s="1196"/>
      <c r="Q1474" s="141"/>
      <c r="R1474" s="141"/>
      <c r="S1474" s="148"/>
      <c r="T1474" s="419"/>
      <c r="U1474" s="559"/>
      <c r="V1474" s="141"/>
      <c r="W1474" s="141"/>
      <c r="X1474" s="141"/>
      <c r="Y1474" s="144"/>
      <c r="Z1474" s="141"/>
      <c r="AA1474" s="141"/>
      <c r="AB1474" s="141"/>
      <c r="AC1474" s="141"/>
      <c r="AD1474" s="141"/>
      <c r="AE1474" s="141"/>
      <c r="AF1474" s="145"/>
      <c r="AG1474" s="419"/>
    </row>
    <row r="1475" spans="1:33" s="139" customFormat="1" ht="12.75" customHeight="1" x14ac:dyDescent="0.2">
      <c r="A1475" s="141"/>
      <c r="B1475" s="141"/>
      <c r="C1475" s="141"/>
      <c r="D1475" s="141"/>
      <c r="E1475" s="1014"/>
      <c r="F1475" s="1014"/>
      <c r="G1475" s="1027"/>
      <c r="H1475" s="1027"/>
      <c r="I1475" s="1174"/>
      <c r="J1475" s="1174"/>
      <c r="K1475" s="1174"/>
      <c r="L1475" s="1172"/>
      <c r="M1475" s="1172"/>
      <c r="N1475" s="1175"/>
      <c r="O1475" s="143"/>
      <c r="P1475" s="1196"/>
      <c r="Q1475" s="141"/>
      <c r="R1475" s="141"/>
      <c r="S1475" s="148"/>
      <c r="T1475" s="419"/>
      <c r="U1475" s="559"/>
      <c r="V1475" s="141"/>
      <c r="W1475" s="141"/>
      <c r="X1475" s="141"/>
      <c r="Y1475" s="144"/>
      <c r="Z1475" s="141"/>
      <c r="AA1475" s="141"/>
      <c r="AB1475" s="141"/>
      <c r="AC1475" s="141"/>
      <c r="AD1475" s="141"/>
      <c r="AE1475" s="141"/>
      <c r="AF1475" s="145"/>
      <c r="AG1475" s="419"/>
    </row>
    <row r="1476" spans="1:33" s="139" customFormat="1" ht="12.75" customHeight="1" x14ac:dyDescent="0.2">
      <c r="A1476" s="141"/>
      <c r="B1476" s="141"/>
      <c r="C1476" s="141"/>
      <c r="D1476" s="141"/>
      <c r="E1476" s="1014"/>
      <c r="F1476" s="1014"/>
      <c r="G1476" s="1027"/>
      <c r="H1476" s="1027"/>
      <c r="I1476" s="1174"/>
      <c r="J1476" s="1174"/>
      <c r="K1476" s="1174"/>
      <c r="L1476" s="1172"/>
      <c r="M1476" s="1172"/>
      <c r="N1476" s="1175"/>
      <c r="O1476" s="143"/>
      <c r="P1476" s="1196"/>
      <c r="Q1476" s="141"/>
      <c r="R1476" s="141"/>
      <c r="S1476" s="148"/>
      <c r="T1476" s="419"/>
      <c r="U1476" s="559"/>
      <c r="V1476" s="141"/>
      <c r="W1476" s="141"/>
      <c r="X1476" s="141"/>
      <c r="Y1476" s="144"/>
      <c r="Z1476" s="141"/>
      <c r="AA1476" s="141"/>
      <c r="AB1476" s="141"/>
      <c r="AC1476" s="141"/>
      <c r="AD1476" s="141"/>
      <c r="AE1476" s="141"/>
      <c r="AF1476" s="145"/>
      <c r="AG1476" s="419"/>
    </row>
    <row r="1477" spans="1:33" s="139" customFormat="1" ht="12.75" customHeight="1" x14ac:dyDescent="0.2">
      <c r="A1477" s="141"/>
      <c r="B1477" s="141"/>
      <c r="C1477" s="141"/>
      <c r="D1477" s="141"/>
      <c r="E1477" s="1014"/>
      <c r="F1477" s="1014"/>
      <c r="G1477" s="1027"/>
      <c r="H1477" s="1027"/>
      <c r="I1477" s="1174"/>
      <c r="J1477" s="1174"/>
      <c r="K1477" s="1174"/>
      <c r="L1477" s="1172"/>
      <c r="M1477" s="1172"/>
      <c r="N1477" s="1175"/>
      <c r="O1477" s="143"/>
      <c r="P1477" s="1196"/>
      <c r="Q1477" s="141"/>
      <c r="R1477" s="141"/>
      <c r="S1477" s="148"/>
      <c r="T1477" s="419"/>
      <c r="U1477" s="559"/>
      <c r="V1477" s="141"/>
      <c r="W1477" s="141"/>
      <c r="X1477" s="141"/>
      <c r="Y1477" s="144"/>
      <c r="Z1477" s="141"/>
      <c r="AA1477" s="141"/>
      <c r="AB1477" s="141"/>
      <c r="AC1477" s="141"/>
      <c r="AD1477" s="141"/>
      <c r="AE1477" s="141"/>
      <c r="AF1477" s="145"/>
      <c r="AG1477" s="419"/>
    </row>
    <row r="1478" spans="1:33" s="139" customFormat="1" ht="12.75" customHeight="1" x14ac:dyDescent="0.2">
      <c r="A1478" s="141"/>
      <c r="B1478" s="141"/>
      <c r="C1478" s="141"/>
      <c r="D1478" s="141"/>
      <c r="E1478" s="1014"/>
      <c r="F1478" s="1014"/>
      <c r="G1478" s="1027"/>
      <c r="H1478" s="1027"/>
      <c r="I1478" s="1174"/>
      <c r="J1478" s="1174"/>
      <c r="K1478" s="1174"/>
      <c r="L1478" s="1172"/>
      <c r="M1478" s="1172"/>
      <c r="N1478" s="1175"/>
      <c r="O1478" s="143"/>
      <c r="P1478" s="1196"/>
      <c r="Q1478" s="141"/>
      <c r="R1478" s="141"/>
      <c r="S1478" s="148"/>
      <c r="T1478" s="419"/>
      <c r="U1478" s="559"/>
      <c r="V1478" s="141"/>
      <c r="W1478" s="141"/>
      <c r="X1478" s="141"/>
      <c r="Y1478" s="144"/>
      <c r="Z1478" s="141"/>
      <c r="AA1478" s="141"/>
      <c r="AB1478" s="141"/>
      <c r="AC1478" s="141"/>
      <c r="AD1478" s="141"/>
      <c r="AE1478" s="141"/>
      <c r="AF1478" s="145"/>
      <c r="AG1478" s="419"/>
    </row>
    <row r="1479" spans="1:33" s="139" customFormat="1" ht="12.75" customHeight="1" x14ac:dyDescent="0.2">
      <c r="A1479" s="141"/>
      <c r="B1479" s="141"/>
      <c r="C1479" s="141"/>
      <c r="D1479" s="141"/>
      <c r="E1479" s="1014"/>
      <c r="F1479" s="1014"/>
      <c r="G1479" s="1027"/>
      <c r="H1479" s="1027"/>
      <c r="I1479" s="1174"/>
      <c r="J1479" s="1174"/>
      <c r="K1479" s="1174"/>
      <c r="L1479" s="1172"/>
      <c r="M1479" s="1172"/>
      <c r="N1479" s="1175"/>
      <c r="O1479" s="143"/>
      <c r="P1479" s="1196"/>
      <c r="Q1479" s="141"/>
      <c r="R1479" s="141"/>
      <c r="S1479" s="148"/>
      <c r="T1479" s="419"/>
      <c r="U1479" s="559"/>
      <c r="V1479" s="141"/>
      <c r="W1479" s="141"/>
      <c r="X1479" s="141"/>
      <c r="Y1479" s="144"/>
      <c r="Z1479" s="141"/>
      <c r="AA1479" s="141"/>
      <c r="AB1479" s="141"/>
      <c r="AC1479" s="141"/>
      <c r="AD1479" s="141"/>
      <c r="AE1479" s="141"/>
      <c r="AF1479" s="145"/>
      <c r="AG1479" s="419"/>
    </row>
    <row r="1480" spans="1:33" s="139" customFormat="1" ht="12.75" customHeight="1" x14ac:dyDescent="0.2">
      <c r="A1480" s="141"/>
      <c r="B1480" s="141"/>
      <c r="C1480" s="141"/>
      <c r="D1480" s="141"/>
      <c r="E1480" s="1014"/>
      <c r="F1480" s="1014"/>
      <c r="G1480" s="1027"/>
      <c r="H1480" s="1027"/>
      <c r="I1480" s="1174"/>
      <c r="J1480" s="1174"/>
      <c r="K1480" s="1174"/>
      <c r="L1480" s="1172"/>
      <c r="M1480" s="1172"/>
      <c r="N1480" s="1175"/>
      <c r="O1480" s="143"/>
      <c r="P1480" s="1196"/>
      <c r="Q1480" s="141"/>
      <c r="R1480" s="141"/>
      <c r="S1480" s="148"/>
      <c r="T1480" s="419"/>
      <c r="U1480" s="559"/>
      <c r="V1480" s="141"/>
      <c r="W1480" s="141"/>
      <c r="X1480" s="141"/>
      <c r="Y1480" s="144"/>
      <c r="Z1480" s="141"/>
      <c r="AA1480" s="141"/>
      <c r="AB1480" s="141"/>
      <c r="AC1480" s="141"/>
      <c r="AD1480" s="141"/>
      <c r="AE1480" s="141"/>
      <c r="AF1480" s="145"/>
      <c r="AG1480" s="419"/>
    </row>
    <row r="1481" spans="1:33" s="139" customFormat="1" ht="12.75" customHeight="1" x14ac:dyDescent="0.2">
      <c r="A1481" s="141"/>
      <c r="B1481" s="141"/>
      <c r="C1481" s="141"/>
      <c r="D1481" s="141"/>
      <c r="E1481" s="1014"/>
      <c r="F1481" s="1014"/>
      <c r="G1481" s="1027"/>
      <c r="H1481" s="1027"/>
      <c r="I1481" s="1174"/>
      <c r="J1481" s="1174"/>
      <c r="K1481" s="1174"/>
      <c r="L1481" s="1172"/>
      <c r="M1481" s="1172"/>
      <c r="N1481" s="1175"/>
      <c r="O1481" s="143"/>
      <c r="P1481" s="1196"/>
      <c r="Q1481" s="141"/>
      <c r="R1481" s="141"/>
      <c r="S1481" s="148"/>
      <c r="T1481" s="419"/>
      <c r="U1481" s="559"/>
      <c r="V1481" s="141"/>
      <c r="W1481" s="141"/>
      <c r="X1481" s="141"/>
      <c r="Y1481" s="144"/>
      <c r="Z1481" s="141"/>
      <c r="AA1481" s="141"/>
      <c r="AB1481" s="141"/>
      <c r="AC1481" s="141"/>
      <c r="AD1481" s="141"/>
      <c r="AE1481" s="141"/>
      <c r="AF1481" s="145"/>
      <c r="AG1481" s="419"/>
    </row>
    <row r="1482" spans="1:33" s="139" customFormat="1" ht="12.75" customHeight="1" x14ac:dyDescent="0.2">
      <c r="A1482" s="141"/>
      <c r="B1482" s="141"/>
      <c r="C1482" s="141"/>
      <c r="D1482" s="141"/>
      <c r="E1482" s="1014"/>
      <c r="F1482" s="1014"/>
      <c r="G1482" s="1027"/>
      <c r="H1482" s="1027"/>
      <c r="I1482" s="1174"/>
      <c r="J1482" s="1174"/>
      <c r="K1482" s="1174"/>
      <c r="L1482" s="1172"/>
      <c r="M1482" s="1172"/>
      <c r="N1482" s="1175"/>
      <c r="O1482" s="143"/>
      <c r="P1482" s="1196"/>
      <c r="Q1482" s="141"/>
      <c r="R1482" s="141"/>
      <c r="S1482" s="148"/>
      <c r="T1482" s="419"/>
      <c r="U1482" s="559"/>
      <c r="V1482" s="141"/>
      <c r="W1482" s="141"/>
      <c r="X1482" s="141"/>
      <c r="Y1482" s="144"/>
      <c r="Z1482" s="141"/>
      <c r="AA1482" s="141"/>
      <c r="AB1482" s="141"/>
      <c r="AC1482" s="141"/>
      <c r="AD1482" s="141"/>
      <c r="AE1482" s="141"/>
      <c r="AF1482" s="145"/>
      <c r="AG1482" s="419"/>
    </row>
    <row r="1483" spans="1:33" s="139" customFormat="1" ht="12.75" customHeight="1" x14ac:dyDescent="0.2">
      <c r="A1483" s="141"/>
      <c r="B1483" s="141"/>
      <c r="C1483" s="141"/>
      <c r="D1483" s="141"/>
      <c r="E1483" s="1014"/>
      <c r="F1483" s="1014"/>
      <c r="G1483" s="1027"/>
      <c r="H1483" s="1027"/>
      <c r="I1483" s="1174"/>
      <c r="J1483" s="1174"/>
      <c r="K1483" s="1174"/>
      <c r="L1483" s="1172"/>
      <c r="M1483" s="1172"/>
      <c r="N1483" s="1175"/>
      <c r="O1483" s="143"/>
      <c r="P1483" s="1196"/>
      <c r="Q1483" s="141"/>
      <c r="R1483" s="141"/>
      <c r="S1483" s="148"/>
      <c r="T1483" s="419"/>
      <c r="U1483" s="559"/>
      <c r="V1483" s="141"/>
      <c r="W1483" s="141"/>
      <c r="X1483" s="141"/>
      <c r="Y1483" s="144"/>
      <c r="Z1483" s="141"/>
      <c r="AA1483" s="141"/>
      <c r="AB1483" s="141"/>
      <c r="AC1483" s="141"/>
      <c r="AD1483" s="141"/>
      <c r="AE1483" s="141"/>
      <c r="AF1483" s="145"/>
      <c r="AG1483" s="419"/>
    </row>
    <row r="1484" spans="1:33" s="139" customFormat="1" ht="12.75" customHeight="1" x14ac:dyDescent="0.2">
      <c r="A1484" s="141"/>
      <c r="B1484" s="141"/>
      <c r="C1484" s="141"/>
      <c r="D1484" s="141"/>
      <c r="E1484" s="1014"/>
      <c r="F1484" s="1014"/>
      <c r="G1484" s="1027"/>
      <c r="H1484" s="1027"/>
      <c r="I1484" s="1174"/>
      <c r="J1484" s="1174"/>
      <c r="K1484" s="1174"/>
      <c r="L1484" s="1172"/>
      <c r="M1484" s="1172"/>
      <c r="N1484" s="1175"/>
      <c r="O1484" s="143"/>
      <c r="P1484" s="1196"/>
      <c r="Q1484" s="141"/>
      <c r="R1484" s="141"/>
      <c r="S1484" s="148"/>
      <c r="T1484" s="419"/>
      <c r="U1484" s="559"/>
      <c r="V1484" s="141"/>
      <c r="W1484" s="141"/>
      <c r="X1484" s="141"/>
      <c r="Y1484" s="144"/>
      <c r="Z1484" s="141"/>
      <c r="AA1484" s="141"/>
      <c r="AB1484" s="141"/>
      <c r="AC1484" s="141"/>
      <c r="AD1484" s="141"/>
      <c r="AE1484" s="141"/>
      <c r="AF1484" s="145"/>
      <c r="AG1484" s="419"/>
    </row>
    <row r="1485" spans="1:33" s="139" customFormat="1" ht="12.75" customHeight="1" x14ac:dyDescent="0.2">
      <c r="A1485" s="141"/>
      <c r="B1485" s="141"/>
      <c r="C1485" s="141"/>
      <c r="D1485" s="141"/>
      <c r="E1485" s="1014"/>
      <c r="F1485" s="1014"/>
      <c r="G1485" s="1027"/>
      <c r="H1485" s="1027"/>
      <c r="I1485" s="1174"/>
      <c r="J1485" s="1174"/>
      <c r="K1485" s="1174"/>
      <c r="L1485" s="1172"/>
      <c r="M1485" s="1172"/>
      <c r="N1485" s="1175"/>
      <c r="O1485" s="143"/>
      <c r="P1485" s="1196"/>
      <c r="Q1485" s="141"/>
      <c r="R1485" s="141"/>
      <c r="S1485" s="148"/>
      <c r="T1485" s="419"/>
      <c r="U1485" s="559"/>
      <c r="V1485" s="141"/>
      <c r="W1485" s="141"/>
      <c r="X1485" s="141"/>
      <c r="Y1485" s="144"/>
      <c r="Z1485" s="141"/>
      <c r="AA1485" s="141"/>
      <c r="AB1485" s="141"/>
      <c r="AC1485" s="141"/>
      <c r="AD1485" s="141"/>
      <c r="AE1485" s="141"/>
      <c r="AF1485" s="145"/>
      <c r="AG1485" s="419"/>
    </row>
    <row r="1486" spans="1:33" s="139" customFormat="1" ht="12.75" customHeight="1" x14ac:dyDescent="0.2">
      <c r="A1486" s="141"/>
      <c r="B1486" s="141"/>
      <c r="C1486" s="141"/>
      <c r="D1486" s="141"/>
      <c r="E1486" s="1014"/>
      <c r="F1486" s="1014"/>
      <c r="G1486" s="1027"/>
      <c r="H1486" s="1027"/>
      <c r="I1486" s="1174"/>
      <c r="J1486" s="1174"/>
      <c r="K1486" s="1174"/>
      <c r="L1486" s="1172"/>
      <c r="M1486" s="1172"/>
      <c r="N1486" s="1175"/>
      <c r="O1486" s="143"/>
      <c r="P1486" s="1196"/>
      <c r="Q1486" s="141"/>
      <c r="R1486" s="141"/>
      <c r="S1486" s="148"/>
      <c r="T1486" s="419"/>
      <c r="U1486" s="559"/>
      <c r="V1486" s="141"/>
      <c r="W1486" s="141"/>
      <c r="X1486" s="141"/>
      <c r="Y1486" s="144"/>
      <c r="Z1486" s="141"/>
      <c r="AA1486" s="141"/>
      <c r="AB1486" s="141"/>
      <c r="AC1486" s="141"/>
      <c r="AD1486" s="141"/>
      <c r="AE1486" s="141"/>
      <c r="AF1486" s="145"/>
      <c r="AG1486" s="419"/>
    </row>
    <row r="1487" spans="1:33" s="139" customFormat="1" ht="12.75" customHeight="1" x14ac:dyDescent="0.2">
      <c r="A1487" s="141"/>
      <c r="B1487" s="141"/>
      <c r="C1487" s="141"/>
      <c r="D1487" s="141"/>
      <c r="E1487" s="1014"/>
      <c r="F1487" s="1014"/>
      <c r="G1487" s="1027"/>
      <c r="H1487" s="1027"/>
      <c r="I1487" s="1174"/>
      <c r="J1487" s="1174"/>
      <c r="K1487" s="1174"/>
      <c r="L1487" s="1172"/>
      <c r="M1487" s="1172"/>
      <c r="N1487" s="1175"/>
      <c r="O1487" s="143"/>
      <c r="P1487" s="1196"/>
      <c r="Q1487" s="141"/>
      <c r="R1487" s="141"/>
      <c r="S1487" s="148"/>
      <c r="T1487" s="419"/>
      <c r="U1487" s="559"/>
      <c r="V1487" s="141"/>
      <c r="W1487" s="141"/>
      <c r="X1487" s="141"/>
      <c r="Y1487" s="144"/>
      <c r="Z1487" s="141"/>
      <c r="AA1487" s="141"/>
      <c r="AB1487" s="141"/>
      <c r="AC1487" s="141"/>
      <c r="AD1487" s="141"/>
      <c r="AE1487" s="141"/>
      <c r="AF1487" s="145"/>
      <c r="AG1487" s="419"/>
    </row>
    <row r="1488" spans="1:33" s="139" customFormat="1" ht="12.75" customHeight="1" x14ac:dyDescent="0.2">
      <c r="A1488" s="141"/>
      <c r="B1488" s="141"/>
      <c r="C1488" s="141"/>
      <c r="D1488" s="141"/>
      <c r="E1488" s="1014"/>
      <c r="F1488" s="1014"/>
      <c r="G1488" s="1027"/>
      <c r="H1488" s="1027"/>
      <c r="I1488" s="1174"/>
      <c r="J1488" s="1174"/>
      <c r="K1488" s="1174"/>
      <c r="L1488" s="1172"/>
      <c r="M1488" s="1172"/>
      <c r="N1488" s="1175"/>
      <c r="O1488" s="143"/>
      <c r="P1488" s="1196"/>
      <c r="Q1488" s="141"/>
      <c r="R1488" s="141"/>
      <c r="S1488" s="148"/>
      <c r="T1488" s="419"/>
      <c r="U1488" s="559"/>
      <c r="V1488" s="141"/>
      <c r="W1488" s="141"/>
      <c r="X1488" s="141"/>
      <c r="Y1488" s="144"/>
      <c r="Z1488" s="141"/>
      <c r="AA1488" s="141"/>
      <c r="AB1488" s="141"/>
      <c r="AC1488" s="141"/>
      <c r="AD1488" s="141"/>
      <c r="AE1488" s="141"/>
      <c r="AF1488" s="145"/>
      <c r="AG1488" s="419"/>
    </row>
    <row r="1489" spans="1:33" s="139" customFormat="1" ht="12.75" customHeight="1" x14ac:dyDescent="0.2">
      <c r="A1489" s="141"/>
      <c r="B1489" s="141"/>
      <c r="C1489" s="141"/>
      <c r="D1489" s="141"/>
      <c r="E1489" s="1014"/>
      <c r="F1489" s="1014"/>
      <c r="G1489" s="1027"/>
      <c r="H1489" s="1027"/>
      <c r="I1489" s="1174"/>
      <c r="J1489" s="1174"/>
      <c r="K1489" s="1174"/>
      <c r="L1489" s="1172"/>
      <c r="M1489" s="1172"/>
      <c r="N1489" s="1175"/>
      <c r="O1489" s="143"/>
      <c r="P1489" s="1196"/>
      <c r="Q1489" s="141"/>
      <c r="R1489" s="141"/>
      <c r="S1489" s="148"/>
      <c r="T1489" s="419"/>
      <c r="U1489" s="559"/>
      <c r="V1489" s="141"/>
      <c r="W1489" s="141"/>
      <c r="X1489" s="141"/>
      <c r="Y1489" s="144"/>
      <c r="Z1489" s="141"/>
      <c r="AA1489" s="141"/>
      <c r="AB1489" s="141"/>
      <c r="AC1489" s="141"/>
      <c r="AD1489" s="141"/>
      <c r="AE1489" s="141"/>
      <c r="AF1489" s="145"/>
      <c r="AG1489" s="419"/>
    </row>
    <row r="1490" spans="1:33" s="139" customFormat="1" ht="12.75" customHeight="1" x14ac:dyDescent="0.2">
      <c r="A1490" s="141"/>
      <c r="B1490" s="141"/>
      <c r="C1490" s="141"/>
      <c r="D1490" s="141"/>
      <c r="E1490" s="1014"/>
      <c r="F1490" s="1014"/>
      <c r="G1490" s="1027"/>
      <c r="H1490" s="1027"/>
      <c r="I1490" s="1174"/>
      <c r="J1490" s="1174"/>
      <c r="K1490" s="1174"/>
      <c r="L1490" s="1172"/>
      <c r="M1490" s="1172"/>
      <c r="N1490" s="1175"/>
      <c r="O1490" s="143"/>
      <c r="P1490" s="1196"/>
      <c r="Q1490" s="141"/>
      <c r="R1490" s="141"/>
      <c r="S1490" s="148"/>
      <c r="T1490" s="419"/>
      <c r="U1490" s="559"/>
      <c r="V1490" s="141"/>
      <c r="W1490" s="141"/>
      <c r="X1490" s="141"/>
      <c r="Y1490" s="144"/>
      <c r="Z1490" s="141"/>
      <c r="AA1490" s="141"/>
      <c r="AB1490" s="141"/>
      <c r="AC1490" s="141"/>
      <c r="AD1490" s="141"/>
      <c r="AE1490" s="141"/>
      <c r="AF1490" s="145"/>
      <c r="AG1490" s="419"/>
    </row>
    <row r="1491" spans="1:33" s="139" customFormat="1" ht="12.75" customHeight="1" x14ac:dyDescent="0.2">
      <c r="A1491" s="141"/>
      <c r="B1491" s="141"/>
      <c r="C1491" s="141"/>
      <c r="D1491" s="141"/>
      <c r="E1491" s="1014"/>
      <c r="F1491" s="1014"/>
      <c r="G1491" s="1027"/>
      <c r="H1491" s="1027"/>
      <c r="I1491" s="1174"/>
      <c r="J1491" s="1174"/>
      <c r="K1491" s="1174"/>
      <c r="L1491" s="1172"/>
      <c r="M1491" s="1172"/>
      <c r="N1491" s="1175"/>
      <c r="O1491" s="143"/>
      <c r="P1491" s="1196"/>
      <c r="Q1491" s="141"/>
      <c r="R1491" s="141"/>
      <c r="S1491" s="148"/>
      <c r="T1491" s="419"/>
      <c r="U1491" s="559"/>
      <c r="V1491" s="141"/>
      <c r="W1491" s="141"/>
      <c r="X1491" s="141"/>
      <c r="Y1491" s="144"/>
      <c r="Z1491" s="141"/>
      <c r="AA1491" s="141"/>
      <c r="AB1491" s="141"/>
      <c r="AC1491" s="141"/>
      <c r="AD1491" s="141"/>
      <c r="AE1491" s="141"/>
      <c r="AF1491" s="145"/>
      <c r="AG1491" s="419"/>
    </row>
    <row r="1492" spans="1:33" s="139" customFormat="1" ht="12.75" customHeight="1" x14ac:dyDescent="0.2">
      <c r="A1492" s="141"/>
      <c r="B1492" s="141"/>
      <c r="C1492" s="141"/>
      <c r="D1492" s="141"/>
      <c r="E1492" s="1014"/>
      <c r="F1492" s="1014"/>
      <c r="G1492" s="1027"/>
      <c r="H1492" s="1027"/>
      <c r="I1492" s="1174"/>
      <c r="J1492" s="1174"/>
      <c r="K1492" s="1174"/>
      <c r="L1492" s="1172"/>
      <c r="M1492" s="1172"/>
      <c r="N1492" s="1175"/>
      <c r="O1492" s="143"/>
      <c r="P1492" s="1196"/>
      <c r="Q1492" s="141"/>
      <c r="R1492" s="141"/>
      <c r="S1492" s="148"/>
      <c r="T1492" s="419"/>
      <c r="U1492" s="559"/>
      <c r="V1492" s="141"/>
      <c r="W1492" s="141"/>
      <c r="X1492" s="141"/>
      <c r="Y1492" s="144"/>
      <c r="Z1492" s="141"/>
      <c r="AA1492" s="141"/>
      <c r="AB1492" s="141"/>
      <c r="AC1492" s="141"/>
      <c r="AD1492" s="141"/>
      <c r="AE1492" s="141"/>
      <c r="AF1492" s="145"/>
      <c r="AG1492" s="419"/>
    </row>
    <row r="1493" spans="1:33" s="139" customFormat="1" ht="12.75" customHeight="1" x14ac:dyDescent="0.2">
      <c r="A1493" s="141"/>
      <c r="B1493" s="141"/>
      <c r="C1493" s="141"/>
      <c r="D1493" s="141"/>
      <c r="E1493" s="1014"/>
      <c r="F1493" s="1014"/>
      <c r="G1493" s="1027"/>
      <c r="H1493" s="1027"/>
      <c r="I1493" s="1174"/>
      <c r="J1493" s="1174"/>
      <c r="K1493" s="1174"/>
      <c r="L1493" s="1172"/>
      <c r="M1493" s="1172"/>
      <c r="N1493" s="1175"/>
      <c r="O1493" s="143"/>
      <c r="P1493" s="1196"/>
      <c r="Q1493" s="141"/>
      <c r="R1493" s="141"/>
      <c r="S1493" s="148"/>
      <c r="T1493" s="419"/>
      <c r="U1493" s="559"/>
      <c r="V1493" s="141"/>
      <c r="W1493" s="141"/>
      <c r="X1493" s="141"/>
      <c r="Y1493" s="144"/>
      <c r="Z1493" s="141"/>
      <c r="AA1493" s="141"/>
      <c r="AB1493" s="141"/>
      <c r="AC1493" s="141"/>
      <c r="AD1493" s="141"/>
      <c r="AE1493" s="141"/>
      <c r="AF1493" s="145"/>
      <c r="AG1493" s="419"/>
    </row>
    <row r="1494" spans="1:33" s="139" customFormat="1" ht="12.75" customHeight="1" x14ac:dyDescent="0.2">
      <c r="A1494" s="141"/>
      <c r="B1494" s="141"/>
      <c r="C1494" s="141"/>
      <c r="D1494" s="141"/>
      <c r="E1494" s="1014"/>
      <c r="F1494" s="1014"/>
      <c r="G1494" s="1027"/>
      <c r="H1494" s="1027"/>
      <c r="I1494" s="1174"/>
      <c r="J1494" s="1174"/>
      <c r="K1494" s="1174"/>
      <c r="L1494" s="1172"/>
      <c r="M1494" s="1172"/>
      <c r="N1494" s="1175"/>
      <c r="O1494" s="143"/>
      <c r="P1494" s="1196"/>
      <c r="Q1494" s="141"/>
      <c r="R1494" s="141"/>
      <c r="S1494" s="148"/>
      <c r="T1494" s="419"/>
      <c r="U1494" s="559"/>
      <c r="V1494" s="141"/>
      <c r="W1494" s="141"/>
      <c r="X1494" s="141"/>
      <c r="Y1494" s="144"/>
      <c r="Z1494" s="141"/>
      <c r="AA1494" s="141"/>
      <c r="AB1494" s="141"/>
      <c r="AC1494" s="141"/>
      <c r="AD1494" s="141"/>
      <c r="AE1494" s="141"/>
      <c r="AF1494" s="145"/>
      <c r="AG1494" s="419"/>
    </row>
    <row r="1495" spans="1:33" s="139" customFormat="1" ht="12.75" customHeight="1" x14ac:dyDescent="0.2">
      <c r="A1495" s="141"/>
      <c r="B1495" s="141"/>
      <c r="C1495" s="141"/>
      <c r="D1495" s="141"/>
      <c r="E1495" s="1014"/>
      <c r="F1495" s="1014"/>
      <c r="G1495" s="1027"/>
      <c r="H1495" s="1027"/>
      <c r="I1495" s="1174"/>
      <c r="J1495" s="1174"/>
      <c r="K1495" s="1174"/>
      <c r="L1495" s="1172"/>
      <c r="M1495" s="1172"/>
      <c r="N1495" s="1175"/>
      <c r="O1495" s="143"/>
      <c r="P1495" s="1196"/>
      <c r="Q1495" s="141"/>
      <c r="R1495" s="141"/>
      <c r="S1495" s="148"/>
      <c r="T1495" s="419"/>
      <c r="U1495" s="559"/>
      <c r="V1495" s="141"/>
      <c r="W1495" s="141"/>
      <c r="X1495" s="141"/>
      <c r="Y1495" s="144"/>
      <c r="Z1495" s="141"/>
      <c r="AA1495" s="141"/>
      <c r="AB1495" s="141"/>
      <c r="AC1495" s="141"/>
      <c r="AD1495" s="141"/>
      <c r="AE1495" s="141"/>
      <c r="AF1495" s="145"/>
      <c r="AG1495" s="419"/>
    </row>
    <row r="1496" spans="1:33" s="139" customFormat="1" ht="12.75" customHeight="1" x14ac:dyDescent="0.2">
      <c r="A1496" s="141"/>
      <c r="B1496" s="141"/>
      <c r="C1496" s="141"/>
      <c r="D1496" s="141"/>
      <c r="E1496" s="1014"/>
      <c r="F1496" s="1014"/>
      <c r="G1496" s="1027"/>
      <c r="H1496" s="1027"/>
      <c r="I1496" s="1174"/>
      <c r="J1496" s="1174"/>
      <c r="K1496" s="1174"/>
      <c r="L1496" s="1172"/>
      <c r="M1496" s="1172"/>
      <c r="N1496" s="1175"/>
      <c r="O1496" s="143"/>
      <c r="P1496" s="1196"/>
      <c r="Q1496" s="141"/>
      <c r="R1496" s="141"/>
      <c r="S1496" s="148"/>
      <c r="T1496" s="419"/>
      <c r="U1496" s="559"/>
      <c r="V1496" s="141"/>
      <c r="W1496" s="141"/>
      <c r="X1496" s="141"/>
      <c r="Y1496" s="144"/>
      <c r="Z1496" s="141"/>
      <c r="AA1496" s="141"/>
      <c r="AB1496" s="141"/>
      <c r="AC1496" s="141"/>
      <c r="AD1496" s="141"/>
      <c r="AE1496" s="141"/>
      <c r="AF1496" s="145"/>
      <c r="AG1496" s="419"/>
    </row>
    <row r="1497" spans="1:33" s="139" customFormat="1" ht="12.75" customHeight="1" x14ac:dyDescent="0.2">
      <c r="A1497" s="141"/>
      <c r="B1497" s="141"/>
      <c r="C1497" s="141"/>
      <c r="D1497" s="141"/>
      <c r="E1497" s="1014"/>
      <c r="F1497" s="1014"/>
      <c r="G1497" s="1027"/>
      <c r="H1497" s="1027"/>
      <c r="I1497" s="1174"/>
      <c r="J1497" s="1174"/>
      <c r="K1497" s="1174"/>
      <c r="L1497" s="1172"/>
      <c r="M1497" s="1172"/>
      <c r="N1497" s="1175"/>
      <c r="O1497" s="143"/>
      <c r="P1497" s="1196"/>
      <c r="Q1497" s="141"/>
      <c r="R1497" s="141"/>
      <c r="S1497" s="148"/>
      <c r="T1497" s="419"/>
      <c r="U1497" s="559"/>
      <c r="V1497" s="141"/>
      <c r="W1497" s="141"/>
      <c r="X1497" s="141"/>
      <c r="Y1497" s="144"/>
      <c r="Z1497" s="141"/>
      <c r="AA1497" s="141"/>
      <c r="AB1497" s="141"/>
      <c r="AC1497" s="141"/>
      <c r="AD1497" s="141"/>
      <c r="AE1497" s="141"/>
      <c r="AF1497" s="145"/>
      <c r="AG1497" s="419"/>
    </row>
    <row r="1498" spans="1:33" s="139" customFormat="1" ht="12.75" customHeight="1" x14ac:dyDescent="0.2">
      <c r="A1498" s="141"/>
      <c r="B1498" s="141"/>
      <c r="C1498" s="141"/>
      <c r="D1498" s="141"/>
      <c r="E1498" s="1014"/>
      <c r="F1498" s="1014"/>
      <c r="G1498" s="1027"/>
      <c r="H1498" s="1027"/>
      <c r="I1498" s="1174"/>
      <c r="J1498" s="1174"/>
      <c r="K1498" s="1174"/>
      <c r="L1498" s="1172"/>
      <c r="M1498" s="1172"/>
      <c r="N1498" s="1175"/>
      <c r="O1498" s="143"/>
      <c r="P1498" s="1196"/>
      <c r="Q1498" s="141"/>
      <c r="R1498" s="141"/>
      <c r="S1498" s="148"/>
      <c r="T1498" s="419"/>
      <c r="U1498" s="559"/>
      <c r="V1498" s="141"/>
      <c r="W1498" s="141"/>
      <c r="X1498" s="141"/>
      <c r="Y1498" s="144"/>
      <c r="Z1498" s="141"/>
      <c r="AA1498" s="141"/>
      <c r="AB1498" s="141"/>
      <c r="AC1498" s="141"/>
      <c r="AD1498" s="141"/>
      <c r="AE1498" s="141"/>
      <c r="AF1498" s="145"/>
      <c r="AG1498" s="419"/>
    </row>
    <row r="1499" spans="1:33" s="139" customFormat="1" ht="12.75" customHeight="1" x14ac:dyDescent="0.2">
      <c r="A1499" s="141"/>
      <c r="B1499" s="141"/>
      <c r="C1499" s="141"/>
      <c r="D1499" s="141"/>
      <c r="E1499" s="1014"/>
      <c r="F1499" s="1014"/>
      <c r="G1499" s="1027"/>
      <c r="H1499" s="1027"/>
      <c r="I1499" s="1174"/>
      <c r="J1499" s="1174"/>
      <c r="K1499" s="1174"/>
      <c r="L1499" s="1172"/>
      <c r="M1499" s="1172"/>
      <c r="N1499" s="1175"/>
      <c r="O1499" s="143"/>
      <c r="P1499" s="1196"/>
      <c r="Q1499" s="141"/>
      <c r="R1499" s="141"/>
      <c r="S1499" s="148"/>
      <c r="T1499" s="419"/>
      <c r="U1499" s="559"/>
      <c r="V1499" s="141"/>
      <c r="W1499" s="141"/>
      <c r="X1499" s="141"/>
      <c r="Y1499" s="144"/>
      <c r="Z1499" s="141"/>
      <c r="AA1499" s="141"/>
      <c r="AB1499" s="141"/>
      <c r="AC1499" s="141"/>
      <c r="AD1499" s="141"/>
      <c r="AE1499" s="141"/>
      <c r="AF1499" s="145"/>
      <c r="AG1499" s="419"/>
    </row>
    <row r="1500" spans="1:33" s="139" customFormat="1" ht="12.75" customHeight="1" x14ac:dyDescent="0.2">
      <c r="A1500" s="141"/>
      <c r="B1500" s="141"/>
      <c r="C1500" s="141"/>
      <c r="D1500" s="141"/>
      <c r="E1500" s="1014"/>
      <c r="F1500" s="1014"/>
      <c r="G1500" s="1027"/>
      <c r="H1500" s="1027"/>
      <c r="I1500" s="1174"/>
      <c r="J1500" s="1174"/>
      <c r="K1500" s="1174"/>
      <c r="L1500" s="1172"/>
      <c r="M1500" s="1172"/>
      <c r="N1500" s="1175"/>
      <c r="O1500" s="143"/>
      <c r="P1500" s="1196"/>
      <c r="Q1500" s="141"/>
      <c r="R1500" s="141"/>
      <c r="S1500" s="148"/>
      <c r="T1500" s="419"/>
      <c r="U1500" s="559"/>
      <c r="V1500" s="141"/>
      <c r="W1500" s="141"/>
      <c r="X1500" s="141"/>
      <c r="Y1500" s="144"/>
      <c r="Z1500" s="141"/>
      <c r="AA1500" s="141"/>
      <c r="AB1500" s="141"/>
      <c r="AC1500" s="141"/>
      <c r="AD1500" s="141"/>
      <c r="AE1500" s="141"/>
      <c r="AF1500" s="145"/>
      <c r="AG1500" s="419"/>
    </row>
    <row r="1501" spans="1:33" s="139" customFormat="1" ht="12.75" customHeight="1" x14ac:dyDescent="0.2">
      <c r="A1501" s="141"/>
      <c r="B1501" s="141"/>
      <c r="C1501" s="141"/>
      <c r="D1501" s="141"/>
      <c r="E1501" s="1014"/>
      <c r="F1501" s="1014"/>
      <c r="G1501" s="1027"/>
      <c r="H1501" s="1027"/>
      <c r="I1501" s="1174"/>
      <c r="J1501" s="1174"/>
      <c r="K1501" s="1174"/>
      <c r="L1501" s="1172"/>
      <c r="M1501" s="1172"/>
      <c r="N1501" s="1175"/>
      <c r="O1501" s="143"/>
      <c r="P1501" s="1196"/>
      <c r="Q1501" s="141"/>
      <c r="R1501" s="141"/>
      <c r="S1501" s="148"/>
      <c r="T1501" s="419"/>
      <c r="U1501" s="559"/>
      <c r="V1501" s="141"/>
      <c r="W1501" s="141"/>
      <c r="X1501" s="141"/>
      <c r="Y1501" s="144"/>
      <c r="Z1501" s="141"/>
      <c r="AA1501" s="141"/>
      <c r="AB1501" s="141"/>
      <c r="AC1501" s="141"/>
      <c r="AD1501" s="141"/>
      <c r="AE1501" s="141"/>
      <c r="AF1501" s="145"/>
      <c r="AG1501" s="419"/>
    </row>
    <row r="1502" spans="1:33" s="139" customFormat="1" ht="12.75" customHeight="1" x14ac:dyDescent="0.2">
      <c r="A1502" s="141"/>
      <c r="B1502" s="141"/>
      <c r="C1502" s="141"/>
      <c r="D1502" s="141"/>
      <c r="E1502" s="1014"/>
      <c r="F1502" s="1014"/>
      <c r="G1502" s="1027"/>
      <c r="H1502" s="1027"/>
      <c r="I1502" s="1174"/>
      <c r="J1502" s="1174"/>
      <c r="K1502" s="1174"/>
      <c r="L1502" s="1172"/>
      <c r="M1502" s="1172"/>
      <c r="N1502" s="1175"/>
      <c r="O1502" s="143"/>
      <c r="P1502" s="1196"/>
      <c r="Q1502" s="141"/>
      <c r="R1502" s="141"/>
      <c r="S1502" s="148"/>
      <c r="T1502" s="419"/>
      <c r="U1502" s="559"/>
      <c r="V1502" s="141"/>
      <c r="W1502" s="141"/>
      <c r="X1502" s="141"/>
      <c r="Y1502" s="144"/>
      <c r="Z1502" s="141"/>
      <c r="AA1502" s="141"/>
      <c r="AB1502" s="141"/>
      <c r="AC1502" s="141"/>
      <c r="AD1502" s="141"/>
      <c r="AE1502" s="141"/>
      <c r="AF1502" s="145"/>
      <c r="AG1502" s="419"/>
    </row>
    <row r="1503" spans="1:33" s="139" customFormat="1" ht="12.75" customHeight="1" x14ac:dyDescent="0.2">
      <c r="A1503" s="141"/>
      <c r="B1503" s="141"/>
      <c r="C1503" s="141"/>
      <c r="D1503" s="141"/>
      <c r="E1503" s="1014"/>
      <c r="F1503" s="1014"/>
      <c r="G1503" s="1027"/>
      <c r="H1503" s="1027"/>
      <c r="I1503" s="1174"/>
      <c r="J1503" s="1174"/>
      <c r="K1503" s="1174"/>
      <c r="L1503" s="1172"/>
      <c r="M1503" s="1172"/>
      <c r="N1503" s="1175"/>
      <c r="O1503" s="143"/>
      <c r="P1503" s="1196"/>
      <c r="Q1503" s="141"/>
      <c r="R1503" s="141"/>
      <c r="S1503" s="148"/>
      <c r="T1503" s="419"/>
      <c r="U1503" s="559"/>
      <c r="V1503" s="141"/>
      <c r="W1503" s="141"/>
      <c r="X1503" s="141"/>
      <c r="Y1503" s="144"/>
      <c r="Z1503" s="141"/>
      <c r="AA1503" s="141"/>
      <c r="AB1503" s="141"/>
      <c r="AC1503" s="141"/>
      <c r="AD1503" s="141"/>
      <c r="AE1503" s="141"/>
      <c r="AF1503" s="145"/>
      <c r="AG1503" s="419"/>
    </row>
    <row r="1504" spans="1:33" s="139" customFormat="1" ht="12.75" customHeight="1" x14ac:dyDescent="0.2">
      <c r="A1504" s="141"/>
      <c r="B1504" s="141"/>
      <c r="C1504" s="141"/>
      <c r="D1504" s="141"/>
      <c r="E1504" s="1014"/>
      <c r="F1504" s="1014"/>
      <c r="G1504" s="1027"/>
      <c r="H1504" s="1027"/>
      <c r="I1504" s="1174"/>
      <c r="J1504" s="1174"/>
      <c r="K1504" s="1174"/>
      <c r="L1504" s="1172"/>
      <c r="M1504" s="1172"/>
      <c r="N1504" s="1175"/>
      <c r="O1504" s="143"/>
      <c r="P1504" s="1196"/>
      <c r="Q1504" s="141"/>
      <c r="R1504" s="141"/>
      <c r="S1504" s="148"/>
      <c r="T1504" s="419"/>
      <c r="U1504" s="559"/>
      <c r="V1504" s="141"/>
      <c r="W1504" s="141"/>
      <c r="X1504" s="141"/>
      <c r="Y1504" s="144"/>
      <c r="Z1504" s="141"/>
      <c r="AA1504" s="141"/>
      <c r="AB1504" s="141"/>
      <c r="AC1504" s="141"/>
      <c r="AD1504" s="141"/>
      <c r="AE1504" s="141"/>
      <c r="AF1504" s="145"/>
      <c r="AG1504" s="419"/>
    </row>
    <row r="1505" spans="1:33" s="139" customFormat="1" ht="12.75" customHeight="1" x14ac:dyDescent="0.2">
      <c r="A1505" s="141"/>
      <c r="B1505" s="141"/>
      <c r="C1505" s="141"/>
      <c r="D1505" s="141"/>
      <c r="E1505" s="1014"/>
      <c r="F1505" s="1014"/>
      <c r="G1505" s="1027"/>
      <c r="H1505" s="1027"/>
      <c r="I1505" s="1174"/>
      <c r="J1505" s="1174"/>
      <c r="K1505" s="1174"/>
      <c r="L1505" s="1172"/>
      <c r="M1505" s="1172"/>
      <c r="N1505" s="1175"/>
      <c r="O1505" s="143"/>
      <c r="P1505" s="1196"/>
      <c r="Q1505" s="141"/>
      <c r="R1505" s="141"/>
      <c r="S1505" s="148"/>
      <c r="T1505" s="419"/>
      <c r="U1505" s="559"/>
      <c r="V1505" s="141"/>
      <c r="W1505" s="141"/>
      <c r="X1505" s="141"/>
      <c r="Y1505" s="144"/>
      <c r="Z1505" s="141"/>
      <c r="AA1505" s="141"/>
      <c r="AB1505" s="141"/>
      <c r="AC1505" s="141"/>
      <c r="AD1505" s="141"/>
      <c r="AE1505" s="141"/>
      <c r="AF1505" s="145"/>
      <c r="AG1505" s="419"/>
    </row>
    <row r="1506" spans="1:33" s="139" customFormat="1" ht="12.75" customHeight="1" x14ac:dyDescent="0.2">
      <c r="A1506" s="141"/>
      <c r="B1506" s="141"/>
      <c r="C1506" s="141"/>
      <c r="D1506" s="141"/>
      <c r="E1506" s="1014"/>
      <c r="F1506" s="1014"/>
      <c r="G1506" s="1027"/>
      <c r="H1506" s="1027"/>
      <c r="I1506" s="1174"/>
      <c r="J1506" s="1174"/>
      <c r="K1506" s="1174"/>
      <c r="L1506" s="1172"/>
      <c r="M1506" s="1172"/>
      <c r="N1506" s="1175"/>
      <c r="O1506" s="143"/>
      <c r="P1506" s="1196"/>
      <c r="Q1506" s="141"/>
      <c r="R1506" s="141"/>
      <c r="S1506" s="148"/>
      <c r="T1506" s="419"/>
      <c r="U1506" s="559"/>
      <c r="V1506" s="141"/>
      <c r="W1506" s="141"/>
      <c r="X1506" s="141"/>
      <c r="Y1506" s="144"/>
      <c r="Z1506" s="141"/>
      <c r="AA1506" s="141"/>
      <c r="AB1506" s="141"/>
      <c r="AC1506" s="141"/>
      <c r="AD1506" s="141"/>
      <c r="AE1506" s="141"/>
      <c r="AF1506" s="145"/>
      <c r="AG1506" s="419"/>
    </row>
    <row r="1507" spans="1:33" s="139" customFormat="1" ht="12.75" customHeight="1" x14ac:dyDescent="0.2">
      <c r="A1507" s="141"/>
      <c r="B1507" s="141"/>
      <c r="C1507" s="141"/>
      <c r="D1507" s="141"/>
      <c r="E1507" s="1014"/>
      <c r="F1507" s="1014"/>
      <c r="G1507" s="1027"/>
      <c r="H1507" s="1027"/>
      <c r="I1507" s="1174"/>
      <c r="J1507" s="1174"/>
      <c r="K1507" s="1174"/>
      <c r="L1507" s="1172"/>
      <c r="M1507" s="1172"/>
      <c r="N1507" s="1175"/>
      <c r="O1507" s="143"/>
      <c r="P1507" s="1196"/>
      <c r="Q1507" s="141"/>
      <c r="R1507" s="141"/>
      <c r="S1507" s="148"/>
      <c r="T1507" s="419"/>
      <c r="U1507" s="559"/>
      <c r="V1507" s="141"/>
      <c r="W1507" s="141"/>
      <c r="X1507" s="141"/>
      <c r="Y1507" s="144"/>
      <c r="Z1507" s="141"/>
      <c r="AA1507" s="141"/>
      <c r="AB1507" s="141"/>
      <c r="AC1507" s="141"/>
      <c r="AD1507" s="141"/>
      <c r="AE1507" s="141"/>
      <c r="AF1507" s="145"/>
      <c r="AG1507" s="419"/>
    </row>
    <row r="1508" spans="1:33" s="139" customFormat="1" ht="12.75" customHeight="1" x14ac:dyDescent="0.2">
      <c r="A1508" s="141"/>
      <c r="B1508" s="141"/>
      <c r="C1508" s="141"/>
      <c r="D1508" s="141"/>
      <c r="E1508" s="1014"/>
      <c r="F1508" s="1014"/>
      <c r="G1508" s="1027"/>
      <c r="H1508" s="1027"/>
      <c r="I1508" s="1174"/>
      <c r="J1508" s="1174"/>
      <c r="K1508" s="1174"/>
      <c r="L1508" s="1172"/>
      <c r="M1508" s="1172"/>
      <c r="N1508" s="1175"/>
      <c r="O1508" s="143"/>
      <c r="P1508" s="1196"/>
      <c r="Q1508" s="141"/>
      <c r="R1508" s="141"/>
      <c r="S1508" s="148"/>
      <c r="T1508" s="419"/>
      <c r="U1508" s="559"/>
      <c r="V1508" s="141"/>
      <c r="W1508" s="141"/>
      <c r="X1508" s="141"/>
      <c r="Y1508" s="144"/>
      <c r="Z1508" s="141"/>
      <c r="AA1508" s="141"/>
      <c r="AB1508" s="141"/>
      <c r="AC1508" s="141"/>
      <c r="AD1508" s="141"/>
      <c r="AE1508" s="141"/>
      <c r="AF1508" s="145"/>
      <c r="AG1508" s="419"/>
    </row>
    <row r="1509" spans="1:33" s="139" customFormat="1" ht="12.75" customHeight="1" x14ac:dyDescent="0.2">
      <c r="A1509" s="141"/>
      <c r="B1509" s="141"/>
      <c r="C1509" s="141"/>
      <c r="D1509" s="141"/>
      <c r="E1509" s="1014"/>
      <c r="F1509" s="1014"/>
      <c r="G1509" s="1027"/>
      <c r="H1509" s="1027"/>
      <c r="I1509" s="1174"/>
      <c r="J1509" s="1174"/>
      <c r="K1509" s="1174"/>
      <c r="L1509" s="1172"/>
      <c r="M1509" s="1172"/>
      <c r="N1509" s="1175"/>
      <c r="O1509" s="143"/>
      <c r="P1509" s="1196"/>
      <c r="Q1509" s="141"/>
      <c r="R1509" s="141"/>
      <c r="S1509" s="148"/>
      <c r="T1509" s="419"/>
      <c r="U1509" s="559"/>
      <c r="V1509" s="141"/>
      <c r="W1509" s="141"/>
      <c r="X1509" s="141"/>
      <c r="Y1509" s="144"/>
      <c r="Z1509" s="141"/>
      <c r="AA1509" s="141"/>
      <c r="AB1509" s="141"/>
      <c r="AC1509" s="141"/>
      <c r="AD1509" s="141"/>
      <c r="AE1509" s="141"/>
      <c r="AF1509" s="145"/>
      <c r="AG1509" s="419"/>
    </row>
    <row r="1510" spans="1:33" s="139" customFormat="1" ht="12.75" customHeight="1" x14ac:dyDescent="0.2">
      <c r="A1510" s="141"/>
      <c r="B1510" s="141"/>
      <c r="C1510" s="141"/>
      <c r="D1510" s="141"/>
      <c r="E1510" s="1014"/>
      <c r="F1510" s="1014"/>
      <c r="G1510" s="1027"/>
      <c r="H1510" s="1027"/>
      <c r="I1510" s="1174"/>
      <c r="J1510" s="1174"/>
      <c r="K1510" s="1174"/>
      <c r="L1510" s="1172"/>
      <c r="M1510" s="1172"/>
      <c r="N1510" s="1175"/>
      <c r="O1510" s="143"/>
      <c r="P1510" s="1196"/>
      <c r="Q1510" s="141"/>
      <c r="R1510" s="141"/>
      <c r="S1510" s="148"/>
      <c r="T1510" s="419"/>
      <c r="U1510" s="559"/>
      <c r="V1510" s="141"/>
      <c r="W1510" s="141"/>
      <c r="X1510" s="141"/>
      <c r="Y1510" s="144"/>
      <c r="Z1510" s="141"/>
      <c r="AA1510" s="141"/>
      <c r="AB1510" s="141"/>
      <c r="AC1510" s="141"/>
      <c r="AD1510" s="141"/>
      <c r="AE1510" s="141"/>
      <c r="AF1510" s="145"/>
      <c r="AG1510" s="419"/>
    </row>
    <row r="1511" spans="1:33" s="139" customFormat="1" ht="12.75" customHeight="1" x14ac:dyDescent="0.2">
      <c r="A1511" s="141"/>
      <c r="B1511" s="141"/>
      <c r="C1511" s="141"/>
      <c r="D1511" s="141"/>
      <c r="E1511" s="1014"/>
      <c r="F1511" s="1014"/>
      <c r="G1511" s="1027"/>
      <c r="H1511" s="1027"/>
      <c r="I1511" s="1174"/>
      <c r="J1511" s="1174"/>
      <c r="K1511" s="1174"/>
      <c r="L1511" s="1172"/>
      <c r="M1511" s="1172"/>
      <c r="N1511" s="1175"/>
      <c r="O1511" s="143"/>
      <c r="P1511" s="1196"/>
      <c r="Q1511" s="141"/>
      <c r="R1511" s="141"/>
      <c r="S1511" s="148"/>
      <c r="T1511" s="419"/>
      <c r="U1511" s="559"/>
      <c r="V1511" s="141"/>
      <c r="W1511" s="141"/>
      <c r="X1511" s="141"/>
      <c r="Y1511" s="144"/>
      <c r="Z1511" s="141"/>
      <c r="AA1511" s="141"/>
      <c r="AB1511" s="141"/>
      <c r="AC1511" s="141"/>
      <c r="AD1511" s="141"/>
      <c r="AE1511" s="141"/>
      <c r="AF1511" s="145"/>
      <c r="AG1511" s="419"/>
    </row>
    <row r="1512" spans="1:33" s="139" customFormat="1" ht="12.75" customHeight="1" x14ac:dyDescent="0.2">
      <c r="A1512" s="141"/>
      <c r="B1512" s="141"/>
      <c r="C1512" s="141"/>
      <c r="D1512" s="141"/>
      <c r="E1512" s="1014"/>
      <c r="F1512" s="1014"/>
      <c r="G1512" s="1027"/>
      <c r="H1512" s="1027"/>
      <c r="I1512" s="1174"/>
      <c r="J1512" s="1174"/>
      <c r="K1512" s="1174"/>
      <c r="L1512" s="1172"/>
      <c r="M1512" s="1172"/>
      <c r="N1512" s="1175"/>
      <c r="O1512" s="143"/>
      <c r="P1512" s="1196"/>
      <c r="Q1512" s="141"/>
      <c r="R1512" s="141"/>
      <c r="S1512" s="148"/>
      <c r="T1512" s="419"/>
      <c r="U1512" s="559"/>
      <c r="V1512" s="141"/>
      <c r="W1512" s="141"/>
      <c r="X1512" s="141"/>
      <c r="Y1512" s="144"/>
      <c r="Z1512" s="141"/>
      <c r="AA1512" s="141"/>
      <c r="AB1512" s="141"/>
      <c r="AC1512" s="141"/>
      <c r="AD1512" s="141"/>
      <c r="AE1512" s="141"/>
      <c r="AF1512" s="145"/>
      <c r="AG1512" s="419"/>
    </row>
    <row r="1513" spans="1:33" s="139" customFormat="1" ht="12.75" customHeight="1" x14ac:dyDescent="0.2">
      <c r="A1513" s="141"/>
      <c r="B1513" s="141"/>
      <c r="C1513" s="141"/>
      <c r="D1513" s="141"/>
      <c r="E1513" s="1014"/>
      <c r="F1513" s="1014"/>
      <c r="G1513" s="1027"/>
      <c r="H1513" s="1027"/>
      <c r="I1513" s="1174"/>
      <c r="J1513" s="1174"/>
      <c r="K1513" s="1174"/>
      <c r="L1513" s="1172"/>
      <c r="M1513" s="1172"/>
      <c r="N1513" s="1175"/>
      <c r="O1513" s="143"/>
      <c r="P1513" s="1196"/>
      <c r="Q1513" s="141"/>
      <c r="R1513" s="141"/>
      <c r="S1513" s="148"/>
      <c r="T1513" s="419"/>
      <c r="U1513" s="559"/>
      <c r="V1513" s="141"/>
      <c r="W1513" s="141"/>
      <c r="X1513" s="141"/>
      <c r="Y1513" s="144"/>
      <c r="Z1513" s="141"/>
      <c r="AA1513" s="141"/>
      <c r="AB1513" s="141"/>
      <c r="AC1513" s="141"/>
      <c r="AD1513" s="141"/>
      <c r="AE1513" s="141"/>
      <c r="AF1513" s="145"/>
      <c r="AG1513" s="419"/>
    </row>
    <row r="1514" spans="1:33" s="139" customFormat="1" ht="12.75" customHeight="1" x14ac:dyDescent="0.2">
      <c r="A1514" s="141"/>
      <c r="B1514" s="141"/>
      <c r="C1514" s="141"/>
      <c r="D1514" s="141"/>
      <c r="E1514" s="1014"/>
      <c r="F1514" s="1014"/>
      <c r="G1514" s="1027"/>
      <c r="H1514" s="1027"/>
      <c r="I1514" s="1174"/>
      <c r="J1514" s="1174"/>
      <c r="K1514" s="1174"/>
      <c r="L1514" s="1172"/>
      <c r="M1514" s="1172"/>
      <c r="N1514" s="1175"/>
      <c r="O1514" s="143"/>
      <c r="P1514" s="1196"/>
      <c r="Q1514" s="141"/>
      <c r="R1514" s="141"/>
      <c r="S1514" s="148"/>
      <c r="T1514" s="419"/>
      <c r="U1514" s="559"/>
      <c r="V1514" s="141"/>
      <c r="W1514" s="141"/>
      <c r="X1514" s="141"/>
      <c r="Y1514" s="144"/>
      <c r="Z1514" s="141"/>
      <c r="AA1514" s="141"/>
      <c r="AB1514" s="141"/>
      <c r="AC1514" s="141"/>
      <c r="AD1514" s="141"/>
      <c r="AE1514" s="141"/>
      <c r="AF1514" s="145"/>
      <c r="AG1514" s="419"/>
    </row>
    <row r="1515" spans="1:33" s="139" customFormat="1" ht="12.75" customHeight="1" x14ac:dyDescent="0.2">
      <c r="A1515" s="141"/>
      <c r="B1515" s="141"/>
      <c r="C1515" s="141"/>
      <c r="D1515" s="141"/>
      <c r="E1515" s="1014"/>
      <c r="F1515" s="1014"/>
      <c r="G1515" s="1027"/>
      <c r="H1515" s="1027"/>
      <c r="I1515" s="1174"/>
      <c r="J1515" s="1174"/>
      <c r="K1515" s="1174"/>
      <c r="L1515" s="1172"/>
      <c r="M1515" s="1172"/>
      <c r="N1515" s="1175"/>
      <c r="O1515" s="143"/>
      <c r="P1515" s="1196"/>
      <c r="Q1515" s="141"/>
      <c r="R1515" s="141"/>
      <c r="S1515" s="148"/>
      <c r="T1515" s="419"/>
      <c r="U1515" s="559"/>
      <c r="V1515" s="141"/>
      <c r="W1515" s="141"/>
      <c r="X1515" s="141"/>
      <c r="Y1515" s="144"/>
      <c r="Z1515" s="141"/>
      <c r="AA1515" s="141"/>
      <c r="AB1515" s="141"/>
      <c r="AC1515" s="141"/>
      <c r="AD1515" s="141"/>
      <c r="AE1515" s="141"/>
      <c r="AF1515" s="145"/>
      <c r="AG1515" s="419"/>
    </row>
    <row r="1516" spans="1:33" s="139" customFormat="1" ht="12.75" customHeight="1" x14ac:dyDescent="0.2">
      <c r="A1516" s="141"/>
      <c r="B1516" s="141"/>
      <c r="C1516" s="141"/>
      <c r="D1516" s="141"/>
      <c r="E1516" s="1014"/>
      <c r="F1516" s="1014"/>
      <c r="G1516" s="1027"/>
      <c r="H1516" s="1027"/>
      <c r="I1516" s="1174"/>
      <c r="J1516" s="1174"/>
      <c r="K1516" s="1174"/>
      <c r="L1516" s="1172"/>
      <c r="M1516" s="1172"/>
      <c r="N1516" s="1175"/>
      <c r="O1516" s="143"/>
      <c r="P1516" s="1196"/>
      <c r="Q1516" s="141"/>
      <c r="R1516" s="141"/>
      <c r="S1516" s="148"/>
      <c r="T1516" s="419"/>
      <c r="U1516" s="559"/>
      <c r="V1516" s="141"/>
      <c r="W1516" s="141"/>
      <c r="X1516" s="141"/>
      <c r="Y1516" s="144"/>
      <c r="Z1516" s="141"/>
      <c r="AA1516" s="141"/>
      <c r="AB1516" s="141"/>
      <c r="AC1516" s="141"/>
      <c r="AD1516" s="141"/>
      <c r="AE1516" s="141"/>
      <c r="AF1516" s="145"/>
      <c r="AG1516" s="419"/>
    </row>
    <row r="1517" spans="1:33" s="139" customFormat="1" ht="12.75" customHeight="1" x14ac:dyDescent="0.2">
      <c r="A1517" s="141"/>
      <c r="B1517" s="141"/>
      <c r="C1517" s="141"/>
      <c r="D1517" s="141"/>
      <c r="E1517" s="1014"/>
      <c r="F1517" s="1014"/>
      <c r="G1517" s="1027"/>
      <c r="H1517" s="1027"/>
      <c r="I1517" s="1174"/>
      <c r="J1517" s="1174"/>
      <c r="K1517" s="1174"/>
      <c r="L1517" s="1172"/>
      <c r="M1517" s="1172"/>
      <c r="N1517" s="1175"/>
      <c r="O1517" s="143"/>
      <c r="P1517" s="1196"/>
      <c r="Q1517" s="141"/>
      <c r="R1517" s="141"/>
      <c r="S1517" s="148"/>
      <c r="T1517" s="419"/>
      <c r="U1517" s="559"/>
      <c r="V1517" s="141"/>
      <c r="W1517" s="141"/>
      <c r="X1517" s="141"/>
      <c r="Y1517" s="144"/>
      <c r="Z1517" s="141"/>
      <c r="AA1517" s="141"/>
      <c r="AB1517" s="141"/>
      <c r="AC1517" s="141"/>
      <c r="AD1517" s="141"/>
      <c r="AE1517" s="141"/>
      <c r="AF1517" s="145"/>
      <c r="AG1517" s="419"/>
    </row>
    <row r="1518" spans="1:33" s="139" customFormat="1" ht="12.75" customHeight="1" x14ac:dyDescent="0.2">
      <c r="A1518" s="141"/>
      <c r="B1518" s="141"/>
      <c r="C1518" s="141"/>
      <c r="D1518" s="141"/>
      <c r="E1518" s="1014"/>
      <c r="F1518" s="1014"/>
      <c r="G1518" s="1027"/>
      <c r="H1518" s="1027"/>
      <c r="I1518" s="1174"/>
      <c r="J1518" s="1174"/>
      <c r="K1518" s="1174"/>
      <c r="L1518" s="1172"/>
      <c r="M1518" s="1172"/>
      <c r="N1518" s="1175"/>
      <c r="O1518" s="143"/>
      <c r="P1518" s="1196"/>
      <c r="Q1518" s="141"/>
      <c r="R1518" s="141"/>
      <c r="S1518" s="148"/>
      <c r="T1518" s="419"/>
      <c r="U1518" s="559"/>
      <c r="V1518" s="141"/>
      <c r="W1518" s="141"/>
      <c r="X1518" s="141"/>
      <c r="Y1518" s="144"/>
      <c r="Z1518" s="141"/>
      <c r="AA1518" s="141"/>
      <c r="AB1518" s="141"/>
      <c r="AC1518" s="141"/>
      <c r="AD1518" s="141"/>
      <c r="AE1518" s="141"/>
      <c r="AF1518" s="145"/>
      <c r="AG1518" s="419"/>
    </row>
    <row r="1519" spans="1:33" s="139" customFormat="1" ht="12.75" customHeight="1" x14ac:dyDescent="0.2">
      <c r="A1519" s="141"/>
      <c r="B1519" s="141"/>
      <c r="C1519" s="141"/>
      <c r="D1519" s="141"/>
      <c r="E1519" s="1014"/>
      <c r="F1519" s="1014"/>
      <c r="G1519" s="1027"/>
      <c r="H1519" s="1027"/>
      <c r="I1519" s="1174"/>
      <c r="J1519" s="1174"/>
      <c r="K1519" s="1174"/>
      <c r="L1519" s="1172"/>
      <c r="M1519" s="1172"/>
      <c r="N1519" s="1175"/>
      <c r="O1519" s="143"/>
      <c r="P1519" s="1196"/>
      <c r="Q1519" s="141"/>
      <c r="R1519" s="141"/>
      <c r="S1519" s="148"/>
      <c r="T1519" s="419"/>
      <c r="U1519" s="559"/>
      <c r="V1519" s="141"/>
      <c r="W1519" s="141"/>
      <c r="X1519" s="141"/>
      <c r="Y1519" s="144"/>
      <c r="Z1519" s="141"/>
      <c r="AA1519" s="141"/>
      <c r="AB1519" s="141"/>
      <c r="AC1519" s="141"/>
      <c r="AD1519" s="141"/>
      <c r="AE1519" s="141"/>
      <c r="AF1519" s="145"/>
      <c r="AG1519" s="419"/>
    </row>
    <row r="1520" spans="1:33" s="139" customFormat="1" ht="12.75" customHeight="1" x14ac:dyDescent="0.2">
      <c r="A1520" s="141"/>
      <c r="B1520" s="141"/>
      <c r="C1520" s="141"/>
      <c r="D1520" s="141"/>
      <c r="E1520" s="1014"/>
      <c r="F1520" s="1014"/>
      <c r="G1520" s="1027"/>
      <c r="H1520" s="1027"/>
      <c r="I1520" s="1174"/>
      <c r="J1520" s="1174"/>
      <c r="K1520" s="1174"/>
      <c r="L1520" s="1172"/>
      <c r="M1520" s="1172"/>
      <c r="N1520" s="1175"/>
      <c r="O1520" s="143"/>
      <c r="P1520" s="1196"/>
      <c r="Q1520" s="141"/>
      <c r="R1520" s="141"/>
      <c r="S1520" s="148"/>
      <c r="T1520" s="419"/>
      <c r="U1520" s="559"/>
      <c r="V1520" s="141"/>
      <c r="W1520" s="141"/>
      <c r="X1520" s="141"/>
      <c r="Y1520" s="144"/>
      <c r="Z1520" s="141"/>
      <c r="AA1520" s="141"/>
      <c r="AB1520" s="141"/>
      <c r="AC1520" s="141"/>
      <c r="AD1520" s="141"/>
      <c r="AE1520" s="141"/>
      <c r="AF1520" s="145"/>
      <c r="AG1520" s="419"/>
    </row>
    <row r="1521" spans="1:33" s="139" customFormat="1" ht="12.75" customHeight="1" x14ac:dyDescent="0.2">
      <c r="A1521" s="141"/>
      <c r="B1521" s="141"/>
      <c r="C1521" s="141"/>
      <c r="D1521" s="141"/>
      <c r="E1521" s="1014"/>
      <c r="F1521" s="1014"/>
      <c r="G1521" s="1027"/>
      <c r="H1521" s="1027"/>
      <c r="I1521" s="1174"/>
      <c r="J1521" s="1174"/>
      <c r="K1521" s="1174"/>
      <c r="L1521" s="1172"/>
      <c r="M1521" s="1172"/>
      <c r="N1521" s="1175"/>
      <c r="O1521" s="143"/>
      <c r="P1521" s="1196"/>
      <c r="Q1521" s="141"/>
      <c r="R1521" s="141"/>
      <c r="S1521" s="148"/>
      <c r="T1521" s="419"/>
      <c r="U1521" s="559"/>
      <c r="V1521" s="141"/>
      <c r="W1521" s="141"/>
      <c r="X1521" s="141"/>
      <c r="Y1521" s="144"/>
      <c r="Z1521" s="141"/>
      <c r="AA1521" s="141"/>
      <c r="AB1521" s="141"/>
      <c r="AC1521" s="141"/>
      <c r="AD1521" s="141"/>
      <c r="AE1521" s="141"/>
      <c r="AF1521" s="145"/>
      <c r="AG1521" s="419"/>
    </row>
    <row r="1522" spans="1:33" s="139" customFormat="1" ht="12.75" customHeight="1" x14ac:dyDescent="0.2">
      <c r="A1522" s="141"/>
      <c r="B1522" s="141"/>
      <c r="C1522" s="141"/>
      <c r="D1522" s="141"/>
      <c r="E1522" s="1014"/>
      <c r="F1522" s="1014"/>
      <c r="G1522" s="1027"/>
      <c r="H1522" s="1027"/>
      <c r="I1522" s="1174"/>
      <c r="J1522" s="1174"/>
      <c r="K1522" s="1174"/>
      <c r="L1522" s="1172"/>
      <c r="M1522" s="1172"/>
      <c r="N1522" s="1175"/>
      <c r="O1522" s="143"/>
      <c r="P1522" s="1196"/>
      <c r="Q1522" s="141"/>
      <c r="R1522" s="141"/>
      <c r="S1522" s="148"/>
      <c r="T1522" s="419"/>
      <c r="U1522" s="559"/>
      <c r="V1522" s="141"/>
      <c r="W1522" s="141"/>
      <c r="X1522" s="141"/>
      <c r="Y1522" s="144"/>
      <c r="Z1522" s="141"/>
      <c r="AA1522" s="141"/>
      <c r="AB1522" s="141"/>
      <c r="AC1522" s="141"/>
      <c r="AD1522" s="141"/>
      <c r="AE1522" s="141"/>
      <c r="AF1522" s="145"/>
      <c r="AG1522" s="419"/>
    </row>
    <row r="1523" spans="1:33" s="139" customFormat="1" ht="12.75" customHeight="1" x14ac:dyDescent="0.2">
      <c r="A1523" s="141"/>
      <c r="B1523" s="141"/>
      <c r="C1523" s="141"/>
      <c r="D1523" s="141"/>
      <c r="E1523" s="1014"/>
      <c r="F1523" s="1014"/>
      <c r="G1523" s="1027"/>
      <c r="H1523" s="1027"/>
      <c r="I1523" s="1174"/>
      <c r="J1523" s="1174"/>
      <c r="K1523" s="1174"/>
      <c r="L1523" s="1172"/>
      <c r="M1523" s="1172"/>
      <c r="N1523" s="1175"/>
      <c r="O1523" s="143"/>
      <c r="P1523" s="1196"/>
      <c r="Q1523" s="141"/>
      <c r="R1523" s="141"/>
      <c r="S1523" s="148"/>
      <c r="T1523" s="419"/>
      <c r="U1523" s="559"/>
      <c r="V1523" s="141"/>
      <c r="W1523" s="141"/>
      <c r="X1523" s="141"/>
      <c r="Y1523" s="144"/>
      <c r="Z1523" s="141"/>
      <c r="AA1523" s="141"/>
      <c r="AB1523" s="141"/>
      <c r="AC1523" s="141"/>
      <c r="AD1523" s="141"/>
      <c r="AE1523" s="141"/>
      <c r="AF1523" s="145"/>
      <c r="AG1523" s="419"/>
    </row>
    <row r="1524" spans="1:33" s="139" customFormat="1" ht="12.75" customHeight="1" x14ac:dyDescent="0.2">
      <c r="A1524" s="141"/>
      <c r="B1524" s="141"/>
      <c r="C1524" s="141"/>
      <c r="D1524" s="141"/>
      <c r="E1524" s="1014"/>
      <c r="F1524" s="1014"/>
      <c r="G1524" s="1027"/>
      <c r="H1524" s="1027"/>
      <c r="I1524" s="1174"/>
      <c r="J1524" s="1174"/>
      <c r="K1524" s="1174"/>
      <c r="L1524" s="1172"/>
      <c r="M1524" s="1172"/>
      <c r="N1524" s="1175"/>
      <c r="O1524" s="143"/>
      <c r="P1524" s="1196"/>
      <c r="Q1524" s="141"/>
      <c r="R1524" s="141"/>
      <c r="S1524" s="148"/>
      <c r="T1524" s="419"/>
      <c r="U1524" s="559"/>
      <c r="V1524" s="141"/>
      <c r="W1524" s="141"/>
      <c r="X1524" s="141"/>
      <c r="Y1524" s="144"/>
      <c r="Z1524" s="141"/>
      <c r="AA1524" s="141"/>
      <c r="AB1524" s="141"/>
      <c r="AC1524" s="141"/>
      <c r="AD1524" s="141"/>
      <c r="AE1524" s="141"/>
      <c r="AF1524" s="145"/>
      <c r="AG1524" s="419"/>
    </row>
    <row r="1525" spans="1:33" s="139" customFormat="1" ht="12.75" customHeight="1" x14ac:dyDescent="0.2">
      <c r="A1525" s="141"/>
      <c r="B1525" s="141"/>
      <c r="C1525" s="141"/>
      <c r="D1525" s="141"/>
      <c r="E1525" s="1014"/>
      <c r="F1525" s="1014"/>
      <c r="G1525" s="1027"/>
      <c r="H1525" s="1027"/>
      <c r="I1525" s="1174"/>
      <c r="J1525" s="1174"/>
      <c r="K1525" s="1174"/>
      <c r="L1525" s="1172"/>
      <c r="M1525" s="1172"/>
      <c r="N1525" s="1175"/>
      <c r="O1525" s="143"/>
      <c r="P1525" s="1196"/>
      <c r="Q1525" s="141"/>
      <c r="R1525" s="141"/>
      <c r="S1525" s="148"/>
      <c r="T1525" s="419"/>
      <c r="U1525" s="559"/>
      <c r="V1525" s="141"/>
      <c r="W1525" s="141"/>
      <c r="X1525" s="141"/>
      <c r="Y1525" s="144"/>
      <c r="Z1525" s="141"/>
      <c r="AA1525" s="141"/>
      <c r="AB1525" s="141"/>
      <c r="AC1525" s="141"/>
      <c r="AD1525" s="141"/>
      <c r="AE1525" s="141"/>
      <c r="AF1525" s="145"/>
      <c r="AG1525" s="419"/>
    </row>
    <row r="1526" spans="1:33" s="139" customFormat="1" ht="12.75" customHeight="1" x14ac:dyDescent="0.2">
      <c r="A1526" s="141"/>
      <c r="B1526" s="141"/>
      <c r="C1526" s="141"/>
      <c r="D1526" s="141"/>
      <c r="E1526" s="1014"/>
      <c r="F1526" s="1014"/>
      <c r="G1526" s="1027"/>
      <c r="H1526" s="1027"/>
      <c r="I1526" s="1174"/>
      <c r="J1526" s="1174"/>
      <c r="K1526" s="1174"/>
      <c r="L1526" s="1172"/>
      <c r="M1526" s="1172"/>
      <c r="N1526" s="1175"/>
      <c r="O1526" s="143"/>
      <c r="P1526" s="1196"/>
      <c r="Q1526" s="141"/>
      <c r="R1526" s="141"/>
      <c r="S1526" s="148"/>
      <c r="T1526" s="419"/>
      <c r="U1526" s="559"/>
      <c r="V1526" s="141"/>
      <c r="W1526" s="141"/>
      <c r="X1526" s="141"/>
      <c r="Y1526" s="144"/>
      <c r="Z1526" s="141"/>
      <c r="AA1526" s="141"/>
      <c r="AB1526" s="141"/>
      <c r="AC1526" s="141"/>
      <c r="AD1526" s="141"/>
      <c r="AE1526" s="141"/>
      <c r="AF1526" s="145"/>
      <c r="AG1526" s="419"/>
    </row>
    <row r="1527" spans="1:33" s="139" customFormat="1" ht="12.75" customHeight="1" x14ac:dyDescent="0.2">
      <c r="A1527" s="141"/>
      <c r="B1527" s="141"/>
      <c r="C1527" s="141"/>
      <c r="D1527" s="141"/>
      <c r="E1527" s="1014"/>
      <c r="F1527" s="1014"/>
      <c r="G1527" s="1027"/>
      <c r="H1527" s="1027"/>
      <c r="I1527" s="1174"/>
      <c r="J1527" s="1174"/>
      <c r="K1527" s="1174"/>
      <c r="L1527" s="1172"/>
      <c r="M1527" s="1172"/>
      <c r="N1527" s="1175"/>
      <c r="O1527" s="143"/>
      <c r="P1527" s="1196"/>
      <c r="Q1527" s="141"/>
      <c r="R1527" s="141"/>
      <c r="S1527" s="148"/>
      <c r="T1527" s="419"/>
      <c r="U1527" s="559"/>
      <c r="V1527" s="141"/>
      <c r="W1527" s="141"/>
      <c r="X1527" s="141"/>
      <c r="Y1527" s="144"/>
      <c r="Z1527" s="141"/>
      <c r="AA1527" s="141"/>
      <c r="AB1527" s="141"/>
      <c r="AC1527" s="141"/>
      <c r="AD1527" s="141"/>
      <c r="AE1527" s="141"/>
      <c r="AF1527" s="145"/>
      <c r="AG1527" s="419"/>
    </row>
    <row r="1528" spans="1:33" s="139" customFormat="1" ht="12.75" customHeight="1" x14ac:dyDescent="0.2">
      <c r="A1528" s="141"/>
      <c r="B1528" s="141"/>
      <c r="C1528" s="141"/>
      <c r="D1528" s="141"/>
      <c r="E1528" s="1014"/>
      <c r="F1528" s="1014"/>
      <c r="G1528" s="1027"/>
      <c r="H1528" s="1027"/>
      <c r="I1528" s="1174"/>
      <c r="J1528" s="1174"/>
      <c r="K1528" s="1174"/>
      <c r="L1528" s="1172"/>
      <c r="M1528" s="1172"/>
      <c r="N1528" s="1175"/>
      <c r="O1528" s="143"/>
      <c r="P1528" s="1196"/>
      <c r="Q1528" s="141"/>
      <c r="R1528" s="141"/>
      <c r="S1528" s="148"/>
      <c r="T1528" s="419"/>
      <c r="U1528" s="559"/>
      <c r="V1528" s="141"/>
      <c r="W1528" s="141"/>
      <c r="X1528" s="141"/>
      <c r="Y1528" s="144"/>
      <c r="Z1528" s="141"/>
      <c r="AA1528" s="141"/>
      <c r="AB1528" s="141"/>
      <c r="AC1528" s="141"/>
      <c r="AD1528" s="141"/>
      <c r="AE1528" s="141"/>
      <c r="AF1528" s="145"/>
      <c r="AG1528" s="419"/>
    </row>
    <row r="1529" spans="1:33" s="139" customFormat="1" ht="12.75" customHeight="1" x14ac:dyDescent="0.2">
      <c r="A1529" s="141"/>
      <c r="B1529" s="141"/>
      <c r="C1529" s="141"/>
      <c r="D1529" s="141"/>
      <c r="E1529" s="1014"/>
      <c r="F1529" s="1014"/>
      <c r="G1529" s="1027"/>
      <c r="H1529" s="1027"/>
      <c r="I1529" s="1174"/>
      <c r="J1529" s="1174"/>
      <c r="K1529" s="1174"/>
      <c r="L1529" s="1172"/>
      <c r="M1529" s="1172"/>
      <c r="N1529" s="1175"/>
      <c r="O1529" s="143"/>
      <c r="P1529" s="1196"/>
      <c r="Q1529" s="141"/>
      <c r="R1529" s="141"/>
      <c r="S1529" s="148"/>
      <c r="T1529" s="419"/>
      <c r="U1529" s="559"/>
      <c r="V1529" s="141"/>
      <c r="W1529" s="141"/>
      <c r="X1529" s="141"/>
      <c r="Y1529" s="144"/>
      <c r="Z1529" s="141"/>
      <c r="AA1529" s="141"/>
      <c r="AB1529" s="141"/>
      <c r="AC1529" s="141"/>
      <c r="AD1529" s="141"/>
      <c r="AE1529" s="141"/>
      <c r="AF1529" s="145"/>
      <c r="AG1529" s="419"/>
    </row>
    <row r="1530" spans="1:33" s="139" customFormat="1" ht="12.75" customHeight="1" x14ac:dyDescent="0.2">
      <c r="A1530" s="141"/>
      <c r="B1530" s="141"/>
      <c r="C1530" s="141"/>
      <c r="D1530" s="141"/>
      <c r="E1530" s="1014"/>
      <c r="F1530" s="1014"/>
      <c r="G1530" s="1027"/>
      <c r="H1530" s="1027"/>
      <c r="I1530" s="1174"/>
      <c r="J1530" s="1174"/>
      <c r="K1530" s="1174"/>
      <c r="L1530" s="1172"/>
      <c r="M1530" s="1172"/>
      <c r="N1530" s="1175"/>
      <c r="O1530" s="143"/>
      <c r="P1530" s="1196"/>
      <c r="Q1530" s="141"/>
      <c r="R1530" s="141"/>
      <c r="S1530" s="148"/>
      <c r="T1530" s="419"/>
      <c r="U1530" s="559"/>
      <c r="V1530" s="141"/>
      <c r="W1530" s="141"/>
      <c r="X1530" s="141"/>
      <c r="Y1530" s="144"/>
      <c r="Z1530" s="141"/>
      <c r="AA1530" s="141"/>
      <c r="AB1530" s="141"/>
      <c r="AC1530" s="141"/>
      <c r="AD1530" s="141"/>
      <c r="AE1530" s="141"/>
      <c r="AF1530" s="145"/>
      <c r="AG1530" s="419"/>
    </row>
    <row r="1531" spans="1:33" s="139" customFormat="1" ht="12.75" customHeight="1" x14ac:dyDescent="0.2">
      <c r="A1531" s="141"/>
      <c r="B1531" s="141"/>
      <c r="C1531" s="141"/>
      <c r="D1531" s="141"/>
      <c r="E1531" s="1014"/>
      <c r="F1531" s="1014"/>
      <c r="G1531" s="1027"/>
      <c r="H1531" s="1027"/>
      <c r="I1531" s="1174"/>
      <c r="J1531" s="1174"/>
      <c r="K1531" s="1174"/>
      <c r="L1531" s="1172"/>
      <c r="M1531" s="1172"/>
      <c r="N1531" s="1175"/>
      <c r="O1531" s="143"/>
      <c r="P1531" s="1196"/>
      <c r="Q1531" s="141"/>
      <c r="R1531" s="141"/>
      <c r="S1531" s="148"/>
      <c r="T1531" s="419"/>
      <c r="U1531" s="559"/>
      <c r="V1531" s="141"/>
      <c r="W1531" s="141"/>
      <c r="X1531" s="141"/>
      <c r="Y1531" s="144"/>
      <c r="Z1531" s="141"/>
      <c r="AA1531" s="141"/>
      <c r="AB1531" s="141"/>
      <c r="AC1531" s="141"/>
      <c r="AD1531" s="141"/>
      <c r="AE1531" s="141"/>
      <c r="AF1531" s="145"/>
      <c r="AG1531" s="419"/>
    </row>
    <row r="1532" spans="1:33" s="139" customFormat="1" ht="12.75" customHeight="1" x14ac:dyDescent="0.2">
      <c r="A1532" s="141"/>
      <c r="B1532" s="141"/>
      <c r="C1532" s="141"/>
      <c r="D1532" s="141"/>
      <c r="E1532" s="1014"/>
      <c r="F1532" s="1014"/>
      <c r="G1532" s="1027"/>
      <c r="H1532" s="1027"/>
      <c r="I1532" s="1174"/>
      <c r="J1532" s="1174"/>
      <c r="K1532" s="1174"/>
      <c r="L1532" s="1172"/>
      <c r="M1532" s="1172"/>
      <c r="N1532" s="1175"/>
      <c r="O1532" s="143"/>
      <c r="P1532" s="1196"/>
      <c r="Q1532" s="141"/>
      <c r="R1532" s="141"/>
      <c r="S1532" s="148"/>
      <c r="T1532" s="419"/>
      <c r="U1532" s="559"/>
      <c r="V1532" s="141"/>
      <c r="W1532" s="141"/>
      <c r="X1532" s="141"/>
      <c r="Y1532" s="144"/>
      <c r="Z1532" s="141"/>
      <c r="AA1532" s="141"/>
      <c r="AB1532" s="141"/>
      <c r="AC1532" s="141"/>
      <c r="AD1532" s="141"/>
      <c r="AE1532" s="141"/>
      <c r="AF1532" s="145"/>
      <c r="AG1532" s="419"/>
    </row>
    <row r="1533" spans="1:33" s="139" customFormat="1" ht="12.75" customHeight="1" x14ac:dyDescent="0.2">
      <c r="A1533" s="141"/>
      <c r="B1533" s="141"/>
      <c r="C1533" s="141"/>
      <c r="D1533" s="141"/>
      <c r="E1533" s="1014"/>
      <c r="F1533" s="1014"/>
      <c r="G1533" s="1027"/>
      <c r="H1533" s="1027"/>
      <c r="I1533" s="1174"/>
      <c r="J1533" s="1174"/>
      <c r="K1533" s="1174"/>
      <c r="L1533" s="1172"/>
      <c r="M1533" s="1172"/>
      <c r="N1533" s="1175"/>
      <c r="O1533" s="143"/>
      <c r="P1533" s="1196"/>
      <c r="Q1533" s="141"/>
      <c r="R1533" s="141"/>
      <c r="S1533" s="148"/>
      <c r="T1533" s="419"/>
      <c r="U1533" s="559"/>
      <c r="V1533" s="141"/>
      <c r="W1533" s="141"/>
      <c r="X1533" s="141"/>
      <c r="Y1533" s="144"/>
      <c r="Z1533" s="141"/>
      <c r="AA1533" s="141"/>
      <c r="AB1533" s="141"/>
      <c r="AC1533" s="141"/>
      <c r="AD1533" s="141"/>
      <c r="AE1533" s="141"/>
      <c r="AF1533" s="145"/>
      <c r="AG1533" s="419"/>
    </row>
    <row r="1534" spans="1:33" s="139" customFormat="1" ht="12.75" customHeight="1" x14ac:dyDescent="0.2">
      <c r="A1534" s="141"/>
      <c r="B1534" s="141"/>
      <c r="C1534" s="141"/>
      <c r="D1534" s="141"/>
      <c r="E1534" s="1014"/>
      <c r="F1534" s="1014"/>
      <c r="G1534" s="1027"/>
      <c r="H1534" s="1027"/>
      <c r="I1534" s="1174"/>
      <c r="J1534" s="1174"/>
      <c r="K1534" s="1174"/>
      <c r="L1534" s="1172"/>
      <c r="M1534" s="1172"/>
      <c r="N1534" s="1175"/>
      <c r="O1534" s="143"/>
      <c r="P1534" s="1196"/>
      <c r="Q1534" s="141"/>
      <c r="R1534" s="141"/>
      <c r="S1534" s="148"/>
      <c r="T1534" s="419"/>
      <c r="U1534" s="559"/>
      <c r="V1534" s="141"/>
      <c r="W1534" s="141"/>
      <c r="X1534" s="141"/>
      <c r="Y1534" s="144"/>
      <c r="Z1534" s="141"/>
      <c r="AA1534" s="141"/>
      <c r="AB1534" s="141"/>
      <c r="AC1534" s="141"/>
      <c r="AD1534" s="141"/>
      <c r="AE1534" s="141"/>
      <c r="AF1534" s="145"/>
      <c r="AG1534" s="419"/>
    </row>
    <row r="1535" spans="1:33" s="139" customFormat="1" ht="12.75" customHeight="1" x14ac:dyDescent="0.2">
      <c r="A1535" s="141"/>
      <c r="B1535" s="141"/>
      <c r="C1535" s="141"/>
      <c r="D1535" s="141"/>
      <c r="E1535" s="1014"/>
      <c r="F1535" s="1014"/>
      <c r="G1535" s="1027"/>
      <c r="H1535" s="1027"/>
      <c r="I1535" s="1174"/>
      <c r="J1535" s="1174"/>
      <c r="K1535" s="1174"/>
      <c r="L1535" s="1172"/>
      <c r="M1535" s="1172"/>
      <c r="N1535" s="1175"/>
      <c r="O1535" s="143"/>
      <c r="P1535" s="1196"/>
      <c r="Q1535" s="141"/>
      <c r="R1535" s="141"/>
      <c r="S1535" s="148"/>
      <c r="T1535" s="419"/>
      <c r="U1535" s="559"/>
      <c r="V1535" s="141"/>
      <c r="W1535" s="141"/>
      <c r="X1535" s="141"/>
      <c r="Y1535" s="144"/>
      <c r="Z1535" s="141"/>
      <c r="AA1535" s="141"/>
      <c r="AB1535" s="141"/>
      <c r="AC1535" s="141"/>
      <c r="AD1535" s="141"/>
      <c r="AE1535" s="141"/>
      <c r="AF1535" s="145"/>
      <c r="AG1535" s="419"/>
    </row>
    <row r="1536" spans="1:33" s="139" customFormat="1" ht="12.75" customHeight="1" x14ac:dyDescent="0.2">
      <c r="A1536" s="141"/>
      <c r="B1536" s="141"/>
      <c r="C1536" s="141"/>
      <c r="D1536" s="141"/>
      <c r="E1536" s="1014"/>
      <c r="F1536" s="1014"/>
      <c r="G1536" s="1027"/>
      <c r="H1536" s="1027"/>
      <c r="I1536" s="1174"/>
      <c r="J1536" s="1174"/>
      <c r="K1536" s="1174"/>
      <c r="L1536" s="1172"/>
      <c r="M1536" s="1172"/>
      <c r="N1536" s="1175"/>
      <c r="O1536" s="143"/>
      <c r="P1536" s="1196"/>
      <c r="Q1536" s="141"/>
      <c r="R1536" s="141"/>
      <c r="S1536" s="148"/>
      <c r="T1536" s="419"/>
      <c r="U1536" s="559"/>
      <c r="V1536" s="141"/>
      <c r="W1536" s="141"/>
      <c r="X1536" s="141"/>
      <c r="Y1536" s="144"/>
      <c r="Z1536" s="141"/>
      <c r="AA1536" s="141"/>
      <c r="AB1536" s="141"/>
      <c r="AC1536" s="141"/>
      <c r="AD1536" s="141"/>
      <c r="AE1536" s="141"/>
      <c r="AF1536" s="145"/>
      <c r="AG1536" s="419"/>
    </row>
    <row r="1537" spans="1:33" s="139" customFormat="1" ht="12.75" customHeight="1" x14ac:dyDescent="0.2">
      <c r="A1537" s="141"/>
      <c r="B1537" s="141"/>
      <c r="C1537" s="141"/>
      <c r="D1537" s="141"/>
      <c r="E1537" s="1014"/>
      <c r="F1537" s="1014"/>
      <c r="G1537" s="1027"/>
      <c r="H1537" s="1027"/>
      <c r="I1537" s="1174"/>
      <c r="J1537" s="1174"/>
      <c r="K1537" s="1174"/>
      <c r="L1537" s="1172"/>
      <c r="M1537" s="1172"/>
      <c r="N1537" s="1175"/>
      <c r="O1537" s="143"/>
      <c r="P1537" s="1196"/>
      <c r="Q1537" s="141"/>
      <c r="R1537" s="141"/>
      <c r="S1537" s="148"/>
      <c r="T1537" s="419"/>
      <c r="U1537" s="559"/>
      <c r="V1537" s="141"/>
      <c r="W1537" s="141"/>
      <c r="X1537" s="141"/>
      <c r="Y1537" s="144"/>
      <c r="Z1537" s="141"/>
      <c r="AA1537" s="141"/>
      <c r="AB1537" s="141"/>
      <c r="AC1537" s="141"/>
      <c r="AD1537" s="141"/>
      <c r="AE1537" s="141"/>
      <c r="AF1537" s="145"/>
      <c r="AG1537" s="419"/>
    </row>
    <row r="1538" spans="1:33" s="139" customFormat="1" ht="12.75" customHeight="1" x14ac:dyDescent="0.2">
      <c r="A1538" s="141"/>
      <c r="B1538" s="141"/>
      <c r="C1538" s="141"/>
      <c r="D1538" s="141"/>
      <c r="E1538" s="1014"/>
      <c r="F1538" s="1014"/>
      <c r="G1538" s="1027"/>
      <c r="H1538" s="1027"/>
      <c r="I1538" s="1174"/>
      <c r="J1538" s="1174"/>
      <c r="K1538" s="1174"/>
      <c r="L1538" s="1172"/>
      <c r="M1538" s="1172"/>
      <c r="N1538" s="1175"/>
      <c r="O1538" s="143"/>
      <c r="P1538" s="1196"/>
      <c r="Q1538" s="141"/>
      <c r="R1538" s="141"/>
      <c r="S1538" s="148"/>
      <c r="T1538" s="419"/>
      <c r="U1538" s="559"/>
      <c r="V1538" s="141"/>
      <c r="W1538" s="141"/>
      <c r="X1538" s="141"/>
      <c r="Y1538" s="144"/>
      <c r="Z1538" s="141"/>
      <c r="AA1538" s="141"/>
      <c r="AB1538" s="141"/>
      <c r="AC1538" s="141"/>
      <c r="AD1538" s="141"/>
      <c r="AE1538" s="141"/>
      <c r="AF1538" s="145"/>
      <c r="AG1538" s="419"/>
    </row>
    <row r="1539" spans="1:33" s="139" customFormat="1" ht="12.75" customHeight="1" x14ac:dyDescent="0.2">
      <c r="A1539" s="141"/>
      <c r="B1539" s="141"/>
      <c r="C1539" s="141"/>
      <c r="D1539" s="141"/>
      <c r="E1539" s="1014"/>
      <c r="F1539" s="1014"/>
      <c r="G1539" s="1027"/>
      <c r="H1539" s="1027"/>
      <c r="I1539" s="1174"/>
      <c r="J1539" s="1174"/>
      <c r="K1539" s="1174"/>
      <c r="L1539" s="1172"/>
      <c r="M1539" s="1172"/>
      <c r="N1539" s="1175"/>
      <c r="O1539" s="143"/>
      <c r="P1539" s="1196"/>
      <c r="Q1539" s="141"/>
      <c r="R1539" s="141"/>
      <c r="S1539" s="148"/>
      <c r="T1539" s="419"/>
      <c r="U1539" s="559"/>
      <c r="V1539" s="141"/>
      <c r="W1539" s="141"/>
      <c r="X1539" s="141"/>
      <c r="Y1539" s="144"/>
      <c r="Z1539" s="141"/>
      <c r="AA1539" s="141"/>
      <c r="AB1539" s="141"/>
      <c r="AC1539" s="141"/>
      <c r="AD1539" s="141"/>
      <c r="AE1539" s="141"/>
      <c r="AF1539" s="145"/>
      <c r="AG1539" s="419"/>
    </row>
    <row r="1540" spans="1:33" s="139" customFormat="1" ht="12.75" customHeight="1" x14ac:dyDescent="0.2">
      <c r="A1540" s="141"/>
      <c r="B1540" s="141"/>
      <c r="C1540" s="141"/>
      <c r="D1540" s="141"/>
      <c r="E1540" s="1014"/>
      <c r="F1540" s="1014"/>
      <c r="G1540" s="1027"/>
      <c r="H1540" s="1027"/>
      <c r="I1540" s="1174"/>
      <c r="J1540" s="1174"/>
      <c r="K1540" s="1174"/>
      <c r="L1540" s="1172"/>
      <c r="M1540" s="1172"/>
      <c r="N1540" s="1175"/>
      <c r="O1540" s="143"/>
      <c r="P1540" s="1196"/>
      <c r="Q1540" s="141"/>
      <c r="R1540" s="141"/>
      <c r="S1540" s="148"/>
      <c r="T1540" s="419"/>
      <c r="U1540" s="559"/>
      <c r="V1540" s="141"/>
      <c r="W1540" s="141"/>
      <c r="X1540" s="141"/>
      <c r="Y1540" s="144"/>
      <c r="Z1540" s="141"/>
      <c r="AA1540" s="141"/>
      <c r="AB1540" s="141"/>
      <c r="AC1540" s="141"/>
      <c r="AD1540" s="141"/>
      <c r="AE1540" s="141"/>
      <c r="AF1540" s="145"/>
      <c r="AG1540" s="419"/>
    </row>
    <row r="1541" spans="1:33" s="139" customFormat="1" ht="12.75" customHeight="1" x14ac:dyDescent="0.2">
      <c r="A1541" s="141"/>
      <c r="B1541" s="141"/>
      <c r="C1541" s="141"/>
      <c r="D1541" s="141"/>
      <c r="E1541" s="1014"/>
      <c r="F1541" s="1014"/>
      <c r="G1541" s="1027"/>
      <c r="H1541" s="1027"/>
      <c r="I1541" s="1174"/>
      <c r="J1541" s="1174"/>
      <c r="K1541" s="1174"/>
      <c r="L1541" s="1172"/>
      <c r="M1541" s="1172"/>
      <c r="N1541" s="1175"/>
      <c r="O1541" s="143"/>
      <c r="P1541" s="1196"/>
      <c r="Q1541" s="141"/>
      <c r="R1541" s="141"/>
      <c r="S1541" s="148"/>
      <c r="T1541" s="419"/>
      <c r="U1541" s="559"/>
      <c r="V1541" s="141"/>
      <c r="W1541" s="141"/>
      <c r="X1541" s="141"/>
      <c r="Y1541" s="144"/>
      <c r="Z1541" s="141"/>
      <c r="AA1541" s="141"/>
      <c r="AB1541" s="141"/>
      <c r="AC1541" s="141"/>
      <c r="AD1541" s="141"/>
      <c r="AE1541" s="141"/>
      <c r="AF1541" s="145"/>
      <c r="AG1541" s="419"/>
    </row>
    <row r="1542" spans="1:33" s="139" customFormat="1" ht="12.75" customHeight="1" x14ac:dyDescent="0.2">
      <c r="A1542" s="141"/>
      <c r="B1542" s="141"/>
      <c r="C1542" s="141"/>
      <c r="D1542" s="141"/>
      <c r="E1542" s="1014"/>
      <c r="F1542" s="1014"/>
      <c r="G1542" s="1027"/>
      <c r="H1542" s="1027"/>
      <c r="I1542" s="1174"/>
      <c r="J1542" s="1174"/>
      <c r="K1542" s="1174"/>
      <c r="L1542" s="1172"/>
      <c r="M1542" s="1172"/>
      <c r="N1542" s="1175"/>
      <c r="O1542" s="143"/>
      <c r="P1542" s="1196"/>
      <c r="Q1542" s="141"/>
      <c r="R1542" s="141"/>
      <c r="S1542" s="148"/>
      <c r="T1542" s="419"/>
      <c r="U1542" s="559"/>
      <c r="V1542" s="141"/>
      <c r="W1542" s="141"/>
      <c r="X1542" s="141"/>
      <c r="Y1542" s="144"/>
      <c r="Z1542" s="141"/>
      <c r="AA1542" s="141"/>
      <c r="AB1542" s="141"/>
      <c r="AC1542" s="141"/>
      <c r="AD1542" s="141"/>
      <c r="AE1542" s="141"/>
      <c r="AF1542" s="145"/>
      <c r="AG1542" s="419"/>
    </row>
    <row r="1543" spans="1:33" s="139" customFormat="1" ht="12.75" customHeight="1" x14ac:dyDescent="0.2">
      <c r="A1543" s="141"/>
      <c r="B1543" s="141"/>
      <c r="C1543" s="141"/>
      <c r="D1543" s="141"/>
      <c r="E1543" s="1014"/>
      <c r="F1543" s="1014"/>
      <c r="G1543" s="1027"/>
      <c r="H1543" s="1027"/>
      <c r="I1543" s="1174"/>
      <c r="J1543" s="1174"/>
      <c r="K1543" s="1174"/>
      <c r="L1543" s="1172"/>
      <c r="M1543" s="1172"/>
      <c r="N1543" s="1175"/>
      <c r="O1543" s="143"/>
      <c r="P1543" s="1196"/>
      <c r="Q1543" s="141"/>
      <c r="R1543" s="141"/>
      <c r="S1543" s="148"/>
      <c r="T1543" s="419"/>
      <c r="U1543" s="559"/>
      <c r="V1543" s="141"/>
      <c r="W1543" s="141"/>
      <c r="X1543" s="141"/>
      <c r="Y1543" s="144"/>
      <c r="Z1543" s="141"/>
      <c r="AA1543" s="141"/>
      <c r="AB1543" s="141"/>
      <c r="AC1543" s="141"/>
      <c r="AD1543" s="141"/>
      <c r="AE1543" s="141"/>
      <c r="AF1543" s="145"/>
      <c r="AG1543" s="419"/>
    </row>
    <row r="1544" spans="1:33" s="139" customFormat="1" ht="12.75" customHeight="1" x14ac:dyDescent="0.2">
      <c r="A1544" s="141"/>
      <c r="B1544" s="141"/>
      <c r="C1544" s="141"/>
      <c r="D1544" s="141"/>
      <c r="E1544" s="1014"/>
      <c r="F1544" s="1014"/>
      <c r="G1544" s="1027"/>
      <c r="H1544" s="1027"/>
      <c r="I1544" s="1174"/>
      <c r="J1544" s="1174"/>
      <c r="K1544" s="1174"/>
      <c r="L1544" s="1172"/>
      <c r="M1544" s="1172"/>
      <c r="N1544" s="1175"/>
      <c r="O1544" s="143"/>
      <c r="P1544" s="1196"/>
      <c r="Q1544" s="141"/>
      <c r="R1544" s="141"/>
      <c r="S1544" s="148"/>
      <c r="T1544" s="419"/>
      <c r="U1544" s="559"/>
      <c r="V1544" s="141"/>
      <c r="W1544" s="141"/>
      <c r="X1544" s="141"/>
      <c r="Y1544" s="144"/>
      <c r="Z1544" s="141"/>
      <c r="AA1544" s="141"/>
      <c r="AB1544" s="141"/>
      <c r="AC1544" s="141"/>
      <c r="AD1544" s="141"/>
      <c r="AE1544" s="141"/>
      <c r="AF1544" s="145"/>
      <c r="AG1544" s="419"/>
    </row>
    <row r="1545" spans="1:33" s="139" customFormat="1" ht="12.75" customHeight="1" x14ac:dyDescent="0.2">
      <c r="A1545" s="141"/>
      <c r="B1545" s="141"/>
      <c r="C1545" s="141"/>
      <c r="D1545" s="141"/>
      <c r="E1545" s="1014"/>
      <c r="F1545" s="1014"/>
      <c r="G1545" s="1027"/>
      <c r="H1545" s="1027"/>
      <c r="I1545" s="1174"/>
      <c r="J1545" s="1174"/>
      <c r="K1545" s="1174"/>
      <c r="L1545" s="1172"/>
      <c r="M1545" s="1172"/>
      <c r="N1545" s="1175"/>
      <c r="O1545" s="143"/>
      <c r="P1545" s="1196"/>
      <c r="Q1545" s="141"/>
      <c r="R1545" s="141"/>
      <c r="S1545" s="148"/>
      <c r="T1545" s="419"/>
      <c r="U1545" s="559"/>
      <c r="V1545" s="141"/>
      <c r="W1545" s="141"/>
      <c r="X1545" s="141"/>
      <c r="Y1545" s="144"/>
      <c r="Z1545" s="141"/>
      <c r="AA1545" s="141"/>
      <c r="AB1545" s="141"/>
      <c r="AC1545" s="141"/>
      <c r="AD1545" s="141"/>
      <c r="AE1545" s="141"/>
      <c r="AF1545" s="145"/>
      <c r="AG1545" s="419"/>
    </row>
    <row r="1546" spans="1:33" s="139" customFormat="1" ht="12.75" customHeight="1" x14ac:dyDescent="0.2">
      <c r="A1546" s="141"/>
      <c r="B1546" s="141"/>
      <c r="C1546" s="141"/>
      <c r="D1546" s="141"/>
      <c r="E1546" s="1014"/>
      <c r="F1546" s="1014"/>
      <c r="G1546" s="1027"/>
      <c r="H1546" s="1027"/>
      <c r="I1546" s="1174"/>
      <c r="J1546" s="1174"/>
      <c r="K1546" s="1174"/>
      <c r="L1546" s="1172"/>
      <c r="M1546" s="1172"/>
      <c r="N1546" s="1175"/>
      <c r="O1546" s="143"/>
      <c r="P1546" s="1196"/>
      <c r="Q1546" s="141"/>
      <c r="R1546" s="141"/>
      <c r="S1546" s="148"/>
      <c r="T1546" s="419"/>
      <c r="U1546" s="559"/>
      <c r="V1546" s="141"/>
      <c r="W1546" s="141"/>
      <c r="X1546" s="141"/>
      <c r="Y1546" s="144"/>
      <c r="Z1546" s="141"/>
      <c r="AA1546" s="141"/>
      <c r="AB1546" s="141"/>
      <c r="AC1546" s="141"/>
      <c r="AD1546" s="141"/>
      <c r="AE1546" s="141"/>
      <c r="AF1546" s="145"/>
      <c r="AG1546" s="419"/>
    </row>
    <row r="1547" spans="1:33" s="139" customFormat="1" ht="12.75" customHeight="1" x14ac:dyDescent="0.2">
      <c r="A1547" s="141"/>
      <c r="B1547" s="141"/>
      <c r="C1547" s="141"/>
      <c r="D1547" s="141"/>
      <c r="E1547" s="1014"/>
      <c r="F1547" s="1014"/>
      <c r="G1547" s="1027"/>
      <c r="H1547" s="1027"/>
      <c r="I1547" s="1174"/>
      <c r="J1547" s="1174"/>
      <c r="K1547" s="1174"/>
      <c r="L1547" s="1172"/>
      <c r="M1547" s="1172"/>
      <c r="N1547" s="1175"/>
      <c r="O1547" s="143"/>
      <c r="P1547" s="1196"/>
      <c r="Q1547" s="141"/>
      <c r="R1547" s="141"/>
      <c r="S1547" s="148"/>
      <c r="T1547" s="419"/>
      <c r="U1547" s="559"/>
      <c r="V1547" s="141"/>
      <c r="W1547" s="141"/>
      <c r="X1547" s="141"/>
      <c r="Y1547" s="144"/>
      <c r="Z1547" s="141"/>
      <c r="AA1547" s="141"/>
      <c r="AB1547" s="141"/>
      <c r="AC1547" s="141"/>
      <c r="AD1547" s="141"/>
      <c r="AE1547" s="141"/>
      <c r="AF1547" s="145"/>
      <c r="AG1547" s="419"/>
    </row>
    <row r="1548" spans="1:33" s="139" customFormat="1" ht="12.75" customHeight="1" x14ac:dyDescent="0.2">
      <c r="A1548" s="141"/>
      <c r="B1548" s="141"/>
      <c r="C1548" s="141"/>
      <c r="D1548" s="141"/>
      <c r="E1548" s="1014"/>
      <c r="F1548" s="1014"/>
      <c r="G1548" s="1027"/>
      <c r="H1548" s="1027"/>
      <c r="I1548" s="1174"/>
      <c r="J1548" s="1174"/>
      <c r="K1548" s="1174"/>
      <c r="L1548" s="1172"/>
      <c r="M1548" s="1172"/>
      <c r="N1548" s="1175"/>
      <c r="O1548" s="143"/>
      <c r="P1548" s="1196"/>
      <c r="Q1548" s="141"/>
      <c r="R1548" s="141"/>
      <c r="S1548" s="148"/>
      <c r="T1548" s="419"/>
      <c r="U1548" s="559"/>
      <c r="V1548" s="141"/>
      <c r="W1548" s="141"/>
      <c r="X1548" s="141"/>
      <c r="Y1548" s="144"/>
      <c r="Z1548" s="141"/>
      <c r="AA1548" s="141"/>
      <c r="AB1548" s="141"/>
      <c r="AC1548" s="141"/>
      <c r="AD1548" s="141"/>
      <c r="AE1548" s="141"/>
      <c r="AF1548" s="145"/>
      <c r="AG1548" s="419"/>
    </row>
    <row r="1549" spans="1:33" s="139" customFormat="1" ht="12.75" customHeight="1" x14ac:dyDescent="0.2">
      <c r="A1549" s="141"/>
      <c r="B1549" s="141"/>
      <c r="C1549" s="141"/>
      <c r="D1549" s="141"/>
      <c r="E1549" s="1014"/>
      <c r="F1549" s="1014"/>
      <c r="G1549" s="1027"/>
      <c r="H1549" s="1027"/>
      <c r="I1549" s="1174"/>
      <c r="J1549" s="1174"/>
      <c r="K1549" s="1174"/>
      <c r="L1549" s="1172"/>
      <c r="M1549" s="1172"/>
      <c r="N1549" s="1175"/>
      <c r="O1549" s="143"/>
      <c r="P1549" s="1196"/>
      <c r="Q1549" s="141"/>
      <c r="R1549" s="141"/>
      <c r="S1549" s="148"/>
      <c r="T1549" s="419"/>
      <c r="U1549" s="559"/>
      <c r="V1549" s="141"/>
      <c r="W1549" s="141"/>
      <c r="X1549" s="141"/>
      <c r="Y1549" s="144"/>
      <c r="Z1549" s="141"/>
      <c r="AA1549" s="141"/>
      <c r="AB1549" s="141"/>
      <c r="AC1549" s="141"/>
      <c r="AD1549" s="141"/>
      <c r="AE1549" s="141"/>
      <c r="AF1549" s="145"/>
      <c r="AG1549" s="419"/>
    </row>
    <row r="1550" spans="1:33" s="139" customFormat="1" ht="12.75" customHeight="1" x14ac:dyDescent="0.2">
      <c r="A1550" s="141"/>
      <c r="B1550" s="141"/>
      <c r="C1550" s="141"/>
      <c r="D1550" s="141"/>
      <c r="E1550" s="1014"/>
      <c r="F1550" s="1014"/>
      <c r="G1550" s="1027"/>
      <c r="H1550" s="1027"/>
      <c r="I1550" s="1174"/>
      <c r="J1550" s="1174"/>
      <c r="K1550" s="1174"/>
      <c r="L1550" s="1172"/>
      <c r="M1550" s="1172"/>
      <c r="N1550" s="1175"/>
      <c r="O1550" s="143"/>
      <c r="P1550" s="1196"/>
      <c r="Q1550" s="141"/>
      <c r="R1550" s="141"/>
      <c r="S1550" s="148"/>
      <c r="T1550" s="419"/>
      <c r="U1550" s="559"/>
      <c r="V1550" s="141"/>
      <c r="W1550" s="141"/>
      <c r="X1550" s="141"/>
      <c r="Y1550" s="144"/>
      <c r="Z1550" s="141"/>
      <c r="AA1550" s="141"/>
      <c r="AB1550" s="141"/>
      <c r="AC1550" s="141"/>
      <c r="AD1550" s="141"/>
      <c r="AE1550" s="141"/>
      <c r="AF1550" s="145"/>
      <c r="AG1550" s="419"/>
    </row>
    <row r="1551" spans="1:33" s="139" customFormat="1" ht="12.75" customHeight="1" x14ac:dyDescent="0.2">
      <c r="A1551" s="141"/>
      <c r="B1551" s="141"/>
      <c r="C1551" s="141"/>
      <c r="D1551" s="141"/>
      <c r="E1551" s="1014"/>
      <c r="F1551" s="1014"/>
      <c r="G1551" s="1027"/>
      <c r="H1551" s="1027"/>
      <c r="I1551" s="1174"/>
      <c r="J1551" s="1174"/>
      <c r="K1551" s="1174"/>
      <c r="L1551" s="1172"/>
      <c r="M1551" s="1172"/>
      <c r="N1551" s="1175"/>
      <c r="O1551" s="143"/>
      <c r="P1551" s="1196"/>
      <c r="Q1551" s="141"/>
      <c r="R1551" s="141"/>
      <c r="S1551" s="148"/>
      <c r="T1551" s="419"/>
      <c r="U1551" s="559"/>
      <c r="V1551" s="141"/>
      <c r="W1551" s="141"/>
      <c r="X1551" s="141"/>
      <c r="Y1551" s="144"/>
      <c r="Z1551" s="141"/>
      <c r="AA1551" s="141"/>
      <c r="AB1551" s="141"/>
      <c r="AC1551" s="141"/>
      <c r="AD1551" s="141"/>
      <c r="AE1551" s="141"/>
      <c r="AF1551" s="145"/>
      <c r="AG1551" s="419"/>
    </row>
    <row r="1552" spans="1:33" s="139" customFormat="1" ht="12.75" customHeight="1" x14ac:dyDescent="0.2">
      <c r="A1552" s="141"/>
      <c r="B1552" s="141"/>
      <c r="C1552" s="141"/>
      <c r="D1552" s="141"/>
      <c r="E1552" s="1014"/>
      <c r="F1552" s="1014"/>
      <c r="G1552" s="1027"/>
      <c r="H1552" s="1027"/>
      <c r="I1552" s="1174"/>
      <c r="J1552" s="1174"/>
      <c r="K1552" s="1174"/>
      <c r="L1552" s="1172"/>
      <c r="M1552" s="1172"/>
      <c r="N1552" s="1175"/>
      <c r="O1552" s="143"/>
      <c r="P1552" s="1196"/>
      <c r="Q1552" s="141"/>
      <c r="R1552" s="141"/>
      <c r="S1552" s="148"/>
      <c r="T1552" s="419"/>
      <c r="U1552" s="559"/>
      <c r="V1552" s="141"/>
      <c r="W1552" s="141"/>
      <c r="X1552" s="141"/>
      <c r="Y1552" s="144"/>
      <c r="Z1552" s="141"/>
      <c r="AA1552" s="141"/>
      <c r="AB1552" s="141"/>
      <c r="AC1552" s="141"/>
      <c r="AD1552" s="141"/>
      <c r="AE1552" s="141"/>
      <c r="AF1552" s="145"/>
      <c r="AG1552" s="419"/>
    </row>
    <row r="1553" spans="1:33" s="139" customFormat="1" ht="12.75" customHeight="1" x14ac:dyDescent="0.2">
      <c r="A1553" s="141"/>
      <c r="B1553" s="141"/>
      <c r="C1553" s="141"/>
      <c r="D1553" s="141"/>
      <c r="E1553" s="1014"/>
      <c r="F1553" s="1014"/>
      <c r="G1553" s="1027"/>
      <c r="H1553" s="1027"/>
      <c r="I1553" s="1174"/>
      <c r="J1553" s="1174"/>
      <c r="K1553" s="1174"/>
      <c r="L1553" s="1172"/>
      <c r="M1553" s="1172"/>
      <c r="N1553" s="1175"/>
      <c r="O1553" s="143"/>
      <c r="P1553" s="1196"/>
      <c r="Q1553" s="141"/>
      <c r="R1553" s="141"/>
      <c r="S1553" s="148"/>
      <c r="T1553" s="419"/>
      <c r="U1553" s="559"/>
      <c r="V1553" s="141"/>
      <c r="W1553" s="141"/>
      <c r="X1553" s="141"/>
      <c r="Y1553" s="144"/>
      <c r="Z1553" s="141"/>
      <c r="AA1553" s="141"/>
      <c r="AB1553" s="141"/>
      <c r="AC1553" s="141"/>
      <c r="AD1553" s="141"/>
      <c r="AE1553" s="141"/>
      <c r="AF1553" s="145"/>
      <c r="AG1553" s="419"/>
    </row>
    <row r="1554" spans="1:33" s="139" customFormat="1" ht="12.75" customHeight="1" x14ac:dyDescent="0.2">
      <c r="A1554" s="141"/>
      <c r="B1554" s="141"/>
      <c r="C1554" s="141"/>
      <c r="D1554" s="141"/>
      <c r="E1554" s="1014"/>
      <c r="F1554" s="1014"/>
      <c r="G1554" s="1027"/>
      <c r="H1554" s="1027"/>
      <c r="I1554" s="1174"/>
      <c r="J1554" s="1174"/>
      <c r="K1554" s="1174"/>
      <c r="L1554" s="1172"/>
      <c r="M1554" s="1172"/>
      <c r="N1554" s="1175"/>
      <c r="O1554" s="143"/>
      <c r="P1554" s="1196"/>
      <c r="Q1554" s="141"/>
      <c r="R1554" s="141"/>
      <c r="S1554" s="148"/>
      <c r="T1554" s="419"/>
      <c r="U1554" s="559"/>
      <c r="V1554" s="141"/>
      <c r="W1554" s="141"/>
      <c r="X1554" s="141"/>
      <c r="Y1554" s="144"/>
      <c r="Z1554" s="141"/>
      <c r="AA1554" s="141"/>
      <c r="AB1554" s="141"/>
      <c r="AC1554" s="141"/>
      <c r="AD1554" s="141"/>
      <c r="AE1554" s="141"/>
      <c r="AF1554" s="145"/>
      <c r="AG1554" s="419"/>
    </row>
    <row r="1555" spans="1:33" s="139" customFormat="1" ht="12.75" customHeight="1" x14ac:dyDescent="0.2">
      <c r="A1555" s="141"/>
      <c r="B1555" s="141"/>
      <c r="C1555" s="141"/>
      <c r="D1555" s="141"/>
      <c r="E1555" s="1014"/>
      <c r="F1555" s="1014"/>
      <c r="G1555" s="1027"/>
      <c r="H1555" s="1027"/>
      <c r="I1555" s="1174"/>
      <c r="J1555" s="1174"/>
      <c r="K1555" s="1174"/>
      <c r="L1555" s="1172"/>
      <c r="M1555" s="1172"/>
      <c r="N1555" s="1175"/>
      <c r="O1555" s="143"/>
      <c r="P1555" s="1196"/>
      <c r="Q1555" s="141"/>
      <c r="R1555" s="141"/>
      <c r="S1555" s="148"/>
      <c r="T1555" s="419"/>
      <c r="U1555" s="559"/>
      <c r="V1555" s="141"/>
      <c r="W1555" s="141"/>
      <c r="X1555" s="141"/>
      <c r="Y1555" s="144"/>
      <c r="Z1555" s="141"/>
      <c r="AA1555" s="141"/>
      <c r="AB1555" s="141"/>
      <c r="AC1555" s="141"/>
      <c r="AD1555" s="141"/>
      <c r="AE1555" s="141"/>
      <c r="AF1555" s="145"/>
      <c r="AG1555" s="419"/>
    </row>
    <row r="1556" spans="1:33" s="139" customFormat="1" ht="12.75" customHeight="1" x14ac:dyDescent="0.2">
      <c r="A1556" s="141"/>
      <c r="B1556" s="141"/>
      <c r="C1556" s="141"/>
      <c r="D1556" s="141"/>
      <c r="E1556" s="1014"/>
      <c r="F1556" s="1014"/>
      <c r="G1556" s="1027"/>
      <c r="H1556" s="1027"/>
      <c r="I1556" s="1174"/>
      <c r="J1556" s="1174"/>
      <c r="K1556" s="1174"/>
      <c r="L1556" s="1172"/>
      <c r="M1556" s="1172"/>
      <c r="N1556" s="1175"/>
      <c r="O1556" s="143"/>
      <c r="P1556" s="1196"/>
      <c r="Q1556" s="141"/>
      <c r="R1556" s="141"/>
      <c r="S1556" s="148"/>
      <c r="T1556" s="419"/>
      <c r="U1556" s="559"/>
      <c r="V1556" s="141"/>
      <c r="W1556" s="141"/>
      <c r="X1556" s="141"/>
      <c r="Y1556" s="144"/>
      <c r="Z1556" s="141"/>
      <c r="AA1556" s="141"/>
      <c r="AB1556" s="141"/>
      <c r="AC1556" s="141"/>
      <c r="AD1556" s="141"/>
      <c r="AE1556" s="141"/>
      <c r="AF1556" s="145"/>
      <c r="AG1556" s="419"/>
    </row>
    <row r="1557" spans="1:33" s="139" customFormat="1" ht="12.75" customHeight="1" x14ac:dyDescent="0.2">
      <c r="A1557" s="141"/>
      <c r="B1557" s="141"/>
      <c r="C1557" s="141"/>
      <c r="D1557" s="141"/>
      <c r="E1557" s="1014"/>
      <c r="F1557" s="1014"/>
      <c r="G1557" s="1027"/>
      <c r="H1557" s="1027"/>
      <c r="I1557" s="1174"/>
      <c r="J1557" s="1174"/>
      <c r="K1557" s="1174"/>
      <c r="L1557" s="1172"/>
      <c r="M1557" s="1172"/>
      <c r="N1557" s="1175"/>
      <c r="O1557" s="143"/>
      <c r="P1557" s="1196"/>
      <c r="Q1557" s="141"/>
      <c r="R1557" s="141"/>
      <c r="S1557" s="148"/>
      <c r="T1557" s="419"/>
      <c r="U1557" s="559"/>
      <c r="V1557" s="141"/>
      <c r="W1557" s="141"/>
      <c r="X1557" s="141"/>
      <c r="Y1557" s="144"/>
      <c r="Z1557" s="141"/>
      <c r="AA1557" s="141"/>
      <c r="AB1557" s="141"/>
      <c r="AC1557" s="141"/>
      <c r="AD1557" s="141"/>
      <c r="AE1557" s="141"/>
      <c r="AF1557" s="145"/>
      <c r="AG1557" s="419"/>
    </row>
    <row r="1558" spans="1:33" s="139" customFormat="1" ht="12.75" customHeight="1" x14ac:dyDescent="0.2">
      <c r="A1558" s="141"/>
      <c r="B1558" s="141"/>
      <c r="C1558" s="141"/>
      <c r="D1558" s="141"/>
      <c r="E1558" s="1014"/>
      <c r="F1558" s="1014"/>
      <c r="G1558" s="1027"/>
      <c r="H1558" s="1027"/>
      <c r="I1558" s="1174"/>
      <c r="J1558" s="1174"/>
      <c r="K1558" s="1174"/>
      <c r="L1558" s="1172"/>
      <c r="M1558" s="1172"/>
      <c r="N1558" s="1175"/>
      <c r="O1558" s="143"/>
      <c r="P1558" s="1196"/>
      <c r="Q1558" s="141"/>
      <c r="R1558" s="141"/>
      <c r="S1558" s="148"/>
      <c r="T1558" s="419"/>
      <c r="U1558" s="559"/>
      <c r="V1558" s="141"/>
      <c r="W1558" s="141"/>
      <c r="X1558" s="141"/>
      <c r="Y1558" s="144"/>
      <c r="Z1558" s="141"/>
      <c r="AA1558" s="141"/>
      <c r="AB1558" s="141"/>
      <c r="AC1558" s="141"/>
      <c r="AD1558" s="141"/>
      <c r="AE1558" s="141"/>
      <c r="AF1558" s="145"/>
      <c r="AG1558" s="419"/>
    </row>
    <row r="1559" spans="1:33" s="139" customFormat="1" ht="12.75" customHeight="1" x14ac:dyDescent="0.2">
      <c r="A1559" s="141"/>
      <c r="B1559" s="141"/>
      <c r="C1559" s="141"/>
      <c r="D1559" s="141"/>
      <c r="E1559" s="1014"/>
      <c r="F1559" s="1014"/>
      <c r="G1559" s="1027"/>
      <c r="H1559" s="1027"/>
      <c r="I1559" s="1174"/>
      <c r="J1559" s="1174"/>
      <c r="K1559" s="1174"/>
      <c r="L1559" s="1172"/>
      <c r="M1559" s="1172"/>
      <c r="N1559" s="1175"/>
      <c r="O1559" s="143"/>
      <c r="P1559" s="1196"/>
      <c r="Q1559" s="141"/>
      <c r="R1559" s="141"/>
      <c r="S1559" s="148"/>
      <c r="T1559" s="419"/>
      <c r="U1559" s="559"/>
      <c r="V1559" s="141"/>
      <c r="W1559" s="141"/>
      <c r="X1559" s="141"/>
      <c r="Y1559" s="144"/>
      <c r="Z1559" s="141"/>
      <c r="AA1559" s="141"/>
      <c r="AB1559" s="141"/>
      <c r="AC1559" s="141"/>
      <c r="AD1559" s="141"/>
      <c r="AE1559" s="141"/>
      <c r="AF1559" s="145"/>
      <c r="AG1559" s="419"/>
    </row>
    <row r="1560" spans="1:33" s="139" customFormat="1" ht="12.75" customHeight="1" x14ac:dyDescent="0.2">
      <c r="A1560" s="141"/>
      <c r="B1560" s="141"/>
      <c r="C1560" s="141"/>
      <c r="D1560" s="141"/>
      <c r="E1560" s="1014"/>
      <c r="F1560" s="1014"/>
      <c r="G1560" s="1027"/>
      <c r="H1560" s="1027"/>
      <c r="I1560" s="1174"/>
      <c r="J1560" s="1174"/>
      <c r="K1560" s="1174"/>
      <c r="L1560" s="1172"/>
      <c r="M1560" s="1172"/>
      <c r="N1560" s="1175"/>
      <c r="O1560" s="143"/>
      <c r="P1560" s="1196"/>
      <c r="Q1560" s="141"/>
      <c r="R1560" s="141"/>
      <c r="S1560" s="148"/>
      <c r="T1560" s="419"/>
      <c r="U1560" s="559"/>
      <c r="V1560" s="141"/>
      <c r="W1560" s="141"/>
      <c r="X1560" s="141"/>
      <c r="Y1560" s="144"/>
      <c r="Z1560" s="141"/>
      <c r="AA1560" s="141"/>
      <c r="AB1560" s="141"/>
      <c r="AC1560" s="141"/>
      <c r="AD1560" s="141"/>
      <c r="AE1560" s="141"/>
      <c r="AF1560" s="145"/>
      <c r="AG1560" s="419"/>
    </row>
    <row r="1561" spans="1:33" s="139" customFormat="1" ht="12.75" customHeight="1" x14ac:dyDescent="0.2">
      <c r="A1561" s="141"/>
      <c r="B1561" s="141"/>
      <c r="C1561" s="141"/>
      <c r="D1561" s="141"/>
      <c r="E1561" s="1014"/>
      <c r="F1561" s="1014"/>
      <c r="G1561" s="1027"/>
      <c r="H1561" s="1027"/>
      <c r="I1561" s="1174"/>
      <c r="J1561" s="1174"/>
      <c r="K1561" s="1174"/>
      <c r="L1561" s="1172"/>
      <c r="M1561" s="1172"/>
      <c r="N1561" s="1175"/>
      <c r="O1561" s="143"/>
      <c r="P1561" s="1196"/>
      <c r="Q1561" s="141"/>
      <c r="R1561" s="141"/>
      <c r="S1561" s="148"/>
      <c r="T1561" s="419"/>
      <c r="U1561" s="559"/>
      <c r="V1561" s="141"/>
      <c r="W1561" s="141"/>
      <c r="X1561" s="141"/>
      <c r="Y1561" s="144"/>
      <c r="Z1561" s="141"/>
      <c r="AA1561" s="141"/>
      <c r="AB1561" s="141"/>
      <c r="AC1561" s="141"/>
      <c r="AD1561" s="141"/>
      <c r="AE1561" s="141"/>
      <c r="AF1561" s="145"/>
      <c r="AG1561" s="419"/>
    </row>
    <row r="1562" spans="1:33" s="139" customFormat="1" ht="12.75" customHeight="1" x14ac:dyDescent="0.2">
      <c r="A1562" s="141"/>
      <c r="B1562" s="141"/>
      <c r="C1562" s="141"/>
      <c r="D1562" s="141"/>
      <c r="E1562" s="1014"/>
      <c r="F1562" s="1014"/>
      <c r="G1562" s="1027"/>
      <c r="H1562" s="1027"/>
      <c r="I1562" s="1174"/>
      <c r="J1562" s="1174"/>
      <c r="K1562" s="1174"/>
      <c r="L1562" s="1172"/>
      <c r="M1562" s="1172"/>
      <c r="N1562" s="1175"/>
      <c r="O1562" s="143"/>
      <c r="P1562" s="1196"/>
      <c r="Q1562" s="141"/>
      <c r="R1562" s="141"/>
      <c r="S1562" s="148"/>
      <c r="T1562" s="419"/>
      <c r="U1562" s="559"/>
      <c r="V1562" s="141"/>
      <c r="W1562" s="141"/>
      <c r="X1562" s="141"/>
      <c r="Y1562" s="144"/>
      <c r="Z1562" s="141"/>
      <c r="AA1562" s="141"/>
      <c r="AB1562" s="141"/>
      <c r="AC1562" s="141"/>
      <c r="AD1562" s="141"/>
      <c r="AE1562" s="141"/>
      <c r="AF1562" s="145"/>
      <c r="AG1562" s="419"/>
    </row>
    <row r="1563" spans="1:33" s="139" customFormat="1" ht="12.75" customHeight="1" x14ac:dyDescent="0.2">
      <c r="A1563" s="141"/>
      <c r="B1563" s="141"/>
      <c r="C1563" s="141"/>
      <c r="D1563" s="141"/>
      <c r="E1563" s="1014"/>
      <c r="F1563" s="1014"/>
      <c r="G1563" s="1027"/>
      <c r="H1563" s="1027"/>
      <c r="I1563" s="1174"/>
      <c r="J1563" s="1174"/>
      <c r="K1563" s="1174"/>
      <c r="L1563" s="1172"/>
      <c r="M1563" s="1172"/>
      <c r="N1563" s="1175"/>
      <c r="O1563" s="143"/>
      <c r="P1563" s="1196"/>
      <c r="Q1563" s="141"/>
      <c r="R1563" s="141"/>
      <c r="S1563" s="148"/>
      <c r="T1563" s="419"/>
      <c r="U1563" s="559"/>
      <c r="V1563" s="141"/>
      <c r="W1563" s="141"/>
      <c r="X1563" s="141"/>
      <c r="Y1563" s="144"/>
      <c r="Z1563" s="141"/>
      <c r="AA1563" s="141"/>
      <c r="AB1563" s="141"/>
      <c r="AC1563" s="141"/>
      <c r="AD1563" s="141"/>
      <c r="AE1563" s="141"/>
      <c r="AF1563" s="145"/>
      <c r="AG1563" s="419"/>
    </row>
    <row r="1564" spans="1:33" s="139" customFormat="1" ht="12.75" customHeight="1" x14ac:dyDescent="0.2">
      <c r="A1564" s="141"/>
      <c r="B1564" s="141"/>
      <c r="C1564" s="141"/>
      <c r="D1564" s="141"/>
      <c r="E1564" s="1014"/>
      <c r="F1564" s="1014"/>
      <c r="G1564" s="1027"/>
      <c r="H1564" s="1027"/>
      <c r="I1564" s="1174"/>
      <c r="J1564" s="1174"/>
      <c r="K1564" s="1174"/>
      <c r="L1564" s="1172"/>
      <c r="M1564" s="1172"/>
      <c r="N1564" s="1175"/>
      <c r="O1564" s="143"/>
      <c r="P1564" s="1196"/>
      <c r="Q1564" s="141"/>
      <c r="R1564" s="141"/>
      <c r="S1564" s="148"/>
      <c r="T1564" s="419"/>
      <c r="U1564" s="559"/>
      <c r="V1564" s="141"/>
      <c r="W1564" s="141"/>
      <c r="X1564" s="141"/>
      <c r="Y1564" s="144"/>
      <c r="Z1564" s="141"/>
      <c r="AA1564" s="141"/>
      <c r="AB1564" s="141"/>
      <c r="AC1564" s="141"/>
      <c r="AD1564" s="141"/>
      <c r="AE1564" s="141"/>
      <c r="AF1564" s="145"/>
      <c r="AG1564" s="419"/>
    </row>
    <row r="1565" spans="1:33" s="139" customFormat="1" ht="12.75" customHeight="1" x14ac:dyDescent="0.2">
      <c r="A1565" s="141"/>
      <c r="B1565" s="141"/>
      <c r="C1565" s="141"/>
      <c r="D1565" s="141"/>
      <c r="E1565" s="1014"/>
      <c r="F1565" s="1014"/>
      <c r="G1565" s="1027"/>
      <c r="H1565" s="1027"/>
      <c r="I1565" s="1174"/>
      <c r="J1565" s="1174"/>
      <c r="K1565" s="1174"/>
      <c r="L1565" s="1172"/>
      <c r="M1565" s="1172"/>
      <c r="N1565" s="1175"/>
      <c r="O1565" s="143"/>
      <c r="P1565" s="1196"/>
      <c r="Q1565" s="141"/>
      <c r="R1565" s="141"/>
      <c r="S1565" s="148"/>
      <c r="T1565" s="419"/>
      <c r="U1565" s="559"/>
      <c r="V1565" s="141"/>
      <c r="W1565" s="141"/>
      <c r="X1565" s="141"/>
      <c r="Y1565" s="144"/>
      <c r="Z1565" s="141"/>
      <c r="AA1565" s="141"/>
      <c r="AB1565" s="141"/>
      <c r="AC1565" s="141"/>
      <c r="AD1565" s="141"/>
      <c r="AE1565" s="141"/>
      <c r="AF1565" s="145"/>
      <c r="AG1565" s="419"/>
    </row>
    <row r="1566" spans="1:33" s="139" customFormat="1" ht="12.75" customHeight="1" x14ac:dyDescent="0.2">
      <c r="A1566" s="141"/>
      <c r="B1566" s="141"/>
      <c r="C1566" s="141"/>
      <c r="D1566" s="141"/>
      <c r="E1566" s="1014"/>
      <c r="F1566" s="1014"/>
      <c r="G1566" s="1027"/>
      <c r="H1566" s="1027"/>
      <c r="I1566" s="1174"/>
      <c r="J1566" s="1174"/>
      <c r="K1566" s="1174"/>
      <c r="L1566" s="1172"/>
      <c r="M1566" s="1172"/>
      <c r="N1566" s="1175"/>
      <c r="O1566" s="143"/>
      <c r="P1566" s="1196"/>
      <c r="Q1566" s="141"/>
      <c r="R1566" s="141"/>
      <c r="S1566" s="148"/>
      <c r="T1566" s="419"/>
      <c r="U1566" s="559"/>
      <c r="V1566" s="141"/>
      <c r="W1566" s="141"/>
      <c r="X1566" s="141"/>
      <c r="Y1566" s="144"/>
      <c r="Z1566" s="141"/>
      <c r="AA1566" s="141"/>
      <c r="AB1566" s="141"/>
      <c r="AC1566" s="141"/>
      <c r="AD1566" s="141"/>
      <c r="AE1566" s="141"/>
      <c r="AF1566" s="145"/>
      <c r="AG1566" s="419"/>
    </row>
    <row r="1567" spans="1:33" s="139" customFormat="1" ht="12.75" customHeight="1" x14ac:dyDescent="0.2">
      <c r="A1567" s="141"/>
      <c r="B1567" s="141"/>
      <c r="C1567" s="141"/>
      <c r="D1567" s="141"/>
      <c r="E1567" s="1014"/>
      <c r="F1567" s="1014"/>
      <c r="G1567" s="1027"/>
      <c r="H1567" s="1027"/>
      <c r="I1567" s="1174"/>
      <c r="J1567" s="1174"/>
      <c r="K1567" s="1174"/>
      <c r="L1567" s="1172"/>
      <c r="M1567" s="1172"/>
      <c r="N1567" s="1175"/>
      <c r="O1567" s="143"/>
      <c r="P1567" s="1196"/>
      <c r="Q1567" s="141"/>
      <c r="R1567" s="141"/>
      <c r="S1567" s="148"/>
      <c r="T1567" s="419"/>
      <c r="U1567" s="559"/>
      <c r="V1567" s="141"/>
      <c r="W1567" s="141"/>
      <c r="X1567" s="141"/>
      <c r="Y1567" s="144"/>
      <c r="Z1567" s="141"/>
      <c r="AA1567" s="141"/>
      <c r="AB1567" s="141"/>
      <c r="AC1567" s="141"/>
      <c r="AD1567" s="141"/>
      <c r="AE1567" s="141"/>
      <c r="AF1567" s="145"/>
      <c r="AG1567" s="419"/>
    </row>
    <row r="1568" spans="1:33" s="139" customFormat="1" ht="12.75" customHeight="1" x14ac:dyDescent="0.2">
      <c r="A1568" s="141"/>
      <c r="B1568" s="141"/>
      <c r="C1568" s="141"/>
      <c r="D1568" s="141"/>
      <c r="E1568" s="1014"/>
      <c r="F1568" s="1014"/>
      <c r="G1568" s="1027"/>
      <c r="H1568" s="1027"/>
      <c r="I1568" s="1174"/>
      <c r="J1568" s="1174"/>
      <c r="K1568" s="1174"/>
      <c r="L1568" s="1172"/>
      <c r="M1568" s="1172"/>
      <c r="N1568" s="1175"/>
      <c r="O1568" s="143"/>
      <c r="P1568" s="1196"/>
      <c r="Q1568" s="141"/>
      <c r="R1568" s="141"/>
      <c r="S1568" s="148"/>
      <c r="T1568" s="419"/>
      <c r="U1568" s="559"/>
      <c r="V1568" s="141"/>
      <c r="W1568" s="141"/>
      <c r="X1568" s="141"/>
      <c r="Y1568" s="144"/>
      <c r="Z1568" s="141"/>
      <c r="AA1568" s="141"/>
      <c r="AB1568" s="141"/>
      <c r="AC1568" s="141"/>
      <c r="AD1568" s="141"/>
      <c r="AE1568" s="141"/>
      <c r="AF1568" s="145"/>
      <c r="AG1568" s="419"/>
    </row>
    <row r="1569" spans="1:33" s="139" customFormat="1" ht="12.75" customHeight="1" x14ac:dyDescent="0.2">
      <c r="A1569" s="141"/>
      <c r="B1569" s="141"/>
      <c r="C1569" s="141"/>
      <c r="D1569" s="141"/>
      <c r="E1569" s="1014"/>
      <c r="F1569" s="1014"/>
      <c r="G1569" s="1027"/>
      <c r="H1569" s="1027"/>
      <c r="I1569" s="1174"/>
      <c r="J1569" s="1174"/>
      <c r="K1569" s="1174"/>
      <c r="L1569" s="1172"/>
      <c r="M1569" s="1172"/>
      <c r="N1569" s="1175"/>
      <c r="O1569" s="143"/>
      <c r="P1569" s="1196"/>
      <c r="Q1569" s="141"/>
      <c r="R1569" s="141"/>
      <c r="S1569" s="148"/>
      <c r="T1569" s="419"/>
      <c r="U1569" s="559"/>
      <c r="V1569" s="141"/>
      <c r="W1569" s="141"/>
      <c r="X1569" s="141"/>
      <c r="Y1569" s="144"/>
      <c r="Z1569" s="141"/>
      <c r="AA1569" s="141"/>
      <c r="AB1569" s="141"/>
      <c r="AC1569" s="141"/>
      <c r="AD1569" s="141"/>
      <c r="AE1569" s="141"/>
      <c r="AF1569" s="145"/>
      <c r="AG1569" s="419"/>
    </row>
    <row r="1570" spans="1:33" s="139" customFormat="1" ht="12.75" customHeight="1" x14ac:dyDescent="0.2">
      <c r="A1570" s="141"/>
      <c r="B1570" s="141"/>
      <c r="C1570" s="141"/>
      <c r="D1570" s="141"/>
      <c r="E1570" s="1014"/>
      <c r="F1570" s="1014"/>
      <c r="G1570" s="1027"/>
      <c r="H1570" s="1027"/>
      <c r="I1570" s="1174"/>
      <c r="J1570" s="1174"/>
      <c r="K1570" s="1174"/>
      <c r="L1570" s="1172"/>
      <c r="M1570" s="1172"/>
      <c r="N1570" s="1175"/>
      <c r="O1570" s="143"/>
      <c r="P1570" s="1196"/>
      <c r="Q1570" s="141"/>
      <c r="R1570" s="141"/>
      <c r="S1570" s="148"/>
      <c r="T1570" s="419"/>
      <c r="U1570" s="559"/>
      <c r="V1570" s="141"/>
      <c r="W1570" s="141"/>
      <c r="X1570" s="141"/>
      <c r="Y1570" s="144"/>
      <c r="Z1570" s="141"/>
      <c r="AA1570" s="141"/>
      <c r="AB1570" s="141"/>
      <c r="AC1570" s="141"/>
      <c r="AD1570" s="141"/>
      <c r="AE1570" s="141"/>
      <c r="AF1570" s="145"/>
      <c r="AG1570" s="419"/>
    </row>
    <row r="1571" spans="1:33" s="139" customFormat="1" ht="12.75" customHeight="1" x14ac:dyDescent="0.2">
      <c r="A1571" s="141"/>
      <c r="B1571" s="141"/>
      <c r="C1571" s="141"/>
      <c r="D1571" s="141"/>
      <c r="E1571" s="1014"/>
      <c r="F1571" s="1014"/>
      <c r="G1571" s="1027"/>
      <c r="H1571" s="1027"/>
      <c r="I1571" s="1174"/>
      <c r="J1571" s="1174"/>
      <c r="K1571" s="1174"/>
      <c r="L1571" s="1172"/>
      <c r="M1571" s="1172"/>
      <c r="N1571" s="1175"/>
      <c r="O1571" s="143"/>
      <c r="P1571" s="1196"/>
      <c r="Q1571" s="141"/>
      <c r="R1571" s="141"/>
      <c r="S1571" s="148"/>
      <c r="T1571" s="419"/>
      <c r="U1571" s="559"/>
      <c r="V1571" s="141"/>
      <c r="W1571" s="141"/>
      <c r="X1571" s="141"/>
      <c r="Y1571" s="144"/>
      <c r="Z1571" s="141"/>
      <c r="AA1571" s="141"/>
      <c r="AB1571" s="141"/>
      <c r="AC1571" s="141"/>
      <c r="AD1571" s="141"/>
      <c r="AE1571" s="141"/>
      <c r="AF1571" s="145"/>
      <c r="AG1571" s="419"/>
    </row>
    <row r="1572" spans="1:33" s="139" customFormat="1" ht="12.75" customHeight="1" x14ac:dyDescent="0.2">
      <c r="A1572" s="141"/>
      <c r="B1572" s="141"/>
      <c r="C1572" s="141"/>
      <c r="D1572" s="141"/>
      <c r="E1572" s="1014"/>
      <c r="F1572" s="1014"/>
      <c r="G1572" s="1027"/>
      <c r="H1572" s="1027"/>
      <c r="I1572" s="1174"/>
      <c r="J1572" s="1174"/>
      <c r="K1572" s="1174"/>
      <c r="L1572" s="1172"/>
      <c r="M1572" s="1172"/>
      <c r="N1572" s="1175"/>
      <c r="O1572" s="143"/>
      <c r="P1572" s="1196"/>
      <c r="Q1572" s="141"/>
      <c r="R1572" s="141"/>
      <c r="S1572" s="148"/>
      <c r="T1572" s="419"/>
      <c r="U1572" s="559"/>
      <c r="V1572" s="141"/>
      <c r="W1572" s="141"/>
      <c r="X1572" s="141"/>
      <c r="Y1572" s="144"/>
      <c r="Z1572" s="141"/>
      <c r="AA1572" s="141"/>
      <c r="AB1572" s="141"/>
      <c r="AC1572" s="141"/>
      <c r="AD1572" s="141"/>
      <c r="AE1572" s="141"/>
      <c r="AF1572" s="145"/>
      <c r="AG1572" s="419"/>
    </row>
    <row r="1573" spans="1:33" s="139" customFormat="1" ht="12.75" customHeight="1" x14ac:dyDescent="0.2">
      <c r="A1573" s="141"/>
      <c r="B1573" s="141"/>
      <c r="C1573" s="141"/>
      <c r="D1573" s="141"/>
      <c r="E1573" s="1014"/>
      <c r="F1573" s="1014"/>
      <c r="G1573" s="1027"/>
      <c r="H1573" s="1027"/>
      <c r="I1573" s="1174"/>
      <c r="J1573" s="1174"/>
      <c r="K1573" s="1174"/>
      <c r="L1573" s="1172"/>
      <c r="M1573" s="1172"/>
      <c r="N1573" s="1175"/>
      <c r="O1573" s="143"/>
      <c r="P1573" s="1196"/>
      <c r="Q1573" s="141"/>
      <c r="R1573" s="141"/>
      <c r="S1573" s="148"/>
      <c r="T1573" s="419"/>
      <c r="U1573" s="559"/>
      <c r="V1573" s="141"/>
      <c r="W1573" s="141"/>
      <c r="X1573" s="141"/>
      <c r="Y1573" s="144"/>
      <c r="Z1573" s="141"/>
      <c r="AA1573" s="141"/>
      <c r="AB1573" s="141"/>
      <c r="AC1573" s="141"/>
      <c r="AD1573" s="141"/>
      <c r="AE1573" s="141"/>
      <c r="AF1573" s="145"/>
      <c r="AG1573" s="419"/>
    </row>
    <row r="1574" spans="1:33" s="139" customFormat="1" ht="12.75" customHeight="1" x14ac:dyDescent="0.2">
      <c r="A1574" s="141"/>
      <c r="B1574" s="141"/>
      <c r="C1574" s="141"/>
      <c r="D1574" s="141"/>
      <c r="E1574" s="1014"/>
      <c r="F1574" s="1014"/>
      <c r="G1574" s="1027"/>
      <c r="H1574" s="1027"/>
      <c r="I1574" s="1174"/>
      <c r="J1574" s="1174"/>
      <c r="K1574" s="1174"/>
      <c r="L1574" s="1172"/>
      <c r="M1574" s="1172"/>
      <c r="N1574" s="1175"/>
      <c r="O1574" s="143"/>
      <c r="P1574" s="1196"/>
      <c r="Q1574" s="141"/>
      <c r="R1574" s="141"/>
      <c r="S1574" s="148"/>
      <c r="T1574" s="419"/>
      <c r="U1574" s="559"/>
      <c r="V1574" s="141"/>
      <c r="W1574" s="141"/>
      <c r="X1574" s="141"/>
      <c r="Y1574" s="144"/>
      <c r="Z1574" s="141"/>
      <c r="AA1574" s="141"/>
      <c r="AB1574" s="141"/>
      <c r="AC1574" s="141"/>
      <c r="AD1574" s="141"/>
      <c r="AE1574" s="141"/>
      <c r="AF1574" s="145"/>
      <c r="AG1574" s="419"/>
    </row>
    <row r="1575" spans="1:33" s="139" customFormat="1" ht="12.75" customHeight="1" x14ac:dyDescent="0.2">
      <c r="A1575" s="141"/>
      <c r="B1575" s="141"/>
      <c r="C1575" s="141"/>
      <c r="D1575" s="141"/>
      <c r="E1575" s="1014"/>
      <c r="F1575" s="1014"/>
      <c r="G1575" s="1027"/>
      <c r="H1575" s="1027"/>
      <c r="I1575" s="1174"/>
      <c r="J1575" s="1174"/>
      <c r="K1575" s="1174"/>
      <c r="L1575" s="1172"/>
      <c r="M1575" s="1172"/>
      <c r="N1575" s="1175"/>
      <c r="O1575" s="143"/>
      <c r="P1575" s="1196"/>
      <c r="Q1575" s="141"/>
      <c r="R1575" s="141"/>
      <c r="S1575" s="148"/>
      <c r="T1575" s="419"/>
      <c r="U1575" s="559"/>
      <c r="V1575" s="141"/>
      <c r="W1575" s="141"/>
      <c r="X1575" s="141"/>
      <c r="Y1575" s="144"/>
      <c r="Z1575" s="141"/>
      <c r="AA1575" s="141"/>
      <c r="AB1575" s="141"/>
      <c r="AC1575" s="141"/>
      <c r="AD1575" s="141"/>
      <c r="AE1575" s="141"/>
      <c r="AF1575" s="145"/>
      <c r="AG1575" s="419"/>
    </row>
    <row r="1576" spans="1:33" s="139" customFormat="1" ht="12.75" customHeight="1" x14ac:dyDescent="0.2">
      <c r="A1576" s="141"/>
      <c r="B1576" s="141"/>
      <c r="C1576" s="141"/>
      <c r="D1576" s="141"/>
      <c r="E1576" s="1014"/>
      <c r="F1576" s="1014"/>
      <c r="G1576" s="1027"/>
      <c r="H1576" s="1027"/>
      <c r="I1576" s="1174"/>
      <c r="J1576" s="1174"/>
      <c r="K1576" s="1174"/>
      <c r="L1576" s="1172"/>
      <c r="M1576" s="1172"/>
      <c r="N1576" s="1175"/>
      <c r="O1576" s="143"/>
      <c r="P1576" s="1196"/>
      <c r="Q1576" s="141"/>
      <c r="R1576" s="141"/>
      <c r="S1576" s="148"/>
      <c r="T1576" s="419"/>
      <c r="U1576" s="559"/>
      <c r="V1576" s="141"/>
      <c r="W1576" s="141"/>
      <c r="X1576" s="141"/>
      <c r="Y1576" s="144"/>
      <c r="Z1576" s="141"/>
      <c r="AA1576" s="141"/>
      <c r="AB1576" s="141"/>
      <c r="AC1576" s="141"/>
      <c r="AD1576" s="141"/>
      <c r="AE1576" s="141"/>
      <c r="AF1576" s="145"/>
      <c r="AG1576" s="419"/>
    </row>
    <row r="1577" spans="1:33" s="139" customFormat="1" ht="12.75" customHeight="1" x14ac:dyDescent="0.2">
      <c r="A1577" s="141"/>
      <c r="B1577" s="141"/>
      <c r="C1577" s="141"/>
      <c r="D1577" s="141"/>
      <c r="E1577" s="1014"/>
      <c r="F1577" s="1014"/>
      <c r="G1577" s="1027"/>
      <c r="H1577" s="1027"/>
      <c r="I1577" s="1174"/>
      <c r="J1577" s="1174"/>
      <c r="K1577" s="1174"/>
      <c r="L1577" s="1172"/>
      <c r="M1577" s="1172"/>
      <c r="N1577" s="1175"/>
      <c r="O1577" s="143"/>
      <c r="P1577" s="1196"/>
      <c r="Q1577" s="141"/>
      <c r="R1577" s="141"/>
      <c r="S1577" s="148"/>
      <c r="T1577" s="419"/>
      <c r="U1577" s="559"/>
      <c r="V1577" s="141"/>
      <c r="W1577" s="141"/>
      <c r="X1577" s="141"/>
      <c r="Y1577" s="144"/>
      <c r="Z1577" s="141"/>
      <c r="AA1577" s="141"/>
      <c r="AB1577" s="141"/>
      <c r="AC1577" s="141"/>
      <c r="AD1577" s="141"/>
      <c r="AE1577" s="141"/>
      <c r="AF1577" s="145"/>
      <c r="AG1577" s="419"/>
    </row>
    <row r="1578" spans="1:33" s="139" customFormat="1" ht="12.75" customHeight="1" x14ac:dyDescent="0.2">
      <c r="A1578" s="141"/>
      <c r="B1578" s="141"/>
      <c r="C1578" s="141"/>
      <c r="D1578" s="141"/>
      <c r="E1578" s="1014"/>
      <c r="F1578" s="1014"/>
      <c r="G1578" s="1027"/>
      <c r="H1578" s="1027"/>
      <c r="I1578" s="1174"/>
      <c r="J1578" s="1174"/>
      <c r="K1578" s="1174"/>
      <c r="L1578" s="1172"/>
      <c r="M1578" s="1172"/>
      <c r="N1578" s="1175"/>
      <c r="O1578" s="143"/>
      <c r="P1578" s="1196"/>
      <c r="Q1578" s="141"/>
      <c r="R1578" s="141"/>
      <c r="S1578" s="148"/>
      <c r="T1578" s="419"/>
      <c r="U1578" s="559"/>
      <c r="V1578" s="141"/>
      <c r="W1578" s="141"/>
      <c r="X1578" s="141"/>
      <c r="Y1578" s="144"/>
      <c r="Z1578" s="141"/>
      <c r="AA1578" s="141"/>
      <c r="AB1578" s="141"/>
      <c r="AC1578" s="141"/>
      <c r="AD1578" s="141"/>
      <c r="AE1578" s="141"/>
      <c r="AF1578" s="145"/>
      <c r="AG1578" s="419"/>
    </row>
    <row r="1579" spans="1:33" s="139" customFormat="1" ht="12.75" customHeight="1" x14ac:dyDescent="0.2">
      <c r="A1579" s="141"/>
      <c r="B1579" s="141"/>
      <c r="C1579" s="141"/>
      <c r="D1579" s="141"/>
      <c r="E1579" s="1014"/>
      <c r="F1579" s="1014"/>
      <c r="G1579" s="1027"/>
      <c r="H1579" s="1027"/>
      <c r="I1579" s="1174"/>
      <c r="J1579" s="1174"/>
      <c r="K1579" s="1174"/>
      <c r="L1579" s="1172"/>
      <c r="M1579" s="1172"/>
      <c r="N1579" s="1175"/>
      <c r="O1579" s="143"/>
      <c r="P1579" s="1196"/>
      <c r="Q1579" s="141"/>
      <c r="R1579" s="141"/>
      <c r="S1579" s="148"/>
      <c r="T1579" s="419"/>
      <c r="U1579" s="559"/>
      <c r="V1579" s="141"/>
      <c r="W1579" s="141"/>
      <c r="X1579" s="141"/>
      <c r="Y1579" s="144"/>
      <c r="Z1579" s="141"/>
      <c r="AA1579" s="141"/>
      <c r="AB1579" s="141"/>
      <c r="AC1579" s="141"/>
      <c r="AD1579" s="141"/>
      <c r="AE1579" s="141"/>
      <c r="AF1579" s="145"/>
      <c r="AG1579" s="419"/>
    </row>
    <row r="1580" spans="1:33" s="139" customFormat="1" ht="12.75" customHeight="1" x14ac:dyDescent="0.2">
      <c r="A1580" s="141"/>
      <c r="B1580" s="141"/>
      <c r="C1580" s="141"/>
      <c r="D1580" s="141"/>
      <c r="E1580" s="1014"/>
      <c r="F1580" s="1014"/>
      <c r="G1580" s="1027"/>
      <c r="H1580" s="1027"/>
      <c r="I1580" s="1174"/>
      <c r="J1580" s="1174"/>
      <c r="K1580" s="1174"/>
      <c r="L1580" s="1172"/>
      <c r="M1580" s="1172"/>
      <c r="N1580" s="1175"/>
      <c r="O1580" s="143"/>
      <c r="P1580" s="1196"/>
      <c r="Q1580" s="141"/>
      <c r="R1580" s="141"/>
      <c r="S1580" s="148"/>
      <c r="T1580" s="419"/>
      <c r="U1580" s="559"/>
      <c r="V1580" s="141"/>
      <c r="W1580" s="141"/>
      <c r="X1580" s="141"/>
      <c r="Y1580" s="144"/>
      <c r="Z1580" s="141"/>
      <c r="AA1580" s="141"/>
      <c r="AB1580" s="141"/>
      <c r="AC1580" s="141"/>
      <c r="AD1580" s="141"/>
      <c r="AE1580" s="141"/>
      <c r="AF1580" s="145"/>
      <c r="AG1580" s="419"/>
    </row>
    <row r="1581" spans="1:33" s="139" customFormat="1" ht="12.75" customHeight="1" x14ac:dyDescent="0.2">
      <c r="A1581" s="141"/>
      <c r="B1581" s="141"/>
      <c r="C1581" s="141"/>
      <c r="D1581" s="141"/>
      <c r="E1581" s="1014"/>
      <c r="F1581" s="1014"/>
      <c r="G1581" s="1027"/>
      <c r="H1581" s="1027"/>
      <c r="I1581" s="1174"/>
      <c r="J1581" s="1174"/>
      <c r="K1581" s="1174"/>
      <c r="L1581" s="1172"/>
      <c r="M1581" s="1172"/>
      <c r="N1581" s="1175"/>
      <c r="O1581" s="143"/>
      <c r="P1581" s="1196"/>
      <c r="Q1581" s="141"/>
      <c r="R1581" s="141"/>
      <c r="S1581" s="148"/>
      <c r="T1581" s="419"/>
      <c r="U1581" s="559"/>
      <c r="V1581" s="141"/>
      <c r="W1581" s="141"/>
      <c r="X1581" s="141"/>
      <c r="Y1581" s="144"/>
      <c r="Z1581" s="141"/>
      <c r="AA1581" s="141"/>
      <c r="AB1581" s="141"/>
      <c r="AC1581" s="141"/>
      <c r="AD1581" s="141"/>
      <c r="AE1581" s="141"/>
      <c r="AF1581" s="145"/>
      <c r="AG1581" s="419"/>
    </row>
    <row r="1582" spans="1:33" s="139" customFormat="1" ht="12.75" customHeight="1" x14ac:dyDescent="0.2">
      <c r="A1582" s="141"/>
      <c r="B1582" s="141"/>
      <c r="C1582" s="141"/>
      <c r="D1582" s="141"/>
      <c r="E1582" s="1014"/>
      <c r="F1582" s="1014"/>
      <c r="G1582" s="1027"/>
      <c r="H1582" s="1027"/>
      <c r="I1582" s="1174"/>
      <c r="J1582" s="1174"/>
      <c r="K1582" s="1174"/>
      <c r="L1582" s="1172"/>
      <c r="M1582" s="1172"/>
      <c r="N1582" s="1175"/>
      <c r="O1582" s="143"/>
      <c r="P1582" s="1196"/>
      <c r="Q1582" s="141"/>
      <c r="R1582" s="141"/>
      <c r="S1582" s="148"/>
      <c r="T1582" s="419"/>
      <c r="U1582" s="559"/>
      <c r="V1582" s="141"/>
      <c r="W1582" s="141"/>
      <c r="X1582" s="141"/>
      <c r="Y1582" s="144"/>
      <c r="Z1582" s="141"/>
      <c r="AA1582" s="141"/>
      <c r="AB1582" s="141"/>
      <c r="AC1582" s="141"/>
      <c r="AD1582" s="141"/>
      <c r="AE1582" s="141"/>
      <c r="AF1582" s="145"/>
      <c r="AG1582" s="419"/>
    </row>
    <row r="1583" spans="1:33" s="139" customFormat="1" ht="12.75" customHeight="1" x14ac:dyDescent="0.2">
      <c r="A1583" s="141"/>
      <c r="B1583" s="141"/>
      <c r="C1583" s="141"/>
      <c r="D1583" s="141"/>
      <c r="E1583" s="1014"/>
      <c r="F1583" s="1014"/>
      <c r="G1583" s="1027"/>
      <c r="H1583" s="1027"/>
      <c r="I1583" s="1174"/>
      <c r="J1583" s="1174"/>
      <c r="K1583" s="1174"/>
      <c r="L1583" s="1172"/>
      <c r="M1583" s="1172"/>
      <c r="N1583" s="1175"/>
      <c r="O1583" s="143"/>
      <c r="P1583" s="1196"/>
      <c r="Q1583" s="141"/>
      <c r="R1583" s="141"/>
      <c r="S1583" s="148"/>
      <c r="T1583" s="419"/>
      <c r="U1583" s="559"/>
      <c r="V1583" s="141"/>
      <c r="W1583" s="141"/>
      <c r="X1583" s="141"/>
      <c r="Y1583" s="144"/>
      <c r="Z1583" s="141"/>
      <c r="AA1583" s="141"/>
      <c r="AB1583" s="141"/>
      <c r="AC1583" s="141"/>
      <c r="AD1583" s="141"/>
      <c r="AE1583" s="141"/>
      <c r="AF1583" s="145"/>
      <c r="AG1583" s="419"/>
    </row>
    <row r="1584" spans="1:33" s="139" customFormat="1" ht="12.75" customHeight="1" x14ac:dyDescent="0.2">
      <c r="A1584" s="141"/>
      <c r="B1584" s="141"/>
      <c r="C1584" s="141"/>
      <c r="D1584" s="141"/>
      <c r="E1584" s="1014"/>
      <c r="F1584" s="1014"/>
      <c r="G1584" s="1027"/>
      <c r="H1584" s="1027"/>
      <c r="I1584" s="1174"/>
      <c r="J1584" s="1174"/>
      <c r="K1584" s="1174"/>
      <c r="L1584" s="1172"/>
      <c r="M1584" s="1172"/>
      <c r="N1584" s="1175"/>
      <c r="O1584" s="143"/>
      <c r="P1584" s="1196"/>
      <c r="Q1584" s="141"/>
      <c r="R1584" s="141"/>
      <c r="S1584" s="148"/>
      <c r="T1584" s="419"/>
      <c r="U1584" s="559"/>
      <c r="V1584" s="141"/>
      <c r="W1584" s="141"/>
      <c r="X1584" s="141"/>
      <c r="Y1584" s="144"/>
      <c r="Z1584" s="141"/>
      <c r="AA1584" s="141"/>
      <c r="AB1584" s="141"/>
      <c r="AC1584" s="141"/>
      <c r="AD1584" s="141"/>
      <c r="AE1584" s="141"/>
      <c r="AF1584" s="145"/>
      <c r="AG1584" s="419"/>
    </row>
    <row r="1585" spans="1:33" s="139" customFormat="1" ht="12.75" customHeight="1" x14ac:dyDescent="0.2">
      <c r="A1585" s="141"/>
      <c r="B1585" s="141"/>
      <c r="C1585" s="141"/>
      <c r="D1585" s="141"/>
      <c r="E1585" s="1014"/>
      <c r="F1585" s="1014"/>
      <c r="G1585" s="1027"/>
      <c r="H1585" s="1027"/>
      <c r="I1585" s="1174"/>
      <c r="J1585" s="1174"/>
      <c r="K1585" s="1174"/>
      <c r="L1585" s="1172"/>
      <c r="M1585" s="1172"/>
      <c r="N1585" s="1175"/>
      <c r="O1585" s="143"/>
      <c r="P1585" s="1196"/>
      <c r="Q1585" s="141"/>
      <c r="R1585" s="141"/>
      <c r="S1585" s="148"/>
      <c r="T1585" s="419"/>
      <c r="U1585" s="559"/>
      <c r="V1585" s="141"/>
      <c r="W1585" s="141"/>
      <c r="X1585" s="141"/>
      <c r="Y1585" s="144"/>
      <c r="Z1585" s="141"/>
      <c r="AA1585" s="141"/>
      <c r="AB1585" s="141"/>
      <c r="AC1585" s="141"/>
      <c r="AD1585" s="141"/>
      <c r="AE1585" s="141"/>
      <c r="AF1585" s="145"/>
      <c r="AG1585" s="419"/>
    </row>
    <row r="1586" spans="1:33" s="139" customFormat="1" ht="12.75" customHeight="1" x14ac:dyDescent="0.2">
      <c r="A1586" s="141"/>
      <c r="B1586" s="141"/>
      <c r="C1586" s="141"/>
      <c r="D1586" s="141"/>
      <c r="E1586" s="1014"/>
      <c r="F1586" s="1014"/>
      <c r="G1586" s="1027"/>
      <c r="H1586" s="1027"/>
      <c r="I1586" s="1174"/>
      <c r="J1586" s="1174"/>
      <c r="K1586" s="1174"/>
      <c r="L1586" s="1172"/>
      <c r="M1586" s="1172"/>
      <c r="N1586" s="1175"/>
      <c r="O1586" s="143"/>
      <c r="P1586" s="1196"/>
      <c r="Q1586" s="141"/>
      <c r="R1586" s="141"/>
      <c r="S1586" s="148"/>
      <c r="T1586" s="419"/>
      <c r="U1586" s="559"/>
      <c r="V1586" s="141"/>
      <c r="W1586" s="141"/>
      <c r="X1586" s="141"/>
      <c r="Y1586" s="144"/>
      <c r="Z1586" s="141"/>
      <c r="AA1586" s="141"/>
      <c r="AB1586" s="141"/>
      <c r="AC1586" s="141"/>
      <c r="AD1586" s="141"/>
      <c r="AE1586" s="141"/>
      <c r="AF1586" s="145"/>
      <c r="AG1586" s="419"/>
    </row>
    <row r="1587" spans="1:33" s="139" customFormat="1" ht="12.75" customHeight="1" x14ac:dyDescent="0.2">
      <c r="A1587" s="141"/>
      <c r="B1587" s="141"/>
      <c r="C1587" s="141"/>
      <c r="D1587" s="141"/>
      <c r="E1587" s="1014"/>
      <c r="F1587" s="1014"/>
      <c r="G1587" s="1027"/>
      <c r="H1587" s="1027"/>
      <c r="I1587" s="1174"/>
      <c r="J1587" s="1174"/>
      <c r="K1587" s="1174"/>
      <c r="L1587" s="1172"/>
      <c r="M1587" s="1172"/>
      <c r="N1587" s="1175"/>
      <c r="O1587" s="143"/>
      <c r="P1587" s="1196"/>
      <c r="Q1587" s="141"/>
      <c r="R1587" s="141"/>
      <c r="S1587" s="148"/>
      <c r="T1587" s="419"/>
      <c r="U1587" s="559"/>
      <c r="V1587" s="141"/>
      <c r="W1587" s="141"/>
      <c r="X1587" s="141"/>
      <c r="Y1587" s="144"/>
      <c r="Z1587" s="141"/>
      <c r="AA1587" s="141"/>
      <c r="AB1587" s="141"/>
      <c r="AC1587" s="141"/>
      <c r="AD1587" s="141"/>
      <c r="AE1587" s="141"/>
      <c r="AF1587" s="145"/>
      <c r="AG1587" s="419"/>
    </row>
    <row r="1588" spans="1:33" s="139" customFormat="1" ht="12.75" customHeight="1" x14ac:dyDescent="0.2">
      <c r="A1588" s="141"/>
      <c r="B1588" s="141"/>
      <c r="C1588" s="141"/>
      <c r="D1588" s="141"/>
      <c r="E1588" s="1014"/>
      <c r="F1588" s="1014"/>
      <c r="G1588" s="1027"/>
      <c r="H1588" s="1027"/>
      <c r="I1588" s="1174"/>
      <c r="J1588" s="1174"/>
      <c r="K1588" s="1174"/>
      <c r="L1588" s="1172"/>
      <c r="M1588" s="1172"/>
      <c r="N1588" s="1175"/>
      <c r="O1588" s="143"/>
      <c r="P1588" s="1196"/>
      <c r="Q1588" s="141"/>
      <c r="R1588" s="141"/>
      <c r="S1588" s="148"/>
      <c r="T1588" s="419"/>
      <c r="U1588" s="559"/>
      <c r="V1588" s="141"/>
      <c r="W1588" s="141"/>
      <c r="X1588" s="141"/>
      <c r="Y1588" s="144"/>
      <c r="Z1588" s="141"/>
      <c r="AA1588" s="141"/>
      <c r="AB1588" s="141"/>
      <c r="AC1588" s="141"/>
      <c r="AD1588" s="141"/>
      <c r="AE1588" s="141"/>
      <c r="AF1588" s="145"/>
      <c r="AG1588" s="419"/>
    </row>
    <row r="1589" spans="1:33" s="139" customFormat="1" ht="12.75" customHeight="1" x14ac:dyDescent="0.2">
      <c r="A1589" s="141"/>
      <c r="B1589" s="141"/>
      <c r="C1589" s="141"/>
      <c r="D1589" s="141"/>
      <c r="E1589" s="1014"/>
      <c r="F1589" s="1014"/>
      <c r="G1589" s="1027"/>
      <c r="H1589" s="1027"/>
      <c r="I1589" s="1174"/>
      <c r="J1589" s="1174"/>
      <c r="K1589" s="1174"/>
      <c r="L1589" s="1172"/>
      <c r="M1589" s="1172"/>
      <c r="N1589" s="1175"/>
      <c r="O1589" s="143"/>
      <c r="P1589" s="1196"/>
      <c r="Q1589" s="141"/>
      <c r="R1589" s="141"/>
      <c r="S1589" s="148"/>
      <c r="T1589" s="419"/>
      <c r="U1589" s="559"/>
      <c r="V1589" s="141"/>
      <c r="W1589" s="141"/>
      <c r="X1589" s="141"/>
      <c r="Y1589" s="144"/>
      <c r="Z1589" s="141"/>
      <c r="AA1589" s="141"/>
      <c r="AB1589" s="141"/>
      <c r="AC1589" s="141"/>
      <c r="AD1589" s="141"/>
      <c r="AE1589" s="141"/>
      <c r="AF1589" s="145"/>
      <c r="AG1589" s="419"/>
    </row>
    <row r="1590" spans="1:33" s="139" customFormat="1" ht="12.75" customHeight="1" x14ac:dyDescent="0.2">
      <c r="A1590" s="141"/>
      <c r="B1590" s="141"/>
      <c r="C1590" s="141"/>
      <c r="D1590" s="141"/>
      <c r="E1590" s="1014"/>
      <c r="F1590" s="1014"/>
      <c r="G1590" s="1027"/>
      <c r="H1590" s="1027"/>
      <c r="I1590" s="1174"/>
      <c r="J1590" s="1174"/>
      <c r="K1590" s="1174"/>
      <c r="L1590" s="1172"/>
      <c r="M1590" s="1172"/>
      <c r="N1590" s="1175"/>
      <c r="O1590" s="143"/>
      <c r="P1590" s="1196"/>
      <c r="Q1590" s="141"/>
      <c r="R1590" s="141"/>
      <c r="S1590" s="148"/>
      <c r="T1590" s="419"/>
      <c r="U1590" s="559"/>
      <c r="V1590" s="141"/>
      <c r="W1590" s="141"/>
      <c r="X1590" s="141"/>
      <c r="Y1590" s="144"/>
      <c r="Z1590" s="141"/>
      <c r="AA1590" s="141"/>
      <c r="AB1590" s="141"/>
      <c r="AC1590" s="141"/>
      <c r="AD1590" s="141"/>
      <c r="AE1590" s="141"/>
      <c r="AF1590" s="145"/>
      <c r="AG1590" s="419"/>
    </row>
    <row r="1591" spans="1:33" s="139" customFormat="1" ht="12.75" customHeight="1" x14ac:dyDescent="0.2">
      <c r="A1591" s="141"/>
      <c r="B1591" s="141"/>
      <c r="C1591" s="141"/>
      <c r="D1591" s="141"/>
      <c r="E1591" s="1014"/>
      <c r="F1591" s="1014"/>
      <c r="G1591" s="1027"/>
      <c r="H1591" s="1027"/>
      <c r="I1591" s="1174"/>
      <c r="J1591" s="1174"/>
      <c r="K1591" s="1174"/>
      <c r="L1591" s="1172"/>
      <c r="M1591" s="1172"/>
      <c r="N1591" s="1175"/>
      <c r="O1591" s="143"/>
      <c r="P1591" s="1196"/>
      <c r="Q1591" s="141"/>
      <c r="R1591" s="141"/>
      <c r="S1591" s="148"/>
      <c r="T1591" s="419"/>
      <c r="U1591" s="559"/>
      <c r="V1591" s="141"/>
      <c r="W1591" s="141"/>
      <c r="X1591" s="141"/>
      <c r="Y1591" s="144"/>
      <c r="Z1591" s="141"/>
      <c r="AA1591" s="141"/>
      <c r="AB1591" s="141"/>
      <c r="AC1591" s="141"/>
      <c r="AD1591" s="141"/>
      <c r="AE1591" s="141"/>
      <c r="AF1591" s="145"/>
      <c r="AG1591" s="419"/>
    </row>
    <row r="1592" spans="1:33" s="139" customFormat="1" ht="12.75" customHeight="1" x14ac:dyDescent="0.2">
      <c r="A1592" s="141"/>
      <c r="B1592" s="141"/>
      <c r="C1592" s="141"/>
      <c r="D1592" s="141"/>
      <c r="E1592" s="1014"/>
      <c r="F1592" s="1014"/>
      <c r="G1592" s="1027"/>
      <c r="H1592" s="1027"/>
      <c r="I1592" s="1174"/>
      <c r="J1592" s="1174"/>
      <c r="K1592" s="1174"/>
      <c r="L1592" s="1172"/>
      <c r="M1592" s="1172"/>
      <c r="N1592" s="1175"/>
      <c r="O1592" s="143"/>
      <c r="P1592" s="1196"/>
      <c r="Q1592" s="141"/>
      <c r="R1592" s="141"/>
      <c r="S1592" s="148"/>
      <c r="T1592" s="419"/>
      <c r="U1592" s="559"/>
      <c r="V1592" s="141"/>
      <c r="W1592" s="141"/>
      <c r="X1592" s="141"/>
      <c r="Y1592" s="144"/>
      <c r="Z1592" s="141"/>
      <c r="AA1592" s="141"/>
      <c r="AB1592" s="141"/>
      <c r="AC1592" s="141"/>
      <c r="AD1592" s="141"/>
      <c r="AE1592" s="141"/>
      <c r="AF1592" s="145"/>
      <c r="AG1592" s="419"/>
    </row>
    <row r="1593" spans="1:33" s="139" customFormat="1" ht="12.75" customHeight="1" x14ac:dyDescent="0.2">
      <c r="A1593" s="141"/>
      <c r="B1593" s="141"/>
      <c r="C1593" s="141"/>
      <c r="D1593" s="141"/>
      <c r="E1593" s="1014"/>
      <c r="F1593" s="1014"/>
      <c r="G1593" s="1027"/>
      <c r="H1593" s="1027"/>
      <c r="I1593" s="1174"/>
      <c r="J1593" s="1174"/>
      <c r="K1593" s="1174"/>
      <c r="L1593" s="1172"/>
      <c r="M1593" s="1172"/>
      <c r="N1593" s="1175"/>
      <c r="O1593" s="143"/>
      <c r="P1593" s="1196"/>
      <c r="Q1593" s="141"/>
      <c r="R1593" s="141"/>
      <c r="S1593" s="148"/>
      <c r="T1593" s="419"/>
      <c r="U1593" s="559"/>
      <c r="V1593" s="141"/>
      <c r="W1593" s="141"/>
      <c r="X1593" s="141"/>
      <c r="Y1593" s="144"/>
      <c r="Z1593" s="141"/>
      <c r="AA1593" s="141"/>
      <c r="AB1593" s="141"/>
      <c r="AC1593" s="141"/>
      <c r="AD1593" s="141"/>
      <c r="AE1593" s="141"/>
      <c r="AF1593" s="145"/>
      <c r="AG1593" s="419"/>
    </row>
    <row r="1594" spans="1:33" s="139" customFormat="1" ht="12.75" customHeight="1" x14ac:dyDescent="0.2">
      <c r="A1594" s="141"/>
      <c r="B1594" s="141"/>
      <c r="C1594" s="141"/>
      <c r="D1594" s="141"/>
      <c r="E1594" s="1014"/>
      <c r="F1594" s="1014"/>
      <c r="G1594" s="1027"/>
      <c r="H1594" s="1027"/>
      <c r="I1594" s="1174"/>
      <c r="J1594" s="1174"/>
      <c r="K1594" s="1174"/>
      <c r="L1594" s="1172"/>
      <c r="M1594" s="1172"/>
      <c r="N1594" s="1175"/>
      <c r="O1594" s="143"/>
      <c r="P1594" s="1196"/>
      <c r="Q1594" s="141"/>
      <c r="R1594" s="141"/>
      <c r="S1594" s="148"/>
      <c r="T1594" s="419"/>
      <c r="U1594" s="559"/>
      <c r="V1594" s="141"/>
      <c r="W1594" s="141"/>
      <c r="X1594" s="141"/>
      <c r="Y1594" s="144"/>
      <c r="Z1594" s="141"/>
      <c r="AA1594" s="141"/>
      <c r="AB1594" s="141"/>
      <c r="AC1594" s="141"/>
      <c r="AD1594" s="141"/>
      <c r="AE1594" s="141"/>
      <c r="AF1594" s="145"/>
      <c r="AG1594" s="419"/>
    </row>
    <row r="1595" spans="1:33" s="139" customFormat="1" ht="12.75" customHeight="1" x14ac:dyDescent="0.2">
      <c r="A1595" s="141"/>
      <c r="B1595" s="141"/>
      <c r="C1595" s="141"/>
      <c r="D1595" s="141"/>
      <c r="E1595" s="1014"/>
      <c r="F1595" s="1014"/>
      <c r="G1595" s="1027"/>
      <c r="H1595" s="1027"/>
      <c r="I1595" s="1174"/>
      <c r="J1595" s="1174"/>
      <c r="K1595" s="1174"/>
      <c r="L1595" s="1172"/>
      <c r="M1595" s="1172"/>
      <c r="N1595" s="1175"/>
      <c r="O1595" s="143"/>
      <c r="P1595" s="1196"/>
      <c r="Q1595" s="141"/>
      <c r="R1595" s="141"/>
      <c r="S1595" s="148"/>
      <c r="T1595" s="419"/>
      <c r="U1595" s="559"/>
      <c r="V1595" s="141"/>
      <c r="W1595" s="141"/>
      <c r="X1595" s="141"/>
      <c r="Y1595" s="144"/>
      <c r="Z1595" s="141"/>
      <c r="AA1595" s="141"/>
      <c r="AB1595" s="141"/>
      <c r="AC1595" s="141"/>
      <c r="AD1595" s="141"/>
      <c r="AE1595" s="141"/>
      <c r="AF1595" s="145"/>
      <c r="AG1595" s="419"/>
    </row>
    <row r="1596" spans="1:33" s="139" customFormat="1" ht="12.75" customHeight="1" x14ac:dyDescent="0.2">
      <c r="A1596" s="141"/>
      <c r="B1596" s="141"/>
      <c r="C1596" s="141"/>
      <c r="D1596" s="141"/>
      <c r="E1596" s="1014"/>
      <c r="F1596" s="1014"/>
      <c r="G1596" s="1027"/>
      <c r="H1596" s="1027"/>
      <c r="I1596" s="1174"/>
      <c r="J1596" s="1174"/>
      <c r="K1596" s="1174"/>
      <c r="L1596" s="1172"/>
      <c r="M1596" s="1172"/>
      <c r="N1596" s="1175"/>
      <c r="O1596" s="143"/>
      <c r="P1596" s="1196"/>
      <c r="Q1596" s="141"/>
      <c r="R1596" s="141"/>
      <c r="S1596" s="148"/>
      <c r="T1596" s="419"/>
      <c r="U1596" s="559"/>
      <c r="V1596" s="141"/>
      <c r="W1596" s="141"/>
      <c r="X1596" s="141"/>
      <c r="Y1596" s="144"/>
      <c r="Z1596" s="141"/>
      <c r="AA1596" s="141"/>
      <c r="AB1596" s="141"/>
      <c r="AC1596" s="141"/>
      <c r="AD1596" s="141"/>
      <c r="AE1596" s="141"/>
      <c r="AF1596" s="145"/>
      <c r="AG1596" s="419"/>
    </row>
    <row r="1597" spans="1:33" s="139" customFormat="1" ht="12.75" customHeight="1" x14ac:dyDescent="0.2">
      <c r="A1597" s="141"/>
      <c r="B1597" s="141"/>
      <c r="C1597" s="141"/>
      <c r="D1597" s="141"/>
      <c r="E1597" s="1014"/>
      <c r="F1597" s="1014"/>
      <c r="G1597" s="1027"/>
      <c r="H1597" s="1027"/>
      <c r="I1597" s="1174"/>
      <c r="J1597" s="1174"/>
      <c r="K1597" s="1174"/>
      <c r="L1597" s="1172"/>
      <c r="M1597" s="1172"/>
      <c r="N1597" s="1175"/>
      <c r="O1597" s="143"/>
      <c r="P1597" s="1196"/>
      <c r="Q1597" s="141"/>
      <c r="R1597" s="141"/>
      <c r="S1597" s="148"/>
      <c r="T1597" s="419"/>
      <c r="U1597" s="559"/>
      <c r="V1597" s="141"/>
      <c r="W1597" s="141"/>
      <c r="X1597" s="141"/>
      <c r="Y1597" s="144"/>
      <c r="Z1597" s="141"/>
      <c r="AA1597" s="141"/>
      <c r="AB1597" s="141"/>
      <c r="AC1597" s="141"/>
      <c r="AD1597" s="141"/>
      <c r="AE1597" s="141"/>
      <c r="AF1597" s="145"/>
      <c r="AG1597" s="419"/>
    </row>
    <row r="1598" spans="1:33" s="139" customFormat="1" ht="12.75" customHeight="1" x14ac:dyDescent="0.2">
      <c r="A1598" s="141"/>
      <c r="B1598" s="141"/>
      <c r="C1598" s="141"/>
      <c r="D1598" s="141"/>
      <c r="E1598" s="1014"/>
      <c r="F1598" s="1014"/>
      <c r="G1598" s="1027"/>
      <c r="H1598" s="1027"/>
      <c r="I1598" s="1174"/>
      <c r="J1598" s="1174"/>
      <c r="K1598" s="1174"/>
      <c r="L1598" s="1172"/>
      <c r="M1598" s="1172"/>
      <c r="N1598" s="1175"/>
      <c r="O1598" s="143"/>
      <c r="P1598" s="1196"/>
      <c r="Q1598" s="141"/>
      <c r="R1598" s="141"/>
      <c r="S1598" s="148"/>
      <c r="T1598" s="419"/>
      <c r="U1598" s="559"/>
      <c r="V1598" s="141"/>
      <c r="W1598" s="141"/>
      <c r="X1598" s="141"/>
      <c r="Y1598" s="144"/>
      <c r="Z1598" s="141"/>
      <c r="AA1598" s="141"/>
      <c r="AB1598" s="141"/>
      <c r="AC1598" s="141"/>
      <c r="AD1598" s="141"/>
      <c r="AE1598" s="141"/>
      <c r="AF1598" s="145"/>
      <c r="AG1598" s="419"/>
    </row>
    <row r="1599" spans="1:33" s="139" customFormat="1" ht="12.75" customHeight="1" x14ac:dyDescent="0.2">
      <c r="A1599" s="141"/>
      <c r="B1599" s="141"/>
      <c r="C1599" s="141"/>
      <c r="D1599" s="141"/>
      <c r="E1599" s="1014"/>
      <c r="F1599" s="1014"/>
      <c r="G1599" s="1027"/>
      <c r="H1599" s="1027"/>
      <c r="I1599" s="1174"/>
      <c r="J1599" s="1174"/>
      <c r="K1599" s="1174"/>
      <c r="L1599" s="1172"/>
      <c r="M1599" s="1172"/>
      <c r="N1599" s="1175"/>
      <c r="O1599" s="143"/>
      <c r="P1599" s="1196"/>
      <c r="Q1599" s="141"/>
      <c r="R1599" s="141"/>
      <c r="S1599" s="148"/>
      <c r="T1599" s="419"/>
      <c r="U1599" s="559"/>
      <c r="V1599" s="141"/>
      <c r="W1599" s="141"/>
      <c r="X1599" s="141"/>
      <c r="Y1599" s="144"/>
      <c r="Z1599" s="141"/>
      <c r="AA1599" s="141"/>
      <c r="AB1599" s="141"/>
      <c r="AC1599" s="141"/>
      <c r="AD1599" s="141"/>
      <c r="AE1599" s="141"/>
      <c r="AF1599" s="145"/>
      <c r="AG1599" s="419"/>
    </row>
    <row r="1600" spans="1:33" s="139" customFormat="1" ht="12.75" customHeight="1" x14ac:dyDescent="0.2">
      <c r="A1600" s="141"/>
      <c r="B1600" s="141"/>
      <c r="C1600" s="141"/>
      <c r="D1600" s="141"/>
      <c r="E1600" s="1014"/>
      <c r="F1600" s="1014"/>
      <c r="G1600" s="1027"/>
      <c r="H1600" s="1027"/>
      <c r="I1600" s="1174"/>
      <c r="J1600" s="1174"/>
      <c r="K1600" s="1174"/>
      <c r="L1600" s="1172"/>
      <c r="M1600" s="1172"/>
      <c r="N1600" s="1175"/>
      <c r="O1600" s="143"/>
      <c r="P1600" s="1196"/>
      <c r="Q1600" s="141"/>
      <c r="R1600" s="141"/>
      <c r="S1600" s="148"/>
      <c r="T1600" s="419"/>
      <c r="U1600" s="559"/>
      <c r="V1600" s="141"/>
      <c r="W1600" s="141"/>
      <c r="X1600" s="141"/>
      <c r="Y1600" s="144"/>
      <c r="Z1600" s="141"/>
      <c r="AA1600" s="141"/>
      <c r="AB1600" s="141"/>
      <c r="AC1600" s="141"/>
      <c r="AD1600" s="141"/>
      <c r="AE1600" s="141"/>
      <c r="AF1600" s="145"/>
      <c r="AG1600" s="419"/>
    </row>
    <row r="1601" spans="1:33" s="139" customFormat="1" ht="12.75" customHeight="1" x14ac:dyDescent="0.2">
      <c r="A1601" s="141"/>
      <c r="B1601" s="141"/>
      <c r="C1601" s="141"/>
      <c r="D1601" s="141"/>
      <c r="E1601" s="1014"/>
      <c r="F1601" s="1014"/>
      <c r="G1601" s="1027"/>
      <c r="H1601" s="1027"/>
      <c r="I1601" s="1174"/>
      <c r="J1601" s="1174"/>
      <c r="K1601" s="1174"/>
      <c r="L1601" s="1172"/>
      <c r="M1601" s="1172"/>
      <c r="N1601" s="1175"/>
      <c r="O1601" s="143"/>
      <c r="P1601" s="1196"/>
      <c r="Q1601" s="141"/>
      <c r="R1601" s="141"/>
      <c r="S1601" s="148"/>
      <c r="T1601" s="419"/>
      <c r="U1601" s="559"/>
      <c r="V1601" s="141"/>
      <c r="W1601" s="141"/>
      <c r="X1601" s="141"/>
      <c r="Y1601" s="144"/>
      <c r="Z1601" s="141"/>
      <c r="AA1601" s="141"/>
      <c r="AB1601" s="141"/>
      <c r="AC1601" s="141"/>
      <c r="AD1601" s="141"/>
      <c r="AE1601" s="141"/>
      <c r="AF1601" s="145"/>
      <c r="AG1601" s="419"/>
    </row>
    <row r="1602" spans="1:33" s="139" customFormat="1" ht="12.75" customHeight="1" x14ac:dyDescent="0.2">
      <c r="A1602" s="141"/>
      <c r="B1602" s="141"/>
      <c r="C1602" s="141"/>
      <c r="D1602" s="141"/>
      <c r="E1602" s="1014"/>
      <c r="F1602" s="1014"/>
      <c r="G1602" s="1027"/>
      <c r="H1602" s="1027"/>
      <c r="I1602" s="1174"/>
      <c r="J1602" s="1174"/>
      <c r="K1602" s="1174"/>
      <c r="L1602" s="1172"/>
      <c r="M1602" s="1172"/>
      <c r="N1602" s="1175"/>
      <c r="O1602" s="143"/>
      <c r="P1602" s="1196"/>
      <c r="Q1602" s="141"/>
      <c r="R1602" s="141"/>
      <c r="S1602" s="148"/>
      <c r="T1602" s="419"/>
      <c r="U1602" s="559"/>
      <c r="V1602" s="141"/>
      <c r="W1602" s="141"/>
      <c r="X1602" s="141"/>
      <c r="Y1602" s="144"/>
      <c r="Z1602" s="141"/>
      <c r="AA1602" s="141"/>
      <c r="AB1602" s="141"/>
      <c r="AC1602" s="141"/>
      <c r="AD1602" s="141"/>
      <c r="AE1602" s="141"/>
      <c r="AF1602" s="145"/>
      <c r="AG1602" s="419"/>
    </row>
    <row r="1603" spans="1:33" s="139" customFormat="1" ht="12.75" customHeight="1" x14ac:dyDescent="0.2">
      <c r="A1603" s="141"/>
      <c r="B1603" s="141"/>
      <c r="C1603" s="141"/>
      <c r="D1603" s="141"/>
      <c r="E1603" s="1014"/>
      <c r="F1603" s="1014"/>
      <c r="G1603" s="1027"/>
      <c r="H1603" s="1027"/>
      <c r="I1603" s="1174"/>
      <c r="J1603" s="1174"/>
      <c r="K1603" s="1174"/>
      <c r="L1603" s="1172"/>
      <c r="M1603" s="1172"/>
      <c r="N1603" s="1175"/>
      <c r="O1603" s="143"/>
      <c r="P1603" s="1196"/>
      <c r="Q1603" s="141"/>
      <c r="R1603" s="141"/>
      <c r="S1603" s="148"/>
      <c r="T1603" s="419"/>
      <c r="U1603" s="559"/>
      <c r="V1603" s="141"/>
      <c r="W1603" s="141"/>
      <c r="X1603" s="141"/>
      <c r="Y1603" s="144"/>
      <c r="Z1603" s="141"/>
      <c r="AA1603" s="141"/>
      <c r="AB1603" s="141"/>
      <c r="AC1603" s="141"/>
      <c r="AD1603" s="141"/>
      <c r="AE1603" s="141"/>
      <c r="AF1603" s="145"/>
      <c r="AG1603" s="419"/>
    </row>
    <row r="1604" spans="1:33" s="139" customFormat="1" ht="12.75" customHeight="1" x14ac:dyDescent="0.2">
      <c r="A1604" s="141"/>
      <c r="B1604" s="141"/>
      <c r="C1604" s="141"/>
      <c r="D1604" s="141"/>
      <c r="E1604" s="1014"/>
      <c r="F1604" s="1014"/>
      <c r="G1604" s="1027"/>
      <c r="H1604" s="1027"/>
      <c r="I1604" s="1174"/>
      <c r="J1604" s="1174"/>
      <c r="K1604" s="1174"/>
      <c r="L1604" s="1172"/>
      <c r="M1604" s="1172"/>
      <c r="N1604" s="1175"/>
      <c r="O1604" s="143"/>
      <c r="P1604" s="1196"/>
      <c r="Q1604" s="141"/>
      <c r="R1604" s="141"/>
      <c r="S1604" s="148"/>
      <c r="T1604" s="419"/>
      <c r="U1604" s="559"/>
      <c r="V1604" s="141"/>
      <c r="W1604" s="141"/>
      <c r="X1604" s="141"/>
      <c r="Y1604" s="144"/>
      <c r="Z1604" s="141"/>
      <c r="AA1604" s="141"/>
      <c r="AB1604" s="141"/>
      <c r="AC1604" s="141"/>
      <c r="AD1604" s="141"/>
      <c r="AE1604" s="141"/>
      <c r="AF1604" s="145"/>
      <c r="AG1604" s="419"/>
    </row>
    <row r="1605" spans="1:33" s="139" customFormat="1" ht="12.75" customHeight="1" x14ac:dyDescent="0.2">
      <c r="A1605" s="141"/>
      <c r="B1605" s="141"/>
      <c r="C1605" s="141"/>
      <c r="D1605" s="141"/>
      <c r="E1605" s="1014"/>
      <c r="F1605" s="1014"/>
      <c r="G1605" s="1027"/>
      <c r="H1605" s="1027"/>
      <c r="I1605" s="1174"/>
      <c r="J1605" s="1174"/>
      <c r="K1605" s="1174"/>
      <c r="L1605" s="1172"/>
      <c r="M1605" s="1172"/>
      <c r="N1605" s="1175"/>
      <c r="O1605" s="143"/>
      <c r="P1605" s="1196"/>
      <c r="Q1605" s="141"/>
      <c r="R1605" s="141"/>
      <c r="S1605" s="148"/>
      <c r="T1605" s="419"/>
      <c r="U1605" s="559"/>
      <c r="V1605" s="141"/>
      <c r="W1605" s="141"/>
      <c r="X1605" s="141"/>
      <c r="Y1605" s="144"/>
      <c r="Z1605" s="141"/>
      <c r="AA1605" s="141"/>
      <c r="AB1605" s="141"/>
      <c r="AC1605" s="141"/>
      <c r="AD1605" s="141"/>
      <c r="AE1605" s="141"/>
      <c r="AF1605" s="145"/>
      <c r="AG1605" s="419"/>
    </row>
    <row r="1606" spans="1:33" s="139" customFormat="1" ht="12.75" customHeight="1" x14ac:dyDescent="0.2">
      <c r="A1606" s="141"/>
      <c r="B1606" s="141"/>
      <c r="C1606" s="141"/>
      <c r="D1606" s="141"/>
      <c r="E1606" s="1014"/>
      <c r="F1606" s="1014"/>
      <c r="G1606" s="1027"/>
      <c r="H1606" s="1027"/>
      <c r="I1606" s="1174"/>
      <c r="J1606" s="1174"/>
      <c r="K1606" s="1174"/>
      <c r="L1606" s="1172"/>
      <c r="M1606" s="1172"/>
      <c r="N1606" s="1175"/>
      <c r="O1606" s="143"/>
      <c r="P1606" s="1196"/>
      <c r="Q1606" s="141"/>
      <c r="R1606" s="141"/>
      <c r="S1606" s="148"/>
      <c r="T1606" s="419"/>
      <c r="U1606" s="559"/>
      <c r="V1606" s="141"/>
      <c r="W1606" s="141"/>
      <c r="X1606" s="141"/>
      <c r="Y1606" s="144"/>
      <c r="Z1606" s="141"/>
      <c r="AA1606" s="141"/>
      <c r="AB1606" s="141"/>
      <c r="AC1606" s="141"/>
      <c r="AD1606" s="141"/>
      <c r="AE1606" s="141"/>
      <c r="AF1606" s="145"/>
      <c r="AG1606" s="419"/>
    </row>
    <row r="1607" spans="1:33" s="139" customFormat="1" ht="12.75" customHeight="1" x14ac:dyDescent="0.2">
      <c r="A1607" s="141"/>
      <c r="B1607" s="141"/>
      <c r="C1607" s="141"/>
      <c r="D1607" s="141"/>
      <c r="E1607" s="1014"/>
      <c r="F1607" s="1014"/>
      <c r="G1607" s="1027"/>
      <c r="H1607" s="1027"/>
      <c r="I1607" s="1174"/>
      <c r="J1607" s="1174"/>
      <c r="K1607" s="1174"/>
      <c r="L1607" s="1172"/>
      <c r="M1607" s="1172"/>
      <c r="N1607" s="1175"/>
      <c r="O1607" s="143"/>
      <c r="P1607" s="1196"/>
      <c r="Q1607" s="141"/>
      <c r="R1607" s="141"/>
      <c r="S1607" s="148"/>
      <c r="T1607" s="419"/>
      <c r="U1607" s="559"/>
      <c r="V1607" s="141"/>
      <c r="W1607" s="141"/>
      <c r="X1607" s="141"/>
      <c r="Y1607" s="144"/>
      <c r="Z1607" s="141"/>
      <c r="AA1607" s="141"/>
      <c r="AB1607" s="141"/>
      <c r="AC1607" s="141"/>
      <c r="AD1607" s="141"/>
      <c r="AE1607" s="141"/>
      <c r="AF1607" s="145"/>
      <c r="AG1607" s="419"/>
    </row>
    <row r="1608" spans="1:33" s="139" customFormat="1" ht="12.75" customHeight="1" x14ac:dyDescent="0.2">
      <c r="A1608" s="141"/>
      <c r="B1608" s="141"/>
      <c r="C1608" s="141"/>
      <c r="D1608" s="141"/>
      <c r="E1608" s="1014"/>
      <c r="F1608" s="1014"/>
      <c r="G1608" s="1027"/>
      <c r="H1608" s="1027"/>
      <c r="I1608" s="1174"/>
      <c r="J1608" s="1174"/>
      <c r="K1608" s="1174"/>
      <c r="L1608" s="1172"/>
      <c r="M1608" s="1172"/>
      <c r="N1608" s="1175"/>
      <c r="O1608" s="143"/>
      <c r="P1608" s="1196"/>
      <c r="Q1608" s="141"/>
      <c r="R1608" s="141"/>
      <c r="S1608" s="148"/>
      <c r="T1608" s="419"/>
      <c r="U1608" s="559"/>
      <c r="V1608" s="141"/>
      <c r="W1608" s="141"/>
      <c r="X1608" s="141"/>
      <c r="Y1608" s="144"/>
      <c r="Z1608" s="141"/>
      <c r="AA1608" s="141"/>
      <c r="AB1608" s="141"/>
      <c r="AC1608" s="141"/>
      <c r="AD1608" s="141"/>
      <c r="AE1608" s="141"/>
      <c r="AF1608" s="145"/>
      <c r="AG1608" s="419"/>
    </row>
    <row r="1609" spans="1:33" s="139" customFormat="1" ht="12.75" customHeight="1" x14ac:dyDescent="0.2">
      <c r="A1609" s="141"/>
      <c r="B1609" s="141"/>
      <c r="C1609" s="141"/>
      <c r="D1609" s="141"/>
      <c r="E1609" s="1014"/>
      <c r="F1609" s="1014"/>
      <c r="G1609" s="1027"/>
      <c r="H1609" s="1027"/>
      <c r="I1609" s="1174"/>
      <c r="J1609" s="1174"/>
      <c r="K1609" s="1174"/>
      <c r="L1609" s="1172"/>
      <c r="M1609" s="1172"/>
      <c r="N1609" s="1175"/>
      <c r="O1609" s="143"/>
      <c r="P1609" s="1196"/>
      <c r="Q1609" s="141"/>
      <c r="R1609" s="141"/>
      <c r="S1609" s="148"/>
      <c r="T1609" s="419"/>
      <c r="U1609" s="559"/>
      <c r="V1609" s="141"/>
      <c r="W1609" s="141"/>
      <c r="X1609" s="141"/>
      <c r="Y1609" s="144"/>
      <c r="Z1609" s="141"/>
      <c r="AA1609" s="141"/>
      <c r="AB1609" s="141"/>
      <c r="AC1609" s="141"/>
      <c r="AD1609" s="141"/>
      <c r="AE1609" s="141"/>
      <c r="AF1609" s="145"/>
      <c r="AG1609" s="419"/>
    </row>
    <row r="1610" spans="1:33" s="139" customFormat="1" ht="12.75" customHeight="1" x14ac:dyDescent="0.2">
      <c r="A1610" s="141"/>
      <c r="B1610" s="141"/>
      <c r="C1610" s="141"/>
      <c r="D1610" s="141"/>
      <c r="E1610" s="1014"/>
      <c r="F1610" s="1014"/>
      <c r="G1610" s="1027"/>
      <c r="H1610" s="1027"/>
      <c r="I1610" s="1174"/>
      <c r="J1610" s="1174"/>
      <c r="K1610" s="1174"/>
      <c r="L1610" s="1172"/>
      <c r="M1610" s="1172"/>
      <c r="N1610" s="1175"/>
      <c r="O1610" s="143"/>
      <c r="P1610" s="1196"/>
      <c r="Q1610" s="141"/>
      <c r="R1610" s="141"/>
      <c r="S1610" s="148"/>
      <c r="T1610" s="419"/>
      <c r="U1610" s="559"/>
      <c r="V1610" s="141"/>
      <c r="W1610" s="141"/>
      <c r="X1610" s="141"/>
      <c r="Y1610" s="144"/>
      <c r="Z1610" s="141"/>
      <c r="AA1610" s="141"/>
      <c r="AB1610" s="141"/>
      <c r="AC1610" s="141"/>
      <c r="AD1610" s="141"/>
      <c r="AE1610" s="141"/>
      <c r="AF1610" s="145"/>
      <c r="AG1610" s="419"/>
    </row>
    <row r="1611" spans="1:33" s="139" customFormat="1" ht="12.75" customHeight="1" x14ac:dyDescent="0.2">
      <c r="A1611" s="141"/>
      <c r="B1611" s="141"/>
      <c r="C1611" s="141"/>
      <c r="D1611" s="141"/>
      <c r="E1611" s="1014"/>
      <c r="F1611" s="1014"/>
      <c r="G1611" s="1027"/>
      <c r="H1611" s="1027"/>
      <c r="I1611" s="1174"/>
      <c r="J1611" s="1174"/>
      <c r="K1611" s="1174"/>
      <c r="L1611" s="1172"/>
      <c r="M1611" s="1172"/>
      <c r="N1611" s="1175"/>
      <c r="O1611" s="143"/>
      <c r="P1611" s="1196"/>
      <c r="Q1611" s="141"/>
      <c r="R1611" s="141"/>
      <c r="S1611" s="148"/>
      <c r="T1611" s="419"/>
      <c r="U1611" s="559"/>
      <c r="V1611" s="141"/>
      <c r="W1611" s="141"/>
      <c r="X1611" s="141"/>
      <c r="Y1611" s="144"/>
      <c r="Z1611" s="141"/>
      <c r="AA1611" s="141"/>
      <c r="AB1611" s="141"/>
      <c r="AC1611" s="141"/>
      <c r="AD1611" s="141"/>
      <c r="AE1611" s="141"/>
      <c r="AF1611" s="145"/>
      <c r="AG1611" s="419"/>
    </row>
    <row r="1612" spans="1:33" s="139" customFormat="1" ht="12.75" customHeight="1" x14ac:dyDescent="0.2">
      <c r="A1612" s="141"/>
      <c r="B1612" s="141"/>
      <c r="C1612" s="141"/>
      <c r="D1612" s="141"/>
      <c r="E1612" s="1014"/>
      <c r="F1612" s="1014"/>
      <c r="G1612" s="1027"/>
      <c r="H1612" s="1027"/>
      <c r="I1612" s="1174"/>
      <c r="J1612" s="1174"/>
      <c r="K1612" s="1174"/>
      <c r="L1612" s="1172"/>
      <c r="M1612" s="1172"/>
      <c r="N1612" s="1175"/>
      <c r="O1612" s="143"/>
      <c r="P1612" s="1196"/>
      <c r="Q1612" s="141"/>
      <c r="R1612" s="141"/>
      <c r="S1612" s="148"/>
      <c r="T1612" s="419"/>
      <c r="U1612" s="559"/>
      <c r="V1612" s="141"/>
      <c r="W1612" s="141"/>
      <c r="X1612" s="141"/>
      <c r="Y1612" s="144"/>
      <c r="Z1612" s="141"/>
      <c r="AA1612" s="141"/>
      <c r="AB1612" s="141"/>
      <c r="AC1612" s="141"/>
      <c r="AD1612" s="141"/>
      <c r="AE1612" s="141"/>
      <c r="AF1612" s="145"/>
      <c r="AG1612" s="419"/>
    </row>
    <row r="1613" spans="1:33" s="139" customFormat="1" ht="12.75" customHeight="1" x14ac:dyDescent="0.2">
      <c r="A1613" s="141"/>
      <c r="B1613" s="141"/>
      <c r="C1613" s="141"/>
      <c r="D1613" s="141"/>
      <c r="E1613" s="1014"/>
      <c r="F1613" s="1014"/>
      <c r="G1613" s="1027"/>
      <c r="H1613" s="1027"/>
      <c r="I1613" s="1174"/>
      <c r="J1613" s="1174"/>
      <c r="K1613" s="1174"/>
      <c r="L1613" s="1172"/>
      <c r="M1613" s="1172"/>
      <c r="N1613" s="1175"/>
      <c r="O1613" s="143"/>
      <c r="P1613" s="1196"/>
      <c r="Q1613" s="141"/>
      <c r="R1613" s="141"/>
      <c r="S1613" s="148"/>
      <c r="T1613" s="419"/>
      <c r="U1613" s="559"/>
      <c r="V1613" s="141"/>
      <c r="W1613" s="141"/>
      <c r="X1613" s="141"/>
      <c r="Y1613" s="144"/>
      <c r="Z1613" s="141"/>
      <c r="AA1613" s="141"/>
      <c r="AB1613" s="141"/>
      <c r="AC1613" s="141"/>
      <c r="AD1613" s="141"/>
      <c r="AE1613" s="141"/>
      <c r="AF1613" s="145"/>
      <c r="AG1613" s="419"/>
    </row>
    <row r="1614" spans="1:33" s="139" customFormat="1" ht="12.75" customHeight="1" x14ac:dyDescent="0.2">
      <c r="A1614" s="141"/>
      <c r="B1614" s="141"/>
      <c r="C1614" s="141"/>
      <c r="D1614" s="141"/>
      <c r="E1614" s="1014"/>
      <c r="F1614" s="1014"/>
      <c r="G1614" s="1027"/>
      <c r="H1614" s="1027"/>
      <c r="I1614" s="1174"/>
      <c r="J1614" s="1174"/>
      <c r="K1614" s="1174"/>
      <c r="L1614" s="1172"/>
      <c r="M1614" s="1172"/>
      <c r="N1614" s="1175"/>
      <c r="O1614" s="143"/>
      <c r="P1614" s="1196"/>
      <c r="Q1614" s="141"/>
      <c r="R1614" s="141"/>
      <c r="S1614" s="148"/>
      <c r="T1614" s="419"/>
      <c r="U1614" s="559"/>
      <c r="V1614" s="141"/>
      <c r="W1614" s="141"/>
      <c r="X1614" s="141"/>
      <c r="Y1614" s="144"/>
      <c r="Z1614" s="141"/>
      <c r="AA1614" s="141"/>
      <c r="AB1614" s="141"/>
      <c r="AC1614" s="141"/>
      <c r="AD1614" s="141"/>
      <c r="AE1614" s="141"/>
      <c r="AF1614" s="145"/>
      <c r="AG1614" s="419"/>
    </row>
    <row r="1615" spans="1:33" s="139" customFormat="1" ht="12.75" customHeight="1" x14ac:dyDescent="0.2">
      <c r="A1615" s="141"/>
      <c r="B1615" s="141"/>
      <c r="C1615" s="141"/>
      <c r="D1615" s="141"/>
      <c r="E1615" s="1014"/>
      <c r="F1615" s="1014"/>
      <c r="G1615" s="1027"/>
      <c r="H1615" s="1027"/>
      <c r="I1615" s="1174"/>
      <c r="J1615" s="1174"/>
      <c r="K1615" s="1174"/>
      <c r="L1615" s="1172"/>
      <c r="M1615" s="1172"/>
      <c r="N1615" s="1175"/>
      <c r="O1615" s="143"/>
      <c r="P1615" s="1196"/>
      <c r="Q1615" s="141"/>
      <c r="R1615" s="141"/>
      <c r="S1615" s="148"/>
      <c r="T1615" s="419"/>
      <c r="U1615" s="559"/>
      <c r="V1615" s="141"/>
      <c r="W1615" s="141"/>
      <c r="X1615" s="141"/>
      <c r="Y1615" s="144"/>
      <c r="Z1615" s="141"/>
      <c r="AA1615" s="141"/>
      <c r="AB1615" s="141"/>
      <c r="AC1615" s="141"/>
      <c r="AD1615" s="141"/>
      <c r="AE1615" s="141"/>
      <c r="AF1615" s="145"/>
      <c r="AG1615" s="419"/>
    </row>
    <row r="1616" spans="1:33" s="139" customFormat="1" ht="12.75" customHeight="1" x14ac:dyDescent="0.2">
      <c r="A1616" s="141"/>
      <c r="B1616" s="141"/>
      <c r="C1616" s="141"/>
      <c r="D1616" s="141"/>
      <c r="E1616" s="1014"/>
      <c r="F1616" s="1014"/>
      <c r="G1616" s="1027"/>
      <c r="H1616" s="1027"/>
      <c r="I1616" s="1174"/>
      <c r="J1616" s="1174"/>
      <c r="K1616" s="1174"/>
      <c r="L1616" s="1172"/>
      <c r="M1616" s="1172"/>
      <c r="N1616" s="1175"/>
      <c r="O1616" s="143"/>
      <c r="P1616" s="1196"/>
      <c r="Q1616" s="141"/>
      <c r="R1616" s="141"/>
      <c r="S1616" s="148"/>
      <c r="T1616" s="419"/>
      <c r="U1616" s="559"/>
      <c r="V1616" s="141"/>
      <c r="W1616" s="141"/>
      <c r="X1616" s="141"/>
      <c r="Y1616" s="144"/>
      <c r="Z1616" s="141"/>
      <c r="AA1616" s="141"/>
      <c r="AB1616" s="141"/>
      <c r="AC1616" s="141"/>
      <c r="AD1616" s="141"/>
      <c r="AE1616" s="141"/>
      <c r="AF1616" s="145"/>
      <c r="AG1616" s="419"/>
    </row>
    <row r="1617" spans="1:33" s="139" customFormat="1" ht="12.75" customHeight="1" x14ac:dyDescent="0.2">
      <c r="A1617" s="141"/>
      <c r="B1617" s="141"/>
      <c r="C1617" s="141"/>
      <c r="D1617" s="141"/>
      <c r="E1617" s="1014"/>
      <c r="F1617" s="1014"/>
      <c r="G1617" s="1027"/>
      <c r="H1617" s="1027"/>
      <c r="I1617" s="1174"/>
      <c r="J1617" s="1174"/>
      <c r="K1617" s="1174"/>
      <c r="L1617" s="1172"/>
      <c r="M1617" s="1172"/>
      <c r="N1617" s="1175"/>
      <c r="O1617" s="143"/>
      <c r="P1617" s="1196"/>
      <c r="Q1617" s="141"/>
      <c r="R1617" s="141"/>
      <c r="S1617" s="148"/>
      <c r="T1617" s="419"/>
      <c r="U1617" s="559"/>
      <c r="V1617" s="141"/>
      <c r="W1617" s="141"/>
      <c r="X1617" s="141"/>
      <c r="Y1617" s="144"/>
      <c r="Z1617" s="141"/>
      <c r="AA1617" s="141"/>
      <c r="AB1617" s="141"/>
      <c r="AC1617" s="141"/>
      <c r="AD1617" s="141"/>
      <c r="AE1617" s="141"/>
      <c r="AF1617" s="145"/>
      <c r="AG1617" s="419"/>
    </row>
    <row r="1618" spans="1:33" s="139" customFormat="1" ht="12.75" customHeight="1" x14ac:dyDescent="0.2">
      <c r="A1618" s="141"/>
      <c r="B1618" s="141"/>
      <c r="C1618" s="141"/>
      <c r="D1618" s="141"/>
      <c r="E1618" s="1014"/>
      <c r="F1618" s="1014"/>
      <c r="G1618" s="1027"/>
      <c r="H1618" s="1027"/>
      <c r="I1618" s="1174"/>
      <c r="J1618" s="1174"/>
      <c r="K1618" s="1174"/>
      <c r="L1618" s="1172"/>
      <c r="M1618" s="1172"/>
      <c r="N1618" s="1175"/>
      <c r="O1618" s="143"/>
      <c r="P1618" s="1196"/>
      <c r="Q1618" s="141"/>
      <c r="R1618" s="141"/>
      <c r="S1618" s="148"/>
      <c r="T1618" s="419"/>
      <c r="U1618" s="559"/>
      <c r="V1618" s="141"/>
      <c r="W1618" s="141"/>
      <c r="X1618" s="141"/>
      <c r="Y1618" s="144"/>
      <c r="Z1618" s="141"/>
      <c r="AA1618" s="141"/>
      <c r="AB1618" s="141"/>
      <c r="AC1618" s="141"/>
      <c r="AD1618" s="141"/>
      <c r="AE1618" s="141"/>
      <c r="AF1618" s="145"/>
      <c r="AG1618" s="419"/>
    </row>
    <row r="1619" spans="1:33" s="139" customFormat="1" ht="12.75" customHeight="1" x14ac:dyDescent="0.2">
      <c r="A1619" s="141"/>
      <c r="B1619" s="141"/>
      <c r="C1619" s="141"/>
      <c r="D1619" s="141"/>
      <c r="E1619" s="1014"/>
      <c r="F1619" s="1014"/>
      <c r="G1619" s="1027"/>
      <c r="H1619" s="1027"/>
      <c r="I1619" s="1174"/>
      <c r="J1619" s="1174"/>
      <c r="K1619" s="1174"/>
      <c r="L1619" s="1172"/>
      <c r="M1619" s="1172"/>
      <c r="N1619" s="1175"/>
      <c r="O1619" s="143"/>
      <c r="P1619" s="1196"/>
      <c r="Q1619" s="141"/>
      <c r="R1619" s="141"/>
      <c r="S1619" s="148"/>
      <c r="T1619" s="419"/>
      <c r="U1619" s="559"/>
      <c r="V1619" s="141"/>
      <c r="W1619" s="141"/>
      <c r="X1619" s="141"/>
      <c r="Y1619" s="144"/>
      <c r="Z1619" s="141"/>
      <c r="AA1619" s="141"/>
      <c r="AB1619" s="141"/>
      <c r="AC1619" s="141"/>
      <c r="AD1619" s="141"/>
      <c r="AE1619" s="141"/>
      <c r="AF1619" s="145"/>
      <c r="AG1619" s="419"/>
    </row>
    <row r="1620" spans="1:33" s="139" customFormat="1" ht="12.75" customHeight="1" x14ac:dyDescent="0.2">
      <c r="A1620" s="141"/>
      <c r="B1620" s="141"/>
      <c r="C1620" s="141"/>
      <c r="D1620" s="141"/>
      <c r="E1620" s="1014"/>
      <c r="F1620" s="1014"/>
      <c r="G1620" s="1027"/>
      <c r="H1620" s="1027"/>
      <c r="I1620" s="1174"/>
      <c r="J1620" s="1174"/>
      <c r="K1620" s="1174"/>
      <c r="L1620" s="1172"/>
      <c r="M1620" s="1172"/>
      <c r="N1620" s="1175"/>
      <c r="O1620" s="143"/>
      <c r="P1620" s="1196"/>
      <c r="Q1620" s="141"/>
      <c r="R1620" s="141"/>
      <c r="S1620" s="148"/>
      <c r="T1620" s="419"/>
      <c r="U1620" s="559"/>
      <c r="V1620" s="141"/>
      <c r="W1620" s="141"/>
      <c r="X1620" s="141"/>
      <c r="Y1620" s="144"/>
      <c r="Z1620" s="141"/>
      <c r="AA1620" s="141"/>
      <c r="AB1620" s="141"/>
      <c r="AC1620" s="141"/>
      <c r="AD1620" s="141"/>
      <c r="AE1620" s="141"/>
      <c r="AF1620" s="145"/>
      <c r="AG1620" s="419"/>
    </row>
    <row r="1621" spans="1:33" s="139" customFormat="1" ht="12.75" customHeight="1" x14ac:dyDescent="0.2">
      <c r="A1621" s="141"/>
      <c r="B1621" s="141"/>
      <c r="C1621" s="141"/>
      <c r="D1621" s="141"/>
      <c r="E1621" s="1014"/>
      <c r="F1621" s="1014"/>
      <c r="G1621" s="1027"/>
      <c r="H1621" s="1027"/>
      <c r="I1621" s="1174"/>
      <c r="J1621" s="1174"/>
      <c r="K1621" s="1174"/>
      <c r="L1621" s="1172"/>
      <c r="M1621" s="1172"/>
      <c r="N1621" s="1175"/>
      <c r="O1621" s="143"/>
      <c r="P1621" s="1196"/>
      <c r="Q1621" s="141"/>
      <c r="R1621" s="141"/>
      <c r="S1621" s="148"/>
      <c r="T1621" s="419"/>
      <c r="U1621" s="559"/>
      <c r="V1621" s="141"/>
      <c r="W1621" s="141"/>
      <c r="X1621" s="141"/>
      <c r="Y1621" s="144"/>
      <c r="Z1621" s="141"/>
      <c r="AA1621" s="141"/>
      <c r="AB1621" s="141"/>
      <c r="AC1621" s="141"/>
      <c r="AD1621" s="141"/>
      <c r="AE1621" s="141"/>
      <c r="AF1621" s="145"/>
      <c r="AG1621" s="419"/>
    </row>
    <row r="1622" spans="1:33" s="139" customFormat="1" ht="12.75" customHeight="1" x14ac:dyDescent="0.2">
      <c r="A1622" s="141"/>
      <c r="B1622" s="141"/>
      <c r="C1622" s="141"/>
      <c r="D1622" s="141"/>
      <c r="E1622" s="1014"/>
      <c r="F1622" s="1014"/>
      <c r="G1622" s="1027"/>
      <c r="H1622" s="1027"/>
      <c r="I1622" s="1174"/>
      <c r="J1622" s="1174"/>
      <c r="K1622" s="1174"/>
      <c r="L1622" s="1172"/>
      <c r="M1622" s="1172"/>
      <c r="N1622" s="1175"/>
      <c r="O1622" s="143"/>
      <c r="P1622" s="1196"/>
      <c r="Q1622" s="141"/>
      <c r="R1622" s="141"/>
      <c r="S1622" s="148"/>
      <c r="T1622" s="419"/>
      <c r="U1622" s="559"/>
      <c r="V1622" s="141"/>
      <c r="W1622" s="141"/>
      <c r="X1622" s="141"/>
      <c r="Y1622" s="144"/>
      <c r="Z1622" s="141"/>
      <c r="AA1622" s="141"/>
      <c r="AB1622" s="141"/>
      <c r="AC1622" s="141"/>
      <c r="AD1622" s="141"/>
      <c r="AE1622" s="141"/>
      <c r="AF1622" s="145"/>
      <c r="AG1622" s="419"/>
    </row>
    <row r="1623" spans="1:33" s="139" customFormat="1" ht="12.75" customHeight="1" x14ac:dyDescent="0.2">
      <c r="A1623" s="141"/>
      <c r="B1623" s="141"/>
      <c r="C1623" s="141"/>
      <c r="D1623" s="141"/>
      <c r="E1623" s="1014"/>
      <c r="F1623" s="1014"/>
      <c r="G1623" s="1027"/>
      <c r="H1623" s="1027"/>
      <c r="I1623" s="1174"/>
      <c r="J1623" s="1174"/>
      <c r="K1623" s="1174"/>
      <c r="L1623" s="1172"/>
      <c r="M1623" s="1172"/>
      <c r="N1623" s="1175"/>
      <c r="O1623" s="143"/>
      <c r="P1623" s="1196"/>
      <c r="Q1623" s="141"/>
      <c r="R1623" s="141"/>
      <c r="S1623" s="148"/>
      <c r="T1623" s="419"/>
      <c r="U1623" s="559"/>
      <c r="V1623" s="141"/>
      <c r="W1623" s="141"/>
      <c r="X1623" s="141"/>
      <c r="Y1623" s="144"/>
      <c r="Z1623" s="141"/>
      <c r="AA1623" s="141"/>
      <c r="AB1623" s="141"/>
      <c r="AC1623" s="141"/>
      <c r="AD1623" s="141"/>
      <c r="AE1623" s="141"/>
      <c r="AF1623" s="145"/>
      <c r="AG1623" s="419"/>
    </row>
    <row r="1624" spans="1:33" s="139" customFormat="1" ht="12.75" customHeight="1" x14ac:dyDescent="0.2">
      <c r="A1624" s="141"/>
      <c r="B1624" s="141"/>
      <c r="C1624" s="141"/>
      <c r="D1624" s="141"/>
      <c r="E1624" s="1014"/>
      <c r="F1624" s="1014"/>
      <c r="G1624" s="1027"/>
      <c r="H1624" s="1027"/>
      <c r="I1624" s="1174"/>
      <c r="J1624" s="1174"/>
      <c r="K1624" s="1174"/>
      <c r="L1624" s="1172"/>
      <c r="M1624" s="1172"/>
      <c r="N1624" s="1175"/>
      <c r="O1624" s="143"/>
      <c r="P1624" s="1196"/>
      <c r="Q1624" s="141"/>
      <c r="R1624" s="141"/>
      <c r="S1624" s="148"/>
      <c r="T1624" s="419"/>
      <c r="U1624" s="559"/>
      <c r="V1624" s="141"/>
      <c r="W1624" s="141"/>
      <c r="X1624" s="141"/>
      <c r="Y1624" s="144"/>
      <c r="Z1624" s="141"/>
      <c r="AA1624" s="141"/>
      <c r="AB1624" s="141"/>
      <c r="AC1624" s="141"/>
      <c r="AD1624" s="141"/>
      <c r="AE1624" s="141"/>
      <c r="AF1624" s="145"/>
      <c r="AG1624" s="419"/>
    </row>
    <row r="1625" spans="1:33" s="139" customFormat="1" ht="12.75" customHeight="1" x14ac:dyDescent="0.2">
      <c r="A1625" s="141"/>
      <c r="B1625" s="141"/>
      <c r="C1625" s="141"/>
      <c r="D1625" s="141"/>
      <c r="E1625" s="1014"/>
      <c r="F1625" s="1014"/>
      <c r="G1625" s="1027"/>
      <c r="H1625" s="1027"/>
      <c r="I1625" s="1174"/>
      <c r="J1625" s="1174"/>
      <c r="K1625" s="1174"/>
      <c r="L1625" s="1172"/>
      <c r="M1625" s="1172"/>
      <c r="N1625" s="1175"/>
      <c r="O1625" s="143"/>
      <c r="P1625" s="1196"/>
      <c r="Q1625" s="141"/>
      <c r="R1625" s="141"/>
      <c r="S1625" s="148"/>
      <c r="T1625" s="419"/>
      <c r="U1625" s="559"/>
      <c r="V1625" s="141"/>
      <c r="W1625" s="141"/>
      <c r="X1625" s="141"/>
      <c r="Y1625" s="144"/>
      <c r="Z1625" s="141"/>
      <c r="AA1625" s="141"/>
      <c r="AB1625" s="141"/>
      <c r="AC1625" s="141"/>
      <c r="AD1625" s="141"/>
      <c r="AE1625" s="141"/>
      <c r="AF1625" s="145"/>
      <c r="AG1625" s="419"/>
    </row>
    <row r="1626" spans="1:33" s="139" customFormat="1" ht="12.75" customHeight="1" x14ac:dyDescent="0.2">
      <c r="A1626" s="141"/>
      <c r="B1626" s="141"/>
      <c r="C1626" s="141"/>
      <c r="D1626" s="141"/>
      <c r="E1626" s="1014"/>
      <c r="F1626" s="1014"/>
      <c r="G1626" s="1027"/>
      <c r="H1626" s="1027"/>
      <c r="I1626" s="1174"/>
      <c r="J1626" s="1174"/>
      <c r="K1626" s="1174"/>
      <c r="L1626" s="1172"/>
      <c r="M1626" s="1172"/>
      <c r="N1626" s="1175"/>
      <c r="O1626" s="143"/>
      <c r="P1626" s="1196"/>
      <c r="Q1626" s="141"/>
      <c r="R1626" s="141"/>
      <c r="S1626" s="148"/>
      <c r="T1626" s="419"/>
      <c r="U1626" s="559"/>
      <c r="V1626" s="141"/>
      <c r="W1626" s="141"/>
      <c r="X1626" s="141"/>
      <c r="Y1626" s="144"/>
      <c r="Z1626" s="141"/>
      <c r="AA1626" s="141"/>
      <c r="AB1626" s="141"/>
      <c r="AC1626" s="141"/>
      <c r="AD1626" s="141"/>
      <c r="AE1626" s="141"/>
      <c r="AF1626" s="145"/>
      <c r="AG1626" s="419"/>
    </row>
    <row r="1627" spans="1:33" s="139" customFormat="1" ht="12.75" customHeight="1" x14ac:dyDescent="0.2">
      <c r="A1627" s="141"/>
      <c r="B1627" s="141"/>
      <c r="C1627" s="141"/>
      <c r="D1627" s="141"/>
      <c r="E1627" s="1014"/>
      <c r="F1627" s="1014"/>
      <c r="G1627" s="1027"/>
      <c r="H1627" s="1027"/>
      <c r="I1627" s="1174"/>
      <c r="J1627" s="1174"/>
      <c r="K1627" s="1174"/>
      <c r="L1627" s="1172"/>
      <c r="M1627" s="1172"/>
      <c r="N1627" s="1175"/>
      <c r="O1627" s="143"/>
      <c r="P1627" s="1196"/>
      <c r="Q1627" s="141"/>
      <c r="R1627" s="141"/>
      <c r="S1627" s="148"/>
      <c r="T1627" s="419"/>
      <c r="U1627" s="559"/>
      <c r="V1627" s="141"/>
      <c r="W1627" s="141"/>
      <c r="X1627" s="141"/>
      <c r="Y1627" s="144"/>
      <c r="Z1627" s="141"/>
      <c r="AA1627" s="141"/>
      <c r="AB1627" s="141"/>
      <c r="AC1627" s="141"/>
      <c r="AD1627" s="141"/>
      <c r="AE1627" s="141"/>
      <c r="AF1627" s="145"/>
      <c r="AG1627" s="419"/>
    </row>
    <row r="1628" spans="1:33" s="139" customFormat="1" ht="12.75" customHeight="1" x14ac:dyDescent="0.2">
      <c r="A1628" s="141"/>
      <c r="B1628" s="141"/>
      <c r="C1628" s="141"/>
      <c r="D1628" s="141"/>
      <c r="E1628" s="1014"/>
      <c r="F1628" s="1014"/>
      <c r="G1628" s="1027"/>
      <c r="H1628" s="1027"/>
      <c r="I1628" s="1174"/>
      <c r="J1628" s="1174"/>
      <c r="K1628" s="1174"/>
      <c r="L1628" s="1172"/>
      <c r="M1628" s="1172"/>
      <c r="N1628" s="1175"/>
      <c r="O1628" s="143"/>
      <c r="P1628" s="1196"/>
      <c r="Q1628" s="141"/>
      <c r="R1628" s="141"/>
      <c r="S1628" s="148"/>
      <c r="T1628" s="419"/>
      <c r="U1628" s="559"/>
      <c r="V1628" s="141"/>
      <c r="W1628" s="141"/>
      <c r="X1628" s="141"/>
      <c r="Y1628" s="144"/>
      <c r="Z1628" s="141"/>
      <c r="AA1628" s="141"/>
      <c r="AB1628" s="141"/>
      <c r="AC1628" s="141"/>
      <c r="AD1628" s="141"/>
      <c r="AE1628" s="141"/>
      <c r="AF1628" s="145"/>
      <c r="AG1628" s="419"/>
    </row>
    <row r="1629" spans="1:33" s="139" customFormat="1" ht="12.75" customHeight="1" x14ac:dyDescent="0.2">
      <c r="A1629" s="141"/>
      <c r="B1629" s="141"/>
      <c r="C1629" s="141"/>
      <c r="D1629" s="141"/>
      <c r="E1629" s="1014"/>
      <c r="F1629" s="1014"/>
      <c r="G1629" s="1027"/>
      <c r="H1629" s="1027"/>
      <c r="I1629" s="1174"/>
      <c r="J1629" s="1174"/>
      <c r="K1629" s="1174"/>
      <c r="L1629" s="1172"/>
      <c r="M1629" s="1172"/>
      <c r="N1629" s="1175"/>
      <c r="O1629" s="143"/>
      <c r="P1629" s="1196"/>
      <c r="Q1629" s="141"/>
      <c r="R1629" s="141"/>
      <c r="S1629" s="148"/>
      <c r="T1629" s="419"/>
      <c r="U1629" s="559"/>
      <c r="V1629" s="141"/>
      <c r="W1629" s="141"/>
      <c r="X1629" s="141"/>
      <c r="Y1629" s="144"/>
      <c r="Z1629" s="141"/>
      <c r="AA1629" s="141"/>
      <c r="AB1629" s="141"/>
      <c r="AC1629" s="141"/>
      <c r="AD1629" s="141"/>
      <c r="AE1629" s="141"/>
      <c r="AF1629" s="145"/>
      <c r="AG1629" s="419"/>
    </row>
    <row r="1630" spans="1:33" s="139" customFormat="1" ht="12.75" customHeight="1" x14ac:dyDescent="0.2">
      <c r="A1630" s="141"/>
      <c r="B1630" s="141"/>
      <c r="C1630" s="141"/>
      <c r="D1630" s="141"/>
      <c r="E1630" s="1014"/>
      <c r="F1630" s="1014"/>
      <c r="G1630" s="1027"/>
      <c r="H1630" s="1027"/>
      <c r="I1630" s="1174"/>
      <c r="J1630" s="1174"/>
      <c r="K1630" s="1174"/>
      <c r="L1630" s="1172"/>
      <c r="M1630" s="1172"/>
      <c r="N1630" s="1175"/>
      <c r="O1630" s="143"/>
      <c r="P1630" s="1196"/>
      <c r="Q1630" s="141"/>
      <c r="R1630" s="141"/>
      <c r="S1630" s="148"/>
      <c r="T1630" s="419"/>
      <c r="U1630" s="559"/>
      <c r="V1630" s="141"/>
      <c r="W1630" s="141"/>
      <c r="X1630" s="141"/>
      <c r="Y1630" s="144"/>
      <c r="Z1630" s="141"/>
      <c r="AA1630" s="141"/>
      <c r="AB1630" s="141"/>
      <c r="AC1630" s="141"/>
      <c r="AD1630" s="141"/>
      <c r="AE1630" s="141"/>
      <c r="AF1630" s="145"/>
      <c r="AG1630" s="419"/>
    </row>
    <row r="1631" spans="1:33" s="139" customFormat="1" ht="12.75" customHeight="1" x14ac:dyDescent="0.2">
      <c r="A1631" s="141"/>
      <c r="B1631" s="141"/>
      <c r="C1631" s="141"/>
      <c r="D1631" s="141"/>
      <c r="E1631" s="1014"/>
      <c r="F1631" s="1014"/>
      <c r="G1631" s="1027"/>
      <c r="H1631" s="1027"/>
      <c r="I1631" s="1174"/>
      <c r="J1631" s="1174"/>
      <c r="K1631" s="1174"/>
      <c r="L1631" s="1172"/>
      <c r="M1631" s="1172"/>
      <c r="N1631" s="1175"/>
      <c r="O1631" s="143"/>
      <c r="P1631" s="1196"/>
      <c r="Q1631" s="141"/>
      <c r="R1631" s="141"/>
      <c r="S1631" s="148"/>
      <c r="T1631" s="419"/>
      <c r="U1631" s="559"/>
      <c r="V1631" s="141"/>
      <c r="W1631" s="141"/>
      <c r="X1631" s="141"/>
      <c r="Y1631" s="144"/>
      <c r="Z1631" s="141"/>
      <c r="AA1631" s="141"/>
      <c r="AB1631" s="141"/>
      <c r="AC1631" s="141"/>
      <c r="AD1631" s="141"/>
      <c r="AE1631" s="141"/>
      <c r="AF1631" s="145"/>
      <c r="AG1631" s="419"/>
    </row>
    <row r="1632" spans="1:33" s="139" customFormat="1" ht="12.75" customHeight="1" x14ac:dyDescent="0.2">
      <c r="A1632" s="141"/>
      <c r="B1632" s="141"/>
      <c r="C1632" s="141"/>
      <c r="D1632" s="141"/>
      <c r="E1632" s="1014"/>
      <c r="F1632" s="1014"/>
      <c r="G1632" s="1027"/>
      <c r="H1632" s="1027"/>
      <c r="I1632" s="1174"/>
      <c r="J1632" s="1174"/>
      <c r="K1632" s="1174"/>
      <c r="L1632" s="1172"/>
      <c r="M1632" s="1172"/>
      <c r="N1632" s="1175"/>
      <c r="O1632" s="143"/>
      <c r="P1632" s="1196"/>
      <c r="Q1632" s="141"/>
      <c r="R1632" s="141"/>
      <c r="S1632" s="148"/>
      <c r="T1632" s="419"/>
      <c r="U1632" s="559"/>
      <c r="V1632" s="141"/>
      <c r="W1632" s="141"/>
      <c r="X1632" s="141"/>
      <c r="Y1632" s="144"/>
      <c r="Z1632" s="141"/>
      <c r="AA1632" s="141"/>
      <c r="AB1632" s="141"/>
      <c r="AC1632" s="141"/>
      <c r="AD1632" s="141"/>
      <c r="AE1632" s="141"/>
      <c r="AF1632" s="145"/>
      <c r="AG1632" s="419"/>
    </row>
    <row r="1633" spans="1:33" s="139" customFormat="1" ht="12.75" customHeight="1" x14ac:dyDescent="0.2">
      <c r="A1633" s="141"/>
      <c r="B1633" s="141"/>
      <c r="C1633" s="141"/>
      <c r="D1633" s="141"/>
      <c r="E1633" s="1014"/>
      <c r="F1633" s="1014"/>
      <c r="G1633" s="1027"/>
      <c r="H1633" s="1027"/>
      <c r="I1633" s="1174"/>
      <c r="J1633" s="1174"/>
      <c r="K1633" s="1174"/>
      <c r="L1633" s="1172"/>
      <c r="M1633" s="1172"/>
      <c r="N1633" s="1175"/>
      <c r="O1633" s="143"/>
      <c r="P1633" s="1196"/>
      <c r="Q1633" s="141"/>
      <c r="R1633" s="141"/>
      <c r="S1633" s="148"/>
      <c r="T1633" s="419"/>
      <c r="U1633" s="559"/>
      <c r="V1633" s="141"/>
      <c r="W1633" s="141"/>
      <c r="X1633" s="141"/>
      <c r="Y1633" s="144"/>
      <c r="Z1633" s="141"/>
      <c r="AA1633" s="141"/>
      <c r="AB1633" s="141"/>
      <c r="AC1633" s="141"/>
      <c r="AD1633" s="141"/>
      <c r="AE1633" s="141"/>
      <c r="AF1633" s="145"/>
      <c r="AG1633" s="419"/>
    </row>
    <row r="1634" spans="1:33" s="139" customFormat="1" ht="12.75" customHeight="1" x14ac:dyDescent="0.2">
      <c r="A1634" s="141"/>
      <c r="B1634" s="141"/>
      <c r="C1634" s="141"/>
      <c r="D1634" s="141"/>
      <c r="E1634" s="1014"/>
      <c r="F1634" s="1014"/>
      <c r="G1634" s="1027"/>
      <c r="H1634" s="1027"/>
      <c r="I1634" s="1174"/>
      <c r="J1634" s="1174"/>
      <c r="K1634" s="1174"/>
      <c r="L1634" s="1172"/>
      <c r="M1634" s="1172"/>
      <c r="N1634" s="1175"/>
      <c r="O1634" s="143"/>
      <c r="P1634" s="1196"/>
      <c r="Q1634" s="141"/>
      <c r="R1634" s="141"/>
      <c r="S1634" s="148"/>
      <c r="T1634" s="419"/>
      <c r="U1634" s="559"/>
      <c r="V1634" s="141"/>
      <c r="W1634" s="141"/>
      <c r="X1634" s="141"/>
      <c r="Y1634" s="144"/>
      <c r="Z1634" s="141"/>
      <c r="AA1634" s="141"/>
      <c r="AB1634" s="141"/>
      <c r="AC1634" s="141"/>
      <c r="AD1634" s="141"/>
      <c r="AE1634" s="141"/>
      <c r="AF1634" s="145"/>
      <c r="AG1634" s="419"/>
    </row>
    <row r="1635" spans="1:33" s="139" customFormat="1" ht="12.75" customHeight="1" x14ac:dyDescent="0.2">
      <c r="A1635" s="141"/>
      <c r="B1635" s="141"/>
      <c r="C1635" s="141"/>
      <c r="D1635" s="141"/>
      <c r="E1635" s="1014"/>
      <c r="F1635" s="1014"/>
      <c r="G1635" s="1027"/>
      <c r="H1635" s="1027"/>
      <c r="I1635" s="1174"/>
      <c r="J1635" s="1174"/>
      <c r="K1635" s="1174"/>
      <c r="L1635" s="1172"/>
      <c r="M1635" s="1172"/>
      <c r="N1635" s="1175"/>
      <c r="O1635" s="143"/>
      <c r="P1635" s="1196"/>
      <c r="Q1635" s="141"/>
      <c r="R1635" s="141"/>
      <c r="S1635" s="148"/>
      <c r="T1635" s="419"/>
      <c r="U1635" s="559"/>
      <c r="V1635" s="141"/>
      <c r="W1635" s="141"/>
      <c r="X1635" s="141"/>
      <c r="Y1635" s="144"/>
      <c r="Z1635" s="141"/>
      <c r="AA1635" s="141"/>
      <c r="AB1635" s="141"/>
      <c r="AC1635" s="141"/>
      <c r="AD1635" s="141"/>
      <c r="AE1635" s="141"/>
      <c r="AF1635" s="145"/>
      <c r="AG1635" s="419"/>
    </row>
    <row r="1636" spans="1:33" s="139" customFormat="1" ht="12.75" customHeight="1" x14ac:dyDescent="0.2">
      <c r="A1636" s="141"/>
      <c r="B1636" s="141"/>
      <c r="C1636" s="141"/>
      <c r="D1636" s="141"/>
      <c r="E1636" s="1014"/>
      <c r="F1636" s="1014"/>
      <c r="G1636" s="1027"/>
      <c r="H1636" s="1027"/>
      <c r="I1636" s="1174"/>
      <c r="J1636" s="1174"/>
      <c r="K1636" s="1174"/>
      <c r="L1636" s="1172"/>
      <c r="M1636" s="1172"/>
      <c r="N1636" s="1175"/>
      <c r="O1636" s="143"/>
      <c r="P1636" s="1196"/>
      <c r="Q1636" s="141"/>
      <c r="R1636" s="141"/>
      <c r="S1636" s="148"/>
      <c r="T1636" s="419"/>
      <c r="U1636" s="559"/>
      <c r="V1636" s="141"/>
      <c r="W1636" s="141"/>
      <c r="X1636" s="141"/>
      <c r="Y1636" s="144"/>
      <c r="Z1636" s="141"/>
      <c r="AA1636" s="141"/>
      <c r="AB1636" s="141"/>
      <c r="AC1636" s="141"/>
      <c r="AD1636" s="141"/>
      <c r="AE1636" s="141"/>
      <c r="AF1636" s="145"/>
      <c r="AG1636" s="419"/>
    </row>
    <row r="1637" spans="1:33" s="139" customFormat="1" ht="12.75" customHeight="1" x14ac:dyDescent="0.2">
      <c r="A1637" s="141"/>
      <c r="B1637" s="141"/>
      <c r="C1637" s="141"/>
      <c r="D1637" s="141"/>
      <c r="E1637" s="1014"/>
      <c r="F1637" s="1014"/>
      <c r="G1637" s="1027"/>
      <c r="H1637" s="1027"/>
      <c r="I1637" s="1174"/>
      <c r="J1637" s="1174"/>
      <c r="K1637" s="1174"/>
      <c r="L1637" s="1172"/>
      <c r="M1637" s="1172"/>
      <c r="N1637" s="1175"/>
      <c r="O1637" s="143"/>
      <c r="P1637" s="1196"/>
      <c r="Q1637" s="141"/>
      <c r="R1637" s="141"/>
      <c r="S1637" s="148"/>
      <c r="T1637" s="419"/>
      <c r="U1637" s="559"/>
      <c r="V1637" s="141"/>
      <c r="W1637" s="141"/>
      <c r="X1637" s="141"/>
      <c r="Y1637" s="144"/>
      <c r="Z1637" s="141"/>
      <c r="AA1637" s="141"/>
      <c r="AB1637" s="141"/>
      <c r="AC1637" s="141"/>
      <c r="AD1637" s="141"/>
      <c r="AE1637" s="141"/>
      <c r="AF1637" s="145"/>
      <c r="AG1637" s="419"/>
    </row>
    <row r="1638" spans="1:33" s="139" customFormat="1" ht="12.75" customHeight="1" x14ac:dyDescent="0.2">
      <c r="A1638" s="141"/>
      <c r="B1638" s="141"/>
      <c r="C1638" s="141"/>
      <c r="D1638" s="141"/>
      <c r="E1638" s="1014"/>
      <c r="F1638" s="1014"/>
      <c r="G1638" s="1027"/>
      <c r="H1638" s="1027"/>
      <c r="I1638" s="1174"/>
      <c r="J1638" s="1174"/>
      <c r="K1638" s="1174"/>
      <c r="L1638" s="1172"/>
      <c r="M1638" s="1172"/>
      <c r="N1638" s="1175"/>
      <c r="O1638" s="143"/>
      <c r="P1638" s="1196"/>
      <c r="Q1638" s="141"/>
      <c r="R1638" s="141"/>
      <c r="S1638" s="148"/>
      <c r="T1638" s="419"/>
      <c r="U1638" s="559"/>
      <c r="V1638" s="141"/>
      <c r="W1638" s="141"/>
      <c r="X1638" s="141"/>
      <c r="Y1638" s="144"/>
      <c r="Z1638" s="141"/>
      <c r="AA1638" s="141"/>
      <c r="AB1638" s="141"/>
      <c r="AC1638" s="141"/>
      <c r="AD1638" s="141"/>
      <c r="AE1638" s="141"/>
      <c r="AF1638" s="145"/>
      <c r="AG1638" s="419"/>
    </row>
    <row r="1639" spans="1:33" s="139" customFormat="1" ht="12.75" customHeight="1" x14ac:dyDescent="0.2">
      <c r="A1639" s="141"/>
      <c r="B1639" s="141"/>
      <c r="C1639" s="141"/>
      <c r="D1639" s="141"/>
      <c r="E1639" s="1014"/>
      <c r="F1639" s="1014"/>
      <c r="G1639" s="1027"/>
      <c r="H1639" s="1027"/>
      <c r="I1639" s="1174"/>
      <c r="J1639" s="1174"/>
      <c r="K1639" s="1174"/>
      <c r="L1639" s="1172"/>
      <c r="M1639" s="1172"/>
      <c r="N1639" s="1175"/>
      <c r="O1639" s="143"/>
      <c r="P1639" s="1196"/>
      <c r="Q1639" s="141"/>
      <c r="R1639" s="141"/>
      <c r="S1639" s="148"/>
      <c r="T1639" s="419"/>
      <c r="U1639" s="559"/>
      <c r="V1639" s="141"/>
      <c r="W1639" s="141"/>
      <c r="X1639" s="141"/>
      <c r="Y1639" s="144"/>
      <c r="Z1639" s="141"/>
      <c r="AA1639" s="141"/>
      <c r="AB1639" s="141"/>
      <c r="AC1639" s="141"/>
      <c r="AD1639" s="141"/>
      <c r="AE1639" s="141"/>
      <c r="AF1639" s="145"/>
      <c r="AG1639" s="419"/>
    </row>
    <row r="1640" spans="1:33" s="139" customFormat="1" ht="12.75" customHeight="1" x14ac:dyDescent="0.2">
      <c r="A1640" s="141"/>
      <c r="B1640" s="141"/>
      <c r="C1640" s="141"/>
      <c r="D1640" s="141"/>
      <c r="E1640" s="1014"/>
      <c r="F1640" s="1014"/>
      <c r="G1640" s="1027"/>
      <c r="H1640" s="1027"/>
      <c r="I1640" s="1174"/>
      <c r="J1640" s="1174"/>
      <c r="K1640" s="1174"/>
      <c r="L1640" s="1172"/>
      <c r="M1640" s="1172"/>
      <c r="N1640" s="1175"/>
      <c r="O1640" s="143"/>
      <c r="P1640" s="1196"/>
      <c r="Q1640" s="141"/>
      <c r="R1640" s="141"/>
      <c r="S1640" s="148"/>
      <c r="T1640" s="419"/>
      <c r="U1640" s="559"/>
      <c r="V1640" s="141"/>
      <c r="W1640" s="141"/>
      <c r="X1640" s="141"/>
      <c r="Y1640" s="144"/>
      <c r="Z1640" s="141"/>
      <c r="AA1640" s="141"/>
      <c r="AB1640" s="141"/>
      <c r="AC1640" s="141"/>
      <c r="AD1640" s="141"/>
      <c r="AE1640" s="141"/>
      <c r="AF1640" s="145"/>
      <c r="AG1640" s="419"/>
    </row>
    <row r="1641" spans="1:33" s="139" customFormat="1" ht="12.75" customHeight="1" x14ac:dyDescent="0.2">
      <c r="A1641" s="141"/>
      <c r="B1641" s="141"/>
      <c r="C1641" s="141"/>
      <c r="D1641" s="141"/>
      <c r="E1641" s="1014"/>
      <c r="F1641" s="1014"/>
      <c r="G1641" s="1027"/>
      <c r="H1641" s="1027"/>
      <c r="I1641" s="1174"/>
      <c r="J1641" s="1174"/>
      <c r="K1641" s="1174"/>
      <c r="L1641" s="1172"/>
      <c r="M1641" s="1172"/>
      <c r="N1641" s="1175"/>
      <c r="O1641" s="143"/>
      <c r="P1641" s="1196"/>
      <c r="Q1641" s="141"/>
      <c r="R1641" s="141"/>
      <c r="S1641" s="148"/>
      <c r="T1641" s="419"/>
      <c r="U1641" s="559"/>
      <c r="V1641" s="141"/>
      <c r="W1641" s="141"/>
      <c r="X1641" s="141"/>
      <c r="Y1641" s="144"/>
      <c r="Z1641" s="141"/>
      <c r="AA1641" s="141"/>
      <c r="AB1641" s="141"/>
      <c r="AC1641" s="141"/>
      <c r="AD1641" s="141"/>
      <c r="AE1641" s="141"/>
      <c r="AF1641" s="145"/>
      <c r="AG1641" s="419"/>
    </row>
    <row r="1642" spans="1:33" s="139" customFormat="1" ht="12.75" customHeight="1" x14ac:dyDescent="0.2">
      <c r="A1642" s="141"/>
      <c r="B1642" s="141"/>
      <c r="C1642" s="141"/>
      <c r="D1642" s="141"/>
      <c r="E1642" s="1014"/>
      <c r="F1642" s="1014"/>
      <c r="G1642" s="1027"/>
      <c r="H1642" s="1027"/>
      <c r="I1642" s="1174"/>
      <c r="J1642" s="1174"/>
      <c r="K1642" s="1174"/>
      <c r="L1642" s="1172"/>
      <c r="M1642" s="1172"/>
      <c r="N1642" s="1175"/>
      <c r="O1642" s="143"/>
      <c r="P1642" s="1196"/>
      <c r="Q1642" s="141"/>
      <c r="R1642" s="141"/>
      <c r="S1642" s="148"/>
      <c r="T1642" s="419"/>
      <c r="U1642" s="559"/>
      <c r="V1642" s="141"/>
      <c r="W1642" s="141"/>
      <c r="X1642" s="141"/>
      <c r="Y1642" s="144"/>
      <c r="Z1642" s="141"/>
      <c r="AA1642" s="141"/>
      <c r="AB1642" s="141"/>
      <c r="AC1642" s="141"/>
      <c r="AD1642" s="141"/>
      <c r="AE1642" s="141"/>
      <c r="AF1642" s="145"/>
      <c r="AG1642" s="419"/>
    </row>
    <row r="1643" spans="1:33" s="139" customFormat="1" ht="12.75" customHeight="1" x14ac:dyDescent="0.2">
      <c r="A1643" s="141"/>
      <c r="B1643" s="141"/>
      <c r="C1643" s="141"/>
      <c r="D1643" s="141"/>
      <c r="E1643" s="1014"/>
      <c r="F1643" s="1014"/>
      <c r="G1643" s="1027"/>
      <c r="H1643" s="1027"/>
      <c r="I1643" s="1174"/>
      <c r="J1643" s="1174"/>
      <c r="K1643" s="1174"/>
      <c r="L1643" s="1172"/>
      <c r="M1643" s="1172"/>
      <c r="N1643" s="1175"/>
      <c r="O1643" s="143"/>
      <c r="P1643" s="1196"/>
      <c r="Q1643" s="141"/>
      <c r="R1643" s="141"/>
      <c r="S1643" s="148"/>
      <c r="T1643" s="419"/>
      <c r="U1643" s="559"/>
      <c r="V1643" s="141"/>
      <c r="W1643" s="141"/>
      <c r="X1643" s="141"/>
      <c r="Y1643" s="144"/>
      <c r="Z1643" s="141"/>
      <c r="AA1643" s="141"/>
      <c r="AB1643" s="141"/>
      <c r="AC1643" s="141"/>
      <c r="AD1643" s="141"/>
      <c r="AE1643" s="141"/>
      <c r="AF1643" s="145"/>
      <c r="AG1643" s="419"/>
    </row>
    <row r="1644" spans="1:33" s="139" customFormat="1" ht="12.75" customHeight="1" x14ac:dyDescent="0.2">
      <c r="A1644" s="141"/>
      <c r="B1644" s="141"/>
      <c r="C1644" s="141"/>
      <c r="D1644" s="141"/>
      <c r="E1644" s="1014"/>
      <c r="F1644" s="1014"/>
      <c r="G1644" s="1027"/>
      <c r="H1644" s="1027"/>
      <c r="I1644" s="1174"/>
      <c r="J1644" s="1174"/>
      <c r="K1644" s="1174"/>
      <c r="L1644" s="1172"/>
      <c r="M1644" s="1172"/>
      <c r="N1644" s="1175"/>
      <c r="O1644" s="143"/>
      <c r="P1644" s="1196"/>
      <c r="Q1644" s="141"/>
      <c r="R1644" s="141"/>
      <c r="S1644" s="148"/>
      <c r="T1644" s="419"/>
      <c r="U1644" s="559"/>
      <c r="V1644" s="141"/>
      <c r="W1644" s="141"/>
      <c r="X1644" s="141"/>
      <c r="Y1644" s="144"/>
      <c r="Z1644" s="141"/>
      <c r="AA1644" s="141"/>
      <c r="AB1644" s="141"/>
      <c r="AC1644" s="141"/>
      <c r="AD1644" s="141"/>
      <c r="AE1644" s="141"/>
      <c r="AF1644" s="145"/>
      <c r="AG1644" s="419"/>
    </row>
    <row r="1645" spans="1:33" s="139" customFormat="1" ht="12.75" customHeight="1" x14ac:dyDescent="0.2">
      <c r="A1645" s="141"/>
      <c r="B1645" s="141"/>
      <c r="C1645" s="141"/>
      <c r="D1645" s="141"/>
      <c r="E1645" s="1014"/>
      <c r="F1645" s="1014"/>
      <c r="G1645" s="1027"/>
      <c r="H1645" s="1027"/>
      <c r="I1645" s="1174"/>
      <c r="J1645" s="1174"/>
      <c r="K1645" s="1174"/>
      <c r="L1645" s="1172"/>
      <c r="M1645" s="1172"/>
      <c r="N1645" s="1175"/>
      <c r="O1645" s="143"/>
      <c r="P1645" s="1196"/>
      <c r="Q1645" s="141"/>
      <c r="R1645" s="141"/>
      <c r="S1645" s="148"/>
      <c r="T1645" s="419"/>
      <c r="U1645" s="559"/>
      <c r="V1645" s="141"/>
      <c r="W1645" s="141"/>
      <c r="X1645" s="141"/>
      <c r="Y1645" s="144"/>
      <c r="Z1645" s="141"/>
      <c r="AA1645" s="141"/>
      <c r="AB1645" s="141"/>
      <c r="AC1645" s="141"/>
      <c r="AD1645" s="141"/>
      <c r="AE1645" s="141"/>
      <c r="AF1645" s="145"/>
      <c r="AG1645" s="419"/>
    </row>
    <row r="1646" spans="1:33" s="139" customFormat="1" ht="12.75" customHeight="1" x14ac:dyDescent="0.2">
      <c r="A1646" s="141"/>
      <c r="B1646" s="141"/>
      <c r="C1646" s="141"/>
      <c r="D1646" s="141"/>
      <c r="E1646" s="1014"/>
      <c r="F1646" s="1014"/>
      <c r="G1646" s="1027"/>
      <c r="H1646" s="1027"/>
      <c r="I1646" s="1174"/>
      <c r="J1646" s="1174"/>
      <c r="K1646" s="1174"/>
      <c r="L1646" s="1172"/>
      <c r="M1646" s="1172"/>
      <c r="N1646" s="1175"/>
      <c r="O1646" s="143"/>
      <c r="P1646" s="1196"/>
      <c r="Q1646" s="141"/>
      <c r="R1646" s="141"/>
      <c r="S1646" s="148"/>
      <c r="T1646" s="419"/>
      <c r="U1646" s="559"/>
      <c r="V1646" s="141"/>
      <c r="W1646" s="141"/>
      <c r="X1646" s="141"/>
      <c r="Y1646" s="144"/>
      <c r="Z1646" s="141"/>
      <c r="AA1646" s="141"/>
      <c r="AB1646" s="141"/>
      <c r="AC1646" s="141"/>
      <c r="AD1646" s="141"/>
      <c r="AE1646" s="141"/>
      <c r="AF1646" s="145"/>
      <c r="AG1646" s="419"/>
    </row>
    <row r="1647" spans="1:33" s="139" customFormat="1" ht="12.75" customHeight="1" x14ac:dyDescent="0.2">
      <c r="A1647" s="141"/>
      <c r="B1647" s="141"/>
      <c r="C1647" s="141"/>
      <c r="D1647" s="141"/>
      <c r="E1647" s="1014"/>
      <c r="F1647" s="1014"/>
      <c r="G1647" s="1027"/>
      <c r="H1647" s="1027"/>
      <c r="I1647" s="1174"/>
      <c r="J1647" s="1174"/>
      <c r="K1647" s="1174"/>
      <c r="L1647" s="1172"/>
      <c r="M1647" s="1172"/>
      <c r="N1647" s="1175"/>
      <c r="O1647" s="143"/>
      <c r="P1647" s="1196"/>
      <c r="Q1647" s="141"/>
      <c r="R1647" s="141"/>
      <c r="S1647" s="148"/>
      <c r="T1647" s="419"/>
      <c r="U1647" s="559"/>
      <c r="V1647" s="141"/>
      <c r="W1647" s="141"/>
      <c r="X1647" s="141"/>
      <c r="Y1647" s="144"/>
      <c r="Z1647" s="141"/>
      <c r="AA1647" s="141"/>
      <c r="AB1647" s="141"/>
      <c r="AC1647" s="141"/>
      <c r="AD1647" s="141"/>
      <c r="AE1647" s="141"/>
      <c r="AF1647" s="145"/>
      <c r="AG1647" s="419"/>
    </row>
    <row r="1648" spans="1:33" s="139" customFormat="1" ht="12.75" customHeight="1" x14ac:dyDescent="0.2">
      <c r="A1648" s="141"/>
      <c r="B1648" s="141"/>
      <c r="C1648" s="141"/>
      <c r="D1648" s="141"/>
      <c r="E1648" s="1014"/>
      <c r="F1648" s="1014"/>
      <c r="G1648" s="1027"/>
      <c r="H1648" s="1027"/>
      <c r="I1648" s="1174"/>
      <c r="J1648" s="1174"/>
      <c r="K1648" s="1174"/>
      <c r="L1648" s="1172"/>
      <c r="M1648" s="1172"/>
      <c r="N1648" s="1175"/>
      <c r="O1648" s="143"/>
      <c r="P1648" s="1196"/>
      <c r="Q1648" s="141"/>
      <c r="R1648" s="141"/>
      <c r="S1648" s="148"/>
      <c r="T1648" s="419"/>
      <c r="U1648" s="559"/>
      <c r="V1648" s="141"/>
      <c r="W1648" s="141"/>
      <c r="X1648" s="141"/>
      <c r="Y1648" s="144"/>
      <c r="Z1648" s="141"/>
      <c r="AA1648" s="141"/>
      <c r="AB1648" s="141"/>
      <c r="AC1648" s="141"/>
      <c r="AD1648" s="141"/>
      <c r="AE1648" s="141"/>
      <c r="AF1648" s="145"/>
      <c r="AG1648" s="419"/>
    </row>
    <row r="1649" spans="1:33" s="139" customFormat="1" ht="12.75" customHeight="1" x14ac:dyDescent="0.2">
      <c r="A1649" s="141"/>
      <c r="B1649" s="141"/>
      <c r="C1649" s="141"/>
      <c r="D1649" s="141"/>
      <c r="E1649" s="1014"/>
      <c r="F1649" s="1014"/>
      <c r="G1649" s="1027"/>
      <c r="H1649" s="1027"/>
      <c r="I1649" s="1174"/>
      <c r="J1649" s="1174"/>
      <c r="K1649" s="1174"/>
      <c r="L1649" s="1172"/>
      <c r="M1649" s="1172"/>
      <c r="N1649" s="1175"/>
      <c r="O1649" s="143"/>
      <c r="P1649" s="1196"/>
      <c r="Q1649" s="141"/>
      <c r="R1649" s="141"/>
      <c r="S1649" s="148"/>
      <c r="T1649" s="419"/>
      <c r="U1649" s="559"/>
      <c r="V1649" s="141"/>
      <c r="W1649" s="141"/>
      <c r="X1649" s="141"/>
      <c r="Y1649" s="144"/>
      <c r="Z1649" s="141"/>
      <c r="AA1649" s="141"/>
      <c r="AB1649" s="141"/>
      <c r="AC1649" s="141"/>
      <c r="AD1649" s="141"/>
      <c r="AE1649" s="141"/>
      <c r="AF1649" s="145"/>
      <c r="AG1649" s="419"/>
    </row>
    <row r="1650" spans="1:33" s="139" customFormat="1" ht="12.75" customHeight="1" x14ac:dyDescent="0.2">
      <c r="A1650" s="141"/>
      <c r="B1650" s="141"/>
      <c r="C1650" s="141"/>
      <c r="D1650" s="141"/>
      <c r="E1650" s="1014"/>
      <c r="F1650" s="1014"/>
      <c r="G1650" s="1027"/>
      <c r="H1650" s="1027"/>
      <c r="I1650" s="1174"/>
      <c r="J1650" s="1174"/>
      <c r="K1650" s="1174"/>
      <c r="L1650" s="1172"/>
      <c r="M1650" s="1172"/>
      <c r="N1650" s="1175"/>
      <c r="O1650" s="143"/>
      <c r="P1650" s="1196"/>
      <c r="Q1650" s="141"/>
      <c r="R1650" s="141"/>
      <c r="S1650" s="148"/>
      <c r="T1650" s="419"/>
      <c r="U1650" s="559"/>
      <c r="V1650" s="141"/>
      <c r="W1650" s="141"/>
      <c r="X1650" s="141"/>
      <c r="Y1650" s="144"/>
      <c r="Z1650" s="141"/>
      <c r="AA1650" s="141"/>
      <c r="AB1650" s="141"/>
      <c r="AC1650" s="141"/>
      <c r="AD1650" s="141"/>
      <c r="AE1650" s="141"/>
      <c r="AF1650" s="145"/>
      <c r="AG1650" s="419"/>
    </row>
    <row r="1651" spans="1:33" s="139" customFormat="1" ht="12.75" customHeight="1" x14ac:dyDescent="0.2">
      <c r="A1651" s="141"/>
      <c r="B1651" s="141"/>
      <c r="C1651" s="141"/>
      <c r="D1651" s="141"/>
      <c r="E1651" s="1014"/>
      <c r="F1651" s="1014"/>
      <c r="G1651" s="1027"/>
      <c r="H1651" s="1027"/>
      <c r="I1651" s="1174"/>
      <c r="J1651" s="1174"/>
      <c r="K1651" s="1174"/>
      <c r="L1651" s="1172"/>
      <c r="M1651" s="1172"/>
      <c r="N1651" s="1175"/>
      <c r="O1651" s="143"/>
      <c r="P1651" s="1196"/>
      <c r="Q1651" s="141"/>
      <c r="R1651" s="141"/>
      <c r="S1651" s="148"/>
      <c r="T1651" s="419"/>
      <c r="U1651" s="559"/>
      <c r="V1651" s="141"/>
      <c r="W1651" s="141"/>
      <c r="X1651" s="141"/>
      <c r="Y1651" s="144"/>
      <c r="Z1651" s="141"/>
      <c r="AA1651" s="141"/>
      <c r="AB1651" s="141"/>
      <c r="AC1651" s="141"/>
      <c r="AD1651" s="141"/>
      <c r="AE1651" s="141"/>
      <c r="AF1651" s="145"/>
      <c r="AG1651" s="419"/>
    </row>
    <row r="1652" spans="1:33" s="139" customFormat="1" ht="12.75" customHeight="1" x14ac:dyDescent="0.2">
      <c r="A1652" s="141"/>
      <c r="B1652" s="141"/>
      <c r="C1652" s="141"/>
      <c r="D1652" s="141"/>
      <c r="E1652" s="1014"/>
      <c r="F1652" s="1014"/>
      <c r="G1652" s="1027"/>
      <c r="H1652" s="1027"/>
      <c r="I1652" s="1174"/>
      <c r="J1652" s="1174"/>
      <c r="K1652" s="1174"/>
      <c r="L1652" s="1172"/>
      <c r="M1652" s="1172"/>
      <c r="N1652" s="1175"/>
      <c r="O1652" s="143"/>
      <c r="P1652" s="1196"/>
      <c r="Q1652" s="141"/>
      <c r="R1652" s="141"/>
      <c r="S1652" s="148"/>
      <c r="T1652" s="419"/>
      <c r="U1652" s="559"/>
      <c r="V1652" s="141"/>
      <c r="W1652" s="141"/>
      <c r="X1652" s="141"/>
      <c r="Y1652" s="144"/>
      <c r="Z1652" s="141"/>
      <c r="AA1652" s="141"/>
      <c r="AB1652" s="141"/>
      <c r="AC1652" s="141"/>
      <c r="AD1652" s="141"/>
      <c r="AE1652" s="141"/>
      <c r="AF1652" s="145"/>
      <c r="AG1652" s="419"/>
    </row>
    <row r="1653" spans="1:33" s="139" customFormat="1" ht="12.75" customHeight="1" x14ac:dyDescent="0.2">
      <c r="A1653" s="141"/>
      <c r="B1653" s="141"/>
      <c r="C1653" s="141"/>
      <c r="D1653" s="141"/>
      <c r="E1653" s="1014"/>
      <c r="F1653" s="1014"/>
      <c r="G1653" s="1027"/>
      <c r="H1653" s="1027"/>
      <c r="I1653" s="1174"/>
      <c r="J1653" s="1174"/>
      <c r="K1653" s="1174"/>
      <c r="L1653" s="1172"/>
      <c r="M1653" s="1172"/>
      <c r="N1653" s="1175"/>
      <c r="O1653" s="143"/>
      <c r="P1653" s="1196"/>
      <c r="Q1653" s="141"/>
      <c r="R1653" s="141"/>
      <c r="S1653" s="148"/>
      <c r="T1653" s="419"/>
      <c r="U1653" s="559"/>
      <c r="V1653" s="141"/>
      <c r="W1653" s="141"/>
      <c r="X1653" s="141"/>
      <c r="Y1653" s="144"/>
      <c r="Z1653" s="141"/>
      <c r="AA1653" s="141"/>
      <c r="AB1653" s="141"/>
      <c r="AC1653" s="141"/>
      <c r="AD1653" s="141"/>
      <c r="AE1653" s="141"/>
      <c r="AF1653" s="145"/>
      <c r="AG1653" s="419"/>
    </row>
    <row r="1654" spans="1:33" s="139" customFormat="1" ht="12.75" customHeight="1" x14ac:dyDescent="0.2">
      <c r="A1654" s="141"/>
      <c r="B1654" s="141"/>
      <c r="C1654" s="141"/>
      <c r="D1654" s="141"/>
      <c r="E1654" s="1014"/>
      <c r="F1654" s="1014"/>
      <c r="G1654" s="1027"/>
      <c r="H1654" s="1027"/>
      <c r="I1654" s="1174"/>
      <c r="J1654" s="1174"/>
      <c r="K1654" s="1174"/>
      <c r="L1654" s="1172"/>
      <c r="M1654" s="1172"/>
      <c r="N1654" s="1175"/>
      <c r="O1654" s="143"/>
      <c r="P1654" s="1196"/>
      <c r="Q1654" s="141"/>
      <c r="R1654" s="141"/>
      <c r="S1654" s="148"/>
      <c r="T1654" s="419"/>
      <c r="U1654" s="559"/>
      <c r="V1654" s="141"/>
      <c r="W1654" s="141"/>
      <c r="X1654" s="141"/>
      <c r="Y1654" s="144"/>
      <c r="Z1654" s="141"/>
      <c r="AA1654" s="141"/>
      <c r="AB1654" s="141"/>
      <c r="AC1654" s="141"/>
      <c r="AD1654" s="141"/>
      <c r="AE1654" s="141"/>
      <c r="AF1654" s="145"/>
      <c r="AG1654" s="419"/>
    </row>
    <row r="1655" spans="1:33" s="139" customFormat="1" ht="12.75" customHeight="1" x14ac:dyDescent="0.2">
      <c r="A1655" s="141"/>
      <c r="B1655" s="141"/>
      <c r="C1655" s="141"/>
      <c r="D1655" s="141"/>
      <c r="E1655" s="1014"/>
      <c r="F1655" s="1014"/>
      <c r="G1655" s="1027"/>
      <c r="H1655" s="1027"/>
      <c r="I1655" s="1174"/>
      <c r="J1655" s="1174"/>
      <c r="K1655" s="1174"/>
      <c r="L1655" s="1172"/>
      <c r="M1655" s="1172"/>
      <c r="N1655" s="1175"/>
      <c r="O1655" s="143"/>
      <c r="P1655" s="1196"/>
      <c r="Q1655" s="141"/>
      <c r="R1655" s="141"/>
      <c r="S1655" s="148"/>
      <c r="T1655" s="419"/>
      <c r="U1655" s="559"/>
      <c r="V1655" s="141"/>
      <c r="W1655" s="141"/>
      <c r="X1655" s="141"/>
      <c r="Y1655" s="144"/>
      <c r="Z1655" s="141"/>
      <c r="AA1655" s="141"/>
      <c r="AB1655" s="141"/>
      <c r="AC1655" s="141"/>
      <c r="AD1655" s="141"/>
      <c r="AE1655" s="141"/>
      <c r="AF1655" s="145"/>
      <c r="AG1655" s="419"/>
    </row>
    <row r="1656" spans="1:33" s="139" customFormat="1" ht="12.75" customHeight="1" x14ac:dyDescent="0.2">
      <c r="A1656" s="141"/>
      <c r="B1656" s="141"/>
      <c r="C1656" s="141"/>
      <c r="D1656" s="141"/>
      <c r="E1656" s="1014"/>
      <c r="F1656" s="1014"/>
      <c r="G1656" s="1027"/>
      <c r="H1656" s="1027"/>
      <c r="I1656" s="1174"/>
      <c r="J1656" s="1174"/>
      <c r="K1656" s="1174"/>
      <c r="L1656" s="1172"/>
      <c r="M1656" s="1172"/>
      <c r="N1656" s="1175"/>
      <c r="O1656" s="143"/>
      <c r="P1656" s="1196"/>
      <c r="Q1656" s="141"/>
      <c r="R1656" s="141"/>
      <c r="S1656" s="148"/>
      <c r="T1656" s="419"/>
      <c r="U1656" s="559"/>
      <c r="V1656" s="141"/>
      <c r="W1656" s="141"/>
      <c r="X1656" s="141"/>
      <c r="Y1656" s="144"/>
      <c r="Z1656" s="141"/>
      <c r="AA1656" s="141"/>
      <c r="AB1656" s="141"/>
      <c r="AC1656" s="141"/>
      <c r="AD1656" s="141"/>
      <c r="AE1656" s="141"/>
      <c r="AF1656" s="145"/>
      <c r="AG1656" s="419"/>
    </row>
    <row r="1657" spans="1:33" s="139" customFormat="1" ht="12.75" customHeight="1" x14ac:dyDescent="0.2">
      <c r="A1657" s="141"/>
      <c r="B1657" s="141"/>
      <c r="C1657" s="141"/>
      <c r="D1657" s="141"/>
      <c r="E1657" s="1014"/>
      <c r="F1657" s="1014"/>
      <c r="G1657" s="1027"/>
      <c r="H1657" s="1027"/>
      <c r="I1657" s="1174"/>
      <c r="J1657" s="1174"/>
      <c r="K1657" s="1174"/>
      <c r="L1657" s="1172"/>
      <c r="M1657" s="1172"/>
      <c r="N1657" s="1175"/>
      <c r="O1657" s="143"/>
      <c r="P1657" s="1196"/>
      <c r="Q1657" s="141"/>
      <c r="R1657" s="141"/>
      <c r="S1657" s="148"/>
      <c r="T1657" s="419"/>
      <c r="U1657" s="559"/>
      <c r="V1657" s="141"/>
      <c r="W1657" s="141"/>
      <c r="X1657" s="141"/>
      <c r="Y1657" s="144"/>
      <c r="Z1657" s="141"/>
      <c r="AA1657" s="141"/>
      <c r="AB1657" s="141"/>
      <c r="AC1657" s="141"/>
      <c r="AD1657" s="141"/>
      <c r="AE1657" s="141"/>
      <c r="AF1657" s="145"/>
      <c r="AG1657" s="419"/>
    </row>
    <row r="1658" spans="1:33" s="139" customFormat="1" ht="12.75" customHeight="1" x14ac:dyDescent="0.2">
      <c r="A1658" s="141"/>
      <c r="B1658" s="141"/>
      <c r="C1658" s="141"/>
      <c r="D1658" s="141"/>
      <c r="E1658" s="1014"/>
      <c r="F1658" s="1014"/>
      <c r="G1658" s="1027"/>
      <c r="H1658" s="1027"/>
      <c r="I1658" s="1174"/>
      <c r="J1658" s="1174"/>
      <c r="K1658" s="1174"/>
      <c r="L1658" s="1172"/>
      <c r="M1658" s="1172"/>
      <c r="N1658" s="1175"/>
      <c r="O1658" s="143"/>
      <c r="P1658" s="1196"/>
      <c r="Q1658" s="141"/>
      <c r="R1658" s="141"/>
      <c r="S1658" s="148"/>
      <c r="T1658" s="419"/>
      <c r="U1658" s="559"/>
      <c r="V1658" s="141"/>
      <c r="W1658" s="141"/>
      <c r="X1658" s="141"/>
      <c r="Y1658" s="144"/>
      <c r="Z1658" s="141"/>
      <c r="AA1658" s="141"/>
      <c r="AB1658" s="141"/>
      <c r="AC1658" s="141"/>
      <c r="AD1658" s="141"/>
      <c r="AE1658" s="141"/>
      <c r="AF1658" s="145"/>
      <c r="AG1658" s="419"/>
    </row>
    <row r="1659" spans="1:33" s="139" customFormat="1" ht="12.75" customHeight="1" x14ac:dyDescent="0.2">
      <c r="A1659" s="141"/>
      <c r="B1659" s="141"/>
      <c r="C1659" s="141"/>
      <c r="D1659" s="141"/>
      <c r="E1659" s="1014"/>
      <c r="F1659" s="1014"/>
      <c r="G1659" s="1027"/>
      <c r="H1659" s="1027"/>
      <c r="I1659" s="1174"/>
      <c r="J1659" s="1174"/>
      <c r="K1659" s="1174"/>
      <c r="L1659" s="1172"/>
      <c r="M1659" s="1172"/>
      <c r="N1659" s="1175"/>
      <c r="O1659" s="143"/>
      <c r="P1659" s="1196"/>
      <c r="Q1659" s="141"/>
      <c r="R1659" s="141"/>
      <c r="S1659" s="148"/>
      <c r="T1659" s="419"/>
      <c r="U1659" s="559"/>
      <c r="V1659" s="141"/>
      <c r="W1659" s="141"/>
      <c r="X1659" s="141"/>
      <c r="Y1659" s="144"/>
      <c r="Z1659" s="141"/>
      <c r="AA1659" s="141"/>
      <c r="AB1659" s="141"/>
      <c r="AC1659" s="141"/>
      <c r="AD1659" s="141"/>
      <c r="AE1659" s="141"/>
      <c r="AF1659" s="145"/>
      <c r="AG1659" s="419"/>
    </row>
    <row r="1660" spans="1:33" s="139" customFormat="1" ht="12.75" customHeight="1" x14ac:dyDescent="0.2">
      <c r="A1660" s="141"/>
      <c r="B1660" s="141"/>
      <c r="C1660" s="141"/>
      <c r="D1660" s="141"/>
      <c r="E1660" s="1014"/>
      <c r="F1660" s="1014"/>
      <c r="G1660" s="1027"/>
      <c r="H1660" s="1027"/>
      <c r="I1660" s="1174"/>
      <c r="J1660" s="1174"/>
      <c r="K1660" s="1174"/>
      <c r="L1660" s="1172"/>
      <c r="M1660" s="1172"/>
      <c r="N1660" s="1175"/>
      <c r="O1660" s="143"/>
      <c r="P1660" s="1196"/>
      <c r="Q1660" s="141"/>
      <c r="R1660" s="141"/>
      <c r="S1660" s="148"/>
      <c r="T1660" s="419"/>
      <c r="U1660" s="559"/>
      <c r="V1660" s="141"/>
      <c r="W1660" s="141"/>
      <c r="X1660" s="141"/>
      <c r="Y1660" s="144"/>
      <c r="Z1660" s="141"/>
      <c r="AA1660" s="141"/>
      <c r="AB1660" s="141"/>
      <c r="AC1660" s="141"/>
      <c r="AD1660" s="141"/>
      <c r="AE1660" s="141"/>
      <c r="AF1660" s="145"/>
      <c r="AG1660" s="419"/>
    </row>
    <row r="1661" spans="1:33" s="139" customFormat="1" ht="12.75" customHeight="1" x14ac:dyDescent="0.2">
      <c r="A1661" s="141"/>
      <c r="B1661" s="141"/>
      <c r="C1661" s="141"/>
      <c r="D1661" s="141"/>
      <c r="E1661" s="1014"/>
      <c r="F1661" s="1014"/>
      <c r="G1661" s="1027"/>
      <c r="H1661" s="1027"/>
      <c r="I1661" s="1174"/>
      <c r="J1661" s="1174"/>
      <c r="K1661" s="1174"/>
      <c r="L1661" s="1172"/>
      <c r="M1661" s="1172"/>
      <c r="N1661" s="1175"/>
      <c r="O1661" s="143"/>
      <c r="P1661" s="1196"/>
      <c r="Q1661" s="141"/>
      <c r="R1661" s="141"/>
      <c r="S1661" s="148"/>
      <c r="T1661" s="419"/>
      <c r="U1661" s="559"/>
      <c r="V1661" s="141"/>
      <c r="W1661" s="141"/>
      <c r="X1661" s="141"/>
      <c r="Y1661" s="144"/>
      <c r="Z1661" s="141"/>
      <c r="AA1661" s="141"/>
      <c r="AB1661" s="141"/>
      <c r="AC1661" s="141"/>
      <c r="AD1661" s="141"/>
      <c r="AE1661" s="141"/>
      <c r="AF1661" s="145"/>
      <c r="AG1661" s="419"/>
    </row>
    <row r="1662" spans="1:33" s="139" customFormat="1" ht="12.75" customHeight="1" x14ac:dyDescent="0.2">
      <c r="A1662" s="141"/>
      <c r="B1662" s="141"/>
      <c r="C1662" s="141"/>
      <c r="D1662" s="141"/>
      <c r="E1662" s="1014"/>
      <c r="F1662" s="1014"/>
      <c r="G1662" s="1027"/>
      <c r="H1662" s="1027"/>
      <c r="I1662" s="1174"/>
      <c r="J1662" s="1174"/>
      <c r="K1662" s="1174"/>
      <c r="L1662" s="1172"/>
      <c r="M1662" s="1172"/>
      <c r="N1662" s="1175"/>
      <c r="O1662" s="143"/>
      <c r="P1662" s="1196"/>
      <c r="Q1662" s="141"/>
      <c r="R1662" s="141"/>
      <c r="S1662" s="148"/>
      <c r="T1662" s="419"/>
      <c r="U1662" s="559"/>
      <c r="V1662" s="141"/>
      <c r="W1662" s="141"/>
      <c r="X1662" s="141"/>
      <c r="Y1662" s="144"/>
      <c r="Z1662" s="141"/>
      <c r="AA1662" s="141"/>
      <c r="AB1662" s="141"/>
      <c r="AC1662" s="141"/>
      <c r="AD1662" s="141"/>
      <c r="AE1662" s="141"/>
      <c r="AF1662" s="145"/>
      <c r="AG1662" s="419"/>
    </row>
    <row r="1663" spans="1:33" s="139" customFormat="1" ht="12.75" customHeight="1" x14ac:dyDescent="0.2">
      <c r="A1663" s="141"/>
      <c r="B1663" s="141"/>
      <c r="C1663" s="141"/>
      <c r="D1663" s="141"/>
      <c r="E1663" s="1014"/>
      <c r="F1663" s="1014"/>
      <c r="G1663" s="1027"/>
      <c r="H1663" s="1027"/>
      <c r="I1663" s="1174"/>
      <c r="J1663" s="1174"/>
      <c r="K1663" s="1174"/>
      <c r="L1663" s="1172"/>
      <c r="M1663" s="1172"/>
      <c r="N1663" s="1175"/>
      <c r="O1663" s="143"/>
      <c r="P1663" s="1196"/>
      <c r="Q1663" s="141"/>
      <c r="R1663" s="141"/>
      <c r="S1663" s="148"/>
      <c r="T1663" s="419"/>
      <c r="U1663" s="559"/>
      <c r="V1663" s="141"/>
      <c r="W1663" s="141"/>
      <c r="X1663" s="141"/>
      <c r="Y1663" s="144"/>
      <c r="Z1663" s="141"/>
      <c r="AA1663" s="141"/>
      <c r="AB1663" s="141"/>
      <c r="AC1663" s="141"/>
      <c r="AD1663" s="141"/>
      <c r="AE1663" s="141"/>
      <c r="AF1663" s="145"/>
      <c r="AG1663" s="419"/>
    </row>
    <row r="1664" spans="1:33" s="139" customFormat="1" ht="12.75" customHeight="1" x14ac:dyDescent="0.2">
      <c r="A1664" s="141"/>
      <c r="B1664" s="141"/>
      <c r="C1664" s="141"/>
      <c r="D1664" s="141"/>
      <c r="E1664" s="1014"/>
      <c r="F1664" s="1014"/>
      <c r="G1664" s="1027"/>
      <c r="H1664" s="1027"/>
      <c r="I1664" s="1174"/>
      <c r="J1664" s="1174"/>
      <c r="K1664" s="1174"/>
      <c r="L1664" s="1172"/>
      <c r="M1664" s="1172"/>
      <c r="N1664" s="1175"/>
      <c r="O1664" s="143"/>
      <c r="P1664" s="1196"/>
      <c r="Q1664" s="141"/>
      <c r="R1664" s="141"/>
      <c r="S1664" s="148"/>
      <c r="T1664" s="419"/>
      <c r="U1664" s="559"/>
      <c r="V1664" s="141"/>
      <c r="W1664" s="141"/>
      <c r="X1664" s="141"/>
      <c r="Y1664" s="144"/>
      <c r="Z1664" s="141"/>
      <c r="AA1664" s="141"/>
      <c r="AB1664" s="141"/>
      <c r="AC1664" s="141"/>
      <c r="AD1664" s="141"/>
      <c r="AE1664" s="141"/>
      <c r="AF1664" s="145"/>
      <c r="AG1664" s="419"/>
    </row>
    <row r="1665" spans="1:33" s="139" customFormat="1" ht="12.75" customHeight="1" x14ac:dyDescent="0.2">
      <c r="A1665" s="141"/>
      <c r="B1665" s="141"/>
      <c r="C1665" s="141"/>
      <c r="D1665" s="141"/>
      <c r="E1665" s="1014"/>
      <c r="F1665" s="1014"/>
      <c r="G1665" s="1027"/>
      <c r="H1665" s="1027"/>
      <c r="I1665" s="1174"/>
      <c r="J1665" s="1174"/>
      <c r="K1665" s="1174"/>
      <c r="L1665" s="1172"/>
      <c r="M1665" s="1172"/>
      <c r="N1665" s="1175"/>
      <c r="O1665" s="143"/>
      <c r="P1665" s="1196"/>
      <c r="Q1665" s="141"/>
      <c r="R1665" s="141"/>
      <c r="S1665" s="148"/>
      <c r="T1665" s="419"/>
      <c r="U1665" s="559"/>
      <c r="V1665" s="141"/>
      <c r="W1665" s="141"/>
      <c r="X1665" s="141"/>
      <c r="Y1665" s="144"/>
      <c r="Z1665" s="141"/>
      <c r="AA1665" s="141"/>
      <c r="AB1665" s="141"/>
      <c r="AC1665" s="141"/>
      <c r="AD1665" s="141"/>
      <c r="AE1665" s="141"/>
      <c r="AF1665" s="145"/>
      <c r="AG1665" s="419"/>
    </row>
    <row r="1666" spans="1:33" s="139" customFormat="1" ht="12.75" customHeight="1" x14ac:dyDescent="0.2">
      <c r="A1666" s="141"/>
      <c r="B1666" s="141"/>
      <c r="C1666" s="141"/>
      <c r="D1666" s="141"/>
      <c r="E1666" s="1014"/>
      <c r="F1666" s="1014"/>
      <c r="G1666" s="1027"/>
      <c r="H1666" s="1027"/>
      <c r="I1666" s="1174"/>
      <c r="J1666" s="1174"/>
      <c r="K1666" s="1174"/>
      <c r="L1666" s="1172"/>
      <c r="M1666" s="1172"/>
      <c r="N1666" s="1175"/>
      <c r="O1666" s="143"/>
      <c r="P1666" s="1196"/>
      <c r="Q1666" s="141"/>
      <c r="R1666" s="141"/>
      <c r="S1666" s="148"/>
      <c r="T1666" s="419"/>
      <c r="U1666" s="559"/>
      <c r="V1666" s="141"/>
      <c r="W1666" s="141"/>
      <c r="X1666" s="141"/>
      <c r="Y1666" s="144"/>
      <c r="Z1666" s="141"/>
      <c r="AA1666" s="141"/>
      <c r="AB1666" s="141"/>
      <c r="AC1666" s="141"/>
      <c r="AD1666" s="141"/>
      <c r="AE1666" s="141"/>
      <c r="AF1666" s="145"/>
      <c r="AG1666" s="419"/>
    </row>
    <row r="1667" spans="1:33" s="139" customFormat="1" ht="12.75" customHeight="1" x14ac:dyDescent="0.2">
      <c r="A1667" s="141"/>
      <c r="B1667" s="141"/>
      <c r="C1667" s="141"/>
      <c r="D1667" s="141"/>
      <c r="E1667" s="1014"/>
      <c r="F1667" s="1014"/>
      <c r="G1667" s="1027"/>
      <c r="H1667" s="1027"/>
      <c r="I1667" s="1174"/>
      <c r="J1667" s="1174"/>
      <c r="K1667" s="1174"/>
      <c r="L1667" s="1172"/>
      <c r="M1667" s="1172"/>
      <c r="N1667" s="1175"/>
      <c r="O1667" s="143"/>
      <c r="P1667" s="1196"/>
      <c r="Q1667" s="141"/>
      <c r="R1667" s="141"/>
      <c r="S1667" s="148"/>
      <c r="T1667" s="419"/>
      <c r="U1667" s="559"/>
      <c r="V1667" s="141"/>
      <c r="W1667" s="141"/>
      <c r="X1667" s="141"/>
      <c r="Y1667" s="144"/>
      <c r="Z1667" s="141"/>
      <c r="AA1667" s="141"/>
      <c r="AB1667" s="141"/>
      <c r="AC1667" s="141"/>
      <c r="AD1667" s="141"/>
      <c r="AE1667" s="141"/>
      <c r="AF1667" s="145"/>
      <c r="AG1667" s="419"/>
    </row>
    <row r="1668" spans="1:33" s="139" customFormat="1" ht="12.75" customHeight="1" x14ac:dyDescent="0.2">
      <c r="A1668" s="141"/>
      <c r="B1668" s="141"/>
      <c r="C1668" s="141"/>
      <c r="D1668" s="141"/>
      <c r="E1668" s="1014"/>
      <c r="F1668" s="1014"/>
      <c r="G1668" s="1027"/>
      <c r="H1668" s="1027"/>
      <c r="I1668" s="1174"/>
      <c r="J1668" s="1174"/>
      <c r="K1668" s="1174"/>
      <c r="L1668" s="1172"/>
      <c r="M1668" s="1172"/>
      <c r="N1668" s="1175"/>
      <c r="O1668" s="143"/>
      <c r="P1668" s="1196"/>
      <c r="Q1668" s="141"/>
      <c r="R1668" s="141"/>
      <c r="S1668" s="148"/>
      <c r="T1668" s="419"/>
      <c r="U1668" s="559"/>
      <c r="V1668" s="141"/>
      <c r="W1668" s="141"/>
      <c r="X1668" s="141"/>
      <c r="Y1668" s="144"/>
      <c r="Z1668" s="141"/>
      <c r="AA1668" s="141"/>
      <c r="AB1668" s="141"/>
      <c r="AC1668" s="141"/>
      <c r="AD1668" s="141"/>
      <c r="AE1668" s="141"/>
      <c r="AF1668" s="145"/>
      <c r="AG1668" s="419"/>
    </row>
    <row r="1669" spans="1:33" s="139" customFormat="1" ht="12.75" customHeight="1" x14ac:dyDescent="0.2">
      <c r="A1669" s="141"/>
      <c r="B1669" s="141"/>
      <c r="C1669" s="141"/>
      <c r="D1669" s="141"/>
      <c r="E1669" s="1014"/>
      <c r="F1669" s="1014"/>
      <c r="G1669" s="1027"/>
      <c r="H1669" s="1027"/>
      <c r="I1669" s="1174"/>
      <c r="J1669" s="1174"/>
      <c r="K1669" s="1174"/>
      <c r="L1669" s="1172"/>
      <c r="M1669" s="1172"/>
      <c r="N1669" s="1175"/>
      <c r="O1669" s="143"/>
      <c r="P1669" s="1196"/>
      <c r="Q1669" s="141"/>
      <c r="R1669" s="141"/>
      <c r="S1669" s="148"/>
      <c r="T1669" s="419"/>
      <c r="U1669" s="559"/>
      <c r="V1669" s="141"/>
      <c r="W1669" s="141"/>
      <c r="X1669" s="141"/>
      <c r="Y1669" s="144"/>
      <c r="Z1669" s="141"/>
      <c r="AA1669" s="141"/>
      <c r="AB1669" s="141"/>
      <c r="AC1669" s="141"/>
      <c r="AD1669" s="141"/>
      <c r="AE1669" s="141"/>
      <c r="AF1669" s="145"/>
      <c r="AG1669" s="419"/>
    </row>
    <row r="1670" spans="1:33" s="139" customFormat="1" ht="12.75" customHeight="1" x14ac:dyDescent="0.2">
      <c r="A1670" s="141"/>
      <c r="B1670" s="141"/>
      <c r="C1670" s="141"/>
      <c r="D1670" s="141"/>
      <c r="E1670" s="1014"/>
      <c r="F1670" s="1014"/>
      <c r="G1670" s="1027"/>
      <c r="H1670" s="1027"/>
      <c r="I1670" s="1174"/>
      <c r="J1670" s="1174"/>
      <c r="K1670" s="1174"/>
      <c r="L1670" s="1172"/>
      <c r="M1670" s="1172"/>
      <c r="N1670" s="1175"/>
      <c r="O1670" s="143"/>
      <c r="P1670" s="1196"/>
      <c r="Q1670" s="141"/>
      <c r="R1670" s="141"/>
      <c r="S1670" s="148"/>
      <c r="T1670" s="419"/>
      <c r="U1670" s="559"/>
      <c r="V1670" s="141"/>
      <c r="W1670" s="141"/>
      <c r="X1670" s="141"/>
      <c r="Y1670" s="144"/>
      <c r="Z1670" s="141"/>
      <c r="AA1670" s="141"/>
      <c r="AB1670" s="141"/>
      <c r="AC1670" s="141"/>
      <c r="AD1670" s="141"/>
      <c r="AE1670" s="141"/>
      <c r="AF1670" s="145"/>
      <c r="AG1670" s="419"/>
    </row>
    <row r="1671" spans="1:33" s="139" customFormat="1" ht="12.75" customHeight="1" x14ac:dyDescent="0.2">
      <c r="A1671" s="141"/>
      <c r="B1671" s="141"/>
      <c r="C1671" s="141"/>
      <c r="D1671" s="141"/>
      <c r="E1671" s="1014"/>
      <c r="F1671" s="1014"/>
      <c r="G1671" s="1027"/>
      <c r="H1671" s="1027"/>
      <c r="I1671" s="1174"/>
      <c r="J1671" s="1174"/>
      <c r="K1671" s="1174"/>
      <c r="L1671" s="1172"/>
      <c r="M1671" s="1172"/>
      <c r="N1671" s="1175"/>
      <c r="O1671" s="143"/>
      <c r="P1671" s="1196"/>
      <c r="Q1671" s="141"/>
      <c r="R1671" s="141"/>
      <c r="S1671" s="148"/>
      <c r="T1671" s="419"/>
      <c r="U1671" s="559"/>
      <c r="V1671" s="141"/>
      <c r="W1671" s="141"/>
      <c r="X1671" s="141"/>
      <c r="Y1671" s="144"/>
      <c r="Z1671" s="141"/>
      <c r="AA1671" s="141"/>
      <c r="AB1671" s="141"/>
      <c r="AC1671" s="141"/>
      <c r="AD1671" s="141"/>
      <c r="AE1671" s="141"/>
      <c r="AF1671" s="145"/>
      <c r="AG1671" s="419"/>
    </row>
    <row r="1672" spans="1:33" s="139" customFormat="1" ht="12.75" customHeight="1" x14ac:dyDescent="0.2">
      <c r="A1672" s="141"/>
      <c r="B1672" s="141"/>
      <c r="C1672" s="141"/>
      <c r="D1672" s="141"/>
      <c r="E1672" s="1014"/>
      <c r="F1672" s="1014"/>
      <c r="G1672" s="1027"/>
      <c r="H1672" s="1027"/>
      <c r="I1672" s="1174"/>
      <c r="J1672" s="1174"/>
      <c r="K1672" s="1174"/>
      <c r="L1672" s="1172"/>
      <c r="M1672" s="1172"/>
      <c r="N1672" s="1175"/>
      <c r="O1672" s="143"/>
      <c r="P1672" s="1196"/>
      <c r="Q1672" s="141"/>
      <c r="R1672" s="141"/>
      <c r="S1672" s="148"/>
      <c r="T1672" s="419"/>
      <c r="U1672" s="559"/>
      <c r="V1672" s="141"/>
      <c r="W1672" s="141"/>
      <c r="X1672" s="141"/>
      <c r="Y1672" s="144"/>
      <c r="Z1672" s="141"/>
      <c r="AA1672" s="141"/>
      <c r="AB1672" s="141"/>
      <c r="AC1672" s="141"/>
      <c r="AD1672" s="141"/>
      <c r="AE1672" s="141"/>
      <c r="AF1672" s="145"/>
      <c r="AG1672" s="419"/>
    </row>
    <row r="1673" spans="1:33" s="139" customFormat="1" ht="12.75" customHeight="1" x14ac:dyDescent="0.2">
      <c r="A1673" s="141"/>
      <c r="B1673" s="141"/>
      <c r="C1673" s="141"/>
      <c r="D1673" s="141"/>
      <c r="E1673" s="1014"/>
      <c r="F1673" s="1014"/>
      <c r="G1673" s="1027"/>
      <c r="H1673" s="1027"/>
      <c r="I1673" s="1174"/>
      <c r="J1673" s="1174"/>
      <c r="K1673" s="1174"/>
      <c r="L1673" s="1172"/>
      <c r="M1673" s="1172"/>
      <c r="N1673" s="1175"/>
      <c r="O1673" s="143"/>
      <c r="P1673" s="1196"/>
      <c r="Q1673" s="141"/>
      <c r="R1673" s="141"/>
      <c r="S1673" s="148"/>
      <c r="T1673" s="419"/>
      <c r="U1673" s="559"/>
      <c r="V1673" s="141"/>
      <c r="W1673" s="141"/>
      <c r="X1673" s="141"/>
      <c r="Y1673" s="144"/>
      <c r="Z1673" s="141"/>
      <c r="AA1673" s="141"/>
      <c r="AB1673" s="141"/>
      <c r="AC1673" s="141"/>
      <c r="AD1673" s="141"/>
      <c r="AE1673" s="141"/>
      <c r="AF1673" s="145"/>
      <c r="AG1673" s="419"/>
    </row>
    <row r="1674" spans="1:33" s="139" customFormat="1" ht="12.75" customHeight="1" x14ac:dyDescent="0.2">
      <c r="A1674" s="141"/>
      <c r="B1674" s="141"/>
      <c r="C1674" s="141"/>
      <c r="D1674" s="141"/>
      <c r="E1674" s="1014"/>
      <c r="F1674" s="1014"/>
      <c r="G1674" s="1027"/>
      <c r="H1674" s="1027"/>
      <c r="I1674" s="1174"/>
      <c r="J1674" s="1174"/>
      <c r="K1674" s="1174"/>
      <c r="L1674" s="1172"/>
      <c r="M1674" s="1172"/>
      <c r="N1674" s="1175"/>
      <c r="O1674" s="143"/>
      <c r="P1674" s="1196"/>
      <c r="Q1674" s="141"/>
      <c r="R1674" s="141"/>
      <c r="S1674" s="148"/>
      <c r="T1674" s="419"/>
      <c r="U1674" s="559"/>
      <c r="V1674" s="141"/>
      <c r="W1674" s="141"/>
      <c r="X1674" s="141"/>
      <c r="Y1674" s="144"/>
      <c r="Z1674" s="141"/>
      <c r="AA1674" s="141"/>
      <c r="AB1674" s="141"/>
      <c r="AC1674" s="141"/>
      <c r="AD1674" s="141"/>
      <c r="AE1674" s="141"/>
      <c r="AF1674" s="145"/>
      <c r="AG1674" s="419"/>
    </row>
    <row r="1675" spans="1:33" s="139" customFormat="1" ht="12.75" customHeight="1" x14ac:dyDescent="0.2">
      <c r="A1675" s="141"/>
      <c r="B1675" s="141"/>
      <c r="C1675" s="141"/>
      <c r="D1675" s="141"/>
      <c r="E1675" s="1014"/>
      <c r="F1675" s="1014"/>
      <c r="G1675" s="1027"/>
      <c r="H1675" s="1027"/>
      <c r="I1675" s="1174"/>
      <c r="J1675" s="1174"/>
      <c r="K1675" s="1174"/>
      <c r="L1675" s="1172"/>
      <c r="M1675" s="1172"/>
      <c r="N1675" s="1175"/>
      <c r="O1675" s="143"/>
      <c r="P1675" s="1196"/>
      <c r="Q1675" s="141"/>
      <c r="R1675" s="141"/>
      <c r="S1675" s="148"/>
      <c r="T1675" s="419"/>
      <c r="U1675" s="559"/>
      <c r="V1675" s="141"/>
      <c r="W1675" s="141"/>
      <c r="X1675" s="141"/>
      <c r="Y1675" s="144"/>
      <c r="Z1675" s="141"/>
      <c r="AA1675" s="141"/>
      <c r="AB1675" s="141"/>
      <c r="AC1675" s="141"/>
      <c r="AD1675" s="141"/>
      <c r="AE1675" s="141"/>
      <c r="AF1675" s="145"/>
      <c r="AG1675" s="419"/>
    </row>
    <row r="1676" spans="1:33" s="139" customFormat="1" ht="12.75" customHeight="1" x14ac:dyDescent="0.2">
      <c r="A1676" s="141"/>
      <c r="B1676" s="141"/>
      <c r="C1676" s="141"/>
      <c r="D1676" s="141"/>
      <c r="E1676" s="1014"/>
      <c r="F1676" s="1014"/>
      <c r="G1676" s="1027"/>
      <c r="H1676" s="1027"/>
      <c r="I1676" s="1174"/>
      <c r="J1676" s="1174"/>
      <c r="K1676" s="1174"/>
      <c r="L1676" s="1172"/>
      <c r="M1676" s="1172"/>
      <c r="N1676" s="1175"/>
      <c r="O1676" s="143"/>
      <c r="P1676" s="1196"/>
      <c r="Q1676" s="141"/>
      <c r="R1676" s="141"/>
      <c r="S1676" s="148"/>
      <c r="T1676" s="419"/>
      <c r="U1676" s="559"/>
      <c r="V1676" s="141"/>
      <c r="W1676" s="141"/>
      <c r="X1676" s="141"/>
      <c r="Y1676" s="144"/>
      <c r="Z1676" s="141"/>
      <c r="AA1676" s="141"/>
      <c r="AB1676" s="141"/>
      <c r="AC1676" s="141"/>
      <c r="AD1676" s="141"/>
      <c r="AE1676" s="141"/>
      <c r="AF1676" s="145"/>
      <c r="AG1676" s="419"/>
    </row>
    <row r="1677" spans="1:33" s="139" customFormat="1" ht="12.75" customHeight="1" x14ac:dyDescent="0.2">
      <c r="A1677" s="141"/>
      <c r="B1677" s="141"/>
      <c r="C1677" s="141"/>
      <c r="D1677" s="141"/>
      <c r="E1677" s="1014"/>
      <c r="F1677" s="1014"/>
      <c r="G1677" s="1027"/>
      <c r="H1677" s="1027"/>
      <c r="I1677" s="1174"/>
      <c r="J1677" s="1174"/>
      <c r="K1677" s="1174"/>
      <c r="L1677" s="1172"/>
      <c r="M1677" s="1172"/>
      <c r="N1677" s="1175"/>
      <c r="O1677" s="143"/>
      <c r="P1677" s="1196"/>
      <c r="Q1677" s="141"/>
      <c r="R1677" s="141"/>
      <c r="S1677" s="148"/>
      <c r="T1677" s="419"/>
      <c r="U1677" s="559"/>
      <c r="V1677" s="141"/>
      <c r="W1677" s="141"/>
      <c r="X1677" s="141"/>
      <c r="Y1677" s="144"/>
      <c r="Z1677" s="141"/>
      <c r="AA1677" s="141"/>
      <c r="AB1677" s="141"/>
      <c r="AC1677" s="141"/>
      <c r="AD1677" s="141"/>
      <c r="AE1677" s="141"/>
      <c r="AF1677" s="145"/>
      <c r="AG1677" s="419"/>
    </row>
    <row r="1678" spans="1:33" s="139" customFormat="1" ht="12.75" customHeight="1" x14ac:dyDescent="0.2">
      <c r="A1678" s="141"/>
      <c r="B1678" s="141"/>
      <c r="C1678" s="141"/>
      <c r="D1678" s="141"/>
      <c r="E1678" s="1014"/>
      <c r="F1678" s="1014"/>
      <c r="G1678" s="1027"/>
      <c r="H1678" s="1027"/>
      <c r="I1678" s="1174"/>
      <c r="J1678" s="1174"/>
      <c r="K1678" s="1174"/>
      <c r="L1678" s="1172"/>
      <c r="M1678" s="1172"/>
      <c r="N1678" s="1175"/>
      <c r="O1678" s="143"/>
      <c r="P1678" s="1196"/>
      <c r="Q1678" s="141"/>
      <c r="R1678" s="141"/>
      <c r="S1678" s="148"/>
      <c r="T1678" s="419"/>
      <c r="U1678" s="559"/>
      <c r="V1678" s="141"/>
      <c r="W1678" s="141"/>
      <c r="X1678" s="141"/>
      <c r="Y1678" s="144"/>
      <c r="Z1678" s="141"/>
      <c r="AA1678" s="141"/>
      <c r="AB1678" s="141"/>
      <c r="AC1678" s="141"/>
      <c r="AD1678" s="141"/>
      <c r="AE1678" s="141"/>
      <c r="AF1678" s="145"/>
      <c r="AG1678" s="419"/>
    </row>
    <row r="1679" spans="1:33" s="139" customFormat="1" ht="12.75" customHeight="1" x14ac:dyDescent="0.2">
      <c r="A1679" s="141"/>
      <c r="B1679" s="141"/>
      <c r="C1679" s="141"/>
      <c r="D1679" s="141"/>
      <c r="E1679" s="1014"/>
      <c r="F1679" s="1014"/>
      <c r="G1679" s="1027"/>
      <c r="H1679" s="1027"/>
      <c r="I1679" s="1174"/>
      <c r="J1679" s="1174"/>
      <c r="K1679" s="1174"/>
      <c r="L1679" s="1172"/>
      <c r="M1679" s="1172"/>
      <c r="N1679" s="1175"/>
      <c r="O1679" s="143"/>
      <c r="P1679" s="1196"/>
      <c r="Q1679" s="141"/>
      <c r="R1679" s="141"/>
      <c r="S1679" s="148"/>
      <c r="T1679" s="419"/>
      <c r="U1679" s="559"/>
      <c r="V1679" s="141"/>
      <c r="W1679" s="141"/>
      <c r="X1679" s="141"/>
      <c r="Y1679" s="144"/>
      <c r="Z1679" s="141"/>
      <c r="AA1679" s="141"/>
      <c r="AB1679" s="141"/>
      <c r="AC1679" s="141"/>
      <c r="AD1679" s="141"/>
      <c r="AE1679" s="141"/>
      <c r="AF1679" s="145"/>
      <c r="AG1679" s="419"/>
    </row>
    <row r="1680" spans="1:33" s="139" customFormat="1" ht="12.75" customHeight="1" x14ac:dyDescent="0.2">
      <c r="A1680" s="141"/>
      <c r="B1680" s="141"/>
      <c r="C1680" s="141"/>
      <c r="D1680" s="141"/>
      <c r="E1680" s="1014"/>
      <c r="F1680" s="1014"/>
      <c r="G1680" s="1027"/>
      <c r="H1680" s="1027"/>
      <c r="I1680" s="1174"/>
      <c r="J1680" s="1174"/>
      <c r="K1680" s="1174"/>
      <c r="L1680" s="1172"/>
      <c r="M1680" s="1172"/>
      <c r="N1680" s="1175"/>
      <c r="O1680" s="143"/>
      <c r="P1680" s="1196"/>
      <c r="Q1680" s="141"/>
      <c r="R1680" s="141"/>
      <c r="S1680" s="148"/>
      <c r="T1680" s="419"/>
      <c r="U1680" s="559"/>
      <c r="V1680" s="141"/>
      <c r="W1680" s="141"/>
      <c r="X1680" s="141"/>
      <c r="Y1680" s="144"/>
      <c r="Z1680" s="141"/>
      <c r="AA1680" s="141"/>
      <c r="AB1680" s="141"/>
      <c r="AC1680" s="141"/>
      <c r="AD1680" s="141"/>
      <c r="AE1680" s="141"/>
      <c r="AF1680" s="145"/>
      <c r="AG1680" s="419"/>
    </row>
    <row r="1681" spans="1:33" s="139" customFormat="1" ht="12.75" customHeight="1" x14ac:dyDescent="0.2">
      <c r="A1681" s="141"/>
      <c r="B1681" s="141"/>
      <c r="C1681" s="141"/>
      <c r="D1681" s="141"/>
      <c r="E1681" s="1014"/>
      <c r="F1681" s="1014"/>
      <c r="G1681" s="1027"/>
      <c r="H1681" s="1027"/>
      <c r="I1681" s="1174"/>
      <c r="J1681" s="1174"/>
      <c r="K1681" s="1174"/>
      <c r="L1681" s="1172"/>
      <c r="M1681" s="1172"/>
      <c r="N1681" s="1175"/>
      <c r="O1681" s="143"/>
      <c r="P1681" s="1196"/>
      <c r="Q1681" s="141"/>
      <c r="R1681" s="141"/>
      <c r="S1681" s="148"/>
      <c r="T1681" s="419"/>
      <c r="U1681" s="559"/>
      <c r="V1681" s="141"/>
      <c r="W1681" s="141"/>
      <c r="X1681" s="141"/>
      <c r="Y1681" s="144"/>
      <c r="Z1681" s="141"/>
      <c r="AA1681" s="141"/>
      <c r="AB1681" s="141"/>
      <c r="AC1681" s="141"/>
      <c r="AD1681" s="141"/>
      <c r="AE1681" s="141"/>
      <c r="AF1681" s="145"/>
      <c r="AG1681" s="419"/>
    </row>
    <row r="1682" spans="1:33" s="139" customFormat="1" ht="12.75" customHeight="1" x14ac:dyDescent="0.2">
      <c r="A1682" s="141"/>
      <c r="B1682" s="141"/>
      <c r="C1682" s="141"/>
      <c r="D1682" s="141"/>
      <c r="E1682" s="1014"/>
      <c r="F1682" s="1014"/>
      <c r="G1682" s="1027"/>
      <c r="H1682" s="1027"/>
      <c r="I1682" s="1174"/>
      <c r="J1682" s="1174"/>
      <c r="K1682" s="1174"/>
      <c r="L1682" s="1172"/>
      <c r="M1682" s="1172"/>
      <c r="N1682" s="1175"/>
      <c r="O1682" s="143"/>
      <c r="P1682" s="1196"/>
      <c r="Q1682" s="141"/>
      <c r="R1682" s="141"/>
      <c r="S1682" s="148"/>
      <c r="T1682" s="419"/>
      <c r="U1682" s="559"/>
      <c r="V1682" s="141"/>
      <c r="W1682" s="141"/>
      <c r="X1682" s="141"/>
      <c r="Y1682" s="144"/>
      <c r="Z1682" s="141"/>
      <c r="AA1682" s="141"/>
      <c r="AB1682" s="141"/>
      <c r="AC1682" s="141"/>
      <c r="AD1682" s="141"/>
      <c r="AE1682" s="141"/>
      <c r="AF1682" s="145"/>
      <c r="AG1682" s="419"/>
    </row>
    <row r="1683" spans="1:33" s="139" customFormat="1" ht="12.75" customHeight="1" x14ac:dyDescent="0.2">
      <c r="A1683" s="141"/>
      <c r="B1683" s="141"/>
      <c r="C1683" s="141"/>
      <c r="D1683" s="141"/>
      <c r="E1683" s="1014"/>
      <c r="F1683" s="1014"/>
      <c r="G1683" s="1027"/>
      <c r="H1683" s="1027"/>
      <c r="I1683" s="1174"/>
      <c r="J1683" s="1174"/>
      <c r="K1683" s="1174"/>
      <c r="L1683" s="1172"/>
      <c r="M1683" s="1172"/>
      <c r="N1683" s="1175"/>
      <c r="O1683" s="143"/>
      <c r="P1683" s="1196"/>
      <c r="Q1683" s="141"/>
      <c r="R1683" s="141"/>
      <c r="S1683" s="148"/>
      <c r="T1683" s="419"/>
      <c r="U1683" s="559"/>
      <c r="V1683" s="141"/>
      <c r="W1683" s="141"/>
      <c r="X1683" s="141"/>
      <c r="Y1683" s="144"/>
      <c r="Z1683" s="141"/>
      <c r="AA1683" s="141"/>
      <c r="AB1683" s="141"/>
      <c r="AC1683" s="141"/>
      <c r="AD1683" s="141"/>
      <c r="AE1683" s="141"/>
      <c r="AF1683" s="145"/>
      <c r="AG1683" s="419"/>
    </row>
    <row r="1684" spans="1:33" s="139" customFormat="1" ht="12.75" customHeight="1" x14ac:dyDescent="0.2">
      <c r="A1684" s="141"/>
      <c r="B1684" s="141"/>
      <c r="C1684" s="141"/>
      <c r="D1684" s="141"/>
      <c r="E1684" s="1014"/>
      <c r="F1684" s="1014"/>
      <c r="G1684" s="1027"/>
      <c r="H1684" s="1027"/>
      <c r="I1684" s="1174"/>
      <c r="J1684" s="1174"/>
      <c r="K1684" s="1174"/>
      <c r="L1684" s="1172"/>
      <c r="M1684" s="1172"/>
      <c r="N1684" s="1175"/>
      <c r="O1684" s="143"/>
      <c r="P1684" s="1196"/>
      <c r="Q1684" s="141"/>
      <c r="R1684" s="141"/>
      <c r="S1684" s="148"/>
      <c r="T1684" s="419"/>
      <c r="U1684" s="559"/>
      <c r="V1684" s="141"/>
      <c r="W1684" s="141"/>
      <c r="X1684" s="141"/>
      <c r="Y1684" s="144"/>
      <c r="Z1684" s="141"/>
      <c r="AA1684" s="141"/>
      <c r="AB1684" s="141"/>
      <c r="AC1684" s="141"/>
      <c r="AD1684" s="141"/>
      <c r="AE1684" s="141"/>
      <c r="AF1684" s="145"/>
      <c r="AG1684" s="419"/>
    </row>
    <row r="1685" spans="1:33" s="139" customFormat="1" ht="12.75" customHeight="1" x14ac:dyDescent="0.2">
      <c r="A1685" s="141"/>
      <c r="B1685" s="141"/>
      <c r="C1685" s="141"/>
      <c r="D1685" s="141"/>
      <c r="E1685" s="1014"/>
      <c r="F1685" s="1014"/>
      <c r="G1685" s="1027"/>
      <c r="H1685" s="1027"/>
      <c r="I1685" s="1174"/>
      <c r="J1685" s="1174"/>
      <c r="K1685" s="1174"/>
      <c r="L1685" s="1172"/>
      <c r="M1685" s="1172"/>
      <c r="N1685" s="1175"/>
      <c r="O1685" s="143"/>
      <c r="P1685" s="1196"/>
      <c r="Q1685" s="141"/>
      <c r="R1685" s="141"/>
      <c r="S1685" s="148"/>
      <c r="T1685" s="419"/>
      <c r="U1685" s="559"/>
      <c r="V1685" s="141"/>
      <c r="W1685" s="141"/>
      <c r="X1685" s="141"/>
      <c r="Y1685" s="144"/>
      <c r="Z1685" s="141"/>
      <c r="AA1685" s="141"/>
      <c r="AB1685" s="141"/>
      <c r="AC1685" s="141"/>
      <c r="AD1685" s="141"/>
      <c r="AE1685" s="141"/>
      <c r="AF1685" s="145"/>
      <c r="AG1685" s="419"/>
    </row>
    <row r="1686" spans="1:33" s="139" customFormat="1" ht="12.75" customHeight="1" x14ac:dyDescent="0.2">
      <c r="A1686" s="141"/>
      <c r="B1686" s="141"/>
      <c r="C1686" s="141"/>
      <c r="D1686" s="141"/>
      <c r="E1686" s="1014"/>
      <c r="F1686" s="1014"/>
      <c r="G1686" s="1027"/>
      <c r="H1686" s="1027"/>
      <c r="I1686" s="1174"/>
      <c r="J1686" s="1174"/>
      <c r="K1686" s="1174"/>
      <c r="L1686" s="1172"/>
      <c r="M1686" s="1172"/>
      <c r="N1686" s="1175"/>
      <c r="O1686" s="143"/>
      <c r="P1686" s="1196"/>
      <c r="Q1686" s="141"/>
      <c r="R1686" s="141"/>
      <c r="S1686" s="148"/>
      <c r="T1686" s="419"/>
      <c r="U1686" s="559"/>
      <c r="V1686" s="141"/>
      <c r="W1686" s="141"/>
      <c r="X1686" s="141"/>
      <c r="Y1686" s="144"/>
      <c r="Z1686" s="141"/>
      <c r="AA1686" s="141"/>
      <c r="AB1686" s="141"/>
      <c r="AC1686" s="141"/>
      <c r="AD1686" s="141"/>
      <c r="AE1686" s="141"/>
      <c r="AF1686" s="145"/>
      <c r="AG1686" s="419"/>
    </row>
    <row r="1687" spans="1:33" s="139" customFormat="1" ht="12.75" customHeight="1" x14ac:dyDescent="0.2">
      <c r="A1687" s="141"/>
      <c r="B1687" s="141"/>
      <c r="C1687" s="141"/>
      <c r="D1687" s="141"/>
      <c r="E1687" s="1014"/>
      <c r="F1687" s="1014"/>
      <c r="G1687" s="1027"/>
      <c r="H1687" s="1027"/>
      <c r="I1687" s="1174"/>
      <c r="J1687" s="1174"/>
      <c r="K1687" s="1174"/>
      <c r="L1687" s="1172"/>
      <c r="M1687" s="1172"/>
      <c r="N1687" s="1175"/>
      <c r="O1687" s="143"/>
      <c r="P1687" s="1196"/>
      <c r="Q1687" s="141"/>
      <c r="R1687" s="141"/>
      <c r="S1687" s="148"/>
      <c r="T1687" s="419"/>
      <c r="U1687" s="559"/>
      <c r="V1687" s="141"/>
      <c r="W1687" s="141"/>
      <c r="X1687" s="141"/>
      <c r="Y1687" s="144"/>
      <c r="Z1687" s="141"/>
      <c r="AA1687" s="141"/>
      <c r="AB1687" s="141"/>
      <c r="AC1687" s="141"/>
      <c r="AD1687" s="141"/>
      <c r="AE1687" s="141"/>
      <c r="AF1687" s="145"/>
      <c r="AG1687" s="419"/>
    </row>
    <row r="1688" spans="1:33" s="139" customFormat="1" ht="12.75" customHeight="1" x14ac:dyDescent="0.2">
      <c r="A1688" s="141"/>
      <c r="B1688" s="141"/>
      <c r="C1688" s="141"/>
      <c r="D1688" s="141"/>
      <c r="E1688" s="1014"/>
      <c r="F1688" s="1014"/>
      <c r="G1688" s="1027"/>
      <c r="H1688" s="1027"/>
      <c r="I1688" s="1174"/>
      <c r="J1688" s="1174"/>
      <c r="K1688" s="1174"/>
      <c r="L1688" s="1172"/>
      <c r="M1688" s="1172"/>
      <c r="N1688" s="1175"/>
      <c r="O1688" s="143"/>
      <c r="P1688" s="1196"/>
      <c r="Q1688" s="141"/>
      <c r="R1688" s="141"/>
      <c r="S1688" s="148"/>
      <c r="T1688" s="419"/>
      <c r="U1688" s="559"/>
      <c r="V1688" s="141"/>
      <c r="W1688" s="141"/>
      <c r="X1688" s="141"/>
      <c r="Y1688" s="144"/>
      <c r="Z1688" s="141"/>
      <c r="AA1688" s="141"/>
      <c r="AB1688" s="141"/>
      <c r="AC1688" s="141"/>
      <c r="AD1688" s="141"/>
      <c r="AE1688" s="141"/>
      <c r="AF1688" s="145"/>
      <c r="AG1688" s="419"/>
    </row>
    <row r="1689" spans="1:33" s="139" customFormat="1" ht="12.75" customHeight="1" x14ac:dyDescent="0.2">
      <c r="A1689" s="141"/>
      <c r="B1689" s="141"/>
      <c r="C1689" s="141"/>
      <c r="D1689" s="141"/>
      <c r="E1689" s="1014"/>
      <c r="F1689" s="1014"/>
      <c r="G1689" s="1027"/>
      <c r="H1689" s="1027"/>
      <c r="I1689" s="1174"/>
      <c r="J1689" s="1174"/>
      <c r="K1689" s="1174"/>
      <c r="L1689" s="1172"/>
      <c r="M1689" s="1172"/>
      <c r="N1689" s="1175"/>
      <c r="O1689" s="143"/>
      <c r="P1689" s="1196"/>
      <c r="Q1689" s="141"/>
      <c r="R1689" s="141"/>
      <c r="S1689" s="148"/>
      <c r="T1689" s="419"/>
      <c r="U1689" s="559"/>
      <c r="V1689" s="141"/>
      <c r="W1689" s="141"/>
      <c r="X1689" s="141"/>
      <c r="Y1689" s="144"/>
      <c r="Z1689" s="141"/>
      <c r="AA1689" s="141"/>
      <c r="AB1689" s="141"/>
      <c r="AC1689" s="141"/>
      <c r="AD1689" s="141"/>
      <c r="AE1689" s="141"/>
      <c r="AF1689" s="145"/>
      <c r="AG1689" s="419"/>
    </row>
    <row r="1690" spans="1:33" s="139" customFormat="1" ht="12.75" customHeight="1" x14ac:dyDescent="0.2">
      <c r="A1690" s="141"/>
      <c r="B1690" s="141"/>
      <c r="C1690" s="141"/>
      <c r="D1690" s="141"/>
      <c r="E1690" s="1014"/>
      <c r="F1690" s="1014"/>
      <c r="G1690" s="1027"/>
      <c r="H1690" s="1027"/>
      <c r="I1690" s="1174"/>
      <c r="J1690" s="1174"/>
      <c r="K1690" s="1174"/>
      <c r="L1690" s="1172"/>
      <c r="M1690" s="1172"/>
      <c r="N1690" s="1175"/>
      <c r="O1690" s="143"/>
      <c r="P1690" s="1196"/>
      <c r="Q1690" s="141"/>
      <c r="R1690" s="141"/>
      <c r="S1690" s="148"/>
      <c r="T1690" s="419"/>
      <c r="U1690" s="559"/>
      <c r="V1690" s="141"/>
      <c r="W1690" s="141"/>
      <c r="X1690" s="141"/>
      <c r="Y1690" s="144"/>
      <c r="Z1690" s="141"/>
      <c r="AA1690" s="141"/>
      <c r="AB1690" s="141"/>
      <c r="AC1690" s="141"/>
      <c r="AD1690" s="141"/>
      <c r="AE1690" s="141"/>
      <c r="AF1690" s="145"/>
      <c r="AG1690" s="419"/>
    </row>
    <row r="1691" spans="1:33" s="139" customFormat="1" ht="12.75" customHeight="1" x14ac:dyDescent="0.2">
      <c r="A1691" s="141"/>
      <c r="B1691" s="141"/>
      <c r="C1691" s="141"/>
      <c r="D1691" s="141"/>
      <c r="E1691" s="1014"/>
      <c r="F1691" s="1014"/>
      <c r="G1691" s="1027"/>
      <c r="H1691" s="1027"/>
      <c r="I1691" s="1174"/>
      <c r="J1691" s="1174"/>
      <c r="K1691" s="1174"/>
      <c r="L1691" s="1172"/>
      <c r="M1691" s="1172"/>
      <c r="N1691" s="1175"/>
      <c r="O1691" s="143"/>
      <c r="P1691" s="1196"/>
      <c r="Q1691" s="141"/>
      <c r="R1691" s="141"/>
      <c r="S1691" s="148"/>
      <c r="T1691" s="419"/>
      <c r="U1691" s="559"/>
      <c r="V1691" s="141"/>
      <c r="W1691" s="141"/>
      <c r="X1691" s="141"/>
      <c r="Y1691" s="144"/>
      <c r="Z1691" s="141"/>
      <c r="AA1691" s="141"/>
      <c r="AB1691" s="141"/>
      <c r="AC1691" s="141"/>
      <c r="AD1691" s="141"/>
      <c r="AE1691" s="141"/>
      <c r="AF1691" s="145"/>
      <c r="AG1691" s="419"/>
    </row>
    <row r="1692" spans="1:33" s="139" customFormat="1" ht="12.75" customHeight="1" x14ac:dyDescent="0.2">
      <c r="A1692" s="141"/>
      <c r="B1692" s="141"/>
      <c r="C1692" s="141"/>
      <c r="D1692" s="141"/>
      <c r="E1692" s="1014"/>
      <c r="F1692" s="1014"/>
      <c r="G1692" s="1027"/>
      <c r="H1692" s="1027"/>
      <c r="I1692" s="1174"/>
      <c r="J1692" s="1174"/>
      <c r="K1692" s="1174"/>
      <c r="L1692" s="1172"/>
      <c r="M1692" s="1172"/>
      <c r="N1692" s="1175"/>
      <c r="O1692" s="143"/>
      <c r="P1692" s="1196"/>
      <c r="Q1692" s="141"/>
      <c r="R1692" s="141"/>
      <c r="S1692" s="148"/>
      <c r="T1692" s="419"/>
      <c r="U1692" s="559"/>
      <c r="V1692" s="141"/>
      <c r="W1692" s="141"/>
      <c r="X1692" s="141"/>
      <c r="Y1692" s="144"/>
      <c r="Z1692" s="141"/>
      <c r="AA1692" s="141"/>
      <c r="AB1692" s="141"/>
      <c r="AC1692" s="141"/>
      <c r="AD1692" s="141"/>
      <c r="AE1692" s="141"/>
      <c r="AF1692" s="145"/>
      <c r="AG1692" s="419"/>
    </row>
    <row r="1693" spans="1:33" s="139" customFormat="1" ht="12.75" customHeight="1" x14ac:dyDescent="0.2">
      <c r="A1693" s="141"/>
      <c r="B1693" s="141"/>
      <c r="C1693" s="141"/>
      <c r="D1693" s="141"/>
      <c r="E1693" s="1014"/>
      <c r="F1693" s="1014"/>
      <c r="G1693" s="1027"/>
      <c r="H1693" s="1027"/>
      <c r="I1693" s="1174"/>
      <c r="J1693" s="1174"/>
      <c r="K1693" s="1174"/>
      <c r="L1693" s="1172"/>
      <c r="M1693" s="1172"/>
      <c r="N1693" s="1175"/>
      <c r="O1693" s="143"/>
      <c r="P1693" s="1196"/>
      <c r="Q1693" s="141"/>
      <c r="R1693" s="141"/>
      <c r="S1693" s="148"/>
      <c r="T1693" s="419"/>
      <c r="U1693" s="559"/>
      <c r="V1693" s="141"/>
      <c r="W1693" s="141"/>
      <c r="X1693" s="141"/>
      <c r="Y1693" s="144"/>
      <c r="Z1693" s="141"/>
      <c r="AA1693" s="141"/>
      <c r="AB1693" s="141"/>
      <c r="AC1693" s="141"/>
      <c r="AD1693" s="141"/>
      <c r="AE1693" s="141"/>
      <c r="AF1693" s="145"/>
      <c r="AG1693" s="419"/>
    </row>
    <row r="1694" spans="1:33" s="139" customFormat="1" ht="12.75" customHeight="1" x14ac:dyDescent="0.2">
      <c r="A1694" s="141"/>
      <c r="B1694" s="141"/>
      <c r="C1694" s="141"/>
      <c r="D1694" s="141"/>
      <c r="E1694" s="1014"/>
      <c r="F1694" s="1014"/>
      <c r="G1694" s="1027"/>
      <c r="H1694" s="1027"/>
      <c r="I1694" s="1174"/>
      <c r="J1694" s="1174"/>
      <c r="K1694" s="1174"/>
      <c r="L1694" s="1172"/>
      <c r="M1694" s="1172"/>
      <c r="N1694" s="1175"/>
      <c r="O1694" s="143"/>
      <c r="P1694" s="1196"/>
      <c r="Q1694" s="141"/>
      <c r="R1694" s="141"/>
      <c r="S1694" s="148"/>
      <c r="T1694" s="419"/>
      <c r="U1694" s="559"/>
      <c r="V1694" s="141"/>
      <c r="W1694" s="141"/>
      <c r="X1694" s="141"/>
      <c r="Y1694" s="144"/>
      <c r="Z1694" s="141"/>
      <c r="AA1694" s="141"/>
      <c r="AB1694" s="141"/>
      <c r="AC1694" s="141"/>
      <c r="AD1694" s="141"/>
      <c r="AE1694" s="141"/>
      <c r="AF1694" s="145"/>
      <c r="AG1694" s="419"/>
    </row>
    <row r="1695" spans="1:33" s="139" customFormat="1" ht="12.75" customHeight="1" x14ac:dyDescent="0.2">
      <c r="A1695" s="141"/>
      <c r="B1695" s="141"/>
      <c r="C1695" s="141"/>
      <c r="D1695" s="141"/>
      <c r="E1695" s="1014"/>
      <c r="F1695" s="1014"/>
      <c r="G1695" s="1027"/>
      <c r="H1695" s="1027"/>
      <c r="I1695" s="1174"/>
      <c r="J1695" s="1174"/>
      <c r="K1695" s="1174"/>
      <c r="L1695" s="1172"/>
      <c r="M1695" s="1172"/>
      <c r="N1695" s="1175"/>
      <c r="O1695" s="143"/>
      <c r="P1695" s="1196"/>
      <c r="Q1695" s="141"/>
      <c r="R1695" s="141"/>
      <c r="S1695" s="148"/>
      <c r="T1695" s="419"/>
      <c r="U1695" s="559"/>
      <c r="V1695" s="141"/>
      <c r="W1695" s="141"/>
      <c r="X1695" s="141"/>
      <c r="Y1695" s="144"/>
      <c r="Z1695" s="141"/>
      <c r="AA1695" s="141"/>
      <c r="AB1695" s="141"/>
      <c r="AC1695" s="141"/>
      <c r="AD1695" s="141"/>
      <c r="AE1695" s="141"/>
      <c r="AF1695" s="145"/>
      <c r="AG1695" s="419"/>
    </row>
    <row r="1696" spans="1:33" s="139" customFormat="1" ht="12.75" customHeight="1" x14ac:dyDescent="0.2">
      <c r="A1696" s="141"/>
      <c r="B1696" s="141"/>
      <c r="C1696" s="141"/>
      <c r="D1696" s="141"/>
      <c r="E1696" s="1014"/>
      <c r="F1696" s="1014"/>
      <c r="G1696" s="1027"/>
      <c r="H1696" s="1027"/>
      <c r="I1696" s="1174"/>
      <c r="J1696" s="1174"/>
      <c r="K1696" s="1174"/>
      <c r="L1696" s="1172"/>
      <c r="M1696" s="1172"/>
      <c r="N1696" s="1175"/>
      <c r="O1696" s="143"/>
      <c r="P1696" s="1196"/>
      <c r="Q1696" s="141"/>
      <c r="R1696" s="141"/>
      <c r="S1696" s="148"/>
      <c r="T1696" s="419"/>
      <c r="U1696" s="559"/>
      <c r="V1696" s="141"/>
      <c r="W1696" s="141"/>
      <c r="X1696" s="141"/>
      <c r="Y1696" s="144"/>
      <c r="Z1696" s="141"/>
      <c r="AA1696" s="141"/>
      <c r="AB1696" s="141"/>
      <c r="AC1696" s="141"/>
      <c r="AD1696" s="141"/>
      <c r="AE1696" s="141"/>
      <c r="AF1696" s="145"/>
      <c r="AG1696" s="419"/>
    </row>
    <row r="1697" spans="1:33" s="139" customFormat="1" ht="12.75" customHeight="1" x14ac:dyDescent="0.2">
      <c r="A1697" s="141"/>
      <c r="B1697" s="141"/>
      <c r="C1697" s="141"/>
      <c r="D1697" s="141"/>
      <c r="E1697" s="1014"/>
      <c r="F1697" s="1014"/>
      <c r="G1697" s="1027"/>
      <c r="H1697" s="1027"/>
      <c r="I1697" s="1174"/>
      <c r="J1697" s="1174"/>
      <c r="K1697" s="1174"/>
      <c r="L1697" s="1172"/>
      <c r="M1697" s="1172"/>
      <c r="N1697" s="1175"/>
      <c r="O1697" s="143"/>
      <c r="P1697" s="1196"/>
      <c r="Q1697" s="141"/>
      <c r="R1697" s="141"/>
      <c r="S1697" s="148"/>
      <c r="T1697" s="419"/>
      <c r="U1697" s="559"/>
      <c r="V1697" s="141"/>
      <c r="W1697" s="141"/>
      <c r="X1697" s="141"/>
      <c r="Y1697" s="144"/>
      <c r="Z1697" s="141"/>
      <c r="AA1697" s="141"/>
      <c r="AB1697" s="141"/>
      <c r="AC1697" s="141"/>
      <c r="AD1697" s="141"/>
      <c r="AE1697" s="141"/>
      <c r="AF1697" s="145"/>
      <c r="AG1697" s="419"/>
    </row>
    <row r="1698" spans="1:33" s="139" customFormat="1" ht="12.75" customHeight="1" x14ac:dyDescent="0.2">
      <c r="A1698" s="141"/>
      <c r="B1698" s="141"/>
      <c r="C1698" s="141"/>
      <c r="D1698" s="141"/>
      <c r="E1698" s="1014"/>
      <c r="F1698" s="1014"/>
      <c r="G1698" s="1027"/>
      <c r="H1698" s="1027"/>
      <c r="I1698" s="1174"/>
      <c r="J1698" s="1174"/>
      <c r="K1698" s="1174"/>
      <c r="L1698" s="1172"/>
      <c r="M1698" s="1172"/>
      <c r="N1698" s="1175"/>
      <c r="O1698" s="143"/>
      <c r="P1698" s="1196"/>
      <c r="Q1698" s="141"/>
      <c r="R1698" s="141"/>
      <c r="S1698" s="148"/>
      <c r="T1698" s="419"/>
      <c r="U1698" s="559"/>
      <c r="V1698" s="141"/>
      <c r="W1698" s="141"/>
      <c r="X1698" s="141"/>
      <c r="Y1698" s="144"/>
      <c r="Z1698" s="141"/>
      <c r="AA1698" s="141"/>
      <c r="AB1698" s="141"/>
      <c r="AC1698" s="141"/>
      <c r="AD1698" s="141"/>
      <c r="AE1698" s="141"/>
      <c r="AF1698" s="145"/>
      <c r="AG1698" s="419"/>
    </row>
    <row r="1699" spans="1:33" s="139" customFormat="1" ht="12.75" customHeight="1" x14ac:dyDescent="0.2">
      <c r="A1699" s="141"/>
      <c r="B1699" s="141"/>
      <c r="C1699" s="141"/>
      <c r="D1699" s="141"/>
      <c r="E1699" s="1014"/>
      <c r="F1699" s="1014"/>
      <c r="G1699" s="1027"/>
      <c r="H1699" s="1027"/>
      <c r="I1699" s="1174"/>
      <c r="J1699" s="1174"/>
      <c r="K1699" s="1174"/>
      <c r="L1699" s="1172"/>
      <c r="M1699" s="1172"/>
      <c r="N1699" s="1175"/>
      <c r="O1699" s="143"/>
      <c r="P1699" s="1196"/>
      <c r="Q1699" s="141"/>
      <c r="R1699" s="141"/>
      <c r="S1699" s="148"/>
      <c r="T1699" s="419"/>
      <c r="U1699" s="559"/>
      <c r="V1699" s="141"/>
      <c r="W1699" s="141"/>
      <c r="X1699" s="141"/>
      <c r="Y1699" s="144"/>
      <c r="Z1699" s="141"/>
      <c r="AA1699" s="141"/>
      <c r="AB1699" s="141"/>
      <c r="AC1699" s="141"/>
      <c r="AD1699" s="141"/>
      <c r="AE1699" s="141"/>
      <c r="AF1699" s="145"/>
      <c r="AG1699" s="419"/>
    </row>
    <row r="1700" spans="1:33" s="139" customFormat="1" ht="12.75" customHeight="1" x14ac:dyDescent="0.2">
      <c r="A1700" s="141"/>
      <c r="B1700" s="141"/>
      <c r="C1700" s="141"/>
      <c r="D1700" s="141"/>
      <c r="E1700" s="1014"/>
      <c r="F1700" s="1014"/>
      <c r="G1700" s="1027"/>
      <c r="H1700" s="1027"/>
      <c r="I1700" s="1174"/>
      <c r="J1700" s="1174"/>
      <c r="K1700" s="1174"/>
      <c r="L1700" s="1172"/>
      <c r="M1700" s="1172"/>
      <c r="N1700" s="1175"/>
      <c r="O1700" s="143"/>
      <c r="P1700" s="1196"/>
      <c r="Q1700" s="141"/>
      <c r="R1700" s="141"/>
      <c r="S1700" s="148"/>
      <c r="T1700" s="419"/>
      <c r="U1700" s="559"/>
      <c r="V1700" s="141"/>
      <c r="W1700" s="141"/>
      <c r="X1700" s="141"/>
      <c r="Y1700" s="144"/>
      <c r="Z1700" s="141"/>
      <c r="AA1700" s="141"/>
      <c r="AB1700" s="141"/>
      <c r="AC1700" s="141"/>
      <c r="AD1700" s="141"/>
      <c r="AE1700" s="141"/>
      <c r="AF1700" s="145"/>
      <c r="AG1700" s="419"/>
    </row>
    <row r="1701" spans="1:33" s="139" customFormat="1" ht="12.75" customHeight="1" x14ac:dyDescent="0.2">
      <c r="A1701" s="141"/>
      <c r="B1701" s="141"/>
      <c r="C1701" s="141"/>
      <c r="D1701" s="141"/>
      <c r="E1701" s="1014"/>
      <c r="F1701" s="1014"/>
      <c r="G1701" s="1027"/>
      <c r="H1701" s="1027"/>
      <c r="I1701" s="1174"/>
      <c r="J1701" s="1174"/>
      <c r="K1701" s="1174"/>
      <c r="L1701" s="1172"/>
      <c r="M1701" s="1172"/>
      <c r="N1701" s="1175"/>
      <c r="O1701" s="143"/>
      <c r="P1701" s="1196"/>
      <c r="Q1701" s="141"/>
      <c r="R1701" s="141"/>
      <c r="S1701" s="148"/>
      <c r="T1701" s="419"/>
      <c r="U1701" s="559"/>
      <c r="V1701" s="141"/>
      <c r="W1701" s="141"/>
      <c r="X1701" s="141"/>
      <c r="Y1701" s="144"/>
      <c r="Z1701" s="141"/>
      <c r="AA1701" s="141"/>
      <c r="AB1701" s="141"/>
      <c r="AC1701" s="141"/>
      <c r="AD1701" s="141"/>
      <c r="AE1701" s="141"/>
      <c r="AF1701" s="145"/>
      <c r="AG1701" s="419"/>
    </row>
    <row r="1702" spans="1:33" s="139" customFormat="1" ht="12.75" customHeight="1" x14ac:dyDescent="0.2">
      <c r="A1702" s="141"/>
      <c r="B1702" s="141"/>
      <c r="C1702" s="141"/>
      <c r="D1702" s="141"/>
      <c r="E1702" s="1014"/>
      <c r="F1702" s="1014"/>
      <c r="G1702" s="1027"/>
      <c r="H1702" s="1027"/>
      <c r="I1702" s="1174"/>
      <c r="J1702" s="1174"/>
      <c r="K1702" s="1174"/>
      <c r="L1702" s="1172"/>
      <c r="M1702" s="1172"/>
      <c r="N1702" s="1175"/>
      <c r="O1702" s="143"/>
      <c r="P1702" s="1196"/>
      <c r="Q1702" s="141"/>
      <c r="R1702" s="141"/>
      <c r="S1702" s="148"/>
      <c r="T1702" s="419"/>
      <c r="U1702" s="559"/>
      <c r="V1702" s="141"/>
      <c r="W1702" s="141"/>
      <c r="X1702" s="141"/>
      <c r="Y1702" s="144"/>
      <c r="Z1702" s="141"/>
      <c r="AA1702" s="141"/>
      <c r="AB1702" s="141"/>
      <c r="AC1702" s="141"/>
      <c r="AD1702" s="141"/>
      <c r="AE1702" s="141"/>
      <c r="AF1702" s="145"/>
      <c r="AG1702" s="419"/>
    </row>
    <row r="1703" spans="1:33" s="139" customFormat="1" ht="12.75" customHeight="1" x14ac:dyDescent="0.2">
      <c r="A1703" s="141"/>
      <c r="B1703" s="141"/>
      <c r="C1703" s="141"/>
      <c r="D1703" s="141"/>
      <c r="E1703" s="1014"/>
      <c r="F1703" s="1014"/>
      <c r="G1703" s="1027"/>
      <c r="H1703" s="1027"/>
      <c r="I1703" s="1174"/>
      <c r="J1703" s="1174"/>
      <c r="K1703" s="1174"/>
      <c r="L1703" s="1172"/>
      <c r="M1703" s="1172"/>
      <c r="N1703" s="1175"/>
      <c r="O1703" s="143"/>
      <c r="P1703" s="1196"/>
      <c r="Q1703" s="141"/>
      <c r="R1703" s="141"/>
      <c r="S1703" s="148"/>
      <c r="T1703" s="419"/>
      <c r="U1703" s="559"/>
      <c r="V1703" s="141"/>
      <c r="W1703" s="141"/>
      <c r="X1703" s="141"/>
      <c r="Y1703" s="144"/>
      <c r="Z1703" s="141"/>
      <c r="AA1703" s="141"/>
      <c r="AB1703" s="141"/>
      <c r="AC1703" s="141"/>
      <c r="AD1703" s="141"/>
      <c r="AE1703" s="141"/>
      <c r="AF1703" s="145"/>
      <c r="AG1703" s="419"/>
    </row>
    <row r="1704" spans="1:33" s="139" customFormat="1" ht="12.75" customHeight="1" x14ac:dyDescent="0.2">
      <c r="A1704" s="141"/>
      <c r="B1704" s="141"/>
      <c r="C1704" s="141"/>
      <c r="D1704" s="141"/>
      <c r="E1704" s="1014"/>
      <c r="F1704" s="1014"/>
      <c r="G1704" s="1027"/>
      <c r="H1704" s="1027"/>
      <c r="I1704" s="1174"/>
      <c r="J1704" s="1174"/>
      <c r="K1704" s="1174"/>
      <c r="L1704" s="1172"/>
      <c r="M1704" s="1172"/>
      <c r="N1704" s="1175"/>
      <c r="O1704" s="143"/>
      <c r="P1704" s="1196"/>
      <c r="Q1704" s="141"/>
      <c r="R1704" s="141"/>
      <c r="S1704" s="148"/>
      <c r="T1704" s="419"/>
      <c r="U1704" s="559"/>
      <c r="V1704" s="141"/>
      <c r="W1704" s="141"/>
      <c r="X1704" s="141"/>
      <c r="Y1704" s="144"/>
      <c r="Z1704" s="141"/>
      <c r="AA1704" s="141"/>
      <c r="AB1704" s="141"/>
      <c r="AC1704" s="141"/>
      <c r="AD1704" s="141"/>
      <c r="AE1704" s="141"/>
      <c r="AF1704" s="145"/>
      <c r="AG1704" s="419"/>
    </row>
    <row r="1705" spans="1:33" s="139" customFormat="1" ht="12.75" customHeight="1" x14ac:dyDescent="0.2">
      <c r="A1705" s="141"/>
      <c r="B1705" s="141"/>
      <c r="C1705" s="141"/>
      <c r="D1705" s="141"/>
      <c r="E1705" s="1014"/>
      <c r="F1705" s="1014"/>
      <c r="G1705" s="1027"/>
      <c r="H1705" s="1027"/>
      <c r="I1705" s="1174"/>
      <c r="J1705" s="1174"/>
      <c r="K1705" s="1174"/>
      <c r="L1705" s="1172"/>
      <c r="M1705" s="1172"/>
      <c r="N1705" s="1175"/>
      <c r="O1705" s="143"/>
      <c r="P1705" s="1196"/>
      <c r="Q1705" s="141"/>
      <c r="R1705" s="141"/>
      <c r="S1705" s="148"/>
      <c r="T1705" s="419"/>
      <c r="U1705" s="559"/>
      <c r="V1705" s="141"/>
      <c r="W1705" s="141"/>
      <c r="X1705" s="141"/>
      <c r="Y1705" s="144"/>
      <c r="Z1705" s="141"/>
      <c r="AA1705" s="141"/>
      <c r="AB1705" s="141"/>
      <c r="AC1705" s="141"/>
      <c r="AD1705" s="141"/>
      <c r="AE1705" s="141"/>
      <c r="AF1705" s="145"/>
      <c r="AG1705" s="419"/>
    </row>
    <row r="1706" spans="1:33" s="139" customFormat="1" ht="12.75" customHeight="1" x14ac:dyDescent="0.2">
      <c r="A1706" s="141"/>
      <c r="B1706" s="141"/>
      <c r="C1706" s="141"/>
      <c r="D1706" s="141"/>
      <c r="E1706" s="1014"/>
      <c r="F1706" s="1014"/>
      <c r="G1706" s="1027"/>
      <c r="H1706" s="1027"/>
      <c r="I1706" s="1174"/>
      <c r="J1706" s="1174"/>
      <c r="K1706" s="1174"/>
      <c r="L1706" s="1172"/>
      <c r="M1706" s="1172"/>
      <c r="N1706" s="1175"/>
      <c r="O1706" s="143"/>
      <c r="P1706" s="1196"/>
      <c r="Q1706" s="141"/>
      <c r="R1706" s="141"/>
      <c r="S1706" s="148"/>
      <c r="T1706" s="419"/>
      <c r="U1706" s="559"/>
      <c r="V1706" s="141"/>
      <c r="W1706" s="141"/>
      <c r="X1706" s="141"/>
      <c r="Y1706" s="144"/>
      <c r="Z1706" s="141"/>
      <c r="AA1706" s="141"/>
      <c r="AB1706" s="141"/>
      <c r="AC1706" s="141"/>
      <c r="AD1706" s="141"/>
      <c r="AE1706" s="141"/>
      <c r="AF1706" s="145"/>
      <c r="AG1706" s="419"/>
    </row>
    <row r="1707" spans="1:33" s="139" customFormat="1" ht="12.75" customHeight="1" x14ac:dyDescent="0.2">
      <c r="A1707" s="141"/>
      <c r="B1707" s="141"/>
      <c r="C1707" s="141"/>
      <c r="D1707" s="141"/>
      <c r="E1707" s="1014"/>
      <c r="F1707" s="1014"/>
      <c r="G1707" s="1027"/>
      <c r="H1707" s="1027"/>
      <c r="I1707" s="1174"/>
      <c r="J1707" s="1174"/>
      <c r="K1707" s="1174"/>
      <c r="L1707" s="1172"/>
      <c r="M1707" s="1172"/>
      <c r="N1707" s="1175"/>
      <c r="O1707" s="143"/>
      <c r="P1707" s="1196"/>
      <c r="Q1707" s="141"/>
      <c r="R1707" s="141"/>
      <c r="S1707" s="148"/>
      <c r="T1707" s="419"/>
      <c r="U1707" s="559"/>
      <c r="V1707" s="141"/>
      <c r="W1707" s="141"/>
      <c r="X1707" s="141"/>
      <c r="Y1707" s="144"/>
      <c r="Z1707" s="141"/>
      <c r="AA1707" s="141"/>
      <c r="AB1707" s="141"/>
      <c r="AC1707" s="141"/>
      <c r="AD1707" s="141"/>
      <c r="AE1707" s="141"/>
      <c r="AF1707" s="145"/>
      <c r="AG1707" s="419"/>
    </row>
    <row r="1708" spans="1:33" s="139" customFormat="1" ht="12.75" customHeight="1" x14ac:dyDescent="0.2">
      <c r="A1708" s="141"/>
      <c r="B1708" s="141"/>
      <c r="C1708" s="141"/>
      <c r="D1708" s="141"/>
      <c r="E1708" s="1014"/>
      <c r="F1708" s="1014"/>
      <c r="G1708" s="1027"/>
      <c r="H1708" s="1027"/>
      <c r="I1708" s="1174"/>
      <c r="J1708" s="1174"/>
      <c r="K1708" s="1174"/>
      <c r="L1708" s="1172"/>
      <c r="M1708" s="1172"/>
      <c r="N1708" s="1175"/>
      <c r="O1708" s="143"/>
      <c r="P1708" s="1196"/>
      <c r="Q1708" s="141"/>
      <c r="R1708" s="141"/>
      <c r="S1708" s="148"/>
      <c r="T1708" s="419"/>
      <c r="U1708" s="559"/>
      <c r="V1708" s="141"/>
      <c r="W1708" s="141"/>
      <c r="X1708" s="141"/>
      <c r="Y1708" s="144"/>
      <c r="Z1708" s="141"/>
      <c r="AA1708" s="141"/>
      <c r="AB1708" s="141"/>
      <c r="AC1708" s="141"/>
      <c r="AD1708" s="141"/>
      <c r="AE1708" s="141"/>
      <c r="AF1708" s="145"/>
      <c r="AG1708" s="419"/>
    </row>
    <row r="1709" spans="1:33" s="139" customFormat="1" ht="12.75" customHeight="1" x14ac:dyDescent="0.2">
      <c r="A1709" s="141"/>
      <c r="B1709" s="141"/>
      <c r="C1709" s="141"/>
      <c r="D1709" s="141"/>
      <c r="E1709" s="1014"/>
      <c r="F1709" s="1014"/>
      <c r="G1709" s="1027"/>
      <c r="H1709" s="1027"/>
      <c r="I1709" s="1174"/>
      <c r="J1709" s="1174"/>
      <c r="K1709" s="1174"/>
      <c r="L1709" s="1172"/>
      <c r="M1709" s="1172"/>
      <c r="N1709" s="1175"/>
      <c r="O1709" s="143"/>
      <c r="P1709" s="1196"/>
      <c r="Q1709" s="141"/>
      <c r="R1709" s="141"/>
      <c r="S1709" s="148"/>
      <c r="T1709" s="419"/>
      <c r="U1709" s="559"/>
      <c r="V1709" s="141"/>
      <c r="W1709" s="141"/>
      <c r="X1709" s="141"/>
      <c r="Y1709" s="144"/>
      <c r="Z1709" s="141"/>
      <c r="AA1709" s="141"/>
      <c r="AB1709" s="141"/>
      <c r="AC1709" s="141"/>
      <c r="AD1709" s="141"/>
      <c r="AE1709" s="141"/>
      <c r="AF1709" s="145"/>
      <c r="AG1709" s="419"/>
    </row>
    <row r="1710" spans="1:33" s="139" customFormat="1" ht="12.75" customHeight="1" x14ac:dyDescent="0.2">
      <c r="A1710" s="141"/>
      <c r="B1710" s="141"/>
      <c r="C1710" s="141"/>
      <c r="D1710" s="141"/>
      <c r="E1710" s="1014"/>
      <c r="F1710" s="1014"/>
      <c r="G1710" s="1027"/>
      <c r="H1710" s="1027"/>
      <c r="I1710" s="1174"/>
      <c r="J1710" s="1174"/>
      <c r="K1710" s="1174"/>
      <c r="L1710" s="1172"/>
      <c r="M1710" s="1172"/>
      <c r="N1710" s="1175"/>
      <c r="O1710" s="143"/>
      <c r="P1710" s="1196"/>
      <c r="Q1710" s="141"/>
      <c r="R1710" s="141"/>
      <c r="S1710" s="148"/>
      <c r="T1710" s="419"/>
      <c r="U1710" s="559"/>
      <c r="V1710" s="141"/>
      <c r="W1710" s="141"/>
      <c r="X1710" s="141"/>
      <c r="Y1710" s="144"/>
      <c r="Z1710" s="141"/>
      <c r="AA1710" s="141"/>
      <c r="AB1710" s="141"/>
      <c r="AC1710" s="141"/>
      <c r="AD1710" s="141"/>
      <c r="AE1710" s="141"/>
      <c r="AF1710" s="145"/>
      <c r="AG1710" s="419"/>
    </row>
    <row r="1711" spans="1:33" s="139" customFormat="1" ht="12.75" customHeight="1" x14ac:dyDescent="0.2">
      <c r="A1711" s="141"/>
      <c r="B1711" s="141"/>
      <c r="C1711" s="141"/>
      <c r="D1711" s="141"/>
      <c r="E1711" s="1014"/>
      <c r="F1711" s="1014"/>
      <c r="G1711" s="1027"/>
      <c r="H1711" s="1027"/>
      <c r="I1711" s="1174"/>
      <c r="J1711" s="1174"/>
      <c r="K1711" s="1174"/>
      <c r="L1711" s="1172"/>
      <c r="M1711" s="1172"/>
      <c r="N1711" s="1175"/>
      <c r="O1711" s="143"/>
      <c r="P1711" s="1196"/>
      <c r="Q1711" s="141"/>
      <c r="R1711" s="141"/>
      <c r="S1711" s="148"/>
      <c r="T1711" s="419"/>
      <c r="U1711" s="559"/>
      <c r="V1711" s="141"/>
      <c r="W1711" s="141"/>
      <c r="X1711" s="141"/>
      <c r="Y1711" s="144"/>
      <c r="Z1711" s="141"/>
      <c r="AA1711" s="141"/>
      <c r="AB1711" s="141"/>
      <c r="AC1711" s="141"/>
      <c r="AD1711" s="141"/>
      <c r="AE1711" s="141"/>
      <c r="AF1711" s="145"/>
      <c r="AG1711" s="419"/>
    </row>
    <row r="1712" spans="1:33" s="139" customFormat="1" ht="12.75" customHeight="1" x14ac:dyDescent="0.2">
      <c r="A1712" s="141"/>
      <c r="B1712" s="141"/>
      <c r="C1712" s="141"/>
      <c r="D1712" s="141"/>
      <c r="E1712" s="1014"/>
      <c r="F1712" s="1014"/>
      <c r="G1712" s="1027"/>
      <c r="H1712" s="1027"/>
      <c r="I1712" s="1174"/>
      <c r="J1712" s="1174"/>
      <c r="K1712" s="1174"/>
      <c r="L1712" s="1172"/>
      <c r="M1712" s="1172"/>
      <c r="N1712" s="1175"/>
      <c r="O1712" s="143"/>
      <c r="P1712" s="1196"/>
      <c r="Q1712" s="141"/>
      <c r="R1712" s="141"/>
      <c r="S1712" s="148"/>
      <c r="T1712" s="419"/>
      <c r="U1712" s="559"/>
      <c r="V1712" s="141"/>
      <c r="W1712" s="141"/>
      <c r="X1712" s="141"/>
      <c r="Y1712" s="144"/>
      <c r="Z1712" s="141"/>
      <c r="AA1712" s="141"/>
      <c r="AB1712" s="141"/>
      <c r="AC1712" s="141"/>
      <c r="AD1712" s="141"/>
      <c r="AE1712" s="141"/>
      <c r="AF1712" s="145"/>
      <c r="AG1712" s="419"/>
    </row>
    <row r="1713" spans="1:33" s="139" customFormat="1" ht="12.75" customHeight="1" x14ac:dyDescent="0.2">
      <c r="A1713" s="141"/>
      <c r="B1713" s="141"/>
      <c r="C1713" s="141"/>
      <c r="D1713" s="141"/>
      <c r="E1713" s="1014"/>
      <c r="F1713" s="1014"/>
      <c r="G1713" s="1027"/>
      <c r="H1713" s="1027"/>
      <c r="I1713" s="1174"/>
      <c r="J1713" s="1174"/>
      <c r="K1713" s="1174"/>
      <c r="L1713" s="1172"/>
      <c r="M1713" s="1172"/>
      <c r="N1713" s="1175"/>
      <c r="O1713" s="143"/>
      <c r="P1713" s="1196"/>
      <c r="Q1713" s="141"/>
      <c r="R1713" s="141"/>
      <c r="S1713" s="148"/>
      <c r="T1713" s="419"/>
      <c r="U1713" s="559"/>
      <c r="V1713" s="141"/>
      <c r="W1713" s="141"/>
      <c r="X1713" s="141"/>
      <c r="Y1713" s="144"/>
      <c r="Z1713" s="141"/>
      <c r="AA1713" s="141"/>
      <c r="AB1713" s="141"/>
      <c r="AC1713" s="141"/>
      <c r="AD1713" s="141"/>
      <c r="AE1713" s="141"/>
      <c r="AF1713" s="145"/>
      <c r="AG1713" s="419"/>
    </row>
    <row r="1714" spans="1:33" s="139" customFormat="1" ht="12.75" customHeight="1" x14ac:dyDescent="0.2">
      <c r="A1714" s="141"/>
      <c r="B1714" s="141"/>
      <c r="C1714" s="141"/>
      <c r="D1714" s="141"/>
      <c r="E1714" s="1014"/>
      <c r="F1714" s="1014"/>
      <c r="G1714" s="1027"/>
      <c r="H1714" s="1027"/>
      <c r="I1714" s="1174"/>
      <c r="J1714" s="1174"/>
      <c r="K1714" s="1174"/>
      <c r="L1714" s="1172"/>
      <c r="M1714" s="1172"/>
      <c r="N1714" s="1175"/>
      <c r="O1714" s="143"/>
      <c r="P1714" s="1196"/>
      <c r="Q1714" s="141"/>
      <c r="R1714" s="141"/>
      <c r="S1714" s="148"/>
      <c r="T1714" s="419"/>
      <c r="U1714" s="559"/>
      <c r="V1714" s="141"/>
      <c r="W1714" s="141"/>
      <c r="X1714" s="141"/>
      <c r="Y1714" s="144"/>
      <c r="Z1714" s="141"/>
      <c r="AA1714" s="141"/>
      <c r="AB1714" s="141"/>
      <c r="AC1714" s="141"/>
      <c r="AD1714" s="141"/>
      <c r="AE1714" s="141"/>
      <c r="AF1714" s="145"/>
      <c r="AG1714" s="419"/>
    </row>
    <row r="1715" spans="1:33" s="139" customFormat="1" ht="12.75" customHeight="1" x14ac:dyDescent="0.2">
      <c r="A1715" s="141"/>
      <c r="B1715" s="141"/>
      <c r="C1715" s="141"/>
      <c r="D1715" s="141"/>
      <c r="E1715" s="1014"/>
      <c r="F1715" s="1014"/>
      <c r="G1715" s="1027"/>
      <c r="H1715" s="1027"/>
      <c r="I1715" s="1174"/>
      <c r="J1715" s="1174"/>
      <c r="K1715" s="1174"/>
      <c r="L1715" s="1172"/>
      <c r="M1715" s="1172"/>
      <c r="N1715" s="1175"/>
      <c r="O1715" s="143"/>
      <c r="P1715" s="1196"/>
      <c r="Q1715" s="141"/>
      <c r="R1715" s="141"/>
      <c r="S1715" s="148"/>
      <c r="T1715" s="419"/>
      <c r="U1715" s="559"/>
      <c r="V1715" s="141"/>
      <c r="W1715" s="141"/>
      <c r="X1715" s="141"/>
      <c r="Y1715" s="144"/>
      <c r="Z1715" s="141"/>
      <c r="AA1715" s="141"/>
      <c r="AB1715" s="141"/>
      <c r="AC1715" s="141"/>
      <c r="AD1715" s="141"/>
      <c r="AE1715" s="141"/>
      <c r="AF1715" s="145"/>
      <c r="AG1715" s="419"/>
    </row>
    <row r="1716" spans="1:33" s="139" customFormat="1" ht="12.75" customHeight="1" x14ac:dyDescent="0.2">
      <c r="A1716" s="141"/>
      <c r="B1716" s="141"/>
      <c r="C1716" s="141"/>
      <c r="D1716" s="141"/>
      <c r="E1716" s="1014"/>
      <c r="F1716" s="1014"/>
      <c r="G1716" s="1027"/>
      <c r="H1716" s="1027"/>
      <c r="I1716" s="1174"/>
      <c r="J1716" s="1174"/>
      <c r="K1716" s="1174"/>
      <c r="L1716" s="1172"/>
      <c r="M1716" s="1172"/>
      <c r="N1716" s="1175"/>
      <c r="O1716" s="143"/>
      <c r="P1716" s="1196"/>
      <c r="Q1716" s="141"/>
      <c r="R1716" s="141"/>
      <c r="S1716" s="148"/>
      <c r="T1716" s="419"/>
      <c r="U1716" s="559"/>
      <c r="V1716" s="141"/>
      <c r="W1716" s="141"/>
      <c r="X1716" s="141"/>
      <c r="Y1716" s="144"/>
      <c r="Z1716" s="141"/>
      <c r="AA1716" s="141"/>
      <c r="AB1716" s="141"/>
      <c r="AC1716" s="141"/>
      <c r="AD1716" s="141"/>
      <c r="AE1716" s="141"/>
      <c r="AF1716" s="145"/>
      <c r="AG1716" s="419"/>
    </row>
    <row r="1717" spans="1:33" s="139" customFormat="1" ht="12.75" customHeight="1" x14ac:dyDescent="0.2">
      <c r="A1717" s="141"/>
      <c r="B1717" s="141"/>
      <c r="C1717" s="141"/>
      <c r="D1717" s="141"/>
      <c r="E1717" s="1014"/>
      <c r="F1717" s="1014"/>
      <c r="G1717" s="1027"/>
      <c r="H1717" s="1027"/>
      <c r="I1717" s="1174"/>
      <c r="J1717" s="1174"/>
      <c r="K1717" s="1174"/>
      <c r="L1717" s="1172"/>
      <c r="M1717" s="1172"/>
      <c r="N1717" s="1175"/>
      <c r="O1717" s="143"/>
      <c r="P1717" s="1196"/>
      <c r="Q1717" s="141"/>
      <c r="R1717" s="141"/>
      <c r="S1717" s="148"/>
      <c r="T1717" s="419"/>
      <c r="U1717" s="559"/>
      <c r="V1717" s="141"/>
      <c r="W1717" s="141"/>
      <c r="X1717" s="141"/>
      <c r="Y1717" s="144"/>
      <c r="Z1717" s="141"/>
      <c r="AA1717" s="141"/>
      <c r="AB1717" s="141"/>
      <c r="AC1717" s="141"/>
      <c r="AD1717" s="141"/>
      <c r="AE1717" s="141"/>
      <c r="AF1717" s="145"/>
      <c r="AG1717" s="419"/>
    </row>
    <row r="1718" spans="1:33" s="139" customFormat="1" ht="12.75" customHeight="1" x14ac:dyDescent="0.2">
      <c r="A1718" s="141"/>
      <c r="B1718" s="141"/>
      <c r="C1718" s="141"/>
      <c r="D1718" s="141"/>
      <c r="E1718" s="1014"/>
      <c r="F1718" s="1014"/>
      <c r="G1718" s="1027"/>
      <c r="H1718" s="1027"/>
      <c r="I1718" s="1174"/>
      <c r="J1718" s="1174"/>
      <c r="K1718" s="1174"/>
      <c r="L1718" s="1172"/>
      <c r="M1718" s="1172"/>
      <c r="N1718" s="1175"/>
      <c r="O1718" s="143"/>
      <c r="P1718" s="1196"/>
      <c r="Q1718" s="141"/>
      <c r="R1718" s="141"/>
      <c r="S1718" s="148"/>
      <c r="T1718" s="419"/>
      <c r="U1718" s="559"/>
      <c r="V1718" s="141"/>
      <c r="W1718" s="141"/>
      <c r="X1718" s="141"/>
      <c r="Y1718" s="144"/>
      <c r="Z1718" s="141"/>
      <c r="AA1718" s="141"/>
      <c r="AB1718" s="141"/>
      <c r="AC1718" s="141"/>
      <c r="AD1718" s="141"/>
      <c r="AE1718" s="141"/>
      <c r="AF1718" s="145"/>
      <c r="AG1718" s="419"/>
    </row>
    <row r="1719" spans="1:33" s="139" customFormat="1" ht="12.75" customHeight="1" x14ac:dyDescent="0.2">
      <c r="A1719" s="141"/>
      <c r="B1719" s="141"/>
      <c r="C1719" s="141"/>
      <c r="D1719" s="141"/>
      <c r="E1719" s="1014"/>
      <c r="F1719" s="1014"/>
      <c r="G1719" s="1027"/>
      <c r="H1719" s="1027"/>
      <c r="I1719" s="1174"/>
      <c r="J1719" s="1174"/>
      <c r="K1719" s="1174"/>
      <c r="L1719" s="1172"/>
      <c r="M1719" s="1172"/>
      <c r="N1719" s="1175"/>
      <c r="O1719" s="143"/>
      <c r="P1719" s="1196"/>
      <c r="Q1719" s="141"/>
      <c r="R1719" s="141"/>
      <c r="S1719" s="148"/>
      <c r="T1719" s="419"/>
      <c r="U1719" s="559"/>
      <c r="V1719" s="141"/>
      <c r="W1719" s="141"/>
      <c r="X1719" s="141"/>
      <c r="Y1719" s="144"/>
      <c r="Z1719" s="141"/>
      <c r="AA1719" s="141"/>
      <c r="AB1719" s="141"/>
      <c r="AC1719" s="141"/>
      <c r="AD1719" s="141"/>
      <c r="AE1719" s="141"/>
      <c r="AF1719" s="145"/>
      <c r="AG1719" s="419"/>
    </row>
    <row r="1720" spans="1:33" s="139" customFormat="1" ht="12.75" customHeight="1" x14ac:dyDescent="0.2">
      <c r="A1720" s="141"/>
      <c r="B1720" s="141"/>
      <c r="C1720" s="141"/>
      <c r="D1720" s="141"/>
      <c r="E1720" s="1014"/>
      <c r="F1720" s="1014"/>
      <c r="G1720" s="1027"/>
      <c r="H1720" s="1027"/>
      <c r="I1720" s="1174"/>
      <c r="J1720" s="1174"/>
      <c r="K1720" s="1174"/>
      <c r="L1720" s="1172"/>
      <c r="M1720" s="1172"/>
      <c r="N1720" s="1175"/>
      <c r="O1720" s="143"/>
      <c r="P1720" s="1196"/>
      <c r="Q1720" s="141"/>
      <c r="R1720" s="141"/>
      <c r="S1720" s="148"/>
      <c r="T1720" s="419"/>
      <c r="U1720" s="559"/>
      <c r="V1720" s="141"/>
      <c r="W1720" s="141"/>
      <c r="X1720" s="141"/>
      <c r="Y1720" s="144"/>
      <c r="Z1720" s="141"/>
      <c r="AA1720" s="141"/>
      <c r="AB1720" s="141"/>
      <c r="AC1720" s="141"/>
      <c r="AD1720" s="141"/>
      <c r="AE1720" s="141"/>
      <c r="AF1720" s="145"/>
      <c r="AG1720" s="419"/>
    </row>
    <row r="1721" spans="1:33" s="139" customFormat="1" ht="12.75" customHeight="1" x14ac:dyDescent="0.2">
      <c r="A1721" s="141"/>
      <c r="B1721" s="141"/>
      <c r="C1721" s="141"/>
      <c r="D1721" s="141"/>
      <c r="E1721" s="1014"/>
      <c r="F1721" s="1014"/>
      <c r="G1721" s="1027"/>
      <c r="H1721" s="1027"/>
      <c r="I1721" s="1174"/>
      <c r="J1721" s="1174"/>
      <c r="K1721" s="1174"/>
      <c r="L1721" s="1172"/>
      <c r="M1721" s="1172"/>
      <c r="N1721" s="1175"/>
      <c r="O1721" s="143"/>
      <c r="P1721" s="1196"/>
      <c r="Q1721" s="141"/>
      <c r="R1721" s="141"/>
      <c r="S1721" s="148"/>
      <c r="T1721" s="419"/>
      <c r="U1721" s="559"/>
      <c r="V1721" s="141"/>
      <c r="W1721" s="141"/>
      <c r="X1721" s="141"/>
      <c r="Y1721" s="144"/>
      <c r="Z1721" s="141"/>
      <c r="AA1721" s="141"/>
      <c r="AB1721" s="141"/>
      <c r="AC1721" s="141"/>
      <c r="AD1721" s="141"/>
      <c r="AE1721" s="141"/>
      <c r="AF1721" s="145"/>
      <c r="AG1721" s="419"/>
    </row>
    <row r="1722" spans="1:33" s="139" customFormat="1" ht="12.75" customHeight="1" x14ac:dyDescent="0.2">
      <c r="A1722" s="141"/>
      <c r="B1722" s="141"/>
      <c r="C1722" s="141"/>
      <c r="D1722" s="141"/>
      <c r="E1722" s="1014"/>
      <c r="F1722" s="1014"/>
      <c r="G1722" s="1027"/>
      <c r="H1722" s="1027"/>
      <c r="I1722" s="1174"/>
      <c r="J1722" s="1174"/>
      <c r="K1722" s="1174"/>
      <c r="L1722" s="1172"/>
      <c r="M1722" s="1172"/>
      <c r="N1722" s="1175"/>
      <c r="O1722" s="143"/>
      <c r="P1722" s="1196"/>
      <c r="Q1722" s="141"/>
      <c r="R1722" s="141"/>
      <c r="S1722" s="148"/>
      <c r="T1722" s="419"/>
      <c r="U1722" s="559"/>
      <c r="V1722" s="141"/>
      <c r="W1722" s="141"/>
      <c r="X1722" s="141"/>
      <c r="Y1722" s="144"/>
      <c r="Z1722" s="141"/>
      <c r="AA1722" s="141"/>
      <c r="AB1722" s="141"/>
      <c r="AC1722" s="141"/>
      <c r="AD1722" s="141"/>
      <c r="AE1722" s="141"/>
      <c r="AF1722" s="145"/>
      <c r="AG1722" s="419"/>
    </row>
    <row r="1723" spans="1:33" s="139" customFormat="1" ht="12.75" customHeight="1" x14ac:dyDescent="0.2">
      <c r="A1723" s="141"/>
      <c r="B1723" s="141"/>
      <c r="C1723" s="141"/>
      <c r="D1723" s="141"/>
      <c r="E1723" s="1014"/>
      <c r="F1723" s="1014"/>
      <c r="G1723" s="1027"/>
      <c r="H1723" s="1027"/>
      <c r="I1723" s="1174"/>
      <c r="J1723" s="1174"/>
      <c r="K1723" s="1174"/>
      <c r="L1723" s="1172"/>
      <c r="M1723" s="1172"/>
      <c r="N1723" s="1175"/>
      <c r="O1723" s="143"/>
      <c r="P1723" s="1196"/>
      <c r="Q1723" s="141"/>
      <c r="R1723" s="141"/>
      <c r="S1723" s="148"/>
      <c r="T1723" s="419"/>
      <c r="U1723" s="559"/>
      <c r="V1723" s="141"/>
      <c r="W1723" s="141"/>
      <c r="X1723" s="141"/>
      <c r="Y1723" s="144"/>
      <c r="Z1723" s="141"/>
      <c r="AA1723" s="141"/>
      <c r="AB1723" s="141"/>
      <c r="AC1723" s="141"/>
      <c r="AD1723" s="141"/>
      <c r="AE1723" s="141"/>
      <c r="AF1723" s="145"/>
      <c r="AG1723" s="419"/>
    </row>
    <row r="1724" spans="1:33" s="139" customFormat="1" ht="12.75" customHeight="1" x14ac:dyDescent="0.2">
      <c r="A1724" s="141"/>
      <c r="B1724" s="141"/>
      <c r="C1724" s="141"/>
      <c r="D1724" s="141"/>
      <c r="E1724" s="1014"/>
      <c r="F1724" s="1014"/>
      <c r="G1724" s="1027"/>
      <c r="H1724" s="1027"/>
      <c r="I1724" s="1174"/>
      <c r="J1724" s="1174"/>
      <c r="K1724" s="1174"/>
      <c r="L1724" s="1172"/>
      <c r="M1724" s="1172"/>
      <c r="N1724" s="1175"/>
      <c r="O1724" s="143"/>
      <c r="P1724" s="1196"/>
      <c r="Q1724" s="141"/>
      <c r="R1724" s="141"/>
      <c r="S1724" s="148"/>
      <c r="T1724" s="419"/>
      <c r="U1724" s="559"/>
      <c r="V1724" s="141"/>
      <c r="W1724" s="141"/>
      <c r="X1724" s="141"/>
      <c r="Y1724" s="144"/>
      <c r="Z1724" s="141"/>
      <c r="AA1724" s="141"/>
      <c r="AB1724" s="141"/>
      <c r="AC1724" s="141"/>
      <c r="AD1724" s="141"/>
      <c r="AE1724" s="141"/>
      <c r="AF1724" s="145"/>
      <c r="AG1724" s="419"/>
    </row>
    <row r="1725" spans="1:33" s="139" customFormat="1" ht="12.75" customHeight="1" x14ac:dyDescent="0.2">
      <c r="A1725" s="141"/>
      <c r="B1725" s="141"/>
      <c r="C1725" s="141"/>
      <c r="D1725" s="141"/>
      <c r="E1725" s="1014"/>
      <c r="F1725" s="1014"/>
      <c r="G1725" s="1027"/>
      <c r="H1725" s="1027"/>
      <c r="I1725" s="1174"/>
      <c r="J1725" s="1174"/>
      <c r="K1725" s="1174"/>
      <c r="L1725" s="1172"/>
      <c r="M1725" s="1172"/>
      <c r="N1725" s="1175"/>
      <c r="O1725" s="143"/>
      <c r="P1725" s="1196"/>
      <c r="Q1725" s="141"/>
      <c r="R1725" s="141"/>
      <c r="S1725" s="148"/>
      <c r="T1725" s="419"/>
      <c r="U1725" s="559"/>
      <c r="V1725" s="141"/>
      <c r="W1725" s="141"/>
      <c r="X1725" s="141"/>
      <c r="Y1725" s="144"/>
      <c r="Z1725" s="141"/>
      <c r="AA1725" s="141"/>
      <c r="AB1725" s="141"/>
      <c r="AC1725" s="141"/>
      <c r="AD1725" s="141"/>
      <c r="AE1725" s="141"/>
      <c r="AF1725" s="145"/>
      <c r="AG1725" s="419"/>
    </row>
    <row r="1726" spans="1:33" s="139" customFormat="1" ht="12.75" customHeight="1" x14ac:dyDescent="0.2">
      <c r="A1726" s="141"/>
      <c r="B1726" s="141"/>
      <c r="C1726" s="141"/>
      <c r="D1726" s="141"/>
      <c r="E1726" s="1014"/>
      <c r="F1726" s="1014"/>
      <c r="G1726" s="1027"/>
      <c r="H1726" s="1027"/>
      <c r="I1726" s="1174"/>
      <c r="J1726" s="1174"/>
      <c r="K1726" s="1174"/>
      <c r="L1726" s="1172"/>
      <c r="M1726" s="1172"/>
      <c r="N1726" s="1175"/>
      <c r="O1726" s="143"/>
      <c r="P1726" s="1196"/>
      <c r="Q1726" s="141"/>
      <c r="R1726" s="141"/>
      <c r="S1726" s="148"/>
      <c r="T1726" s="419"/>
      <c r="U1726" s="559"/>
      <c r="V1726" s="141"/>
      <c r="W1726" s="141"/>
      <c r="X1726" s="141"/>
      <c r="Y1726" s="144"/>
      <c r="Z1726" s="141"/>
      <c r="AA1726" s="141"/>
      <c r="AB1726" s="141"/>
      <c r="AC1726" s="141"/>
      <c r="AD1726" s="141"/>
      <c r="AE1726" s="141"/>
      <c r="AF1726" s="145"/>
      <c r="AG1726" s="419"/>
    </row>
    <row r="1727" spans="1:33" s="139" customFormat="1" ht="12.75" customHeight="1" x14ac:dyDescent="0.2">
      <c r="A1727" s="141"/>
      <c r="B1727" s="141"/>
      <c r="C1727" s="141"/>
      <c r="D1727" s="141"/>
      <c r="E1727" s="1014"/>
      <c r="F1727" s="1014"/>
      <c r="G1727" s="1027"/>
      <c r="H1727" s="1027"/>
      <c r="I1727" s="1174"/>
      <c r="J1727" s="1174"/>
      <c r="K1727" s="1174"/>
      <c r="L1727" s="1172"/>
      <c r="M1727" s="1172"/>
      <c r="N1727" s="1175"/>
      <c r="O1727" s="143"/>
      <c r="P1727" s="1196"/>
      <c r="Q1727" s="141"/>
      <c r="R1727" s="141"/>
      <c r="S1727" s="148"/>
      <c r="T1727" s="419"/>
      <c r="U1727" s="559"/>
      <c r="V1727" s="141"/>
      <c r="W1727" s="141"/>
      <c r="X1727" s="141"/>
      <c r="Y1727" s="144"/>
      <c r="Z1727" s="141"/>
      <c r="AA1727" s="141"/>
      <c r="AB1727" s="141"/>
      <c r="AC1727" s="141"/>
      <c r="AD1727" s="141"/>
      <c r="AE1727" s="141"/>
      <c r="AF1727" s="145"/>
      <c r="AG1727" s="419"/>
    </row>
    <row r="1728" spans="1:33" s="139" customFormat="1" ht="12.75" customHeight="1" x14ac:dyDescent="0.2">
      <c r="A1728" s="141"/>
      <c r="B1728" s="141"/>
      <c r="C1728" s="141"/>
      <c r="D1728" s="141"/>
      <c r="E1728" s="1014"/>
      <c r="F1728" s="1014"/>
      <c r="G1728" s="1027"/>
      <c r="H1728" s="1027"/>
      <c r="I1728" s="1174"/>
      <c r="J1728" s="1174"/>
      <c r="K1728" s="1174"/>
      <c r="L1728" s="1172"/>
      <c r="M1728" s="1172"/>
      <c r="N1728" s="1175"/>
      <c r="O1728" s="143"/>
      <c r="P1728" s="1196"/>
      <c r="Q1728" s="141"/>
      <c r="R1728" s="141"/>
      <c r="S1728" s="148"/>
      <c r="T1728" s="419"/>
      <c r="U1728" s="559"/>
      <c r="V1728" s="141"/>
      <c r="W1728" s="141"/>
      <c r="X1728" s="141"/>
      <c r="Y1728" s="144"/>
      <c r="Z1728" s="141"/>
      <c r="AA1728" s="141"/>
      <c r="AB1728" s="141"/>
      <c r="AC1728" s="141"/>
      <c r="AD1728" s="141"/>
      <c r="AE1728" s="141"/>
      <c r="AF1728" s="145"/>
      <c r="AG1728" s="419"/>
    </row>
    <row r="1729" spans="1:33" s="139" customFormat="1" ht="12.75" customHeight="1" x14ac:dyDescent="0.2">
      <c r="A1729" s="141"/>
      <c r="B1729" s="141"/>
      <c r="C1729" s="141"/>
      <c r="D1729" s="141"/>
      <c r="E1729" s="1014"/>
      <c r="F1729" s="1014"/>
      <c r="G1729" s="1027"/>
      <c r="H1729" s="1027"/>
      <c r="I1729" s="1174"/>
      <c r="J1729" s="1174"/>
      <c r="K1729" s="1174"/>
      <c r="L1729" s="1172"/>
      <c r="M1729" s="1172"/>
      <c r="N1729" s="1175"/>
      <c r="O1729" s="143"/>
      <c r="P1729" s="1196"/>
      <c r="Q1729" s="141"/>
      <c r="R1729" s="141"/>
      <c r="S1729" s="148"/>
      <c r="T1729" s="419"/>
      <c r="U1729" s="559"/>
      <c r="V1729" s="141"/>
      <c r="W1729" s="141"/>
      <c r="X1729" s="141"/>
      <c r="Y1729" s="144"/>
      <c r="Z1729" s="141"/>
      <c r="AA1729" s="141"/>
      <c r="AB1729" s="141"/>
      <c r="AC1729" s="141"/>
      <c r="AD1729" s="141"/>
      <c r="AE1729" s="141"/>
      <c r="AF1729" s="145"/>
      <c r="AG1729" s="419"/>
    </row>
    <row r="1730" spans="1:33" s="139" customFormat="1" ht="12.75" customHeight="1" x14ac:dyDescent="0.2">
      <c r="A1730" s="141"/>
      <c r="B1730" s="141"/>
      <c r="C1730" s="141"/>
      <c r="D1730" s="141"/>
      <c r="E1730" s="1014"/>
      <c r="F1730" s="1014"/>
      <c r="G1730" s="1027"/>
      <c r="H1730" s="1027"/>
      <c r="I1730" s="1174"/>
      <c r="J1730" s="1174"/>
      <c r="K1730" s="1174"/>
      <c r="L1730" s="1172"/>
      <c r="M1730" s="1172"/>
      <c r="N1730" s="1175"/>
      <c r="O1730" s="143"/>
      <c r="P1730" s="1196"/>
      <c r="Q1730" s="141"/>
      <c r="R1730" s="141"/>
      <c r="S1730" s="148"/>
      <c r="T1730" s="419"/>
      <c r="U1730" s="559"/>
      <c r="V1730" s="141"/>
      <c r="W1730" s="141"/>
      <c r="X1730" s="141"/>
      <c r="Y1730" s="144"/>
      <c r="Z1730" s="141"/>
      <c r="AA1730" s="141"/>
      <c r="AB1730" s="141"/>
      <c r="AC1730" s="141"/>
      <c r="AD1730" s="141"/>
      <c r="AE1730" s="141"/>
      <c r="AF1730" s="145"/>
      <c r="AG1730" s="419"/>
    </row>
    <row r="1731" spans="1:33" s="139" customFormat="1" ht="12.75" customHeight="1" x14ac:dyDescent="0.2">
      <c r="A1731" s="141"/>
      <c r="B1731" s="141"/>
      <c r="C1731" s="141"/>
      <c r="D1731" s="141"/>
      <c r="E1731" s="1014"/>
      <c r="F1731" s="1014"/>
      <c r="G1731" s="1027"/>
      <c r="H1731" s="1027"/>
      <c r="I1731" s="1174"/>
      <c r="J1731" s="1174"/>
      <c r="K1731" s="1174"/>
      <c r="L1731" s="1172"/>
      <c r="M1731" s="1172"/>
      <c r="N1731" s="1175"/>
      <c r="O1731" s="143"/>
      <c r="P1731" s="1196"/>
      <c r="Q1731" s="141"/>
      <c r="R1731" s="141"/>
      <c r="S1731" s="148"/>
      <c r="T1731" s="419"/>
      <c r="U1731" s="559"/>
      <c r="V1731" s="141"/>
      <c r="W1731" s="141"/>
      <c r="X1731" s="141"/>
      <c r="Y1731" s="144"/>
      <c r="Z1731" s="141"/>
      <c r="AA1731" s="141"/>
      <c r="AB1731" s="141"/>
      <c r="AC1731" s="141"/>
      <c r="AD1731" s="141"/>
      <c r="AE1731" s="141"/>
      <c r="AF1731" s="145"/>
      <c r="AG1731" s="419"/>
    </row>
    <row r="1732" spans="1:33" s="139" customFormat="1" ht="12.75" customHeight="1" x14ac:dyDescent="0.2">
      <c r="A1732" s="141"/>
      <c r="B1732" s="141"/>
      <c r="C1732" s="141"/>
      <c r="D1732" s="141"/>
      <c r="E1732" s="1014"/>
      <c r="F1732" s="1014"/>
      <c r="G1732" s="1027"/>
      <c r="H1732" s="1027"/>
      <c r="I1732" s="1174"/>
      <c r="J1732" s="1174"/>
      <c r="K1732" s="1174"/>
      <c r="L1732" s="1172"/>
      <c r="M1732" s="1172"/>
      <c r="N1732" s="1175"/>
      <c r="O1732" s="143"/>
      <c r="P1732" s="1196"/>
      <c r="Q1732" s="141"/>
      <c r="R1732" s="141"/>
      <c r="S1732" s="148"/>
      <c r="T1732" s="419"/>
      <c r="U1732" s="559"/>
      <c r="V1732" s="141"/>
      <c r="W1732" s="141"/>
      <c r="X1732" s="141"/>
      <c r="Y1732" s="144"/>
      <c r="Z1732" s="141"/>
      <c r="AA1732" s="141"/>
      <c r="AB1732" s="141"/>
      <c r="AC1732" s="141"/>
      <c r="AD1732" s="141"/>
      <c r="AE1732" s="141"/>
      <c r="AF1732" s="145"/>
      <c r="AG1732" s="419"/>
    </row>
    <row r="1733" spans="1:33" s="139" customFormat="1" ht="12.75" customHeight="1" x14ac:dyDescent="0.2">
      <c r="A1733" s="141"/>
      <c r="B1733" s="141"/>
      <c r="C1733" s="141"/>
      <c r="D1733" s="141"/>
      <c r="E1733" s="1014"/>
      <c r="F1733" s="1014"/>
      <c r="G1733" s="1027"/>
      <c r="H1733" s="1027"/>
      <c r="I1733" s="1174"/>
      <c r="J1733" s="1174"/>
      <c r="K1733" s="1174"/>
      <c r="L1733" s="1172"/>
      <c r="M1733" s="1172"/>
      <c r="N1733" s="1175"/>
      <c r="O1733" s="143"/>
      <c r="P1733" s="1196"/>
      <c r="Q1733" s="141"/>
      <c r="R1733" s="141"/>
      <c r="S1733" s="148"/>
      <c r="T1733" s="419"/>
      <c r="U1733" s="559"/>
      <c r="V1733" s="141"/>
      <c r="W1733" s="141"/>
      <c r="X1733" s="141"/>
      <c r="Y1733" s="144"/>
      <c r="Z1733" s="141"/>
      <c r="AA1733" s="141"/>
      <c r="AB1733" s="141"/>
      <c r="AC1733" s="141"/>
      <c r="AD1733" s="141"/>
      <c r="AE1733" s="141"/>
      <c r="AF1733" s="145"/>
      <c r="AG1733" s="419"/>
    </row>
    <row r="1734" spans="1:33" s="139" customFormat="1" ht="12.75" customHeight="1" x14ac:dyDescent="0.2">
      <c r="A1734" s="141"/>
      <c r="B1734" s="141"/>
      <c r="C1734" s="141"/>
      <c r="D1734" s="141"/>
      <c r="E1734" s="1014"/>
      <c r="F1734" s="1014"/>
      <c r="G1734" s="1027"/>
      <c r="H1734" s="1027"/>
      <c r="I1734" s="1174"/>
      <c r="J1734" s="1174"/>
      <c r="K1734" s="1174"/>
      <c r="L1734" s="1172"/>
      <c r="M1734" s="1172"/>
      <c r="N1734" s="1175"/>
      <c r="O1734" s="143"/>
      <c r="P1734" s="1196"/>
      <c r="Q1734" s="141"/>
      <c r="R1734" s="141"/>
      <c r="S1734" s="148"/>
      <c r="T1734" s="419"/>
      <c r="U1734" s="559"/>
      <c r="V1734" s="141"/>
      <c r="W1734" s="141"/>
      <c r="X1734" s="141"/>
      <c r="Y1734" s="144"/>
      <c r="Z1734" s="141"/>
      <c r="AA1734" s="141"/>
      <c r="AB1734" s="141"/>
      <c r="AC1734" s="141"/>
      <c r="AD1734" s="141"/>
      <c r="AE1734" s="141"/>
      <c r="AF1734" s="145"/>
      <c r="AG1734" s="419"/>
    </row>
    <row r="1735" spans="1:33" s="139" customFormat="1" ht="12.75" customHeight="1" x14ac:dyDescent="0.2">
      <c r="A1735" s="141"/>
      <c r="B1735" s="141"/>
      <c r="C1735" s="141"/>
      <c r="D1735" s="141"/>
      <c r="E1735" s="1014"/>
      <c r="F1735" s="1014"/>
      <c r="G1735" s="1027"/>
      <c r="H1735" s="1027"/>
      <c r="I1735" s="1174"/>
      <c r="J1735" s="1174"/>
      <c r="K1735" s="1174"/>
      <c r="L1735" s="1172"/>
      <c r="M1735" s="1172"/>
      <c r="N1735" s="1175"/>
      <c r="O1735" s="143"/>
      <c r="P1735" s="1196"/>
      <c r="Q1735" s="141"/>
      <c r="R1735" s="141"/>
      <c r="S1735" s="148"/>
      <c r="T1735" s="419"/>
      <c r="U1735" s="559"/>
      <c r="V1735" s="141"/>
      <c r="W1735" s="141"/>
      <c r="X1735" s="141"/>
      <c r="Y1735" s="144"/>
      <c r="Z1735" s="141"/>
      <c r="AA1735" s="141"/>
      <c r="AB1735" s="141"/>
      <c r="AC1735" s="141"/>
      <c r="AD1735" s="141"/>
      <c r="AE1735" s="141"/>
      <c r="AF1735" s="145"/>
      <c r="AG1735" s="419"/>
    </row>
    <row r="1736" spans="1:33" s="139" customFormat="1" ht="12.75" customHeight="1" x14ac:dyDescent="0.2">
      <c r="A1736" s="141"/>
      <c r="B1736" s="141"/>
      <c r="C1736" s="141"/>
      <c r="D1736" s="141"/>
      <c r="E1736" s="1014"/>
      <c r="F1736" s="1014"/>
      <c r="G1736" s="1027"/>
      <c r="H1736" s="1027"/>
      <c r="I1736" s="1174"/>
      <c r="J1736" s="1174"/>
      <c r="K1736" s="1174"/>
      <c r="L1736" s="1172"/>
      <c r="M1736" s="1172"/>
      <c r="N1736" s="1175"/>
      <c r="O1736" s="143"/>
      <c r="P1736" s="1196"/>
      <c r="Q1736" s="141"/>
      <c r="R1736" s="141"/>
      <c r="S1736" s="148"/>
      <c r="T1736" s="419"/>
      <c r="U1736" s="559"/>
      <c r="V1736" s="141"/>
      <c r="W1736" s="141"/>
      <c r="X1736" s="141"/>
      <c r="Y1736" s="144"/>
      <c r="Z1736" s="141"/>
      <c r="AA1736" s="141"/>
      <c r="AB1736" s="141"/>
      <c r="AC1736" s="141"/>
      <c r="AD1736" s="141"/>
      <c r="AE1736" s="141"/>
      <c r="AF1736" s="145"/>
      <c r="AG1736" s="419"/>
    </row>
    <row r="1737" spans="1:33" s="139" customFormat="1" ht="12.75" customHeight="1" x14ac:dyDescent="0.2">
      <c r="A1737" s="141"/>
      <c r="B1737" s="141"/>
      <c r="C1737" s="141"/>
      <c r="D1737" s="141"/>
      <c r="E1737" s="1014"/>
      <c r="F1737" s="1014"/>
      <c r="G1737" s="1027"/>
      <c r="H1737" s="1027"/>
      <c r="I1737" s="1174"/>
      <c r="J1737" s="1174"/>
      <c r="K1737" s="1174"/>
      <c r="L1737" s="1172"/>
      <c r="M1737" s="1172"/>
      <c r="N1737" s="1175"/>
      <c r="O1737" s="143"/>
      <c r="P1737" s="1196"/>
      <c r="Q1737" s="141"/>
      <c r="R1737" s="141"/>
      <c r="S1737" s="148"/>
      <c r="T1737" s="419"/>
      <c r="U1737" s="559"/>
      <c r="V1737" s="141"/>
      <c r="W1737" s="141"/>
      <c r="X1737" s="141"/>
      <c r="Y1737" s="144"/>
      <c r="Z1737" s="141"/>
      <c r="AA1737" s="141"/>
      <c r="AB1737" s="141"/>
      <c r="AC1737" s="141"/>
      <c r="AD1737" s="141"/>
      <c r="AE1737" s="141"/>
      <c r="AF1737" s="145"/>
      <c r="AG1737" s="419"/>
    </row>
    <row r="1738" spans="1:33" s="139" customFormat="1" ht="12.75" customHeight="1" x14ac:dyDescent="0.2">
      <c r="A1738" s="141"/>
      <c r="B1738" s="141"/>
      <c r="C1738" s="141"/>
      <c r="D1738" s="141"/>
      <c r="E1738" s="1014"/>
      <c r="F1738" s="1014"/>
      <c r="G1738" s="1027"/>
      <c r="H1738" s="1027"/>
      <c r="I1738" s="1174"/>
      <c r="J1738" s="1174"/>
      <c r="K1738" s="1174"/>
      <c r="L1738" s="1172"/>
      <c r="M1738" s="1172"/>
      <c r="N1738" s="1175"/>
      <c r="O1738" s="143"/>
      <c r="P1738" s="1196"/>
      <c r="Q1738" s="141"/>
      <c r="R1738" s="141"/>
      <c r="S1738" s="148"/>
      <c r="T1738" s="419"/>
      <c r="U1738" s="559"/>
      <c r="V1738" s="141"/>
      <c r="W1738" s="141"/>
      <c r="X1738" s="141"/>
      <c r="Y1738" s="144"/>
      <c r="Z1738" s="141"/>
      <c r="AA1738" s="141"/>
      <c r="AB1738" s="141"/>
      <c r="AC1738" s="141"/>
      <c r="AD1738" s="141"/>
      <c r="AE1738" s="141"/>
      <c r="AF1738" s="145"/>
      <c r="AG1738" s="419"/>
    </row>
    <row r="1739" spans="1:33" s="139" customFormat="1" ht="12.75" customHeight="1" x14ac:dyDescent="0.2">
      <c r="A1739" s="141"/>
      <c r="B1739" s="141"/>
      <c r="C1739" s="141"/>
      <c r="D1739" s="141"/>
      <c r="E1739" s="1014"/>
      <c r="F1739" s="1014"/>
      <c r="G1739" s="1027"/>
      <c r="H1739" s="1027"/>
      <c r="I1739" s="1174"/>
      <c r="J1739" s="1174"/>
      <c r="K1739" s="1174"/>
      <c r="L1739" s="1172"/>
      <c r="M1739" s="1172"/>
      <c r="N1739" s="1175"/>
      <c r="O1739" s="143"/>
      <c r="P1739" s="1196"/>
      <c r="Q1739" s="141"/>
      <c r="R1739" s="141"/>
      <c r="S1739" s="148"/>
      <c r="T1739" s="419"/>
      <c r="U1739" s="559"/>
      <c r="V1739" s="141"/>
      <c r="W1739" s="141"/>
      <c r="X1739" s="141"/>
      <c r="Y1739" s="144"/>
      <c r="Z1739" s="141"/>
      <c r="AA1739" s="141"/>
      <c r="AB1739" s="141"/>
      <c r="AC1739" s="141"/>
      <c r="AD1739" s="141"/>
      <c r="AE1739" s="141"/>
      <c r="AF1739" s="145"/>
      <c r="AG1739" s="419"/>
    </row>
    <row r="1740" spans="1:33" s="139" customFormat="1" ht="12.75" customHeight="1" x14ac:dyDescent="0.2">
      <c r="A1740" s="141"/>
      <c r="B1740" s="141"/>
      <c r="C1740" s="141"/>
      <c r="D1740" s="141"/>
      <c r="E1740" s="1014"/>
      <c r="F1740" s="1014"/>
      <c r="G1740" s="1027"/>
      <c r="H1740" s="1027"/>
      <c r="I1740" s="1174"/>
      <c r="J1740" s="1174"/>
      <c r="K1740" s="1174"/>
      <c r="L1740" s="1172"/>
      <c r="M1740" s="1172"/>
      <c r="N1740" s="1175"/>
      <c r="O1740" s="143"/>
      <c r="P1740" s="1196"/>
      <c r="Q1740" s="141"/>
      <c r="R1740" s="141"/>
      <c r="S1740" s="148"/>
      <c r="T1740" s="419"/>
      <c r="U1740" s="559"/>
      <c r="V1740" s="141"/>
      <c r="W1740" s="141"/>
      <c r="X1740" s="141"/>
      <c r="Y1740" s="144"/>
      <c r="Z1740" s="141"/>
      <c r="AA1740" s="141"/>
      <c r="AB1740" s="141"/>
      <c r="AC1740" s="141"/>
      <c r="AD1740" s="141"/>
      <c r="AE1740" s="141"/>
      <c r="AF1740" s="145"/>
      <c r="AG1740" s="419"/>
    </row>
    <row r="1741" spans="1:33" s="139" customFormat="1" ht="12.75" customHeight="1" x14ac:dyDescent="0.2">
      <c r="A1741" s="141"/>
      <c r="B1741" s="141"/>
      <c r="C1741" s="141"/>
      <c r="D1741" s="141"/>
      <c r="E1741" s="1014"/>
      <c r="F1741" s="1014"/>
      <c r="G1741" s="1027"/>
      <c r="H1741" s="1027"/>
      <c r="I1741" s="1174"/>
      <c r="J1741" s="1174"/>
      <c r="K1741" s="1174"/>
      <c r="L1741" s="1172"/>
      <c r="M1741" s="1172"/>
      <c r="N1741" s="1175"/>
      <c r="O1741" s="143"/>
      <c r="P1741" s="1196"/>
      <c r="Q1741" s="141"/>
      <c r="R1741" s="141"/>
      <c r="S1741" s="148"/>
      <c r="T1741" s="419"/>
      <c r="U1741" s="559"/>
      <c r="V1741" s="141"/>
      <c r="W1741" s="141"/>
      <c r="X1741" s="141"/>
      <c r="Y1741" s="144"/>
      <c r="Z1741" s="141"/>
      <c r="AA1741" s="141"/>
      <c r="AB1741" s="141"/>
      <c r="AC1741" s="141"/>
      <c r="AD1741" s="141"/>
      <c r="AE1741" s="141"/>
      <c r="AF1741" s="145"/>
      <c r="AG1741" s="419"/>
    </row>
    <row r="1742" spans="1:33" s="139" customFormat="1" ht="12.75" customHeight="1" x14ac:dyDescent="0.2">
      <c r="A1742" s="141"/>
      <c r="B1742" s="141"/>
      <c r="C1742" s="141"/>
      <c r="D1742" s="141"/>
      <c r="E1742" s="1014"/>
      <c r="F1742" s="1014"/>
      <c r="G1742" s="1027"/>
      <c r="H1742" s="1027"/>
      <c r="I1742" s="1174"/>
      <c r="J1742" s="1174"/>
      <c r="K1742" s="1174"/>
      <c r="L1742" s="1172"/>
      <c r="M1742" s="1172"/>
      <c r="N1742" s="1175"/>
      <c r="O1742" s="143"/>
      <c r="P1742" s="1196"/>
      <c r="Q1742" s="141"/>
      <c r="R1742" s="141"/>
      <c r="S1742" s="148"/>
      <c r="T1742" s="419"/>
      <c r="U1742" s="559"/>
      <c r="V1742" s="141"/>
      <c r="W1742" s="141"/>
      <c r="X1742" s="141"/>
      <c r="Y1742" s="144"/>
      <c r="Z1742" s="141"/>
      <c r="AA1742" s="141"/>
      <c r="AB1742" s="141"/>
      <c r="AC1742" s="141"/>
      <c r="AD1742" s="141"/>
      <c r="AE1742" s="141"/>
      <c r="AF1742" s="145"/>
      <c r="AG1742" s="419"/>
    </row>
    <row r="1743" spans="1:33" s="139" customFormat="1" ht="12.75" customHeight="1" x14ac:dyDescent="0.2">
      <c r="A1743" s="141"/>
      <c r="B1743" s="141"/>
      <c r="C1743" s="141"/>
      <c r="D1743" s="141"/>
      <c r="E1743" s="1014"/>
      <c r="F1743" s="1014"/>
      <c r="G1743" s="1027"/>
      <c r="H1743" s="1027"/>
      <c r="I1743" s="1174"/>
      <c r="J1743" s="1174"/>
      <c r="K1743" s="1174"/>
      <c r="L1743" s="1172"/>
      <c r="M1743" s="1172"/>
      <c r="N1743" s="1175"/>
      <c r="O1743" s="143"/>
      <c r="P1743" s="1196"/>
      <c r="Q1743" s="141"/>
      <c r="R1743" s="141"/>
      <c r="S1743" s="148"/>
      <c r="T1743" s="419"/>
      <c r="U1743" s="559"/>
      <c r="V1743" s="141"/>
      <c r="W1743" s="141"/>
      <c r="X1743" s="141"/>
      <c r="Y1743" s="144"/>
      <c r="Z1743" s="141"/>
      <c r="AA1743" s="141"/>
      <c r="AB1743" s="141"/>
      <c r="AC1743" s="141"/>
      <c r="AD1743" s="141"/>
      <c r="AE1743" s="141"/>
      <c r="AF1743" s="145"/>
      <c r="AG1743" s="419"/>
    </row>
    <row r="1744" spans="1:33" s="139" customFormat="1" ht="12.75" customHeight="1" x14ac:dyDescent="0.2">
      <c r="A1744" s="141"/>
      <c r="B1744" s="141"/>
      <c r="C1744" s="141"/>
      <c r="D1744" s="141"/>
      <c r="E1744" s="1014"/>
      <c r="F1744" s="1014"/>
      <c r="G1744" s="1027"/>
      <c r="H1744" s="1027"/>
      <c r="I1744" s="1174"/>
      <c r="J1744" s="1174"/>
      <c r="K1744" s="1174"/>
      <c r="L1744" s="1172"/>
      <c r="M1744" s="1172"/>
      <c r="N1744" s="1175"/>
      <c r="O1744" s="143"/>
      <c r="P1744" s="1196"/>
      <c r="Q1744" s="141"/>
      <c r="R1744" s="141"/>
      <c r="S1744" s="148"/>
      <c r="T1744" s="419"/>
      <c r="U1744" s="559"/>
      <c r="V1744" s="141"/>
      <c r="W1744" s="141"/>
      <c r="X1744" s="141"/>
      <c r="Y1744" s="144"/>
      <c r="Z1744" s="141"/>
      <c r="AA1744" s="141"/>
      <c r="AB1744" s="141"/>
      <c r="AC1744" s="141"/>
      <c r="AD1744" s="141"/>
      <c r="AE1744" s="141"/>
      <c r="AF1744" s="145"/>
      <c r="AG1744" s="419"/>
    </row>
    <row r="1745" spans="1:33" s="139" customFormat="1" ht="12.75" customHeight="1" x14ac:dyDescent="0.2">
      <c r="A1745" s="141"/>
      <c r="B1745" s="141"/>
      <c r="C1745" s="141"/>
      <c r="D1745" s="141"/>
      <c r="E1745" s="1014"/>
      <c r="F1745" s="1014"/>
      <c r="G1745" s="1027"/>
      <c r="H1745" s="1027"/>
      <c r="I1745" s="1174"/>
      <c r="J1745" s="1174"/>
      <c r="K1745" s="1174"/>
      <c r="L1745" s="1172"/>
      <c r="M1745" s="1172"/>
      <c r="N1745" s="1175"/>
      <c r="O1745" s="143"/>
      <c r="P1745" s="1196"/>
      <c r="Q1745" s="141"/>
      <c r="R1745" s="141"/>
      <c r="S1745" s="148"/>
      <c r="T1745" s="419"/>
      <c r="U1745" s="559"/>
      <c r="V1745" s="141"/>
      <c r="W1745" s="141"/>
      <c r="X1745" s="141"/>
      <c r="Y1745" s="144"/>
      <c r="Z1745" s="141"/>
      <c r="AA1745" s="141"/>
      <c r="AB1745" s="141"/>
      <c r="AC1745" s="141"/>
      <c r="AD1745" s="141"/>
      <c r="AE1745" s="141"/>
      <c r="AF1745" s="145"/>
      <c r="AG1745" s="419"/>
    </row>
    <row r="1746" spans="1:33" s="139" customFormat="1" ht="12.75" customHeight="1" x14ac:dyDescent="0.2">
      <c r="A1746" s="141"/>
      <c r="B1746" s="141"/>
      <c r="C1746" s="141"/>
      <c r="D1746" s="141"/>
      <c r="E1746" s="1014"/>
      <c r="F1746" s="1014"/>
      <c r="G1746" s="1027"/>
      <c r="H1746" s="1027"/>
      <c r="I1746" s="1174"/>
      <c r="J1746" s="1174"/>
      <c r="K1746" s="1174"/>
      <c r="L1746" s="1172"/>
      <c r="M1746" s="1172"/>
      <c r="N1746" s="1175"/>
      <c r="O1746" s="143"/>
      <c r="P1746" s="1196"/>
      <c r="Q1746" s="141"/>
      <c r="R1746" s="141"/>
      <c r="S1746" s="148"/>
      <c r="T1746" s="419"/>
      <c r="U1746" s="559"/>
      <c r="V1746" s="141"/>
      <c r="W1746" s="141"/>
      <c r="X1746" s="141"/>
      <c r="Y1746" s="144"/>
      <c r="Z1746" s="141"/>
      <c r="AA1746" s="141"/>
      <c r="AB1746" s="141"/>
      <c r="AC1746" s="141"/>
      <c r="AD1746" s="141"/>
      <c r="AE1746" s="141"/>
      <c r="AF1746" s="145"/>
      <c r="AG1746" s="419"/>
    </row>
    <row r="1747" spans="1:33" s="139" customFormat="1" ht="12.75" customHeight="1" x14ac:dyDescent="0.2">
      <c r="A1747" s="141"/>
      <c r="B1747" s="141"/>
      <c r="C1747" s="141"/>
      <c r="D1747" s="141"/>
      <c r="E1747" s="1014"/>
      <c r="F1747" s="1014"/>
      <c r="G1747" s="1027"/>
      <c r="H1747" s="1027"/>
      <c r="I1747" s="1174"/>
      <c r="J1747" s="1174"/>
      <c r="K1747" s="1174"/>
      <c r="L1747" s="1172"/>
      <c r="M1747" s="1172"/>
      <c r="N1747" s="1175"/>
      <c r="O1747" s="143"/>
      <c r="P1747" s="1196"/>
      <c r="Q1747" s="141"/>
      <c r="R1747" s="141"/>
      <c r="S1747" s="148"/>
      <c r="T1747" s="419"/>
      <c r="U1747" s="559"/>
      <c r="V1747" s="141"/>
      <c r="W1747" s="141"/>
      <c r="X1747" s="141"/>
      <c r="Y1747" s="144"/>
      <c r="Z1747" s="141"/>
      <c r="AA1747" s="141"/>
      <c r="AB1747" s="141"/>
      <c r="AC1747" s="141"/>
      <c r="AD1747" s="141"/>
      <c r="AE1747" s="141"/>
      <c r="AF1747" s="145"/>
      <c r="AG1747" s="419"/>
    </row>
    <row r="1748" spans="1:33" s="139" customFormat="1" ht="12.75" customHeight="1" x14ac:dyDescent="0.2">
      <c r="A1748" s="141"/>
      <c r="B1748" s="141"/>
      <c r="C1748" s="141"/>
      <c r="D1748" s="141"/>
      <c r="E1748" s="1014"/>
      <c r="F1748" s="1014"/>
      <c r="G1748" s="1027"/>
      <c r="H1748" s="1027"/>
      <c r="I1748" s="1174"/>
      <c r="J1748" s="1174"/>
      <c r="K1748" s="1174"/>
      <c r="L1748" s="1172"/>
      <c r="M1748" s="1172"/>
      <c r="N1748" s="1175"/>
      <c r="O1748" s="143"/>
      <c r="P1748" s="1196"/>
      <c r="Q1748" s="141"/>
      <c r="R1748" s="141"/>
      <c r="S1748" s="148"/>
      <c r="T1748" s="419"/>
      <c r="U1748" s="559"/>
      <c r="V1748" s="141"/>
      <c r="W1748" s="141"/>
      <c r="X1748" s="141"/>
      <c r="Y1748" s="144"/>
      <c r="Z1748" s="141"/>
      <c r="AA1748" s="141"/>
      <c r="AB1748" s="141"/>
      <c r="AC1748" s="141"/>
      <c r="AD1748" s="141"/>
      <c r="AE1748" s="141"/>
      <c r="AF1748" s="145"/>
      <c r="AG1748" s="419"/>
    </row>
    <row r="1749" spans="1:33" s="139" customFormat="1" ht="12.75" customHeight="1" x14ac:dyDescent="0.2">
      <c r="A1749" s="141"/>
      <c r="B1749" s="141"/>
      <c r="C1749" s="141"/>
      <c r="D1749" s="141"/>
      <c r="E1749" s="1014"/>
      <c r="F1749" s="1014"/>
      <c r="G1749" s="1027"/>
      <c r="H1749" s="1027"/>
      <c r="I1749" s="1174"/>
      <c r="J1749" s="1174"/>
      <c r="K1749" s="1174"/>
      <c r="L1749" s="1172"/>
      <c r="M1749" s="1172"/>
      <c r="N1749" s="1175"/>
      <c r="O1749" s="143"/>
      <c r="P1749" s="1196"/>
      <c r="Q1749" s="141"/>
      <c r="R1749" s="141"/>
      <c r="S1749" s="148"/>
      <c r="T1749" s="419"/>
      <c r="U1749" s="559"/>
      <c r="V1749" s="141"/>
      <c r="W1749" s="141"/>
      <c r="X1749" s="141"/>
      <c r="Y1749" s="144"/>
      <c r="Z1749" s="141"/>
      <c r="AA1749" s="141"/>
      <c r="AB1749" s="141"/>
      <c r="AC1749" s="141"/>
      <c r="AD1749" s="141"/>
      <c r="AE1749" s="141"/>
      <c r="AF1749" s="145"/>
      <c r="AG1749" s="419"/>
    </row>
    <row r="1750" spans="1:33" s="139" customFormat="1" ht="12.75" customHeight="1" x14ac:dyDescent="0.2">
      <c r="A1750" s="141"/>
      <c r="B1750" s="141"/>
      <c r="C1750" s="141"/>
      <c r="D1750" s="141"/>
      <c r="E1750" s="1014"/>
      <c r="F1750" s="1014"/>
      <c r="G1750" s="1027"/>
      <c r="H1750" s="1027"/>
      <c r="I1750" s="1174"/>
      <c r="J1750" s="1174"/>
      <c r="K1750" s="1174"/>
      <c r="L1750" s="1172"/>
      <c r="M1750" s="1172"/>
      <c r="N1750" s="1175"/>
      <c r="O1750" s="143"/>
      <c r="P1750" s="1196"/>
      <c r="Q1750" s="141"/>
      <c r="R1750" s="141"/>
      <c r="S1750" s="148"/>
      <c r="T1750" s="419"/>
      <c r="U1750" s="559"/>
      <c r="V1750" s="141"/>
      <c r="W1750" s="141"/>
      <c r="X1750" s="141"/>
      <c r="Y1750" s="144"/>
      <c r="Z1750" s="141"/>
      <c r="AA1750" s="141"/>
      <c r="AB1750" s="141"/>
      <c r="AC1750" s="141"/>
      <c r="AD1750" s="141"/>
      <c r="AE1750" s="141"/>
      <c r="AF1750" s="145"/>
      <c r="AG1750" s="419"/>
    </row>
    <row r="1751" spans="1:33" s="139" customFormat="1" ht="12.75" customHeight="1" x14ac:dyDescent="0.2">
      <c r="A1751" s="141"/>
      <c r="B1751" s="141"/>
      <c r="C1751" s="141"/>
      <c r="D1751" s="141"/>
      <c r="E1751" s="1014"/>
      <c r="F1751" s="1014"/>
      <c r="G1751" s="1027"/>
      <c r="H1751" s="1027"/>
      <c r="I1751" s="1174"/>
      <c r="J1751" s="1174"/>
      <c r="K1751" s="1174"/>
      <c r="L1751" s="1172"/>
      <c r="M1751" s="1172"/>
      <c r="N1751" s="1175"/>
      <c r="O1751" s="143"/>
      <c r="P1751" s="1196"/>
      <c r="Q1751" s="141"/>
      <c r="R1751" s="141"/>
      <c r="S1751" s="148"/>
      <c r="T1751" s="419"/>
      <c r="U1751" s="559"/>
      <c r="V1751" s="141"/>
      <c r="W1751" s="141"/>
      <c r="X1751" s="141"/>
      <c r="Y1751" s="144"/>
      <c r="Z1751" s="141"/>
      <c r="AA1751" s="141"/>
      <c r="AB1751" s="141"/>
      <c r="AC1751" s="141"/>
      <c r="AD1751" s="141"/>
      <c r="AE1751" s="141"/>
      <c r="AF1751" s="145"/>
      <c r="AG1751" s="419"/>
    </row>
    <row r="1752" spans="1:33" s="139" customFormat="1" ht="12.75" customHeight="1" x14ac:dyDescent="0.2">
      <c r="A1752" s="141"/>
      <c r="B1752" s="141"/>
      <c r="C1752" s="141"/>
      <c r="D1752" s="141"/>
      <c r="E1752" s="1014"/>
      <c r="F1752" s="1014"/>
      <c r="G1752" s="1027"/>
      <c r="H1752" s="1027"/>
      <c r="I1752" s="1174"/>
      <c r="J1752" s="1174"/>
      <c r="K1752" s="1174"/>
      <c r="L1752" s="1172"/>
      <c r="M1752" s="1172"/>
      <c r="N1752" s="1175"/>
      <c r="O1752" s="143"/>
      <c r="P1752" s="1196"/>
      <c r="Q1752" s="141"/>
      <c r="R1752" s="141"/>
      <c r="S1752" s="148"/>
      <c r="T1752" s="419"/>
      <c r="U1752" s="559"/>
      <c r="V1752" s="141"/>
      <c r="W1752" s="141"/>
      <c r="X1752" s="141"/>
      <c r="Y1752" s="144"/>
      <c r="Z1752" s="141"/>
      <c r="AA1752" s="141"/>
      <c r="AB1752" s="141"/>
      <c r="AC1752" s="141"/>
      <c r="AD1752" s="141"/>
      <c r="AE1752" s="141"/>
      <c r="AF1752" s="145"/>
      <c r="AG1752" s="419"/>
    </row>
    <row r="1753" spans="1:33" s="139" customFormat="1" ht="12.75" customHeight="1" x14ac:dyDescent="0.2">
      <c r="A1753" s="141"/>
      <c r="B1753" s="141"/>
      <c r="C1753" s="141"/>
      <c r="D1753" s="141"/>
      <c r="E1753" s="1014"/>
      <c r="F1753" s="1014"/>
      <c r="G1753" s="1027"/>
      <c r="H1753" s="1027"/>
      <c r="I1753" s="1174"/>
      <c r="J1753" s="1174"/>
      <c r="K1753" s="1174"/>
      <c r="L1753" s="1172"/>
      <c r="M1753" s="1172"/>
      <c r="N1753" s="1175"/>
      <c r="O1753" s="143"/>
      <c r="P1753" s="1196"/>
      <c r="Q1753" s="141"/>
      <c r="R1753" s="141"/>
      <c r="S1753" s="148"/>
      <c r="T1753" s="419"/>
      <c r="U1753" s="559"/>
      <c r="V1753" s="141"/>
      <c r="W1753" s="141"/>
      <c r="X1753" s="141"/>
      <c r="Y1753" s="144"/>
      <c r="Z1753" s="141"/>
      <c r="AA1753" s="141"/>
      <c r="AB1753" s="141"/>
      <c r="AC1753" s="141"/>
      <c r="AD1753" s="141"/>
      <c r="AE1753" s="141"/>
      <c r="AF1753" s="145"/>
      <c r="AG1753" s="419"/>
    </row>
    <row r="1754" spans="1:33" s="139" customFormat="1" ht="12.75" customHeight="1" x14ac:dyDescent="0.2">
      <c r="A1754" s="141"/>
      <c r="B1754" s="141"/>
      <c r="C1754" s="141"/>
      <c r="D1754" s="141"/>
      <c r="E1754" s="1014"/>
      <c r="F1754" s="1014"/>
      <c r="G1754" s="1027"/>
      <c r="H1754" s="1027"/>
      <c r="I1754" s="1174"/>
      <c r="J1754" s="1174"/>
      <c r="K1754" s="1174"/>
      <c r="L1754" s="1172"/>
      <c r="M1754" s="1172"/>
      <c r="N1754" s="1175"/>
      <c r="O1754" s="143"/>
      <c r="P1754" s="1196"/>
      <c r="Q1754" s="141"/>
      <c r="R1754" s="141"/>
      <c r="S1754" s="148"/>
      <c r="T1754" s="419"/>
      <c r="U1754" s="559"/>
      <c r="V1754" s="141"/>
      <c r="W1754" s="141"/>
      <c r="X1754" s="141"/>
      <c r="Y1754" s="144"/>
      <c r="Z1754" s="141"/>
      <c r="AA1754" s="141"/>
      <c r="AB1754" s="141"/>
      <c r="AC1754" s="141"/>
      <c r="AD1754" s="141"/>
      <c r="AE1754" s="141"/>
      <c r="AF1754" s="145"/>
      <c r="AG1754" s="419"/>
    </row>
    <row r="1755" spans="1:33" s="139" customFormat="1" ht="12.75" customHeight="1" x14ac:dyDescent="0.2">
      <c r="A1755" s="141"/>
      <c r="B1755" s="141"/>
      <c r="C1755" s="141"/>
      <c r="D1755" s="141"/>
      <c r="E1755" s="1014"/>
      <c r="F1755" s="1014"/>
      <c r="G1755" s="1027"/>
      <c r="H1755" s="1027"/>
      <c r="I1755" s="1174"/>
      <c r="J1755" s="1174"/>
      <c r="K1755" s="1174"/>
      <c r="L1755" s="1172"/>
      <c r="M1755" s="1172"/>
      <c r="N1755" s="1175"/>
      <c r="O1755" s="143"/>
      <c r="P1755" s="1196"/>
      <c r="Q1755" s="141"/>
      <c r="R1755" s="141"/>
      <c r="S1755" s="148"/>
      <c r="T1755" s="419"/>
      <c r="U1755" s="559"/>
      <c r="V1755" s="141"/>
      <c r="W1755" s="141"/>
      <c r="X1755" s="141"/>
      <c r="Y1755" s="144"/>
      <c r="Z1755" s="141"/>
      <c r="AA1755" s="141"/>
      <c r="AB1755" s="141"/>
      <c r="AC1755" s="141"/>
      <c r="AD1755" s="141"/>
      <c r="AE1755" s="141"/>
      <c r="AF1755" s="145"/>
      <c r="AG1755" s="419"/>
    </row>
    <row r="1756" spans="1:33" s="139" customFormat="1" ht="12.75" customHeight="1" x14ac:dyDescent="0.2">
      <c r="A1756" s="141"/>
      <c r="B1756" s="141"/>
      <c r="C1756" s="141"/>
      <c r="D1756" s="141"/>
      <c r="E1756" s="1014"/>
      <c r="F1756" s="1014"/>
      <c r="G1756" s="1027"/>
      <c r="H1756" s="1027"/>
      <c r="I1756" s="1174"/>
      <c r="J1756" s="1174"/>
      <c r="K1756" s="1174"/>
      <c r="L1756" s="1172"/>
      <c r="M1756" s="1172"/>
      <c r="N1756" s="1175"/>
      <c r="O1756" s="143"/>
      <c r="P1756" s="1196"/>
      <c r="Q1756" s="141"/>
      <c r="R1756" s="141"/>
      <c r="S1756" s="148"/>
      <c r="T1756" s="419"/>
      <c r="U1756" s="559"/>
      <c r="V1756" s="141"/>
      <c r="W1756" s="141"/>
      <c r="X1756" s="141"/>
      <c r="Y1756" s="144"/>
      <c r="Z1756" s="141"/>
      <c r="AA1756" s="141"/>
      <c r="AB1756" s="141"/>
      <c r="AC1756" s="141"/>
      <c r="AD1756" s="141"/>
      <c r="AE1756" s="141"/>
      <c r="AF1756" s="145"/>
      <c r="AG1756" s="419"/>
    </row>
    <row r="1757" spans="1:33" s="139" customFormat="1" ht="12.75" customHeight="1" x14ac:dyDescent="0.2">
      <c r="A1757" s="141"/>
      <c r="B1757" s="141"/>
      <c r="C1757" s="141"/>
      <c r="D1757" s="141"/>
      <c r="E1757" s="1014"/>
      <c r="F1757" s="1014"/>
      <c r="G1757" s="1027"/>
      <c r="H1757" s="1027"/>
      <c r="I1757" s="1174"/>
      <c r="J1757" s="1174"/>
      <c r="K1757" s="1174"/>
      <c r="L1757" s="1172"/>
      <c r="M1757" s="1172"/>
      <c r="N1757" s="1175"/>
      <c r="O1757" s="143"/>
      <c r="P1757" s="1196"/>
      <c r="Q1757" s="141"/>
      <c r="R1757" s="141"/>
      <c r="S1757" s="148"/>
      <c r="T1757" s="419"/>
      <c r="U1757" s="559"/>
      <c r="V1757" s="141"/>
      <c r="W1757" s="141"/>
      <c r="X1757" s="141"/>
      <c r="Y1757" s="144"/>
      <c r="Z1757" s="141"/>
      <c r="AA1757" s="141"/>
      <c r="AB1757" s="141"/>
      <c r="AC1757" s="141"/>
      <c r="AD1757" s="141"/>
      <c r="AE1757" s="141"/>
      <c r="AF1757" s="145"/>
      <c r="AG1757" s="419"/>
    </row>
    <row r="1758" spans="1:33" s="139" customFormat="1" ht="12.75" customHeight="1" x14ac:dyDescent="0.2">
      <c r="A1758" s="141"/>
      <c r="B1758" s="141"/>
      <c r="C1758" s="141"/>
      <c r="D1758" s="141"/>
      <c r="E1758" s="1014"/>
      <c r="F1758" s="1014"/>
      <c r="G1758" s="1027"/>
      <c r="H1758" s="1027"/>
      <c r="I1758" s="1174"/>
      <c r="J1758" s="1174"/>
      <c r="K1758" s="1174"/>
      <c r="L1758" s="1172"/>
      <c r="M1758" s="1172"/>
      <c r="N1758" s="1175"/>
      <c r="O1758" s="143"/>
      <c r="P1758" s="1196"/>
      <c r="Q1758" s="141"/>
      <c r="R1758" s="141"/>
      <c r="S1758" s="148"/>
      <c r="T1758" s="419"/>
      <c r="U1758" s="559"/>
      <c r="V1758" s="141"/>
      <c r="W1758" s="141"/>
      <c r="X1758" s="141"/>
      <c r="Y1758" s="144"/>
      <c r="Z1758" s="141"/>
      <c r="AA1758" s="141"/>
      <c r="AB1758" s="141"/>
      <c r="AC1758" s="141"/>
      <c r="AD1758" s="141"/>
      <c r="AE1758" s="141"/>
      <c r="AF1758" s="145"/>
      <c r="AG1758" s="419"/>
    </row>
    <row r="1759" spans="1:33" s="139" customFormat="1" ht="12.75" customHeight="1" x14ac:dyDescent="0.2">
      <c r="A1759" s="141"/>
      <c r="B1759" s="141"/>
      <c r="C1759" s="141"/>
      <c r="D1759" s="141"/>
      <c r="E1759" s="1014"/>
      <c r="F1759" s="1014"/>
      <c r="G1759" s="1027"/>
      <c r="H1759" s="1027"/>
      <c r="I1759" s="1174"/>
      <c r="J1759" s="1174"/>
      <c r="K1759" s="1174"/>
      <c r="L1759" s="1172"/>
      <c r="M1759" s="1172"/>
      <c r="N1759" s="1175"/>
      <c r="O1759" s="143"/>
      <c r="P1759" s="1196"/>
      <c r="Q1759" s="141"/>
      <c r="R1759" s="141"/>
      <c r="S1759" s="148"/>
      <c r="T1759" s="419"/>
      <c r="U1759" s="559"/>
      <c r="V1759" s="141"/>
      <c r="W1759" s="141"/>
      <c r="X1759" s="141"/>
      <c r="Y1759" s="144"/>
      <c r="Z1759" s="141"/>
      <c r="AA1759" s="141"/>
      <c r="AB1759" s="141"/>
      <c r="AC1759" s="141"/>
      <c r="AD1759" s="141"/>
      <c r="AE1759" s="141"/>
      <c r="AF1759" s="145"/>
      <c r="AG1759" s="419"/>
    </row>
    <row r="1760" spans="1:33" s="139" customFormat="1" ht="12.75" customHeight="1" x14ac:dyDescent="0.2">
      <c r="A1760" s="141"/>
      <c r="B1760" s="141"/>
      <c r="C1760" s="141"/>
      <c r="D1760" s="141"/>
      <c r="E1760" s="1014"/>
      <c r="F1760" s="1014"/>
      <c r="G1760" s="1027"/>
      <c r="H1760" s="1027"/>
      <c r="I1760" s="1174"/>
      <c r="J1760" s="1174"/>
      <c r="K1760" s="1174"/>
      <c r="L1760" s="1172"/>
      <c r="M1760" s="1172"/>
      <c r="N1760" s="1175"/>
      <c r="O1760" s="143"/>
      <c r="P1760" s="1196"/>
      <c r="Q1760" s="141"/>
      <c r="R1760" s="141"/>
      <c r="S1760" s="148"/>
      <c r="T1760" s="419"/>
      <c r="U1760" s="559"/>
      <c r="V1760" s="141"/>
      <c r="W1760" s="141"/>
      <c r="X1760" s="141"/>
      <c r="Y1760" s="144"/>
      <c r="Z1760" s="141"/>
      <c r="AA1760" s="141"/>
      <c r="AB1760" s="141"/>
      <c r="AC1760" s="141"/>
      <c r="AD1760" s="141"/>
      <c r="AE1760" s="141"/>
      <c r="AF1760" s="145"/>
      <c r="AG1760" s="419"/>
    </row>
    <row r="1761" spans="1:33" s="139" customFormat="1" ht="12.75" customHeight="1" x14ac:dyDescent="0.2">
      <c r="A1761" s="141"/>
      <c r="B1761" s="141"/>
      <c r="C1761" s="141"/>
      <c r="D1761" s="141"/>
      <c r="E1761" s="1014"/>
      <c r="F1761" s="1014"/>
      <c r="G1761" s="1027"/>
      <c r="H1761" s="1027"/>
      <c r="I1761" s="1174"/>
      <c r="J1761" s="1174"/>
      <c r="K1761" s="1174"/>
      <c r="L1761" s="1172"/>
      <c r="M1761" s="1172"/>
      <c r="N1761" s="1175"/>
      <c r="O1761" s="143"/>
      <c r="P1761" s="1196"/>
      <c r="Q1761" s="141"/>
      <c r="R1761" s="141"/>
      <c r="S1761" s="148"/>
      <c r="T1761" s="419"/>
      <c r="U1761" s="559"/>
      <c r="V1761" s="141"/>
      <c r="W1761" s="141"/>
      <c r="X1761" s="141"/>
      <c r="Y1761" s="144"/>
      <c r="Z1761" s="141"/>
      <c r="AA1761" s="141"/>
      <c r="AB1761" s="141"/>
      <c r="AC1761" s="141"/>
      <c r="AD1761" s="141"/>
      <c r="AE1761" s="141"/>
      <c r="AF1761" s="145"/>
      <c r="AG1761" s="419"/>
    </row>
    <row r="1762" spans="1:33" s="139" customFormat="1" ht="12.75" customHeight="1" x14ac:dyDescent="0.2">
      <c r="A1762" s="141"/>
      <c r="B1762" s="141"/>
      <c r="C1762" s="141"/>
      <c r="D1762" s="141"/>
      <c r="E1762" s="1014"/>
      <c r="F1762" s="1014"/>
      <c r="G1762" s="1027"/>
      <c r="H1762" s="1027"/>
      <c r="I1762" s="1174"/>
      <c r="J1762" s="1174"/>
      <c r="K1762" s="1174"/>
      <c r="L1762" s="1172"/>
      <c r="M1762" s="1172"/>
      <c r="N1762" s="1175"/>
      <c r="O1762" s="143"/>
      <c r="P1762" s="1196"/>
      <c r="Q1762" s="141"/>
      <c r="R1762" s="141"/>
      <c r="S1762" s="148"/>
      <c r="T1762" s="419"/>
      <c r="U1762" s="559"/>
      <c r="V1762" s="141"/>
      <c r="W1762" s="141"/>
      <c r="X1762" s="141"/>
      <c r="Y1762" s="144"/>
      <c r="Z1762" s="141"/>
      <c r="AA1762" s="141"/>
      <c r="AB1762" s="141"/>
      <c r="AC1762" s="141"/>
      <c r="AD1762" s="141"/>
      <c r="AE1762" s="141"/>
      <c r="AF1762" s="145"/>
      <c r="AG1762" s="419"/>
    </row>
    <row r="1763" spans="1:33" s="139" customFormat="1" ht="12.75" customHeight="1" x14ac:dyDescent="0.2">
      <c r="A1763" s="141"/>
      <c r="B1763" s="141"/>
      <c r="C1763" s="141"/>
      <c r="D1763" s="141"/>
      <c r="E1763" s="1014"/>
      <c r="F1763" s="1014"/>
      <c r="G1763" s="1027"/>
      <c r="H1763" s="1027"/>
      <c r="I1763" s="1174"/>
      <c r="J1763" s="1174"/>
      <c r="K1763" s="1174"/>
      <c r="L1763" s="1172"/>
      <c r="M1763" s="1172"/>
      <c r="N1763" s="1175"/>
      <c r="O1763" s="143"/>
      <c r="P1763" s="1196"/>
      <c r="Q1763" s="141"/>
      <c r="R1763" s="141"/>
      <c r="S1763" s="148"/>
      <c r="T1763" s="419"/>
      <c r="U1763" s="559"/>
      <c r="V1763" s="141"/>
      <c r="W1763" s="141"/>
      <c r="X1763" s="141"/>
      <c r="Y1763" s="144"/>
      <c r="Z1763" s="141"/>
      <c r="AA1763" s="141"/>
      <c r="AB1763" s="141"/>
      <c r="AC1763" s="141"/>
      <c r="AD1763" s="141"/>
      <c r="AE1763" s="141"/>
      <c r="AF1763" s="145"/>
      <c r="AG1763" s="419"/>
    </row>
    <row r="1764" spans="1:33" s="139" customFormat="1" ht="12.75" customHeight="1" x14ac:dyDescent="0.2">
      <c r="A1764" s="141"/>
      <c r="B1764" s="141"/>
      <c r="C1764" s="141"/>
      <c r="D1764" s="141"/>
      <c r="E1764" s="1014"/>
      <c r="F1764" s="1014"/>
      <c r="G1764" s="1027"/>
      <c r="H1764" s="1027"/>
      <c r="I1764" s="1174"/>
      <c r="J1764" s="1174"/>
      <c r="K1764" s="1174"/>
      <c r="L1764" s="1172"/>
      <c r="M1764" s="1172"/>
      <c r="N1764" s="1175"/>
      <c r="O1764" s="143"/>
      <c r="P1764" s="1196"/>
      <c r="Q1764" s="141"/>
      <c r="R1764" s="141"/>
      <c r="S1764" s="148"/>
      <c r="T1764" s="419"/>
      <c r="U1764" s="559"/>
      <c r="V1764" s="141"/>
      <c r="W1764" s="141"/>
      <c r="X1764" s="141"/>
      <c r="Y1764" s="144"/>
      <c r="Z1764" s="141"/>
      <c r="AA1764" s="141"/>
      <c r="AB1764" s="141"/>
      <c r="AC1764" s="141"/>
      <c r="AD1764" s="141"/>
      <c r="AE1764" s="141"/>
      <c r="AF1764" s="145"/>
      <c r="AG1764" s="419"/>
    </row>
    <row r="1765" spans="1:33" s="139" customFormat="1" ht="12.75" customHeight="1" x14ac:dyDescent="0.2">
      <c r="A1765" s="141"/>
      <c r="B1765" s="141"/>
      <c r="C1765" s="141"/>
      <c r="D1765" s="141"/>
      <c r="E1765" s="1014"/>
      <c r="F1765" s="1014"/>
      <c r="G1765" s="1027"/>
      <c r="H1765" s="1027"/>
      <c r="I1765" s="1174"/>
      <c r="J1765" s="1174"/>
      <c r="K1765" s="1174"/>
      <c r="L1765" s="1172"/>
      <c r="M1765" s="1172"/>
      <c r="N1765" s="1175"/>
      <c r="O1765" s="143"/>
      <c r="P1765" s="1196"/>
      <c r="Q1765" s="141"/>
      <c r="R1765" s="141"/>
      <c r="S1765" s="148"/>
      <c r="T1765" s="419"/>
      <c r="U1765" s="559"/>
      <c r="V1765" s="141"/>
      <c r="W1765" s="141"/>
      <c r="X1765" s="141"/>
      <c r="Y1765" s="144"/>
      <c r="Z1765" s="141"/>
      <c r="AA1765" s="141"/>
      <c r="AB1765" s="141"/>
      <c r="AC1765" s="141"/>
      <c r="AD1765" s="141"/>
      <c r="AE1765" s="141"/>
      <c r="AF1765" s="145"/>
      <c r="AG1765" s="419"/>
    </row>
    <row r="1766" spans="1:33" s="139" customFormat="1" ht="12.75" customHeight="1" x14ac:dyDescent="0.2">
      <c r="A1766" s="141"/>
      <c r="B1766" s="141"/>
      <c r="C1766" s="141"/>
      <c r="D1766" s="141"/>
      <c r="E1766" s="1014"/>
      <c r="F1766" s="1014"/>
      <c r="G1766" s="1027"/>
      <c r="H1766" s="1027"/>
      <c r="I1766" s="1174"/>
      <c r="J1766" s="1174"/>
      <c r="K1766" s="1174"/>
      <c r="L1766" s="1172"/>
      <c r="M1766" s="1172"/>
      <c r="N1766" s="1175"/>
      <c r="O1766" s="143"/>
      <c r="P1766" s="1196"/>
      <c r="Q1766" s="141"/>
      <c r="R1766" s="141"/>
      <c r="S1766" s="148"/>
      <c r="T1766" s="419"/>
      <c r="U1766" s="559"/>
      <c r="V1766" s="141"/>
      <c r="W1766" s="141"/>
      <c r="X1766" s="141"/>
      <c r="Y1766" s="144"/>
      <c r="Z1766" s="141"/>
      <c r="AA1766" s="141"/>
      <c r="AB1766" s="141"/>
      <c r="AC1766" s="141"/>
      <c r="AD1766" s="141"/>
      <c r="AE1766" s="141"/>
      <c r="AF1766" s="145"/>
      <c r="AG1766" s="419"/>
    </row>
    <row r="1767" spans="1:33" s="139" customFormat="1" ht="12.75" customHeight="1" x14ac:dyDescent="0.2">
      <c r="A1767" s="141"/>
      <c r="B1767" s="141"/>
      <c r="C1767" s="141"/>
      <c r="D1767" s="141"/>
      <c r="E1767" s="1014"/>
      <c r="F1767" s="1014"/>
      <c r="G1767" s="1027"/>
      <c r="H1767" s="1027"/>
      <c r="I1767" s="1174"/>
      <c r="J1767" s="1174"/>
      <c r="K1767" s="1174"/>
      <c r="L1767" s="1172"/>
      <c r="M1767" s="1172"/>
      <c r="N1767" s="1175"/>
      <c r="O1767" s="143"/>
      <c r="P1767" s="1196"/>
      <c r="Q1767" s="141"/>
      <c r="R1767" s="141"/>
      <c r="S1767" s="148"/>
      <c r="T1767" s="419"/>
      <c r="U1767" s="559"/>
      <c r="V1767" s="141"/>
      <c r="W1767" s="141"/>
      <c r="X1767" s="141"/>
      <c r="Y1767" s="144"/>
      <c r="Z1767" s="141"/>
      <c r="AA1767" s="141"/>
      <c r="AB1767" s="141"/>
      <c r="AC1767" s="141"/>
      <c r="AD1767" s="141"/>
      <c r="AE1767" s="141"/>
      <c r="AF1767" s="145"/>
      <c r="AG1767" s="419"/>
    </row>
    <row r="1768" spans="1:33" s="139" customFormat="1" ht="12.75" customHeight="1" x14ac:dyDescent="0.2">
      <c r="A1768" s="141"/>
      <c r="B1768" s="141"/>
      <c r="C1768" s="141"/>
      <c r="D1768" s="141"/>
      <c r="E1768" s="1014"/>
      <c r="F1768" s="1014"/>
      <c r="G1768" s="1027"/>
      <c r="H1768" s="1027"/>
      <c r="I1768" s="1174"/>
      <c r="J1768" s="1174"/>
      <c r="K1768" s="1174"/>
      <c r="L1768" s="1172"/>
      <c r="M1768" s="1172"/>
      <c r="N1768" s="1175"/>
      <c r="O1768" s="143"/>
      <c r="P1768" s="1196"/>
      <c r="Q1768" s="141"/>
      <c r="R1768" s="141"/>
      <c r="S1768" s="148"/>
      <c r="T1768" s="419"/>
      <c r="U1768" s="559"/>
      <c r="V1768" s="141"/>
      <c r="W1768" s="141"/>
      <c r="X1768" s="141"/>
      <c r="Y1768" s="144"/>
      <c r="Z1768" s="141"/>
      <c r="AA1768" s="141"/>
      <c r="AB1768" s="141"/>
      <c r="AC1768" s="141"/>
      <c r="AD1768" s="141"/>
      <c r="AE1768" s="141"/>
      <c r="AF1768" s="145"/>
      <c r="AG1768" s="419"/>
    </row>
    <row r="1769" spans="1:33" s="139" customFormat="1" ht="12.75" customHeight="1" x14ac:dyDescent="0.2">
      <c r="A1769" s="141"/>
      <c r="B1769" s="141"/>
      <c r="C1769" s="141"/>
      <c r="D1769" s="141"/>
      <c r="E1769" s="1014"/>
      <c r="F1769" s="1014"/>
      <c r="G1769" s="1027"/>
      <c r="H1769" s="1027"/>
      <c r="I1769" s="1174"/>
      <c r="J1769" s="1174"/>
      <c r="K1769" s="1174"/>
      <c r="L1769" s="1172"/>
      <c r="M1769" s="1172"/>
      <c r="N1769" s="1175"/>
      <c r="O1769" s="143"/>
      <c r="P1769" s="1196"/>
      <c r="Q1769" s="141"/>
      <c r="R1769" s="141"/>
      <c r="S1769" s="148"/>
      <c r="T1769" s="419"/>
      <c r="U1769" s="559"/>
      <c r="V1769" s="141"/>
      <c r="W1769" s="141"/>
      <c r="X1769" s="141"/>
      <c r="Y1769" s="144"/>
      <c r="Z1769" s="141"/>
      <c r="AA1769" s="141"/>
      <c r="AB1769" s="141"/>
      <c r="AC1769" s="141"/>
      <c r="AD1769" s="141"/>
      <c r="AE1769" s="141"/>
      <c r="AF1769" s="145"/>
      <c r="AG1769" s="419"/>
    </row>
    <row r="1770" spans="1:33" s="139" customFormat="1" ht="12.75" customHeight="1" x14ac:dyDescent="0.2">
      <c r="A1770" s="141"/>
      <c r="B1770" s="141"/>
      <c r="C1770" s="141"/>
      <c r="D1770" s="141"/>
      <c r="E1770" s="1014"/>
      <c r="F1770" s="1014"/>
      <c r="G1770" s="1027"/>
      <c r="H1770" s="1027"/>
      <c r="I1770" s="1174"/>
      <c r="J1770" s="1174"/>
      <c r="K1770" s="1174"/>
      <c r="L1770" s="1172"/>
      <c r="M1770" s="1172"/>
      <c r="N1770" s="1175"/>
      <c r="O1770" s="143"/>
      <c r="P1770" s="1196"/>
      <c r="Q1770" s="141"/>
      <c r="R1770" s="141"/>
      <c r="S1770" s="148"/>
      <c r="T1770" s="419"/>
      <c r="U1770" s="559"/>
      <c r="V1770" s="141"/>
      <c r="W1770" s="141"/>
      <c r="X1770" s="141"/>
      <c r="Y1770" s="144"/>
      <c r="Z1770" s="141"/>
      <c r="AA1770" s="141"/>
      <c r="AB1770" s="141"/>
      <c r="AC1770" s="141"/>
      <c r="AD1770" s="141"/>
      <c r="AE1770" s="141"/>
      <c r="AF1770" s="145"/>
      <c r="AG1770" s="419"/>
    </row>
    <row r="1771" spans="1:33" s="139" customFormat="1" ht="12.75" customHeight="1" x14ac:dyDescent="0.2">
      <c r="A1771" s="141"/>
      <c r="B1771" s="141"/>
      <c r="C1771" s="141"/>
      <c r="D1771" s="141"/>
      <c r="E1771" s="1014"/>
      <c r="F1771" s="1014"/>
      <c r="G1771" s="1027"/>
      <c r="H1771" s="1027"/>
      <c r="I1771" s="1174"/>
      <c r="J1771" s="1174"/>
      <c r="K1771" s="1174"/>
      <c r="L1771" s="1172"/>
      <c r="M1771" s="1172"/>
      <c r="N1771" s="1175"/>
      <c r="O1771" s="143"/>
      <c r="P1771" s="1196"/>
      <c r="Q1771" s="141"/>
      <c r="R1771" s="141"/>
      <c r="S1771" s="148"/>
      <c r="T1771" s="419"/>
      <c r="U1771" s="559"/>
      <c r="V1771" s="141"/>
      <c r="W1771" s="141"/>
      <c r="X1771" s="141"/>
      <c r="Y1771" s="144"/>
      <c r="Z1771" s="141"/>
      <c r="AA1771" s="141"/>
      <c r="AB1771" s="141"/>
      <c r="AC1771" s="141"/>
      <c r="AD1771" s="141"/>
      <c r="AE1771" s="141"/>
      <c r="AF1771" s="145"/>
      <c r="AG1771" s="419"/>
    </row>
    <row r="1772" spans="1:33" s="139" customFormat="1" ht="12.75" customHeight="1" x14ac:dyDescent="0.2">
      <c r="A1772" s="141"/>
      <c r="B1772" s="141"/>
      <c r="C1772" s="141"/>
      <c r="D1772" s="141"/>
      <c r="E1772" s="1014"/>
      <c r="F1772" s="1014"/>
      <c r="G1772" s="1027"/>
      <c r="H1772" s="1027"/>
      <c r="I1772" s="1174"/>
      <c r="J1772" s="1174"/>
      <c r="K1772" s="1174"/>
      <c r="L1772" s="1172"/>
      <c r="M1772" s="1172"/>
      <c r="N1772" s="1175"/>
      <c r="O1772" s="143"/>
      <c r="P1772" s="1196"/>
      <c r="Q1772" s="141"/>
      <c r="R1772" s="141"/>
      <c r="S1772" s="148"/>
      <c r="T1772" s="419"/>
      <c r="U1772" s="559"/>
      <c r="V1772" s="141"/>
      <c r="W1772" s="141"/>
      <c r="X1772" s="141"/>
      <c r="Y1772" s="144"/>
      <c r="Z1772" s="141"/>
      <c r="AA1772" s="141"/>
      <c r="AB1772" s="141"/>
      <c r="AC1772" s="141"/>
      <c r="AD1772" s="141"/>
      <c r="AE1772" s="141"/>
      <c r="AF1772" s="145"/>
      <c r="AG1772" s="419"/>
    </row>
    <row r="1773" spans="1:33" s="139" customFormat="1" ht="12.75" customHeight="1" x14ac:dyDescent="0.2">
      <c r="A1773" s="141"/>
      <c r="B1773" s="141"/>
      <c r="C1773" s="141"/>
      <c r="D1773" s="141"/>
      <c r="E1773" s="1014"/>
      <c r="F1773" s="1014"/>
      <c r="G1773" s="1027"/>
      <c r="H1773" s="1027"/>
      <c r="I1773" s="1174"/>
      <c r="J1773" s="1174"/>
      <c r="K1773" s="1174"/>
      <c r="L1773" s="1172"/>
      <c r="M1773" s="1172"/>
      <c r="N1773" s="1175"/>
      <c r="O1773" s="143"/>
      <c r="P1773" s="1196"/>
      <c r="Q1773" s="141"/>
      <c r="R1773" s="141"/>
      <c r="S1773" s="148"/>
      <c r="T1773" s="419"/>
      <c r="U1773" s="559"/>
      <c r="V1773" s="141"/>
      <c r="W1773" s="141"/>
      <c r="X1773" s="141"/>
      <c r="Y1773" s="144"/>
      <c r="Z1773" s="141"/>
      <c r="AA1773" s="141"/>
      <c r="AB1773" s="141"/>
      <c r="AC1773" s="141"/>
      <c r="AD1773" s="141"/>
      <c r="AE1773" s="141"/>
      <c r="AF1773" s="145"/>
      <c r="AG1773" s="419"/>
    </row>
    <row r="1774" spans="1:33" s="139" customFormat="1" ht="12.75" customHeight="1" x14ac:dyDescent="0.2">
      <c r="A1774" s="141"/>
      <c r="B1774" s="141"/>
      <c r="C1774" s="141"/>
      <c r="D1774" s="141"/>
      <c r="E1774" s="1014"/>
      <c r="F1774" s="1014"/>
      <c r="G1774" s="1027"/>
      <c r="H1774" s="1027"/>
      <c r="I1774" s="1174"/>
      <c r="J1774" s="1174"/>
      <c r="K1774" s="1174"/>
      <c r="L1774" s="1172"/>
      <c r="M1774" s="1172"/>
      <c r="N1774" s="1175"/>
      <c r="O1774" s="143"/>
      <c r="P1774" s="1196"/>
      <c r="Q1774" s="141"/>
      <c r="R1774" s="141"/>
      <c r="S1774" s="148"/>
      <c r="T1774" s="419"/>
      <c r="U1774" s="559"/>
      <c r="V1774" s="141"/>
      <c r="W1774" s="141"/>
      <c r="X1774" s="141"/>
      <c r="Y1774" s="144"/>
      <c r="Z1774" s="141"/>
      <c r="AA1774" s="141"/>
      <c r="AB1774" s="141"/>
      <c r="AC1774" s="141"/>
      <c r="AD1774" s="141"/>
      <c r="AE1774" s="141"/>
      <c r="AF1774" s="145"/>
      <c r="AG1774" s="419"/>
    </row>
    <row r="1775" spans="1:33" s="139" customFormat="1" ht="12.75" customHeight="1" x14ac:dyDescent="0.2">
      <c r="A1775" s="141"/>
      <c r="B1775" s="141"/>
      <c r="C1775" s="141"/>
      <c r="D1775" s="141"/>
      <c r="E1775" s="1014"/>
      <c r="F1775" s="1014"/>
      <c r="G1775" s="1027"/>
      <c r="H1775" s="1027"/>
      <c r="I1775" s="1174"/>
      <c r="J1775" s="1174"/>
      <c r="K1775" s="1174"/>
      <c r="L1775" s="1172"/>
      <c r="M1775" s="1172"/>
      <c r="N1775" s="1175"/>
      <c r="O1775" s="143"/>
      <c r="P1775" s="1196"/>
      <c r="Q1775" s="141"/>
      <c r="R1775" s="141"/>
      <c r="S1775" s="148"/>
      <c r="T1775" s="419"/>
      <c r="U1775" s="559"/>
      <c r="V1775" s="141"/>
      <c r="W1775" s="141"/>
      <c r="X1775" s="141"/>
      <c r="Y1775" s="144"/>
      <c r="Z1775" s="141"/>
      <c r="AA1775" s="141"/>
      <c r="AB1775" s="141"/>
      <c r="AC1775" s="141"/>
      <c r="AD1775" s="141"/>
      <c r="AE1775" s="141"/>
      <c r="AF1775" s="145"/>
      <c r="AG1775" s="419"/>
    </row>
    <row r="1776" spans="1:33" s="139" customFormat="1" ht="12.75" customHeight="1" x14ac:dyDescent="0.2">
      <c r="A1776" s="141"/>
      <c r="B1776" s="141"/>
      <c r="C1776" s="141"/>
      <c r="D1776" s="141"/>
      <c r="E1776" s="1014"/>
      <c r="F1776" s="1014"/>
      <c r="G1776" s="1027"/>
      <c r="H1776" s="1027"/>
      <c r="I1776" s="1174"/>
      <c r="J1776" s="1174"/>
      <c r="K1776" s="1174"/>
      <c r="L1776" s="1172"/>
      <c r="M1776" s="1172"/>
      <c r="N1776" s="1175"/>
      <c r="O1776" s="143"/>
      <c r="P1776" s="1196"/>
      <c r="Q1776" s="141"/>
      <c r="R1776" s="141"/>
      <c r="S1776" s="148"/>
      <c r="T1776" s="419"/>
      <c r="U1776" s="559"/>
      <c r="V1776" s="141"/>
      <c r="W1776" s="141"/>
      <c r="X1776" s="141"/>
      <c r="Y1776" s="144"/>
      <c r="Z1776" s="141"/>
      <c r="AA1776" s="141"/>
      <c r="AB1776" s="141"/>
      <c r="AC1776" s="141"/>
      <c r="AD1776" s="141"/>
      <c r="AE1776" s="141"/>
      <c r="AF1776" s="145"/>
      <c r="AG1776" s="419"/>
    </row>
    <row r="1777" spans="1:33" s="139" customFormat="1" ht="12.75" customHeight="1" x14ac:dyDescent="0.2">
      <c r="A1777" s="141"/>
      <c r="B1777" s="141"/>
      <c r="C1777" s="141"/>
      <c r="D1777" s="141"/>
      <c r="E1777" s="1014"/>
      <c r="F1777" s="1014"/>
      <c r="G1777" s="1027"/>
      <c r="H1777" s="1027"/>
      <c r="I1777" s="1174"/>
      <c r="J1777" s="1174"/>
      <c r="K1777" s="1174"/>
      <c r="L1777" s="1172"/>
      <c r="M1777" s="1172"/>
      <c r="N1777" s="1175"/>
      <c r="O1777" s="143"/>
      <c r="P1777" s="1196"/>
      <c r="Q1777" s="141"/>
      <c r="R1777" s="141"/>
      <c r="S1777" s="148"/>
      <c r="T1777" s="419"/>
      <c r="U1777" s="559"/>
      <c r="V1777" s="141"/>
      <c r="W1777" s="141"/>
      <c r="X1777" s="141"/>
      <c r="Y1777" s="144"/>
      <c r="Z1777" s="141"/>
      <c r="AA1777" s="141"/>
      <c r="AB1777" s="141"/>
      <c r="AC1777" s="141"/>
      <c r="AD1777" s="141"/>
      <c r="AE1777" s="141"/>
      <c r="AF1777" s="145"/>
      <c r="AG1777" s="419"/>
    </row>
    <row r="1778" spans="1:33" s="139" customFormat="1" ht="12.75" customHeight="1" x14ac:dyDescent="0.2">
      <c r="A1778" s="141"/>
      <c r="B1778" s="141"/>
      <c r="C1778" s="141"/>
      <c r="D1778" s="141"/>
      <c r="E1778" s="1014"/>
      <c r="F1778" s="1014"/>
      <c r="G1778" s="1027"/>
      <c r="H1778" s="1027"/>
      <c r="I1778" s="1174"/>
      <c r="J1778" s="1174"/>
      <c r="K1778" s="1174"/>
      <c r="L1778" s="1172"/>
      <c r="M1778" s="1172"/>
      <c r="N1778" s="1175"/>
      <c r="O1778" s="143"/>
      <c r="P1778" s="1196"/>
      <c r="Q1778" s="141"/>
      <c r="R1778" s="141"/>
      <c r="S1778" s="148"/>
      <c r="T1778" s="419"/>
      <c r="U1778" s="559"/>
      <c r="V1778" s="141"/>
      <c r="W1778" s="141"/>
      <c r="X1778" s="141"/>
      <c r="Y1778" s="144"/>
      <c r="Z1778" s="141"/>
      <c r="AA1778" s="141"/>
      <c r="AB1778" s="141"/>
      <c r="AC1778" s="141"/>
      <c r="AD1778" s="141"/>
      <c r="AE1778" s="141"/>
      <c r="AF1778" s="145"/>
      <c r="AG1778" s="419"/>
    </row>
    <row r="1779" spans="1:33" s="139" customFormat="1" ht="12.75" customHeight="1" x14ac:dyDescent="0.2">
      <c r="A1779" s="141"/>
      <c r="B1779" s="141"/>
      <c r="C1779" s="141"/>
      <c r="D1779" s="141"/>
      <c r="E1779" s="1014"/>
      <c r="F1779" s="1014"/>
      <c r="G1779" s="1027"/>
      <c r="H1779" s="1027"/>
      <c r="I1779" s="1174"/>
      <c r="J1779" s="1174"/>
      <c r="K1779" s="1174"/>
      <c r="L1779" s="1172"/>
      <c r="M1779" s="1172"/>
      <c r="N1779" s="1175"/>
      <c r="O1779" s="143"/>
      <c r="P1779" s="1196"/>
      <c r="Q1779" s="141"/>
      <c r="R1779" s="141"/>
      <c r="S1779" s="148"/>
      <c r="T1779" s="419"/>
      <c r="U1779" s="559"/>
      <c r="V1779" s="141"/>
      <c r="W1779" s="141"/>
      <c r="X1779" s="141"/>
      <c r="Y1779" s="144"/>
      <c r="Z1779" s="141"/>
      <c r="AA1779" s="141"/>
      <c r="AB1779" s="141"/>
      <c r="AC1779" s="141"/>
      <c r="AD1779" s="141"/>
      <c r="AE1779" s="141"/>
      <c r="AF1779" s="145"/>
      <c r="AG1779" s="419"/>
    </row>
    <row r="1780" spans="1:33" s="139" customFormat="1" ht="12.75" customHeight="1" x14ac:dyDescent="0.2">
      <c r="A1780" s="141"/>
      <c r="B1780" s="141"/>
      <c r="C1780" s="141"/>
      <c r="D1780" s="141"/>
      <c r="E1780" s="1014"/>
      <c r="F1780" s="1014"/>
      <c r="G1780" s="1027"/>
      <c r="H1780" s="1027"/>
      <c r="I1780" s="1174"/>
      <c r="J1780" s="1174"/>
      <c r="K1780" s="1174"/>
      <c r="L1780" s="1172"/>
      <c r="M1780" s="1172"/>
      <c r="N1780" s="1175"/>
      <c r="O1780" s="143"/>
      <c r="P1780" s="1196"/>
      <c r="Q1780" s="141"/>
      <c r="R1780" s="141"/>
      <c r="S1780" s="148"/>
      <c r="T1780" s="419"/>
      <c r="U1780" s="559"/>
      <c r="V1780" s="141"/>
      <c r="W1780" s="141"/>
      <c r="X1780" s="141"/>
      <c r="Y1780" s="144"/>
      <c r="Z1780" s="141"/>
      <c r="AA1780" s="141"/>
      <c r="AB1780" s="141"/>
      <c r="AC1780" s="141"/>
      <c r="AD1780" s="141"/>
      <c r="AE1780" s="141"/>
      <c r="AF1780" s="145"/>
      <c r="AG1780" s="419"/>
    </row>
    <row r="1781" spans="1:33" s="139" customFormat="1" ht="12.75" customHeight="1" x14ac:dyDescent="0.2">
      <c r="A1781" s="141"/>
      <c r="B1781" s="141"/>
      <c r="C1781" s="141"/>
      <c r="D1781" s="141"/>
      <c r="E1781" s="1014"/>
      <c r="F1781" s="1014"/>
      <c r="G1781" s="1027"/>
      <c r="H1781" s="1027"/>
      <c r="I1781" s="1174"/>
      <c r="J1781" s="1174"/>
      <c r="K1781" s="1174"/>
      <c r="L1781" s="1172"/>
      <c r="M1781" s="1172"/>
      <c r="N1781" s="1175"/>
      <c r="O1781" s="143"/>
      <c r="P1781" s="1196"/>
      <c r="Q1781" s="141"/>
      <c r="R1781" s="141"/>
      <c r="S1781" s="148"/>
      <c r="T1781" s="419"/>
      <c r="U1781" s="559"/>
      <c r="V1781" s="141"/>
      <c r="W1781" s="141"/>
      <c r="X1781" s="141"/>
      <c r="Y1781" s="144"/>
      <c r="Z1781" s="141"/>
      <c r="AA1781" s="141"/>
      <c r="AB1781" s="141"/>
      <c r="AC1781" s="141"/>
      <c r="AD1781" s="141"/>
      <c r="AE1781" s="141"/>
      <c r="AF1781" s="145"/>
      <c r="AG1781" s="419"/>
    </row>
    <row r="1782" spans="1:33" s="139" customFormat="1" ht="12.75" customHeight="1" x14ac:dyDescent="0.2">
      <c r="A1782" s="141"/>
      <c r="B1782" s="141"/>
      <c r="C1782" s="141"/>
      <c r="D1782" s="141"/>
      <c r="E1782" s="1014"/>
      <c r="F1782" s="1014"/>
      <c r="G1782" s="1027"/>
      <c r="H1782" s="1027"/>
      <c r="I1782" s="1174"/>
      <c r="J1782" s="1174"/>
      <c r="K1782" s="1174"/>
      <c r="L1782" s="1172"/>
      <c r="M1782" s="1172"/>
      <c r="N1782" s="1175"/>
      <c r="O1782" s="143"/>
      <c r="P1782" s="1196"/>
      <c r="Q1782" s="141"/>
      <c r="R1782" s="141"/>
      <c r="S1782" s="148"/>
      <c r="T1782" s="419"/>
      <c r="U1782" s="559"/>
      <c r="V1782" s="141"/>
      <c r="W1782" s="141"/>
      <c r="X1782" s="141"/>
      <c r="Y1782" s="144"/>
      <c r="Z1782" s="141"/>
      <c r="AA1782" s="141"/>
      <c r="AB1782" s="141"/>
      <c r="AC1782" s="141"/>
      <c r="AD1782" s="141"/>
      <c r="AE1782" s="141"/>
      <c r="AF1782" s="145"/>
      <c r="AG1782" s="419"/>
    </row>
    <row r="1783" spans="1:33" s="139" customFormat="1" ht="12.75" customHeight="1" x14ac:dyDescent="0.2">
      <c r="A1783" s="141"/>
      <c r="B1783" s="141"/>
      <c r="C1783" s="141"/>
      <c r="D1783" s="141"/>
      <c r="E1783" s="1014"/>
      <c r="F1783" s="1014"/>
      <c r="G1783" s="1027"/>
      <c r="H1783" s="1027"/>
      <c r="I1783" s="1174"/>
      <c r="J1783" s="1174"/>
      <c r="K1783" s="1174"/>
      <c r="L1783" s="1172"/>
      <c r="M1783" s="1172"/>
      <c r="N1783" s="1175"/>
      <c r="O1783" s="143"/>
      <c r="P1783" s="1196"/>
      <c r="Q1783" s="141"/>
      <c r="R1783" s="141"/>
      <c r="S1783" s="148"/>
      <c r="T1783" s="419"/>
      <c r="U1783" s="559"/>
      <c r="V1783" s="141"/>
      <c r="W1783" s="141"/>
      <c r="X1783" s="141"/>
      <c r="Y1783" s="144"/>
      <c r="Z1783" s="141"/>
      <c r="AA1783" s="141"/>
      <c r="AB1783" s="141"/>
      <c r="AC1783" s="141"/>
      <c r="AD1783" s="141"/>
      <c r="AE1783" s="141"/>
      <c r="AF1783" s="145"/>
      <c r="AG1783" s="419"/>
    </row>
    <row r="1784" spans="1:33" s="139" customFormat="1" ht="12.75" customHeight="1" x14ac:dyDescent="0.2">
      <c r="A1784" s="141"/>
      <c r="B1784" s="141"/>
      <c r="C1784" s="141"/>
      <c r="D1784" s="141"/>
      <c r="E1784" s="1014"/>
      <c r="F1784" s="1014"/>
      <c r="G1784" s="1027"/>
      <c r="H1784" s="1027"/>
      <c r="I1784" s="1174"/>
      <c r="J1784" s="1174"/>
      <c r="K1784" s="1174"/>
      <c r="L1784" s="1172"/>
      <c r="M1784" s="1172"/>
      <c r="N1784" s="1175"/>
      <c r="O1784" s="143"/>
      <c r="P1784" s="1196"/>
      <c r="Q1784" s="141"/>
      <c r="R1784" s="141"/>
      <c r="S1784" s="148"/>
      <c r="T1784" s="419"/>
      <c r="U1784" s="559"/>
      <c r="V1784" s="141"/>
      <c r="W1784" s="141"/>
      <c r="X1784" s="141"/>
      <c r="Y1784" s="144"/>
      <c r="Z1784" s="141"/>
      <c r="AA1784" s="141"/>
      <c r="AB1784" s="141"/>
      <c r="AC1784" s="141"/>
      <c r="AD1784" s="141"/>
      <c r="AE1784" s="141"/>
      <c r="AF1784" s="145"/>
      <c r="AG1784" s="419"/>
    </row>
    <row r="1785" spans="1:33" s="139" customFormat="1" ht="12.75" customHeight="1" x14ac:dyDescent="0.2">
      <c r="A1785" s="141"/>
      <c r="B1785" s="141"/>
      <c r="C1785" s="141"/>
      <c r="D1785" s="141"/>
      <c r="E1785" s="1014"/>
      <c r="F1785" s="1014"/>
      <c r="G1785" s="1027"/>
      <c r="H1785" s="1027"/>
      <c r="I1785" s="1174"/>
      <c r="J1785" s="1174"/>
      <c r="K1785" s="1174"/>
      <c r="L1785" s="1172"/>
      <c r="M1785" s="1172"/>
      <c r="N1785" s="1175"/>
      <c r="O1785" s="143"/>
      <c r="P1785" s="1196"/>
      <c r="Q1785" s="141"/>
      <c r="R1785" s="141"/>
      <c r="S1785" s="148"/>
      <c r="T1785" s="419"/>
      <c r="U1785" s="559"/>
      <c r="V1785" s="141"/>
      <c r="W1785" s="141"/>
      <c r="X1785" s="141"/>
      <c r="Y1785" s="144"/>
      <c r="Z1785" s="141"/>
      <c r="AA1785" s="141"/>
      <c r="AB1785" s="141"/>
      <c r="AC1785" s="141"/>
      <c r="AD1785" s="141"/>
      <c r="AE1785" s="141"/>
      <c r="AF1785" s="145"/>
      <c r="AG1785" s="419"/>
    </row>
    <row r="1786" spans="1:33" s="139" customFormat="1" ht="12.75" customHeight="1" x14ac:dyDescent="0.2">
      <c r="A1786" s="141"/>
      <c r="B1786" s="141"/>
      <c r="C1786" s="141"/>
      <c r="D1786" s="141"/>
      <c r="E1786" s="1014"/>
      <c r="F1786" s="1014"/>
      <c r="G1786" s="1027"/>
      <c r="H1786" s="1027"/>
      <c r="I1786" s="1174"/>
      <c r="J1786" s="1174"/>
      <c r="K1786" s="1174"/>
      <c r="L1786" s="1172"/>
      <c r="M1786" s="1172"/>
      <c r="N1786" s="1175"/>
      <c r="O1786" s="143"/>
      <c r="P1786" s="1196"/>
      <c r="Q1786" s="141"/>
      <c r="R1786" s="141"/>
      <c r="S1786" s="148"/>
      <c r="T1786" s="419"/>
      <c r="U1786" s="559"/>
      <c r="V1786" s="141"/>
      <c r="W1786" s="141"/>
      <c r="X1786" s="141"/>
      <c r="Y1786" s="144"/>
      <c r="Z1786" s="141"/>
      <c r="AA1786" s="141"/>
      <c r="AB1786" s="141"/>
      <c r="AC1786" s="141"/>
      <c r="AD1786" s="141"/>
      <c r="AE1786" s="141"/>
      <c r="AF1786" s="145"/>
      <c r="AG1786" s="419"/>
    </row>
    <row r="1787" spans="1:33" s="139" customFormat="1" ht="12.75" customHeight="1" x14ac:dyDescent="0.2">
      <c r="A1787" s="141"/>
      <c r="B1787" s="141"/>
      <c r="C1787" s="141"/>
      <c r="D1787" s="141"/>
      <c r="E1787" s="1014"/>
      <c r="F1787" s="1014"/>
      <c r="G1787" s="1027"/>
      <c r="H1787" s="1027"/>
      <c r="I1787" s="1174"/>
      <c r="J1787" s="1174"/>
      <c r="K1787" s="1174"/>
      <c r="L1787" s="1172"/>
      <c r="M1787" s="1172"/>
      <c r="N1787" s="1175"/>
      <c r="O1787" s="143"/>
      <c r="P1787" s="1196"/>
      <c r="Q1787" s="141"/>
      <c r="R1787" s="141"/>
      <c r="S1787" s="148"/>
      <c r="T1787" s="419"/>
      <c r="U1787" s="559"/>
      <c r="V1787" s="141"/>
      <c r="W1787" s="141"/>
      <c r="X1787" s="141"/>
      <c r="Y1787" s="144"/>
      <c r="Z1787" s="141"/>
      <c r="AA1787" s="141"/>
      <c r="AB1787" s="141"/>
      <c r="AC1787" s="141"/>
      <c r="AD1787" s="141"/>
      <c r="AE1787" s="141"/>
      <c r="AF1787" s="145"/>
      <c r="AG1787" s="419"/>
    </row>
    <row r="1788" spans="1:33" s="139" customFormat="1" ht="12.75" customHeight="1" x14ac:dyDescent="0.2">
      <c r="A1788" s="141"/>
      <c r="B1788" s="141"/>
      <c r="C1788" s="141"/>
      <c r="D1788" s="141"/>
      <c r="E1788" s="1014"/>
      <c r="F1788" s="1014"/>
      <c r="G1788" s="1027"/>
      <c r="H1788" s="1027"/>
      <c r="I1788" s="1174"/>
      <c r="J1788" s="1174"/>
      <c r="K1788" s="1174"/>
      <c r="L1788" s="1172"/>
      <c r="M1788" s="1172"/>
      <c r="N1788" s="1175"/>
      <c r="O1788" s="143"/>
      <c r="P1788" s="1196"/>
      <c r="Q1788" s="141"/>
      <c r="R1788" s="141"/>
      <c r="S1788" s="148"/>
      <c r="T1788" s="419"/>
      <c r="U1788" s="559"/>
      <c r="V1788" s="141"/>
      <c r="W1788" s="141"/>
      <c r="X1788" s="141"/>
      <c r="Y1788" s="144"/>
      <c r="Z1788" s="141"/>
      <c r="AA1788" s="141"/>
      <c r="AB1788" s="141"/>
      <c r="AC1788" s="141"/>
      <c r="AD1788" s="141"/>
      <c r="AE1788" s="141"/>
      <c r="AF1788" s="145"/>
      <c r="AG1788" s="419"/>
    </row>
    <row r="1789" spans="1:33" s="139" customFormat="1" ht="12.75" customHeight="1" x14ac:dyDescent="0.2">
      <c r="A1789" s="141"/>
      <c r="B1789" s="141"/>
      <c r="C1789" s="141"/>
      <c r="D1789" s="141"/>
      <c r="E1789" s="1014"/>
      <c r="F1789" s="1014"/>
      <c r="G1789" s="1027"/>
      <c r="H1789" s="1027"/>
      <c r="I1789" s="1174"/>
      <c r="J1789" s="1174"/>
      <c r="K1789" s="1174"/>
      <c r="L1789" s="1172"/>
      <c r="M1789" s="1172"/>
      <c r="N1789" s="1175"/>
      <c r="O1789" s="143"/>
      <c r="P1789" s="1196"/>
      <c r="Q1789" s="141"/>
      <c r="R1789" s="141"/>
      <c r="S1789" s="148"/>
      <c r="T1789" s="419"/>
      <c r="U1789" s="559"/>
      <c r="V1789" s="141"/>
      <c r="W1789" s="141"/>
      <c r="X1789" s="141"/>
      <c r="Y1789" s="144"/>
      <c r="Z1789" s="141"/>
      <c r="AA1789" s="141"/>
      <c r="AB1789" s="141"/>
      <c r="AC1789" s="141"/>
      <c r="AD1789" s="141"/>
      <c r="AE1789" s="141"/>
      <c r="AF1789" s="145"/>
      <c r="AG1789" s="419"/>
    </row>
    <row r="1790" spans="1:33" s="139" customFormat="1" ht="12.75" customHeight="1" x14ac:dyDescent="0.2">
      <c r="A1790" s="141"/>
      <c r="B1790" s="141"/>
      <c r="C1790" s="141"/>
      <c r="D1790" s="141"/>
      <c r="E1790" s="1014"/>
      <c r="F1790" s="1014"/>
      <c r="G1790" s="1027"/>
      <c r="H1790" s="1027"/>
      <c r="I1790" s="1174"/>
      <c r="J1790" s="1174"/>
      <c r="K1790" s="1174"/>
      <c r="L1790" s="1172"/>
      <c r="M1790" s="1172"/>
      <c r="N1790" s="1175"/>
      <c r="O1790" s="143"/>
      <c r="P1790" s="1196"/>
      <c r="Q1790" s="141"/>
      <c r="R1790" s="141"/>
      <c r="S1790" s="148"/>
      <c r="T1790" s="419"/>
      <c r="U1790" s="559"/>
      <c r="V1790" s="141"/>
      <c r="W1790" s="141"/>
      <c r="X1790" s="141"/>
      <c r="Y1790" s="144"/>
      <c r="Z1790" s="141"/>
      <c r="AA1790" s="141"/>
      <c r="AB1790" s="141"/>
      <c r="AC1790" s="141"/>
      <c r="AD1790" s="141"/>
      <c r="AE1790" s="141"/>
      <c r="AF1790" s="145"/>
      <c r="AG1790" s="419"/>
    </row>
    <row r="1791" spans="1:33" s="139" customFormat="1" ht="12.75" customHeight="1" x14ac:dyDescent="0.2">
      <c r="A1791" s="141"/>
      <c r="B1791" s="141"/>
      <c r="C1791" s="141"/>
      <c r="D1791" s="141"/>
      <c r="E1791" s="1014"/>
      <c r="F1791" s="1014"/>
      <c r="G1791" s="1027"/>
      <c r="H1791" s="1027"/>
      <c r="I1791" s="1174"/>
      <c r="J1791" s="1174"/>
      <c r="K1791" s="1174"/>
      <c r="L1791" s="1172"/>
      <c r="M1791" s="1172"/>
      <c r="N1791" s="1175"/>
      <c r="O1791" s="143"/>
      <c r="P1791" s="1196"/>
      <c r="Q1791" s="141"/>
      <c r="R1791" s="141"/>
      <c r="S1791" s="148"/>
      <c r="T1791" s="419"/>
      <c r="U1791" s="559"/>
      <c r="V1791" s="141"/>
      <c r="W1791" s="141"/>
      <c r="X1791" s="141"/>
      <c r="Y1791" s="144"/>
      <c r="Z1791" s="141"/>
      <c r="AA1791" s="141"/>
      <c r="AB1791" s="141"/>
      <c r="AC1791" s="141"/>
      <c r="AD1791" s="141"/>
      <c r="AE1791" s="141"/>
      <c r="AF1791" s="145"/>
      <c r="AG1791" s="419"/>
    </row>
    <row r="1792" spans="1:33" s="139" customFormat="1" ht="12.75" customHeight="1" x14ac:dyDescent="0.2">
      <c r="A1792" s="141"/>
      <c r="B1792" s="141"/>
      <c r="C1792" s="141"/>
      <c r="D1792" s="141"/>
      <c r="E1792" s="1014"/>
      <c r="F1792" s="1014"/>
      <c r="G1792" s="1027"/>
      <c r="H1792" s="1027"/>
      <c r="I1792" s="1174"/>
      <c r="J1792" s="1174"/>
      <c r="K1792" s="1174"/>
      <c r="L1792" s="1172"/>
      <c r="M1792" s="1172"/>
      <c r="N1792" s="1175"/>
      <c r="O1792" s="143"/>
      <c r="P1792" s="1196"/>
      <c r="Q1792" s="141"/>
      <c r="R1792" s="141"/>
      <c r="S1792" s="148"/>
      <c r="T1792" s="419"/>
      <c r="U1792" s="559"/>
      <c r="V1792" s="141"/>
      <c r="W1792" s="141"/>
      <c r="X1792" s="141"/>
      <c r="Y1792" s="144"/>
      <c r="Z1792" s="141"/>
      <c r="AA1792" s="141"/>
      <c r="AB1792" s="141"/>
      <c r="AC1792" s="141"/>
      <c r="AD1792" s="141"/>
      <c r="AE1792" s="141"/>
      <c r="AF1792" s="145"/>
      <c r="AG1792" s="419"/>
    </row>
    <row r="1793" spans="1:33" s="139" customFormat="1" ht="12.75" customHeight="1" x14ac:dyDescent="0.2">
      <c r="A1793" s="141"/>
      <c r="B1793" s="141"/>
      <c r="C1793" s="141"/>
      <c r="D1793" s="141"/>
      <c r="E1793" s="1014"/>
      <c r="F1793" s="1014"/>
      <c r="G1793" s="1027"/>
      <c r="H1793" s="1027"/>
      <c r="I1793" s="1174"/>
      <c r="J1793" s="1174"/>
      <c r="K1793" s="1174"/>
      <c r="L1793" s="1172"/>
      <c r="M1793" s="1172"/>
      <c r="N1793" s="1175"/>
      <c r="O1793" s="143"/>
      <c r="P1793" s="1196"/>
      <c r="Q1793" s="141"/>
      <c r="R1793" s="141"/>
      <c r="S1793" s="148"/>
      <c r="T1793" s="419"/>
      <c r="U1793" s="559"/>
      <c r="V1793" s="141"/>
      <c r="W1793" s="141"/>
      <c r="X1793" s="141"/>
      <c r="Y1793" s="144"/>
      <c r="Z1793" s="141"/>
      <c r="AA1793" s="141"/>
      <c r="AB1793" s="141"/>
      <c r="AC1793" s="141"/>
      <c r="AD1793" s="141"/>
      <c r="AE1793" s="141"/>
      <c r="AF1793" s="145"/>
      <c r="AG1793" s="419"/>
    </row>
    <row r="1794" spans="1:33" s="139" customFormat="1" ht="12.75" customHeight="1" x14ac:dyDescent="0.2">
      <c r="A1794" s="141"/>
      <c r="B1794" s="141"/>
      <c r="C1794" s="141"/>
      <c r="D1794" s="141"/>
      <c r="E1794" s="1014"/>
      <c r="F1794" s="1014"/>
      <c r="G1794" s="1027"/>
      <c r="H1794" s="1027"/>
      <c r="I1794" s="1174"/>
      <c r="J1794" s="1174"/>
      <c r="K1794" s="1174"/>
      <c r="L1794" s="1172"/>
      <c r="M1794" s="1172"/>
      <c r="N1794" s="1175"/>
      <c r="O1794" s="143"/>
      <c r="P1794" s="1196"/>
      <c r="Q1794" s="141"/>
      <c r="R1794" s="141"/>
      <c r="S1794" s="148"/>
      <c r="T1794" s="419"/>
      <c r="U1794" s="559"/>
      <c r="V1794" s="141"/>
      <c r="W1794" s="141"/>
      <c r="X1794" s="141"/>
      <c r="Y1794" s="144"/>
      <c r="Z1794" s="141"/>
      <c r="AA1794" s="141"/>
      <c r="AB1794" s="141"/>
      <c r="AC1794" s="141"/>
      <c r="AD1794" s="141"/>
      <c r="AE1794" s="141"/>
      <c r="AF1794" s="145"/>
      <c r="AG1794" s="419"/>
    </row>
    <row r="1795" spans="1:33" s="139" customFormat="1" ht="12.75" customHeight="1" x14ac:dyDescent="0.2">
      <c r="A1795" s="141"/>
      <c r="B1795" s="141"/>
      <c r="C1795" s="141"/>
      <c r="D1795" s="141"/>
      <c r="E1795" s="1014"/>
      <c r="F1795" s="1014"/>
      <c r="G1795" s="1027"/>
      <c r="H1795" s="1027"/>
      <c r="I1795" s="1174"/>
      <c r="J1795" s="1174"/>
      <c r="K1795" s="1174"/>
      <c r="L1795" s="1172"/>
      <c r="M1795" s="1172"/>
      <c r="N1795" s="1175"/>
      <c r="O1795" s="143"/>
      <c r="P1795" s="1196"/>
      <c r="Q1795" s="141"/>
      <c r="R1795" s="141"/>
      <c r="S1795" s="148"/>
      <c r="T1795" s="419"/>
      <c r="U1795" s="559"/>
      <c r="V1795" s="141"/>
      <c r="W1795" s="141"/>
      <c r="X1795" s="141"/>
      <c r="Y1795" s="144"/>
      <c r="Z1795" s="141"/>
      <c r="AA1795" s="141"/>
      <c r="AB1795" s="141"/>
      <c r="AC1795" s="141"/>
      <c r="AD1795" s="141"/>
      <c r="AE1795" s="141"/>
      <c r="AF1795" s="145"/>
      <c r="AG1795" s="419"/>
    </row>
    <row r="1796" spans="1:33" s="139" customFormat="1" ht="12.75" customHeight="1" x14ac:dyDescent="0.2">
      <c r="A1796" s="141"/>
      <c r="B1796" s="141"/>
      <c r="C1796" s="141"/>
      <c r="D1796" s="141"/>
      <c r="E1796" s="1014"/>
      <c r="F1796" s="1014"/>
      <c r="G1796" s="1027"/>
      <c r="H1796" s="1027"/>
      <c r="I1796" s="1174"/>
      <c r="J1796" s="1174"/>
      <c r="K1796" s="1174"/>
      <c r="L1796" s="1172"/>
      <c r="M1796" s="1172"/>
      <c r="N1796" s="1175"/>
      <c r="O1796" s="143"/>
      <c r="P1796" s="1196"/>
      <c r="Q1796" s="141"/>
      <c r="R1796" s="141"/>
      <c r="S1796" s="148"/>
      <c r="T1796" s="419"/>
      <c r="U1796" s="559"/>
      <c r="V1796" s="141"/>
      <c r="W1796" s="141"/>
      <c r="X1796" s="141"/>
      <c r="Y1796" s="144"/>
      <c r="Z1796" s="141"/>
      <c r="AA1796" s="141"/>
      <c r="AB1796" s="141"/>
      <c r="AC1796" s="141"/>
      <c r="AD1796" s="141"/>
      <c r="AE1796" s="141"/>
      <c r="AF1796" s="145"/>
      <c r="AG1796" s="419"/>
    </row>
    <row r="1797" spans="1:33" s="139" customFormat="1" ht="12.75" customHeight="1" x14ac:dyDescent="0.2">
      <c r="A1797" s="141"/>
      <c r="B1797" s="141"/>
      <c r="C1797" s="141"/>
      <c r="D1797" s="141"/>
      <c r="E1797" s="1014"/>
      <c r="F1797" s="1014"/>
      <c r="G1797" s="1027"/>
      <c r="H1797" s="1027"/>
      <c r="I1797" s="1174"/>
      <c r="J1797" s="1174"/>
      <c r="K1797" s="1174"/>
      <c r="L1797" s="1172"/>
      <c r="M1797" s="1172"/>
      <c r="N1797" s="1175"/>
      <c r="O1797" s="143"/>
      <c r="P1797" s="1196"/>
      <c r="Q1797" s="141"/>
      <c r="R1797" s="141"/>
      <c r="S1797" s="148"/>
      <c r="T1797" s="419"/>
      <c r="U1797" s="559"/>
      <c r="V1797" s="141"/>
      <c r="W1797" s="141"/>
      <c r="X1797" s="141"/>
      <c r="Y1797" s="144"/>
      <c r="Z1797" s="141"/>
      <c r="AA1797" s="141"/>
      <c r="AB1797" s="141"/>
      <c r="AC1797" s="141"/>
      <c r="AD1797" s="141"/>
      <c r="AE1797" s="141"/>
      <c r="AF1797" s="145"/>
      <c r="AG1797" s="419"/>
    </row>
    <row r="1798" spans="1:33" s="139" customFormat="1" ht="12.75" customHeight="1" x14ac:dyDescent="0.2">
      <c r="A1798" s="141"/>
      <c r="B1798" s="141"/>
      <c r="C1798" s="141"/>
      <c r="D1798" s="141"/>
      <c r="E1798" s="1014"/>
      <c r="F1798" s="1014"/>
      <c r="G1798" s="1027"/>
      <c r="H1798" s="1027"/>
      <c r="I1798" s="1174"/>
      <c r="J1798" s="1174"/>
      <c r="K1798" s="1174"/>
      <c r="L1798" s="1172"/>
      <c r="M1798" s="1172"/>
      <c r="N1798" s="1175"/>
      <c r="O1798" s="143"/>
      <c r="P1798" s="1196"/>
      <c r="Q1798" s="141"/>
      <c r="R1798" s="141"/>
      <c r="S1798" s="148"/>
      <c r="T1798" s="419"/>
      <c r="U1798" s="559"/>
      <c r="V1798" s="141"/>
      <c r="W1798" s="141"/>
      <c r="X1798" s="141"/>
      <c r="Y1798" s="144"/>
      <c r="Z1798" s="141"/>
      <c r="AA1798" s="141"/>
      <c r="AB1798" s="141"/>
      <c r="AC1798" s="141"/>
      <c r="AD1798" s="141"/>
      <c r="AE1798" s="141"/>
      <c r="AF1798" s="145"/>
      <c r="AG1798" s="419"/>
    </row>
    <row r="1799" spans="1:33" s="139" customFormat="1" ht="12.75" customHeight="1" x14ac:dyDescent="0.2">
      <c r="A1799" s="141"/>
      <c r="B1799" s="141"/>
      <c r="C1799" s="141"/>
      <c r="D1799" s="141"/>
      <c r="E1799" s="1014"/>
      <c r="F1799" s="1014"/>
      <c r="G1799" s="1027"/>
      <c r="H1799" s="1027"/>
      <c r="I1799" s="1174"/>
      <c r="J1799" s="1174"/>
      <c r="K1799" s="1174"/>
      <c r="L1799" s="1172"/>
      <c r="M1799" s="1172"/>
      <c r="N1799" s="1175"/>
      <c r="O1799" s="143"/>
      <c r="P1799" s="1196"/>
      <c r="Q1799" s="141"/>
      <c r="R1799" s="141"/>
      <c r="S1799" s="148"/>
      <c r="T1799" s="419"/>
      <c r="U1799" s="559"/>
      <c r="V1799" s="141"/>
      <c r="W1799" s="141"/>
      <c r="X1799" s="141"/>
      <c r="Y1799" s="144"/>
      <c r="Z1799" s="141"/>
      <c r="AA1799" s="141"/>
      <c r="AB1799" s="141"/>
      <c r="AC1799" s="141"/>
      <c r="AD1799" s="141"/>
      <c r="AE1799" s="141"/>
      <c r="AF1799" s="145"/>
      <c r="AG1799" s="419"/>
    </row>
    <row r="1800" spans="1:33" s="139" customFormat="1" ht="12.75" customHeight="1" x14ac:dyDescent="0.2">
      <c r="A1800" s="141"/>
      <c r="B1800" s="141"/>
      <c r="C1800" s="141"/>
      <c r="D1800" s="141"/>
      <c r="E1800" s="1014"/>
      <c r="F1800" s="1014"/>
      <c r="G1800" s="1027"/>
      <c r="H1800" s="1027"/>
      <c r="I1800" s="1174"/>
      <c r="J1800" s="1174"/>
      <c r="K1800" s="1174"/>
      <c r="L1800" s="1172"/>
      <c r="M1800" s="1172"/>
      <c r="N1800" s="1175"/>
      <c r="O1800" s="143"/>
      <c r="P1800" s="1196"/>
      <c r="Q1800" s="141"/>
      <c r="R1800" s="141"/>
      <c r="S1800" s="148"/>
      <c r="T1800" s="419"/>
      <c r="U1800" s="559"/>
      <c r="V1800" s="141"/>
      <c r="W1800" s="141"/>
      <c r="X1800" s="141"/>
      <c r="Y1800" s="144"/>
      <c r="Z1800" s="141"/>
      <c r="AA1800" s="141"/>
      <c r="AB1800" s="141"/>
      <c r="AC1800" s="141"/>
      <c r="AD1800" s="141"/>
      <c r="AE1800" s="141"/>
      <c r="AF1800" s="145"/>
      <c r="AG1800" s="419"/>
    </row>
    <row r="1801" spans="1:33" s="139" customFormat="1" ht="12.75" customHeight="1" x14ac:dyDescent="0.2">
      <c r="A1801" s="141"/>
      <c r="B1801" s="141"/>
      <c r="C1801" s="141"/>
      <c r="D1801" s="141"/>
      <c r="E1801" s="1014"/>
      <c r="F1801" s="1014"/>
      <c r="G1801" s="1027"/>
      <c r="H1801" s="1027"/>
      <c r="I1801" s="1174"/>
      <c r="J1801" s="1174"/>
      <c r="K1801" s="1174"/>
      <c r="L1801" s="1172"/>
      <c r="M1801" s="1172"/>
      <c r="N1801" s="1175"/>
      <c r="O1801" s="143"/>
      <c r="P1801" s="1196"/>
      <c r="Q1801" s="141"/>
      <c r="R1801" s="141"/>
      <c r="S1801" s="148"/>
      <c r="T1801" s="419"/>
      <c r="U1801" s="559"/>
      <c r="V1801" s="141"/>
      <c r="W1801" s="141"/>
      <c r="X1801" s="141"/>
      <c r="Y1801" s="144"/>
      <c r="Z1801" s="141"/>
      <c r="AA1801" s="141"/>
      <c r="AB1801" s="141"/>
      <c r="AC1801" s="141"/>
      <c r="AD1801" s="141"/>
      <c r="AE1801" s="141"/>
      <c r="AF1801" s="145"/>
      <c r="AG1801" s="419"/>
    </row>
    <row r="1802" spans="1:33" s="139" customFormat="1" ht="12.75" customHeight="1" x14ac:dyDescent="0.2">
      <c r="A1802" s="141"/>
      <c r="B1802" s="141"/>
      <c r="C1802" s="141"/>
      <c r="D1802" s="141"/>
      <c r="E1802" s="1014"/>
      <c r="F1802" s="1014"/>
      <c r="G1802" s="1027"/>
      <c r="H1802" s="1027"/>
      <c r="I1802" s="1174"/>
      <c r="J1802" s="1174"/>
      <c r="K1802" s="1174"/>
      <c r="L1802" s="1172"/>
      <c r="M1802" s="1172"/>
      <c r="N1802" s="1175"/>
      <c r="O1802" s="143"/>
      <c r="P1802" s="1196"/>
      <c r="Q1802" s="141"/>
      <c r="R1802" s="141"/>
      <c r="S1802" s="148"/>
      <c r="T1802" s="419"/>
      <c r="U1802" s="559"/>
      <c r="V1802" s="141"/>
      <c r="W1802" s="141"/>
      <c r="X1802" s="141"/>
      <c r="Y1802" s="144"/>
      <c r="Z1802" s="141"/>
      <c r="AA1802" s="141"/>
      <c r="AB1802" s="141"/>
      <c r="AC1802" s="141"/>
      <c r="AD1802" s="141"/>
      <c r="AE1802" s="141"/>
      <c r="AF1802" s="145"/>
      <c r="AG1802" s="419"/>
    </row>
    <row r="1803" spans="1:33" s="139" customFormat="1" ht="12.75" customHeight="1" x14ac:dyDescent="0.2">
      <c r="A1803" s="141"/>
      <c r="B1803" s="141"/>
      <c r="C1803" s="141"/>
      <c r="D1803" s="141"/>
      <c r="E1803" s="1014"/>
      <c r="F1803" s="1014"/>
      <c r="G1803" s="1027"/>
      <c r="H1803" s="1027"/>
      <c r="I1803" s="1174"/>
      <c r="J1803" s="1174"/>
      <c r="K1803" s="1174"/>
      <c r="L1803" s="1172"/>
      <c r="M1803" s="1172"/>
      <c r="N1803" s="1175"/>
      <c r="O1803" s="143"/>
      <c r="P1803" s="1196"/>
      <c r="Q1803" s="141"/>
      <c r="R1803" s="141"/>
      <c r="S1803" s="148"/>
      <c r="T1803" s="419"/>
      <c r="U1803" s="559"/>
      <c r="V1803" s="141"/>
      <c r="W1803" s="141"/>
      <c r="X1803" s="141"/>
      <c r="Y1803" s="144"/>
      <c r="Z1803" s="141"/>
      <c r="AA1803" s="141"/>
      <c r="AB1803" s="141"/>
      <c r="AC1803" s="141"/>
      <c r="AD1803" s="141"/>
      <c r="AE1803" s="141"/>
      <c r="AF1803" s="145"/>
      <c r="AG1803" s="419"/>
    </row>
    <row r="1804" spans="1:33" s="139" customFormat="1" ht="12.75" customHeight="1" x14ac:dyDescent="0.2">
      <c r="A1804" s="141"/>
      <c r="B1804" s="141"/>
      <c r="C1804" s="141"/>
      <c r="D1804" s="141"/>
      <c r="E1804" s="1014"/>
      <c r="F1804" s="1014"/>
      <c r="G1804" s="1027"/>
      <c r="H1804" s="1027"/>
      <c r="I1804" s="1174"/>
      <c r="J1804" s="1174"/>
      <c r="K1804" s="1174"/>
      <c r="L1804" s="1172"/>
      <c r="M1804" s="1172"/>
      <c r="N1804" s="1175"/>
      <c r="O1804" s="143"/>
      <c r="P1804" s="1196"/>
      <c r="Q1804" s="141"/>
      <c r="R1804" s="141"/>
      <c r="S1804" s="148"/>
      <c r="T1804" s="419"/>
      <c r="U1804" s="559"/>
      <c r="V1804" s="141"/>
      <c r="W1804" s="141"/>
      <c r="X1804" s="141"/>
      <c r="Y1804" s="144"/>
      <c r="Z1804" s="141"/>
      <c r="AA1804" s="141"/>
      <c r="AB1804" s="141"/>
      <c r="AC1804" s="141"/>
      <c r="AD1804" s="141"/>
      <c r="AE1804" s="141"/>
      <c r="AF1804" s="145"/>
      <c r="AG1804" s="419"/>
    </row>
    <row r="1805" spans="1:33" s="139" customFormat="1" ht="12.75" customHeight="1" x14ac:dyDescent="0.2">
      <c r="A1805" s="141"/>
      <c r="B1805" s="141"/>
      <c r="C1805" s="141"/>
      <c r="D1805" s="141"/>
      <c r="E1805" s="1014"/>
      <c r="F1805" s="1014"/>
      <c r="G1805" s="1027"/>
      <c r="H1805" s="1027"/>
      <c r="I1805" s="1174"/>
      <c r="J1805" s="1174"/>
      <c r="K1805" s="1174"/>
      <c r="L1805" s="1172"/>
      <c r="M1805" s="1172"/>
      <c r="N1805" s="1175"/>
      <c r="O1805" s="143"/>
      <c r="P1805" s="1196"/>
      <c r="Q1805" s="141"/>
      <c r="R1805" s="141"/>
      <c r="S1805" s="148"/>
      <c r="T1805" s="419"/>
      <c r="U1805" s="559"/>
      <c r="V1805" s="141"/>
      <c r="W1805" s="141"/>
      <c r="X1805" s="141"/>
      <c r="Y1805" s="144"/>
      <c r="Z1805" s="141"/>
      <c r="AA1805" s="141"/>
      <c r="AB1805" s="141"/>
      <c r="AC1805" s="141"/>
      <c r="AD1805" s="141"/>
      <c r="AE1805" s="141"/>
      <c r="AF1805" s="145"/>
      <c r="AG1805" s="419"/>
    </row>
    <row r="1806" spans="1:33" s="139" customFormat="1" ht="12.75" customHeight="1" x14ac:dyDescent="0.2">
      <c r="A1806" s="141"/>
      <c r="B1806" s="141"/>
      <c r="C1806" s="141"/>
      <c r="D1806" s="141"/>
      <c r="E1806" s="1014"/>
      <c r="F1806" s="1014"/>
      <c r="G1806" s="1027"/>
      <c r="H1806" s="1027"/>
      <c r="I1806" s="1174"/>
      <c r="J1806" s="1174"/>
      <c r="K1806" s="1174"/>
      <c r="L1806" s="1172"/>
      <c r="M1806" s="1172"/>
      <c r="N1806" s="1175"/>
      <c r="O1806" s="143"/>
      <c r="P1806" s="1196"/>
      <c r="Q1806" s="141"/>
      <c r="R1806" s="141"/>
      <c r="S1806" s="148"/>
      <c r="T1806" s="419"/>
      <c r="U1806" s="559"/>
      <c r="V1806" s="141"/>
      <c r="W1806" s="141"/>
      <c r="X1806" s="141"/>
      <c r="Y1806" s="144"/>
      <c r="Z1806" s="141"/>
      <c r="AA1806" s="141"/>
      <c r="AB1806" s="141"/>
      <c r="AC1806" s="141"/>
      <c r="AD1806" s="141"/>
      <c r="AE1806" s="141"/>
      <c r="AF1806" s="145"/>
      <c r="AG1806" s="419"/>
    </row>
    <row r="1807" spans="1:33" s="139" customFormat="1" ht="12.75" customHeight="1" x14ac:dyDescent="0.2">
      <c r="A1807" s="141"/>
      <c r="B1807" s="141"/>
      <c r="C1807" s="141"/>
      <c r="D1807" s="141"/>
      <c r="E1807" s="1014"/>
      <c r="F1807" s="1014"/>
      <c r="G1807" s="1027"/>
      <c r="H1807" s="1027"/>
      <c r="I1807" s="1174"/>
      <c r="J1807" s="1174"/>
      <c r="K1807" s="1174"/>
      <c r="L1807" s="1172"/>
      <c r="M1807" s="1172"/>
      <c r="N1807" s="1175"/>
      <c r="O1807" s="143"/>
      <c r="P1807" s="1196"/>
      <c r="Q1807" s="141"/>
      <c r="R1807" s="141"/>
      <c r="S1807" s="148"/>
      <c r="T1807" s="419"/>
      <c r="U1807" s="559"/>
      <c r="V1807" s="141"/>
      <c r="W1807" s="141"/>
      <c r="X1807" s="141"/>
      <c r="Y1807" s="144"/>
      <c r="Z1807" s="141"/>
      <c r="AA1807" s="141"/>
      <c r="AB1807" s="141"/>
      <c r="AC1807" s="141"/>
      <c r="AD1807" s="141"/>
      <c r="AE1807" s="141"/>
      <c r="AF1807" s="145"/>
      <c r="AG1807" s="419"/>
    </row>
    <row r="1808" spans="1:33" s="139" customFormat="1" ht="12.75" customHeight="1" x14ac:dyDescent="0.2">
      <c r="A1808" s="141"/>
      <c r="B1808" s="141"/>
      <c r="C1808" s="141"/>
      <c r="D1808" s="141"/>
      <c r="E1808" s="1014"/>
      <c r="F1808" s="1014"/>
      <c r="G1808" s="1027"/>
      <c r="H1808" s="1027"/>
      <c r="I1808" s="1174"/>
      <c r="J1808" s="1174"/>
      <c r="K1808" s="1174"/>
      <c r="L1808" s="1172"/>
      <c r="M1808" s="1172"/>
      <c r="N1808" s="1175"/>
      <c r="O1808" s="143"/>
      <c r="P1808" s="1196"/>
      <c r="Q1808" s="141"/>
      <c r="R1808" s="141"/>
      <c r="S1808" s="148"/>
      <c r="T1808" s="419"/>
      <c r="U1808" s="559"/>
      <c r="V1808" s="141"/>
      <c r="W1808" s="141"/>
      <c r="X1808" s="141"/>
      <c r="Y1808" s="144"/>
      <c r="Z1808" s="141"/>
      <c r="AA1808" s="141"/>
      <c r="AB1808" s="141"/>
      <c r="AC1808" s="141"/>
      <c r="AD1808" s="141"/>
      <c r="AE1808" s="141"/>
      <c r="AF1808" s="145"/>
      <c r="AG1808" s="419"/>
    </row>
    <row r="1809" spans="1:33" s="139" customFormat="1" ht="12.75" customHeight="1" x14ac:dyDescent="0.2">
      <c r="A1809" s="141"/>
      <c r="B1809" s="141"/>
      <c r="C1809" s="141"/>
      <c r="D1809" s="141"/>
      <c r="E1809" s="1014"/>
      <c r="F1809" s="1014"/>
      <c r="G1809" s="1027"/>
      <c r="H1809" s="1027"/>
      <c r="I1809" s="1174"/>
      <c r="J1809" s="1174"/>
      <c r="K1809" s="1174"/>
      <c r="L1809" s="1172"/>
      <c r="M1809" s="1172"/>
      <c r="N1809" s="1175"/>
      <c r="O1809" s="143"/>
      <c r="P1809" s="1196"/>
      <c r="Q1809" s="141"/>
      <c r="R1809" s="141"/>
      <c r="S1809" s="148"/>
      <c r="T1809" s="419"/>
      <c r="U1809" s="559"/>
      <c r="V1809" s="141"/>
      <c r="W1809" s="141"/>
      <c r="X1809" s="141"/>
      <c r="Y1809" s="144"/>
      <c r="Z1809" s="141"/>
      <c r="AA1809" s="141"/>
      <c r="AB1809" s="141"/>
      <c r="AC1809" s="141"/>
      <c r="AD1809" s="141"/>
      <c r="AE1809" s="141"/>
      <c r="AF1809" s="145"/>
      <c r="AG1809" s="419"/>
    </row>
    <row r="1810" spans="1:33" s="139" customFormat="1" ht="12.75" customHeight="1" x14ac:dyDescent="0.2">
      <c r="A1810" s="141"/>
      <c r="B1810" s="141"/>
      <c r="C1810" s="141"/>
      <c r="D1810" s="141"/>
      <c r="E1810" s="1014"/>
      <c r="F1810" s="1014"/>
      <c r="G1810" s="1027"/>
      <c r="H1810" s="1027"/>
      <c r="I1810" s="1174"/>
      <c r="J1810" s="1174"/>
      <c r="K1810" s="1174"/>
      <c r="L1810" s="1172"/>
      <c r="M1810" s="1172"/>
      <c r="N1810" s="1175"/>
      <c r="O1810" s="143"/>
      <c r="P1810" s="1196"/>
      <c r="Q1810" s="141"/>
      <c r="R1810" s="141"/>
      <c r="S1810" s="148"/>
      <c r="T1810" s="419"/>
      <c r="U1810" s="559"/>
      <c r="V1810" s="141"/>
      <c r="W1810" s="141"/>
      <c r="X1810" s="141"/>
      <c r="Y1810" s="144"/>
      <c r="Z1810" s="141"/>
      <c r="AA1810" s="141"/>
      <c r="AB1810" s="141"/>
      <c r="AC1810" s="141"/>
      <c r="AD1810" s="141"/>
      <c r="AE1810" s="141"/>
      <c r="AF1810" s="145"/>
      <c r="AG1810" s="419"/>
    </row>
    <row r="1811" spans="1:33" s="139" customFormat="1" ht="12.75" customHeight="1" x14ac:dyDescent="0.2">
      <c r="A1811" s="141"/>
      <c r="B1811" s="141"/>
      <c r="C1811" s="141"/>
      <c r="D1811" s="141"/>
      <c r="E1811" s="1014"/>
      <c r="F1811" s="1014"/>
      <c r="G1811" s="1027"/>
      <c r="H1811" s="1027"/>
      <c r="I1811" s="1174"/>
      <c r="J1811" s="1174"/>
      <c r="K1811" s="1174"/>
      <c r="L1811" s="1172"/>
      <c r="M1811" s="1172"/>
      <c r="N1811" s="1175"/>
      <c r="O1811" s="143"/>
      <c r="P1811" s="1196"/>
      <c r="Q1811" s="141"/>
      <c r="R1811" s="141"/>
      <c r="S1811" s="148"/>
      <c r="T1811" s="419"/>
      <c r="U1811" s="559"/>
      <c r="V1811" s="141"/>
      <c r="W1811" s="141"/>
      <c r="X1811" s="141"/>
      <c r="Y1811" s="144"/>
      <c r="Z1811" s="141"/>
      <c r="AA1811" s="141"/>
      <c r="AB1811" s="141"/>
      <c r="AC1811" s="141"/>
      <c r="AD1811" s="141"/>
      <c r="AE1811" s="141"/>
      <c r="AF1811" s="145"/>
      <c r="AG1811" s="419"/>
    </row>
    <row r="1812" spans="1:33" s="139" customFormat="1" ht="12.75" customHeight="1" x14ac:dyDescent="0.2">
      <c r="A1812" s="141"/>
      <c r="B1812" s="141"/>
      <c r="C1812" s="141"/>
      <c r="D1812" s="141"/>
      <c r="E1812" s="1014"/>
      <c r="F1812" s="1014"/>
      <c r="G1812" s="1027"/>
      <c r="H1812" s="1027"/>
      <c r="I1812" s="1174"/>
      <c r="J1812" s="1174"/>
      <c r="K1812" s="1174"/>
      <c r="L1812" s="1172"/>
      <c r="M1812" s="1172"/>
      <c r="N1812" s="1175"/>
      <c r="O1812" s="143"/>
      <c r="P1812" s="1196"/>
      <c r="Q1812" s="141"/>
      <c r="R1812" s="141"/>
      <c r="S1812" s="148"/>
      <c r="T1812" s="419"/>
      <c r="U1812" s="559"/>
      <c r="V1812" s="141"/>
      <c r="W1812" s="141"/>
      <c r="X1812" s="141"/>
      <c r="Y1812" s="144"/>
      <c r="Z1812" s="141"/>
      <c r="AA1812" s="141"/>
      <c r="AB1812" s="141"/>
      <c r="AC1812" s="141"/>
      <c r="AD1812" s="141"/>
      <c r="AE1812" s="141"/>
      <c r="AF1812" s="145"/>
      <c r="AG1812" s="419"/>
    </row>
    <row r="1813" spans="1:33" s="139" customFormat="1" ht="12.75" customHeight="1" x14ac:dyDescent="0.2">
      <c r="A1813" s="141"/>
      <c r="B1813" s="141"/>
      <c r="C1813" s="141"/>
      <c r="D1813" s="141"/>
      <c r="E1813" s="1014"/>
      <c r="F1813" s="1014"/>
      <c r="G1813" s="1027"/>
      <c r="H1813" s="1027"/>
      <c r="I1813" s="1174"/>
      <c r="J1813" s="1174"/>
      <c r="K1813" s="1174"/>
      <c r="L1813" s="1172"/>
      <c r="M1813" s="1172"/>
      <c r="N1813" s="1175"/>
      <c r="O1813" s="143"/>
      <c r="P1813" s="1196"/>
      <c r="Q1813" s="141"/>
      <c r="R1813" s="141"/>
      <c r="S1813" s="148"/>
      <c r="T1813" s="419"/>
      <c r="U1813" s="559"/>
      <c r="V1813" s="141"/>
      <c r="W1813" s="141"/>
      <c r="X1813" s="141"/>
      <c r="Y1813" s="144"/>
      <c r="Z1813" s="141"/>
      <c r="AA1813" s="141"/>
      <c r="AB1813" s="141"/>
      <c r="AC1813" s="141"/>
      <c r="AD1813" s="141"/>
      <c r="AE1813" s="141"/>
      <c r="AF1813" s="145"/>
      <c r="AG1813" s="419"/>
    </row>
    <row r="1814" spans="1:33" s="139" customFormat="1" ht="12.75" customHeight="1" x14ac:dyDescent="0.2">
      <c r="A1814" s="141"/>
      <c r="B1814" s="141"/>
      <c r="C1814" s="141"/>
      <c r="D1814" s="141"/>
      <c r="E1814" s="1014"/>
      <c r="F1814" s="1014"/>
      <c r="G1814" s="1027"/>
      <c r="H1814" s="1027"/>
      <c r="I1814" s="1174"/>
      <c r="J1814" s="1174"/>
      <c r="K1814" s="1174"/>
      <c r="L1814" s="1172"/>
      <c r="M1814" s="1172"/>
      <c r="N1814" s="1175"/>
      <c r="O1814" s="143"/>
      <c r="P1814" s="1196"/>
      <c r="Q1814" s="141"/>
      <c r="R1814" s="141"/>
      <c r="S1814" s="148"/>
      <c r="T1814" s="419"/>
      <c r="U1814" s="559"/>
      <c r="V1814" s="141"/>
      <c r="W1814" s="141"/>
      <c r="X1814" s="141"/>
      <c r="Y1814" s="144"/>
      <c r="Z1814" s="141"/>
      <c r="AA1814" s="141"/>
      <c r="AB1814" s="141"/>
      <c r="AC1814" s="141"/>
      <c r="AD1814" s="141"/>
      <c r="AE1814" s="141"/>
      <c r="AF1814" s="145"/>
      <c r="AG1814" s="419"/>
    </row>
    <row r="1815" spans="1:33" s="139" customFormat="1" ht="12.75" customHeight="1" x14ac:dyDescent="0.2">
      <c r="A1815" s="141"/>
      <c r="B1815" s="141"/>
      <c r="C1815" s="141"/>
      <c r="D1815" s="141"/>
      <c r="E1815" s="1014"/>
      <c r="F1815" s="1014"/>
      <c r="G1815" s="1027"/>
      <c r="H1815" s="1027"/>
      <c r="I1815" s="1174"/>
      <c r="J1815" s="1174"/>
      <c r="K1815" s="1174"/>
      <c r="L1815" s="1172"/>
      <c r="M1815" s="1172"/>
      <c r="N1815" s="1175"/>
      <c r="O1815" s="143"/>
      <c r="P1815" s="1196"/>
      <c r="Q1815" s="141"/>
      <c r="R1815" s="141"/>
      <c r="S1815" s="148"/>
      <c r="T1815" s="419"/>
      <c r="U1815" s="559"/>
      <c r="V1815" s="141"/>
      <c r="W1815" s="141"/>
      <c r="X1815" s="141"/>
      <c r="Y1815" s="144"/>
      <c r="Z1815" s="141"/>
      <c r="AA1815" s="141"/>
      <c r="AB1815" s="141"/>
      <c r="AC1815" s="141"/>
      <c r="AD1815" s="141"/>
      <c r="AE1815" s="141"/>
      <c r="AF1815" s="145"/>
      <c r="AG1815" s="419"/>
    </row>
    <row r="1816" spans="1:33" s="139" customFormat="1" ht="12.75" customHeight="1" x14ac:dyDescent="0.2">
      <c r="A1816" s="141"/>
      <c r="B1816" s="141"/>
      <c r="C1816" s="141"/>
      <c r="D1816" s="141"/>
      <c r="E1816" s="1014"/>
      <c r="F1816" s="1014"/>
      <c r="G1816" s="1027"/>
      <c r="H1816" s="1027"/>
      <c r="I1816" s="1174"/>
      <c r="J1816" s="1174"/>
      <c r="K1816" s="1174"/>
      <c r="L1816" s="1172"/>
      <c r="M1816" s="1172"/>
      <c r="N1816" s="1175"/>
      <c r="O1816" s="143"/>
      <c r="P1816" s="1196"/>
      <c r="Q1816" s="141"/>
      <c r="R1816" s="141"/>
      <c r="S1816" s="148"/>
      <c r="T1816" s="419"/>
      <c r="U1816" s="559"/>
      <c r="V1816" s="141"/>
      <c r="W1816" s="141"/>
      <c r="X1816" s="141"/>
      <c r="Y1816" s="144"/>
      <c r="Z1816" s="141"/>
      <c r="AA1816" s="141"/>
      <c r="AB1816" s="141"/>
      <c r="AC1816" s="141"/>
      <c r="AD1816" s="141"/>
      <c r="AE1816" s="141"/>
      <c r="AF1816" s="145"/>
      <c r="AG1816" s="419"/>
    </row>
    <row r="1817" spans="1:33" s="139" customFormat="1" ht="12.75" customHeight="1" x14ac:dyDescent="0.2">
      <c r="A1817" s="141"/>
      <c r="B1817" s="141"/>
      <c r="C1817" s="141"/>
      <c r="D1817" s="141"/>
      <c r="E1817" s="1014"/>
      <c r="F1817" s="1014"/>
      <c r="G1817" s="1027"/>
      <c r="H1817" s="1027"/>
      <c r="I1817" s="1174"/>
      <c r="J1817" s="1174"/>
      <c r="K1817" s="1174"/>
      <c r="L1817" s="1172"/>
      <c r="M1817" s="1172"/>
      <c r="N1817" s="1175"/>
      <c r="O1817" s="143"/>
      <c r="P1817" s="1196"/>
      <c r="Q1817" s="141"/>
      <c r="R1817" s="141"/>
      <c r="S1817" s="148"/>
      <c r="T1817" s="419"/>
      <c r="U1817" s="559"/>
      <c r="V1817" s="141"/>
      <c r="W1817" s="141"/>
      <c r="X1817" s="141"/>
      <c r="Y1817" s="144"/>
      <c r="Z1817" s="141"/>
      <c r="AA1817" s="141"/>
      <c r="AB1817" s="141"/>
      <c r="AC1817" s="141"/>
      <c r="AD1817" s="141"/>
      <c r="AE1817" s="141"/>
      <c r="AF1817" s="145"/>
      <c r="AG1817" s="419"/>
    </row>
    <row r="1818" spans="1:33" s="139" customFormat="1" ht="12.75" customHeight="1" x14ac:dyDescent="0.2">
      <c r="A1818" s="141"/>
      <c r="B1818" s="141"/>
      <c r="C1818" s="141"/>
      <c r="D1818" s="141"/>
      <c r="E1818" s="1014"/>
      <c r="F1818" s="1014"/>
      <c r="G1818" s="1027"/>
      <c r="H1818" s="1027"/>
      <c r="I1818" s="1174"/>
      <c r="J1818" s="1174"/>
      <c r="K1818" s="1174"/>
      <c r="L1818" s="1172"/>
      <c r="M1818" s="1172"/>
      <c r="N1818" s="1175"/>
      <c r="O1818" s="143"/>
      <c r="P1818" s="1196"/>
      <c r="Q1818" s="141"/>
      <c r="R1818" s="141"/>
      <c r="S1818" s="148"/>
      <c r="T1818" s="419"/>
      <c r="U1818" s="559"/>
      <c r="V1818" s="141"/>
      <c r="W1818" s="141"/>
      <c r="X1818" s="141"/>
      <c r="Y1818" s="144"/>
      <c r="Z1818" s="141"/>
      <c r="AA1818" s="141"/>
      <c r="AB1818" s="141"/>
      <c r="AC1818" s="141"/>
      <c r="AD1818" s="141"/>
      <c r="AE1818" s="141"/>
      <c r="AF1818" s="145"/>
      <c r="AG1818" s="419"/>
    </row>
    <row r="1819" spans="1:33" s="139" customFormat="1" ht="12.75" customHeight="1" x14ac:dyDescent="0.2">
      <c r="A1819" s="141"/>
      <c r="B1819" s="141"/>
      <c r="C1819" s="141"/>
      <c r="D1819" s="141"/>
      <c r="E1819" s="1014"/>
      <c r="F1819" s="1014"/>
      <c r="G1819" s="1027"/>
      <c r="H1819" s="1027"/>
      <c r="I1819" s="1174"/>
      <c r="J1819" s="1174"/>
      <c r="K1819" s="1174"/>
      <c r="L1819" s="1172"/>
      <c r="M1819" s="1172"/>
      <c r="N1819" s="1175"/>
      <c r="O1819" s="143"/>
      <c r="P1819" s="1196"/>
      <c r="Q1819" s="141"/>
      <c r="R1819" s="141"/>
      <c r="S1819" s="148"/>
      <c r="T1819" s="419"/>
      <c r="U1819" s="559"/>
      <c r="V1819" s="141"/>
      <c r="W1819" s="141"/>
      <c r="X1819" s="141"/>
      <c r="Y1819" s="144"/>
      <c r="Z1819" s="141"/>
      <c r="AA1819" s="141"/>
      <c r="AB1819" s="141"/>
      <c r="AC1819" s="141"/>
      <c r="AD1819" s="141"/>
      <c r="AE1819" s="141"/>
      <c r="AF1819" s="145"/>
      <c r="AG1819" s="419"/>
    </row>
    <row r="1820" spans="1:33" s="139" customFormat="1" ht="12.75" customHeight="1" x14ac:dyDescent="0.2">
      <c r="A1820" s="141"/>
      <c r="B1820" s="141"/>
      <c r="C1820" s="141"/>
      <c r="D1820" s="141"/>
      <c r="E1820" s="1014"/>
      <c r="F1820" s="1014"/>
      <c r="G1820" s="1027"/>
      <c r="H1820" s="1027"/>
      <c r="I1820" s="1174"/>
      <c r="J1820" s="1174"/>
      <c r="K1820" s="1174"/>
      <c r="L1820" s="1172"/>
      <c r="M1820" s="1172"/>
      <c r="N1820" s="1175"/>
      <c r="O1820" s="143"/>
      <c r="P1820" s="1196"/>
      <c r="Q1820" s="141"/>
      <c r="R1820" s="141"/>
      <c r="S1820" s="148"/>
      <c r="T1820" s="419"/>
      <c r="U1820" s="559"/>
      <c r="V1820" s="141"/>
      <c r="W1820" s="141"/>
      <c r="X1820" s="141"/>
      <c r="Y1820" s="144"/>
      <c r="Z1820" s="141"/>
      <c r="AA1820" s="141"/>
      <c r="AB1820" s="141"/>
      <c r="AC1820" s="141"/>
      <c r="AD1820" s="141"/>
      <c r="AE1820" s="141"/>
      <c r="AF1820" s="145"/>
      <c r="AG1820" s="419"/>
    </row>
    <row r="1821" spans="1:33" s="139" customFormat="1" ht="12.75" customHeight="1" x14ac:dyDescent="0.2">
      <c r="A1821" s="141"/>
      <c r="B1821" s="141"/>
      <c r="C1821" s="141"/>
      <c r="D1821" s="141"/>
      <c r="E1821" s="1014"/>
      <c r="F1821" s="1014"/>
      <c r="G1821" s="1027"/>
      <c r="H1821" s="1027"/>
      <c r="I1821" s="1174"/>
      <c r="J1821" s="1174"/>
      <c r="K1821" s="1174"/>
      <c r="L1821" s="1172"/>
      <c r="M1821" s="1172"/>
      <c r="N1821" s="1175"/>
      <c r="O1821" s="143"/>
      <c r="P1821" s="1196"/>
      <c r="Q1821" s="141"/>
      <c r="R1821" s="141"/>
      <c r="S1821" s="148"/>
      <c r="T1821" s="419"/>
      <c r="U1821" s="559"/>
      <c r="V1821" s="141"/>
      <c r="W1821" s="141"/>
      <c r="X1821" s="141"/>
      <c r="Y1821" s="144"/>
      <c r="Z1821" s="141"/>
      <c r="AA1821" s="141"/>
      <c r="AB1821" s="141"/>
      <c r="AC1821" s="141"/>
      <c r="AD1821" s="141"/>
      <c r="AE1821" s="141"/>
      <c r="AF1821" s="145"/>
      <c r="AG1821" s="419"/>
    </row>
    <row r="1822" spans="1:33" s="139" customFormat="1" ht="12.75" customHeight="1" x14ac:dyDescent="0.2">
      <c r="A1822" s="141"/>
      <c r="B1822" s="141"/>
      <c r="C1822" s="141"/>
      <c r="D1822" s="141"/>
      <c r="E1822" s="1014"/>
      <c r="F1822" s="1014"/>
      <c r="G1822" s="1027"/>
      <c r="H1822" s="1027"/>
      <c r="I1822" s="1174"/>
      <c r="J1822" s="1174"/>
      <c r="K1822" s="1174"/>
      <c r="L1822" s="1172"/>
      <c r="M1822" s="1172"/>
      <c r="N1822" s="1175"/>
      <c r="O1822" s="143"/>
      <c r="P1822" s="1196"/>
      <c r="Q1822" s="141"/>
      <c r="R1822" s="141"/>
      <c r="S1822" s="148"/>
      <c r="T1822" s="419"/>
      <c r="U1822" s="559"/>
      <c r="V1822" s="141"/>
      <c r="W1822" s="141"/>
      <c r="X1822" s="141"/>
      <c r="Y1822" s="144"/>
      <c r="Z1822" s="141"/>
      <c r="AA1822" s="141"/>
      <c r="AB1822" s="141"/>
      <c r="AC1822" s="141"/>
      <c r="AD1822" s="141"/>
      <c r="AE1822" s="141"/>
      <c r="AF1822" s="145"/>
      <c r="AG1822" s="419"/>
    </row>
    <row r="1823" spans="1:33" s="139" customFormat="1" ht="12.75" customHeight="1" x14ac:dyDescent="0.2">
      <c r="A1823" s="141"/>
      <c r="B1823" s="141"/>
      <c r="C1823" s="141"/>
      <c r="D1823" s="141"/>
      <c r="E1823" s="1014"/>
      <c r="F1823" s="1014"/>
      <c r="G1823" s="1027"/>
      <c r="H1823" s="1027"/>
      <c r="I1823" s="1174"/>
      <c r="J1823" s="1174"/>
      <c r="K1823" s="1174"/>
      <c r="L1823" s="1172"/>
      <c r="M1823" s="1172"/>
      <c r="N1823" s="1175"/>
      <c r="O1823" s="143"/>
      <c r="P1823" s="1196"/>
      <c r="Q1823" s="141"/>
      <c r="R1823" s="141"/>
      <c r="S1823" s="148"/>
      <c r="T1823" s="419"/>
      <c r="U1823" s="559"/>
      <c r="V1823" s="141"/>
      <c r="W1823" s="141"/>
      <c r="X1823" s="141"/>
      <c r="Y1823" s="144"/>
      <c r="Z1823" s="141"/>
      <c r="AA1823" s="141"/>
      <c r="AB1823" s="141"/>
      <c r="AC1823" s="141"/>
      <c r="AD1823" s="141"/>
      <c r="AE1823" s="141"/>
      <c r="AF1823" s="145"/>
      <c r="AG1823" s="419"/>
    </row>
    <row r="1824" spans="1:33" s="139" customFormat="1" ht="12.75" customHeight="1" x14ac:dyDescent="0.2">
      <c r="A1824" s="141"/>
      <c r="B1824" s="141"/>
      <c r="C1824" s="141"/>
      <c r="D1824" s="141"/>
      <c r="E1824" s="1014"/>
      <c r="F1824" s="1014"/>
      <c r="G1824" s="1027"/>
      <c r="H1824" s="1027"/>
      <c r="I1824" s="1174"/>
      <c r="J1824" s="1174"/>
      <c r="K1824" s="1174"/>
      <c r="L1824" s="1172"/>
      <c r="M1824" s="1172"/>
      <c r="N1824" s="1175"/>
      <c r="O1824" s="143"/>
      <c r="P1824" s="1196"/>
      <c r="Q1824" s="141"/>
      <c r="R1824" s="141"/>
      <c r="S1824" s="148"/>
      <c r="T1824" s="419"/>
      <c r="U1824" s="559"/>
      <c r="V1824" s="141"/>
      <c r="W1824" s="141"/>
      <c r="X1824" s="141"/>
      <c r="Y1824" s="144"/>
      <c r="Z1824" s="141"/>
      <c r="AA1824" s="141"/>
      <c r="AB1824" s="141"/>
      <c r="AC1824" s="141"/>
      <c r="AD1824" s="141"/>
      <c r="AE1824" s="141"/>
      <c r="AF1824" s="145"/>
      <c r="AG1824" s="419"/>
    </row>
    <row r="1825" spans="1:33" s="139" customFormat="1" ht="12.75" customHeight="1" x14ac:dyDescent="0.2">
      <c r="A1825" s="141"/>
      <c r="B1825" s="141"/>
      <c r="C1825" s="141"/>
      <c r="D1825" s="141"/>
      <c r="E1825" s="1014"/>
      <c r="F1825" s="1014"/>
      <c r="G1825" s="1027"/>
      <c r="H1825" s="1027"/>
      <c r="I1825" s="1174"/>
      <c r="J1825" s="1174"/>
      <c r="K1825" s="1174"/>
      <c r="L1825" s="1172"/>
      <c r="M1825" s="1172"/>
      <c r="N1825" s="1175"/>
      <c r="O1825" s="143"/>
      <c r="P1825" s="1196"/>
      <c r="Q1825" s="141"/>
      <c r="R1825" s="141"/>
      <c r="S1825" s="148"/>
      <c r="T1825" s="419"/>
      <c r="U1825" s="559"/>
      <c r="V1825" s="141"/>
      <c r="W1825" s="141"/>
      <c r="X1825" s="141"/>
      <c r="Y1825" s="144"/>
      <c r="Z1825" s="141"/>
      <c r="AA1825" s="141"/>
      <c r="AB1825" s="141"/>
      <c r="AC1825" s="141"/>
      <c r="AD1825" s="141"/>
      <c r="AE1825" s="141"/>
      <c r="AF1825" s="145"/>
      <c r="AG1825" s="419"/>
    </row>
    <row r="1826" spans="1:33" s="139" customFormat="1" ht="12.75" customHeight="1" x14ac:dyDescent="0.2">
      <c r="A1826" s="141"/>
      <c r="B1826" s="141"/>
      <c r="C1826" s="141"/>
      <c r="D1826" s="141"/>
      <c r="E1826" s="1014"/>
      <c r="F1826" s="1014"/>
      <c r="G1826" s="1027"/>
      <c r="H1826" s="1027"/>
      <c r="I1826" s="1174"/>
      <c r="J1826" s="1174"/>
      <c r="K1826" s="1174"/>
      <c r="L1826" s="1172"/>
      <c r="M1826" s="1172"/>
      <c r="N1826" s="1175"/>
      <c r="O1826" s="143"/>
      <c r="P1826" s="1196"/>
      <c r="Q1826" s="141"/>
      <c r="R1826" s="141"/>
      <c r="S1826" s="148"/>
      <c r="T1826" s="419"/>
      <c r="U1826" s="559"/>
      <c r="V1826" s="141"/>
      <c r="W1826" s="141"/>
      <c r="X1826" s="141"/>
      <c r="Y1826" s="144"/>
      <c r="Z1826" s="141"/>
      <c r="AA1826" s="141"/>
      <c r="AB1826" s="141"/>
      <c r="AC1826" s="141"/>
      <c r="AD1826" s="141"/>
      <c r="AE1826" s="141"/>
      <c r="AF1826" s="145"/>
      <c r="AG1826" s="419"/>
    </row>
    <row r="1827" spans="1:33" s="139" customFormat="1" ht="12.75" customHeight="1" x14ac:dyDescent="0.2">
      <c r="A1827" s="141"/>
      <c r="B1827" s="141"/>
      <c r="C1827" s="141"/>
      <c r="D1827" s="141"/>
      <c r="E1827" s="1014"/>
      <c r="F1827" s="1014"/>
      <c r="G1827" s="1027"/>
      <c r="H1827" s="1027"/>
      <c r="I1827" s="1174"/>
      <c r="J1827" s="1174"/>
      <c r="K1827" s="1174"/>
      <c r="L1827" s="1172"/>
      <c r="M1827" s="1172"/>
      <c r="N1827" s="1175"/>
      <c r="O1827" s="143"/>
      <c r="P1827" s="1196"/>
      <c r="Q1827" s="141"/>
      <c r="R1827" s="141"/>
      <c r="S1827" s="148"/>
      <c r="T1827" s="419"/>
      <c r="U1827" s="559"/>
      <c r="V1827" s="141"/>
      <c r="W1827" s="141"/>
      <c r="X1827" s="141"/>
      <c r="Y1827" s="144"/>
      <c r="Z1827" s="141"/>
      <c r="AA1827" s="141"/>
      <c r="AB1827" s="141"/>
      <c r="AC1827" s="141"/>
      <c r="AD1827" s="141"/>
      <c r="AE1827" s="141"/>
      <c r="AF1827" s="145"/>
      <c r="AG1827" s="419"/>
    </row>
    <row r="1828" spans="1:33" s="139" customFormat="1" ht="12.75" customHeight="1" x14ac:dyDescent="0.2">
      <c r="A1828" s="141"/>
      <c r="B1828" s="141"/>
      <c r="C1828" s="141"/>
      <c r="D1828" s="141"/>
      <c r="E1828" s="1014"/>
      <c r="F1828" s="1014"/>
      <c r="G1828" s="1027"/>
      <c r="H1828" s="1027"/>
      <c r="I1828" s="1174"/>
      <c r="J1828" s="1174"/>
      <c r="K1828" s="1174"/>
      <c r="L1828" s="1172"/>
      <c r="M1828" s="1172"/>
      <c r="N1828" s="1175"/>
      <c r="O1828" s="143"/>
      <c r="P1828" s="1196"/>
      <c r="Q1828" s="141"/>
      <c r="R1828" s="141"/>
      <c r="S1828" s="148"/>
      <c r="T1828" s="419"/>
      <c r="U1828" s="559"/>
      <c r="V1828" s="141"/>
      <c r="W1828" s="141"/>
      <c r="X1828" s="141"/>
      <c r="Y1828" s="144"/>
      <c r="Z1828" s="141"/>
      <c r="AA1828" s="141"/>
      <c r="AB1828" s="141"/>
      <c r="AC1828" s="141"/>
      <c r="AD1828" s="141"/>
      <c r="AE1828" s="141"/>
      <c r="AF1828" s="145"/>
      <c r="AG1828" s="419"/>
    </row>
    <row r="1829" spans="1:33" s="139" customFormat="1" ht="12.75" customHeight="1" x14ac:dyDescent="0.2">
      <c r="A1829" s="141"/>
      <c r="B1829" s="141"/>
      <c r="C1829" s="141"/>
      <c r="D1829" s="141"/>
      <c r="E1829" s="1014"/>
      <c r="F1829" s="1014"/>
      <c r="G1829" s="1027"/>
      <c r="H1829" s="1027"/>
      <c r="I1829" s="1174"/>
      <c r="J1829" s="1174"/>
      <c r="K1829" s="1174"/>
      <c r="L1829" s="1172"/>
      <c r="M1829" s="1172"/>
      <c r="N1829" s="1175"/>
      <c r="O1829" s="143"/>
      <c r="P1829" s="1196"/>
      <c r="Q1829" s="141"/>
      <c r="R1829" s="141"/>
      <c r="S1829" s="148"/>
      <c r="T1829" s="419"/>
      <c r="U1829" s="559"/>
      <c r="V1829" s="141"/>
      <c r="W1829" s="141"/>
      <c r="X1829" s="141"/>
      <c r="Y1829" s="144"/>
      <c r="Z1829" s="141"/>
      <c r="AA1829" s="141"/>
      <c r="AB1829" s="141"/>
      <c r="AC1829" s="141"/>
      <c r="AD1829" s="141"/>
      <c r="AE1829" s="141"/>
      <c r="AF1829" s="145"/>
      <c r="AG1829" s="419"/>
    </row>
    <row r="1830" spans="1:33" s="139" customFormat="1" ht="12.75" customHeight="1" x14ac:dyDescent="0.2">
      <c r="A1830" s="141"/>
      <c r="B1830" s="141"/>
      <c r="C1830" s="141"/>
      <c r="D1830" s="141"/>
      <c r="E1830" s="1014"/>
      <c r="F1830" s="1014"/>
      <c r="G1830" s="1027"/>
      <c r="H1830" s="1027"/>
      <c r="I1830" s="1174"/>
      <c r="J1830" s="1174"/>
      <c r="K1830" s="1174"/>
      <c r="L1830" s="1172"/>
      <c r="M1830" s="1172"/>
      <c r="N1830" s="1175"/>
      <c r="O1830" s="143"/>
      <c r="P1830" s="1196"/>
      <c r="Q1830" s="141"/>
      <c r="R1830" s="141"/>
      <c r="S1830" s="148"/>
      <c r="T1830" s="419"/>
      <c r="U1830" s="559"/>
      <c r="V1830" s="141"/>
      <c r="W1830" s="141"/>
      <c r="X1830" s="141"/>
      <c r="Y1830" s="144"/>
      <c r="Z1830" s="141"/>
      <c r="AA1830" s="141"/>
      <c r="AB1830" s="141"/>
      <c r="AC1830" s="141"/>
      <c r="AD1830" s="141"/>
      <c r="AE1830" s="141"/>
      <c r="AF1830" s="145"/>
      <c r="AG1830" s="419"/>
    </row>
    <row r="1831" spans="1:33" s="139" customFormat="1" ht="12.75" customHeight="1" x14ac:dyDescent="0.2">
      <c r="A1831" s="141"/>
      <c r="B1831" s="141"/>
      <c r="C1831" s="141"/>
      <c r="D1831" s="141"/>
      <c r="E1831" s="1014"/>
      <c r="F1831" s="1014"/>
      <c r="G1831" s="1027"/>
      <c r="H1831" s="1027"/>
      <c r="I1831" s="1174"/>
      <c r="J1831" s="1174"/>
      <c r="K1831" s="1174"/>
      <c r="L1831" s="1172"/>
      <c r="M1831" s="1172"/>
      <c r="N1831" s="1175"/>
      <c r="O1831" s="143"/>
      <c r="P1831" s="1196"/>
      <c r="Q1831" s="141"/>
      <c r="R1831" s="141"/>
      <c r="S1831" s="148"/>
      <c r="T1831" s="419"/>
      <c r="U1831" s="559"/>
      <c r="V1831" s="141"/>
      <c r="W1831" s="141"/>
      <c r="X1831" s="141"/>
      <c r="Y1831" s="144"/>
      <c r="Z1831" s="141"/>
      <c r="AA1831" s="141"/>
      <c r="AB1831" s="141"/>
      <c r="AC1831" s="141"/>
      <c r="AD1831" s="141"/>
      <c r="AE1831" s="141"/>
      <c r="AF1831" s="145"/>
      <c r="AG1831" s="419"/>
    </row>
    <row r="1832" spans="1:33" s="139" customFormat="1" ht="12.75" customHeight="1" x14ac:dyDescent="0.2">
      <c r="A1832" s="141"/>
      <c r="B1832" s="141"/>
      <c r="C1832" s="141"/>
      <c r="D1832" s="141"/>
      <c r="E1832" s="1014"/>
      <c r="F1832" s="1014"/>
      <c r="G1832" s="1027"/>
      <c r="H1832" s="1027"/>
      <c r="I1832" s="1174"/>
      <c r="J1832" s="1174"/>
      <c r="K1832" s="1174"/>
      <c r="L1832" s="1172"/>
      <c r="M1832" s="1172"/>
      <c r="N1832" s="1175"/>
      <c r="O1832" s="143"/>
      <c r="P1832" s="1196"/>
      <c r="Q1832" s="141"/>
      <c r="R1832" s="141"/>
      <c r="S1832" s="148"/>
      <c r="T1832" s="419"/>
      <c r="U1832" s="559"/>
      <c r="V1832" s="141"/>
      <c r="W1832" s="141"/>
      <c r="X1832" s="141"/>
      <c r="Y1832" s="144"/>
      <c r="Z1832" s="141"/>
      <c r="AA1832" s="141"/>
      <c r="AB1832" s="141"/>
      <c r="AC1832" s="141"/>
      <c r="AD1832" s="141"/>
      <c r="AE1832" s="141"/>
      <c r="AF1832" s="145"/>
      <c r="AG1832" s="419"/>
    </row>
    <row r="1833" spans="1:33" s="139" customFormat="1" ht="12.75" customHeight="1" x14ac:dyDescent="0.2">
      <c r="A1833" s="141"/>
      <c r="B1833" s="141"/>
      <c r="C1833" s="141"/>
      <c r="D1833" s="141"/>
      <c r="E1833" s="1014"/>
      <c r="F1833" s="1014"/>
      <c r="G1833" s="1027"/>
      <c r="H1833" s="1027"/>
      <c r="I1833" s="1174"/>
      <c r="J1833" s="1174"/>
      <c r="K1833" s="1174"/>
      <c r="L1833" s="1172"/>
      <c r="M1833" s="1172"/>
      <c r="N1833" s="1175"/>
      <c r="O1833" s="143"/>
      <c r="P1833" s="1196"/>
      <c r="Q1833" s="141"/>
      <c r="R1833" s="141"/>
      <c r="S1833" s="148"/>
      <c r="T1833" s="419"/>
      <c r="U1833" s="559"/>
      <c r="V1833" s="141"/>
      <c r="W1833" s="141"/>
      <c r="X1833" s="141"/>
      <c r="Y1833" s="144"/>
      <c r="Z1833" s="141"/>
      <c r="AA1833" s="141"/>
      <c r="AB1833" s="141"/>
      <c r="AC1833" s="141"/>
      <c r="AD1833" s="141"/>
      <c r="AE1833" s="141"/>
      <c r="AF1833" s="145"/>
      <c r="AG1833" s="419"/>
    </row>
    <row r="1834" spans="1:33" s="139" customFormat="1" ht="12.75" customHeight="1" x14ac:dyDescent="0.2">
      <c r="A1834" s="141"/>
      <c r="B1834" s="141"/>
      <c r="C1834" s="141"/>
      <c r="D1834" s="141"/>
      <c r="E1834" s="1014"/>
      <c r="F1834" s="1014"/>
      <c r="G1834" s="1027"/>
      <c r="H1834" s="1027"/>
      <c r="I1834" s="1174"/>
      <c r="J1834" s="1174"/>
      <c r="K1834" s="1174"/>
      <c r="L1834" s="1172"/>
      <c r="M1834" s="1172"/>
      <c r="N1834" s="1175"/>
      <c r="O1834" s="143"/>
      <c r="P1834" s="1196"/>
      <c r="Q1834" s="141"/>
      <c r="R1834" s="141"/>
      <c r="S1834" s="148"/>
      <c r="T1834" s="419"/>
      <c r="U1834" s="559"/>
      <c r="V1834" s="141"/>
      <c r="W1834" s="141"/>
      <c r="X1834" s="141"/>
      <c r="Y1834" s="144"/>
      <c r="Z1834" s="141"/>
      <c r="AA1834" s="141"/>
      <c r="AB1834" s="141"/>
      <c r="AC1834" s="141"/>
      <c r="AD1834" s="141"/>
      <c r="AE1834" s="141"/>
      <c r="AF1834" s="145"/>
      <c r="AG1834" s="419"/>
    </row>
    <row r="1835" spans="1:33" s="139" customFormat="1" ht="12.75" customHeight="1" x14ac:dyDescent="0.2">
      <c r="A1835" s="141"/>
      <c r="B1835" s="141"/>
      <c r="C1835" s="141"/>
      <c r="D1835" s="141"/>
      <c r="E1835" s="1014"/>
      <c r="F1835" s="1014"/>
      <c r="G1835" s="1027"/>
      <c r="H1835" s="1027"/>
      <c r="I1835" s="1174"/>
      <c r="J1835" s="1174"/>
      <c r="K1835" s="1174"/>
      <c r="L1835" s="1172"/>
      <c r="M1835" s="1172"/>
      <c r="N1835" s="1175"/>
      <c r="O1835" s="143"/>
      <c r="P1835" s="1196"/>
      <c r="Q1835" s="141"/>
      <c r="R1835" s="141"/>
      <c r="S1835" s="148"/>
      <c r="T1835" s="419"/>
      <c r="U1835" s="559"/>
      <c r="V1835" s="141"/>
      <c r="W1835" s="141"/>
      <c r="X1835" s="141"/>
      <c r="Y1835" s="144"/>
      <c r="Z1835" s="141"/>
      <c r="AA1835" s="141"/>
      <c r="AB1835" s="141"/>
      <c r="AC1835" s="141"/>
      <c r="AD1835" s="141"/>
      <c r="AE1835" s="141"/>
      <c r="AF1835" s="145"/>
      <c r="AG1835" s="419"/>
    </row>
    <row r="1836" spans="1:33" s="139" customFormat="1" ht="12.75" customHeight="1" x14ac:dyDescent="0.2">
      <c r="A1836" s="141"/>
      <c r="B1836" s="141"/>
      <c r="C1836" s="141"/>
      <c r="D1836" s="141"/>
      <c r="E1836" s="1014"/>
      <c r="F1836" s="1014"/>
      <c r="G1836" s="1027"/>
      <c r="H1836" s="1027"/>
      <c r="I1836" s="1174"/>
      <c r="J1836" s="1174"/>
      <c r="K1836" s="1174"/>
      <c r="L1836" s="1172"/>
      <c r="M1836" s="1172"/>
      <c r="N1836" s="1175"/>
      <c r="O1836" s="143"/>
      <c r="P1836" s="1196"/>
      <c r="Q1836" s="141"/>
      <c r="R1836" s="141"/>
      <c r="S1836" s="148"/>
      <c r="T1836" s="419"/>
      <c r="U1836" s="559"/>
      <c r="V1836" s="141"/>
      <c r="W1836" s="141"/>
      <c r="X1836" s="141"/>
      <c r="Y1836" s="144"/>
      <c r="Z1836" s="141"/>
      <c r="AA1836" s="141"/>
      <c r="AB1836" s="141"/>
      <c r="AC1836" s="141"/>
      <c r="AD1836" s="141"/>
      <c r="AE1836" s="141"/>
      <c r="AF1836" s="145"/>
      <c r="AG1836" s="419"/>
    </row>
    <row r="1837" spans="1:33" s="139" customFormat="1" ht="12.75" customHeight="1" x14ac:dyDescent="0.2">
      <c r="A1837" s="141"/>
      <c r="B1837" s="141"/>
      <c r="C1837" s="141"/>
      <c r="D1837" s="141"/>
      <c r="E1837" s="1014"/>
      <c r="F1837" s="1014"/>
      <c r="G1837" s="1027"/>
      <c r="H1837" s="1027"/>
      <c r="I1837" s="1174"/>
      <c r="J1837" s="1174"/>
      <c r="K1837" s="1174"/>
      <c r="L1837" s="1172"/>
      <c r="M1837" s="1172"/>
      <c r="N1837" s="1175"/>
      <c r="O1837" s="143"/>
      <c r="P1837" s="1196"/>
      <c r="Q1837" s="141"/>
      <c r="R1837" s="141"/>
      <c r="S1837" s="148"/>
      <c r="T1837" s="419"/>
      <c r="U1837" s="559"/>
      <c r="V1837" s="141"/>
      <c r="W1837" s="141"/>
      <c r="X1837" s="141"/>
      <c r="Y1837" s="144"/>
      <c r="Z1837" s="141"/>
      <c r="AA1837" s="141"/>
      <c r="AB1837" s="141"/>
      <c r="AC1837" s="141"/>
      <c r="AD1837" s="141"/>
      <c r="AE1837" s="141"/>
      <c r="AF1837" s="145"/>
      <c r="AG1837" s="419"/>
    </row>
    <row r="1838" spans="1:33" s="139" customFormat="1" ht="12.75" customHeight="1" x14ac:dyDescent="0.2">
      <c r="A1838" s="141"/>
      <c r="B1838" s="141"/>
      <c r="C1838" s="141"/>
      <c r="D1838" s="141"/>
      <c r="E1838" s="1014"/>
      <c r="F1838" s="1014"/>
      <c r="G1838" s="1027"/>
      <c r="H1838" s="1027"/>
      <c r="I1838" s="1174"/>
      <c r="J1838" s="1174"/>
      <c r="K1838" s="1174"/>
      <c r="L1838" s="1172"/>
      <c r="M1838" s="1172"/>
      <c r="N1838" s="1175"/>
      <c r="O1838" s="143"/>
      <c r="P1838" s="1196"/>
      <c r="Q1838" s="141"/>
      <c r="R1838" s="141"/>
      <c r="S1838" s="148"/>
      <c r="T1838" s="419"/>
      <c r="U1838" s="559"/>
      <c r="V1838" s="141"/>
      <c r="W1838" s="141"/>
      <c r="X1838" s="141"/>
      <c r="Y1838" s="144"/>
      <c r="Z1838" s="141"/>
      <c r="AA1838" s="141"/>
      <c r="AB1838" s="141"/>
      <c r="AC1838" s="141"/>
      <c r="AD1838" s="141"/>
      <c r="AE1838" s="141"/>
      <c r="AF1838" s="145"/>
      <c r="AG1838" s="419"/>
    </row>
    <row r="1839" spans="1:33" s="139" customFormat="1" ht="12.75" customHeight="1" x14ac:dyDescent="0.2">
      <c r="A1839" s="141"/>
      <c r="B1839" s="141"/>
      <c r="C1839" s="141"/>
      <c r="D1839" s="141"/>
      <c r="E1839" s="1014"/>
      <c r="F1839" s="1014"/>
      <c r="G1839" s="1027"/>
      <c r="H1839" s="1027"/>
      <c r="I1839" s="1174"/>
      <c r="J1839" s="1174"/>
      <c r="K1839" s="1174"/>
      <c r="L1839" s="1172"/>
      <c r="M1839" s="1172"/>
      <c r="N1839" s="1175"/>
      <c r="O1839" s="143"/>
      <c r="P1839" s="1196"/>
      <c r="Q1839" s="141"/>
      <c r="R1839" s="141"/>
      <c r="S1839" s="148"/>
      <c r="T1839" s="419"/>
      <c r="U1839" s="559"/>
      <c r="V1839" s="141"/>
      <c r="W1839" s="141"/>
      <c r="X1839" s="141"/>
      <c r="Y1839" s="144"/>
      <c r="Z1839" s="141"/>
      <c r="AA1839" s="141"/>
      <c r="AB1839" s="141"/>
      <c r="AC1839" s="141"/>
      <c r="AD1839" s="141"/>
      <c r="AE1839" s="141"/>
      <c r="AF1839" s="145"/>
      <c r="AG1839" s="419"/>
    </row>
    <row r="1840" spans="1:33" s="139" customFormat="1" ht="12.75" customHeight="1" x14ac:dyDescent="0.2">
      <c r="A1840" s="141"/>
      <c r="B1840" s="141"/>
      <c r="C1840" s="141"/>
      <c r="D1840" s="141"/>
      <c r="E1840" s="1014"/>
      <c r="F1840" s="1014"/>
      <c r="G1840" s="1027"/>
      <c r="H1840" s="1027"/>
      <c r="I1840" s="1174"/>
      <c r="J1840" s="1174"/>
      <c r="K1840" s="1174"/>
      <c r="L1840" s="1172"/>
      <c r="M1840" s="1172"/>
      <c r="N1840" s="1175"/>
      <c r="O1840" s="143"/>
      <c r="P1840" s="1196"/>
      <c r="Q1840" s="141"/>
      <c r="R1840" s="141"/>
      <c r="S1840" s="148"/>
      <c r="T1840" s="419"/>
      <c r="U1840" s="559"/>
      <c r="V1840" s="141"/>
      <c r="W1840" s="141"/>
      <c r="X1840" s="141"/>
      <c r="Y1840" s="144"/>
      <c r="Z1840" s="141"/>
      <c r="AA1840" s="141"/>
      <c r="AB1840" s="141"/>
      <c r="AC1840" s="141"/>
      <c r="AD1840" s="141"/>
      <c r="AE1840" s="141"/>
      <c r="AF1840" s="145"/>
      <c r="AG1840" s="419"/>
    </row>
    <row r="1841" spans="1:33" s="139" customFormat="1" ht="12.75" customHeight="1" x14ac:dyDescent="0.2">
      <c r="A1841" s="141"/>
      <c r="B1841" s="141"/>
      <c r="C1841" s="141"/>
      <c r="D1841" s="141"/>
      <c r="E1841" s="1014"/>
      <c r="F1841" s="1014"/>
      <c r="G1841" s="1027"/>
      <c r="H1841" s="1027"/>
      <c r="I1841" s="1174"/>
      <c r="J1841" s="1174"/>
      <c r="K1841" s="1174"/>
      <c r="L1841" s="1172"/>
      <c r="M1841" s="1172"/>
      <c r="N1841" s="1175"/>
      <c r="O1841" s="143"/>
      <c r="P1841" s="1196"/>
      <c r="Q1841" s="141"/>
      <c r="R1841" s="141"/>
      <c r="S1841" s="148"/>
      <c r="T1841" s="419"/>
      <c r="U1841" s="559"/>
      <c r="V1841" s="141"/>
      <c r="W1841" s="141"/>
      <c r="X1841" s="141"/>
      <c r="Y1841" s="144"/>
      <c r="Z1841" s="141"/>
      <c r="AA1841" s="141"/>
      <c r="AB1841" s="141"/>
      <c r="AC1841" s="141"/>
      <c r="AD1841" s="141"/>
      <c r="AE1841" s="141"/>
      <c r="AF1841" s="145"/>
      <c r="AG1841" s="419"/>
    </row>
    <row r="1842" spans="1:33" s="139" customFormat="1" ht="12.75" customHeight="1" x14ac:dyDescent="0.2">
      <c r="A1842" s="141"/>
      <c r="B1842" s="141"/>
      <c r="C1842" s="141"/>
      <c r="D1842" s="141"/>
      <c r="E1842" s="1014"/>
      <c r="F1842" s="1014"/>
      <c r="G1842" s="1027"/>
      <c r="H1842" s="1027"/>
      <c r="I1842" s="1174"/>
      <c r="J1842" s="1174"/>
      <c r="K1842" s="1174"/>
      <c r="L1842" s="1172"/>
      <c r="M1842" s="1172"/>
      <c r="N1842" s="1175"/>
      <c r="O1842" s="143"/>
      <c r="P1842" s="1196"/>
      <c r="Q1842" s="141"/>
      <c r="R1842" s="141"/>
      <c r="S1842" s="148"/>
      <c r="T1842" s="419"/>
      <c r="U1842" s="559"/>
      <c r="V1842" s="141"/>
      <c r="W1842" s="141"/>
      <c r="X1842" s="141"/>
      <c r="Y1842" s="144"/>
      <c r="Z1842" s="141"/>
      <c r="AA1842" s="141"/>
      <c r="AB1842" s="141"/>
      <c r="AC1842" s="141"/>
      <c r="AD1842" s="141"/>
      <c r="AE1842" s="141"/>
      <c r="AF1842" s="145"/>
      <c r="AG1842" s="419"/>
    </row>
    <row r="1843" spans="1:33" s="139" customFormat="1" ht="12.75" customHeight="1" x14ac:dyDescent="0.2">
      <c r="A1843" s="141"/>
      <c r="B1843" s="141"/>
      <c r="C1843" s="141"/>
      <c r="D1843" s="141"/>
      <c r="E1843" s="1014"/>
      <c r="F1843" s="1014"/>
      <c r="G1843" s="1027"/>
      <c r="H1843" s="1027"/>
      <c r="I1843" s="1174"/>
      <c r="J1843" s="1174"/>
      <c r="K1843" s="1174"/>
      <c r="L1843" s="1172"/>
      <c r="M1843" s="1172"/>
      <c r="N1843" s="1175"/>
      <c r="O1843" s="143"/>
      <c r="P1843" s="1196"/>
      <c r="Q1843" s="141"/>
      <c r="R1843" s="141"/>
      <c r="S1843" s="148"/>
      <c r="T1843" s="419"/>
      <c r="U1843" s="559"/>
      <c r="V1843" s="141"/>
      <c r="W1843" s="141"/>
      <c r="X1843" s="141"/>
      <c r="Y1843" s="144"/>
      <c r="Z1843" s="141"/>
      <c r="AA1843" s="141"/>
      <c r="AB1843" s="141"/>
      <c r="AC1843" s="141"/>
      <c r="AD1843" s="141"/>
      <c r="AE1843" s="141"/>
      <c r="AF1843" s="145"/>
      <c r="AG1843" s="419"/>
    </row>
    <row r="1844" spans="1:33" s="139" customFormat="1" ht="12.75" customHeight="1" x14ac:dyDescent="0.2">
      <c r="A1844" s="141"/>
      <c r="B1844" s="141"/>
      <c r="C1844" s="141"/>
      <c r="D1844" s="141"/>
      <c r="E1844" s="1014"/>
      <c r="F1844" s="1014"/>
      <c r="G1844" s="1027"/>
      <c r="H1844" s="1027"/>
      <c r="I1844" s="1174"/>
      <c r="J1844" s="1174"/>
      <c r="K1844" s="1174"/>
      <c r="L1844" s="1172"/>
      <c r="M1844" s="1172"/>
      <c r="N1844" s="1175"/>
      <c r="O1844" s="143"/>
      <c r="P1844" s="1196"/>
      <c r="Q1844" s="141"/>
      <c r="R1844" s="141"/>
      <c r="S1844" s="148"/>
      <c r="T1844" s="419"/>
      <c r="U1844" s="559"/>
      <c r="V1844" s="141"/>
      <c r="W1844" s="141"/>
      <c r="X1844" s="141"/>
      <c r="Y1844" s="144"/>
      <c r="Z1844" s="141"/>
      <c r="AA1844" s="141"/>
      <c r="AB1844" s="141"/>
      <c r="AC1844" s="141"/>
      <c r="AD1844" s="141"/>
      <c r="AE1844" s="141"/>
      <c r="AF1844" s="145"/>
      <c r="AG1844" s="419"/>
    </row>
    <row r="1845" spans="1:33" s="139" customFormat="1" ht="12.75" customHeight="1" x14ac:dyDescent="0.2">
      <c r="A1845" s="141"/>
      <c r="B1845" s="141"/>
      <c r="C1845" s="141"/>
      <c r="D1845" s="141"/>
      <c r="E1845" s="1014"/>
      <c r="F1845" s="1014"/>
      <c r="G1845" s="1027"/>
      <c r="H1845" s="1027"/>
      <c r="I1845" s="1174"/>
      <c r="J1845" s="1174"/>
      <c r="K1845" s="1174"/>
      <c r="L1845" s="1172"/>
      <c r="M1845" s="1172"/>
      <c r="N1845" s="1175"/>
      <c r="O1845" s="143"/>
      <c r="P1845" s="1196"/>
      <c r="Q1845" s="141"/>
      <c r="R1845" s="141"/>
      <c r="S1845" s="148"/>
      <c r="T1845" s="419"/>
      <c r="U1845" s="559"/>
      <c r="V1845" s="141"/>
      <c r="W1845" s="141"/>
      <c r="X1845" s="141"/>
      <c r="Y1845" s="144"/>
      <c r="Z1845" s="141"/>
      <c r="AA1845" s="141"/>
      <c r="AB1845" s="141"/>
      <c r="AC1845" s="141"/>
      <c r="AD1845" s="141"/>
      <c r="AE1845" s="141"/>
      <c r="AF1845" s="145"/>
      <c r="AG1845" s="419"/>
    </row>
    <row r="1846" spans="1:33" s="139" customFormat="1" ht="12.75" customHeight="1" x14ac:dyDescent="0.2">
      <c r="A1846" s="141"/>
      <c r="B1846" s="141"/>
      <c r="C1846" s="141"/>
      <c r="D1846" s="141"/>
      <c r="E1846" s="1014"/>
      <c r="F1846" s="1014"/>
      <c r="G1846" s="1027"/>
      <c r="H1846" s="1027"/>
      <c r="I1846" s="1174"/>
      <c r="J1846" s="1174"/>
      <c r="K1846" s="1174"/>
      <c r="L1846" s="1172"/>
      <c r="M1846" s="1172"/>
      <c r="N1846" s="1175"/>
      <c r="O1846" s="143"/>
      <c r="P1846" s="1196"/>
      <c r="Q1846" s="141"/>
      <c r="R1846" s="141"/>
      <c r="S1846" s="148"/>
      <c r="T1846" s="419"/>
      <c r="U1846" s="559"/>
      <c r="V1846" s="141"/>
      <c r="W1846" s="141"/>
      <c r="X1846" s="141"/>
      <c r="Y1846" s="144"/>
      <c r="Z1846" s="141"/>
      <c r="AA1846" s="141"/>
      <c r="AB1846" s="141"/>
      <c r="AC1846" s="141"/>
      <c r="AD1846" s="141"/>
      <c r="AE1846" s="141"/>
      <c r="AF1846" s="145"/>
      <c r="AG1846" s="419"/>
    </row>
    <row r="1847" spans="1:33" s="139" customFormat="1" ht="12.75" customHeight="1" x14ac:dyDescent="0.2">
      <c r="A1847" s="141"/>
      <c r="B1847" s="141"/>
      <c r="C1847" s="141"/>
      <c r="D1847" s="141"/>
      <c r="E1847" s="1014"/>
      <c r="F1847" s="1014"/>
      <c r="G1847" s="1027"/>
      <c r="H1847" s="1027"/>
      <c r="I1847" s="1174"/>
      <c r="J1847" s="1174"/>
      <c r="K1847" s="1174"/>
      <c r="L1847" s="1172"/>
      <c r="M1847" s="1172"/>
      <c r="N1847" s="1175"/>
      <c r="O1847" s="143"/>
      <c r="P1847" s="1196"/>
      <c r="Q1847" s="141"/>
      <c r="R1847" s="141"/>
      <c r="S1847" s="148"/>
      <c r="T1847" s="419"/>
      <c r="U1847" s="559"/>
      <c r="V1847" s="141"/>
      <c r="W1847" s="141"/>
      <c r="X1847" s="141"/>
      <c r="Y1847" s="144"/>
      <c r="Z1847" s="141"/>
      <c r="AA1847" s="141"/>
      <c r="AB1847" s="141"/>
      <c r="AC1847" s="141"/>
      <c r="AD1847" s="141"/>
      <c r="AE1847" s="141"/>
      <c r="AF1847" s="145"/>
      <c r="AG1847" s="419"/>
    </row>
    <row r="1848" spans="1:33" s="139" customFormat="1" ht="12.75" customHeight="1" x14ac:dyDescent="0.2">
      <c r="A1848" s="141"/>
      <c r="B1848" s="141"/>
      <c r="C1848" s="141"/>
      <c r="D1848" s="141"/>
      <c r="E1848" s="1014"/>
      <c r="F1848" s="1014"/>
      <c r="G1848" s="1027"/>
      <c r="H1848" s="1027"/>
      <c r="I1848" s="1174"/>
      <c r="J1848" s="1174"/>
      <c r="K1848" s="1174"/>
      <c r="L1848" s="1172"/>
      <c r="M1848" s="1172"/>
      <c r="N1848" s="1175"/>
      <c r="O1848" s="143"/>
      <c r="P1848" s="1196"/>
      <c r="Q1848" s="141"/>
      <c r="R1848" s="141"/>
      <c r="S1848" s="148"/>
      <c r="T1848" s="419"/>
      <c r="U1848" s="559"/>
      <c r="V1848" s="141"/>
      <c r="W1848" s="141"/>
      <c r="X1848" s="141"/>
      <c r="Y1848" s="144"/>
      <c r="Z1848" s="141"/>
      <c r="AA1848" s="141"/>
      <c r="AB1848" s="141"/>
      <c r="AC1848" s="141"/>
      <c r="AD1848" s="141"/>
      <c r="AE1848" s="141"/>
      <c r="AF1848" s="145"/>
      <c r="AG1848" s="419"/>
    </row>
    <row r="1849" spans="1:33" s="139" customFormat="1" ht="12.75" customHeight="1" x14ac:dyDescent="0.2">
      <c r="A1849" s="141"/>
      <c r="B1849" s="141"/>
      <c r="C1849" s="141"/>
      <c r="D1849" s="141"/>
      <c r="E1849" s="1014"/>
      <c r="F1849" s="1014"/>
      <c r="G1849" s="1027"/>
      <c r="H1849" s="1027"/>
      <c r="I1849" s="1174"/>
      <c r="J1849" s="1174"/>
      <c r="K1849" s="1174"/>
      <c r="L1849" s="1172"/>
      <c r="M1849" s="1172"/>
      <c r="N1849" s="1175"/>
      <c r="O1849" s="143"/>
      <c r="P1849" s="1196"/>
      <c r="Q1849" s="141"/>
      <c r="R1849" s="141"/>
      <c r="S1849" s="148"/>
      <c r="T1849" s="419"/>
      <c r="U1849" s="559"/>
      <c r="V1849" s="141"/>
      <c r="W1849" s="141"/>
      <c r="X1849" s="141"/>
      <c r="Y1849" s="144"/>
      <c r="Z1849" s="141"/>
      <c r="AA1849" s="141"/>
      <c r="AB1849" s="141"/>
      <c r="AC1849" s="141"/>
      <c r="AD1849" s="141"/>
      <c r="AE1849" s="141"/>
      <c r="AF1849" s="145"/>
      <c r="AG1849" s="419"/>
    </row>
    <row r="1850" spans="1:33" s="139" customFormat="1" ht="12.75" customHeight="1" x14ac:dyDescent="0.2">
      <c r="A1850" s="141"/>
      <c r="B1850" s="141"/>
      <c r="C1850" s="141"/>
      <c r="D1850" s="141"/>
      <c r="E1850" s="1014"/>
      <c r="F1850" s="1014"/>
      <c r="G1850" s="1027"/>
      <c r="H1850" s="1027"/>
      <c r="I1850" s="1174"/>
      <c r="J1850" s="1174"/>
      <c r="K1850" s="1174"/>
      <c r="L1850" s="1172"/>
      <c r="M1850" s="1172"/>
      <c r="N1850" s="1175"/>
      <c r="O1850" s="143"/>
      <c r="P1850" s="1196"/>
      <c r="Q1850" s="141"/>
      <c r="R1850" s="141"/>
      <c r="S1850" s="148"/>
      <c r="T1850" s="419"/>
      <c r="U1850" s="559"/>
      <c r="V1850" s="141"/>
      <c r="W1850" s="141"/>
      <c r="X1850" s="141"/>
      <c r="Y1850" s="144"/>
      <c r="Z1850" s="141"/>
      <c r="AA1850" s="141"/>
      <c r="AB1850" s="141"/>
      <c r="AC1850" s="141"/>
      <c r="AD1850" s="141"/>
      <c r="AE1850" s="141"/>
      <c r="AF1850" s="145"/>
      <c r="AG1850" s="419"/>
    </row>
    <row r="1851" spans="1:33" s="139" customFormat="1" ht="12.75" customHeight="1" x14ac:dyDescent="0.2">
      <c r="A1851" s="141"/>
      <c r="B1851" s="141"/>
      <c r="C1851" s="141"/>
      <c r="D1851" s="141"/>
      <c r="E1851" s="1014"/>
      <c r="F1851" s="1014"/>
      <c r="G1851" s="1027"/>
      <c r="H1851" s="1027"/>
      <c r="I1851" s="1174"/>
      <c r="J1851" s="1174"/>
      <c r="K1851" s="1174"/>
      <c r="L1851" s="1172"/>
      <c r="M1851" s="1172"/>
      <c r="N1851" s="1175"/>
      <c r="O1851" s="143"/>
      <c r="P1851" s="1196"/>
      <c r="Q1851" s="141"/>
      <c r="R1851" s="141"/>
      <c r="S1851" s="148"/>
      <c r="T1851" s="419"/>
      <c r="U1851" s="559"/>
      <c r="V1851" s="141"/>
      <c r="W1851" s="141"/>
      <c r="X1851" s="141"/>
      <c r="Y1851" s="144"/>
      <c r="Z1851" s="141"/>
      <c r="AA1851" s="141"/>
      <c r="AB1851" s="141"/>
      <c r="AC1851" s="141"/>
      <c r="AD1851" s="141"/>
      <c r="AE1851" s="141"/>
      <c r="AF1851" s="145"/>
      <c r="AG1851" s="419"/>
    </row>
    <row r="1852" spans="1:33" s="139" customFormat="1" ht="12.75" customHeight="1" x14ac:dyDescent="0.2">
      <c r="A1852" s="141"/>
      <c r="B1852" s="141"/>
      <c r="C1852" s="141"/>
      <c r="D1852" s="141"/>
      <c r="E1852" s="1014"/>
      <c r="F1852" s="1014"/>
      <c r="G1852" s="1027"/>
      <c r="H1852" s="1027"/>
      <c r="I1852" s="1174"/>
      <c r="J1852" s="1174"/>
      <c r="K1852" s="1174"/>
      <c r="L1852" s="1172"/>
      <c r="M1852" s="1172"/>
      <c r="N1852" s="1175"/>
      <c r="O1852" s="143"/>
      <c r="P1852" s="1196"/>
      <c r="Q1852" s="141"/>
      <c r="R1852" s="141"/>
      <c r="S1852" s="148"/>
      <c r="T1852" s="419"/>
      <c r="U1852" s="559"/>
      <c r="V1852" s="141"/>
      <c r="W1852" s="141"/>
      <c r="X1852" s="141"/>
      <c r="Y1852" s="144"/>
      <c r="Z1852" s="141"/>
      <c r="AA1852" s="141"/>
      <c r="AB1852" s="141"/>
      <c r="AC1852" s="141"/>
      <c r="AD1852" s="141"/>
      <c r="AE1852" s="141"/>
      <c r="AF1852" s="145"/>
      <c r="AG1852" s="419"/>
    </row>
    <row r="1853" spans="1:33" s="139" customFormat="1" ht="12.75" customHeight="1" x14ac:dyDescent="0.2">
      <c r="A1853" s="141"/>
      <c r="B1853" s="141"/>
      <c r="C1853" s="141"/>
      <c r="D1853" s="141"/>
      <c r="E1853" s="1014"/>
      <c r="F1853" s="1014"/>
      <c r="G1853" s="1027"/>
      <c r="H1853" s="1027"/>
      <c r="I1853" s="1174"/>
      <c r="J1853" s="1174"/>
      <c r="K1853" s="1174"/>
      <c r="L1853" s="1172"/>
      <c r="M1853" s="1172"/>
      <c r="N1853" s="1175"/>
      <c r="O1853" s="143"/>
      <c r="P1853" s="1196"/>
      <c r="Q1853" s="141"/>
      <c r="R1853" s="141"/>
      <c r="S1853" s="148"/>
      <c r="T1853" s="419"/>
      <c r="U1853" s="559"/>
      <c r="V1853" s="141"/>
      <c r="W1853" s="141"/>
      <c r="X1853" s="141"/>
      <c r="Y1853" s="144"/>
      <c r="Z1853" s="141"/>
      <c r="AA1853" s="141"/>
      <c r="AB1853" s="141"/>
      <c r="AC1853" s="141"/>
      <c r="AD1853" s="141"/>
      <c r="AE1853" s="141"/>
      <c r="AF1853" s="145"/>
      <c r="AG1853" s="419"/>
    </row>
    <row r="1854" spans="1:33" s="139" customFormat="1" ht="12.75" customHeight="1" x14ac:dyDescent="0.2">
      <c r="A1854" s="141"/>
      <c r="B1854" s="141"/>
      <c r="C1854" s="141"/>
      <c r="D1854" s="141"/>
      <c r="E1854" s="1014"/>
      <c r="F1854" s="1014"/>
      <c r="G1854" s="1027"/>
      <c r="H1854" s="1027"/>
      <c r="I1854" s="1174"/>
      <c r="J1854" s="1174"/>
      <c r="K1854" s="1174"/>
      <c r="L1854" s="1172"/>
      <c r="M1854" s="1172"/>
      <c r="N1854" s="1175"/>
      <c r="O1854" s="143"/>
      <c r="P1854" s="1196"/>
      <c r="Q1854" s="141"/>
      <c r="R1854" s="141"/>
      <c r="S1854" s="148"/>
      <c r="T1854" s="419"/>
      <c r="U1854" s="559"/>
      <c r="V1854" s="141"/>
      <c r="W1854" s="141"/>
      <c r="X1854" s="141"/>
      <c r="Y1854" s="144"/>
      <c r="Z1854" s="141"/>
      <c r="AA1854" s="141"/>
      <c r="AB1854" s="141"/>
      <c r="AC1854" s="141"/>
      <c r="AD1854" s="141"/>
      <c r="AE1854" s="141"/>
      <c r="AF1854" s="145"/>
      <c r="AG1854" s="419"/>
    </row>
    <row r="1855" spans="1:33" s="139" customFormat="1" ht="12.75" customHeight="1" x14ac:dyDescent="0.2">
      <c r="A1855" s="141"/>
      <c r="B1855" s="141"/>
      <c r="C1855" s="141"/>
      <c r="D1855" s="141"/>
      <c r="E1855" s="1014"/>
      <c r="F1855" s="1014"/>
      <c r="G1855" s="1027"/>
      <c r="H1855" s="1027"/>
      <c r="I1855" s="1174"/>
      <c r="J1855" s="1174"/>
      <c r="K1855" s="1174"/>
      <c r="L1855" s="1172"/>
      <c r="M1855" s="1172"/>
      <c r="N1855" s="1175"/>
      <c r="O1855" s="143"/>
      <c r="P1855" s="1196"/>
      <c r="Q1855" s="141"/>
      <c r="R1855" s="141"/>
      <c r="S1855" s="148"/>
      <c r="T1855" s="419"/>
      <c r="U1855" s="559"/>
      <c r="V1855" s="141"/>
      <c r="W1855" s="141"/>
      <c r="X1855" s="141"/>
      <c r="Y1855" s="144"/>
      <c r="Z1855" s="141"/>
      <c r="AA1855" s="141"/>
      <c r="AB1855" s="141"/>
      <c r="AC1855" s="141"/>
      <c r="AD1855" s="141"/>
      <c r="AE1855" s="141"/>
      <c r="AF1855" s="145"/>
      <c r="AG1855" s="419"/>
    </row>
    <row r="1856" spans="1:33" s="139" customFormat="1" ht="12.75" customHeight="1" x14ac:dyDescent="0.2">
      <c r="A1856" s="141"/>
      <c r="B1856" s="141"/>
      <c r="C1856" s="141"/>
      <c r="D1856" s="141"/>
      <c r="E1856" s="1014"/>
      <c r="F1856" s="1014"/>
      <c r="G1856" s="1027"/>
      <c r="H1856" s="1027"/>
      <c r="I1856" s="1174"/>
      <c r="J1856" s="1174"/>
      <c r="K1856" s="1174"/>
      <c r="L1856" s="1172"/>
      <c r="M1856" s="1172"/>
      <c r="N1856" s="1175"/>
      <c r="O1856" s="143"/>
      <c r="P1856" s="1196"/>
      <c r="Q1856" s="141"/>
      <c r="R1856" s="141"/>
      <c r="S1856" s="148"/>
      <c r="T1856" s="419"/>
      <c r="U1856" s="559"/>
      <c r="V1856" s="141"/>
      <c r="W1856" s="141"/>
      <c r="X1856" s="141"/>
      <c r="Y1856" s="144"/>
      <c r="Z1856" s="141"/>
      <c r="AA1856" s="141"/>
      <c r="AB1856" s="141"/>
      <c r="AC1856" s="141"/>
      <c r="AD1856" s="141"/>
      <c r="AE1856" s="141"/>
      <c r="AF1856" s="145"/>
      <c r="AG1856" s="419"/>
    </row>
    <row r="1857" spans="1:33" s="139" customFormat="1" ht="12.75" customHeight="1" x14ac:dyDescent="0.2">
      <c r="A1857" s="141"/>
      <c r="B1857" s="141"/>
      <c r="C1857" s="141"/>
      <c r="D1857" s="141"/>
      <c r="E1857" s="1014"/>
      <c r="F1857" s="1014"/>
      <c r="G1857" s="1027"/>
      <c r="H1857" s="1027"/>
      <c r="I1857" s="1174"/>
      <c r="J1857" s="1174"/>
      <c r="K1857" s="1174"/>
      <c r="L1857" s="1172"/>
      <c r="M1857" s="1172"/>
      <c r="N1857" s="1175"/>
      <c r="O1857" s="143"/>
      <c r="P1857" s="1196"/>
      <c r="Q1857" s="141"/>
      <c r="R1857" s="141"/>
      <c r="S1857" s="148"/>
      <c r="T1857" s="419"/>
      <c r="U1857" s="559"/>
      <c r="V1857" s="141"/>
      <c r="W1857" s="141"/>
      <c r="X1857" s="141"/>
      <c r="Y1857" s="144"/>
      <c r="Z1857" s="141"/>
      <c r="AA1857" s="141"/>
      <c r="AB1857" s="141"/>
      <c r="AC1857" s="141"/>
      <c r="AD1857" s="141"/>
      <c r="AE1857" s="141"/>
      <c r="AF1857" s="145"/>
      <c r="AG1857" s="419"/>
    </row>
    <row r="1858" spans="1:33" s="139" customFormat="1" ht="12.75" customHeight="1" x14ac:dyDescent="0.2">
      <c r="A1858" s="141"/>
      <c r="B1858" s="141"/>
      <c r="C1858" s="141"/>
      <c r="D1858" s="141"/>
      <c r="E1858" s="1014"/>
      <c r="F1858" s="1014"/>
      <c r="G1858" s="1027"/>
      <c r="H1858" s="1027"/>
      <c r="I1858" s="1174"/>
      <c r="J1858" s="1174"/>
      <c r="K1858" s="1174"/>
      <c r="L1858" s="1172"/>
      <c r="M1858" s="1172"/>
      <c r="N1858" s="1175"/>
      <c r="O1858" s="143"/>
      <c r="P1858" s="1196"/>
      <c r="Q1858" s="141"/>
      <c r="R1858" s="141"/>
      <c r="S1858" s="148"/>
      <c r="T1858" s="419"/>
      <c r="U1858" s="559"/>
      <c r="V1858" s="141"/>
      <c r="W1858" s="141"/>
      <c r="X1858" s="141"/>
      <c r="Y1858" s="144"/>
      <c r="Z1858" s="141"/>
      <c r="AA1858" s="141"/>
      <c r="AB1858" s="141"/>
      <c r="AC1858" s="141"/>
      <c r="AD1858" s="141"/>
      <c r="AE1858" s="141"/>
      <c r="AF1858" s="145"/>
      <c r="AG1858" s="419"/>
    </row>
    <row r="1859" spans="1:33" s="139" customFormat="1" ht="12.75" customHeight="1" x14ac:dyDescent="0.2">
      <c r="A1859" s="141"/>
      <c r="B1859" s="141"/>
      <c r="C1859" s="141"/>
      <c r="D1859" s="141"/>
      <c r="E1859" s="1014"/>
      <c r="F1859" s="1014"/>
      <c r="G1859" s="1027"/>
      <c r="H1859" s="1027"/>
      <c r="I1859" s="1174"/>
      <c r="J1859" s="1174"/>
      <c r="K1859" s="1174"/>
      <c r="L1859" s="1172"/>
      <c r="M1859" s="1172"/>
      <c r="N1859" s="1175"/>
      <c r="O1859" s="143"/>
      <c r="P1859" s="1196"/>
      <c r="Q1859" s="141"/>
      <c r="R1859" s="141"/>
      <c r="S1859" s="148"/>
      <c r="T1859" s="419"/>
      <c r="U1859" s="559"/>
      <c r="V1859" s="141"/>
      <c r="W1859" s="141"/>
      <c r="X1859" s="141"/>
      <c r="Y1859" s="144"/>
      <c r="Z1859" s="141"/>
      <c r="AA1859" s="141"/>
      <c r="AB1859" s="141"/>
      <c r="AC1859" s="141"/>
      <c r="AD1859" s="141"/>
      <c r="AE1859" s="141"/>
      <c r="AF1859" s="145"/>
      <c r="AG1859" s="419"/>
    </row>
    <row r="1860" spans="1:33" s="139" customFormat="1" ht="12.75" customHeight="1" x14ac:dyDescent="0.2">
      <c r="A1860" s="141"/>
      <c r="B1860" s="141"/>
      <c r="C1860" s="141"/>
      <c r="D1860" s="141"/>
      <c r="E1860" s="1014"/>
      <c r="F1860" s="1014"/>
      <c r="G1860" s="1027"/>
      <c r="H1860" s="1027"/>
      <c r="I1860" s="1174"/>
      <c r="J1860" s="1174"/>
      <c r="K1860" s="1174"/>
      <c r="L1860" s="1172"/>
      <c r="M1860" s="1172"/>
      <c r="N1860" s="1175"/>
      <c r="O1860" s="143"/>
      <c r="P1860" s="1196"/>
      <c r="Q1860" s="141"/>
      <c r="R1860" s="141"/>
      <c r="S1860" s="148"/>
      <c r="T1860" s="419"/>
      <c r="U1860" s="559"/>
      <c r="V1860" s="141"/>
      <c r="W1860" s="141"/>
      <c r="X1860" s="141"/>
      <c r="Y1860" s="144"/>
      <c r="Z1860" s="141"/>
      <c r="AA1860" s="141"/>
      <c r="AB1860" s="141"/>
      <c r="AC1860" s="141"/>
      <c r="AD1860" s="141"/>
      <c r="AE1860" s="141"/>
      <c r="AF1860" s="145"/>
      <c r="AG1860" s="419"/>
    </row>
    <row r="1861" spans="1:33" s="139" customFormat="1" ht="12.75" customHeight="1" x14ac:dyDescent="0.2">
      <c r="A1861" s="141"/>
      <c r="B1861" s="141"/>
      <c r="C1861" s="141"/>
      <c r="D1861" s="141"/>
      <c r="E1861" s="1014"/>
      <c r="F1861" s="1014"/>
      <c r="G1861" s="1027"/>
      <c r="H1861" s="1027"/>
      <c r="I1861" s="1174"/>
      <c r="J1861" s="1174"/>
      <c r="K1861" s="1174"/>
      <c r="L1861" s="1172"/>
      <c r="M1861" s="1172"/>
      <c r="N1861" s="1175"/>
      <c r="O1861" s="143"/>
      <c r="P1861" s="1196"/>
      <c r="Q1861" s="141"/>
      <c r="R1861" s="141"/>
      <c r="S1861" s="148"/>
      <c r="T1861" s="419"/>
      <c r="U1861" s="559"/>
      <c r="V1861" s="141"/>
      <c r="W1861" s="141"/>
      <c r="X1861" s="141"/>
      <c r="Y1861" s="144"/>
      <c r="Z1861" s="141"/>
      <c r="AA1861" s="141"/>
      <c r="AB1861" s="141"/>
      <c r="AC1861" s="141"/>
      <c r="AD1861" s="141"/>
      <c r="AE1861" s="141"/>
      <c r="AF1861" s="145"/>
      <c r="AG1861" s="419"/>
    </row>
    <row r="1862" spans="1:33" s="139" customFormat="1" ht="12.75" customHeight="1" x14ac:dyDescent="0.2">
      <c r="A1862" s="141"/>
      <c r="B1862" s="141"/>
      <c r="C1862" s="141"/>
      <c r="D1862" s="141"/>
      <c r="E1862" s="1014"/>
      <c r="F1862" s="1014"/>
      <c r="G1862" s="1027"/>
      <c r="H1862" s="1027"/>
      <c r="I1862" s="1174"/>
      <c r="J1862" s="1174"/>
      <c r="K1862" s="1174"/>
      <c r="L1862" s="1172"/>
      <c r="M1862" s="1172"/>
      <c r="N1862" s="1175"/>
      <c r="O1862" s="143"/>
      <c r="P1862" s="1196"/>
      <c r="Q1862" s="141"/>
      <c r="R1862" s="141"/>
      <c r="S1862" s="148"/>
      <c r="T1862" s="419"/>
      <c r="U1862" s="559"/>
      <c r="V1862" s="141"/>
      <c r="W1862" s="141"/>
      <c r="X1862" s="141"/>
      <c r="Y1862" s="144"/>
      <c r="Z1862" s="141"/>
      <c r="AA1862" s="141"/>
      <c r="AB1862" s="141"/>
      <c r="AC1862" s="141"/>
      <c r="AD1862" s="141"/>
      <c r="AE1862" s="141"/>
      <c r="AF1862" s="145"/>
      <c r="AG1862" s="419"/>
    </row>
    <row r="1863" spans="1:33" s="139" customFormat="1" ht="12.75" customHeight="1" x14ac:dyDescent="0.2">
      <c r="A1863" s="141"/>
      <c r="B1863" s="141"/>
      <c r="C1863" s="141"/>
      <c r="D1863" s="141"/>
      <c r="E1863" s="1014"/>
      <c r="F1863" s="1014"/>
      <c r="G1863" s="1027"/>
      <c r="H1863" s="1027"/>
      <c r="I1863" s="1174"/>
      <c r="J1863" s="1174"/>
      <c r="K1863" s="1174"/>
      <c r="L1863" s="1172"/>
      <c r="M1863" s="1172"/>
      <c r="N1863" s="1175"/>
      <c r="O1863" s="143"/>
      <c r="P1863" s="1196"/>
      <c r="Q1863" s="141"/>
      <c r="R1863" s="141"/>
      <c r="S1863" s="148"/>
      <c r="T1863" s="419"/>
      <c r="U1863" s="559"/>
      <c r="V1863" s="141"/>
      <c r="W1863" s="141"/>
      <c r="X1863" s="141"/>
      <c r="Y1863" s="144"/>
      <c r="Z1863" s="141"/>
      <c r="AA1863" s="141"/>
      <c r="AB1863" s="141"/>
      <c r="AC1863" s="141"/>
      <c r="AD1863" s="141"/>
      <c r="AE1863" s="141"/>
      <c r="AF1863" s="145"/>
      <c r="AG1863" s="419"/>
    </row>
    <row r="1864" spans="1:33" s="139" customFormat="1" ht="12.75" customHeight="1" x14ac:dyDescent="0.2">
      <c r="A1864" s="141"/>
      <c r="B1864" s="141"/>
      <c r="C1864" s="141"/>
      <c r="D1864" s="141"/>
      <c r="E1864" s="1014"/>
      <c r="F1864" s="1014"/>
      <c r="G1864" s="1027"/>
      <c r="H1864" s="1027"/>
      <c r="I1864" s="1174"/>
      <c r="J1864" s="1174"/>
      <c r="K1864" s="1174"/>
      <c r="L1864" s="1172"/>
      <c r="M1864" s="1172"/>
      <c r="N1864" s="1175"/>
      <c r="O1864" s="143"/>
      <c r="P1864" s="1196"/>
      <c r="Q1864" s="141"/>
      <c r="R1864" s="141"/>
      <c r="S1864" s="148"/>
      <c r="T1864" s="419"/>
      <c r="U1864" s="559"/>
      <c r="V1864" s="141"/>
      <c r="W1864" s="141"/>
      <c r="X1864" s="141"/>
      <c r="Y1864" s="144"/>
      <c r="Z1864" s="141"/>
      <c r="AA1864" s="141"/>
      <c r="AB1864" s="141"/>
      <c r="AC1864" s="141"/>
      <c r="AD1864" s="141"/>
      <c r="AE1864" s="141"/>
      <c r="AF1864" s="145"/>
      <c r="AG1864" s="419"/>
    </row>
    <row r="1865" spans="1:33" s="139" customFormat="1" ht="12.75" customHeight="1" x14ac:dyDescent="0.2">
      <c r="A1865" s="141"/>
      <c r="B1865" s="141"/>
      <c r="C1865" s="141"/>
      <c r="D1865" s="141"/>
      <c r="E1865" s="1014"/>
      <c r="F1865" s="1014"/>
      <c r="G1865" s="1027"/>
      <c r="H1865" s="1027"/>
      <c r="I1865" s="1174"/>
      <c r="J1865" s="1174"/>
      <c r="K1865" s="1174"/>
      <c r="L1865" s="1172"/>
      <c r="M1865" s="1172"/>
      <c r="N1865" s="1175"/>
      <c r="O1865" s="143"/>
      <c r="P1865" s="1196"/>
      <c r="Q1865" s="141"/>
      <c r="R1865" s="141"/>
      <c r="S1865" s="148"/>
      <c r="T1865" s="419"/>
      <c r="U1865" s="559"/>
      <c r="V1865" s="141"/>
      <c r="W1865" s="141"/>
      <c r="X1865" s="141"/>
      <c r="Y1865" s="144"/>
      <c r="Z1865" s="141"/>
      <c r="AA1865" s="141"/>
      <c r="AB1865" s="141"/>
      <c r="AC1865" s="141"/>
      <c r="AD1865" s="141"/>
      <c r="AE1865" s="141"/>
      <c r="AF1865" s="145"/>
      <c r="AG1865" s="419"/>
    </row>
    <row r="1866" spans="1:33" s="139" customFormat="1" ht="12.75" customHeight="1" x14ac:dyDescent="0.2">
      <c r="A1866" s="141"/>
      <c r="B1866" s="141"/>
      <c r="C1866" s="141"/>
      <c r="D1866" s="141"/>
      <c r="E1866" s="1014"/>
      <c r="F1866" s="1014"/>
      <c r="G1866" s="1027"/>
      <c r="H1866" s="1027"/>
      <c r="I1866" s="1174"/>
      <c r="J1866" s="1174"/>
      <c r="K1866" s="1174"/>
      <c r="L1866" s="1172"/>
      <c r="M1866" s="1172"/>
      <c r="N1866" s="1175"/>
      <c r="O1866" s="143"/>
      <c r="P1866" s="1196"/>
      <c r="Q1866" s="141"/>
      <c r="R1866" s="141"/>
      <c r="S1866" s="148"/>
      <c r="T1866" s="419"/>
      <c r="U1866" s="559"/>
      <c r="V1866" s="141"/>
      <c r="W1866" s="141"/>
      <c r="X1866" s="141"/>
      <c r="Y1866" s="144"/>
      <c r="Z1866" s="141"/>
      <c r="AA1866" s="141"/>
      <c r="AB1866" s="141"/>
      <c r="AC1866" s="141"/>
      <c r="AD1866" s="141"/>
      <c r="AE1866" s="141"/>
      <c r="AF1866" s="145"/>
      <c r="AG1866" s="419"/>
    </row>
    <row r="1867" spans="1:33" s="139" customFormat="1" ht="12.75" customHeight="1" x14ac:dyDescent="0.2">
      <c r="A1867" s="141"/>
      <c r="B1867" s="141"/>
      <c r="C1867" s="141"/>
      <c r="D1867" s="141"/>
      <c r="E1867" s="1014"/>
      <c r="F1867" s="1014"/>
      <c r="G1867" s="1027"/>
      <c r="H1867" s="1027"/>
      <c r="I1867" s="1174"/>
      <c r="J1867" s="1174"/>
      <c r="K1867" s="1174"/>
      <c r="L1867" s="1172"/>
      <c r="M1867" s="1172"/>
      <c r="N1867" s="1175"/>
      <c r="O1867" s="143"/>
      <c r="P1867" s="1196"/>
      <c r="Q1867" s="141"/>
      <c r="R1867" s="141"/>
      <c r="S1867" s="148"/>
      <c r="T1867" s="419"/>
      <c r="U1867" s="559"/>
      <c r="V1867" s="141"/>
      <c r="W1867" s="141"/>
      <c r="X1867" s="141"/>
      <c r="Y1867" s="144"/>
      <c r="Z1867" s="141"/>
      <c r="AA1867" s="141"/>
      <c r="AB1867" s="141"/>
      <c r="AC1867" s="141"/>
      <c r="AD1867" s="141"/>
      <c r="AE1867" s="141"/>
      <c r="AF1867" s="145"/>
      <c r="AG1867" s="419"/>
    </row>
    <row r="1868" spans="1:33" s="139" customFormat="1" ht="12.75" customHeight="1" x14ac:dyDescent="0.2">
      <c r="A1868" s="141"/>
      <c r="B1868" s="141"/>
      <c r="C1868" s="141"/>
      <c r="D1868" s="141"/>
      <c r="E1868" s="1014"/>
      <c r="F1868" s="1014"/>
      <c r="G1868" s="1027"/>
      <c r="H1868" s="1027"/>
      <c r="I1868" s="1174"/>
      <c r="J1868" s="1174"/>
      <c r="K1868" s="1174"/>
      <c r="L1868" s="1172"/>
      <c r="M1868" s="1172"/>
      <c r="N1868" s="1175"/>
      <c r="O1868" s="143"/>
      <c r="P1868" s="1196"/>
      <c r="Q1868" s="141"/>
      <c r="R1868" s="141"/>
      <c r="S1868" s="148"/>
      <c r="T1868" s="419"/>
      <c r="U1868" s="559"/>
      <c r="V1868" s="141"/>
      <c r="W1868" s="141"/>
      <c r="X1868" s="141"/>
      <c r="Y1868" s="144"/>
      <c r="Z1868" s="141"/>
      <c r="AA1868" s="141"/>
      <c r="AB1868" s="141"/>
      <c r="AC1868" s="141"/>
      <c r="AD1868" s="141"/>
      <c r="AE1868" s="141"/>
      <c r="AF1868" s="145"/>
      <c r="AG1868" s="419"/>
    </row>
    <row r="1869" spans="1:33" s="139" customFormat="1" ht="12.75" customHeight="1" x14ac:dyDescent="0.2">
      <c r="A1869" s="141"/>
      <c r="B1869" s="141"/>
      <c r="C1869" s="141"/>
      <c r="D1869" s="141"/>
      <c r="E1869" s="1014"/>
      <c r="F1869" s="1014"/>
      <c r="G1869" s="1027"/>
      <c r="H1869" s="1027"/>
      <c r="I1869" s="1174"/>
      <c r="J1869" s="1174"/>
      <c r="K1869" s="1174"/>
      <c r="L1869" s="1172"/>
      <c r="M1869" s="1172"/>
      <c r="N1869" s="1175"/>
      <c r="O1869" s="143"/>
      <c r="P1869" s="1196"/>
      <c r="Q1869" s="141"/>
      <c r="R1869" s="141"/>
      <c r="S1869" s="148"/>
      <c r="T1869" s="419"/>
      <c r="U1869" s="559"/>
      <c r="V1869" s="141"/>
      <c r="W1869" s="141"/>
      <c r="X1869" s="141"/>
      <c r="Y1869" s="144"/>
      <c r="Z1869" s="141"/>
      <c r="AA1869" s="141"/>
      <c r="AB1869" s="141"/>
      <c r="AC1869" s="141"/>
      <c r="AD1869" s="141"/>
      <c r="AE1869" s="141"/>
      <c r="AF1869" s="145"/>
      <c r="AG1869" s="419"/>
    </row>
    <row r="1870" spans="1:33" s="139" customFormat="1" ht="12.75" customHeight="1" x14ac:dyDescent="0.2">
      <c r="A1870" s="141"/>
      <c r="B1870" s="141"/>
      <c r="C1870" s="141"/>
      <c r="D1870" s="141"/>
      <c r="E1870" s="1014"/>
      <c r="F1870" s="1014"/>
      <c r="G1870" s="1027"/>
      <c r="H1870" s="1027"/>
      <c r="I1870" s="1174"/>
      <c r="J1870" s="1174"/>
      <c r="K1870" s="1174"/>
      <c r="L1870" s="1172"/>
      <c r="M1870" s="1172"/>
      <c r="N1870" s="1175"/>
      <c r="O1870" s="143"/>
      <c r="P1870" s="1196"/>
      <c r="Q1870" s="141"/>
      <c r="R1870" s="141"/>
      <c r="S1870" s="148"/>
      <c r="T1870" s="419"/>
      <c r="U1870" s="559"/>
      <c r="V1870" s="141"/>
      <c r="W1870" s="141"/>
      <c r="X1870" s="141"/>
      <c r="Y1870" s="144"/>
      <c r="Z1870" s="141"/>
      <c r="AA1870" s="141"/>
      <c r="AB1870" s="141"/>
      <c r="AC1870" s="141"/>
      <c r="AD1870" s="141"/>
      <c r="AE1870" s="141"/>
      <c r="AF1870" s="145"/>
      <c r="AG1870" s="419"/>
    </row>
    <row r="1871" spans="1:33" s="139" customFormat="1" ht="12.75" customHeight="1" x14ac:dyDescent="0.2">
      <c r="A1871" s="141"/>
      <c r="B1871" s="141"/>
      <c r="C1871" s="141"/>
      <c r="D1871" s="141"/>
      <c r="E1871" s="1014"/>
      <c r="F1871" s="1014"/>
      <c r="G1871" s="1027"/>
      <c r="H1871" s="1027"/>
      <c r="I1871" s="1174"/>
      <c r="J1871" s="1174"/>
      <c r="K1871" s="1174"/>
      <c r="L1871" s="1172"/>
      <c r="M1871" s="1172"/>
      <c r="N1871" s="1175"/>
      <c r="O1871" s="143"/>
      <c r="P1871" s="1196"/>
      <c r="Q1871" s="141"/>
      <c r="R1871" s="141"/>
      <c r="S1871" s="148"/>
      <c r="T1871" s="419"/>
      <c r="U1871" s="559"/>
      <c r="V1871" s="141"/>
      <c r="W1871" s="141"/>
      <c r="X1871" s="141"/>
      <c r="Y1871" s="144"/>
      <c r="Z1871" s="141"/>
      <c r="AA1871" s="141"/>
      <c r="AB1871" s="141"/>
      <c r="AC1871" s="141"/>
      <c r="AD1871" s="141"/>
      <c r="AE1871" s="141"/>
      <c r="AF1871" s="145"/>
      <c r="AG1871" s="419"/>
    </row>
    <row r="1872" spans="1:33" s="139" customFormat="1" ht="12.75" customHeight="1" x14ac:dyDescent="0.2">
      <c r="A1872" s="141"/>
      <c r="B1872" s="141"/>
      <c r="C1872" s="141"/>
      <c r="D1872" s="141"/>
      <c r="E1872" s="1014"/>
      <c r="F1872" s="1014"/>
      <c r="G1872" s="1027"/>
      <c r="H1872" s="1027"/>
      <c r="I1872" s="1174"/>
      <c r="J1872" s="1174"/>
      <c r="K1872" s="1174"/>
      <c r="L1872" s="1172"/>
      <c r="M1872" s="1172"/>
      <c r="N1872" s="1175"/>
      <c r="O1872" s="143"/>
      <c r="P1872" s="1196"/>
      <c r="Q1872" s="141"/>
      <c r="R1872" s="141"/>
      <c r="S1872" s="148"/>
      <c r="T1872" s="419"/>
      <c r="U1872" s="559"/>
      <c r="V1872" s="141"/>
      <c r="W1872" s="141"/>
      <c r="X1872" s="141"/>
      <c r="Y1872" s="144"/>
      <c r="Z1872" s="141"/>
      <c r="AA1872" s="141"/>
      <c r="AB1872" s="141"/>
      <c r="AC1872" s="141"/>
      <c r="AD1872" s="141"/>
      <c r="AE1872" s="141"/>
      <c r="AF1872" s="145"/>
      <c r="AG1872" s="419"/>
    </row>
    <row r="1873" spans="1:33" s="139" customFormat="1" ht="12.75" customHeight="1" x14ac:dyDescent="0.2">
      <c r="A1873" s="141"/>
      <c r="B1873" s="141"/>
      <c r="C1873" s="141"/>
      <c r="D1873" s="141"/>
      <c r="E1873" s="1014"/>
      <c r="F1873" s="1014"/>
      <c r="G1873" s="1027"/>
      <c r="H1873" s="1027"/>
      <c r="I1873" s="1174"/>
      <c r="J1873" s="1174"/>
      <c r="K1873" s="1174"/>
      <c r="L1873" s="1172"/>
      <c r="M1873" s="1172"/>
      <c r="N1873" s="1175"/>
      <c r="O1873" s="143"/>
      <c r="P1873" s="1196"/>
      <c r="Q1873" s="141"/>
      <c r="R1873" s="141"/>
      <c r="S1873" s="148"/>
      <c r="T1873" s="419"/>
      <c r="U1873" s="559"/>
      <c r="V1873" s="141"/>
      <c r="W1873" s="141"/>
      <c r="X1873" s="141"/>
      <c r="Y1873" s="144"/>
      <c r="Z1873" s="141"/>
      <c r="AA1873" s="141"/>
      <c r="AB1873" s="141"/>
      <c r="AC1873" s="141"/>
      <c r="AD1873" s="141"/>
      <c r="AE1873" s="141"/>
      <c r="AF1873" s="145"/>
      <c r="AG1873" s="419"/>
    </row>
    <row r="1874" spans="1:33" s="139" customFormat="1" ht="12.75" customHeight="1" x14ac:dyDescent="0.2">
      <c r="A1874" s="141"/>
      <c r="B1874" s="141"/>
      <c r="C1874" s="141"/>
      <c r="D1874" s="141"/>
      <c r="E1874" s="1014"/>
      <c r="F1874" s="1014"/>
      <c r="G1874" s="1027"/>
      <c r="H1874" s="1027"/>
      <c r="I1874" s="1174"/>
      <c r="J1874" s="1174"/>
      <c r="K1874" s="1174"/>
      <c r="L1874" s="1172"/>
      <c r="M1874" s="1172"/>
      <c r="N1874" s="1175"/>
      <c r="O1874" s="143"/>
      <c r="P1874" s="1196"/>
      <c r="Q1874" s="141"/>
      <c r="R1874" s="141"/>
      <c r="S1874" s="148"/>
      <c r="T1874" s="419"/>
      <c r="U1874" s="559"/>
      <c r="V1874" s="141"/>
      <c r="W1874" s="141"/>
      <c r="X1874" s="141"/>
      <c r="Y1874" s="144"/>
      <c r="Z1874" s="141"/>
      <c r="AA1874" s="141"/>
      <c r="AB1874" s="141"/>
      <c r="AC1874" s="141"/>
      <c r="AD1874" s="141"/>
      <c r="AE1874" s="141"/>
      <c r="AF1874" s="145"/>
      <c r="AG1874" s="419"/>
    </row>
    <row r="1875" spans="1:33" s="139" customFormat="1" ht="12.75" customHeight="1" x14ac:dyDescent="0.2">
      <c r="A1875" s="141"/>
      <c r="B1875" s="141"/>
      <c r="C1875" s="141"/>
      <c r="D1875" s="141"/>
      <c r="E1875" s="1014"/>
      <c r="F1875" s="1014"/>
      <c r="G1875" s="1027"/>
      <c r="H1875" s="1027"/>
      <c r="I1875" s="1174"/>
      <c r="J1875" s="1174"/>
      <c r="K1875" s="1174"/>
      <c r="L1875" s="1172"/>
      <c r="M1875" s="1172"/>
      <c r="N1875" s="1175"/>
      <c r="O1875" s="143"/>
      <c r="P1875" s="1196"/>
      <c r="Q1875" s="141"/>
      <c r="R1875" s="141"/>
      <c r="S1875" s="148"/>
      <c r="T1875" s="419"/>
      <c r="U1875" s="559"/>
      <c r="V1875" s="141"/>
      <c r="W1875" s="141"/>
      <c r="X1875" s="141"/>
      <c r="Y1875" s="144"/>
      <c r="Z1875" s="141"/>
      <c r="AA1875" s="141"/>
      <c r="AB1875" s="141"/>
      <c r="AC1875" s="141"/>
      <c r="AD1875" s="141"/>
      <c r="AE1875" s="141"/>
      <c r="AF1875" s="145"/>
      <c r="AG1875" s="419"/>
    </row>
    <row r="1876" spans="1:33" s="139" customFormat="1" ht="12.75" customHeight="1" x14ac:dyDescent="0.2">
      <c r="A1876" s="141"/>
      <c r="B1876" s="141"/>
      <c r="C1876" s="141"/>
      <c r="D1876" s="141"/>
      <c r="E1876" s="1014"/>
      <c r="F1876" s="1014"/>
      <c r="G1876" s="1027"/>
      <c r="H1876" s="1027"/>
      <c r="I1876" s="1174"/>
      <c r="J1876" s="1174"/>
      <c r="K1876" s="1174"/>
      <c r="L1876" s="1172"/>
      <c r="M1876" s="1172"/>
      <c r="N1876" s="1175"/>
      <c r="O1876" s="143"/>
      <c r="P1876" s="1196"/>
      <c r="Q1876" s="141"/>
      <c r="R1876" s="141"/>
      <c r="S1876" s="148"/>
      <c r="T1876" s="419"/>
      <c r="U1876" s="559"/>
      <c r="V1876" s="141"/>
      <c r="W1876" s="141"/>
      <c r="X1876" s="141"/>
      <c r="Y1876" s="144"/>
      <c r="Z1876" s="141"/>
      <c r="AA1876" s="141"/>
      <c r="AB1876" s="141"/>
      <c r="AC1876" s="141"/>
      <c r="AD1876" s="141"/>
      <c r="AE1876" s="141"/>
      <c r="AF1876" s="145"/>
      <c r="AG1876" s="419"/>
    </row>
    <row r="1877" spans="1:33" s="139" customFormat="1" ht="12.75" customHeight="1" x14ac:dyDescent="0.2">
      <c r="A1877" s="141"/>
      <c r="B1877" s="141"/>
      <c r="C1877" s="141"/>
      <c r="D1877" s="141"/>
      <c r="E1877" s="1014"/>
      <c r="F1877" s="1014"/>
      <c r="G1877" s="1027"/>
      <c r="H1877" s="1027"/>
      <c r="I1877" s="1174"/>
      <c r="J1877" s="1174"/>
      <c r="K1877" s="1174"/>
      <c r="L1877" s="1172"/>
      <c r="M1877" s="1172"/>
      <c r="N1877" s="1175"/>
      <c r="O1877" s="143"/>
      <c r="P1877" s="1196"/>
      <c r="Q1877" s="141"/>
      <c r="R1877" s="141"/>
      <c r="S1877" s="148"/>
      <c r="T1877" s="419"/>
      <c r="U1877" s="559"/>
      <c r="V1877" s="141"/>
      <c r="W1877" s="141"/>
      <c r="X1877" s="141"/>
      <c r="Y1877" s="144"/>
      <c r="Z1877" s="141"/>
      <c r="AA1877" s="141"/>
      <c r="AB1877" s="141"/>
      <c r="AC1877" s="141"/>
      <c r="AD1877" s="141"/>
      <c r="AE1877" s="141"/>
      <c r="AF1877" s="145"/>
      <c r="AG1877" s="419"/>
    </row>
    <row r="1878" spans="1:33" s="139" customFormat="1" ht="12.75" customHeight="1" x14ac:dyDescent="0.2">
      <c r="A1878" s="141"/>
      <c r="B1878" s="141"/>
      <c r="C1878" s="141"/>
      <c r="D1878" s="141"/>
      <c r="E1878" s="1014"/>
      <c r="F1878" s="1014"/>
      <c r="G1878" s="1027"/>
      <c r="H1878" s="1027"/>
      <c r="I1878" s="1174"/>
      <c r="J1878" s="1174"/>
      <c r="K1878" s="1174"/>
      <c r="L1878" s="1172"/>
      <c r="M1878" s="1172"/>
      <c r="N1878" s="1175"/>
      <c r="O1878" s="143"/>
      <c r="P1878" s="1196"/>
      <c r="Q1878" s="141"/>
      <c r="R1878" s="141"/>
      <c r="S1878" s="148"/>
      <c r="T1878" s="419"/>
      <c r="U1878" s="559"/>
      <c r="V1878" s="141"/>
      <c r="W1878" s="141"/>
      <c r="X1878" s="141"/>
      <c r="Y1878" s="144"/>
      <c r="Z1878" s="141"/>
      <c r="AA1878" s="141"/>
      <c r="AB1878" s="141"/>
      <c r="AC1878" s="141"/>
      <c r="AD1878" s="141"/>
      <c r="AE1878" s="141"/>
      <c r="AF1878" s="145"/>
      <c r="AG1878" s="419"/>
    </row>
    <row r="1879" spans="1:33" s="139" customFormat="1" ht="12.75" customHeight="1" x14ac:dyDescent="0.2">
      <c r="A1879" s="141"/>
      <c r="B1879" s="141"/>
      <c r="C1879" s="141"/>
      <c r="D1879" s="141"/>
      <c r="E1879" s="1014"/>
      <c r="F1879" s="1014"/>
      <c r="G1879" s="1027"/>
      <c r="H1879" s="1027"/>
      <c r="I1879" s="1174"/>
      <c r="J1879" s="1174"/>
      <c r="K1879" s="1174"/>
      <c r="L1879" s="1172"/>
      <c r="M1879" s="1172"/>
      <c r="N1879" s="1175"/>
      <c r="O1879" s="143"/>
      <c r="P1879" s="1196"/>
      <c r="Q1879" s="141"/>
      <c r="R1879" s="141"/>
      <c r="S1879" s="148"/>
      <c r="T1879" s="419"/>
      <c r="U1879" s="559"/>
      <c r="V1879" s="141"/>
      <c r="W1879" s="141"/>
      <c r="X1879" s="141"/>
      <c r="Y1879" s="144"/>
      <c r="Z1879" s="141"/>
      <c r="AA1879" s="141"/>
      <c r="AB1879" s="141"/>
      <c r="AC1879" s="141"/>
      <c r="AD1879" s="141"/>
      <c r="AE1879" s="141"/>
      <c r="AF1879" s="145"/>
      <c r="AG1879" s="419"/>
    </row>
    <row r="1880" spans="1:33" s="139" customFormat="1" ht="12.75" customHeight="1" x14ac:dyDescent="0.2">
      <c r="A1880" s="141"/>
      <c r="B1880" s="141"/>
      <c r="C1880" s="141"/>
      <c r="D1880" s="141"/>
      <c r="E1880" s="1014"/>
      <c r="F1880" s="1014"/>
      <c r="G1880" s="1027"/>
      <c r="H1880" s="1027"/>
      <c r="I1880" s="1174"/>
      <c r="J1880" s="1174"/>
      <c r="K1880" s="1174"/>
      <c r="L1880" s="1172"/>
      <c r="M1880" s="1172"/>
      <c r="N1880" s="1175"/>
      <c r="O1880" s="143"/>
      <c r="P1880" s="1196"/>
      <c r="Q1880" s="141"/>
      <c r="R1880" s="141"/>
      <c r="S1880" s="148"/>
      <c r="T1880" s="419"/>
      <c r="U1880" s="559"/>
      <c r="V1880" s="141"/>
      <c r="W1880" s="141"/>
      <c r="X1880" s="141"/>
      <c r="Y1880" s="144"/>
      <c r="Z1880" s="141"/>
      <c r="AA1880" s="141"/>
      <c r="AB1880" s="141"/>
      <c r="AC1880" s="141"/>
      <c r="AD1880" s="141"/>
      <c r="AE1880" s="141"/>
      <c r="AF1880" s="145"/>
      <c r="AG1880" s="419"/>
    </row>
    <row r="1881" spans="1:33" s="139" customFormat="1" ht="12.75" customHeight="1" x14ac:dyDescent="0.2">
      <c r="A1881" s="141"/>
      <c r="B1881" s="141"/>
      <c r="C1881" s="141"/>
      <c r="D1881" s="141"/>
      <c r="E1881" s="1014"/>
      <c r="F1881" s="1014"/>
      <c r="G1881" s="1027"/>
      <c r="H1881" s="1027"/>
      <c r="I1881" s="1174"/>
      <c r="J1881" s="1174"/>
      <c r="K1881" s="1174"/>
      <c r="L1881" s="1172"/>
      <c r="M1881" s="1172"/>
      <c r="N1881" s="1175"/>
      <c r="O1881" s="143"/>
      <c r="P1881" s="1196"/>
      <c r="Q1881" s="141"/>
      <c r="R1881" s="141"/>
      <c r="S1881" s="148"/>
      <c r="T1881" s="419"/>
      <c r="U1881" s="559"/>
      <c r="V1881" s="141"/>
      <c r="W1881" s="141"/>
      <c r="X1881" s="141"/>
      <c r="Y1881" s="144"/>
      <c r="Z1881" s="141"/>
      <c r="AA1881" s="141"/>
      <c r="AB1881" s="141"/>
      <c r="AC1881" s="141"/>
      <c r="AD1881" s="141"/>
      <c r="AE1881" s="141"/>
      <c r="AF1881" s="145"/>
      <c r="AG1881" s="419"/>
    </row>
    <row r="1882" spans="1:33" s="139" customFormat="1" ht="12.75" customHeight="1" x14ac:dyDescent="0.2">
      <c r="A1882" s="141"/>
      <c r="B1882" s="141"/>
      <c r="C1882" s="141"/>
      <c r="D1882" s="141"/>
      <c r="E1882" s="1014"/>
      <c r="F1882" s="1014"/>
      <c r="G1882" s="1027"/>
      <c r="H1882" s="1027"/>
      <c r="I1882" s="1174"/>
      <c r="J1882" s="1174"/>
      <c r="K1882" s="1174"/>
      <c r="L1882" s="1172"/>
      <c r="M1882" s="1172"/>
      <c r="N1882" s="1175"/>
      <c r="O1882" s="143"/>
      <c r="P1882" s="1196"/>
      <c r="Q1882" s="141"/>
      <c r="R1882" s="141"/>
      <c r="S1882" s="148"/>
      <c r="T1882" s="419"/>
      <c r="U1882" s="559"/>
      <c r="V1882" s="141"/>
      <c r="W1882" s="141"/>
      <c r="X1882" s="141"/>
      <c r="Y1882" s="144"/>
      <c r="Z1882" s="141"/>
      <c r="AA1882" s="141"/>
      <c r="AB1882" s="141"/>
      <c r="AC1882" s="141"/>
      <c r="AD1882" s="141"/>
      <c r="AE1882" s="141"/>
      <c r="AF1882" s="145"/>
      <c r="AG1882" s="419"/>
    </row>
    <row r="1883" spans="1:33" s="139" customFormat="1" ht="12.75" customHeight="1" x14ac:dyDescent="0.2">
      <c r="A1883" s="141"/>
      <c r="B1883" s="141"/>
      <c r="C1883" s="141"/>
      <c r="D1883" s="141"/>
      <c r="E1883" s="1014"/>
      <c r="F1883" s="1014"/>
      <c r="G1883" s="1027"/>
      <c r="H1883" s="1027"/>
      <c r="I1883" s="1174"/>
      <c r="J1883" s="1174"/>
      <c r="K1883" s="1174"/>
      <c r="L1883" s="1172"/>
      <c r="M1883" s="1172"/>
      <c r="N1883" s="1175"/>
      <c r="O1883" s="143"/>
      <c r="P1883" s="1196"/>
      <c r="Q1883" s="141"/>
      <c r="R1883" s="141"/>
      <c r="S1883" s="148"/>
      <c r="T1883" s="419"/>
      <c r="U1883" s="559"/>
      <c r="V1883" s="141"/>
      <c r="W1883" s="141"/>
      <c r="X1883" s="141"/>
      <c r="Y1883" s="144"/>
      <c r="Z1883" s="141"/>
      <c r="AA1883" s="141"/>
      <c r="AB1883" s="141"/>
      <c r="AC1883" s="141"/>
      <c r="AD1883" s="141"/>
      <c r="AE1883" s="141"/>
      <c r="AF1883" s="145"/>
      <c r="AG1883" s="419"/>
    </row>
    <row r="1884" spans="1:33" s="139" customFormat="1" ht="12.75" customHeight="1" x14ac:dyDescent="0.2">
      <c r="A1884" s="141"/>
      <c r="B1884" s="141"/>
      <c r="C1884" s="141"/>
      <c r="D1884" s="141"/>
      <c r="E1884" s="1014"/>
      <c r="F1884" s="1014"/>
      <c r="G1884" s="1027"/>
      <c r="H1884" s="1027"/>
      <c r="I1884" s="1174"/>
      <c r="J1884" s="1174"/>
      <c r="K1884" s="1174"/>
      <c r="L1884" s="1172"/>
      <c r="M1884" s="1172"/>
      <c r="N1884" s="1175"/>
      <c r="O1884" s="143"/>
      <c r="P1884" s="1196"/>
      <c r="Q1884" s="141"/>
      <c r="R1884" s="141"/>
      <c r="S1884" s="148"/>
      <c r="T1884" s="419"/>
      <c r="U1884" s="559"/>
      <c r="V1884" s="141"/>
      <c r="W1884" s="141"/>
      <c r="X1884" s="141"/>
      <c r="Y1884" s="144"/>
      <c r="Z1884" s="141"/>
      <c r="AA1884" s="141"/>
      <c r="AB1884" s="141"/>
      <c r="AC1884" s="141"/>
      <c r="AD1884" s="141"/>
      <c r="AE1884" s="141"/>
      <c r="AF1884" s="145"/>
      <c r="AG1884" s="419"/>
    </row>
    <row r="1885" spans="1:33" s="139" customFormat="1" ht="12.75" customHeight="1" x14ac:dyDescent="0.2">
      <c r="A1885" s="141"/>
      <c r="B1885" s="141"/>
      <c r="C1885" s="141"/>
      <c r="D1885" s="141"/>
      <c r="E1885" s="1014"/>
      <c r="F1885" s="1014"/>
      <c r="G1885" s="1027"/>
      <c r="H1885" s="1027"/>
      <c r="I1885" s="1174"/>
      <c r="J1885" s="1174"/>
      <c r="K1885" s="1174"/>
      <c r="L1885" s="1172"/>
      <c r="M1885" s="1172"/>
      <c r="N1885" s="1175"/>
      <c r="O1885" s="143"/>
      <c r="P1885" s="1196"/>
      <c r="Q1885" s="141"/>
      <c r="R1885" s="141"/>
      <c r="S1885" s="148"/>
      <c r="T1885" s="419"/>
      <c r="U1885" s="559"/>
      <c r="V1885" s="141"/>
      <c r="W1885" s="141"/>
      <c r="X1885" s="141"/>
      <c r="Y1885" s="144"/>
      <c r="Z1885" s="141"/>
      <c r="AA1885" s="141"/>
      <c r="AB1885" s="141"/>
      <c r="AC1885" s="141"/>
      <c r="AD1885" s="141"/>
      <c r="AE1885" s="141"/>
      <c r="AF1885" s="145"/>
      <c r="AG1885" s="419"/>
    </row>
    <row r="1886" spans="1:33" s="139" customFormat="1" ht="12.75" customHeight="1" x14ac:dyDescent="0.2">
      <c r="A1886" s="141"/>
      <c r="B1886" s="141"/>
      <c r="C1886" s="141"/>
      <c r="D1886" s="141"/>
      <c r="E1886" s="1014"/>
      <c r="F1886" s="1014"/>
      <c r="G1886" s="1027"/>
      <c r="H1886" s="1027"/>
      <c r="I1886" s="1174"/>
      <c r="J1886" s="1174"/>
      <c r="K1886" s="1174"/>
      <c r="L1886" s="1172"/>
      <c r="M1886" s="1172"/>
      <c r="N1886" s="1175"/>
      <c r="O1886" s="143"/>
      <c r="P1886" s="1196"/>
      <c r="Q1886" s="141"/>
      <c r="R1886" s="141"/>
      <c r="S1886" s="148"/>
      <c r="T1886" s="419"/>
      <c r="U1886" s="559"/>
      <c r="V1886" s="141"/>
      <c r="W1886" s="141"/>
      <c r="X1886" s="141"/>
      <c r="Y1886" s="144"/>
      <c r="Z1886" s="141"/>
      <c r="AA1886" s="141"/>
      <c r="AB1886" s="141"/>
      <c r="AC1886" s="141"/>
      <c r="AD1886" s="141"/>
      <c r="AE1886" s="141"/>
      <c r="AF1886" s="145"/>
      <c r="AG1886" s="419"/>
    </row>
    <row r="1887" spans="1:33" s="139" customFormat="1" ht="12.75" customHeight="1" x14ac:dyDescent="0.2">
      <c r="A1887" s="141"/>
      <c r="B1887" s="141"/>
      <c r="C1887" s="141"/>
      <c r="D1887" s="141"/>
      <c r="E1887" s="1014"/>
      <c r="F1887" s="1014"/>
      <c r="G1887" s="1027"/>
      <c r="H1887" s="1027"/>
      <c r="I1887" s="1174"/>
      <c r="J1887" s="1174"/>
      <c r="K1887" s="1174"/>
      <c r="L1887" s="1172"/>
      <c r="M1887" s="1172"/>
      <c r="N1887" s="1175"/>
      <c r="O1887" s="143"/>
      <c r="P1887" s="1196"/>
      <c r="Q1887" s="141"/>
      <c r="R1887" s="141"/>
      <c r="S1887" s="148"/>
      <c r="T1887" s="419"/>
      <c r="U1887" s="559"/>
      <c r="V1887" s="141"/>
      <c r="W1887" s="141"/>
      <c r="X1887" s="141"/>
      <c r="Y1887" s="144"/>
      <c r="Z1887" s="141"/>
      <c r="AA1887" s="141"/>
      <c r="AB1887" s="141"/>
      <c r="AC1887" s="141"/>
      <c r="AD1887" s="141"/>
      <c r="AE1887" s="141"/>
      <c r="AF1887" s="145"/>
      <c r="AG1887" s="419"/>
    </row>
    <row r="1888" spans="1:33" s="139" customFormat="1" ht="12.75" customHeight="1" x14ac:dyDescent="0.2">
      <c r="A1888" s="141"/>
      <c r="B1888" s="141"/>
      <c r="C1888" s="141"/>
      <c r="D1888" s="141"/>
      <c r="E1888" s="1014"/>
      <c r="F1888" s="1014"/>
      <c r="G1888" s="1027"/>
      <c r="H1888" s="1027"/>
      <c r="I1888" s="1174"/>
      <c r="J1888" s="1174"/>
      <c r="K1888" s="1174"/>
      <c r="L1888" s="1172"/>
      <c r="M1888" s="1172"/>
      <c r="N1888" s="1175"/>
      <c r="O1888" s="143"/>
      <c r="P1888" s="1196"/>
      <c r="Q1888" s="141"/>
      <c r="R1888" s="141"/>
      <c r="S1888" s="148"/>
      <c r="T1888" s="419"/>
      <c r="U1888" s="559"/>
      <c r="V1888" s="141"/>
      <c r="W1888" s="141"/>
      <c r="X1888" s="141"/>
      <c r="Y1888" s="144"/>
      <c r="Z1888" s="141"/>
      <c r="AA1888" s="141"/>
      <c r="AB1888" s="141"/>
      <c r="AC1888" s="141"/>
      <c r="AD1888" s="141"/>
      <c r="AE1888" s="141"/>
      <c r="AF1888" s="145"/>
      <c r="AG1888" s="419"/>
    </row>
    <row r="1889" spans="1:33" s="139" customFormat="1" ht="12.75" customHeight="1" x14ac:dyDescent="0.2">
      <c r="A1889" s="141"/>
      <c r="B1889" s="141"/>
      <c r="C1889" s="141"/>
      <c r="D1889" s="141"/>
      <c r="E1889" s="1014"/>
      <c r="F1889" s="1014"/>
      <c r="G1889" s="1027"/>
      <c r="H1889" s="1027"/>
      <c r="I1889" s="1174"/>
      <c r="J1889" s="1174"/>
      <c r="K1889" s="1174"/>
      <c r="L1889" s="1172"/>
      <c r="M1889" s="1172"/>
      <c r="N1889" s="1175"/>
      <c r="O1889" s="143"/>
      <c r="P1889" s="1196"/>
      <c r="Q1889" s="141"/>
      <c r="R1889" s="141"/>
      <c r="S1889" s="148"/>
      <c r="T1889" s="419"/>
      <c r="U1889" s="559"/>
      <c r="V1889" s="141"/>
      <c r="W1889" s="141"/>
      <c r="X1889" s="141"/>
      <c r="Y1889" s="144"/>
      <c r="Z1889" s="141"/>
      <c r="AA1889" s="141"/>
      <c r="AB1889" s="141"/>
      <c r="AC1889" s="141"/>
      <c r="AD1889" s="141"/>
      <c r="AE1889" s="141"/>
      <c r="AF1889" s="145"/>
      <c r="AG1889" s="419"/>
    </row>
    <row r="1890" spans="1:33" s="139" customFormat="1" ht="12.75" customHeight="1" x14ac:dyDescent="0.2">
      <c r="A1890" s="141"/>
      <c r="B1890" s="141"/>
      <c r="C1890" s="141"/>
      <c r="D1890" s="141"/>
      <c r="E1890" s="1014"/>
      <c r="F1890" s="1014"/>
      <c r="G1890" s="1027"/>
      <c r="H1890" s="1027"/>
      <c r="I1890" s="1174"/>
      <c r="J1890" s="1174"/>
      <c r="K1890" s="1174"/>
      <c r="L1890" s="1172"/>
      <c r="M1890" s="1172"/>
      <c r="N1890" s="1175"/>
      <c r="O1890" s="143"/>
      <c r="P1890" s="1196"/>
      <c r="Q1890" s="141"/>
      <c r="R1890" s="141"/>
      <c r="S1890" s="148"/>
      <c r="T1890" s="419"/>
      <c r="U1890" s="559"/>
      <c r="V1890" s="141"/>
      <c r="W1890" s="141"/>
      <c r="X1890" s="141"/>
      <c r="Y1890" s="144"/>
      <c r="Z1890" s="141"/>
      <c r="AA1890" s="141"/>
      <c r="AB1890" s="141"/>
      <c r="AC1890" s="141"/>
      <c r="AD1890" s="141"/>
      <c r="AE1890" s="141"/>
      <c r="AF1890" s="145"/>
      <c r="AG1890" s="419"/>
    </row>
    <row r="1891" spans="1:33" s="139" customFormat="1" ht="12.75" customHeight="1" x14ac:dyDescent="0.2">
      <c r="A1891" s="141"/>
      <c r="B1891" s="141"/>
      <c r="C1891" s="141"/>
      <c r="D1891" s="141"/>
      <c r="E1891" s="1014"/>
      <c r="F1891" s="1014"/>
      <c r="G1891" s="1027"/>
      <c r="H1891" s="1027"/>
      <c r="I1891" s="1174"/>
      <c r="J1891" s="1174"/>
      <c r="K1891" s="1174"/>
      <c r="L1891" s="1172"/>
      <c r="M1891" s="1172"/>
      <c r="N1891" s="1175"/>
      <c r="O1891" s="143"/>
      <c r="P1891" s="1196"/>
      <c r="Q1891" s="141"/>
      <c r="R1891" s="141"/>
      <c r="S1891" s="148"/>
      <c r="T1891" s="419"/>
      <c r="U1891" s="559"/>
      <c r="V1891" s="141"/>
      <c r="W1891" s="141"/>
      <c r="X1891" s="141"/>
      <c r="Y1891" s="144"/>
      <c r="Z1891" s="141"/>
      <c r="AA1891" s="141"/>
      <c r="AB1891" s="141"/>
      <c r="AC1891" s="141"/>
      <c r="AD1891" s="141"/>
      <c r="AE1891" s="141"/>
      <c r="AF1891" s="145"/>
      <c r="AG1891" s="419"/>
    </row>
    <row r="1892" spans="1:33" s="139" customFormat="1" ht="12.75" customHeight="1" x14ac:dyDescent="0.2">
      <c r="A1892" s="141"/>
      <c r="B1892" s="141"/>
      <c r="C1892" s="141"/>
      <c r="D1892" s="141"/>
      <c r="E1892" s="1014"/>
      <c r="F1892" s="1014"/>
      <c r="G1892" s="1027"/>
      <c r="H1892" s="1027"/>
      <c r="I1892" s="1174"/>
      <c r="J1892" s="1174"/>
      <c r="K1892" s="1174"/>
      <c r="L1892" s="1172"/>
      <c r="M1892" s="1172"/>
      <c r="N1892" s="1175"/>
      <c r="O1892" s="143"/>
      <c r="P1892" s="1196"/>
      <c r="Q1892" s="141"/>
      <c r="R1892" s="141"/>
      <c r="S1892" s="148"/>
      <c r="T1892" s="419"/>
      <c r="U1892" s="559"/>
      <c r="V1892" s="141"/>
      <c r="W1892" s="141"/>
      <c r="X1892" s="141"/>
      <c r="Y1892" s="144"/>
      <c r="Z1892" s="141"/>
      <c r="AA1892" s="141"/>
      <c r="AB1892" s="141"/>
      <c r="AC1892" s="141"/>
      <c r="AD1892" s="141"/>
      <c r="AE1892" s="141"/>
      <c r="AF1892" s="145"/>
      <c r="AG1892" s="419"/>
    </row>
    <row r="1893" spans="1:33" s="139" customFormat="1" ht="12.75" customHeight="1" x14ac:dyDescent="0.2">
      <c r="A1893" s="141"/>
      <c r="B1893" s="141"/>
      <c r="C1893" s="141"/>
      <c r="D1893" s="141"/>
      <c r="E1893" s="1014"/>
      <c r="F1893" s="1014"/>
      <c r="G1893" s="1027"/>
      <c r="H1893" s="1027"/>
      <c r="I1893" s="1174"/>
      <c r="J1893" s="1174"/>
      <c r="K1893" s="1174"/>
      <c r="L1893" s="1172"/>
      <c r="M1893" s="1172"/>
      <c r="N1893" s="1175"/>
      <c r="O1893" s="143"/>
      <c r="P1893" s="1196"/>
      <c r="Q1893" s="141"/>
      <c r="R1893" s="141"/>
      <c r="S1893" s="148"/>
      <c r="T1893" s="419"/>
      <c r="U1893" s="559"/>
      <c r="V1893" s="141"/>
      <c r="W1893" s="141"/>
      <c r="X1893" s="141"/>
      <c r="Y1893" s="144"/>
      <c r="Z1893" s="141"/>
      <c r="AA1893" s="141"/>
      <c r="AB1893" s="141"/>
      <c r="AC1893" s="141"/>
      <c r="AD1893" s="141"/>
      <c r="AE1893" s="141"/>
      <c r="AF1893" s="145"/>
      <c r="AG1893" s="419"/>
    </row>
    <row r="1894" spans="1:33" s="139" customFormat="1" ht="12.75" customHeight="1" x14ac:dyDescent="0.2">
      <c r="A1894" s="141"/>
      <c r="B1894" s="141"/>
      <c r="C1894" s="141"/>
      <c r="D1894" s="141"/>
      <c r="E1894" s="1014"/>
      <c r="F1894" s="1014"/>
      <c r="G1894" s="1027"/>
      <c r="H1894" s="1027"/>
      <c r="I1894" s="1174"/>
      <c r="J1894" s="1174"/>
      <c r="K1894" s="1174"/>
      <c r="L1894" s="1172"/>
      <c r="M1894" s="1172"/>
      <c r="N1894" s="1175"/>
      <c r="O1894" s="143"/>
      <c r="P1894" s="1196"/>
      <c r="Q1894" s="141"/>
      <c r="R1894" s="141"/>
      <c r="S1894" s="148"/>
      <c r="T1894" s="419"/>
      <c r="U1894" s="559"/>
      <c r="V1894" s="141"/>
      <c r="W1894" s="141"/>
      <c r="X1894" s="141"/>
      <c r="Y1894" s="144"/>
      <c r="Z1894" s="141"/>
      <c r="AA1894" s="141"/>
      <c r="AB1894" s="141"/>
      <c r="AC1894" s="141"/>
      <c r="AD1894" s="141"/>
      <c r="AE1894" s="141"/>
      <c r="AF1894" s="145"/>
      <c r="AG1894" s="419"/>
    </row>
    <row r="1895" spans="1:33" s="139" customFormat="1" ht="12.75" customHeight="1" x14ac:dyDescent="0.2">
      <c r="A1895" s="141"/>
      <c r="B1895" s="141"/>
      <c r="C1895" s="141"/>
      <c r="D1895" s="141"/>
      <c r="E1895" s="1014"/>
      <c r="F1895" s="1014"/>
      <c r="G1895" s="1027"/>
      <c r="H1895" s="1027"/>
      <c r="I1895" s="1174"/>
      <c r="J1895" s="1174"/>
      <c r="K1895" s="1174"/>
      <c r="L1895" s="1172"/>
      <c r="M1895" s="1172"/>
      <c r="N1895" s="1175"/>
      <c r="O1895" s="143"/>
      <c r="P1895" s="1196"/>
      <c r="Q1895" s="141"/>
      <c r="R1895" s="141"/>
      <c r="S1895" s="148"/>
      <c r="T1895" s="419"/>
      <c r="U1895" s="559"/>
      <c r="V1895" s="141"/>
      <c r="W1895" s="141"/>
      <c r="X1895" s="141"/>
      <c r="Y1895" s="144"/>
      <c r="Z1895" s="141"/>
      <c r="AA1895" s="141"/>
      <c r="AB1895" s="141"/>
      <c r="AC1895" s="141"/>
      <c r="AD1895" s="141"/>
      <c r="AE1895" s="141"/>
      <c r="AF1895" s="145"/>
      <c r="AG1895" s="419"/>
    </row>
    <row r="1896" spans="1:33" s="139" customFormat="1" ht="12.75" customHeight="1" x14ac:dyDescent="0.2">
      <c r="A1896" s="141"/>
      <c r="B1896" s="141"/>
      <c r="C1896" s="141"/>
      <c r="D1896" s="141"/>
      <c r="E1896" s="1014"/>
      <c r="F1896" s="1014"/>
      <c r="G1896" s="1027"/>
      <c r="H1896" s="1027"/>
      <c r="I1896" s="1174"/>
      <c r="J1896" s="1174"/>
      <c r="K1896" s="1174"/>
      <c r="L1896" s="1172"/>
      <c r="M1896" s="1172"/>
      <c r="N1896" s="1175"/>
      <c r="O1896" s="143"/>
      <c r="P1896" s="1196"/>
      <c r="Q1896" s="141"/>
      <c r="R1896" s="141"/>
      <c r="S1896" s="148"/>
      <c r="T1896" s="419"/>
      <c r="U1896" s="559"/>
      <c r="V1896" s="141"/>
      <c r="W1896" s="141"/>
      <c r="X1896" s="141"/>
      <c r="Y1896" s="144"/>
      <c r="Z1896" s="141"/>
      <c r="AA1896" s="141"/>
      <c r="AB1896" s="141"/>
      <c r="AC1896" s="141"/>
      <c r="AD1896" s="141"/>
      <c r="AE1896" s="141"/>
      <c r="AF1896" s="145"/>
      <c r="AG1896" s="419"/>
    </row>
    <row r="1897" spans="1:33" s="139" customFormat="1" ht="12.75" customHeight="1" x14ac:dyDescent="0.2">
      <c r="A1897" s="141"/>
      <c r="B1897" s="141"/>
      <c r="C1897" s="141"/>
      <c r="D1897" s="141"/>
      <c r="E1897" s="1014"/>
      <c r="F1897" s="1014"/>
      <c r="G1897" s="1027"/>
      <c r="H1897" s="1027"/>
      <c r="I1897" s="1174"/>
      <c r="J1897" s="1174"/>
      <c r="K1897" s="1174"/>
      <c r="L1897" s="1172"/>
      <c r="M1897" s="1172"/>
      <c r="N1897" s="1175"/>
      <c r="O1897" s="143"/>
      <c r="P1897" s="1196"/>
      <c r="Q1897" s="141"/>
      <c r="R1897" s="141"/>
      <c r="S1897" s="148"/>
      <c r="T1897" s="419"/>
      <c r="U1897" s="559"/>
      <c r="V1897" s="141"/>
      <c r="W1897" s="141"/>
      <c r="X1897" s="141"/>
      <c r="Y1897" s="144"/>
      <c r="Z1897" s="141"/>
      <c r="AA1897" s="141"/>
      <c r="AB1897" s="141"/>
      <c r="AC1897" s="141"/>
      <c r="AD1897" s="141"/>
      <c r="AE1897" s="141"/>
      <c r="AF1897" s="145"/>
      <c r="AG1897" s="419"/>
    </row>
    <row r="1898" spans="1:33" s="139" customFormat="1" ht="12.75" customHeight="1" x14ac:dyDescent="0.2">
      <c r="A1898" s="141"/>
      <c r="B1898" s="141"/>
      <c r="C1898" s="141"/>
      <c r="D1898" s="141"/>
      <c r="E1898" s="1014"/>
      <c r="F1898" s="1014"/>
      <c r="G1898" s="1027"/>
      <c r="H1898" s="1027"/>
      <c r="I1898" s="1174"/>
      <c r="J1898" s="1174"/>
      <c r="K1898" s="1174"/>
      <c r="L1898" s="1172"/>
      <c r="M1898" s="1172"/>
      <c r="N1898" s="1175"/>
      <c r="O1898" s="143"/>
      <c r="P1898" s="1196"/>
      <c r="Q1898" s="141"/>
      <c r="R1898" s="141"/>
      <c r="S1898" s="148"/>
      <c r="T1898" s="419"/>
      <c r="U1898" s="559"/>
      <c r="V1898" s="141"/>
      <c r="W1898" s="141"/>
      <c r="X1898" s="141"/>
      <c r="Y1898" s="144"/>
      <c r="Z1898" s="141"/>
      <c r="AA1898" s="141"/>
      <c r="AB1898" s="141"/>
      <c r="AC1898" s="141"/>
      <c r="AD1898" s="141"/>
      <c r="AE1898" s="141"/>
      <c r="AF1898" s="145"/>
      <c r="AG1898" s="419"/>
    </row>
    <row r="1899" spans="1:33" s="139" customFormat="1" ht="12.75" customHeight="1" x14ac:dyDescent="0.2">
      <c r="A1899" s="141"/>
      <c r="B1899" s="141"/>
      <c r="C1899" s="141"/>
      <c r="D1899" s="141"/>
      <c r="E1899" s="1014"/>
      <c r="F1899" s="1014"/>
      <c r="G1899" s="1027"/>
      <c r="H1899" s="1027"/>
      <c r="I1899" s="1174"/>
      <c r="J1899" s="1174"/>
      <c r="K1899" s="1174"/>
      <c r="L1899" s="1172"/>
      <c r="M1899" s="1172"/>
      <c r="N1899" s="1175"/>
      <c r="O1899" s="143"/>
      <c r="P1899" s="1196"/>
      <c r="Q1899" s="141"/>
      <c r="R1899" s="141"/>
      <c r="S1899" s="148"/>
      <c r="T1899" s="419"/>
      <c r="U1899" s="559"/>
      <c r="V1899" s="141"/>
      <c r="W1899" s="141"/>
      <c r="X1899" s="141"/>
      <c r="Y1899" s="144"/>
      <c r="Z1899" s="141"/>
      <c r="AA1899" s="141"/>
      <c r="AB1899" s="141"/>
      <c r="AC1899" s="141"/>
      <c r="AD1899" s="141"/>
      <c r="AE1899" s="141"/>
      <c r="AF1899" s="145"/>
      <c r="AG1899" s="419"/>
    </row>
    <row r="1900" spans="1:33" s="139" customFormat="1" ht="12.75" customHeight="1" x14ac:dyDescent="0.2">
      <c r="A1900" s="141"/>
      <c r="B1900" s="141"/>
      <c r="C1900" s="141"/>
      <c r="D1900" s="141"/>
      <c r="E1900" s="1014"/>
      <c r="F1900" s="1014"/>
      <c r="G1900" s="1027"/>
      <c r="H1900" s="1027"/>
      <c r="I1900" s="1174"/>
      <c r="J1900" s="1174"/>
      <c r="K1900" s="1174"/>
      <c r="L1900" s="1172"/>
      <c r="M1900" s="1172"/>
      <c r="N1900" s="1175"/>
      <c r="O1900" s="143"/>
      <c r="P1900" s="1196"/>
      <c r="Q1900" s="141"/>
      <c r="R1900" s="141"/>
      <c r="S1900" s="148"/>
      <c r="T1900" s="419"/>
      <c r="U1900" s="559"/>
      <c r="V1900" s="141"/>
      <c r="W1900" s="141"/>
      <c r="X1900" s="141"/>
      <c r="Y1900" s="144"/>
      <c r="Z1900" s="141"/>
      <c r="AA1900" s="141"/>
      <c r="AB1900" s="141"/>
      <c r="AC1900" s="141"/>
      <c r="AD1900" s="141"/>
      <c r="AE1900" s="141"/>
      <c r="AF1900" s="145"/>
      <c r="AG1900" s="419"/>
    </row>
    <row r="1901" spans="1:33" s="139" customFormat="1" ht="12.75" customHeight="1" x14ac:dyDescent="0.2">
      <c r="A1901" s="141"/>
      <c r="B1901" s="141"/>
      <c r="C1901" s="141"/>
      <c r="D1901" s="141"/>
      <c r="E1901" s="1014"/>
      <c r="F1901" s="1014"/>
      <c r="G1901" s="1027"/>
      <c r="H1901" s="1027"/>
      <c r="I1901" s="1174"/>
      <c r="J1901" s="1174"/>
      <c r="K1901" s="1174"/>
      <c r="L1901" s="1172"/>
      <c r="M1901" s="1172"/>
      <c r="N1901" s="1175"/>
      <c r="O1901" s="143"/>
      <c r="P1901" s="1196"/>
      <c r="Q1901" s="141"/>
      <c r="R1901" s="141"/>
      <c r="S1901" s="148"/>
      <c r="T1901" s="419"/>
      <c r="U1901" s="559"/>
      <c r="V1901" s="141"/>
      <c r="W1901" s="141"/>
      <c r="X1901" s="141"/>
      <c r="Y1901" s="144"/>
      <c r="Z1901" s="141"/>
      <c r="AA1901" s="141"/>
      <c r="AB1901" s="141"/>
      <c r="AC1901" s="141"/>
      <c r="AD1901" s="141"/>
      <c r="AE1901" s="141"/>
      <c r="AF1901" s="145"/>
      <c r="AG1901" s="419"/>
    </row>
    <row r="1902" spans="1:33" s="139" customFormat="1" ht="12.75" customHeight="1" x14ac:dyDescent="0.2">
      <c r="A1902" s="141"/>
      <c r="B1902" s="141"/>
      <c r="C1902" s="141"/>
      <c r="D1902" s="141"/>
      <c r="E1902" s="1014"/>
      <c r="F1902" s="1014"/>
      <c r="G1902" s="1027"/>
      <c r="H1902" s="1027"/>
      <c r="I1902" s="1174"/>
      <c r="J1902" s="1174"/>
      <c r="K1902" s="1174"/>
      <c r="L1902" s="1172"/>
      <c r="M1902" s="1172"/>
      <c r="N1902" s="1175"/>
      <c r="O1902" s="143"/>
      <c r="P1902" s="1196"/>
      <c r="Q1902" s="141"/>
      <c r="R1902" s="141"/>
      <c r="S1902" s="148"/>
      <c r="T1902" s="419"/>
      <c r="U1902" s="559"/>
      <c r="V1902" s="141"/>
      <c r="W1902" s="141"/>
      <c r="X1902" s="141"/>
      <c r="Y1902" s="144"/>
      <c r="Z1902" s="141"/>
      <c r="AA1902" s="141"/>
      <c r="AB1902" s="141"/>
      <c r="AC1902" s="141"/>
      <c r="AD1902" s="141"/>
      <c r="AE1902" s="141"/>
      <c r="AF1902" s="145"/>
      <c r="AG1902" s="419"/>
    </row>
    <row r="1903" spans="1:33" s="139" customFormat="1" ht="12.75" customHeight="1" x14ac:dyDescent="0.2">
      <c r="A1903" s="141"/>
      <c r="B1903" s="141"/>
      <c r="C1903" s="141"/>
      <c r="D1903" s="141"/>
      <c r="E1903" s="1014"/>
      <c r="F1903" s="1014"/>
      <c r="G1903" s="1027"/>
      <c r="H1903" s="1027"/>
      <c r="I1903" s="1174"/>
      <c r="J1903" s="1174"/>
      <c r="K1903" s="1174"/>
      <c r="L1903" s="1172"/>
      <c r="M1903" s="1172"/>
      <c r="N1903" s="1175"/>
      <c r="O1903" s="143"/>
      <c r="P1903" s="1196"/>
      <c r="Q1903" s="141"/>
      <c r="R1903" s="141"/>
      <c r="S1903" s="148"/>
      <c r="T1903" s="419"/>
      <c r="U1903" s="559"/>
      <c r="V1903" s="141"/>
      <c r="W1903" s="141"/>
      <c r="X1903" s="141"/>
      <c r="Y1903" s="144"/>
      <c r="Z1903" s="141"/>
      <c r="AA1903" s="141"/>
      <c r="AB1903" s="141"/>
      <c r="AC1903" s="141"/>
      <c r="AD1903" s="141"/>
      <c r="AE1903" s="141"/>
      <c r="AF1903" s="145"/>
      <c r="AG1903" s="419"/>
    </row>
    <row r="1904" spans="1:33" s="139" customFormat="1" ht="12.75" customHeight="1" x14ac:dyDescent="0.2">
      <c r="A1904" s="141"/>
      <c r="B1904" s="141"/>
      <c r="C1904" s="141"/>
      <c r="D1904" s="141"/>
      <c r="E1904" s="1014"/>
      <c r="F1904" s="1014"/>
      <c r="G1904" s="1027"/>
      <c r="H1904" s="1027"/>
      <c r="I1904" s="1174"/>
      <c r="J1904" s="1174"/>
      <c r="K1904" s="1174"/>
      <c r="L1904" s="1172"/>
      <c r="M1904" s="1172"/>
      <c r="N1904" s="1175"/>
      <c r="O1904" s="143"/>
      <c r="P1904" s="1196"/>
      <c r="Q1904" s="141"/>
      <c r="R1904" s="141"/>
      <c r="S1904" s="148"/>
      <c r="T1904" s="419"/>
      <c r="U1904" s="559"/>
      <c r="V1904" s="141"/>
      <c r="W1904" s="141"/>
      <c r="X1904" s="141"/>
      <c r="Y1904" s="144"/>
      <c r="Z1904" s="141"/>
      <c r="AA1904" s="141"/>
      <c r="AB1904" s="141"/>
      <c r="AC1904" s="141"/>
      <c r="AD1904" s="141"/>
      <c r="AE1904" s="141"/>
      <c r="AF1904" s="145"/>
      <c r="AG1904" s="419"/>
    </row>
    <row r="1905" spans="1:33" s="139" customFormat="1" ht="12.75" customHeight="1" x14ac:dyDescent="0.2">
      <c r="A1905" s="141"/>
      <c r="B1905" s="141"/>
      <c r="C1905" s="141"/>
      <c r="D1905" s="141"/>
      <c r="E1905" s="1014"/>
      <c r="F1905" s="1014"/>
      <c r="G1905" s="1027"/>
      <c r="H1905" s="1027"/>
      <c r="I1905" s="1174"/>
      <c r="J1905" s="1174"/>
      <c r="K1905" s="1174"/>
      <c r="L1905" s="1172"/>
      <c r="M1905" s="1172"/>
      <c r="N1905" s="1175"/>
      <c r="O1905" s="143"/>
      <c r="P1905" s="1196"/>
      <c r="Q1905" s="141"/>
      <c r="R1905" s="141"/>
      <c r="S1905" s="148"/>
      <c r="T1905" s="419"/>
      <c r="U1905" s="559"/>
      <c r="V1905" s="141"/>
      <c r="W1905" s="141"/>
      <c r="X1905" s="141"/>
      <c r="Y1905" s="144"/>
      <c r="Z1905" s="141"/>
      <c r="AA1905" s="141"/>
      <c r="AB1905" s="141"/>
      <c r="AC1905" s="141"/>
      <c r="AD1905" s="141"/>
      <c r="AE1905" s="141"/>
      <c r="AF1905" s="145"/>
      <c r="AG1905" s="419"/>
    </row>
    <row r="1906" spans="1:33" s="139" customFormat="1" ht="12.75" customHeight="1" x14ac:dyDescent="0.2">
      <c r="A1906" s="141"/>
      <c r="B1906" s="141"/>
      <c r="C1906" s="141"/>
      <c r="D1906" s="141"/>
      <c r="E1906" s="1014"/>
      <c r="F1906" s="1014"/>
      <c r="G1906" s="1027"/>
      <c r="H1906" s="1027"/>
      <c r="I1906" s="1174"/>
      <c r="J1906" s="1174"/>
      <c r="K1906" s="1174"/>
      <c r="L1906" s="1172"/>
      <c r="M1906" s="1172"/>
      <c r="N1906" s="1175"/>
      <c r="O1906" s="143"/>
      <c r="P1906" s="1196"/>
      <c r="Q1906" s="141"/>
      <c r="R1906" s="141"/>
      <c r="S1906" s="148"/>
      <c r="T1906" s="419"/>
      <c r="U1906" s="559"/>
      <c r="V1906" s="141"/>
      <c r="W1906" s="141"/>
      <c r="X1906" s="141"/>
      <c r="Y1906" s="144"/>
      <c r="Z1906" s="141"/>
      <c r="AA1906" s="141"/>
      <c r="AB1906" s="141"/>
      <c r="AC1906" s="141"/>
      <c r="AD1906" s="141"/>
      <c r="AE1906" s="141"/>
      <c r="AF1906" s="145"/>
      <c r="AG1906" s="419"/>
    </row>
    <row r="1907" spans="1:33" s="139" customFormat="1" ht="12.75" customHeight="1" x14ac:dyDescent="0.2">
      <c r="A1907" s="141"/>
      <c r="B1907" s="141"/>
      <c r="C1907" s="141"/>
      <c r="D1907" s="141"/>
      <c r="E1907" s="1014"/>
      <c r="F1907" s="1014"/>
      <c r="G1907" s="1027"/>
      <c r="H1907" s="1027"/>
      <c r="I1907" s="1174"/>
      <c r="J1907" s="1174"/>
      <c r="K1907" s="1174"/>
      <c r="L1907" s="1172"/>
      <c r="M1907" s="1172"/>
      <c r="N1907" s="1175"/>
      <c r="O1907" s="143"/>
      <c r="P1907" s="1196"/>
      <c r="Q1907" s="141"/>
      <c r="R1907" s="141"/>
      <c r="S1907" s="148"/>
      <c r="T1907" s="419"/>
      <c r="U1907" s="559"/>
      <c r="V1907" s="141"/>
      <c r="W1907" s="141"/>
      <c r="X1907" s="141"/>
      <c r="Y1907" s="144"/>
      <c r="Z1907" s="141"/>
      <c r="AA1907" s="141"/>
      <c r="AB1907" s="141"/>
      <c r="AC1907" s="141"/>
      <c r="AD1907" s="141"/>
      <c r="AE1907" s="141"/>
      <c r="AF1907" s="145"/>
      <c r="AG1907" s="419"/>
    </row>
    <row r="1908" spans="1:33" s="139" customFormat="1" ht="12.75" customHeight="1" x14ac:dyDescent="0.2">
      <c r="A1908" s="141"/>
      <c r="B1908" s="141"/>
      <c r="C1908" s="141"/>
      <c r="D1908" s="141"/>
      <c r="E1908" s="1014"/>
      <c r="F1908" s="1014"/>
      <c r="G1908" s="1027"/>
      <c r="H1908" s="1027"/>
      <c r="I1908" s="1174"/>
      <c r="J1908" s="1174"/>
      <c r="K1908" s="1174"/>
      <c r="L1908" s="1172"/>
      <c r="M1908" s="1172"/>
      <c r="N1908" s="1175"/>
      <c r="O1908" s="143"/>
      <c r="P1908" s="1196"/>
      <c r="Q1908" s="141"/>
      <c r="R1908" s="141"/>
      <c r="S1908" s="148"/>
      <c r="T1908" s="419"/>
      <c r="U1908" s="559"/>
      <c r="V1908" s="141"/>
      <c r="W1908" s="141"/>
      <c r="X1908" s="141"/>
      <c r="Y1908" s="144"/>
      <c r="Z1908" s="141"/>
      <c r="AA1908" s="141"/>
      <c r="AB1908" s="141"/>
      <c r="AC1908" s="141"/>
      <c r="AD1908" s="141"/>
      <c r="AE1908" s="141"/>
      <c r="AF1908" s="145"/>
      <c r="AG1908" s="419"/>
    </row>
    <row r="1909" spans="1:33" s="139" customFormat="1" ht="12.75" customHeight="1" x14ac:dyDescent="0.2">
      <c r="A1909" s="141"/>
      <c r="B1909" s="141"/>
      <c r="C1909" s="141"/>
      <c r="D1909" s="141"/>
      <c r="E1909" s="1014"/>
      <c r="F1909" s="1014"/>
      <c r="G1909" s="1027"/>
      <c r="H1909" s="1027"/>
      <c r="I1909" s="1174"/>
      <c r="J1909" s="1174"/>
      <c r="K1909" s="1174"/>
      <c r="L1909" s="1172"/>
      <c r="M1909" s="1172"/>
      <c r="N1909" s="1175"/>
      <c r="O1909" s="143"/>
      <c r="P1909" s="1196"/>
      <c r="Q1909" s="141"/>
      <c r="R1909" s="141"/>
      <c r="S1909" s="148"/>
      <c r="T1909" s="419"/>
      <c r="U1909" s="559"/>
      <c r="V1909" s="141"/>
      <c r="W1909" s="141"/>
      <c r="X1909" s="141"/>
      <c r="Y1909" s="144"/>
      <c r="Z1909" s="141"/>
      <c r="AA1909" s="141"/>
      <c r="AB1909" s="141"/>
      <c r="AC1909" s="141"/>
      <c r="AD1909" s="141"/>
      <c r="AE1909" s="141"/>
      <c r="AF1909" s="145"/>
      <c r="AG1909" s="419"/>
    </row>
    <row r="1910" spans="1:33" s="139" customFormat="1" ht="12.75" customHeight="1" x14ac:dyDescent="0.2">
      <c r="A1910" s="141"/>
      <c r="B1910" s="141"/>
      <c r="C1910" s="141"/>
      <c r="D1910" s="141"/>
      <c r="E1910" s="1014"/>
      <c r="F1910" s="1014"/>
      <c r="G1910" s="1027"/>
      <c r="H1910" s="1027"/>
      <c r="I1910" s="1174"/>
      <c r="J1910" s="1174"/>
      <c r="K1910" s="1174"/>
      <c r="L1910" s="1172"/>
      <c r="M1910" s="1172"/>
      <c r="N1910" s="1175"/>
      <c r="O1910" s="143"/>
      <c r="P1910" s="1196"/>
      <c r="Q1910" s="141"/>
      <c r="R1910" s="141"/>
      <c r="S1910" s="148"/>
      <c r="T1910" s="419"/>
      <c r="U1910" s="559"/>
      <c r="V1910" s="141"/>
      <c r="W1910" s="141"/>
      <c r="X1910" s="141"/>
      <c r="Y1910" s="144"/>
      <c r="Z1910" s="141"/>
      <c r="AA1910" s="141"/>
      <c r="AB1910" s="141"/>
      <c r="AC1910" s="141"/>
      <c r="AD1910" s="141"/>
      <c r="AE1910" s="141"/>
      <c r="AF1910" s="145"/>
      <c r="AG1910" s="419"/>
    </row>
    <row r="1911" spans="1:33" s="139" customFormat="1" ht="12.75" customHeight="1" x14ac:dyDescent="0.2">
      <c r="A1911" s="141"/>
      <c r="B1911" s="141"/>
      <c r="C1911" s="141"/>
      <c r="D1911" s="141"/>
      <c r="E1911" s="1014"/>
      <c r="F1911" s="1014"/>
      <c r="G1911" s="1027"/>
      <c r="H1911" s="1027"/>
      <c r="I1911" s="1174"/>
      <c r="J1911" s="1174"/>
      <c r="K1911" s="1174"/>
      <c r="L1911" s="1172"/>
      <c r="M1911" s="1172"/>
      <c r="N1911" s="1175"/>
      <c r="O1911" s="143"/>
      <c r="P1911" s="1196"/>
      <c r="Q1911" s="141"/>
      <c r="R1911" s="141"/>
      <c r="S1911" s="148"/>
      <c r="T1911" s="419"/>
      <c r="U1911" s="559"/>
      <c r="V1911" s="141"/>
      <c r="W1911" s="141"/>
      <c r="X1911" s="141"/>
      <c r="Y1911" s="144"/>
      <c r="Z1911" s="141"/>
      <c r="AA1911" s="141"/>
      <c r="AB1911" s="141"/>
      <c r="AC1911" s="141"/>
      <c r="AD1911" s="141"/>
      <c r="AE1911" s="141"/>
      <c r="AF1911" s="145"/>
      <c r="AG1911" s="419"/>
    </row>
    <row r="1912" spans="1:33" s="139" customFormat="1" ht="12.75" customHeight="1" x14ac:dyDescent="0.2">
      <c r="A1912" s="141"/>
      <c r="B1912" s="141"/>
      <c r="C1912" s="141"/>
      <c r="D1912" s="141"/>
      <c r="E1912" s="1014"/>
      <c r="F1912" s="1014"/>
      <c r="G1912" s="1027"/>
      <c r="H1912" s="1027"/>
      <c r="I1912" s="1174"/>
      <c r="J1912" s="1174"/>
      <c r="K1912" s="1174"/>
      <c r="L1912" s="1172"/>
      <c r="M1912" s="1172"/>
      <c r="N1912" s="1175"/>
      <c r="O1912" s="143"/>
      <c r="P1912" s="1196"/>
      <c r="Q1912" s="141"/>
      <c r="R1912" s="141"/>
      <c r="S1912" s="148"/>
      <c r="T1912" s="419"/>
      <c r="U1912" s="559"/>
      <c r="V1912" s="141"/>
      <c r="W1912" s="141"/>
      <c r="X1912" s="141"/>
      <c r="Y1912" s="144"/>
      <c r="Z1912" s="141"/>
      <c r="AA1912" s="141"/>
      <c r="AB1912" s="141"/>
      <c r="AC1912" s="141"/>
      <c r="AD1912" s="141"/>
      <c r="AE1912" s="141"/>
      <c r="AF1912" s="145"/>
      <c r="AG1912" s="419"/>
    </row>
    <row r="1913" spans="1:33" s="139" customFormat="1" ht="12.75" customHeight="1" x14ac:dyDescent="0.2">
      <c r="A1913" s="141"/>
      <c r="B1913" s="141"/>
      <c r="C1913" s="141"/>
      <c r="D1913" s="141"/>
      <c r="E1913" s="1014"/>
      <c r="F1913" s="1014"/>
      <c r="G1913" s="1027"/>
      <c r="H1913" s="1027"/>
      <c r="I1913" s="1174"/>
      <c r="J1913" s="1174"/>
      <c r="K1913" s="1174"/>
      <c r="L1913" s="1172"/>
      <c r="M1913" s="1172"/>
      <c r="N1913" s="1175"/>
      <c r="O1913" s="143"/>
      <c r="P1913" s="1196"/>
      <c r="Q1913" s="141"/>
      <c r="R1913" s="141"/>
      <c r="S1913" s="148"/>
      <c r="T1913" s="419"/>
      <c r="U1913" s="559"/>
      <c r="V1913" s="141"/>
      <c r="W1913" s="141"/>
      <c r="X1913" s="141"/>
      <c r="Y1913" s="144"/>
      <c r="Z1913" s="141"/>
      <c r="AA1913" s="141"/>
      <c r="AB1913" s="141"/>
      <c r="AC1913" s="141"/>
      <c r="AD1913" s="141"/>
      <c r="AE1913" s="141"/>
      <c r="AF1913" s="145"/>
      <c r="AG1913" s="419"/>
    </row>
    <row r="1914" spans="1:33" s="139" customFormat="1" ht="12.75" customHeight="1" x14ac:dyDescent="0.2">
      <c r="A1914" s="141"/>
      <c r="B1914" s="141"/>
      <c r="C1914" s="141"/>
      <c r="D1914" s="141"/>
      <c r="E1914" s="1014"/>
      <c r="F1914" s="1014"/>
      <c r="G1914" s="1027"/>
      <c r="H1914" s="1027"/>
      <c r="I1914" s="1174"/>
      <c r="J1914" s="1174"/>
      <c r="K1914" s="1174"/>
      <c r="L1914" s="1172"/>
      <c r="M1914" s="1172"/>
      <c r="N1914" s="1175"/>
      <c r="O1914" s="143"/>
      <c r="P1914" s="1196"/>
      <c r="Q1914" s="141"/>
      <c r="R1914" s="141"/>
      <c r="S1914" s="148"/>
      <c r="T1914" s="419"/>
      <c r="U1914" s="559"/>
      <c r="V1914" s="141"/>
      <c r="W1914" s="141"/>
      <c r="X1914" s="141"/>
      <c r="Y1914" s="144"/>
      <c r="Z1914" s="141"/>
      <c r="AA1914" s="141"/>
      <c r="AB1914" s="141"/>
      <c r="AC1914" s="141"/>
      <c r="AD1914" s="141"/>
      <c r="AE1914" s="141"/>
      <c r="AF1914" s="145"/>
      <c r="AG1914" s="419"/>
    </row>
    <row r="1915" spans="1:33" s="139" customFormat="1" ht="12.75" customHeight="1" x14ac:dyDescent="0.2">
      <c r="A1915" s="141"/>
      <c r="B1915" s="141"/>
      <c r="C1915" s="141"/>
      <c r="D1915" s="141"/>
      <c r="E1915" s="1014"/>
      <c r="F1915" s="1014"/>
      <c r="G1915" s="1027"/>
      <c r="H1915" s="1027"/>
      <c r="I1915" s="1174"/>
      <c r="J1915" s="1174"/>
      <c r="K1915" s="1174"/>
      <c r="L1915" s="1172"/>
      <c r="M1915" s="1172"/>
      <c r="N1915" s="1175"/>
      <c r="O1915" s="143"/>
      <c r="P1915" s="1196"/>
      <c r="Q1915" s="141"/>
      <c r="R1915" s="141"/>
      <c r="S1915" s="148"/>
      <c r="T1915" s="419"/>
      <c r="U1915" s="559"/>
      <c r="V1915" s="141"/>
      <c r="W1915" s="141"/>
      <c r="X1915" s="141"/>
      <c r="Y1915" s="144"/>
      <c r="Z1915" s="141"/>
      <c r="AA1915" s="141"/>
      <c r="AB1915" s="141"/>
      <c r="AC1915" s="141"/>
      <c r="AD1915" s="141"/>
      <c r="AE1915" s="141"/>
      <c r="AF1915" s="145"/>
      <c r="AG1915" s="419"/>
    </row>
    <row r="1916" spans="1:33" s="139" customFormat="1" ht="12.75" customHeight="1" x14ac:dyDescent="0.2">
      <c r="A1916" s="141"/>
      <c r="B1916" s="141"/>
      <c r="C1916" s="141"/>
      <c r="D1916" s="141"/>
      <c r="E1916" s="1014"/>
      <c r="F1916" s="1014"/>
      <c r="G1916" s="1027"/>
      <c r="H1916" s="1027"/>
      <c r="I1916" s="1174"/>
      <c r="J1916" s="1174"/>
      <c r="K1916" s="1174"/>
      <c r="L1916" s="1172"/>
      <c r="M1916" s="1172"/>
      <c r="N1916" s="1175"/>
      <c r="O1916" s="143"/>
      <c r="P1916" s="1196"/>
      <c r="Q1916" s="141"/>
      <c r="R1916" s="141"/>
      <c r="S1916" s="148"/>
      <c r="T1916" s="419"/>
      <c r="U1916" s="559"/>
      <c r="V1916" s="141"/>
      <c r="W1916" s="141"/>
      <c r="X1916" s="141"/>
      <c r="Y1916" s="144"/>
      <c r="Z1916" s="141"/>
      <c r="AA1916" s="141"/>
      <c r="AB1916" s="141"/>
      <c r="AC1916" s="141"/>
      <c r="AD1916" s="141"/>
      <c r="AE1916" s="141"/>
      <c r="AF1916" s="145"/>
      <c r="AG1916" s="419"/>
    </row>
    <row r="1917" spans="1:33" s="139" customFormat="1" ht="12.75" customHeight="1" x14ac:dyDescent="0.2">
      <c r="A1917" s="141"/>
      <c r="B1917" s="141"/>
      <c r="C1917" s="141"/>
      <c r="D1917" s="141"/>
      <c r="E1917" s="1014"/>
      <c r="F1917" s="1014"/>
      <c r="G1917" s="1027"/>
      <c r="H1917" s="1027"/>
      <c r="I1917" s="1174"/>
      <c r="J1917" s="1174"/>
      <c r="K1917" s="1174"/>
      <c r="L1917" s="1172"/>
      <c r="M1917" s="1172"/>
      <c r="N1917" s="1175"/>
      <c r="O1917" s="143"/>
      <c r="P1917" s="1196"/>
      <c r="Q1917" s="141"/>
      <c r="R1917" s="141"/>
      <c r="S1917" s="148"/>
      <c r="T1917" s="419"/>
      <c r="U1917" s="559"/>
      <c r="V1917" s="141"/>
      <c r="W1917" s="141"/>
      <c r="X1917" s="141"/>
      <c r="Y1917" s="144"/>
      <c r="Z1917" s="141"/>
      <c r="AA1917" s="141"/>
      <c r="AB1917" s="141"/>
      <c r="AC1917" s="141"/>
      <c r="AD1917" s="141"/>
      <c r="AE1917" s="141"/>
      <c r="AF1917" s="145"/>
      <c r="AG1917" s="419"/>
    </row>
    <row r="1918" spans="1:33" s="139" customFormat="1" ht="12.75" customHeight="1" x14ac:dyDescent="0.2">
      <c r="A1918" s="141"/>
      <c r="B1918" s="141"/>
      <c r="C1918" s="141"/>
      <c r="D1918" s="141"/>
      <c r="E1918" s="1014"/>
      <c r="F1918" s="1014"/>
      <c r="G1918" s="1027"/>
      <c r="H1918" s="1027"/>
      <c r="I1918" s="1174"/>
      <c r="J1918" s="1174"/>
      <c r="K1918" s="1174"/>
      <c r="L1918" s="1172"/>
      <c r="M1918" s="1172"/>
      <c r="N1918" s="1175"/>
      <c r="O1918" s="143"/>
      <c r="P1918" s="1196"/>
      <c r="Q1918" s="141"/>
      <c r="R1918" s="141"/>
      <c r="S1918" s="148"/>
      <c r="T1918" s="419"/>
      <c r="U1918" s="559"/>
      <c r="V1918" s="141"/>
      <c r="W1918" s="141"/>
      <c r="X1918" s="141"/>
      <c r="Y1918" s="144"/>
      <c r="Z1918" s="141"/>
      <c r="AA1918" s="141"/>
      <c r="AB1918" s="141"/>
      <c r="AC1918" s="141"/>
      <c r="AD1918" s="141"/>
      <c r="AE1918" s="141"/>
      <c r="AF1918" s="145"/>
      <c r="AG1918" s="419"/>
    </row>
    <row r="1919" spans="1:33" s="139" customFormat="1" ht="12.75" customHeight="1" x14ac:dyDescent="0.2">
      <c r="A1919" s="141"/>
      <c r="B1919" s="141"/>
      <c r="C1919" s="141"/>
      <c r="D1919" s="141"/>
      <c r="E1919" s="1014"/>
      <c r="F1919" s="1014"/>
      <c r="G1919" s="1027"/>
      <c r="H1919" s="1027"/>
      <c r="I1919" s="1174"/>
      <c r="J1919" s="1174"/>
      <c r="K1919" s="1174"/>
      <c r="L1919" s="1172"/>
      <c r="M1919" s="1172"/>
      <c r="N1919" s="1175"/>
      <c r="O1919" s="143"/>
      <c r="P1919" s="1196"/>
      <c r="Q1919" s="141"/>
      <c r="R1919" s="141"/>
      <c r="S1919" s="148"/>
      <c r="T1919" s="419"/>
      <c r="U1919" s="559"/>
      <c r="V1919" s="141"/>
      <c r="W1919" s="141"/>
      <c r="X1919" s="141"/>
      <c r="Y1919" s="144"/>
      <c r="Z1919" s="141"/>
      <c r="AA1919" s="141"/>
      <c r="AB1919" s="141"/>
      <c r="AC1919" s="141"/>
      <c r="AD1919" s="141"/>
      <c r="AE1919" s="141"/>
      <c r="AF1919" s="145"/>
      <c r="AG1919" s="419"/>
    </row>
    <row r="1920" spans="1:33" s="139" customFormat="1" ht="12.75" customHeight="1" x14ac:dyDescent="0.2">
      <c r="A1920" s="141"/>
      <c r="B1920" s="141"/>
      <c r="C1920" s="141"/>
      <c r="D1920" s="141"/>
      <c r="E1920" s="1014"/>
      <c r="F1920" s="1014"/>
      <c r="G1920" s="1027"/>
      <c r="H1920" s="1027"/>
      <c r="I1920" s="1174"/>
      <c r="J1920" s="1174"/>
      <c r="K1920" s="1174"/>
      <c r="L1920" s="1172"/>
      <c r="M1920" s="1172"/>
      <c r="N1920" s="1175"/>
      <c r="O1920" s="143"/>
      <c r="P1920" s="1196"/>
      <c r="Q1920" s="141"/>
      <c r="R1920" s="141"/>
      <c r="S1920" s="148"/>
      <c r="T1920" s="419"/>
      <c r="U1920" s="559"/>
      <c r="V1920" s="141"/>
      <c r="W1920" s="141"/>
      <c r="X1920" s="141"/>
      <c r="Y1920" s="144"/>
      <c r="Z1920" s="141"/>
      <c r="AA1920" s="141"/>
      <c r="AB1920" s="141"/>
      <c r="AC1920" s="141"/>
      <c r="AD1920" s="141"/>
      <c r="AE1920" s="141"/>
      <c r="AF1920" s="145"/>
      <c r="AG1920" s="419"/>
    </row>
    <row r="1921" spans="1:33" s="139" customFormat="1" ht="12.75" customHeight="1" x14ac:dyDescent="0.2">
      <c r="A1921" s="141"/>
      <c r="B1921" s="141"/>
      <c r="C1921" s="141"/>
      <c r="D1921" s="141"/>
      <c r="E1921" s="1014"/>
      <c r="F1921" s="1014"/>
      <c r="G1921" s="1027"/>
      <c r="H1921" s="1027"/>
      <c r="I1921" s="1174"/>
      <c r="J1921" s="1174"/>
      <c r="K1921" s="1174"/>
      <c r="L1921" s="1172"/>
      <c r="M1921" s="1172"/>
      <c r="N1921" s="1175"/>
      <c r="O1921" s="143"/>
      <c r="P1921" s="1196"/>
      <c r="Q1921" s="141"/>
      <c r="R1921" s="141"/>
      <c r="S1921" s="148"/>
      <c r="T1921" s="419"/>
      <c r="U1921" s="559"/>
      <c r="V1921" s="141"/>
      <c r="W1921" s="141"/>
      <c r="X1921" s="141"/>
      <c r="Y1921" s="144"/>
      <c r="Z1921" s="141"/>
      <c r="AA1921" s="141"/>
      <c r="AB1921" s="141"/>
      <c r="AC1921" s="141"/>
      <c r="AD1921" s="141"/>
      <c r="AE1921" s="141"/>
      <c r="AF1921" s="145"/>
      <c r="AG1921" s="419"/>
    </row>
    <row r="1922" spans="1:33" s="139" customFormat="1" ht="12.75" customHeight="1" x14ac:dyDescent="0.2">
      <c r="A1922" s="141"/>
      <c r="B1922" s="141"/>
      <c r="C1922" s="141"/>
      <c r="D1922" s="141"/>
      <c r="E1922" s="1014"/>
      <c r="F1922" s="1014"/>
      <c r="G1922" s="1027"/>
      <c r="H1922" s="1027"/>
      <c r="I1922" s="1174"/>
      <c r="J1922" s="1174"/>
      <c r="K1922" s="1174"/>
      <c r="L1922" s="1172"/>
      <c r="M1922" s="1172"/>
      <c r="N1922" s="1175"/>
      <c r="O1922" s="143"/>
      <c r="P1922" s="1196"/>
      <c r="Q1922" s="141"/>
      <c r="R1922" s="141"/>
      <c r="S1922" s="148"/>
      <c r="T1922" s="419"/>
      <c r="U1922" s="559"/>
      <c r="V1922" s="141"/>
      <c r="W1922" s="141"/>
      <c r="X1922" s="141"/>
      <c r="Y1922" s="144"/>
      <c r="Z1922" s="141"/>
      <c r="AA1922" s="141"/>
      <c r="AB1922" s="141"/>
      <c r="AC1922" s="141"/>
      <c r="AD1922" s="141"/>
      <c r="AE1922" s="141"/>
      <c r="AF1922" s="145"/>
      <c r="AG1922" s="419"/>
    </row>
    <row r="1923" spans="1:33" s="139" customFormat="1" ht="12.75" customHeight="1" x14ac:dyDescent="0.2">
      <c r="A1923" s="141"/>
      <c r="B1923" s="141"/>
      <c r="C1923" s="141"/>
      <c r="D1923" s="141"/>
      <c r="E1923" s="1014"/>
      <c r="F1923" s="1014"/>
      <c r="G1923" s="1027"/>
      <c r="H1923" s="1027"/>
      <c r="I1923" s="1174"/>
      <c r="J1923" s="1174"/>
      <c r="K1923" s="1174"/>
      <c r="L1923" s="1172"/>
      <c r="M1923" s="1172"/>
      <c r="N1923" s="1175"/>
      <c r="O1923" s="143"/>
      <c r="P1923" s="1196"/>
      <c r="Q1923" s="141"/>
      <c r="R1923" s="141"/>
      <c r="S1923" s="148"/>
      <c r="T1923" s="419"/>
      <c r="U1923" s="559"/>
      <c r="V1923" s="141"/>
      <c r="W1923" s="141"/>
      <c r="X1923" s="141"/>
      <c r="Y1923" s="144"/>
      <c r="Z1923" s="141"/>
      <c r="AA1923" s="141"/>
      <c r="AB1923" s="141"/>
      <c r="AC1923" s="141"/>
      <c r="AD1923" s="141"/>
      <c r="AE1923" s="141"/>
      <c r="AF1923" s="145"/>
      <c r="AG1923" s="419"/>
    </row>
    <row r="1924" spans="1:33" s="139" customFormat="1" ht="12.75" customHeight="1" x14ac:dyDescent="0.2">
      <c r="A1924" s="141"/>
      <c r="B1924" s="141"/>
      <c r="C1924" s="141"/>
      <c r="D1924" s="141"/>
      <c r="E1924" s="1014"/>
      <c r="F1924" s="1014"/>
      <c r="G1924" s="1027"/>
      <c r="H1924" s="1027"/>
      <c r="I1924" s="1174"/>
      <c r="J1924" s="1174"/>
      <c r="K1924" s="1174"/>
      <c r="L1924" s="1172"/>
      <c r="M1924" s="1172"/>
      <c r="N1924" s="1175"/>
      <c r="O1924" s="143"/>
      <c r="P1924" s="1196"/>
      <c r="Q1924" s="141"/>
      <c r="R1924" s="141"/>
      <c r="S1924" s="148"/>
      <c r="T1924" s="419"/>
      <c r="U1924" s="559"/>
      <c r="V1924" s="141"/>
      <c r="W1924" s="141"/>
      <c r="X1924" s="141"/>
      <c r="Y1924" s="144"/>
      <c r="Z1924" s="141"/>
      <c r="AA1924" s="141"/>
      <c r="AB1924" s="141"/>
      <c r="AC1924" s="141"/>
      <c r="AD1924" s="141"/>
      <c r="AE1924" s="141"/>
      <c r="AF1924" s="145"/>
      <c r="AG1924" s="419"/>
    </row>
    <row r="1925" spans="1:33" s="139" customFormat="1" ht="12.75" customHeight="1" x14ac:dyDescent="0.2">
      <c r="A1925" s="141"/>
      <c r="B1925" s="141"/>
      <c r="C1925" s="141"/>
      <c r="D1925" s="141"/>
      <c r="E1925" s="1014"/>
      <c r="F1925" s="1014"/>
      <c r="G1925" s="1027"/>
      <c r="H1925" s="1027"/>
      <c r="I1925" s="1174"/>
      <c r="J1925" s="1174"/>
      <c r="K1925" s="1174"/>
      <c r="L1925" s="1172"/>
      <c r="M1925" s="1172"/>
      <c r="N1925" s="1175"/>
      <c r="O1925" s="143"/>
      <c r="P1925" s="1196"/>
      <c r="Q1925" s="141"/>
      <c r="R1925" s="141"/>
      <c r="S1925" s="148"/>
      <c r="T1925" s="419"/>
      <c r="U1925" s="559"/>
      <c r="V1925" s="141"/>
      <c r="W1925" s="141"/>
      <c r="X1925" s="141"/>
      <c r="Y1925" s="144"/>
      <c r="Z1925" s="141"/>
      <c r="AA1925" s="141"/>
      <c r="AB1925" s="141"/>
      <c r="AC1925" s="141"/>
      <c r="AD1925" s="141"/>
      <c r="AE1925" s="141"/>
      <c r="AF1925" s="145"/>
      <c r="AG1925" s="419"/>
    </row>
    <row r="1926" spans="1:33" s="139" customFormat="1" ht="12.75" customHeight="1" x14ac:dyDescent="0.2">
      <c r="A1926" s="141"/>
      <c r="B1926" s="141"/>
      <c r="C1926" s="141"/>
      <c r="D1926" s="141"/>
      <c r="E1926" s="1014"/>
      <c r="F1926" s="1014"/>
      <c r="G1926" s="1027"/>
      <c r="H1926" s="1027"/>
      <c r="I1926" s="1174"/>
      <c r="J1926" s="1174"/>
      <c r="K1926" s="1174"/>
      <c r="L1926" s="1172"/>
      <c r="M1926" s="1172"/>
      <c r="N1926" s="1175"/>
      <c r="O1926" s="143"/>
      <c r="P1926" s="1196"/>
      <c r="Q1926" s="141"/>
      <c r="R1926" s="141"/>
      <c r="S1926" s="148"/>
      <c r="T1926" s="419"/>
      <c r="U1926" s="559"/>
      <c r="V1926" s="141"/>
      <c r="W1926" s="141"/>
      <c r="X1926" s="141"/>
      <c r="Y1926" s="144"/>
      <c r="Z1926" s="141"/>
      <c r="AA1926" s="141"/>
      <c r="AB1926" s="141"/>
      <c r="AC1926" s="141"/>
      <c r="AD1926" s="141"/>
      <c r="AE1926" s="141"/>
      <c r="AF1926" s="145"/>
      <c r="AG1926" s="419"/>
    </row>
    <row r="1927" spans="1:33" s="139" customFormat="1" ht="12.75" customHeight="1" x14ac:dyDescent="0.2">
      <c r="A1927" s="141"/>
      <c r="B1927" s="141"/>
      <c r="C1927" s="141"/>
      <c r="D1927" s="141"/>
      <c r="E1927" s="1014"/>
      <c r="F1927" s="1014"/>
      <c r="G1927" s="1027"/>
      <c r="H1927" s="1027"/>
      <c r="I1927" s="1174"/>
      <c r="J1927" s="1174"/>
      <c r="K1927" s="1174"/>
      <c r="L1927" s="1172"/>
      <c r="M1927" s="1172"/>
      <c r="N1927" s="1175"/>
      <c r="O1927" s="143"/>
      <c r="P1927" s="1196"/>
      <c r="Q1927" s="141"/>
      <c r="R1927" s="141"/>
      <c r="S1927" s="148"/>
      <c r="T1927" s="419"/>
      <c r="U1927" s="559"/>
      <c r="V1927" s="141"/>
      <c r="W1927" s="141"/>
      <c r="X1927" s="141"/>
      <c r="Y1927" s="144"/>
      <c r="Z1927" s="141"/>
      <c r="AA1927" s="141"/>
      <c r="AB1927" s="141"/>
      <c r="AC1927" s="141"/>
      <c r="AD1927" s="141"/>
      <c r="AE1927" s="141"/>
      <c r="AF1927" s="145"/>
      <c r="AG1927" s="419"/>
    </row>
    <row r="1928" spans="1:33" s="139" customFormat="1" ht="12.75" customHeight="1" x14ac:dyDescent="0.2">
      <c r="A1928" s="141"/>
      <c r="B1928" s="141"/>
      <c r="C1928" s="141"/>
      <c r="D1928" s="141"/>
      <c r="E1928" s="1014"/>
      <c r="F1928" s="1014"/>
      <c r="G1928" s="1027"/>
      <c r="H1928" s="1027"/>
      <c r="I1928" s="1174"/>
      <c r="J1928" s="1174"/>
      <c r="K1928" s="1174"/>
      <c r="L1928" s="1172"/>
      <c r="M1928" s="1172"/>
      <c r="N1928" s="1175"/>
      <c r="O1928" s="143"/>
      <c r="P1928" s="1196"/>
      <c r="Q1928" s="141"/>
      <c r="R1928" s="141"/>
      <c r="S1928" s="148"/>
      <c r="T1928" s="419"/>
      <c r="U1928" s="559"/>
      <c r="V1928" s="141"/>
      <c r="W1928" s="141"/>
      <c r="X1928" s="141"/>
      <c r="Y1928" s="144"/>
      <c r="Z1928" s="141"/>
      <c r="AA1928" s="141"/>
      <c r="AB1928" s="141"/>
      <c r="AC1928" s="141"/>
      <c r="AD1928" s="141"/>
      <c r="AE1928" s="141"/>
      <c r="AF1928" s="145"/>
      <c r="AG1928" s="419"/>
    </row>
    <row r="1929" spans="1:33" s="139" customFormat="1" ht="12.75" customHeight="1" x14ac:dyDescent="0.2">
      <c r="A1929" s="141"/>
      <c r="B1929" s="141"/>
      <c r="C1929" s="141"/>
      <c r="D1929" s="141"/>
      <c r="E1929" s="1014"/>
      <c r="F1929" s="1014"/>
      <c r="G1929" s="1027"/>
      <c r="H1929" s="1027"/>
      <c r="I1929" s="1174"/>
      <c r="J1929" s="1174"/>
      <c r="K1929" s="1174"/>
      <c r="L1929" s="1172"/>
      <c r="M1929" s="1172"/>
      <c r="N1929" s="1175"/>
      <c r="O1929" s="143"/>
      <c r="P1929" s="1196"/>
      <c r="Q1929" s="141"/>
      <c r="R1929" s="141"/>
      <c r="S1929" s="148"/>
      <c r="T1929" s="419"/>
      <c r="U1929" s="559"/>
      <c r="V1929" s="141"/>
      <c r="W1929" s="141"/>
      <c r="X1929" s="141"/>
      <c r="Y1929" s="144"/>
      <c r="Z1929" s="141"/>
      <c r="AA1929" s="141"/>
      <c r="AB1929" s="141"/>
      <c r="AC1929" s="141"/>
      <c r="AD1929" s="141"/>
      <c r="AE1929" s="141"/>
      <c r="AF1929" s="145"/>
      <c r="AG1929" s="419"/>
    </row>
    <row r="1930" spans="1:33" s="139" customFormat="1" ht="12.75" customHeight="1" x14ac:dyDescent="0.2">
      <c r="A1930" s="141"/>
      <c r="B1930" s="141"/>
      <c r="C1930" s="141"/>
      <c r="D1930" s="141"/>
      <c r="E1930" s="1014"/>
      <c r="F1930" s="1014"/>
      <c r="G1930" s="1027"/>
      <c r="H1930" s="1027"/>
      <c r="I1930" s="1174"/>
      <c r="J1930" s="1174"/>
      <c r="K1930" s="1174"/>
      <c r="L1930" s="1172"/>
      <c r="M1930" s="1172"/>
      <c r="N1930" s="1175"/>
      <c r="O1930" s="143"/>
      <c r="P1930" s="1196"/>
      <c r="Q1930" s="141"/>
      <c r="R1930" s="141"/>
      <c r="S1930" s="148"/>
      <c r="T1930" s="419"/>
      <c r="U1930" s="559"/>
      <c r="V1930" s="141"/>
      <c r="W1930" s="141"/>
      <c r="X1930" s="141"/>
      <c r="Y1930" s="144"/>
      <c r="Z1930" s="141"/>
      <c r="AA1930" s="141"/>
      <c r="AB1930" s="141"/>
      <c r="AC1930" s="141"/>
      <c r="AD1930" s="141"/>
      <c r="AE1930" s="141"/>
      <c r="AF1930" s="145"/>
      <c r="AG1930" s="419"/>
    </row>
    <row r="1931" spans="1:33" s="139" customFormat="1" ht="12.75" customHeight="1" x14ac:dyDescent="0.2">
      <c r="A1931" s="141"/>
      <c r="B1931" s="141"/>
      <c r="C1931" s="141"/>
      <c r="D1931" s="141"/>
      <c r="E1931" s="1014"/>
      <c r="F1931" s="1014"/>
      <c r="G1931" s="1027"/>
      <c r="H1931" s="1027"/>
      <c r="I1931" s="1174"/>
      <c r="J1931" s="1174"/>
      <c r="K1931" s="1174"/>
      <c r="L1931" s="1172"/>
      <c r="M1931" s="1172"/>
      <c r="N1931" s="1175"/>
      <c r="O1931" s="143"/>
      <c r="P1931" s="1196"/>
      <c r="Q1931" s="141"/>
      <c r="R1931" s="141"/>
      <c r="S1931" s="148"/>
      <c r="T1931" s="419"/>
      <c r="U1931" s="559"/>
      <c r="V1931" s="141"/>
      <c r="W1931" s="141"/>
      <c r="X1931" s="141"/>
      <c r="Y1931" s="144"/>
      <c r="Z1931" s="141"/>
      <c r="AA1931" s="141"/>
      <c r="AB1931" s="141"/>
      <c r="AC1931" s="141"/>
      <c r="AD1931" s="141"/>
      <c r="AE1931" s="141"/>
      <c r="AF1931" s="145"/>
      <c r="AG1931" s="419"/>
    </row>
    <row r="1932" spans="1:33" s="139" customFormat="1" ht="12.75" customHeight="1" x14ac:dyDescent="0.2">
      <c r="A1932" s="141"/>
      <c r="B1932" s="141"/>
      <c r="C1932" s="141"/>
      <c r="D1932" s="141"/>
      <c r="E1932" s="1014"/>
      <c r="F1932" s="1014"/>
      <c r="G1932" s="1027"/>
      <c r="H1932" s="1027"/>
      <c r="I1932" s="1174"/>
      <c r="J1932" s="1174"/>
      <c r="K1932" s="1174"/>
      <c r="L1932" s="1172"/>
      <c r="M1932" s="1172"/>
      <c r="N1932" s="1175"/>
      <c r="O1932" s="143"/>
      <c r="P1932" s="1196"/>
      <c r="Q1932" s="141"/>
      <c r="R1932" s="141"/>
      <c r="S1932" s="148"/>
      <c r="T1932" s="419"/>
      <c r="U1932" s="559"/>
      <c r="V1932" s="141"/>
      <c r="W1932" s="141"/>
      <c r="X1932" s="141"/>
      <c r="Y1932" s="144"/>
      <c r="Z1932" s="141"/>
      <c r="AA1932" s="141"/>
      <c r="AB1932" s="141"/>
      <c r="AC1932" s="141"/>
      <c r="AD1932" s="141"/>
      <c r="AE1932" s="141"/>
      <c r="AF1932" s="145"/>
      <c r="AG1932" s="419"/>
    </row>
    <row r="1933" spans="1:33" s="139" customFormat="1" ht="12.75" customHeight="1" x14ac:dyDescent="0.2">
      <c r="A1933" s="141"/>
      <c r="B1933" s="141"/>
      <c r="C1933" s="141"/>
      <c r="D1933" s="141"/>
      <c r="E1933" s="1014"/>
      <c r="F1933" s="1014"/>
      <c r="G1933" s="1027"/>
      <c r="H1933" s="1027"/>
      <c r="I1933" s="1174"/>
      <c r="J1933" s="1174"/>
      <c r="K1933" s="1174"/>
      <c r="L1933" s="1172"/>
      <c r="M1933" s="1172"/>
      <c r="N1933" s="1175"/>
      <c r="O1933" s="143"/>
      <c r="P1933" s="1196"/>
      <c r="Q1933" s="141"/>
      <c r="R1933" s="141"/>
      <c r="S1933" s="148"/>
      <c r="T1933" s="419"/>
      <c r="U1933" s="559"/>
      <c r="V1933" s="141"/>
      <c r="W1933" s="141"/>
      <c r="X1933" s="141"/>
      <c r="Y1933" s="144"/>
      <c r="Z1933" s="141"/>
      <c r="AA1933" s="141"/>
      <c r="AB1933" s="141"/>
      <c r="AC1933" s="141"/>
      <c r="AD1933" s="141"/>
      <c r="AE1933" s="141"/>
      <c r="AF1933" s="145"/>
      <c r="AG1933" s="419"/>
    </row>
    <row r="1934" spans="1:33" s="139" customFormat="1" ht="12.75" customHeight="1" x14ac:dyDescent="0.2">
      <c r="A1934" s="141"/>
      <c r="B1934" s="141"/>
      <c r="C1934" s="141"/>
      <c r="D1934" s="141"/>
      <c r="E1934" s="1014"/>
      <c r="F1934" s="1014"/>
      <c r="G1934" s="1027"/>
      <c r="H1934" s="1027"/>
      <c r="I1934" s="1174"/>
      <c r="J1934" s="1174"/>
      <c r="K1934" s="1174"/>
      <c r="L1934" s="1172"/>
      <c r="M1934" s="1172"/>
      <c r="N1934" s="1175"/>
      <c r="O1934" s="143"/>
      <c r="P1934" s="1196"/>
      <c r="Q1934" s="141"/>
      <c r="R1934" s="141"/>
      <c r="S1934" s="148"/>
      <c r="T1934" s="419"/>
      <c r="U1934" s="559"/>
      <c r="V1934" s="141"/>
      <c r="W1934" s="141"/>
      <c r="X1934" s="141"/>
      <c r="Y1934" s="144"/>
      <c r="Z1934" s="141"/>
      <c r="AA1934" s="141"/>
      <c r="AB1934" s="141"/>
      <c r="AC1934" s="141"/>
      <c r="AD1934" s="141"/>
      <c r="AE1934" s="141"/>
      <c r="AF1934" s="145"/>
      <c r="AG1934" s="419"/>
    </row>
    <row r="1935" spans="1:33" s="139" customFormat="1" ht="12.75" customHeight="1" x14ac:dyDescent="0.2">
      <c r="A1935" s="141"/>
      <c r="B1935" s="141"/>
      <c r="C1935" s="141"/>
      <c r="D1935" s="141"/>
      <c r="E1935" s="1014"/>
      <c r="F1935" s="1014"/>
      <c r="G1935" s="1027"/>
      <c r="H1935" s="1027"/>
      <c r="I1935" s="1174"/>
      <c r="J1935" s="1174"/>
      <c r="K1935" s="1174"/>
      <c r="L1935" s="1172"/>
      <c r="M1935" s="1172"/>
      <c r="N1935" s="1175"/>
      <c r="O1935" s="143"/>
      <c r="P1935" s="1196"/>
      <c r="Q1935" s="141"/>
      <c r="R1935" s="141"/>
      <c r="S1935" s="148"/>
      <c r="T1935" s="419"/>
      <c r="U1935" s="559"/>
      <c r="V1935" s="141"/>
      <c r="W1935" s="141"/>
      <c r="X1935" s="141"/>
      <c r="Y1935" s="144"/>
      <c r="Z1935" s="141"/>
      <c r="AA1935" s="141"/>
      <c r="AB1935" s="141"/>
      <c r="AC1935" s="141"/>
      <c r="AD1935" s="141"/>
      <c r="AE1935" s="141"/>
      <c r="AF1935" s="145"/>
      <c r="AG1935" s="419"/>
    </row>
    <row r="1936" spans="1:33" s="139" customFormat="1" ht="12.75" customHeight="1" x14ac:dyDescent="0.2">
      <c r="A1936" s="141"/>
      <c r="B1936" s="141"/>
      <c r="C1936" s="141"/>
      <c r="D1936" s="141"/>
      <c r="E1936" s="1014"/>
      <c r="F1936" s="1014"/>
      <c r="G1936" s="1027"/>
      <c r="H1936" s="1027"/>
      <c r="I1936" s="1174"/>
      <c r="J1936" s="1174"/>
      <c r="K1936" s="1174"/>
      <c r="L1936" s="1172"/>
      <c r="M1936" s="1172"/>
      <c r="N1936" s="1175"/>
      <c r="O1936" s="143"/>
      <c r="P1936" s="1196"/>
      <c r="Q1936" s="141"/>
      <c r="R1936" s="141"/>
      <c r="S1936" s="148"/>
      <c r="T1936" s="419"/>
      <c r="U1936" s="559"/>
      <c r="V1936" s="141"/>
      <c r="W1936" s="141"/>
      <c r="X1936" s="141"/>
      <c r="Y1936" s="144"/>
      <c r="Z1936" s="141"/>
      <c r="AA1936" s="141"/>
      <c r="AB1936" s="141"/>
      <c r="AC1936" s="141"/>
      <c r="AD1936" s="141"/>
      <c r="AE1936" s="141"/>
      <c r="AF1936" s="145"/>
      <c r="AG1936" s="419"/>
    </row>
    <row r="1937" spans="1:33" s="139" customFormat="1" ht="12.75" customHeight="1" x14ac:dyDescent="0.2">
      <c r="A1937" s="141"/>
      <c r="B1937" s="141"/>
      <c r="C1937" s="141"/>
      <c r="D1937" s="141"/>
      <c r="E1937" s="1014"/>
      <c r="F1937" s="1014"/>
      <c r="G1937" s="1027"/>
      <c r="H1937" s="1027"/>
      <c r="I1937" s="1174"/>
      <c r="J1937" s="1174"/>
      <c r="K1937" s="1174"/>
      <c r="L1937" s="1172"/>
      <c r="M1937" s="1172"/>
      <c r="N1937" s="1175"/>
      <c r="O1937" s="143"/>
      <c r="P1937" s="1196"/>
      <c r="Q1937" s="141"/>
      <c r="R1937" s="141"/>
      <c r="S1937" s="148"/>
      <c r="T1937" s="419"/>
      <c r="U1937" s="559"/>
      <c r="V1937" s="141"/>
      <c r="W1937" s="141"/>
      <c r="X1937" s="141"/>
      <c r="Y1937" s="144"/>
      <c r="Z1937" s="141"/>
      <c r="AA1937" s="141"/>
      <c r="AB1937" s="141"/>
      <c r="AC1937" s="141"/>
      <c r="AD1937" s="141"/>
      <c r="AE1937" s="141"/>
      <c r="AF1937" s="145"/>
      <c r="AG1937" s="419"/>
    </row>
    <row r="1938" spans="1:33" s="139" customFormat="1" ht="12.75" customHeight="1" x14ac:dyDescent="0.2">
      <c r="A1938" s="141"/>
      <c r="B1938" s="141"/>
      <c r="C1938" s="141"/>
      <c r="D1938" s="141"/>
      <c r="E1938" s="1014"/>
      <c r="F1938" s="1014"/>
      <c r="G1938" s="1027"/>
      <c r="H1938" s="1027"/>
      <c r="I1938" s="1174"/>
      <c r="J1938" s="1174"/>
      <c r="K1938" s="1174"/>
      <c r="L1938" s="1172"/>
      <c r="M1938" s="1172"/>
      <c r="N1938" s="1175"/>
      <c r="O1938" s="143"/>
      <c r="P1938" s="1196"/>
      <c r="Q1938" s="141"/>
      <c r="R1938" s="141"/>
      <c r="S1938" s="148"/>
      <c r="T1938" s="419"/>
      <c r="U1938" s="559"/>
      <c r="V1938" s="141"/>
      <c r="W1938" s="141"/>
      <c r="X1938" s="141"/>
      <c r="Y1938" s="144"/>
      <c r="Z1938" s="141"/>
      <c r="AA1938" s="141"/>
      <c r="AB1938" s="141"/>
      <c r="AC1938" s="141"/>
      <c r="AD1938" s="141"/>
      <c r="AE1938" s="141"/>
      <c r="AF1938" s="145"/>
      <c r="AG1938" s="419"/>
    </row>
    <row r="1939" spans="1:33" s="139" customFormat="1" ht="12.75" customHeight="1" x14ac:dyDescent="0.2">
      <c r="A1939" s="141"/>
      <c r="B1939" s="141"/>
      <c r="C1939" s="141"/>
      <c r="D1939" s="141"/>
      <c r="E1939" s="1014"/>
      <c r="F1939" s="1014"/>
      <c r="G1939" s="1027"/>
      <c r="H1939" s="1027"/>
      <c r="I1939" s="1174"/>
      <c r="J1939" s="1174"/>
      <c r="K1939" s="1174"/>
      <c r="L1939" s="1172"/>
      <c r="M1939" s="1172"/>
      <c r="N1939" s="1175"/>
      <c r="O1939" s="143"/>
      <c r="P1939" s="1196"/>
      <c r="Q1939" s="141"/>
      <c r="R1939" s="141"/>
      <c r="S1939" s="148"/>
      <c r="T1939" s="419"/>
      <c r="U1939" s="559"/>
      <c r="V1939" s="141"/>
      <c r="W1939" s="141"/>
      <c r="X1939" s="141"/>
      <c r="Y1939" s="144"/>
      <c r="Z1939" s="141"/>
      <c r="AA1939" s="141"/>
      <c r="AB1939" s="141"/>
      <c r="AC1939" s="141"/>
      <c r="AD1939" s="141"/>
      <c r="AE1939" s="141"/>
      <c r="AF1939" s="145"/>
      <c r="AG1939" s="419"/>
    </row>
    <row r="1940" spans="1:33" s="139" customFormat="1" ht="12.75" customHeight="1" x14ac:dyDescent="0.2">
      <c r="A1940" s="141"/>
      <c r="B1940" s="141"/>
      <c r="C1940" s="141"/>
      <c r="D1940" s="141"/>
      <c r="E1940" s="1014"/>
      <c r="F1940" s="1014"/>
      <c r="G1940" s="1027"/>
      <c r="H1940" s="1027"/>
      <c r="I1940" s="1174"/>
      <c r="J1940" s="1174"/>
      <c r="K1940" s="1174"/>
      <c r="L1940" s="1172"/>
      <c r="M1940" s="1172"/>
      <c r="N1940" s="1175"/>
      <c r="O1940" s="143"/>
      <c r="P1940" s="1196"/>
      <c r="Q1940" s="141"/>
      <c r="R1940" s="141"/>
      <c r="S1940" s="148"/>
      <c r="T1940" s="419"/>
      <c r="U1940" s="559"/>
      <c r="V1940" s="141"/>
      <c r="W1940" s="141"/>
      <c r="X1940" s="141"/>
      <c r="Y1940" s="144"/>
      <c r="Z1940" s="141"/>
      <c r="AA1940" s="141"/>
      <c r="AB1940" s="141"/>
      <c r="AC1940" s="141"/>
      <c r="AD1940" s="141"/>
      <c r="AE1940" s="141"/>
      <c r="AF1940" s="145"/>
      <c r="AG1940" s="419"/>
    </row>
    <row r="1941" spans="1:33" s="139" customFormat="1" ht="12.75" customHeight="1" x14ac:dyDescent="0.2">
      <c r="A1941" s="141"/>
      <c r="B1941" s="141"/>
      <c r="C1941" s="141"/>
      <c r="D1941" s="141"/>
      <c r="E1941" s="1014"/>
      <c r="F1941" s="1014"/>
      <c r="G1941" s="1027"/>
      <c r="H1941" s="1027"/>
      <c r="I1941" s="1174"/>
      <c r="J1941" s="1174"/>
      <c r="K1941" s="1174"/>
      <c r="L1941" s="1172"/>
      <c r="M1941" s="1172"/>
      <c r="N1941" s="1175"/>
      <c r="O1941" s="143"/>
      <c r="P1941" s="1196"/>
      <c r="Q1941" s="141"/>
      <c r="R1941" s="141"/>
      <c r="S1941" s="148"/>
      <c r="T1941" s="419"/>
      <c r="U1941" s="559"/>
      <c r="V1941" s="141"/>
      <c r="W1941" s="141"/>
      <c r="X1941" s="141"/>
      <c r="Y1941" s="144"/>
      <c r="Z1941" s="141"/>
      <c r="AA1941" s="141"/>
      <c r="AB1941" s="141"/>
      <c r="AC1941" s="141"/>
      <c r="AD1941" s="141"/>
      <c r="AE1941" s="141"/>
      <c r="AF1941" s="145"/>
      <c r="AG1941" s="419"/>
    </row>
    <row r="1942" spans="1:33" s="139" customFormat="1" ht="12.75" customHeight="1" x14ac:dyDescent="0.2">
      <c r="A1942" s="141"/>
      <c r="B1942" s="141"/>
      <c r="C1942" s="141"/>
      <c r="D1942" s="141"/>
      <c r="E1942" s="1014"/>
      <c r="F1942" s="1014"/>
      <c r="G1942" s="1027"/>
      <c r="H1942" s="1027"/>
      <c r="I1942" s="1174"/>
      <c r="J1942" s="1174"/>
      <c r="K1942" s="1174"/>
      <c r="L1942" s="1172"/>
      <c r="M1942" s="1172"/>
      <c r="N1942" s="1175"/>
      <c r="O1942" s="143"/>
      <c r="P1942" s="1196"/>
      <c r="Q1942" s="141"/>
      <c r="R1942" s="141"/>
      <c r="S1942" s="148"/>
      <c r="T1942" s="419"/>
      <c r="U1942" s="559"/>
      <c r="V1942" s="141"/>
      <c r="W1942" s="141"/>
      <c r="X1942" s="141"/>
      <c r="Y1942" s="144"/>
      <c r="Z1942" s="141"/>
      <c r="AA1942" s="141"/>
      <c r="AB1942" s="141"/>
      <c r="AC1942" s="141"/>
      <c r="AD1942" s="141"/>
      <c r="AE1942" s="141"/>
      <c r="AF1942" s="145"/>
      <c r="AG1942" s="419"/>
    </row>
    <row r="1943" spans="1:33" s="139" customFormat="1" ht="12.75" customHeight="1" x14ac:dyDescent="0.2">
      <c r="A1943" s="141"/>
      <c r="B1943" s="141"/>
      <c r="C1943" s="141"/>
      <c r="D1943" s="141"/>
      <c r="E1943" s="1014"/>
      <c r="F1943" s="1014"/>
      <c r="G1943" s="1027"/>
      <c r="H1943" s="1027"/>
      <c r="I1943" s="1174"/>
      <c r="J1943" s="1174"/>
      <c r="K1943" s="1174"/>
      <c r="L1943" s="1172"/>
      <c r="M1943" s="1172"/>
      <c r="N1943" s="1175"/>
      <c r="O1943" s="143"/>
      <c r="P1943" s="1196"/>
      <c r="Q1943" s="141"/>
      <c r="R1943" s="141"/>
      <c r="S1943" s="148"/>
      <c r="T1943" s="419"/>
      <c r="U1943" s="559"/>
      <c r="V1943" s="141"/>
      <c r="W1943" s="141"/>
      <c r="X1943" s="141"/>
      <c r="Y1943" s="144"/>
      <c r="Z1943" s="141"/>
      <c r="AA1943" s="141"/>
      <c r="AB1943" s="141"/>
      <c r="AC1943" s="141"/>
      <c r="AD1943" s="141"/>
      <c r="AE1943" s="141"/>
      <c r="AF1943" s="145"/>
      <c r="AG1943" s="419"/>
    </row>
    <row r="1944" spans="1:33" s="139" customFormat="1" ht="12.75" customHeight="1" x14ac:dyDescent="0.2">
      <c r="A1944" s="141"/>
      <c r="B1944" s="141"/>
      <c r="C1944" s="141"/>
      <c r="D1944" s="141"/>
      <c r="E1944" s="1014"/>
      <c r="F1944" s="1014"/>
      <c r="G1944" s="1027"/>
      <c r="H1944" s="1027"/>
      <c r="I1944" s="1174"/>
      <c r="J1944" s="1174"/>
      <c r="K1944" s="1174"/>
      <c r="L1944" s="1172"/>
      <c r="M1944" s="1172"/>
      <c r="N1944" s="1175"/>
      <c r="O1944" s="143"/>
      <c r="P1944" s="1196"/>
      <c r="Q1944" s="141"/>
      <c r="R1944" s="141"/>
      <c r="S1944" s="148"/>
      <c r="T1944" s="419"/>
      <c r="U1944" s="559"/>
      <c r="V1944" s="141"/>
      <c r="W1944" s="141"/>
      <c r="X1944" s="141"/>
      <c r="Y1944" s="144"/>
      <c r="Z1944" s="141"/>
      <c r="AA1944" s="141"/>
      <c r="AB1944" s="141"/>
      <c r="AC1944" s="141"/>
      <c r="AD1944" s="141"/>
      <c r="AE1944" s="141"/>
      <c r="AF1944" s="145"/>
      <c r="AG1944" s="419"/>
    </row>
    <row r="1945" spans="1:33" s="139" customFormat="1" ht="12.75" customHeight="1" x14ac:dyDescent="0.2">
      <c r="A1945" s="141"/>
      <c r="B1945" s="141"/>
      <c r="C1945" s="141"/>
      <c r="D1945" s="141"/>
      <c r="E1945" s="1014"/>
      <c r="F1945" s="1014"/>
      <c r="G1945" s="1027"/>
      <c r="H1945" s="1027"/>
      <c r="I1945" s="1174"/>
      <c r="J1945" s="1174"/>
      <c r="K1945" s="1174"/>
      <c r="L1945" s="1172"/>
      <c r="M1945" s="1172"/>
      <c r="N1945" s="1175"/>
      <c r="O1945" s="143"/>
      <c r="P1945" s="1196"/>
      <c r="Q1945" s="141"/>
      <c r="R1945" s="141"/>
      <c r="S1945" s="148"/>
      <c r="T1945" s="419"/>
      <c r="U1945" s="559"/>
      <c r="V1945" s="141"/>
      <c r="W1945" s="141"/>
      <c r="X1945" s="141"/>
      <c r="Y1945" s="144"/>
      <c r="Z1945" s="141"/>
      <c r="AA1945" s="141"/>
      <c r="AB1945" s="141"/>
      <c r="AC1945" s="141"/>
      <c r="AD1945" s="141"/>
      <c r="AE1945" s="141"/>
      <c r="AF1945" s="145"/>
      <c r="AG1945" s="419"/>
    </row>
    <row r="1946" spans="1:33" s="139" customFormat="1" ht="12.75" customHeight="1" x14ac:dyDescent="0.2">
      <c r="A1946" s="141"/>
      <c r="B1946" s="141"/>
      <c r="C1946" s="141"/>
      <c r="D1946" s="141"/>
      <c r="E1946" s="1014"/>
      <c r="F1946" s="1014"/>
      <c r="G1946" s="1027"/>
      <c r="H1946" s="1027"/>
      <c r="I1946" s="1174"/>
      <c r="J1946" s="1174"/>
      <c r="K1946" s="1174"/>
      <c r="L1946" s="1172"/>
      <c r="M1946" s="1172"/>
      <c r="N1946" s="1175"/>
      <c r="O1946" s="143"/>
      <c r="P1946" s="1196"/>
      <c r="Q1946" s="141"/>
      <c r="R1946" s="141"/>
      <c r="S1946" s="148"/>
      <c r="T1946" s="419"/>
      <c r="U1946" s="559"/>
      <c r="V1946" s="141"/>
      <c r="W1946" s="141"/>
      <c r="X1946" s="141"/>
      <c r="Y1946" s="144"/>
      <c r="Z1946" s="141"/>
      <c r="AA1946" s="141"/>
      <c r="AB1946" s="141"/>
      <c r="AC1946" s="141"/>
      <c r="AD1946" s="141"/>
      <c r="AE1946" s="141"/>
      <c r="AF1946" s="145"/>
      <c r="AG1946" s="419"/>
    </row>
    <row r="1947" spans="1:33" s="139" customFormat="1" ht="12.75" customHeight="1" x14ac:dyDescent="0.2">
      <c r="A1947" s="141"/>
      <c r="B1947" s="141"/>
      <c r="C1947" s="141"/>
      <c r="D1947" s="141"/>
      <c r="E1947" s="1014"/>
      <c r="F1947" s="1014"/>
      <c r="G1947" s="1027"/>
      <c r="H1947" s="1027"/>
      <c r="I1947" s="1174"/>
      <c r="J1947" s="1174"/>
      <c r="K1947" s="1174"/>
      <c r="L1947" s="1172"/>
      <c r="M1947" s="1172"/>
      <c r="N1947" s="1175"/>
      <c r="O1947" s="143"/>
      <c r="P1947" s="1196"/>
      <c r="Q1947" s="141"/>
      <c r="R1947" s="141"/>
      <c r="S1947" s="148"/>
      <c r="T1947" s="419"/>
      <c r="U1947" s="559"/>
      <c r="V1947" s="141"/>
      <c r="W1947" s="141"/>
      <c r="X1947" s="141"/>
      <c r="Y1947" s="144"/>
      <c r="Z1947" s="141"/>
      <c r="AA1947" s="141"/>
      <c r="AB1947" s="141"/>
      <c r="AC1947" s="141"/>
      <c r="AD1947" s="141"/>
      <c r="AE1947" s="141"/>
      <c r="AF1947" s="145"/>
      <c r="AG1947" s="419"/>
    </row>
    <row r="1948" spans="1:33" s="139" customFormat="1" ht="12.75" customHeight="1" x14ac:dyDescent="0.2">
      <c r="A1948" s="141"/>
      <c r="B1948" s="141"/>
      <c r="C1948" s="141"/>
      <c r="D1948" s="141"/>
      <c r="E1948" s="1014"/>
      <c r="F1948" s="1014"/>
      <c r="G1948" s="1027"/>
      <c r="H1948" s="1027"/>
      <c r="I1948" s="1174"/>
      <c r="J1948" s="1174"/>
      <c r="K1948" s="1174"/>
      <c r="L1948" s="1172"/>
      <c r="M1948" s="1172"/>
      <c r="N1948" s="1175"/>
      <c r="O1948" s="143"/>
      <c r="P1948" s="1196"/>
      <c r="Q1948" s="141"/>
      <c r="R1948" s="141"/>
      <c r="S1948" s="148"/>
      <c r="T1948" s="419"/>
      <c r="U1948" s="559"/>
      <c r="V1948" s="141"/>
      <c r="W1948" s="141"/>
      <c r="X1948" s="141"/>
      <c r="Y1948" s="144"/>
      <c r="Z1948" s="141"/>
      <c r="AA1948" s="141"/>
      <c r="AB1948" s="141"/>
      <c r="AC1948" s="141"/>
      <c r="AD1948" s="141"/>
      <c r="AE1948" s="141"/>
      <c r="AF1948" s="145"/>
      <c r="AG1948" s="419"/>
    </row>
    <row r="1949" spans="1:33" s="139" customFormat="1" ht="12.75" customHeight="1" x14ac:dyDescent="0.2">
      <c r="A1949" s="141"/>
      <c r="B1949" s="141"/>
      <c r="C1949" s="141"/>
      <c r="D1949" s="141"/>
      <c r="E1949" s="1014"/>
      <c r="F1949" s="1014"/>
      <c r="G1949" s="1027"/>
      <c r="H1949" s="1027"/>
      <c r="I1949" s="1174"/>
      <c r="J1949" s="1174"/>
      <c r="K1949" s="1174"/>
      <c r="L1949" s="1172"/>
      <c r="M1949" s="1172"/>
      <c r="N1949" s="1175"/>
      <c r="O1949" s="143"/>
      <c r="P1949" s="1196"/>
      <c r="Q1949" s="141"/>
      <c r="R1949" s="141"/>
      <c r="S1949" s="148"/>
      <c r="T1949" s="419"/>
      <c r="U1949" s="559"/>
      <c r="V1949" s="141"/>
      <c r="W1949" s="141"/>
      <c r="X1949" s="141"/>
      <c r="Y1949" s="144"/>
      <c r="Z1949" s="141"/>
      <c r="AA1949" s="141"/>
      <c r="AB1949" s="141"/>
      <c r="AC1949" s="141"/>
      <c r="AD1949" s="141"/>
      <c r="AE1949" s="141"/>
      <c r="AF1949" s="145"/>
      <c r="AG1949" s="419"/>
    </row>
    <row r="1950" spans="1:33" s="139" customFormat="1" ht="12.75" customHeight="1" x14ac:dyDescent="0.2">
      <c r="A1950" s="141"/>
      <c r="B1950" s="141"/>
      <c r="C1950" s="141"/>
      <c r="D1950" s="141"/>
      <c r="E1950" s="1014"/>
      <c r="F1950" s="1014"/>
      <c r="G1950" s="1027"/>
      <c r="H1950" s="1027"/>
      <c r="I1950" s="1174"/>
      <c r="J1950" s="1174"/>
      <c r="K1950" s="1174"/>
      <c r="L1950" s="1172"/>
      <c r="M1950" s="1172"/>
      <c r="N1950" s="1175"/>
      <c r="O1950" s="143"/>
      <c r="P1950" s="1196"/>
      <c r="Q1950" s="141"/>
      <c r="R1950" s="141"/>
      <c r="S1950" s="148"/>
      <c r="T1950" s="419"/>
      <c r="U1950" s="559"/>
      <c r="V1950" s="141"/>
      <c r="W1950" s="141"/>
      <c r="X1950" s="141"/>
      <c r="Y1950" s="144"/>
      <c r="Z1950" s="141"/>
      <c r="AA1950" s="141"/>
      <c r="AB1950" s="141"/>
      <c r="AC1950" s="141"/>
      <c r="AD1950" s="141"/>
      <c r="AE1950" s="141"/>
      <c r="AF1950" s="145"/>
      <c r="AG1950" s="419"/>
    </row>
    <row r="1951" spans="1:33" s="139" customFormat="1" ht="12.75" customHeight="1" x14ac:dyDescent="0.2">
      <c r="A1951" s="141"/>
      <c r="B1951" s="141"/>
      <c r="C1951" s="141"/>
      <c r="D1951" s="141"/>
      <c r="E1951" s="1014"/>
      <c r="F1951" s="1014"/>
      <c r="G1951" s="1027"/>
      <c r="H1951" s="1027"/>
      <c r="I1951" s="1174"/>
      <c r="J1951" s="1174"/>
      <c r="K1951" s="1174"/>
      <c r="L1951" s="1172"/>
      <c r="M1951" s="1172"/>
      <c r="N1951" s="1175"/>
      <c r="O1951" s="143"/>
      <c r="P1951" s="1196"/>
      <c r="Q1951" s="141"/>
      <c r="R1951" s="141"/>
      <c r="S1951" s="148"/>
      <c r="T1951" s="419"/>
      <c r="U1951" s="559"/>
      <c r="V1951" s="141"/>
      <c r="W1951" s="141"/>
      <c r="X1951" s="141"/>
      <c r="Y1951" s="144"/>
      <c r="Z1951" s="141"/>
      <c r="AA1951" s="141"/>
      <c r="AB1951" s="141"/>
      <c r="AC1951" s="141"/>
      <c r="AD1951" s="141"/>
      <c r="AE1951" s="141"/>
      <c r="AF1951" s="145"/>
      <c r="AG1951" s="419"/>
    </row>
    <row r="1952" spans="1:33" s="139" customFormat="1" ht="12.75" customHeight="1" x14ac:dyDescent="0.2">
      <c r="A1952" s="141"/>
      <c r="B1952" s="141"/>
      <c r="C1952" s="141"/>
      <c r="D1952" s="141"/>
      <c r="E1952" s="1014"/>
      <c r="F1952" s="1014"/>
      <c r="G1952" s="1027"/>
      <c r="H1952" s="1027"/>
      <c r="I1952" s="1174"/>
      <c r="J1952" s="1174"/>
      <c r="K1952" s="1174"/>
      <c r="L1952" s="1172"/>
      <c r="M1952" s="1172"/>
      <c r="N1952" s="1175"/>
      <c r="O1952" s="143"/>
      <c r="P1952" s="1196"/>
      <c r="Q1952" s="141"/>
      <c r="R1952" s="141"/>
      <c r="S1952" s="148"/>
      <c r="T1952" s="419"/>
      <c r="U1952" s="559"/>
      <c r="V1952" s="141"/>
      <c r="W1952" s="141"/>
      <c r="X1952" s="141"/>
      <c r="Y1952" s="144"/>
      <c r="Z1952" s="141"/>
      <c r="AA1952" s="141"/>
      <c r="AB1952" s="141"/>
      <c r="AC1952" s="141"/>
      <c r="AD1952" s="141"/>
      <c r="AE1952" s="141"/>
      <c r="AF1952" s="145"/>
      <c r="AG1952" s="419"/>
    </row>
    <row r="1953" spans="1:33" s="139" customFormat="1" ht="12.75" customHeight="1" x14ac:dyDescent="0.2">
      <c r="A1953" s="141"/>
      <c r="B1953" s="141"/>
      <c r="C1953" s="141"/>
      <c r="D1953" s="141"/>
      <c r="E1953" s="1014"/>
      <c r="F1953" s="1014"/>
      <c r="G1953" s="1027"/>
      <c r="H1953" s="1027"/>
      <c r="I1953" s="1174"/>
      <c r="J1953" s="1174"/>
      <c r="K1953" s="1174"/>
      <c r="L1953" s="1172"/>
      <c r="M1953" s="1172"/>
      <c r="N1953" s="1175"/>
      <c r="O1953" s="143"/>
      <c r="P1953" s="1196"/>
      <c r="Q1953" s="141"/>
      <c r="R1953" s="141"/>
      <c r="S1953" s="148"/>
      <c r="T1953" s="419"/>
      <c r="U1953" s="559"/>
      <c r="V1953" s="141"/>
      <c r="W1953" s="141"/>
      <c r="X1953" s="141"/>
      <c r="Y1953" s="144"/>
      <c r="Z1953" s="141"/>
      <c r="AA1953" s="141"/>
      <c r="AB1953" s="141"/>
      <c r="AC1953" s="141"/>
      <c r="AD1953" s="141"/>
      <c r="AE1953" s="141"/>
      <c r="AF1953" s="145"/>
      <c r="AG1953" s="419"/>
    </row>
    <row r="1954" spans="1:33" s="139" customFormat="1" ht="12.75" customHeight="1" x14ac:dyDescent="0.2">
      <c r="A1954" s="141"/>
      <c r="B1954" s="141"/>
      <c r="C1954" s="141"/>
      <c r="D1954" s="141"/>
      <c r="E1954" s="1014"/>
      <c r="F1954" s="1014"/>
      <c r="G1954" s="1027"/>
      <c r="H1954" s="1027"/>
      <c r="I1954" s="1174"/>
      <c r="J1954" s="1174"/>
      <c r="K1954" s="1174"/>
      <c r="L1954" s="1172"/>
      <c r="M1954" s="1172"/>
      <c r="N1954" s="1175"/>
      <c r="O1954" s="143"/>
      <c r="P1954" s="1196"/>
      <c r="Q1954" s="141"/>
      <c r="R1954" s="141"/>
      <c r="S1954" s="148"/>
      <c r="T1954" s="419"/>
      <c r="U1954" s="559"/>
      <c r="V1954" s="141"/>
      <c r="W1954" s="141"/>
      <c r="X1954" s="141"/>
      <c r="Y1954" s="144"/>
      <c r="Z1954" s="141"/>
      <c r="AA1954" s="141"/>
      <c r="AB1954" s="141"/>
      <c r="AC1954" s="141"/>
      <c r="AD1954" s="141"/>
      <c r="AE1954" s="141"/>
      <c r="AF1954" s="145"/>
      <c r="AG1954" s="419"/>
    </row>
    <row r="1955" spans="1:33" s="139" customFormat="1" ht="12.75" customHeight="1" x14ac:dyDescent="0.2">
      <c r="A1955" s="141"/>
      <c r="B1955" s="141"/>
      <c r="C1955" s="141"/>
      <c r="D1955" s="141"/>
      <c r="E1955" s="1014"/>
      <c r="F1955" s="1014"/>
      <c r="G1955" s="1027"/>
      <c r="H1955" s="1027"/>
      <c r="I1955" s="1174"/>
      <c r="J1955" s="1174"/>
      <c r="K1955" s="1174"/>
      <c r="L1955" s="1172"/>
      <c r="M1955" s="1172"/>
      <c r="N1955" s="1175"/>
      <c r="O1955" s="143"/>
      <c r="P1955" s="1196"/>
      <c r="Q1955" s="141"/>
      <c r="R1955" s="141"/>
      <c r="S1955" s="148"/>
      <c r="T1955" s="419"/>
      <c r="U1955" s="559"/>
      <c r="V1955" s="141"/>
      <c r="W1955" s="141"/>
      <c r="X1955" s="141"/>
      <c r="Y1955" s="144"/>
      <c r="Z1955" s="141"/>
      <c r="AA1955" s="141"/>
      <c r="AB1955" s="141"/>
      <c r="AC1955" s="141"/>
      <c r="AD1955" s="141"/>
      <c r="AE1955" s="141"/>
      <c r="AF1955" s="145"/>
      <c r="AG1955" s="419"/>
    </row>
    <row r="1956" spans="1:33" s="139" customFormat="1" ht="12.75" customHeight="1" x14ac:dyDescent="0.2">
      <c r="A1956" s="141"/>
      <c r="B1956" s="141"/>
      <c r="C1956" s="141"/>
      <c r="D1956" s="141"/>
      <c r="E1956" s="1014"/>
      <c r="F1956" s="1014"/>
      <c r="G1956" s="1027"/>
      <c r="H1956" s="1027"/>
      <c r="I1956" s="1174"/>
      <c r="J1956" s="1174"/>
      <c r="K1956" s="1174"/>
      <c r="L1956" s="1172"/>
      <c r="M1956" s="1172"/>
      <c r="N1956" s="1175"/>
      <c r="O1956" s="143"/>
      <c r="P1956" s="1196"/>
      <c r="Q1956" s="141"/>
      <c r="R1956" s="141"/>
      <c r="S1956" s="148"/>
      <c r="T1956" s="419"/>
      <c r="U1956" s="559"/>
      <c r="V1956" s="141"/>
      <c r="W1956" s="141"/>
      <c r="X1956" s="141"/>
      <c r="Y1956" s="144"/>
      <c r="Z1956" s="141"/>
      <c r="AA1956" s="141"/>
      <c r="AB1956" s="141"/>
      <c r="AC1956" s="141"/>
      <c r="AD1956" s="141"/>
      <c r="AE1956" s="141"/>
      <c r="AF1956" s="145"/>
      <c r="AG1956" s="419"/>
    </row>
    <row r="1957" spans="1:33" s="139" customFormat="1" ht="12.75" customHeight="1" x14ac:dyDescent="0.2">
      <c r="A1957" s="141"/>
      <c r="B1957" s="141"/>
      <c r="C1957" s="141"/>
      <c r="D1957" s="141"/>
      <c r="E1957" s="1014"/>
      <c r="F1957" s="1014"/>
      <c r="G1957" s="1027"/>
      <c r="H1957" s="1027"/>
      <c r="I1957" s="1174"/>
      <c r="J1957" s="1174"/>
      <c r="K1957" s="1174"/>
      <c r="L1957" s="1172"/>
      <c r="M1957" s="1172"/>
      <c r="N1957" s="1175"/>
      <c r="O1957" s="143"/>
      <c r="P1957" s="1196"/>
      <c r="Q1957" s="141"/>
      <c r="R1957" s="141"/>
      <c r="S1957" s="148"/>
      <c r="T1957" s="419"/>
      <c r="U1957" s="559"/>
      <c r="V1957" s="141"/>
      <c r="W1957" s="141"/>
      <c r="X1957" s="141"/>
      <c r="Y1957" s="144"/>
      <c r="Z1957" s="141"/>
      <c r="AA1957" s="141"/>
      <c r="AB1957" s="141"/>
      <c r="AC1957" s="141"/>
      <c r="AD1957" s="141"/>
      <c r="AE1957" s="141"/>
      <c r="AF1957" s="145"/>
      <c r="AG1957" s="419"/>
    </row>
    <row r="1958" spans="1:33" s="139" customFormat="1" ht="12.75" customHeight="1" x14ac:dyDescent="0.2">
      <c r="A1958" s="141"/>
      <c r="B1958" s="141"/>
      <c r="C1958" s="141"/>
      <c r="D1958" s="141"/>
      <c r="E1958" s="1014"/>
      <c r="F1958" s="1014"/>
      <c r="G1958" s="1027"/>
      <c r="H1958" s="1027"/>
      <c r="I1958" s="1174"/>
      <c r="J1958" s="1174"/>
      <c r="K1958" s="1174"/>
      <c r="L1958" s="1172"/>
      <c r="M1958" s="1172"/>
      <c r="N1958" s="1175"/>
      <c r="O1958" s="143"/>
      <c r="P1958" s="1196"/>
      <c r="Q1958" s="141"/>
      <c r="R1958" s="141"/>
      <c r="S1958" s="148"/>
      <c r="T1958" s="419"/>
      <c r="U1958" s="559"/>
      <c r="V1958" s="141"/>
      <c r="W1958" s="141"/>
      <c r="X1958" s="141"/>
      <c r="Y1958" s="144"/>
      <c r="Z1958" s="141"/>
      <c r="AA1958" s="141"/>
      <c r="AB1958" s="141"/>
      <c r="AC1958" s="141"/>
      <c r="AD1958" s="141"/>
      <c r="AE1958" s="141"/>
      <c r="AF1958" s="145"/>
      <c r="AG1958" s="419"/>
    </row>
    <row r="1959" spans="1:33" s="139" customFormat="1" ht="12.75" customHeight="1" x14ac:dyDescent="0.2">
      <c r="A1959" s="141"/>
      <c r="B1959" s="141"/>
      <c r="C1959" s="141"/>
      <c r="D1959" s="141"/>
      <c r="E1959" s="1014"/>
      <c r="F1959" s="1014"/>
      <c r="G1959" s="1027"/>
      <c r="H1959" s="1027"/>
      <c r="I1959" s="1174"/>
      <c r="J1959" s="1174"/>
      <c r="K1959" s="1174"/>
      <c r="L1959" s="1172"/>
      <c r="M1959" s="1172"/>
      <c r="N1959" s="1175"/>
      <c r="O1959" s="143"/>
      <c r="P1959" s="1196"/>
      <c r="Q1959" s="141"/>
      <c r="R1959" s="141"/>
      <c r="S1959" s="148"/>
      <c r="T1959" s="419"/>
      <c r="U1959" s="559"/>
      <c r="V1959" s="141"/>
      <c r="W1959" s="141"/>
      <c r="X1959" s="141"/>
      <c r="Y1959" s="144"/>
      <c r="Z1959" s="141"/>
      <c r="AA1959" s="141"/>
      <c r="AB1959" s="141"/>
      <c r="AC1959" s="141"/>
      <c r="AD1959" s="141"/>
      <c r="AE1959" s="141"/>
      <c r="AF1959" s="145"/>
      <c r="AG1959" s="419"/>
    </row>
    <row r="1960" spans="1:33" s="139" customFormat="1" ht="12.75" customHeight="1" x14ac:dyDescent="0.2">
      <c r="A1960" s="141"/>
      <c r="B1960" s="141"/>
      <c r="C1960" s="141"/>
      <c r="D1960" s="141"/>
      <c r="E1960" s="1014"/>
      <c r="F1960" s="1014"/>
      <c r="G1960" s="1027"/>
      <c r="H1960" s="1027"/>
      <c r="I1960" s="1174"/>
      <c r="J1960" s="1174"/>
      <c r="K1960" s="1174"/>
      <c r="L1960" s="1172"/>
      <c r="M1960" s="1172"/>
      <c r="N1960" s="1175"/>
      <c r="O1960" s="143"/>
      <c r="P1960" s="1196"/>
      <c r="Q1960" s="141"/>
      <c r="R1960" s="141"/>
      <c r="S1960" s="148"/>
      <c r="T1960" s="419"/>
      <c r="U1960" s="559"/>
      <c r="V1960" s="141"/>
      <c r="W1960" s="141"/>
      <c r="X1960" s="141"/>
      <c r="Y1960" s="144"/>
      <c r="Z1960" s="141"/>
      <c r="AA1960" s="141"/>
      <c r="AB1960" s="141"/>
      <c r="AC1960" s="141"/>
      <c r="AD1960" s="141"/>
      <c r="AE1960" s="141"/>
      <c r="AF1960" s="145"/>
      <c r="AG1960" s="419"/>
    </row>
    <row r="1961" spans="1:33" s="139" customFormat="1" ht="12.75" customHeight="1" x14ac:dyDescent="0.2">
      <c r="A1961" s="141"/>
      <c r="B1961" s="141"/>
      <c r="C1961" s="141"/>
      <c r="D1961" s="141"/>
      <c r="E1961" s="1014"/>
      <c r="F1961" s="1014"/>
      <c r="G1961" s="1027"/>
      <c r="H1961" s="1027"/>
      <c r="I1961" s="1174"/>
      <c r="J1961" s="1174"/>
      <c r="K1961" s="1174"/>
      <c r="L1961" s="1172"/>
      <c r="M1961" s="1172"/>
      <c r="N1961" s="1175"/>
      <c r="O1961" s="143"/>
      <c r="P1961" s="1196"/>
      <c r="Q1961" s="141"/>
      <c r="R1961" s="141"/>
      <c r="S1961" s="148"/>
      <c r="T1961" s="419"/>
      <c r="U1961" s="559"/>
      <c r="V1961" s="141"/>
      <c r="W1961" s="141"/>
      <c r="X1961" s="141"/>
      <c r="Y1961" s="144"/>
      <c r="Z1961" s="141"/>
      <c r="AA1961" s="141"/>
      <c r="AB1961" s="141"/>
      <c r="AC1961" s="141"/>
      <c r="AD1961" s="141"/>
      <c r="AE1961" s="141"/>
      <c r="AF1961" s="145"/>
      <c r="AG1961" s="419"/>
    </row>
    <row r="1962" spans="1:33" s="139" customFormat="1" ht="12.75" customHeight="1" x14ac:dyDescent="0.2">
      <c r="A1962" s="141"/>
      <c r="B1962" s="141"/>
      <c r="C1962" s="141"/>
      <c r="D1962" s="141"/>
      <c r="E1962" s="1014"/>
      <c r="F1962" s="1014"/>
      <c r="G1962" s="1027"/>
      <c r="H1962" s="1027"/>
      <c r="I1962" s="1174"/>
      <c r="J1962" s="1174"/>
      <c r="K1962" s="1174"/>
      <c r="L1962" s="1172"/>
      <c r="M1962" s="1172"/>
      <c r="N1962" s="1175"/>
      <c r="O1962" s="143"/>
      <c r="P1962" s="1196"/>
      <c r="Q1962" s="141"/>
      <c r="R1962" s="141"/>
      <c r="S1962" s="148"/>
      <c r="T1962" s="419"/>
      <c r="U1962" s="559"/>
      <c r="V1962" s="141"/>
      <c r="W1962" s="141"/>
      <c r="X1962" s="141"/>
      <c r="Y1962" s="144"/>
      <c r="Z1962" s="141"/>
      <c r="AA1962" s="141"/>
      <c r="AB1962" s="141"/>
      <c r="AC1962" s="141"/>
      <c r="AD1962" s="141"/>
      <c r="AE1962" s="141"/>
      <c r="AF1962" s="145"/>
      <c r="AG1962" s="419"/>
    </row>
    <row r="1963" spans="1:33" s="139" customFormat="1" ht="12.75" customHeight="1" x14ac:dyDescent="0.2">
      <c r="A1963" s="141"/>
      <c r="B1963" s="141"/>
      <c r="C1963" s="141"/>
      <c r="D1963" s="141"/>
      <c r="E1963" s="1014"/>
      <c r="F1963" s="1014"/>
      <c r="G1963" s="1027"/>
      <c r="H1963" s="1027"/>
      <c r="I1963" s="1174"/>
      <c r="J1963" s="1174"/>
      <c r="K1963" s="1174"/>
      <c r="L1963" s="1172"/>
      <c r="M1963" s="1172"/>
      <c r="N1963" s="1175"/>
      <c r="O1963" s="143"/>
      <c r="P1963" s="1196"/>
      <c r="Q1963" s="141"/>
      <c r="R1963" s="141"/>
      <c r="S1963" s="148"/>
      <c r="T1963" s="419"/>
      <c r="U1963" s="559"/>
      <c r="V1963" s="141"/>
      <c r="W1963" s="141"/>
      <c r="X1963" s="141"/>
      <c r="Y1963" s="144"/>
      <c r="Z1963" s="141"/>
      <c r="AA1963" s="141"/>
      <c r="AB1963" s="141"/>
      <c r="AC1963" s="141"/>
      <c r="AD1963" s="141"/>
      <c r="AE1963" s="141"/>
      <c r="AF1963" s="145"/>
      <c r="AG1963" s="419"/>
    </row>
    <row r="1964" spans="1:33" s="139" customFormat="1" ht="12.75" customHeight="1" x14ac:dyDescent="0.2">
      <c r="A1964" s="141"/>
      <c r="B1964" s="141"/>
      <c r="C1964" s="141"/>
      <c r="D1964" s="141"/>
      <c r="E1964" s="1014"/>
      <c r="F1964" s="1014"/>
      <c r="G1964" s="1027"/>
      <c r="H1964" s="1027"/>
      <c r="I1964" s="1174"/>
      <c r="J1964" s="1174"/>
      <c r="K1964" s="1174"/>
      <c r="L1964" s="1172"/>
      <c r="M1964" s="1172"/>
      <c r="N1964" s="1175"/>
      <c r="O1964" s="143"/>
      <c r="P1964" s="1196"/>
      <c r="Q1964" s="141"/>
      <c r="R1964" s="141"/>
      <c r="S1964" s="148"/>
      <c r="T1964" s="419"/>
      <c r="U1964" s="559"/>
      <c r="V1964" s="141"/>
      <c r="W1964" s="141"/>
      <c r="X1964" s="141"/>
      <c r="Y1964" s="144"/>
      <c r="Z1964" s="141"/>
      <c r="AA1964" s="141"/>
      <c r="AB1964" s="141"/>
      <c r="AC1964" s="141"/>
      <c r="AD1964" s="141"/>
      <c r="AE1964" s="141"/>
      <c r="AF1964" s="145"/>
      <c r="AG1964" s="419"/>
    </row>
    <row r="1965" spans="1:33" s="139" customFormat="1" ht="12.75" customHeight="1" x14ac:dyDescent="0.2">
      <c r="A1965" s="141"/>
      <c r="B1965" s="141"/>
      <c r="C1965" s="141"/>
      <c r="D1965" s="141"/>
      <c r="E1965" s="1014"/>
      <c r="F1965" s="1014"/>
      <c r="G1965" s="1027"/>
      <c r="H1965" s="1027"/>
      <c r="I1965" s="1174"/>
      <c r="J1965" s="1174"/>
      <c r="K1965" s="1174"/>
      <c r="L1965" s="1172"/>
      <c r="M1965" s="1172"/>
      <c r="N1965" s="1175"/>
      <c r="O1965" s="143"/>
      <c r="P1965" s="1196"/>
      <c r="Q1965" s="141"/>
      <c r="R1965" s="141"/>
      <c r="S1965" s="148"/>
      <c r="T1965" s="419"/>
      <c r="U1965" s="559"/>
      <c r="V1965" s="141"/>
      <c r="W1965" s="141"/>
      <c r="X1965" s="141"/>
      <c r="Y1965" s="144"/>
      <c r="Z1965" s="141"/>
      <c r="AA1965" s="141"/>
      <c r="AB1965" s="141"/>
      <c r="AC1965" s="141"/>
      <c r="AD1965" s="141"/>
      <c r="AE1965" s="141"/>
      <c r="AF1965" s="145"/>
      <c r="AG1965" s="419"/>
    </row>
    <row r="1966" spans="1:33" s="139" customFormat="1" ht="12.75" customHeight="1" x14ac:dyDescent="0.2">
      <c r="A1966" s="141"/>
      <c r="B1966" s="141"/>
      <c r="C1966" s="141"/>
      <c r="D1966" s="141"/>
      <c r="E1966" s="1014"/>
      <c r="F1966" s="1014"/>
      <c r="G1966" s="1027"/>
      <c r="H1966" s="1027"/>
      <c r="I1966" s="1174"/>
      <c r="J1966" s="1174"/>
      <c r="K1966" s="1174"/>
      <c r="L1966" s="1172"/>
      <c r="M1966" s="1172"/>
      <c r="N1966" s="1175"/>
      <c r="O1966" s="143"/>
      <c r="P1966" s="1196"/>
      <c r="Q1966" s="141"/>
      <c r="R1966" s="141"/>
      <c r="S1966" s="148"/>
      <c r="T1966" s="419"/>
      <c r="U1966" s="559"/>
      <c r="V1966" s="141"/>
      <c r="W1966" s="141"/>
      <c r="X1966" s="141"/>
      <c r="Y1966" s="144"/>
      <c r="Z1966" s="141"/>
      <c r="AA1966" s="141"/>
      <c r="AB1966" s="141"/>
      <c r="AC1966" s="141"/>
      <c r="AD1966" s="141"/>
      <c r="AE1966" s="141"/>
      <c r="AF1966" s="145"/>
      <c r="AG1966" s="419"/>
    </row>
    <row r="1967" spans="1:33" s="139" customFormat="1" ht="12.75" customHeight="1" x14ac:dyDescent="0.2">
      <c r="A1967" s="141"/>
      <c r="B1967" s="141"/>
      <c r="C1967" s="141"/>
      <c r="D1967" s="141"/>
      <c r="E1967" s="1014"/>
      <c r="F1967" s="1014"/>
      <c r="G1967" s="1027"/>
      <c r="H1967" s="1027"/>
      <c r="I1967" s="1174"/>
      <c r="J1967" s="1174"/>
      <c r="K1967" s="1174"/>
      <c r="L1967" s="1172"/>
      <c r="M1967" s="1172"/>
      <c r="N1967" s="1175"/>
      <c r="O1967" s="143"/>
      <c r="P1967" s="1196"/>
      <c r="Q1967" s="141"/>
      <c r="R1967" s="141"/>
      <c r="S1967" s="148"/>
      <c r="T1967" s="419"/>
      <c r="U1967" s="559"/>
      <c r="V1967" s="141"/>
      <c r="W1967" s="141"/>
      <c r="X1967" s="141"/>
      <c r="Y1967" s="144"/>
      <c r="Z1967" s="141"/>
      <c r="AA1967" s="141"/>
      <c r="AB1967" s="141"/>
      <c r="AC1967" s="141"/>
      <c r="AD1967" s="141"/>
      <c r="AE1967" s="141"/>
      <c r="AF1967" s="145"/>
      <c r="AG1967" s="419"/>
    </row>
    <row r="1968" spans="1:33" s="139" customFormat="1" ht="12.75" customHeight="1" x14ac:dyDescent="0.2">
      <c r="A1968" s="141"/>
      <c r="B1968" s="141"/>
      <c r="C1968" s="141"/>
      <c r="D1968" s="141"/>
      <c r="E1968" s="1014"/>
      <c r="F1968" s="1014"/>
      <c r="G1968" s="1027"/>
      <c r="H1968" s="1027"/>
      <c r="I1968" s="1174"/>
      <c r="J1968" s="1174"/>
      <c r="K1968" s="1174"/>
      <c r="L1968" s="1172"/>
      <c r="M1968" s="1172"/>
      <c r="N1968" s="1175"/>
      <c r="O1968" s="143"/>
      <c r="P1968" s="1196"/>
      <c r="Q1968" s="141"/>
      <c r="R1968" s="141"/>
      <c r="S1968" s="148"/>
      <c r="T1968" s="419"/>
      <c r="U1968" s="559"/>
      <c r="V1968" s="141"/>
      <c r="W1968" s="141"/>
      <c r="X1968" s="141"/>
      <c r="Y1968" s="144"/>
      <c r="Z1968" s="141"/>
      <c r="AA1968" s="141"/>
      <c r="AB1968" s="141"/>
      <c r="AC1968" s="141"/>
      <c r="AD1968" s="141"/>
      <c r="AE1968" s="141"/>
      <c r="AF1968" s="145"/>
      <c r="AG1968" s="419"/>
    </row>
    <row r="1969" spans="1:33" s="139" customFormat="1" ht="12.75" customHeight="1" x14ac:dyDescent="0.2">
      <c r="A1969" s="141"/>
      <c r="B1969" s="141"/>
      <c r="C1969" s="141"/>
      <c r="D1969" s="141"/>
      <c r="E1969" s="1014"/>
      <c r="F1969" s="1014"/>
      <c r="G1969" s="1027"/>
      <c r="H1969" s="1027"/>
      <c r="I1969" s="1174"/>
      <c r="J1969" s="1174"/>
      <c r="K1969" s="1174"/>
      <c r="L1969" s="1172"/>
      <c r="M1969" s="1172"/>
      <c r="N1969" s="1175"/>
      <c r="O1969" s="143"/>
      <c r="P1969" s="1196"/>
      <c r="Q1969" s="141"/>
      <c r="R1969" s="141"/>
      <c r="S1969" s="148"/>
      <c r="T1969" s="419"/>
      <c r="U1969" s="559"/>
      <c r="V1969" s="141"/>
      <c r="W1969" s="141"/>
      <c r="X1969" s="141"/>
      <c r="Y1969" s="144"/>
      <c r="Z1969" s="141"/>
      <c r="AA1969" s="141"/>
      <c r="AB1969" s="141"/>
      <c r="AC1969" s="141"/>
      <c r="AD1969" s="141"/>
      <c r="AE1969" s="141"/>
      <c r="AF1969" s="145"/>
      <c r="AG1969" s="419"/>
    </row>
    <row r="1970" spans="1:33" s="139" customFormat="1" ht="12.75" customHeight="1" x14ac:dyDescent="0.2">
      <c r="A1970" s="141"/>
      <c r="B1970" s="141"/>
      <c r="C1970" s="141"/>
      <c r="D1970" s="141"/>
      <c r="E1970" s="1014"/>
      <c r="F1970" s="1014"/>
      <c r="G1970" s="1027"/>
      <c r="H1970" s="1027"/>
      <c r="I1970" s="1174"/>
      <c r="J1970" s="1174"/>
      <c r="K1970" s="1174"/>
      <c r="L1970" s="1172"/>
      <c r="M1970" s="1172"/>
      <c r="N1970" s="1175"/>
      <c r="O1970" s="143"/>
      <c r="P1970" s="1196"/>
      <c r="Q1970" s="141"/>
      <c r="R1970" s="141"/>
      <c r="S1970" s="148"/>
      <c r="T1970" s="419"/>
      <c r="U1970" s="559"/>
      <c r="V1970" s="141"/>
      <c r="W1970" s="141"/>
      <c r="X1970" s="141"/>
      <c r="Y1970" s="144"/>
      <c r="Z1970" s="141"/>
      <c r="AA1970" s="141"/>
      <c r="AB1970" s="141"/>
      <c r="AC1970" s="141"/>
      <c r="AD1970" s="141"/>
      <c r="AE1970" s="141"/>
      <c r="AF1970" s="145"/>
      <c r="AG1970" s="419"/>
    </row>
    <row r="1971" spans="1:33" s="139" customFormat="1" ht="12.75" customHeight="1" x14ac:dyDescent="0.2">
      <c r="A1971" s="141"/>
      <c r="B1971" s="141"/>
      <c r="C1971" s="141"/>
      <c r="D1971" s="141"/>
      <c r="E1971" s="1014"/>
      <c r="F1971" s="1014"/>
      <c r="G1971" s="1027"/>
      <c r="H1971" s="1027"/>
      <c r="I1971" s="1174"/>
      <c r="J1971" s="1174"/>
      <c r="K1971" s="1174"/>
      <c r="L1971" s="1172"/>
      <c r="M1971" s="1172"/>
      <c r="N1971" s="1175"/>
      <c r="O1971" s="143"/>
      <c r="P1971" s="1196"/>
      <c r="Q1971" s="141"/>
      <c r="R1971" s="141"/>
      <c r="S1971" s="148"/>
      <c r="T1971" s="419"/>
      <c r="U1971" s="559"/>
      <c r="V1971" s="141"/>
      <c r="W1971" s="141"/>
      <c r="X1971" s="141"/>
      <c r="Y1971" s="144"/>
      <c r="Z1971" s="141"/>
      <c r="AA1971" s="141"/>
      <c r="AB1971" s="141"/>
      <c r="AC1971" s="141"/>
      <c r="AD1971" s="141"/>
      <c r="AE1971" s="141"/>
      <c r="AF1971" s="145"/>
      <c r="AG1971" s="419"/>
    </row>
    <row r="1972" spans="1:33" s="139" customFormat="1" ht="12.75" customHeight="1" x14ac:dyDescent="0.2">
      <c r="A1972" s="141"/>
      <c r="B1972" s="141"/>
      <c r="C1972" s="141"/>
      <c r="D1972" s="141"/>
      <c r="E1972" s="1014"/>
      <c r="F1972" s="1014"/>
      <c r="G1972" s="1027"/>
      <c r="H1972" s="1027"/>
      <c r="I1972" s="1174"/>
      <c r="J1972" s="1174"/>
      <c r="K1972" s="1174"/>
      <c r="L1972" s="1172"/>
      <c r="M1972" s="1172"/>
      <c r="N1972" s="1175"/>
      <c r="O1972" s="143"/>
      <c r="P1972" s="1196"/>
      <c r="Q1972" s="141"/>
      <c r="R1972" s="141"/>
      <c r="S1972" s="148"/>
      <c r="T1972" s="419"/>
      <c r="U1972" s="559"/>
      <c r="V1972" s="141"/>
      <c r="W1972" s="141"/>
      <c r="X1972" s="141"/>
      <c r="Y1972" s="144"/>
      <c r="Z1972" s="141"/>
      <c r="AA1972" s="141"/>
      <c r="AB1972" s="141"/>
      <c r="AC1972" s="141"/>
      <c r="AD1972" s="141"/>
      <c r="AE1972" s="141"/>
      <c r="AF1972" s="145"/>
      <c r="AG1972" s="419"/>
    </row>
    <row r="1973" spans="1:33" s="139" customFormat="1" ht="12.75" customHeight="1" x14ac:dyDescent="0.2">
      <c r="A1973" s="141"/>
      <c r="B1973" s="141"/>
      <c r="C1973" s="141"/>
      <c r="D1973" s="141"/>
      <c r="E1973" s="1014"/>
      <c r="F1973" s="1014"/>
      <c r="G1973" s="1027"/>
      <c r="H1973" s="1027"/>
      <c r="I1973" s="1174"/>
      <c r="J1973" s="1174"/>
      <c r="K1973" s="1174"/>
      <c r="L1973" s="1172"/>
      <c r="M1973" s="1172"/>
      <c r="N1973" s="1175"/>
      <c r="O1973" s="143"/>
      <c r="P1973" s="1196"/>
      <c r="Q1973" s="141"/>
      <c r="R1973" s="141"/>
      <c r="S1973" s="148"/>
      <c r="T1973" s="419"/>
      <c r="U1973" s="559"/>
      <c r="V1973" s="141"/>
      <c r="W1973" s="141"/>
      <c r="X1973" s="141"/>
      <c r="Y1973" s="144"/>
      <c r="Z1973" s="141"/>
      <c r="AA1973" s="141"/>
      <c r="AB1973" s="141"/>
      <c r="AC1973" s="141"/>
      <c r="AD1973" s="141"/>
      <c r="AE1973" s="141"/>
      <c r="AF1973" s="145"/>
      <c r="AG1973" s="419"/>
    </row>
    <row r="1974" spans="1:33" s="139" customFormat="1" ht="12.75" customHeight="1" x14ac:dyDescent="0.2">
      <c r="A1974" s="141"/>
      <c r="B1974" s="141"/>
      <c r="C1974" s="141"/>
      <c r="D1974" s="141"/>
      <c r="E1974" s="1014"/>
      <c r="F1974" s="1014"/>
      <c r="G1974" s="1027"/>
      <c r="H1974" s="1027"/>
      <c r="I1974" s="1174"/>
      <c r="J1974" s="1174"/>
      <c r="K1974" s="1174"/>
      <c r="L1974" s="1172"/>
      <c r="M1974" s="1172"/>
      <c r="N1974" s="1175"/>
      <c r="O1974" s="143"/>
      <c r="P1974" s="1196"/>
      <c r="Q1974" s="141"/>
      <c r="R1974" s="141"/>
      <c r="S1974" s="148"/>
      <c r="T1974" s="419"/>
      <c r="U1974" s="559"/>
      <c r="V1974" s="141"/>
      <c r="W1974" s="141"/>
      <c r="X1974" s="141"/>
      <c r="Y1974" s="144"/>
      <c r="Z1974" s="141"/>
      <c r="AA1974" s="141"/>
      <c r="AB1974" s="141"/>
      <c r="AC1974" s="141"/>
      <c r="AD1974" s="141"/>
      <c r="AE1974" s="141"/>
      <c r="AF1974" s="145"/>
      <c r="AG1974" s="419"/>
    </row>
    <row r="1975" spans="1:33" s="139" customFormat="1" ht="12.75" customHeight="1" x14ac:dyDescent="0.2">
      <c r="A1975" s="141"/>
      <c r="B1975" s="141"/>
      <c r="C1975" s="141"/>
      <c r="D1975" s="141"/>
      <c r="E1975" s="1014"/>
      <c r="F1975" s="1014"/>
      <c r="G1975" s="1027"/>
      <c r="H1975" s="1027"/>
      <c r="I1975" s="1174"/>
      <c r="J1975" s="1174"/>
      <c r="K1975" s="1174"/>
      <c r="L1975" s="1172"/>
      <c r="M1975" s="1172"/>
      <c r="N1975" s="1175"/>
      <c r="O1975" s="143"/>
      <c r="P1975" s="1196"/>
      <c r="Q1975" s="141"/>
      <c r="R1975" s="141"/>
      <c r="S1975" s="148"/>
      <c r="T1975" s="419"/>
      <c r="U1975" s="559"/>
      <c r="V1975" s="141"/>
      <c r="W1975" s="141"/>
      <c r="X1975" s="141"/>
      <c r="Y1975" s="144"/>
      <c r="Z1975" s="141"/>
      <c r="AA1975" s="141"/>
      <c r="AB1975" s="141"/>
      <c r="AC1975" s="141"/>
      <c r="AD1975" s="141"/>
      <c r="AE1975" s="141"/>
      <c r="AF1975" s="145"/>
      <c r="AG1975" s="419"/>
    </row>
    <row r="1976" spans="1:33" s="139" customFormat="1" ht="12.75" customHeight="1" x14ac:dyDescent="0.2">
      <c r="A1976" s="141"/>
      <c r="B1976" s="141"/>
      <c r="C1976" s="141"/>
      <c r="D1976" s="141"/>
      <c r="E1976" s="1014"/>
      <c r="F1976" s="1014"/>
      <c r="G1976" s="1027"/>
      <c r="H1976" s="1027"/>
      <c r="I1976" s="1174"/>
      <c r="J1976" s="1174"/>
      <c r="K1976" s="1174"/>
      <c r="L1976" s="1172"/>
      <c r="M1976" s="1172"/>
      <c r="N1976" s="1175"/>
      <c r="O1976" s="143"/>
      <c r="P1976" s="1196"/>
      <c r="Q1976" s="141"/>
      <c r="R1976" s="141"/>
      <c r="S1976" s="148"/>
      <c r="T1976" s="419"/>
      <c r="U1976" s="559"/>
      <c r="V1976" s="141"/>
      <c r="W1976" s="141"/>
      <c r="X1976" s="141"/>
      <c r="Y1976" s="144"/>
      <c r="Z1976" s="141"/>
      <c r="AA1976" s="141"/>
      <c r="AB1976" s="141"/>
      <c r="AC1976" s="141"/>
      <c r="AD1976" s="141"/>
      <c r="AE1976" s="141"/>
      <c r="AF1976" s="145"/>
      <c r="AG1976" s="419"/>
    </row>
    <row r="1977" spans="1:33" s="139" customFormat="1" ht="12.75" customHeight="1" x14ac:dyDescent="0.2">
      <c r="A1977" s="141"/>
      <c r="B1977" s="141"/>
      <c r="C1977" s="141"/>
      <c r="D1977" s="141"/>
      <c r="E1977" s="1014"/>
      <c r="F1977" s="1014"/>
      <c r="G1977" s="1027"/>
      <c r="H1977" s="1027"/>
      <c r="I1977" s="1174"/>
      <c r="J1977" s="1174"/>
      <c r="K1977" s="1174"/>
      <c r="L1977" s="1172"/>
      <c r="M1977" s="1172"/>
      <c r="N1977" s="1175"/>
      <c r="O1977" s="143"/>
      <c r="P1977" s="1196"/>
      <c r="Q1977" s="141"/>
      <c r="R1977" s="141"/>
      <c r="S1977" s="148"/>
      <c r="T1977" s="419"/>
      <c r="U1977" s="559"/>
      <c r="V1977" s="141"/>
      <c r="W1977" s="141"/>
      <c r="X1977" s="141"/>
      <c r="Y1977" s="144"/>
      <c r="Z1977" s="141"/>
      <c r="AA1977" s="141"/>
      <c r="AB1977" s="141"/>
      <c r="AC1977" s="141"/>
      <c r="AD1977" s="141"/>
      <c r="AE1977" s="141"/>
      <c r="AF1977" s="145"/>
      <c r="AG1977" s="419"/>
    </row>
    <row r="1978" spans="1:33" s="139" customFormat="1" ht="12.75" customHeight="1" x14ac:dyDescent="0.2">
      <c r="A1978" s="141"/>
      <c r="B1978" s="141"/>
      <c r="C1978" s="141"/>
      <c r="D1978" s="141"/>
      <c r="E1978" s="1014"/>
      <c r="F1978" s="1014"/>
      <c r="G1978" s="1027"/>
      <c r="H1978" s="1027"/>
      <c r="I1978" s="1174"/>
      <c r="J1978" s="1174"/>
      <c r="K1978" s="1174"/>
      <c r="L1978" s="1172"/>
      <c r="M1978" s="1172"/>
      <c r="N1978" s="1175"/>
      <c r="O1978" s="143"/>
      <c r="P1978" s="1196"/>
      <c r="Q1978" s="141"/>
      <c r="R1978" s="141"/>
      <c r="S1978" s="148"/>
      <c r="T1978" s="419"/>
      <c r="U1978" s="559"/>
      <c r="V1978" s="141"/>
      <c r="W1978" s="141"/>
      <c r="X1978" s="141"/>
      <c r="Y1978" s="144"/>
      <c r="Z1978" s="141"/>
      <c r="AA1978" s="141"/>
      <c r="AB1978" s="141"/>
      <c r="AC1978" s="141"/>
      <c r="AD1978" s="141"/>
      <c r="AE1978" s="141"/>
      <c r="AF1978" s="145"/>
      <c r="AG1978" s="419"/>
    </row>
    <row r="1979" spans="1:33" s="139" customFormat="1" ht="12.75" customHeight="1" x14ac:dyDescent="0.2">
      <c r="A1979" s="141"/>
      <c r="B1979" s="141"/>
      <c r="C1979" s="141"/>
      <c r="D1979" s="141"/>
      <c r="E1979" s="1014"/>
      <c r="F1979" s="1014"/>
      <c r="G1979" s="1027"/>
      <c r="H1979" s="1027"/>
      <c r="I1979" s="1174"/>
      <c r="J1979" s="1174"/>
      <c r="K1979" s="1174"/>
      <c r="L1979" s="1172"/>
      <c r="M1979" s="1172"/>
      <c r="N1979" s="1175"/>
      <c r="O1979" s="143"/>
      <c r="P1979" s="1196"/>
      <c r="Q1979" s="141"/>
      <c r="R1979" s="141"/>
      <c r="S1979" s="148"/>
      <c r="T1979" s="419"/>
      <c r="U1979" s="559"/>
      <c r="V1979" s="141"/>
      <c r="W1979" s="141"/>
      <c r="X1979" s="141"/>
      <c r="Y1979" s="144"/>
      <c r="Z1979" s="141"/>
      <c r="AA1979" s="141"/>
      <c r="AB1979" s="141"/>
      <c r="AC1979" s="141"/>
      <c r="AD1979" s="141"/>
      <c r="AE1979" s="141"/>
      <c r="AF1979" s="145"/>
      <c r="AG1979" s="419"/>
    </row>
    <row r="1980" spans="1:33" s="139" customFormat="1" ht="12.75" customHeight="1" x14ac:dyDescent="0.2">
      <c r="A1980" s="141"/>
      <c r="B1980" s="141"/>
      <c r="C1980" s="141"/>
      <c r="D1980" s="141"/>
      <c r="E1980" s="1014"/>
      <c r="F1980" s="1014"/>
      <c r="G1980" s="1027"/>
      <c r="H1980" s="1027"/>
      <c r="I1980" s="1174"/>
      <c r="J1980" s="1174"/>
      <c r="K1980" s="1174"/>
      <c r="L1980" s="1172"/>
      <c r="M1980" s="1172"/>
      <c r="N1980" s="1175"/>
      <c r="O1980" s="143"/>
      <c r="P1980" s="1196"/>
      <c r="Q1980" s="141"/>
      <c r="R1980" s="141"/>
      <c r="S1980" s="148"/>
      <c r="T1980" s="419"/>
      <c r="U1980" s="559"/>
      <c r="V1980" s="141"/>
      <c r="W1980" s="141"/>
      <c r="X1980" s="141"/>
      <c r="Y1980" s="144"/>
      <c r="Z1980" s="141"/>
      <c r="AA1980" s="141"/>
      <c r="AB1980" s="141"/>
      <c r="AC1980" s="141"/>
      <c r="AD1980" s="141"/>
      <c r="AE1980" s="141"/>
      <c r="AF1980" s="145"/>
      <c r="AG1980" s="419"/>
    </row>
    <row r="1981" spans="1:33" s="139" customFormat="1" ht="12.75" customHeight="1" x14ac:dyDescent="0.2">
      <c r="A1981" s="141"/>
      <c r="B1981" s="141"/>
      <c r="C1981" s="141"/>
      <c r="D1981" s="141"/>
      <c r="E1981" s="1014"/>
      <c r="F1981" s="1014"/>
      <c r="G1981" s="1027"/>
      <c r="H1981" s="1027"/>
      <c r="I1981" s="1174"/>
      <c r="J1981" s="1174"/>
      <c r="K1981" s="1174"/>
      <c r="L1981" s="1172"/>
      <c r="M1981" s="1172"/>
      <c r="N1981" s="1175"/>
      <c r="O1981" s="143"/>
      <c r="P1981" s="1196"/>
      <c r="Q1981" s="141"/>
      <c r="R1981" s="141"/>
      <c r="S1981" s="148"/>
      <c r="T1981" s="419"/>
      <c r="U1981" s="559"/>
      <c r="V1981" s="141"/>
      <c r="W1981" s="141"/>
      <c r="X1981" s="141"/>
      <c r="Y1981" s="144"/>
      <c r="Z1981" s="141"/>
      <c r="AA1981" s="141"/>
      <c r="AB1981" s="141"/>
      <c r="AC1981" s="141"/>
      <c r="AD1981" s="141"/>
      <c r="AE1981" s="141"/>
      <c r="AF1981" s="145"/>
      <c r="AG1981" s="419"/>
    </row>
    <row r="1982" spans="1:33" s="139" customFormat="1" ht="12.75" customHeight="1" x14ac:dyDescent="0.2">
      <c r="A1982" s="141"/>
      <c r="B1982" s="141"/>
      <c r="C1982" s="141"/>
      <c r="D1982" s="141"/>
      <c r="E1982" s="1014"/>
      <c r="F1982" s="1014"/>
      <c r="G1982" s="1027"/>
      <c r="H1982" s="1027"/>
      <c r="I1982" s="1174"/>
      <c r="J1982" s="1174"/>
      <c r="K1982" s="1174"/>
      <c r="L1982" s="1172"/>
      <c r="M1982" s="1172"/>
      <c r="N1982" s="1175"/>
      <c r="O1982" s="143"/>
      <c r="P1982" s="1196"/>
      <c r="Q1982" s="141"/>
      <c r="R1982" s="141"/>
      <c r="S1982" s="148"/>
      <c r="T1982" s="419"/>
      <c r="U1982" s="559"/>
      <c r="V1982" s="141"/>
      <c r="W1982" s="141"/>
      <c r="X1982" s="141"/>
      <c r="Y1982" s="144"/>
      <c r="Z1982" s="141"/>
      <c r="AA1982" s="141"/>
      <c r="AB1982" s="141"/>
      <c r="AC1982" s="141"/>
      <c r="AD1982" s="141"/>
      <c r="AE1982" s="141"/>
      <c r="AF1982" s="145"/>
      <c r="AG1982" s="419"/>
    </row>
    <row r="1983" spans="1:33" s="139" customFormat="1" ht="12.75" customHeight="1" x14ac:dyDescent="0.2">
      <c r="A1983" s="141"/>
      <c r="B1983" s="141"/>
      <c r="C1983" s="141"/>
      <c r="D1983" s="141"/>
      <c r="E1983" s="1014"/>
      <c r="F1983" s="1014"/>
      <c r="G1983" s="1027"/>
      <c r="H1983" s="1027"/>
      <c r="I1983" s="1174"/>
      <c r="J1983" s="1174"/>
      <c r="K1983" s="1174"/>
      <c r="L1983" s="1172"/>
      <c r="M1983" s="1172"/>
      <c r="N1983" s="1175"/>
      <c r="O1983" s="143"/>
      <c r="P1983" s="1196"/>
      <c r="Q1983" s="141"/>
      <c r="R1983" s="141"/>
      <c r="S1983" s="148"/>
      <c r="T1983" s="419"/>
      <c r="U1983" s="559"/>
      <c r="V1983" s="141"/>
      <c r="W1983" s="141"/>
      <c r="X1983" s="141"/>
      <c r="Y1983" s="144"/>
      <c r="Z1983" s="141"/>
      <c r="AA1983" s="141"/>
      <c r="AB1983" s="141"/>
      <c r="AC1983" s="141"/>
      <c r="AD1983" s="141"/>
      <c r="AE1983" s="141"/>
      <c r="AF1983" s="145"/>
      <c r="AG1983" s="419"/>
    </row>
    <row r="1984" spans="1:33" s="139" customFormat="1" ht="12.75" customHeight="1" x14ac:dyDescent="0.2">
      <c r="A1984" s="141"/>
      <c r="B1984" s="141"/>
      <c r="C1984" s="141"/>
      <c r="D1984" s="141"/>
      <c r="E1984" s="1014"/>
      <c r="F1984" s="1014"/>
      <c r="G1984" s="1027"/>
      <c r="H1984" s="1027"/>
      <c r="I1984" s="1174"/>
      <c r="J1984" s="1174"/>
      <c r="K1984" s="1174"/>
      <c r="L1984" s="1172"/>
      <c r="M1984" s="1172"/>
      <c r="N1984" s="1175"/>
      <c r="O1984" s="143"/>
      <c r="P1984" s="1196"/>
      <c r="Q1984" s="141"/>
      <c r="R1984" s="141"/>
      <c r="S1984" s="148"/>
      <c r="T1984" s="419"/>
      <c r="U1984" s="559"/>
      <c r="V1984" s="141"/>
      <c r="W1984" s="141"/>
      <c r="X1984" s="141"/>
      <c r="Y1984" s="144"/>
      <c r="Z1984" s="141"/>
      <c r="AA1984" s="141"/>
      <c r="AB1984" s="141"/>
      <c r="AC1984" s="141"/>
      <c r="AD1984" s="141"/>
      <c r="AE1984" s="141"/>
      <c r="AF1984" s="145"/>
      <c r="AG1984" s="419"/>
    </row>
    <row r="1985" spans="1:33" s="139" customFormat="1" ht="12.75" customHeight="1" x14ac:dyDescent="0.2">
      <c r="A1985" s="141"/>
      <c r="B1985" s="141"/>
      <c r="C1985" s="141"/>
      <c r="D1985" s="141"/>
      <c r="E1985" s="1014"/>
      <c r="F1985" s="1014"/>
      <c r="G1985" s="1027"/>
      <c r="H1985" s="1027"/>
      <c r="I1985" s="1174"/>
      <c r="J1985" s="1174"/>
      <c r="K1985" s="1174"/>
      <c r="L1985" s="1172"/>
      <c r="M1985" s="1172"/>
      <c r="N1985" s="1175"/>
      <c r="O1985" s="143"/>
      <c r="P1985" s="1196"/>
      <c r="Q1985" s="141"/>
      <c r="R1985" s="141"/>
      <c r="S1985" s="148"/>
      <c r="T1985" s="419"/>
      <c r="U1985" s="559"/>
      <c r="V1985" s="141"/>
      <c r="W1985" s="141"/>
      <c r="X1985" s="141"/>
      <c r="Y1985" s="144"/>
      <c r="Z1985" s="141"/>
      <c r="AA1985" s="141"/>
      <c r="AB1985" s="141"/>
      <c r="AC1985" s="141"/>
      <c r="AD1985" s="141"/>
      <c r="AE1985" s="141"/>
      <c r="AF1985" s="145"/>
      <c r="AG1985" s="419"/>
    </row>
    <row r="1986" spans="1:33" s="139" customFormat="1" ht="12.75" customHeight="1" x14ac:dyDescent="0.2">
      <c r="A1986" s="141"/>
      <c r="B1986" s="141"/>
      <c r="C1986" s="141"/>
      <c r="D1986" s="141"/>
      <c r="E1986" s="1014"/>
      <c r="F1986" s="1014"/>
      <c r="G1986" s="1027"/>
      <c r="H1986" s="1027"/>
      <c r="I1986" s="1174"/>
      <c r="J1986" s="1174"/>
      <c r="K1986" s="1174"/>
      <c r="L1986" s="1172"/>
      <c r="M1986" s="1172"/>
      <c r="N1986" s="1175"/>
      <c r="O1986" s="143"/>
      <c r="P1986" s="1196"/>
      <c r="Q1986" s="141"/>
      <c r="R1986" s="141"/>
      <c r="S1986" s="148"/>
      <c r="T1986" s="419"/>
      <c r="U1986" s="559"/>
      <c r="V1986" s="141"/>
      <c r="W1986" s="141"/>
      <c r="X1986" s="141"/>
      <c r="Y1986" s="144"/>
      <c r="Z1986" s="141"/>
      <c r="AA1986" s="141"/>
      <c r="AB1986" s="141"/>
      <c r="AC1986" s="141"/>
      <c r="AD1986" s="141"/>
      <c r="AE1986" s="141"/>
      <c r="AF1986" s="145"/>
      <c r="AG1986" s="419"/>
    </row>
    <row r="1987" spans="1:33" s="139" customFormat="1" ht="12.75" customHeight="1" x14ac:dyDescent="0.2">
      <c r="A1987" s="141"/>
      <c r="B1987" s="141"/>
      <c r="C1987" s="141"/>
      <c r="D1987" s="141"/>
      <c r="E1987" s="1014"/>
      <c r="F1987" s="1014"/>
      <c r="G1987" s="1027"/>
      <c r="H1987" s="1027"/>
      <c r="I1987" s="1174"/>
      <c r="J1987" s="1174"/>
      <c r="K1987" s="1174"/>
      <c r="L1987" s="1172"/>
      <c r="M1987" s="1172"/>
      <c r="N1987" s="1175"/>
      <c r="O1987" s="143"/>
      <c r="P1987" s="1196"/>
      <c r="Q1987" s="141"/>
      <c r="R1987" s="141"/>
      <c r="S1987" s="148"/>
      <c r="T1987" s="419"/>
      <c r="U1987" s="559"/>
      <c r="V1987" s="141"/>
      <c r="W1987" s="141"/>
      <c r="X1987" s="141"/>
      <c r="Y1987" s="144"/>
      <c r="Z1987" s="141"/>
      <c r="AA1987" s="141"/>
      <c r="AB1987" s="141"/>
      <c r="AC1987" s="141"/>
      <c r="AD1987" s="141"/>
      <c r="AE1987" s="141"/>
      <c r="AF1987" s="145"/>
      <c r="AG1987" s="419"/>
    </row>
    <row r="1988" spans="1:33" s="139" customFormat="1" ht="12.75" customHeight="1" x14ac:dyDescent="0.2">
      <c r="A1988" s="141"/>
      <c r="B1988" s="141"/>
      <c r="C1988" s="141"/>
      <c r="D1988" s="141"/>
      <c r="E1988" s="1014"/>
      <c r="F1988" s="1014"/>
      <c r="G1988" s="1027"/>
      <c r="H1988" s="1027"/>
      <c r="I1988" s="1174"/>
      <c r="J1988" s="1174"/>
      <c r="K1988" s="1174"/>
      <c r="L1988" s="1172"/>
      <c r="M1988" s="1172"/>
      <c r="N1988" s="1175"/>
      <c r="O1988" s="143"/>
      <c r="P1988" s="1196"/>
      <c r="Q1988" s="141"/>
      <c r="R1988" s="141"/>
      <c r="S1988" s="148"/>
      <c r="T1988" s="419"/>
      <c r="U1988" s="559"/>
      <c r="V1988" s="141"/>
      <c r="W1988" s="141"/>
      <c r="X1988" s="141"/>
      <c r="Y1988" s="144"/>
      <c r="Z1988" s="141"/>
      <c r="AA1988" s="141"/>
      <c r="AB1988" s="141"/>
      <c r="AC1988" s="141"/>
      <c r="AD1988" s="141"/>
      <c r="AE1988" s="141"/>
      <c r="AF1988" s="145"/>
      <c r="AG1988" s="419"/>
    </row>
    <row r="1989" spans="1:33" s="139" customFormat="1" ht="12.75" customHeight="1" x14ac:dyDescent="0.2">
      <c r="A1989" s="141"/>
      <c r="B1989" s="141"/>
      <c r="C1989" s="141"/>
      <c r="D1989" s="141"/>
      <c r="E1989" s="1014"/>
      <c r="F1989" s="1014"/>
      <c r="G1989" s="1027"/>
      <c r="H1989" s="1027"/>
      <c r="I1989" s="1174"/>
      <c r="J1989" s="1174"/>
      <c r="K1989" s="1174"/>
      <c r="L1989" s="1172"/>
      <c r="M1989" s="1172"/>
      <c r="N1989" s="1175"/>
      <c r="O1989" s="143"/>
      <c r="P1989" s="1196"/>
      <c r="Q1989" s="141"/>
      <c r="R1989" s="141"/>
      <c r="S1989" s="148"/>
      <c r="T1989" s="419"/>
      <c r="U1989" s="559"/>
      <c r="V1989" s="141"/>
      <c r="W1989" s="141"/>
      <c r="X1989" s="141"/>
      <c r="Y1989" s="144"/>
      <c r="Z1989" s="141"/>
      <c r="AA1989" s="141"/>
      <c r="AB1989" s="141"/>
      <c r="AC1989" s="141"/>
      <c r="AD1989" s="141"/>
      <c r="AE1989" s="141"/>
      <c r="AF1989" s="145"/>
      <c r="AG1989" s="419"/>
    </row>
    <row r="1990" spans="1:33" s="139" customFormat="1" ht="12.75" customHeight="1" x14ac:dyDescent="0.2">
      <c r="A1990" s="141"/>
      <c r="B1990" s="141"/>
      <c r="C1990" s="141"/>
      <c r="D1990" s="141"/>
      <c r="E1990" s="1014"/>
      <c r="F1990" s="1014"/>
      <c r="G1990" s="1027"/>
      <c r="H1990" s="1027"/>
      <c r="I1990" s="1174"/>
      <c r="J1990" s="1174"/>
      <c r="K1990" s="1174"/>
      <c r="L1990" s="1172"/>
      <c r="M1990" s="1172"/>
      <c r="N1990" s="1175"/>
      <c r="O1990" s="143"/>
      <c r="P1990" s="1196"/>
      <c r="Q1990" s="141"/>
      <c r="R1990" s="141"/>
      <c r="S1990" s="148"/>
      <c r="T1990" s="419"/>
      <c r="U1990" s="559"/>
      <c r="V1990" s="141"/>
      <c r="W1990" s="141"/>
      <c r="X1990" s="141"/>
      <c r="Y1990" s="144"/>
      <c r="Z1990" s="141"/>
      <c r="AA1990" s="141"/>
      <c r="AB1990" s="141"/>
      <c r="AC1990" s="141"/>
      <c r="AD1990" s="141"/>
      <c r="AE1990" s="141"/>
      <c r="AF1990" s="145"/>
      <c r="AG1990" s="419"/>
    </row>
    <row r="1991" spans="1:33" s="139" customFormat="1" ht="12.75" customHeight="1" x14ac:dyDescent="0.2">
      <c r="A1991" s="141"/>
      <c r="B1991" s="141"/>
      <c r="C1991" s="141"/>
      <c r="D1991" s="141"/>
      <c r="E1991" s="1014"/>
      <c r="F1991" s="1014"/>
      <c r="G1991" s="1027"/>
      <c r="H1991" s="1027"/>
      <c r="I1991" s="1174"/>
      <c r="J1991" s="1174"/>
      <c r="K1991" s="1174"/>
      <c r="L1991" s="1172"/>
      <c r="M1991" s="1172"/>
      <c r="N1991" s="1175"/>
      <c r="O1991" s="143"/>
      <c r="P1991" s="1196"/>
      <c r="Q1991" s="141"/>
      <c r="R1991" s="141"/>
      <c r="S1991" s="148"/>
      <c r="T1991" s="419"/>
      <c r="U1991" s="559"/>
      <c r="V1991" s="141"/>
      <c r="W1991" s="141"/>
      <c r="X1991" s="141"/>
      <c r="Y1991" s="144"/>
      <c r="Z1991" s="141"/>
      <c r="AA1991" s="141"/>
      <c r="AB1991" s="141"/>
      <c r="AC1991" s="141"/>
      <c r="AD1991" s="141"/>
      <c r="AE1991" s="141"/>
      <c r="AF1991" s="145"/>
      <c r="AG1991" s="419"/>
    </row>
    <row r="1992" spans="1:33" s="139" customFormat="1" ht="12.75" customHeight="1" x14ac:dyDescent="0.2">
      <c r="A1992" s="141"/>
      <c r="B1992" s="141"/>
      <c r="C1992" s="141"/>
      <c r="D1992" s="141"/>
      <c r="E1992" s="1014"/>
      <c r="F1992" s="1014"/>
      <c r="G1992" s="1027"/>
      <c r="H1992" s="1027"/>
      <c r="I1992" s="1174"/>
      <c r="J1992" s="1174"/>
      <c r="K1992" s="1174"/>
      <c r="L1992" s="1172"/>
      <c r="M1992" s="1172"/>
      <c r="N1992" s="1175"/>
      <c r="O1992" s="143"/>
      <c r="P1992" s="1196"/>
      <c r="Q1992" s="141"/>
      <c r="R1992" s="141"/>
      <c r="S1992" s="148"/>
      <c r="T1992" s="419"/>
      <c r="U1992" s="559"/>
      <c r="V1992" s="141"/>
      <c r="W1992" s="141"/>
      <c r="X1992" s="141"/>
      <c r="Y1992" s="144"/>
      <c r="Z1992" s="141"/>
      <c r="AA1992" s="141"/>
      <c r="AB1992" s="141"/>
      <c r="AC1992" s="141"/>
      <c r="AD1992" s="141"/>
      <c r="AE1992" s="141"/>
      <c r="AF1992" s="145"/>
      <c r="AG1992" s="419"/>
    </row>
    <row r="1993" spans="1:33" s="139" customFormat="1" ht="12.75" customHeight="1" x14ac:dyDescent="0.2">
      <c r="A1993" s="141"/>
      <c r="B1993" s="141"/>
      <c r="C1993" s="141"/>
      <c r="D1993" s="141"/>
      <c r="E1993" s="1014"/>
      <c r="F1993" s="1014"/>
      <c r="G1993" s="1027"/>
      <c r="H1993" s="1027"/>
      <c r="I1993" s="1174"/>
      <c r="J1993" s="1174"/>
      <c r="K1993" s="1174"/>
      <c r="L1993" s="1172"/>
      <c r="M1993" s="1172"/>
      <c r="N1993" s="1175"/>
      <c r="O1993" s="143"/>
      <c r="P1993" s="1196"/>
      <c r="Q1993" s="141"/>
      <c r="R1993" s="141"/>
      <c r="S1993" s="148"/>
      <c r="T1993" s="419"/>
      <c r="U1993" s="559"/>
      <c r="V1993" s="141"/>
      <c r="W1993" s="141"/>
      <c r="X1993" s="141"/>
      <c r="Y1993" s="144"/>
      <c r="Z1993" s="141"/>
      <c r="AA1993" s="141"/>
      <c r="AB1993" s="141"/>
      <c r="AC1993" s="141"/>
      <c r="AD1993" s="141"/>
      <c r="AE1993" s="141"/>
      <c r="AF1993" s="145"/>
      <c r="AG1993" s="419"/>
    </row>
    <row r="1994" spans="1:33" s="139" customFormat="1" ht="12.75" customHeight="1" x14ac:dyDescent="0.2">
      <c r="A1994" s="141"/>
      <c r="B1994" s="141"/>
      <c r="C1994" s="141"/>
      <c r="D1994" s="141"/>
      <c r="E1994" s="1014"/>
      <c r="F1994" s="1014"/>
      <c r="G1994" s="1027"/>
      <c r="H1994" s="1027"/>
      <c r="I1994" s="1174"/>
      <c r="J1994" s="1174"/>
      <c r="K1994" s="1174"/>
      <c r="L1994" s="1172"/>
      <c r="M1994" s="1172"/>
      <c r="N1994" s="1175"/>
      <c r="O1994" s="143"/>
      <c r="P1994" s="1196"/>
      <c r="Q1994" s="141"/>
      <c r="R1994" s="141"/>
      <c r="S1994" s="148"/>
      <c r="T1994" s="419"/>
      <c r="U1994" s="559"/>
      <c r="V1994" s="141"/>
      <c r="W1994" s="141"/>
      <c r="X1994" s="141"/>
      <c r="Y1994" s="144"/>
      <c r="Z1994" s="141"/>
      <c r="AA1994" s="141"/>
      <c r="AB1994" s="141"/>
      <c r="AC1994" s="141"/>
      <c r="AD1994" s="141"/>
      <c r="AE1994" s="141"/>
      <c r="AF1994" s="145"/>
      <c r="AG1994" s="419"/>
    </row>
    <row r="1995" spans="1:33" s="139" customFormat="1" ht="12.75" customHeight="1" x14ac:dyDescent="0.2">
      <c r="A1995" s="141"/>
      <c r="B1995" s="141"/>
      <c r="C1995" s="141"/>
      <c r="D1995" s="141"/>
      <c r="E1995" s="1014"/>
      <c r="F1995" s="1014"/>
      <c r="G1995" s="1027"/>
      <c r="H1995" s="1027"/>
      <c r="I1995" s="1174"/>
      <c r="J1995" s="1174"/>
      <c r="K1995" s="1174"/>
      <c r="L1995" s="1172"/>
      <c r="M1995" s="1172"/>
      <c r="N1995" s="1175"/>
      <c r="O1995" s="143"/>
      <c r="P1995" s="1196"/>
      <c r="Q1995" s="141"/>
      <c r="R1995" s="141"/>
      <c r="S1995" s="148"/>
      <c r="T1995" s="419"/>
      <c r="U1995" s="559"/>
      <c r="V1995" s="141"/>
      <c r="W1995" s="141"/>
      <c r="X1995" s="141"/>
      <c r="Y1995" s="144"/>
      <c r="Z1995" s="141"/>
      <c r="AA1995" s="141"/>
      <c r="AB1995" s="141"/>
      <c r="AC1995" s="141"/>
      <c r="AD1995" s="141"/>
      <c r="AE1995" s="141"/>
      <c r="AF1995" s="145"/>
      <c r="AG1995" s="419"/>
    </row>
    <row r="1996" spans="1:33" s="139" customFormat="1" ht="12.75" customHeight="1" x14ac:dyDescent="0.2">
      <c r="A1996" s="141"/>
      <c r="B1996" s="141"/>
      <c r="C1996" s="141"/>
      <c r="D1996" s="141"/>
      <c r="E1996" s="1014"/>
      <c r="F1996" s="1014"/>
      <c r="G1996" s="1027"/>
      <c r="H1996" s="1027"/>
      <c r="I1996" s="1174"/>
      <c r="J1996" s="1174"/>
      <c r="K1996" s="1174"/>
      <c r="L1996" s="1172"/>
      <c r="M1996" s="1172"/>
      <c r="N1996" s="1175"/>
      <c r="O1996" s="143"/>
      <c r="P1996" s="1196"/>
      <c r="Q1996" s="141"/>
      <c r="R1996" s="141"/>
      <c r="S1996" s="148"/>
      <c r="T1996" s="419"/>
      <c r="U1996" s="559"/>
      <c r="V1996" s="141"/>
      <c r="W1996" s="141"/>
      <c r="X1996" s="141"/>
      <c r="Y1996" s="144"/>
      <c r="Z1996" s="141"/>
      <c r="AA1996" s="141"/>
      <c r="AB1996" s="141"/>
      <c r="AC1996" s="141"/>
      <c r="AD1996" s="141"/>
      <c r="AE1996" s="141"/>
      <c r="AF1996" s="145"/>
      <c r="AG1996" s="419"/>
    </row>
    <row r="1997" spans="1:33" s="139" customFormat="1" ht="12.75" customHeight="1" x14ac:dyDescent="0.2">
      <c r="A1997" s="141"/>
      <c r="B1997" s="141"/>
      <c r="C1997" s="141"/>
      <c r="D1997" s="141"/>
      <c r="E1997" s="1014"/>
      <c r="F1997" s="1014"/>
      <c r="G1997" s="1027"/>
      <c r="H1997" s="1027"/>
      <c r="I1997" s="1174"/>
      <c r="J1997" s="1174"/>
      <c r="K1997" s="1174"/>
      <c r="L1997" s="1172"/>
      <c r="M1997" s="1172"/>
      <c r="N1997" s="1175"/>
      <c r="O1997" s="143"/>
      <c r="P1997" s="1196"/>
      <c r="Q1997" s="141"/>
      <c r="R1997" s="141"/>
      <c r="S1997" s="148"/>
      <c r="T1997" s="419"/>
      <c r="U1997" s="559"/>
      <c r="V1997" s="141"/>
      <c r="W1997" s="141"/>
      <c r="X1997" s="141"/>
      <c r="Y1997" s="144"/>
      <c r="Z1997" s="141"/>
      <c r="AA1997" s="141"/>
      <c r="AB1997" s="141"/>
      <c r="AC1997" s="141"/>
      <c r="AD1997" s="141"/>
      <c r="AE1997" s="141"/>
      <c r="AF1997" s="145"/>
      <c r="AG1997" s="419"/>
    </row>
    <row r="1998" spans="1:33" s="139" customFormat="1" ht="12.75" customHeight="1" x14ac:dyDescent="0.2">
      <c r="A1998" s="141"/>
      <c r="B1998" s="141"/>
      <c r="C1998" s="141"/>
      <c r="D1998" s="141"/>
      <c r="E1998" s="1014"/>
      <c r="F1998" s="1014"/>
      <c r="G1998" s="1027"/>
      <c r="H1998" s="1027"/>
      <c r="I1998" s="1174"/>
      <c r="J1998" s="1174"/>
      <c r="K1998" s="1174"/>
      <c r="L1998" s="1172"/>
      <c r="M1998" s="1172"/>
      <c r="N1998" s="1175"/>
      <c r="O1998" s="143"/>
      <c r="P1998" s="1196"/>
      <c r="Q1998" s="141"/>
      <c r="R1998" s="141"/>
      <c r="S1998" s="148"/>
      <c r="T1998" s="419"/>
      <c r="U1998" s="559"/>
      <c r="V1998" s="141"/>
      <c r="W1998" s="141"/>
      <c r="X1998" s="141"/>
      <c r="Y1998" s="144"/>
      <c r="Z1998" s="141"/>
      <c r="AA1998" s="141"/>
      <c r="AB1998" s="141"/>
      <c r="AC1998" s="141"/>
      <c r="AD1998" s="141"/>
      <c r="AE1998" s="141"/>
      <c r="AF1998" s="145"/>
      <c r="AG1998" s="419"/>
    </row>
    <row r="1999" spans="1:33" s="139" customFormat="1" ht="12.75" customHeight="1" x14ac:dyDescent="0.2">
      <c r="A1999" s="141"/>
      <c r="B1999" s="141"/>
      <c r="C1999" s="141"/>
      <c r="D1999" s="141"/>
      <c r="E1999" s="1014"/>
      <c r="F1999" s="1014"/>
      <c r="G1999" s="1027"/>
      <c r="H1999" s="1027"/>
      <c r="I1999" s="1174"/>
      <c r="J1999" s="1174"/>
      <c r="K1999" s="1174"/>
      <c r="L1999" s="1172"/>
      <c r="M1999" s="1172"/>
      <c r="N1999" s="1175"/>
      <c r="O1999" s="143"/>
      <c r="P1999" s="1196"/>
      <c r="Q1999" s="141"/>
      <c r="R1999" s="141"/>
      <c r="S1999" s="148"/>
      <c r="T1999" s="419"/>
      <c r="U1999" s="559"/>
      <c r="V1999" s="141"/>
      <c r="W1999" s="141"/>
      <c r="X1999" s="141"/>
      <c r="Y1999" s="144"/>
      <c r="Z1999" s="141"/>
      <c r="AA1999" s="141"/>
      <c r="AB1999" s="141"/>
      <c r="AC1999" s="141"/>
      <c r="AD1999" s="141"/>
      <c r="AE1999" s="141"/>
      <c r="AF1999" s="145"/>
      <c r="AG1999" s="419"/>
    </row>
    <row r="2000" spans="1:33" s="139" customFormat="1" ht="12.75" customHeight="1" x14ac:dyDescent="0.2">
      <c r="A2000" s="141"/>
      <c r="B2000" s="141"/>
      <c r="C2000" s="141"/>
      <c r="D2000" s="141"/>
      <c r="E2000" s="1014"/>
      <c r="F2000" s="1014"/>
      <c r="G2000" s="1027"/>
      <c r="H2000" s="1027"/>
      <c r="I2000" s="1174"/>
      <c r="J2000" s="1174"/>
      <c r="K2000" s="1174"/>
      <c r="L2000" s="1172"/>
      <c r="M2000" s="1172"/>
      <c r="N2000" s="1175"/>
      <c r="O2000" s="143"/>
      <c r="P2000" s="1196"/>
      <c r="Q2000" s="141"/>
      <c r="R2000" s="141"/>
      <c r="S2000" s="148"/>
      <c r="T2000" s="419"/>
      <c r="U2000" s="559"/>
      <c r="V2000" s="141"/>
      <c r="W2000" s="141"/>
      <c r="X2000" s="141"/>
      <c r="Y2000" s="144"/>
      <c r="Z2000" s="141"/>
      <c r="AA2000" s="141"/>
      <c r="AB2000" s="141"/>
      <c r="AC2000" s="141"/>
      <c r="AD2000" s="141"/>
      <c r="AE2000" s="141"/>
      <c r="AF2000" s="145"/>
      <c r="AG2000" s="419"/>
    </row>
    <row r="2001" spans="1:33" s="139" customFormat="1" ht="12.75" customHeight="1" x14ac:dyDescent="0.2">
      <c r="A2001" s="141"/>
      <c r="B2001" s="141"/>
      <c r="C2001" s="141"/>
      <c r="D2001" s="141"/>
      <c r="E2001" s="1014"/>
      <c r="F2001" s="1014"/>
      <c r="G2001" s="1027"/>
      <c r="H2001" s="1027"/>
      <c r="I2001" s="1174"/>
      <c r="J2001" s="1174"/>
      <c r="K2001" s="1174"/>
      <c r="L2001" s="1172"/>
      <c r="M2001" s="1172"/>
      <c r="N2001" s="1175"/>
      <c r="O2001" s="143"/>
      <c r="P2001" s="1196"/>
      <c r="Q2001" s="141"/>
      <c r="R2001" s="141"/>
      <c r="S2001" s="148"/>
      <c r="T2001" s="419"/>
      <c r="U2001" s="559"/>
      <c r="V2001" s="141"/>
      <c r="W2001" s="141"/>
      <c r="X2001" s="141"/>
      <c r="Y2001" s="144"/>
      <c r="Z2001" s="141"/>
      <c r="AA2001" s="141"/>
      <c r="AB2001" s="141"/>
      <c r="AC2001" s="141"/>
      <c r="AD2001" s="141"/>
      <c r="AE2001" s="141"/>
      <c r="AF2001" s="145"/>
      <c r="AG2001" s="419"/>
    </row>
    <row r="2002" spans="1:33" s="139" customFormat="1" ht="12.75" customHeight="1" x14ac:dyDescent="0.2">
      <c r="A2002" s="141"/>
      <c r="B2002" s="141"/>
      <c r="C2002" s="141"/>
      <c r="D2002" s="141"/>
      <c r="E2002" s="1014"/>
      <c r="F2002" s="1014"/>
      <c r="G2002" s="1027"/>
      <c r="H2002" s="1027"/>
      <c r="I2002" s="1174"/>
      <c r="J2002" s="1174"/>
      <c r="K2002" s="1174"/>
      <c r="L2002" s="1172"/>
      <c r="M2002" s="1172"/>
      <c r="N2002" s="1175"/>
      <c r="O2002" s="143"/>
      <c r="P2002" s="1196"/>
      <c r="Q2002" s="141"/>
      <c r="R2002" s="141"/>
      <c r="S2002" s="148"/>
      <c r="T2002" s="419"/>
      <c r="U2002" s="559"/>
      <c r="V2002" s="141"/>
      <c r="W2002" s="141"/>
      <c r="X2002" s="141"/>
      <c r="Y2002" s="144"/>
      <c r="Z2002" s="141"/>
      <c r="AA2002" s="141"/>
      <c r="AB2002" s="141"/>
      <c r="AC2002" s="141"/>
      <c r="AD2002" s="141"/>
      <c r="AE2002" s="141"/>
      <c r="AF2002" s="145"/>
      <c r="AG2002" s="419"/>
    </row>
    <row r="2003" spans="1:33" s="139" customFormat="1" ht="12.75" customHeight="1" x14ac:dyDescent="0.2">
      <c r="A2003" s="141"/>
      <c r="B2003" s="141"/>
      <c r="C2003" s="141"/>
      <c r="D2003" s="141"/>
      <c r="E2003" s="1014"/>
      <c r="F2003" s="1014"/>
      <c r="G2003" s="1027"/>
      <c r="H2003" s="1027"/>
      <c r="I2003" s="1174"/>
      <c r="J2003" s="1174"/>
      <c r="K2003" s="1174"/>
      <c r="L2003" s="1172"/>
      <c r="M2003" s="1172"/>
      <c r="N2003" s="1175"/>
      <c r="O2003" s="143"/>
      <c r="P2003" s="1196"/>
      <c r="Q2003" s="141"/>
      <c r="R2003" s="141"/>
      <c r="S2003" s="148"/>
      <c r="T2003" s="419"/>
      <c r="U2003" s="559"/>
      <c r="V2003" s="141"/>
      <c r="W2003" s="141"/>
      <c r="X2003" s="141"/>
      <c r="Y2003" s="144"/>
      <c r="Z2003" s="141"/>
      <c r="AA2003" s="141"/>
      <c r="AB2003" s="141"/>
      <c r="AC2003" s="141"/>
      <c r="AD2003" s="141"/>
      <c r="AE2003" s="141"/>
      <c r="AF2003" s="145"/>
      <c r="AG2003" s="419"/>
    </row>
    <row r="2004" spans="1:33" s="139" customFormat="1" ht="12.75" customHeight="1" x14ac:dyDescent="0.2">
      <c r="A2004" s="141"/>
      <c r="B2004" s="141"/>
      <c r="C2004" s="141"/>
      <c r="D2004" s="141"/>
      <c r="E2004" s="1014"/>
      <c r="F2004" s="1014"/>
      <c r="G2004" s="1027"/>
      <c r="H2004" s="1027"/>
      <c r="I2004" s="1174"/>
      <c r="J2004" s="1174"/>
      <c r="K2004" s="1174"/>
      <c r="L2004" s="1172"/>
      <c r="M2004" s="1172"/>
      <c r="N2004" s="1175"/>
      <c r="O2004" s="143"/>
      <c r="P2004" s="1196"/>
      <c r="Q2004" s="141"/>
      <c r="R2004" s="141"/>
      <c r="S2004" s="148"/>
      <c r="T2004" s="419"/>
      <c r="U2004" s="559"/>
      <c r="V2004" s="141"/>
      <c r="W2004" s="141"/>
      <c r="X2004" s="141"/>
      <c r="Y2004" s="144"/>
      <c r="Z2004" s="141"/>
      <c r="AA2004" s="141"/>
      <c r="AB2004" s="141"/>
      <c r="AC2004" s="141"/>
      <c r="AD2004" s="141"/>
      <c r="AE2004" s="141"/>
      <c r="AF2004" s="145"/>
      <c r="AG2004" s="419"/>
    </row>
    <row r="2005" spans="1:33" s="139" customFormat="1" ht="12.75" customHeight="1" x14ac:dyDescent="0.2">
      <c r="A2005" s="141"/>
      <c r="B2005" s="141"/>
      <c r="C2005" s="141"/>
      <c r="D2005" s="141"/>
      <c r="E2005" s="1014"/>
      <c r="F2005" s="1014"/>
      <c r="G2005" s="1027"/>
      <c r="H2005" s="1027"/>
      <c r="I2005" s="1174"/>
      <c r="J2005" s="1174"/>
      <c r="K2005" s="1174"/>
      <c r="L2005" s="1172"/>
      <c r="M2005" s="1172"/>
      <c r="N2005" s="1175"/>
      <c r="O2005" s="143"/>
      <c r="P2005" s="1196"/>
      <c r="Q2005" s="141"/>
      <c r="R2005" s="141"/>
      <c r="S2005" s="148"/>
      <c r="T2005" s="419"/>
      <c r="U2005" s="559"/>
      <c r="V2005" s="141"/>
      <c r="W2005" s="141"/>
      <c r="X2005" s="141"/>
      <c r="Y2005" s="144"/>
      <c r="Z2005" s="141"/>
      <c r="AA2005" s="141"/>
      <c r="AB2005" s="141"/>
      <c r="AC2005" s="141"/>
      <c r="AD2005" s="141"/>
      <c r="AE2005" s="141"/>
      <c r="AF2005" s="145"/>
      <c r="AG2005" s="419"/>
    </row>
    <row r="2006" spans="1:33" s="139" customFormat="1" ht="12.75" customHeight="1" x14ac:dyDescent="0.2">
      <c r="A2006" s="141"/>
      <c r="B2006" s="141"/>
      <c r="C2006" s="141"/>
      <c r="D2006" s="141"/>
      <c r="E2006" s="1014"/>
      <c r="F2006" s="1014"/>
      <c r="G2006" s="1027"/>
      <c r="H2006" s="1027"/>
      <c r="I2006" s="1174"/>
      <c r="J2006" s="1174"/>
      <c r="K2006" s="1174"/>
      <c r="L2006" s="1172"/>
      <c r="M2006" s="1172"/>
      <c r="N2006" s="1175"/>
      <c r="O2006" s="143"/>
      <c r="P2006" s="1196"/>
      <c r="Q2006" s="141"/>
      <c r="R2006" s="141"/>
      <c r="S2006" s="148"/>
      <c r="T2006" s="419"/>
      <c r="U2006" s="559"/>
      <c r="V2006" s="141"/>
      <c r="W2006" s="141"/>
      <c r="X2006" s="141"/>
      <c r="Y2006" s="144"/>
      <c r="Z2006" s="141"/>
      <c r="AA2006" s="141"/>
      <c r="AB2006" s="141"/>
      <c r="AC2006" s="141"/>
      <c r="AD2006" s="141"/>
      <c r="AE2006" s="141"/>
      <c r="AF2006" s="145"/>
      <c r="AG2006" s="419"/>
    </row>
    <row r="2007" spans="1:33" s="139" customFormat="1" ht="12.75" customHeight="1" x14ac:dyDescent="0.2">
      <c r="A2007" s="141"/>
      <c r="B2007" s="141"/>
      <c r="C2007" s="141"/>
      <c r="D2007" s="141"/>
      <c r="E2007" s="1014"/>
      <c r="F2007" s="1014"/>
      <c r="G2007" s="1027"/>
      <c r="H2007" s="1027"/>
      <c r="I2007" s="1174"/>
      <c r="J2007" s="1174"/>
      <c r="K2007" s="1174"/>
      <c r="L2007" s="1172"/>
      <c r="M2007" s="1172"/>
      <c r="N2007" s="1175"/>
      <c r="O2007" s="143"/>
      <c r="P2007" s="1196"/>
      <c r="Q2007" s="141"/>
      <c r="R2007" s="141"/>
      <c r="S2007" s="148"/>
      <c r="T2007" s="419"/>
      <c r="U2007" s="559"/>
      <c r="V2007" s="141"/>
      <c r="W2007" s="141"/>
      <c r="X2007" s="141"/>
      <c r="Y2007" s="144"/>
      <c r="Z2007" s="141"/>
      <c r="AA2007" s="141"/>
      <c r="AB2007" s="141"/>
      <c r="AC2007" s="141"/>
      <c r="AD2007" s="141"/>
      <c r="AE2007" s="141"/>
      <c r="AF2007" s="145"/>
      <c r="AG2007" s="419"/>
    </row>
    <row r="2008" spans="1:33" s="139" customFormat="1" ht="12.75" customHeight="1" x14ac:dyDescent="0.2">
      <c r="A2008" s="141"/>
      <c r="B2008" s="141"/>
      <c r="C2008" s="141"/>
      <c r="D2008" s="141"/>
      <c r="E2008" s="1014"/>
      <c r="F2008" s="1014"/>
      <c r="G2008" s="1027"/>
      <c r="H2008" s="1027"/>
      <c r="I2008" s="1174"/>
      <c r="J2008" s="1174"/>
      <c r="K2008" s="1174"/>
      <c r="L2008" s="1172"/>
      <c r="M2008" s="1172"/>
      <c r="N2008" s="1175"/>
      <c r="O2008" s="143"/>
      <c r="P2008" s="1196"/>
      <c r="Q2008" s="141"/>
      <c r="R2008" s="141"/>
      <c r="S2008" s="148"/>
      <c r="T2008" s="419"/>
      <c r="U2008" s="559"/>
      <c r="V2008" s="141"/>
      <c r="W2008" s="141"/>
      <c r="X2008" s="141"/>
      <c r="Y2008" s="144"/>
      <c r="Z2008" s="141"/>
      <c r="AA2008" s="141"/>
      <c r="AB2008" s="141"/>
      <c r="AC2008" s="141"/>
      <c r="AD2008" s="141"/>
      <c r="AE2008" s="141"/>
      <c r="AF2008" s="145"/>
      <c r="AG2008" s="419"/>
    </row>
    <row r="2009" spans="1:33" s="139" customFormat="1" ht="12.75" customHeight="1" x14ac:dyDescent="0.2">
      <c r="A2009" s="141"/>
      <c r="B2009" s="141"/>
      <c r="C2009" s="141"/>
      <c r="D2009" s="141"/>
      <c r="E2009" s="1014"/>
      <c r="F2009" s="1014"/>
      <c r="G2009" s="1027"/>
      <c r="H2009" s="1027"/>
      <c r="I2009" s="1174"/>
      <c r="J2009" s="1174"/>
      <c r="K2009" s="1174"/>
      <c r="L2009" s="1172"/>
      <c r="M2009" s="1172"/>
      <c r="N2009" s="1175"/>
      <c r="O2009" s="143"/>
      <c r="P2009" s="1196"/>
      <c r="Q2009" s="141"/>
      <c r="R2009" s="141"/>
      <c r="S2009" s="148"/>
      <c r="T2009" s="419"/>
      <c r="U2009" s="559"/>
      <c r="V2009" s="141"/>
      <c r="W2009" s="141"/>
      <c r="X2009" s="141"/>
      <c r="Y2009" s="144"/>
      <c r="Z2009" s="141"/>
      <c r="AA2009" s="141"/>
      <c r="AB2009" s="141"/>
      <c r="AC2009" s="141"/>
      <c r="AD2009" s="141"/>
      <c r="AE2009" s="141"/>
      <c r="AF2009" s="145"/>
      <c r="AG2009" s="419"/>
    </row>
    <row r="2010" spans="1:33" s="139" customFormat="1" ht="12.75" customHeight="1" x14ac:dyDescent="0.2">
      <c r="A2010" s="141"/>
      <c r="B2010" s="141"/>
      <c r="C2010" s="141"/>
      <c r="D2010" s="141"/>
      <c r="E2010" s="1014"/>
      <c r="F2010" s="1014"/>
      <c r="G2010" s="1027"/>
      <c r="H2010" s="1027"/>
      <c r="I2010" s="1174"/>
      <c r="J2010" s="1174"/>
      <c r="K2010" s="1174"/>
      <c r="L2010" s="1172"/>
      <c r="M2010" s="1172"/>
      <c r="N2010" s="1175"/>
      <c r="O2010" s="143"/>
      <c r="P2010" s="1196"/>
      <c r="Q2010" s="141"/>
      <c r="R2010" s="141"/>
      <c r="S2010" s="148"/>
      <c r="T2010" s="419"/>
      <c r="U2010" s="559"/>
      <c r="V2010" s="141"/>
      <c r="W2010" s="141"/>
      <c r="X2010" s="141"/>
      <c r="Y2010" s="144"/>
      <c r="Z2010" s="141"/>
      <c r="AA2010" s="141"/>
      <c r="AB2010" s="141"/>
      <c r="AC2010" s="141"/>
      <c r="AD2010" s="141"/>
      <c r="AE2010" s="141"/>
      <c r="AF2010" s="145"/>
      <c r="AG2010" s="419"/>
    </row>
    <row r="2011" spans="1:33" s="139" customFormat="1" ht="12.75" customHeight="1" x14ac:dyDescent="0.2">
      <c r="A2011" s="141"/>
      <c r="B2011" s="141"/>
      <c r="C2011" s="141"/>
      <c r="D2011" s="141"/>
      <c r="E2011" s="1014"/>
      <c r="F2011" s="1014"/>
      <c r="G2011" s="1027"/>
      <c r="H2011" s="1027"/>
      <c r="I2011" s="1174"/>
      <c r="J2011" s="1174"/>
      <c r="K2011" s="1174"/>
      <c r="L2011" s="1172"/>
      <c r="M2011" s="1172"/>
      <c r="N2011" s="1175"/>
      <c r="O2011" s="143"/>
      <c r="P2011" s="1196"/>
      <c r="Q2011" s="141"/>
      <c r="R2011" s="141"/>
      <c r="S2011" s="148"/>
      <c r="T2011" s="419"/>
      <c r="U2011" s="559"/>
      <c r="V2011" s="141"/>
      <c r="W2011" s="141"/>
      <c r="X2011" s="141"/>
      <c r="Y2011" s="144"/>
      <c r="Z2011" s="141"/>
      <c r="AA2011" s="141"/>
      <c r="AB2011" s="141"/>
      <c r="AC2011" s="141"/>
      <c r="AD2011" s="141"/>
      <c r="AE2011" s="141"/>
      <c r="AF2011" s="145"/>
      <c r="AG2011" s="419"/>
    </row>
    <row r="2012" spans="1:33" s="139" customFormat="1" ht="12.75" customHeight="1" x14ac:dyDescent="0.2">
      <c r="A2012" s="141"/>
      <c r="B2012" s="141"/>
      <c r="C2012" s="141"/>
      <c r="D2012" s="141"/>
      <c r="E2012" s="1014"/>
      <c r="F2012" s="1014"/>
      <c r="G2012" s="1027"/>
      <c r="H2012" s="1027"/>
      <c r="I2012" s="1174"/>
      <c r="J2012" s="1174"/>
      <c r="K2012" s="1174"/>
      <c r="L2012" s="1172"/>
      <c r="M2012" s="1172"/>
      <c r="N2012" s="1175"/>
      <c r="O2012" s="143"/>
      <c r="P2012" s="1196"/>
      <c r="Q2012" s="141"/>
      <c r="R2012" s="141"/>
      <c r="S2012" s="148"/>
      <c r="T2012" s="419"/>
      <c r="U2012" s="559"/>
      <c r="V2012" s="141"/>
      <c r="W2012" s="141"/>
      <c r="X2012" s="141"/>
      <c r="Y2012" s="144"/>
      <c r="Z2012" s="141"/>
      <c r="AA2012" s="141"/>
      <c r="AB2012" s="141"/>
      <c r="AC2012" s="141"/>
      <c r="AD2012" s="141"/>
      <c r="AE2012" s="141"/>
      <c r="AF2012" s="145"/>
      <c r="AG2012" s="419"/>
    </row>
    <row r="2013" spans="1:33" s="139" customFormat="1" ht="12.75" customHeight="1" x14ac:dyDescent="0.2">
      <c r="A2013" s="141"/>
      <c r="B2013" s="141"/>
      <c r="C2013" s="141"/>
      <c r="D2013" s="141"/>
      <c r="E2013" s="1014"/>
      <c r="F2013" s="1014"/>
      <c r="G2013" s="1027"/>
      <c r="H2013" s="1027"/>
      <c r="I2013" s="1174"/>
      <c r="J2013" s="1174"/>
      <c r="K2013" s="1174"/>
      <c r="L2013" s="1172"/>
      <c r="M2013" s="1172"/>
      <c r="N2013" s="1175"/>
      <c r="O2013" s="143"/>
      <c r="P2013" s="1196"/>
      <c r="Q2013" s="141"/>
      <c r="R2013" s="141"/>
      <c r="S2013" s="148"/>
      <c r="T2013" s="419"/>
      <c r="U2013" s="559"/>
      <c r="V2013" s="141"/>
      <c r="W2013" s="141"/>
      <c r="X2013" s="141"/>
      <c r="Y2013" s="144"/>
      <c r="Z2013" s="141"/>
      <c r="AA2013" s="141"/>
      <c r="AB2013" s="141"/>
      <c r="AC2013" s="141"/>
      <c r="AD2013" s="141"/>
      <c r="AE2013" s="141"/>
      <c r="AF2013" s="145"/>
      <c r="AG2013" s="419"/>
    </row>
    <row r="2014" spans="1:33" s="139" customFormat="1" ht="12.75" customHeight="1" x14ac:dyDescent="0.2">
      <c r="A2014" s="141"/>
      <c r="B2014" s="141"/>
      <c r="C2014" s="141"/>
      <c r="D2014" s="141"/>
      <c r="E2014" s="1014"/>
      <c r="F2014" s="1014"/>
      <c r="G2014" s="1027"/>
      <c r="H2014" s="1027"/>
      <c r="I2014" s="1174"/>
      <c r="J2014" s="1174"/>
      <c r="K2014" s="1174"/>
      <c r="L2014" s="1172"/>
      <c r="M2014" s="1172"/>
      <c r="N2014" s="1175"/>
      <c r="O2014" s="143"/>
      <c r="P2014" s="1196"/>
      <c r="Q2014" s="141"/>
      <c r="R2014" s="141"/>
      <c r="S2014" s="148"/>
      <c r="T2014" s="419"/>
      <c r="U2014" s="559"/>
      <c r="V2014" s="141"/>
      <c r="W2014" s="141"/>
      <c r="X2014" s="141"/>
      <c r="Y2014" s="144"/>
      <c r="Z2014" s="141"/>
      <c r="AA2014" s="141"/>
      <c r="AB2014" s="141"/>
      <c r="AC2014" s="141"/>
      <c r="AD2014" s="141"/>
      <c r="AE2014" s="141"/>
      <c r="AF2014" s="145"/>
      <c r="AG2014" s="419"/>
    </row>
    <row r="2015" spans="1:33" s="139" customFormat="1" ht="12.75" customHeight="1" x14ac:dyDescent="0.2">
      <c r="A2015" s="141"/>
      <c r="B2015" s="141"/>
      <c r="C2015" s="141"/>
      <c r="D2015" s="141"/>
      <c r="E2015" s="1014"/>
      <c r="F2015" s="1014"/>
      <c r="G2015" s="1027"/>
      <c r="H2015" s="1027"/>
      <c r="I2015" s="1174"/>
      <c r="J2015" s="1174"/>
      <c r="K2015" s="1174"/>
      <c r="L2015" s="1172"/>
      <c r="M2015" s="1172"/>
      <c r="N2015" s="1175"/>
      <c r="O2015" s="143"/>
      <c r="P2015" s="1196"/>
      <c r="Q2015" s="141"/>
      <c r="R2015" s="141"/>
      <c r="S2015" s="148"/>
      <c r="T2015" s="419"/>
      <c r="U2015" s="559"/>
      <c r="V2015" s="141"/>
      <c r="W2015" s="141"/>
      <c r="X2015" s="141"/>
      <c r="Y2015" s="144"/>
      <c r="Z2015" s="141"/>
      <c r="AA2015" s="141"/>
      <c r="AB2015" s="141"/>
      <c r="AC2015" s="141"/>
      <c r="AD2015" s="141"/>
      <c r="AE2015" s="141"/>
      <c r="AF2015" s="145"/>
      <c r="AG2015" s="419"/>
    </row>
    <row r="2016" spans="1:33" s="139" customFormat="1" ht="12.75" customHeight="1" x14ac:dyDescent="0.2">
      <c r="A2016" s="141"/>
      <c r="B2016" s="141"/>
      <c r="C2016" s="141"/>
      <c r="D2016" s="141"/>
      <c r="E2016" s="1014"/>
      <c r="F2016" s="1014"/>
      <c r="G2016" s="1027"/>
      <c r="H2016" s="1027"/>
      <c r="I2016" s="1174"/>
      <c r="J2016" s="1174"/>
      <c r="K2016" s="1174"/>
      <c r="L2016" s="1172"/>
      <c r="M2016" s="1172"/>
      <c r="N2016" s="1175"/>
      <c r="O2016" s="143"/>
      <c r="P2016" s="1196"/>
      <c r="Q2016" s="141"/>
      <c r="R2016" s="141"/>
      <c r="S2016" s="148"/>
      <c r="T2016" s="419"/>
      <c r="U2016" s="559"/>
      <c r="V2016" s="141"/>
      <c r="W2016" s="141"/>
      <c r="X2016" s="141"/>
      <c r="Y2016" s="144"/>
      <c r="Z2016" s="141"/>
      <c r="AA2016" s="141"/>
      <c r="AB2016" s="141"/>
      <c r="AC2016" s="141"/>
      <c r="AD2016" s="141"/>
      <c r="AE2016" s="141"/>
      <c r="AF2016" s="145"/>
      <c r="AG2016" s="419"/>
    </row>
    <row r="2017" spans="1:33" s="139" customFormat="1" ht="12.75" customHeight="1" x14ac:dyDescent="0.2">
      <c r="A2017" s="141"/>
      <c r="B2017" s="141"/>
      <c r="C2017" s="141"/>
      <c r="D2017" s="141"/>
      <c r="E2017" s="1014"/>
      <c r="F2017" s="1014"/>
      <c r="G2017" s="1027"/>
      <c r="H2017" s="1027"/>
      <c r="I2017" s="1174"/>
      <c r="J2017" s="1174"/>
      <c r="K2017" s="1174"/>
      <c r="L2017" s="1172"/>
      <c r="M2017" s="1172"/>
      <c r="N2017" s="1175"/>
      <c r="O2017" s="143"/>
      <c r="P2017" s="1196"/>
      <c r="Q2017" s="141"/>
      <c r="R2017" s="141"/>
      <c r="S2017" s="148"/>
      <c r="T2017" s="419"/>
      <c r="U2017" s="559"/>
      <c r="V2017" s="141"/>
      <c r="W2017" s="141"/>
      <c r="X2017" s="141"/>
      <c r="Y2017" s="144"/>
      <c r="Z2017" s="141"/>
      <c r="AA2017" s="141"/>
      <c r="AB2017" s="141"/>
      <c r="AC2017" s="141"/>
      <c r="AD2017" s="141"/>
      <c r="AE2017" s="141"/>
      <c r="AF2017" s="145"/>
      <c r="AG2017" s="419"/>
    </row>
    <row r="2018" spans="1:33" s="139" customFormat="1" ht="12.75" customHeight="1" x14ac:dyDescent="0.2">
      <c r="A2018" s="141"/>
      <c r="B2018" s="141"/>
      <c r="C2018" s="141"/>
      <c r="D2018" s="141"/>
      <c r="E2018" s="1014"/>
      <c r="F2018" s="1014"/>
      <c r="G2018" s="1027"/>
      <c r="H2018" s="1027"/>
      <c r="I2018" s="1174"/>
      <c r="J2018" s="1174"/>
      <c r="K2018" s="1174"/>
      <c r="L2018" s="1172"/>
      <c r="M2018" s="1172"/>
      <c r="N2018" s="1175"/>
      <c r="O2018" s="143"/>
      <c r="P2018" s="1196"/>
      <c r="Q2018" s="141"/>
      <c r="R2018" s="141"/>
      <c r="S2018" s="148"/>
      <c r="T2018" s="419"/>
      <c r="U2018" s="559"/>
      <c r="V2018" s="141"/>
      <c r="W2018" s="141"/>
      <c r="X2018" s="141"/>
      <c r="Y2018" s="144"/>
      <c r="Z2018" s="141"/>
      <c r="AA2018" s="141"/>
      <c r="AB2018" s="141"/>
      <c r="AC2018" s="141"/>
      <c r="AD2018" s="141"/>
      <c r="AE2018" s="141"/>
      <c r="AF2018" s="145"/>
      <c r="AG2018" s="419"/>
    </row>
    <row r="2019" spans="1:33" s="139" customFormat="1" ht="12.75" customHeight="1" x14ac:dyDescent="0.2">
      <c r="A2019" s="141"/>
      <c r="B2019" s="141"/>
      <c r="C2019" s="141"/>
      <c r="D2019" s="141"/>
      <c r="E2019" s="1014"/>
      <c r="F2019" s="1014"/>
      <c r="G2019" s="1027"/>
      <c r="H2019" s="1027"/>
      <c r="I2019" s="1174"/>
      <c r="J2019" s="1174"/>
      <c r="K2019" s="1174"/>
      <c r="L2019" s="1172"/>
      <c r="M2019" s="1172"/>
      <c r="N2019" s="1175"/>
      <c r="O2019" s="143"/>
      <c r="P2019" s="1196"/>
      <c r="Q2019" s="141"/>
      <c r="R2019" s="141"/>
      <c r="S2019" s="148"/>
      <c r="T2019" s="419"/>
      <c r="U2019" s="559"/>
      <c r="V2019" s="141"/>
      <c r="W2019" s="141"/>
      <c r="X2019" s="141"/>
      <c r="Y2019" s="144"/>
      <c r="Z2019" s="141"/>
      <c r="AA2019" s="141"/>
      <c r="AB2019" s="141"/>
      <c r="AC2019" s="141"/>
      <c r="AD2019" s="141"/>
      <c r="AE2019" s="141"/>
      <c r="AF2019" s="145"/>
      <c r="AG2019" s="419"/>
    </row>
    <row r="2020" spans="1:33" s="139" customFormat="1" ht="12.75" customHeight="1" x14ac:dyDescent="0.2">
      <c r="A2020" s="141"/>
      <c r="B2020" s="141"/>
      <c r="C2020" s="141"/>
      <c r="D2020" s="141"/>
      <c r="E2020" s="1014"/>
      <c r="F2020" s="1014"/>
      <c r="G2020" s="1027"/>
      <c r="H2020" s="1027"/>
      <c r="I2020" s="1174"/>
      <c r="J2020" s="1174"/>
      <c r="K2020" s="1174"/>
      <c r="L2020" s="1172"/>
      <c r="M2020" s="1172"/>
      <c r="N2020" s="1175"/>
      <c r="O2020" s="143"/>
      <c r="P2020" s="1196"/>
      <c r="Q2020" s="141"/>
      <c r="R2020" s="141"/>
      <c r="S2020" s="148"/>
      <c r="T2020" s="419"/>
      <c r="U2020" s="559"/>
      <c r="V2020" s="141"/>
      <c r="W2020" s="141"/>
      <c r="X2020" s="141"/>
      <c r="Y2020" s="144"/>
      <c r="Z2020" s="141"/>
      <c r="AA2020" s="141"/>
      <c r="AB2020" s="141"/>
      <c r="AC2020" s="141"/>
      <c r="AD2020" s="141"/>
      <c r="AE2020" s="141"/>
      <c r="AF2020" s="145"/>
      <c r="AG2020" s="419"/>
    </row>
    <row r="2021" spans="1:33" s="139" customFormat="1" ht="12.75" customHeight="1" x14ac:dyDescent="0.2">
      <c r="A2021" s="141"/>
      <c r="B2021" s="141"/>
      <c r="C2021" s="141"/>
      <c r="D2021" s="141"/>
      <c r="E2021" s="1014"/>
      <c r="F2021" s="1014"/>
      <c r="G2021" s="1027"/>
      <c r="H2021" s="1027"/>
      <c r="I2021" s="1174"/>
      <c r="J2021" s="1174"/>
      <c r="K2021" s="1174"/>
      <c r="L2021" s="1172"/>
      <c r="M2021" s="1172"/>
      <c r="N2021" s="1175"/>
      <c r="O2021" s="143"/>
      <c r="P2021" s="1196"/>
      <c r="Q2021" s="141"/>
      <c r="R2021" s="141"/>
      <c r="S2021" s="148"/>
      <c r="T2021" s="419"/>
      <c r="U2021" s="559"/>
      <c r="V2021" s="141"/>
      <c r="W2021" s="141"/>
      <c r="X2021" s="141"/>
      <c r="Y2021" s="144"/>
      <c r="Z2021" s="141"/>
      <c r="AA2021" s="141"/>
      <c r="AB2021" s="141"/>
      <c r="AC2021" s="141"/>
      <c r="AD2021" s="141"/>
      <c r="AE2021" s="141"/>
      <c r="AF2021" s="145"/>
      <c r="AG2021" s="419"/>
    </row>
    <row r="2022" spans="1:33" s="139" customFormat="1" ht="12.75" customHeight="1" x14ac:dyDescent="0.2">
      <c r="A2022" s="141"/>
      <c r="B2022" s="141"/>
      <c r="C2022" s="141"/>
      <c r="D2022" s="141"/>
      <c r="E2022" s="1014"/>
      <c r="F2022" s="1014"/>
      <c r="G2022" s="1027"/>
      <c r="H2022" s="1027"/>
      <c r="I2022" s="1174"/>
      <c r="J2022" s="1174"/>
      <c r="K2022" s="1174"/>
      <c r="L2022" s="1172"/>
      <c r="M2022" s="1172"/>
      <c r="N2022" s="1175"/>
      <c r="O2022" s="143"/>
      <c r="P2022" s="1196"/>
      <c r="Q2022" s="141"/>
      <c r="R2022" s="141"/>
      <c r="S2022" s="148"/>
      <c r="T2022" s="419"/>
      <c r="U2022" s="559"/>
      <c r="V2022" s="141"/>
      <c r="W2022" s="141"/>
      <c r="X2022" s="141"/>
      <c r="Y2022" s="144"/>
      <c r="Z2022" s="141"/>
      <c r="AA2022" s="141"/>
      <c r="AB2022" s="141"/>
      <c r="AC2022" s="141"/>
      <c r="AD2022" s="141"/>
      <c r="AE2022" s="141"/>
      <c r="AF2022" s="145"/>
      <c r="AG2022" s="419"/>
    </row>
    <row r="2023" spans="1:33" s="139" customFormat="1" ht="12.75" customHeight="1" x14ac:dyDescent="0.2">
      <c r="A2023" s="141"/>
      <c r="B2023" s="141"/>
      <c r="C2023" s="141"/>
      <c r="D2023" s="141"/>
      <c r="E2023" s="1014"/>
      <c r="F2023" s="1014"/>
      <c r="G2023" s="1027"/>
      <c r="H2023" s="1027"/>
      <c r="I2023" s="1174"/>
      <c r="J2023" s="1174"/>
      <c r="K2023" s="1174"/>
      <c r="L2023" s="1172"/>
      <c r="M2023" s="1172"/>
      <c r="N2023" s="1175"/>
      <c r="O2023" s="143"/>
      <c r="P2023" s="1196"/>
      <c r="Q2023" s="141"/>
      <c r="R2023" s="141"/>
      <c r="S2023" s="148"/>
      <c r="T2023" s="419"/>
      <c r="U2023" s="559"/>
      <c r="V2023" s="141"/>
      <c r="W2023" s="141"/>
      <c r="X2023" s="141"/>
      <c r="Y2023" s="144"/>
      <c r="Z2023" s="141"/>
      <c r="AA2023" s="141"/>
      <c r="AB2023" s="141"/>
      <c r="AC2023" s="141"/>
      <c r="AD2023" s="141"/>
      <c r="AE2023" s="141"/>
      <c r="AF2023" s="145"/>
      <c r="AG2023" s="419"/>
    </row>
    <row r="2024" spans="1:33" s="139" customFormat="1" ht="12.75" customHeight="1" x14ac:dyDescent="0.2">
      <c r="A2024" s="141"/>
      <c r="B2024" s="141"/>
      <c r="C2024" s="141"/>
      <c r="D2024" s="141"/>
      <c r="E2024" s="1014"/>
      <c r="F2024" s="1014"/>
      <c r="G2024" s="1027"/>
      <c r="H2024" s="1027"/>
      <c r="I2024" s="1174"/>
      <c r="J2024" s="1174"/>
      <c r="K2024" s="1174"/>
      <c r="L2024" s="1172"/>
      <c r="M2024" s="1172"/>
      <c r="N2024" s="1175"/>
      <c r="O2024" s="143"/>
      <c r="P2024" s="1196"/>
      <c r="Q2024" s="141"/>
      <c r="R2024" s="141"/>
      <c r="S2024" s="148"/>
      <c r="T2024" s="419"/>
      <c r="U2024" s="559"/>
      <c r="V2024" s="141"/>
      <c r="W2024" s="141"/>
      <c r="X2024" s="141"/>
      <c r="Y2024" s="144"/>
      <c r="Z2024" s="141"/>
      <c r="AA2024" s="141"/>
      <c r="AB2024" s="141"/>
      <c r="AC2024" s="141"/>
      <c r="AD2024" s="141"/>
      <c r="AE2024" s="141"/>
      <c r="AF2024" s="145"/>
      <c r="AG2024" s="419"/>
    </row>
    <row r="2025" spans="1:33" s="139" customFormat="1" ht="12.75" customHeight="1" x14ac:dyDescent="0.2">
      <c r="A2025" s="141"/>
      <c r="B2025" s="141"/>
      <c r="C2025" s="141"/>
      <c r="D2025" s="141"/>
      <c r="E2025" s="1014"/>
      <c r="F2025" s="1014"/>
      <c r="G2025" s="1027"/>
      <c r="H2025" s="1027"/>
      <c r="I2025" s="1174"/>
      <c r="J2025" s="1174"/>
      <c r="K2025" s="1174"/>
      <c r="L2025" s="1172"/>
      <c r="M2025" s="1172"/>
      <c r="N2025" s="1175"/>
      <c r="O2025" s="143"/>
      <c r="P2025" s="1196"/>
      <c r="Q2025" s="141"/>
      <c r="R2025" s="141"/>
      <c r="S2025" s="148"/>
      <c r="T2025" s="419"/>
      <c r="U2025" s="559"/>
      <c r="V2025" s="141"/>
      <c r="W2025" s="141"/>
      <c r="X2025" s="141"/>
      <c r="Y2025" s="144"/>
      <c r="Z2025" s="141"/>
      <c r="AA2025" s="141"/>
      <c r="AB2025" s="141"/>
      <c r="AC2025" s="141"/>
      <c r="AD2025" s="141"/>
      <c r="AE2025" s="141"/>
      <c r="AF2025" s="145"/>
      <c r="AG2025" s="419"/>
    </row>
    <row r="2026" spans="1:33" s="139" customFormat="1" ht="12.75" customHeight="1" x14ac:dyDescent="0.2">
      <c r="A2026" s="141"/>
      <c r="B2026" s="141"/>
      <c r="C2026" s="141"/>
      <c r="D2026" s="141"/>
      <c r="E2026" s="1014"/>
      <c r="F2026" s="1014"/>
      <c r="G2026" s="1027"/>
      <c r="H2026" s="1027"/>
      <c r="I2026" s="1174"/>
      <c r="J2026" s="1174"/>
      <c r="K2026" s="1174"/>
      <c r="L2026" s="1172"/>
      <c r="M2026" s="1172"/>
      <c r="N2026" s="1175"/>
      <c r="O2026" s="143"/>
      <c r="P2026" s="1196"/>
      <c r="Q2026" s="141"/>
      <c r="R2026" s="141"/>
      <c r="S2026" s="148"/>
      <c r="T2026" s="419"/>
      <c r="U2026" s="559"/>
      <c r="V2026" s="141"/>
      <c r="W2026" s="141"/>
      <c r="X2026" s="141"/>
      <c r="Y2026" s="144"/>
      <c r="Z2026" s="141"/>
      <c r="AA2026" s="141"/>
      <c r="AB2026" s="141"/>
      <c r="AC2026" s="141"/>
      <c r="AD2026" s="141"/>
      <c r="AE2026" s="141"/>
      <c r="AF2026" s="145"/>
      <c r="AG2026" s="419"/>
    </row>
    <row r="2027" spans="1:33" s="139" customFormat="1" ht="12.75" customHeight="1" x14ac:dyDescent="0.2">
      <c r="A2027" s="141"/>
      <c r="B2027" s="141"/>
      <c r="C2027" s="141"/>
      <c r="D2027" s="141"/>
      <c r="E2027" s="1014"/>
      <c r="F2027" s="1014"/>
      <c r="G2027" s="1027"/>
      <c r="H2027" s="1027"/>
      <c r="I2027" s="1174"/>
      <c r="J2027" s="1174"/>
      <c r="K2027" s="1174"/>
      <c r="L2027" s="1172"/>
      <c r="M2027" s="1172"/>
      <c r="N2027" s="1175"/>
      <c r="O2027" s="143"/>
      <c r="P2027" s="1196"/>
      <c r="Q2027" s="141"/>
      <c r="R2027" s="141"/>
      <c r="S2027" s="148"/>
      <c r="T2027" s="419"/>
      <c r="U2027" s="559"/>
      <c r="V2027" s="141"/>
      <c r="W2027" s="141"/>
      <c r="X2027" s="141"/>
      <c r="Y2027" s="144"/>
      <c r="Z2027" s="141"/>
      <c r="AA2027" s="141"/>
      <c r="AB2027" s="141"/>
      <c r="AC2027" s="141"/>
      <c r="AD2027" s="141"/>
      <c r="AE2027" s="141"/>
      <c r="AF2027" s="145"/>
      <c r="AG2027" s="419"/>
    </row>
    <row r="2028" spans="1:33" s="139" customFormat="1" ht="12.75" customHeight="1" x14ac:dyDescent="0.2">
      <c r="A2028" s="141"/>
      <c r="B2028" s="141"/>
      <c r="C2028" s="141"/>
      <c r="D2028" s="141"/>
      <c r="E2028" s="1014"/>
      <c r="F2028" s="1014"/>
      <c r="G2028" s="1027"/>
      <c r="H2028" s="1027"/>
      <c r="I2028" s="1174"/>
      <c r="J2028" s="1174"/>
      <c r="K2028" s="1174"/>
      <c r="L2028" s="1172"/>
      <c r="M2028" s="1172"/>
      <c r="N2028" s="1175"/>
      <c r="O2028" s="143"/>
      <c r="P2028" s="1196"/>
      <c r="Q2028" s="141"/>
      <c r="R2028" s="141"/>
      <c r="S2028" s="148"/>
      <c r="T2028" s="419"/>
      <c r="U2028" s="559"/>
      <c r="V2028" s="141"/>
      <c r="W2028" s="141"/>
      <c r="X2028" s="141"/>
      <c r="Y2028" s="144"/>
      <c r="Z2028" s="141"/>
      <c r="AA2028" s="141"/>
      <c r="AB2028" s="141"/>
      <c r="AC2028" s="141"/>
      <c r="AD2028" s="141"/>
      <c r="AE2028" s="141"/>
      <c r="AF2028" s="145"/>
      <c r="AG2028" s="419"/>
    </row>
    <row r="2029" spans="1:33" s="139" customFormat="1" ht="12.75" customHeight="1" x14ac:dyDescent="0.2">
      <c r="A2029" s="141"/>
      <c r="B2029" s="141"/>
      <c r="C2029" s="141"/>
      <c r="D2029" s="141"/>
      <c r="E2029" s="1014"/>
      <c r="F2029" s="1014"/>
      <c r="G2029" s="1027"/>
      <c r="H2029" s="1027"/>
      <c r="I2029" s="1174"/>
      <c r="J2029" s="1174"/>
      <c r="K2029" s="1174"/>
      <c r="L2029" s="1172"/>
      <c r="M2029" s="1172"/>
      <c r="N2029" s="1175"/>
      <c r="O2029" s="143"/>
      <c r="P2029" s="1196"/>
      <c r="Q2029" s="141"/>
      <c r="R2029" s="141"/>
      <c r="S2029" s="148"/>
      <c r="T2029" s="419"/>
      <c r="U2029" s="559"/>
      <c r="V2029" s="141"/>
      <c r="W2029" s="141"/>
      <c r="X2029" s="141"/>
      <c r="Y2029" s="144"/>
      <c r="Z2029" s="141"/>
      <c r="AA2029" s="141"/>
      <c r="AB2029" s="141"/>
      <c r="AC2029" s="141"/>
      <c r="AD2029" s="141"/>
      <c r="AE2029" s="141"/>
      <c r="AF2029" s="145"/>
      <c r="AG2029" s="419"/>
    </row>
    <row r="2030" spans="1:33" s="139" customFormat="1" ht="12.75" customHeight="1" x14ac:dyDescent="0.2">
      <c r="A2030" s="141"/>
      <c r="B2030" s="141"/>
      <c r="C2030" s="141"/>
      <c r="D2030" s="141"/>
      <c r="E2030" s="1014"/>
      <c r="F2030" s="1014"/>
      <c r="G2030" s="1027"/>
      <c r="H2030" s="1027"/>
      <c r="I2030" s="1174"/>
      <c r="J2030" s="1174"/>
      <c r="K2030" s="1174"/>
      <c r="L2030" s="1172"/>
      <c r="M2030" s="1172"/>
      <c r="N2030" s="1175"/>
      <c r="O2030" s="143"/>
      <c r="P2030" s="1196"/>
      <c r="Q2030" s="141"/>
      <c r="R2030" s="141"/>
      <c r="S2030" s="148"/>
      <c r="T2030" s="419"/>
      <c r="U2030" s="559"/>
      <c r="V2030" s="141"/>
      <c r="W2030" s="141"/>
      <c r="X2030" s="141"/>
      <c r="Y2030" s="144"/>
      <c r="Z2030" s="141"/>
      <c r="AA2030" s="141"/>
      <c r="AB2030" s="141"/>
      <c r="AC2030" s="141"/>
      <c r="AD2030" s="141"/>
      <c r="AE2030" s="141"/>
      <c r="AF2030" s="145"/>
      <c r="AG2030" s="419"/>
    </row>
    <row r="2031" spans="1:33" s="139" customFormat="1" ht="12.75" customHeight="1" x14ac:dyDescent="0.2">
      <c r="A2031" s="141"/>
      <c r="B2031" s="141"/>
      <c r="C2031" s="141"/>
      <c r="D2031" s="141"/>
      <c r="E2031" s="1014"/>
      <c r="F2031" s="1014"/>
      <c r="G2031" s="1027"/>
      <c r="H2031" s="1027"/>
      <c r="I2031" s="1174"/>
      <c r="J2031" s="1174"/>
      <c r="K2031" s="1174"/>
      <c r="L2031" s="1172"/>
      <c r="M2031" s="1172"/>
      <c r="N2031" s="1175"/>
      <c r="O2031" s="143"/>
      <c r="P2031" s="1196"/>
      <c r="Q2031" s="141"/>
      <c r="R2031" s="141"/>
      <c r="S2031" s="148"/>
      <c r="T2031" s="419"/>
      <c r="U2031" s="559"/>
      <c r="V2031" s="141"/>
      <c r="W2031" s="141"/>
      <c r="X2031" s="141"/>
      <c r="Y2031" s="144"/>
      <c r="Z2031" s="141"/>
      <c r="AA2031" s="141"/>
      <c r="AB2031" s="141"/>
      <c r="AC2031" s="141"/>
      <c r="AD2031" s="141"/>
      <c r="AE2031" s="141"/>
      <c r="AF2031" s="145"/>
      <c r="AG2031" s="419"/>
    </row>
    <row r="2032" spans="1:33" s="139" customFormat="1" ht="12.75" customHeight="1" x14ac:dyDescent="0.2">
      <c r="A2032" s="141"/>
      <c r="B2032" s="141"/>
      <c r="C2032" s="141"/>
      <c r="D2032" s="141"/>
      <c r="E2032" s="1014"/>
      <c r="F2032" s="1014"/>
      <c r="G2032" s="1027"/>
      <c r="H2032" s="1027"/>
      <c r="I2032" s="1174"/>
      <c r="J2032" s="1174"/>
      <c r="K2032" s="1174"/>
      <c r="L2032" s="1172"/>
      <c r="M2032" s="1172"/>
      <c r="N2032" s="1175"/>
      <c r="O2032" s="143"/>
      <c r="P2032" s="1196"/>
      <c r="Q2032" s="141"/>
      <c r="R2032" s="141"/>
      <c r="S2032" s="148"/>
      <c r="T2032" s="419"/>
      <c r="U2032" s="559"/>
      <c r="V2032" s="141"/>
      <c r="W2032" s="141"/>
      <c r="X2032" s="141"/>
      <c r="Y2032" s="144"/>
      <c r="Z2032" s="141"/>
      <c r="AA2032" s="141"/>
      <c r="AB2032" s="141"/>
      <c r="AC2032" s="141"/>
      <c r="AD2032" s="141"/>
      <c r="AE2032" s="141"/>
      <c r="AF2032" s="145"/>
      <c r="AG2032" s="419"/>
    </row>
    <row r="2033" spans="1:33" s="139" customFormat="1" ht="12.75" customHeight="1" x14ac:dyDescent="0.2">
      <c r="A2033" s="141"/>
      <c r="B2033" s="141"/>
      <c r="C2033" s="141"/>
      <c r="D2033" s="141"/>
      <c r="E2033" s="1014"/>
      <c r="F2033" s="1014"/>
      <c r="G2033" s="1027"/>
      <c r="H2033" s="1027"/>
      <c r="I2033" s="1174"/>
      <c r="J2033" s="1174"/>
      <c r="K2033" s="1174"/>
      <c r="L2033" s="1172"/>
      <c r="M2033" s="1172"/>
      <c r="N2033" s="1175"/>
      <c r="O2033" s="143"/>
      <c r="P2033" s="1196"/>
      <c r="Q2033" s="141"/>
      <c r="R2033" s="141"/>
      <c r="S2033" s="148"/>
      <c r="T2033" s="419"/>
      <c r="U2033" s="559"/>
      <c r="V2033" s="141"/>
      <c r="W2033" s="141"/>
      <c r="X2033" s="141"/>
      <c r="Y2033" s="144"/>
      <c r="Z2033" s="141"/>
      <c r="AA2033" s="141"/>
      <c r="AB2033" s="141"/>
      <c r="AC2033" s="141"/>
      <c r="AD2033" s="141"/>
      <c r="AE2033" s="141"/>
      <c r="AF2033" s="145"/>
      <c r="AG2033" s="419"/>
    </row>
    <row r="2034" spans="1:33" s="139" customFormat="1" ht="12.75" customHeight="1" x14ac:dyDescent="0.2">
      <c r="A2034" s="141"/>
      <c r="B2034" s="141"/>
      <c r="C2034" s="141"/>
      <c r="D2034" s="141"/>
      <c r="E2034" s="1014"/>
      <c r="F2034" s="1014"/>
      <c r="G2034" s="1027"/>
      <c r="H2034" s="1027"/>
      <c r="I2034" s="1174"/>
      <c r="J2034" s="1174"/>
      <c r="K2034" s="1174"/>
      <c r="L2034" s="1172"/>
      <c r="M2034" s="1172"/>
      <c r="N2034" s="1175"/>
      <c r="O2034" s="143"/>
      <c r="P2034" s="1196"/>
      <c r="Q2034" s="141"/>
      <c r="R2034" s="141"/>
      <c r="S2034" s="148"/>
      <c r="T2034" s="419"/>
      <c r="U2034" s="559"/>
      <c r="V2034" s="141"/>
      <c r="W2034" s="141"/>
      <c r="X2034" s="141"/>
      <c r="Y2034" s="144"/>
      <c r="Z2034" s="141"/>
      <c r="AA2034" s="141"/>
      <c r="AB2034" s="141"/>
      <c r="AC2034" s="141"/>
      <c r="AD2034" s="141"/>
      <c r="AE2034" s="141"/>
      <c r="AF2034" s="145"/>
      <c r="AG2034" s="419"/>
    </row>
    <row r="2035" spans="1:33" s="139" customFormat="1" ht="12.75" customHeight="1" x14ac:dyDescent="0.2">
      <c r="A2035" s="141"/>
      <c r="B2035" s="141"/>
      <c r="C2035" s="141"/>
      <c r="D2035" s="141"/>
      <c r="E2035" s="1014"/>
      <c r="F2035" s="1014"/>
      <c r="G2035" s="1027"/>
      <c r="H2035" s="1027"/>
      <c r="I2035" s="1174"/>
      <c r="J2035" s="1174"/>
      <c r="K2035" s="1174"/>
      <c r="L2035" s="1172"/>
      <c r="M2035" s="1172"/>
      <c r="N2035" s="1175"/>
      <c r="O2035" s="143"/>
      <c r="P2035" s="1196"/>
      <c r="Q2035" s="141"/>
      <c r="R2035" s="141"/>
      <c r="S2035" s="148"/>
      <c r="T2035" s="419"/>
      <c r="U2035" s="559"/>
      <c r="V2035" s="141"/>
      <c r="W2035" s="141"/>
      <c r="X2035" s="141"/>
      <c r="Y2035" s="144"/>
      <c r="Z2035" s="141"/>
      <c r="AA2035" s="141"/>
      <c r="AB2035" s="141"/>
      <c r="AC2035" s="141"/>
      <c r="AD2035" s="141"/>
      <c r="AE2035" s="141"/>
      <c r="AF2035" s="145"/>
      <c r="AG2035" s="419"/>
    </row>
    <row r="2036" spans="1:33" s="139" customFormat="1" ht="12.75" customHeight="1" x14ac:dyDescent="0.2">
      <c r="A2036" s="141"/>
      <c r="B2036" s="141"/>
      <c r="C2036" s="141"/>
      <c r="D2036" s="141"/>
      <c r="E2036" s="1014"/>
      <c r="F2036" s="1014"/>
      <c r="G2036" s="1027"/>
      <c r="H2036" s="1027"/>
      <c r="I2036" s="1174"/>
      <c r="J2036" s="1174"/>
      <c r="K2036" s="1174"/>
      <c r="L2036" s="1172"/>
      <c r="M2036" s="1172"/>
      <c r="N2036" s="1175"/>
      <c r="O2036" s="143"/>
      <c r="P2036" s="1196"/>
      <c r="Q2036" s="141"/>
      <c r="R2036" s="141"/>
      <c r="S2036" s="148"/>
      <c r="T2036" s="419"/>
      <c r="U2036" s="559"/>
      <c r="V2036" s="141"/>
      <c r="W2036" s="141"/>
      <c r="X2036" s="141"/>
      <c r="Y2036" s="144"/>
      <c r="Z2036" s="141"/>
      <c r="AA2036" s="141"/>
      <c r="AB2036" s="141"/>
      <c r="AC2036" s="141"/>
      <c r="AD2036" s="141"/>
      <c r="AE2036" s="141"/>
      <c r="AF2036" s="145"/>
      <c r="AG2036" s="419"/>
    </row>
    <row r="2037" spans="1:33" s="139" customFormat="1" ht="12.75" customHeight="1" x14ac:dyDescent="0.2">
      <c r="A2037" s="141"/>
      <c r="B2037" s="141"/>
      <c r="C2037" s="141"/>
      <c r="D2037" s="141"/>
      <c r="E2037" s="1014"/>
      <c r="F2037" s="1014"/>
      <c r="G2037" s="1027"/>
      <c r="H2037" s="1027"/>
      <c r="I2037" s="1174"/>
      <c r="J2037" s="1174"/>
      <c r="K2037" s="1174"/>
      <c r="L2037" s="1172"/>
      <c r="M2037" s="1172"/>
      <c r="N2037" s="1175"/>
      <c r="O2037" s="143"/>
      <c r="P2037" s="1196"/>
      <c r="Q2037" s="141"/>
      <c r="R2037" s="141"/>
      <c r="S2037" s="148"/>
      <c r="T2037" s="419"/>
      <c r="U2037" s="559"/>
      <c r="V2037" s="141"/>
      <c r="W2037" s="141"/>
      <c r="X2037" s="141"/>
      <c r="Y2037" s="144"/>
      <c r="Z2037" s="141"/>
      <c r="AA2037" s="141"/>
      <c r="AB2037" s="141"/>
      <c r="AC2037" s="141"/>
      <c r="AD2037" s="141"/>
      <c r="AE2037" s="141"/>
      <c r="AF2037" s="145"/>
      <c r="AG2037" s="419"/>
    </row>
    <row r="2038" spans="1:33" s="139" customFormat="1" ht="12.75" customHeight="1" x14ac:dyDescent="0.2">
      <c r="A2038" s="141"/>
      <c r="B2038" s="141"/>
      <c r="C2038" s="141"/>
      <c r="D2038" s="141"/>
      <c r="E2038" s="1014"/>
      <c r="F2038" s="1014"/>
      <c r="G2038" s="1027"/>
      <c r="H2038" s="1027"/>
      <c r="I2038" s="1174"/>
      <c r="J2038" s="1174"/>
      <c r="K2038" s="1174"/>
      <c r="L2038" s="1172"/>
      <c r="M2038" s="1172"/>
      <c r="N2038" s="1175"/>
      <c r="O2038" s="143"/>
      <c r="P2038" s="1196"/>
      <c r="Q2038" s="141"/>
      <c r="R2038" s="141"/>
      <c r="S2038" s="148"/>
      <c r="T2038" s="419"/>
      <c r="U2038" s="559"/>
      <c r="V2038" s="141"/>
      <c r="W2038" s="141"/>
      <c r="X2038" s="141"/>
      <c r="Y2038" s="144"/>
      <c r="Z2038" s="141"/>
      <c r="AA2038" s="141"/>
      <c r="AB2038" s="141"/>
      <c r="AC2038" s="141"/>
      <c r="AD2038" s="141"/>
      <c r="AE2038" s="141"/>
      <c r="AF2038" s="145"/>
      <c r="AG2038" s="419"/>
    </row>
    <row r="2039" spans="1:33" s="139" customFormat="1" ht="12.75" customHeight="1" x14ac:dyDescent="0.2">
      <c r="A2039" s="141"/>
      <c r="B2039" s="141"/>
      <c r="C2039" s="141"/>
      <c r="D2039" s="141"/>
      <c r="E2039" s="1014"/>
      <c r="F2039" s="1014"/>
      <c r="G2039" s="1027"/>
      <c r="H2039" s="1027"/>
      <c r="I2039" s="1174"/>
      <c r="J2039" s="1174"/>
      <c r="K2039" s="1174"/>
      <c r="L2039" s="1172"/>
      <c r="M2039" s="1172"/>
      <c r="N2039" s="1175"/>
      <c r="O2039" s="143"/>
      <c r="P2039" s="1196"/>
      <c r="Q2039" s="141"/>
      <c r="R2039" s="141"/>
      <c r="S2039" s="148"/>
      <c r="T2039" s="419"/>
      <c r="U2039" s="559"/>
      <c r="V2039" s="141"/>
      <c r="W2039" s="141"/>
      <c r="X2039" s="141"/>
      <c r="Y2039" s="144"/>
      <c r="Z2039" s="141"/>
      <c r="AA2039" s="141"/>
      <c r="AB2039" s="141"/>
      <c r="AC2039" s="141"/>
      <c r="AD2039" s="141"/>
      <c r="AE2039" s="141"/>
      <c r="AF2039" s="145"/>
      <c r="AG2039" s="419"/>
    </row>
    <row r="2040" spans="1:33" s="139" customFormat="1" ht="12.75" customHeight="1" x14ac:dyDescent="0.2">
      <c r="A2040" s="141"/>
      <c r="B2040" s="141"/>
      <c r="C2040" s="141"/>
      <c r="D2040" s="141"/>
      <c r="E2040" s="1014"/>
      <c r="F2040" s="1014"/>
      <c r="G2040" s="1027"/>
      <c r="H2040" s="1027"/>
      <c r="I2040" s="1174"/>
      <c r="J2040" s="1174"/>
      <c r="K2040" s="1174"/>
      <c r="L2040" s="1172"/>
      <c r="M2040" s="1172"/>
      <c r="N2040" s="1175"/>
      <c r="O2040" s="143"/>
      <c r="P2040" s="1196"/>
      <c r="Q2040" s="141"/>
      <c r="R2040" s="141"/>
      <c r="S2040" s="148"/>
      <c r="T2040" s="419"/>
      <c r="U2040" s="559"/>
      <c r="V2040" s="141"/>
      <c r="W2040" s="141"/>
      <c r="X2040" s="141"/>
      <c r="Y2040" s="144"/>
      <c r="Z2040" s="141"/>
      <c r="AA2040" s="141"/>
      <c r="AB2040" s="141"/>
      <c r="AC2040" s="141"/>
      <c r="AD2040" s="141"/>
      <c r="AE2040" s="141"/>
      <c r="AF2040" s="145"/>
      <c r="AG2040" s="419"/>
    </row>
    <row r="2041" spans="1:33" s="139" customFormat="1" ht="12.75" customHeight="1" x14ac:dyDescent="0.2">
      <c r="A2041" s="141"/>
      <c r="B2041" s="141"/>
      <c r="C2041" s="141"/>
      <c r="D2041" s="141"/>
      <c r="E2041" s="1014"/>
      <c r="F2041" s="1014"/>
      <c r="G2041" s="1027"/>
      <c r="H2041" s="1027"/>
      <c r="I2041" s="1174"/>
      <c r="J2041" s="1174"/>
      <c r="K2041" s="1174"/>
      <c r="L2041" s="1172"/>
      <c r="M2041" s="1172"/>
      <c r="N2041" s="1175"/>
      <c r="O2041" s="143"/>
      <c r="P2041" s="1196"/>
      <c r="Q2041" s="141"/>
      <c r="R2041" s="141"/>
      <c r="S2041" s="148"/>
      <c r="T2041" s="419"/>
      <c r="U2041" s="559"/>
      <c r="V2041" s="141"/>
      <c r="W2041" s="141"/>
      <c r="X2041" s="141"/>
      <c r="Y2041" s="144"/>
      <c r="Z2041" s="141"/>
      <c r="AA2041" s="141"/>
      <c r="AB2041" s="141"/>
      <c r="AC2041" s="141"/>
      <c r="AD2041" s="141"/>
      <c r="AE2041" s="141"/>
      <c r="AF2041" s="145"/>
      <c r="AG2041" s="419"/>
    </row>
    <row r="2042" spans="1:33" s="139" customFormat="1" ht="12.75" customHeight="1" x14ac:dyDescent="0.2">
      <c r="A2042" s="141"/>
      <c r="B2042" s="141"/>
      <c r="C2042" s="141"/>
      <c r="D2042" s="141"/>
      <c r="E2042" s="1014"/>
      <c r="F2042" s="1014"/>
      <c r="G2042" s="1027"/>
      <c r="H2042" s="1027"/>
      <c r="I2042" s="1174"/>
      <c r="J2042" s="1174"/>
      <c r="K2042" s="1174"/>
      <c r="L2042" s="1172"/>
      <c r="M2042" s="1172"/>
      <c r="N2042" s="1175"/>
      <c r="O2042" s="143"/>
      <c r="P2042" s="1196"/>
      <c r="Q2042" s="141"/>
      <c r="R2042" s="141"/>
      <c r="S2042" s="148"/>
      <c r="T2042" s="419"/>
      <c r="U2042" s="559"/>
      <c r="V2042" s="141"/>
      <c r="W2042" s="141"/>
      <c r="X2042" s="141"/>
      <c r="Y2042" s="144"/>
      <c r="Z2042" s="141"/>
      <c r="AA2042" s="141"/>
      <c r="AB2042" s="141"/>
      <c r="AC2042" s="141"/>
      <c r="AD2042" s="141"/>
      <c r="AE2042" s="141"/>
      <c r="AF2042" s="145"/>
      <c r="AG2042" s="419"/>
    </row>
    <row r="2043" spans="1:33" s="139" customFormat="1" ht="12.75" customHeight="1" x14ac:dyDescent="0.2">
      <c r="A2043" s="141"/>
      <c r="B2043" s="141"/>
      <c r="C2043" s="141"/>
      <c r="D2043" s="141"/>
      <c r="E2043" s="1014"/>
      <c r="F2043" s="1014"/>
      <c r="G2043" s="1027"/>
      <c r="H2043" s="1027"/>
      <c r="I2043" s="1174"/>
      <c r="J2043" s="1174"/>
      <c r="K2043" s="1174"/>
      <c r="L2043" s="1172"/>
      <c r="M2043" s="1172"/>
      <c r="N2043" s="1175"/>
      <c r="O2043" s="143"/>
      <c r="P2043" s="1196"/>
      <c r="Q2043" s="141"/>
      <c r="R2043" s="141"/>
      <c r="S2043" s="148"/>
      <c r="T2043" s="419"/>
      <c r="U2043" s="559"/>
      <c r="V2043" s="141"/>
      <c r="W2043" s="141"/>
      <c r="X2043" s="141"/>
      <c r="Y2043" s="144"/>
      <c r="Z2043" s="141"/>
      <c r="AA2043" s="141"/>
      <c r="AB2043" s="141"/>
      <c r="AC2043" s="141"/>
      <c r="AD2043" s="141"/>
      <c r="AE2043" s="141"/>
      <c r="AF2043" s="145"/>
      <c r="AG2043" s="419"/>
    </row>
    <row r="2044" spans="1:33" s="139" customFormat="1" ht="12.75" customHeight="1" x14ac:dyDescent="0.2">
      <c r="A2044" s="141"/>
      <c r="B2044" s="141"/>
      <c r="C2044" s="141"/>
      <c r="D2044" s="141"/>
      <c r="E2044" s="1014"/>
      <c r="F2044" s="1014"/>
      <c r="G2044" s="1027"/>
      <c r="H2044" s="1027"/>
      <c r="I2044" s="1174"/>
      <c r="J2044" s="1174"/>
      <c r="K2044" s="1174"/>
      <c r="L2044" s="1172"/>
      <c r="M2044" s="1172"/>
      <c r="N2044" s="1175"/>
      <c r="O2044" s="143"/>
      <c r="P2044" s="1196"/>
      <c r="Q2044" s="141"/>
      <c r="R2044" s="141"/>
      <c r="S2044" s="148"/>
      <c r="T2044" s="419"/>
      <c r="U2044" s="559"/>
      <c r="V2044" s="141"/>
      <c r="W2044" s="141"/>
      <c r="X2044" s="141"/>
      <c r="Y2044" s="144"/>
      <c r="Z2044" s="141"/>
      <c r="AA2044" s="141"/>
      <c r="AB2044" s="141"/>
      <c r="AC2044" s="141"/>
      <c r="AD2044" s="141"/>
      <c r="AE2044" s="141"/>
      <c r="AF2044" s="145"/>
      <c r="AG2044" s="419"/>
    </row>
    <row r="2045" spans="1:33" s="139" customFormat="1" ht="12.75" customHeight="1" x14ac:dyDescent="0.2">
      <c r="A2045" s="141"/>
      <c r="B2045" s="141"/>
      <c r="C2045" s="141"/>
      <c r="D2045" s="141"/>
      <c r="E2045" s="1014"/>
      <c r="F2045" s="1014"/>
      <c r="G2045" s="1027"/>
      <c r="H2045" s="1027"/>
      <c r="I2045" s="1174"/>
      <c r="J2045" s="1174"/>
      <c r="K2045" s="1174"/>
      <c r="L2045" s="1172"/>
      <c r="M2045" s="1172"/>
      <c r="N2045" s="1175"/>
      <c r="O2045" s="143"/>
      <c r="P2045" s="1196"/>
      <c r="Q2045" s="141"/>
      <c r="R2045" s="141"/>
      <c r="S2045" s="148"/>
      <c r="T2045" s="419"/>
      <c r="U2045" s="559"/>
      <c r="V2045" s="141"/>
      <c r="W2045" s="141"/>
      <c r="X2045" s="141"/>
      <c r="Y2045" s="144"/>
      <c r="Z2045" s="141"/>
      <c r="AA2045" s="141"/>
      <c r="AB2045" s="141"/>
      <c r="AC2045" s="141"/>
      <c r="AD2045" s="141"/>
      <c r="AE2045" s="141"/>
      <c r="AF2045" s="145"/>
      <c r="AG2045" s="419"/>
    </row>
    <row r="2046" spans="1:33" s="139" customFormat="1" ht="12.75" customHeight="1" x14ac:dyDescent="0.2">
      <c r="A2046" s="141"/>
      <c r="B2046" s="141"/>
      <c r="C2046" s="141"/>
      <c r="D2046" s="141"/>
      <c r="E2046" s="1014"/>
      <c r="F2046" s="1014"/>
      <c r="G2046" s="1027"/>
      <c r="H2046" s="1027"/>
      <c r="I2046" s="1174"/>
      <c r="J2046" s="1174"/>
      <c r="K2046" s="1174"/>
      <c r="L2046" s="1172"/>
      <c r="M2046" s="1172"/>
      <c r="N2046" s="1175"/>
      <c r="O2046" s="143"/>
      <c r="P2046" s="1196"/>
      <c r="Q2046" s="141"/>
      <c r="R2046" s="141"/>
      <c r="S2046" s="148"/>
      <c r="T2046" s="419"/>
      <c r="U2046" s="559"/>
      <c r="V2046" s="141"/>
      <c r="W2046" s="141"/>
      <c r="X2046" s="141"/>
      <c r="Y2046" s="144"/>
      <c r="Z2046" s="141"/>
      <c r="AA2046" s="141"/>
      <c r="AB2046" s="141"/>
      <c r="AC2046" s="141"/>
      <c r="AD2046" s="141"/>
      <c r="AE2046" s="141"/>
      <c r="AF2046" s="145"/>
      <c r="AG2046" s="419"/>
    </row>
    <row r="2047" spans="1:33" s="139" customFormat="1" ht="12.75" customHeight="1" x14ac:dyDescent="0.2">
      <c r="A2047" s="141"/>
      <c r="B2047" s="141"/>
      <c r="C2047" s="141"/>
      <c r="D2047" s="141"/>
      <c r="E2047" s="1014"/>
      <c r="F2047" s="1014"/>
      <c r="G2047" s="1027"/>
      <c r="H2047" s="1027"/>
      <c r="I2047" s="1174"/>
      <c r="J2047" s="1174"/>
      <c r="K2047" s="1174"/>
      <c r="L2047" s="1172"/>
      <c r="M2047" s="1172"/>
      <c r="N2047" s="1175"/>
      <c r="O2047" s="143"/>
      <c r="P2047" s="1196"/>
      <c r="Q2047" s="141"/>
      <c r="R2047" s="141"/>
      <c r="S2047" s="148"/>
      <c r="T2047" s="419"/>
      <c r="U2047" s="559"/>
      <c r="V2047" s="141"/>
      <c r="W2047" s="141"/>
      <c r="X2047" s="141"/>
      <c r="Y2047" s="144"/>
      <c r="Z2047" s="141"/>
      <c r="AA2047" s="141"/>
      <c r="AB2047" s="141"/>
      <c r="AC2047" s="141"/>
      <c r="AD2047" s="141"/>
      <c r="AE2047" s="141"/>
      <c r="AF2047" s="145"/>
      <c r="AG2047" s="419"/>
    </row>
    <row r="2048" spans="1:33" s="139" customFormat="1" ht="12.75" customHeight="1" x14ac:dyDescent="0.2">
      <c r="A2048" s="141"/>
      <c r="B2048" s="141"/>
      <c r="C2048" s="141"/>
      <c r="D2048" s="141"/>
      <c r="E2048" s="1014"/>
      <c r="F2048" s="1014"/>
      <c r="G2048" s="1027"/>
      <c r="H2048" s="1027"/>
      <c r="I2048" s="1174"/>
      <c r="J2048" s="1174"/>
      <c r="K2048" s="1174"/>
      <c r="L2048" s="1172"/>
      <c r="M2048" s="1172"/>
      <c r="N2048" s="1175"/>
      <c r="O2048" s="143"/>
      <c r="P2048" s="1196"/>
      <c r="Q2048" s="141"/>
      <c r="R2048" s="141"/>
      <c r="S2048" s="148"/>
      <c r="T2048" s="419"/>
      <c r="U2048" s="559"/>
      <c r="V2048" s="141"/>
      <c r="W2048" s="141"/>
      <c r="X2048" s="141"/>
      <c r="Y2048" s="144"/>
      <c r="Z2048" s="141"/>
      <c r="AA2048" s="141"/>
      <c r="AB2048" s="141"/>
      <c r="AC2048" s="141"/>
      <c r="AD2048" s="141"/>
      <c r="AE2048" s="141"/>
      <c r="AF2048" s="145"/>
      <c r="AG2048" s="419"/>
    </row>
    <row r="2049" spans="1:33" s="139" customFormat="1" ht="12.75" customHeight="1" x14ac:dyDescent="0.2">
      <c r="A2049" s="141"/>
      <c r="B2049" s="141"/>
      <c r="C2049" s="141"/>
      <c r="D2049" s="141"/>
      <c r="E2049" s="1014"/>
      <c r="F2049" s="1014"/>
      <c r="G2049" s="1027"/>
      <c r="H2049" s="1027"/>
      <c r="I2049" s="1174"/>
      <c r="J2049" s="1174"/>
      <c r="K2049" s="1174"/>
      <c r="L2049" s="1172"/>
      <c r="M2049" s="1172"/>
      <c r="N2049" s="1175"/>
      <c r="O2049" s="143"/>
      <c r="P2049" s="1196"/>
      <c r="Q2049" s="141"/>
      <c r="R2049" s="141"/>
      <c r="S2049" s="148"/>
      <c r="T2049" s="419"/>
      <c r="U2049" s="559"/>
      <c r="V2049" s="141"/>
      <c r="W2049" s="141"/>
      <c r="X2049" s="141"/>
      <c r="Y2049" s="144"/>
      <c r="Z2049" s="141"/>
      <c r="AA2049" s="141"/>
      <c r="AB2049" s="141"/>
      <c r="AC2049" s="141"/>
      <c r="AD2049" s="141"/>
      <c r="AE2049" s="141"/>
      <c r="AF2049" s="145"/>
      <c r="AG2049" s="419"/>
    </row>
    <row r="2050" spans="1:33" s="139" customFormat="1" ht="12.75" customHeight="1" x14ac:dyDescent="0.2">
      <c r="A2050" s="141"/>
      <c r="B2050" s="141"/>
      <c r="C2050" s="141"/>
      <c r="D2050" s="141"/>
      <c r="E2050" s="1014"/>
      <c r="F2050" s="1014"/>
      <c r="G2050" s="1027"/>
      <c r="H2050" s="1027"/>
      <c r="I2050" s="1174"/>
      <c r="J2050" s="1174"/>
      <c r="K2050" s="1174"/>
      <c r="L2050" s="1172"/>
      <c r="M2050" s="1172"/>
      <c r="N2050" s="1175"/>
      <c r="O2050" s="143"/>
      <c r="P2050" s="1196"/>
      <c r="Q2050" s="141"/>
      <c r="R2050" s="141"/>
      <c r="S2050" s="148"/>
      <c r="T2050" s="419"/>
      <c r="U2050" s="559"/>
      <c r="V2050" s="141"/>
      <c r="W2050" s="141"/>
      <c r="X2050" s="141"/>
      <c r="Y2050" s="144"/>
      <c r="Z2050" s="141"/>
      <c r="AA2050" s="141"/>
      <c r="AB2050" s="141"/>
      <c r="AC2050" s="141"/>
      <c r="AD2050" s="141"/>
      <c r="AE2050" s="141"/>
      <c r="AF2050" s="145"/>
      <c r="AG2050" s="419"/>
    </row>
    <row r="2051" spans="1:33" s="139" customFormat="1" ht="12.75" customHeight="1" x14ac:dyDescent="0.2">
      <c r="A2051" s="141"/>
      <c r="B2051" s="141"/>
      <c r="C2051" s="141"/>
      <c r="D2051" s="141"/>
      <c r="E2051" s="1014"/>
      <c r="F2051" s="1014"/>
      <c r="G2051" s="1027"/>
      <c r="H2051" s="1027"/>
      <c r="I2051" s="1174"/>
      <c r="J2051" s="1174"/>
      <c r="K2051" s="1174"/>
      <c r="L2051" s="1172"/>
      <c r="M2051" s="1172"/>
      <c r="N2051" s="1175"/>
      <c r="O2051" s="143"/>
      <c r="P2051" s="1196"/>
      <c r="Q2051" s="141"/>
      <c r="R2051" s="141"/>
      <c r="S2051" s="148"/>
      <c r="T2051" s="419"/>
      <c r="U2051" s="559"/>
      <c r="V2051" s="141"/>
      <c r="W2051" s="141"/>
      <c r="X2051" s="141"/>
      <c r="Y2051" s="144"/>
      <c r="Z2051" s="141"/>
      <c r="AA2051" s="141"/>
      <c r="AB2051" s="141"/>
      <c r="AC2051" s="141"/>
      <c r="AD2051" s="141"/>
      <c r="AE2051" s="141"/>
      <c r="AF2051" s="145"/>
      <c r="AG2051" s="419"/>
    </row>
    <row r="2052" spans="1:33" s="139" customFormat="1" ht="12.75" customHeight="1" x14ac:dyDescent="0.2">
      <c r="A2052" s="141"/>
      <c r="B2052" s="141"/>
      <c r="C2052" s="141"/>
      <c r="D2052" s="141"/>
      <c r="E2052" s="1014"/>
      <c r="F2052" s="1014"/>
      <c r="G2052" s="1027"/>
      <c r="H2052" s="1027"/>
      <c r="I2052" s="1174"/>
      <c r="J2052" s="1174"/>
      <c r="K2052" s="1174"/>
      <c r="L2052" s="1172"/>
      <c r="M2052" s="1172"/>
      <c r="N2052" s="1175"/>
      <c r="O2052" s="143"/>
      <c r="P2052" s="1196"/>
      <c r="Q2052" s="141"/>
      <c r="R2052" s="141"/>
      <c r="S2052" s="148"/>
      <c r="T2052" s="419"/>
      <c r="U2052" s="559"/>
      <c r="V2052" s="141"/>
      <c r="W2052" s="141"/>
      <c r="X2052" s="141"/>
      <c r="Y2052" s="144"/>
      <c r="Z2052" s="141"/>
      <c r="AA2052" s="141"/>
      <c r="AB2052" s="141"/>
      <c r="AC2052" s="141"/>
      <c r="AD2052" s="141"/>
      <c r="AE2052" s="141"/>
      <c r="AF2052" s="145"/>
      <c r="AG2052" s="419"/>
    </row>
    <row r="2053" spans="1:33" s="139" customFormat="1" ht="12.75" customHeight="1" x14ac:dyDescent="0.2">
      <c r="A2053" s="141"/>
      <c r="B2053" s="141"/>
      <c r="C2053" s="141"/>
      <c r="D2053" s="141"/>
      <c r="E2053" s="1014"/>
      <c r="F2053" s="1014"/>
      <c r="G2053" s="1027"/>
      <c r="H2053" s="1027"/>
      <c r="I2053" s="1174"/>
      <c r="J2053" s="1174"/>
      <c r="K2053" s="1174"/>
      <c r="L2053" s="1172"/>
      <c r="M2053" s="1172"/>
      <c r="N2053" s="1175"/>
      <c r="O2053" s="143"/>
      <c r="P2053" s="1196"/>
      <c r="Q2053" s="141"/>
      <c r="R2053" s="141"/>
      <c r="S2053" s="148"/>
      <c r="T2053" s="419"/>
      <c r="U2053" s="559"/>
      <c r="V2053" s="141"/>
      <c r="W2053" s="141"/>
      <c r="X2053" s="141"/>
      <c r="Y2053" s="144"/>
      <c r="Z2053" s="141"/>
      <c r="AA2053" s="141"/>
      <c r="AB2053" s="141"/>
      <c r="AC2053" s="141"/>
      <c r="AD2053" s="141"/>
      <c r="AE2053" s="141"/>
      <c r="AF2053" s="145"/>
      <c r="AG2053" s="419"/>
    </row>
    <row r="2054" spans="1:33" s="139" customFormat="1" ht="12.75" customHeight="1" x14ac:dyDescent="0.2">
      <c r="A2054" s="141"/>
      <c r="B2054" s="141"/>
      <c r="C2054" s="141"/>
      <c r="D2054" s="141"/>
      <c r="E2054" s="1014"/>
      <c r="F2054" s="1014"/>
      <c r="G2054" s="1027"/>
      <c r="H2054" s="1027"/>
      <c r="I2054" s="1174"/>
      <c r="J2054" s="1174"/>
      <c r="K2054" s="1174"/>
      <c r="L2054" s="1172"/>
      <c r="M2054" s="1172"/>
      <c r="N2054" s="1175"/>
      <c r="O2054" s="143"/>
      <c r="P2054" s="1196"/>
      <c r="Q2054" s="141"/>
      <c r="R2054" s="141"/>
      <c r="S2054" s="148"/>
      <c r="T2054" s="419"/>
      <c r="U2054" s="559"/>
      <c r="V2054" s="141"/>
      <c r="W2054" s="141"/>
      <c r="X2054" s="141"/>
      <c r="Y2054" s="144"/>
      <c r="Z2054" s="141"/>
      <c r="AA2054" s="141"/>
      <c r="AB2054" s="141"/>
      <c r="AC2054" s="141"/>
      <c r="AD2054" s="141"/>
      <c r="AE2054" s="141"/>
      <c r="AF2054" s="145"/>
      <c r="AG2054" s="419"/>
    </row>
    <row r="2055" spans="1:33" s="139" customFormat="1" ht="12.75" customHeight="1" x14ac:dyDescent="0.2">
      <c r="A2055" s="141"/>
      <c r="B2055" s="141"/>
      <c r="C2055" s="141"/>
      <c r="D2055" s="141"/>
      <c r="E2055" s="1014"/>
      <c r="F2055" s="1014"/>
      <c r="G2055" s="1027"/>
      <c r="H2055" s="1027"/>
      <c r="I2055" s="1174"/>
      <c r="J2055" s="1174"/>
      <c r="K2055" s="1174"/>
      <c r="L2055" s="1172"/>
      <c r="M2055" s="1172"/>
      <c r="N2055" s="1175"/>
      <c r="O2055" s="143"/>
      <c r="P2055" s="1196"/>
      <c r="Q2055" s="141"/>
      <c r="R2055" s="141"/>
      <c r="S2055" s="148"/>
      <c r="T2055" s="419"/>
      <c r="U2055" s="559"/>
      <c r="V2055" s="141"/>
      <c r="W2055" s="141"/>
      <c r="X2055" s="141"/>
      <c r="Y2055" s="144"/>
      <c r="Z2055" s="141"/>
      <c r="AA2055" s="141"/>
      <c r="AB2055" s="141"/>
      <c r="AC2055" s="141"/>
      <c r="AD2055" s="141"/>
      <c r="AE2055" s="141"/>
      <c r="AF2055" s="145"/>
      <c r="AG2055" s="419"/>
    </row>
    <row r="2056" spans="1:33" s="139" customFormat="1" ht="12.75" customHeight="1" x14ac:dyDescent="0.2">
      <c r="A2056" s="141"/>
      <c r="B2056" s="141"/>
      <c r="C2056" s="141"/>
      <c r="D2056" s="141"/>
      <c r="E2056" s="1014"/>
      <c r="F2056" s="1014"/>
      <c r="G2056" s="1027"/>
      <c r="H2056" s="1027"/>
      <c r="I2056" s="1174"/>
      <c r="J2056" s="1174"/>
      <c r="K2056" s="1174"/>
      <c r="L2056" s="1172"/>
      <c r="M2056" s="1172"/>
      <c r="N2056" s="1175"/>
      <c r="O2056" s="143"/>
      <c r="P2056" s="1196"/>
      <c r="Q2056" s="141"/>
      <c r="R2056" s="141"/>
      <c r="S2056" s="148"/>
      <c r="T2056" s="419"/>
      <c r="U2056" s="559"/>
      <c r="V2056" s="141"/>
      <c r="W2056" s="141"/>
      <c r="X2056" s="141"/>
      <c r="Y2056" s="144"/>
      <c r="Z2056" s="141"/>
      <c r="AA2056" s="141"/>
      <c r="AB2056" s="141"/>
      <c r="AC2056" s="141"/>
      <c r="AD2056" s="141"/>
      <c r="AE2056" s="141"/>
      <c r="AF2056" s="145"/>
      <c r="AG2056" s="419"/>
    </row>
    <row r="2057" spans="1:33" s="139" customFormat="1" ht="12.75" customHeight="1" x14ac:dyDescent="0.2">
      <c r="A2057" s="141"/>
      <c r="B2057" s="141"/>
      <c r="C2057" s="141"/>
      <c r="D2057" s="141"/>
      <c r="E2057" s="1014"/>
      <c r="F2057" s="1014"/>
      <c r="G2057" s="1027"/>
      <c r="H2057" s="1027"/>
      <c r="I2057" s="1174"/>
      <c r="J2057" s="1174"/>
      <c r="K2057" s="1174"/>
      <c r="L2057" s="1172"/>
      <c r="M2057" s="1172"/>
      <c r="N2057" s="1175"/>
      <c r="O2057" s="143"/>
      <c r="P2057" s="1196"/>
      <c r="Q2057" s="141"/>
      <c r="R2057" s="141"/>
      <c r="S2057" s="148"/>
      <c r="T2057" s="419"/>
      <c r="U2057" s="559"/>
      <c r="V2057" s="141"/>
      <c r="W2057" s="141"/>
      <c r="X2057" s="141"/>
      <c r="Y2057" s="144"/>
      <c r="Z2057" s="141"/>
      <c r="AA2057" s="141"/>
      <c r="AB2057" s="141"/>
      <c r="AC2057" s="141"/>
      <c r="AD2057" s="141"/>
      <c r="AE2057" s="141"/>
      <c r="AF2057" s="145"/>
      <c r="AG2057" s="419"/>
    </row>
    <row r="2058" spans="1:33" s="139" customFormat="1" ht="12.75" customHeight="1" x14ac:dyDescent="0.2">
      <c r="A2058" s="141"/>
      <c r="B2058" s="141"/>
      <c r="C2058" s="141"/>
      <c r="D2058" s="141"/>
      <c r="E2058" s="1014"/>
      <c r="F2058" s="1014"/>
      <c r="G2058" s="1027"/>
      <c r="H2058" s="1027"/>
      <c r="I2058" s="1174"/>
      <c r="J2058" s="1174"/>
      <c r="K2058" s="1174"/>
      <c r="L2058" s="1172"/>
      <c r="M2058" s="1172"/>
      <c r="N2058" s="1175"/>
      <c r="O2058" s="143"/>
      <c r="P2058" s="1196"/>
      <c r="Q2058" s="141"/>
      <c r="R2058" s="141"/>
      <c r="S2058" s="148"/>
      <c r="T2058" s="419"/>
      <c r="U2058" s="559"/>
      <c r="V2058" s="141"/>
      <c r="W2058" s="141"/>
      <c r="X2058" s="141"/>
      <c r="Y2058" s="144"/>
      <c r="Z2058" s="141"/>
      <c r="AA2058" s="141"/>
      <c r="AB2058" s="141"/>
      <c r="AC2058" s="141"/>
      <c r="AD2058" s="141"/>
      <c r="AE2058" s="141"/>
      <c r="AF2058" s="145"/>
      <c r="AG2058" s="419"/>
    </row>
    <row r="2059" spans="1:33" s="139" customFormat="1" ht="12.75" customHeight="1" x14ac:dyDescent="0.2">
      <c r="A2059" s="141"/>
      <c r="B2059" s="141"/>
      <c r="C2059" s="141"/>
      <c r="D2059" s="141"/>
      <c r="E2059" s="1014"/>
      <c r="F2059" s="1014"/>
      <c r="G2059" s="1027"/>
      <c r="H2059" s="1027"/>
      <c r="I2059" s="1174"/>
      <c r="J2059" s="1174"/>
      <c r="K2059" s="1174"/>
      <c r="L2059" s="1172"/>
      <c r="M2059" s="1172"/>
      <c r="N2059" s="1175"/>
      <c r="O2059" s="143"/>
      <c r="P2059" s="1196"/>
      <c r="Q2059" s="141"/>
      <c r="R2059" s="141"/>
      <c r="S2059" s="148"/>
      <c r="T2059" s="419"/>
      <c r="U2059" s="559"/>
      <c r="V2059" s="141"/>
      <c r="W2059" s="141"/>
      <c r="X2059" s="141"/>
      <c r="Y2059" s="144"/>
      <c r="Z2059" s="141"/>
      <c r="AA2059" s="141"/>
      <c r="AB2059" s="141"/>
      <c r="AC2059" s="141"/>
      <c r="AD2059" s="141"/>
      <c r="AE2059" s="141"/>
      <c r="AF2059" s="145"/>
      <c r="AG2059" s="419"/>
    </row>
    <row r="2060" spans="1:33" s="139" customFormat="1" ht="12.75" customHeight="1" x14ac:dyDescent="0.2">
      <c r="A2060" s="141"/>
      <c r="B2060" s="141"/>
      <c r="C2060" s="141"/>
      <c r="D2060" s="141"/>
      <c r="E2060" s="1014"/>
      <c r="F2060" s="1014"/>
      <c r="G2060" s="1027"/>
      <c r="H2060" s="1027"/>
      <c r="I2060" s="1174"/>
      <c r="J2060" s="1174"/>
      <c r="K2060" s="1174"/>
      <c r="L2060" s="1172"/>
      <c r="M2060" s="1172"/>
      <c r="N2060" s="1175"/>
      <c r="O2060" s="143"/>
      <c r="P2060" s="1196"/>
      <c r="Q2060" s="141"/>
      <c r="R2060" s="141"/>
      <c r="S2060" s="148"/>
      <c r="T2060" s="419"/>
      <c r="U2060" s="559"/>
      <c r="V2060" s="141"/>
      <c r="W2060" s="141"/>
      <c r="X2060" s="141"/>
      <c r="Y2060" s="144"/>
      <c r="Z2060" s="141"/>
      <c r="AA2060" s="141"/>
      <c r="AB2060" s="141"/>
      <c r="AC2060" s="141"/>
      <c r="AD2060" s="141"/>
      <c r="AE2060" s="141"/>
      <c r="AF2060" s="145"/>
      <c r="AG2060" s="419"/>
    </row>
    <row r="2061" spans="1:33" s="139" customFormat="1" ht="12.75" customHeight="1" x14ac:dyDescent="0.2">
      <c r="A2061" s="141"/>
      <c r="B2061" s="141"/>
      <c r="C2061" s="141"/>
      <c r="D2061" s="141"/>
      <c r="E2061" s="1014"/>
      <c r="F2061" s="1014"/>
      <c r="G2061" s="1027"/>
      <c r="H2061" s="1027"/>
      <c r="I2061" s="1174"/>
      <c r="J2061" s="1174"/>
      <c r="K2061" s="1174"/>
      <c r="L2061" s="1172"/>
      <c r="M2061" s="1172"/>
      <c r="N2061" s="1175"/>
      <c r="O2061" s="143"/>
      <c r="P2061" s="1196"/>
      <c r="Q2061" s="141"/>
      <c r="R2061" s="141"/>
      <c r="S2061" s="148"/>
      <c r="T2061" s="419"/>
      <c r="U2061" s="559"/>
      <c r="V2061" s="141"/>
      <c r="W2061" s="141"/>
      <c r="X2061" s="141"/>
      <c r="Y2061" s="144"/>
      <c r="Z2061" s="141"/>
      <c r="AA2061" s="141"/>
      <c r="AB2061" s="141"/>
      <c r="AC2061" s="141"/>
      <c r="AD2061" s="141"/>
      <c r="AE2061" s="141"/>
      <c r="AF2061" s="145"/>
      <c r="AG2061" s="419"/>
    </row>
    <row r="2062" spans="1:33" s="139" customFormat="1" ht="12.75" customHeight="1" x14ac:dyDescent="0.2">
      <c r="A2062" s="141"/>
      <c r="B2062" s="141"/>
      <c r="C2062" s="141"/>
      <c r="D2062" s="141"/>
      <c r="E2062" s="1014"/>
      <c r="F2062" s="1014"/>
      <c r="G2062" s="1027"/>
      <c r="H2062" s="1027"/>
      <c r="I2062" s="1174"/>
      <c r="J2062" s="1174"/>
      <c r="K2062" s="1174"/>
      <c r="L2062" s="1172"/>
      <c r="M2062" s="1172"/>
      <c r="N2062" s="1175"/>
      <c r="O2062" s="143"/>
      <c r="P2062" s="1196"/>
      <c r="Q2062" s="141"/>
      <c r="R2062" s="141"/>
      <c r="S2062" s="148"/>
      <c r="T2062" s="419"/>
      <c r="U2062" s="559"/>
      <c r="V2062" s="141"/>
      <c r="W2062" s="141"/>
      <c r="X2062" s="141"/>
      <c r="Y2062" s="144"/>
      <c r="Z2062" s="141"/>
      <c r="AA2062" s="141"/>
      <c r="AB2062" s="141"/>
      <c r="AC2062" s="141"/>
      <c r="AD2062" s="141"/>
      <c r="AE2062" s="141"/>
      <c r="AF2062" s="145"/>
      <c r="AG2062" s="419"/>
    </row>
    <row r="2063" spans="1:33" s="139" customFormat="1" ht="12.75" customHeight="1" x14ac:dyDescent="0.2">
      <c r="A2063" s="141"/>
      <c r="B2063" s="141"/>
      <c r="C2063" s="141"/>
      <c r="D2063" s="141"/>
      <c r="E2063" s="1014"/>
      <c r="F2063" s="1014"/>
      <c r="G2063" s="1027"/>
      <c r="H2063" s="1027"/>
      <c r="I2063" s="1174"/>
      <c r="J2063" s="1174"/>
      <c r="K2063" s="1174"/>
      <c r="L2063" s="1172"/>
      <c r="M2063" s="1172"/>
      <c r="N2063" s="1175"/>
      <c r="O2063" s="143"/>
      <c r="P2063" s="1196"/>
      <c r="Q2063" s="141"/>
      <c r="R2063" s="141"/>
      <c r="S2063" s="148"/>
      <c r="T2063" s="419"/>
      <c r="U2063" s="559"/>
      <c r="V2063" s="141"/>
      <c r="W2063" s="141"/>
      <c r="X2063" s="141"/>
      <c r="Y2063" s="144"/>
      <c r="Z2063" s="141"/>
      <c r="AA2063" s="141"/>
      <c r="AB2063" s="141"/>
      <c r="AC2063" s="141"/>
      <c r="AD2063" s="141"/>
      <c r="AE2063" s="141"/>
      <c r="AF2063" s="145"/>
      <c r="AG2063" s="419"/>
    </row>
    <row r="2064" spans="1:33" s="139" customFormat="1" ht="12.75" customHeight="1" x14ac:dyDescent="0.2">
      <c r="A2064" s="141"/>
      <c r="B2064" s="141"/>
      <c r="C2064" s="141"/>
      <c r="D2064" s="141"/>
      <c r="E2064" s="1014"/>
      <c r="F2064" s="1014"/>
      <c r="G2064" s="1027"/>
      <c r="H2064" s="1027"/>
      <c r="I2064" s="1174"/>
      <c r="J2064" s="1174"/>
      <c r="K2064" s="1174"/>
      <c r="L2064" s="1172"/>
      <c r="M2064" s="1172"/>
      <c r="N2064" s="1175"/>
      <c r="O2064" s="143"/>
      <c r="P2064" s="1196"/>
      <c r="Q2064" s="141"/>
      <c r="R2064" s="141"/>
      <c r="S2064" s="148"/>
      <c r="T2064" s="419"/>
      <c r="U2064" s="559"/>
      <c r="V2064" s="141"/>
      <c r="W2064" s="141"/>
      <c r="X2064" s="141"/>
      <c r="Y2064" s="144"/>
      <c r="Z2064" s="141"/>
      <c r="AA2064" s="141"/>
      <c r="AB2064" s="141"/>
      <c r="AC2064" s="141"/>
      <c r="AD2064" s="141"/>
      <c r="AE2064" s="141"/>
      <c r="AF2064" s="145"/>
      <c r="AG2064" s="419"/>
    </row>
    <row r="2065" spans="1:33" s="139" customFormat="1" ht="12.75" customHeight="1" x14ac:dyDescent="0.2">
      <c r="A2065" s="141"/>
      <c r="B2065" s="141"/>
      <c r="C2065" s="141"/>
      <c r="D2065" s="141"/>
      <c r="E2065" s="1014"/>
      <c r="F2065" s="1014"/>
      <c r="G2065" s="1027"/>
      <c r="H2065" s="1027"/>
      <c r="I2065" s="1174"/>
      <c r="J2065" s="1174"/>
      <c r="K2065" s="1174"/>
      <c r="L2065" s="1172"/>
      <c r="M2065" s="1172"/>
      <c r="N2065" s="1175"/>
      <c r="O2065" s="143"/>
      <c r="P2065" s="1196"/>
      <c r="Q2065" s="141"/>
      <c r="R2065" s="141"/>
      <c r="S2065" s="148"/>
      <c r="T2065" s="419"/>
      <c r="U2065" s="559"/>
      <c r="V2065" s="141"/>
      <c r="W2065" s="141"/>
      <c r="X2065" s="141"/>
      <c r="Y2065" s="144"/>
      <c r="Z2065" s="141"/>
      <c r="AA2065" s="141"/>
      <c r="AB2065" s="141"/>
      <c r="AC2065" s="141"/>
      <c r="AD2065" s="141"/>
      <c r="AE2065" s="141"/>
      <c r="AF2065" s="145"/>
      <c r="AG2065" s="419"/>
    </row>
    <row r="2066" spans="1:33" s="139" customFormat="1" ht="12.75" customHeight="1" x14ac:dyDescent="0.2">
      <c r="A2066" s="141"/>
      <c r="B2066" s="141"/>
      <c r="C2066" s="141"/>
      <c r="D2066" s="141"/>
      <c r="E2066" s="1014"/>
      <c r="F2066" s="1014"/>
      <c r="G2066" s="1027"/>
      <c r="H2066" s="1027"/>
      <c r="I2066" s="1174"/>
      <c r="J2066" s="1174"/>
      <c r="K2066" s="1174"/>
      <c r="L2066" s="1172"/>
      <c r="M2066" s="1172"/>
      <c r="N2066" s="1175"/>
      <c r="O2066" s="143"/>
      <c r="P2066" s="1196"/>
      <c r="Q2066" s="141"/>
      <c r="R2066" s="141"/>
      <c r="S2066" s="148"/>
      <c r="T2066" s="419"/>
      <c r="U2066" s="559"/>
      <c r="V2066" s="141"/>
      <c r="W2066" s="141"/>
      <c r="X2066" s="141"/>
      <c r="Y2066" s="144"/>
      <c r="Z2066" s="141"/>
      <c r="AA2066" s="141"/>
      <c r="AB2066" s="141"/>
      <c r="AC2066" s="141"/>
      <c r="AD2066" s="141"/>
      <c r="AE2066" s="141"/>
      <c r="AF2066" s="145"/>
      <c r="AG2066" s="419"/>
    </row>
    <row r="2067" spans="1:33" s="139" customFormat="1" ht="12.75" customHeight="1" x14ac:dyDescent="0.2">
      <c r="A2067" s="141"/>
      <c r="B2067" s="141"/>
      <c r="C2067" s="141"/>
      <c r="D2067" s="141"/>
      <c r="E2067" s="1014"/>
      <c r="F2067" s="1014"/>
      <c r="G2067" s="1027"/>
      <c r="H2067" s="1027"/>
      <c r="I2067" s="1174"/>
      <c r="J2067" s="1174"/>
      <c r="K2067" s="1174"/>
      <c r="L2067" s="1172"/>
      <c r="M2067" s="1172"/>
      <c r="N2067" s="1175"/>
      <c r="O2067" s="143"/>
      <c r="P2067" s="1196"/>
      <c r="Q2067" s="141"/>
      <c r="R2067" s="141"/>
      <c r="S2067" s="148"/>
      <c r="T2067" s="419"/>
      <c r="U2067" s="559"/>
      <c r="V2067" s="141"/>
      <c r="W2067" s="141"/>
      <c r="X2067" s="141"/>
      <c r="Y2067" s="144"/>
      <c r="Z2067" s="141"/>
      <c r="AA2067" s="141"/>
      <c r="AB2067" s="141"/>
      <c r="AC2067" s="141"/>
      <c r="AD2067" s="141"/>
      <c r="AE2067" s="141"/>
      <c r="AF2067" s="145"/>
      <c r="AG2067" s="419"/>
    </row>
    <row r="2068" spans="1:33" s="139" customFormat="1" ht="12.75" customHeight="1" x14ac:dyDescent="0.2">
      <c r="A2068" s="141"/>
      <c r="B2068" s="141"/>
      <c r="C2068" s="141"/>
      <c r="D2068" s="141"/>
      <c r="E2068" s="1014"/>
      <c r="F2068" s="1014"/>
      <c r="G2068" s="1027"/>
      <c r="H2068" s="1027"/>
      <c r="I2068" s="1174"/>
      <c r="J2068" s="1174"/>
      <c r="K2068" s="1174"/>
      <c r="L2068" s="1172"/>
      <c r="M2068" s="1172"/>
      <c r="N2068" s="1175"/>
      <c r="O2068" s="143"/>
      <c r="P2068" s="1196"/>
      <c r="Q2068" s="141"/>
      <c r="R2068" s="141"/>
      <c r="S2068" s="148"/>
      <c r="T2068" s="419"/>
      <c r="U2068" s="559"/>
      <c r="V2068" s="141"/>
      <c r="W2068" s="141"/>
      <c r="X2068" s="141"/>
      <c r="Y2068" s="144"/>
      <c r="Z2068" s="141"/>
      <c r="AA2068" s="141"/>
      <c r="AB2068" s="141"/>
      <c r="AC2068" s="141"/>
      <c r="AD2068" s="141"/>
      <c r="AE2068" s="141"/>
      <c r="AF2068" s="145"/>
      <c r="AG2068" s="419"/>
    </row>
    <row r="2069" spans="1:33" s="139" customFormat="1" ht="12.75" customHeight="1" x14ac:dyDescent="0.2">
      <c r="A2069" s="141"/>
      <c r="B2069" s="141"/>
      <c r="C2069" s="141"/>
      <c r="D2069" s="141"/>
      <c r="E2069" s="1014"/>
      <c r="F2069" s="1014"/>
      <c r="G2069" s="1027"/>
      <c r="H2069" s="1027"/>
      <c r="I2069" s="1174"/>
      <c r="J2069" s="1174"/>
      <c r="K2069" s="1174"/>
      <c r="L2069" s="1172"/>
      <c r="M2069" s="1172"/>
      <c r="N2069" s="1175"/>
      <c r="O2069" s="143"/>
      <c r="P2069" s="1196"/>
      <c r="Q2069" s="141"/>
      <c r="R2069" s="141"/>
      <c r="S2069" s="148"/>
      <c r="T2069" s="419"/>
      <c r="U2069" s="559"/>
      <c r="V2069" s="141"/>
      <c r="W2069" s="141"/>
      <c r="X2069" s="141"/>
      <c r="Y2069" s="144"/>
      <c r="Z2069" s="141"/>
      <c r="AA2069" s="141"/>
      <c r="AB2069" s="141"/>
      <c r="AC2069" s="141"/>
      <c r="AD2069" s="141"/>
      <c r="AE2069" s="141"/>
      <c r="AF2069" s="145"/>
      <c r="AG2069" s="419"/>
    </row>
    <row r="2070" spans="1:33" s="139" customFormat="1" ht="12.75" customHeight="1" x14ac:dyDescent="0.2">
      <c r="A2070" s="141"/>
      <c r="B2070" s="141"/>
      <c r="C2070" s="141"/>
      <c r="D2070" s="141"/>
      <c r="E2070" s="1014"/>
      <c r="F2070" s="1014"/>
      <c r="G2070" s="1027"/>
      <c r="H2070" s="1027"/>
      <c r="I2070" s="1174"/>
      <c r="J2070" s="1174"/>
      <c r="K2070" s="1174"/>
      <c r="L2070" s="1172"/>
      <c r="M2070" s="1172"/>
      <c r="N2070" s="1175"/>
      <c r="O2070" s="143"/>
      <c r="P2070" s="1196"/>
      <c r="Q2070" s="141"/>
      <c r="R2070" s="141"/>
      <c r="S2070" s="148"/>
      <c r="T2070" s="419"/>
      <c r="U2070" s="559"/>
      <c r="V2070" s="141"/>
      <c r="W2070" s="141"/>
      <c r="X2070" s="141"/>
      <c r="Y2070" s="144"/>
      <c r="Z2070" s="141"/>
      <c r="AA2070" s="141"/>
      <c r="AB2070" s="141"/>
      <c r="AC2070" s="141"/>
      <c r="AD2070" s="141"/>
      <c r="AE2070" s="141"/>
      <c r="AF2070" s="145"/>
      <c r="AG2070" s="419"/>
    </row>
    <row r="2071" spans="1:33" s="139" customFormat="1" ht="12.75" customHeight="1" x14ac:dyDescent="0.2">
      <c r="A2071" s="141"/>
      <c r="B2071" s="141"/>
      <c r="C2071" s="141"/>
      <c r="D2071" s="141"/>
      <c r="E2071" s="1014"/>
      <c r="F2071" s="1014"/>
      <c r="G2071" s="1027"/>
      <c r="H2071" s="1027"/>
      <c r="I2071" s="1174"/>
      <c r="J2071" s="1174"/>
      <c r="K2071" s="1174"/>
      <c r="L2071" s="1172"/>
      <c r="M2071" s="1172"/>
      <c r="N2071" s="1175"/>
      <c r="O2071" s="143"/>
      <c r="P2071" s="1196"/>
      <c r="Q2071" s="141"/>
      <c r="R2071" s="141"/>
      <c r="S2071" s="148"/>
      <c r="T2071" s="419"/>
      <c r="U2071" s="559"/>
      <c r="V2071" s="141"/>
      <c r="W2071" s="141"/>
      <c r="X2071" s="141"/>
      <c r="Y2071" s="144"/>
      <c r="Z2071" s="141"/>
      <c r="AA2071" s="141"/>
      <c r="AB2071" s="141"/>
      <c r="AC2071" s="141"/>
      <c r="AD2071" s="141"/>
      <c r="AE2071" s="141"/>
      <c r="AF2071" s="145"/>
      <c r="AG2071" s="419"/>
    </row>
    <row r="2072" spans="1:33" s="139" customFormat="1" ht="12.75" customHeight="1" x14ac:dyDescent="0.2">
      <c r="A2072" s="141"/>
      <c r="B2072" s="141"/>
      <c r="C2072" s="141"/>
      <c r="D2072" s="141"/>
      <c r="E2072" s="1014"/>
      <c r="F2072" s="1014"/>
      <c r="G2072" s="1027"/>
      <c r="H2072" s="1027"/>
      <c r="I2072" s="1174"/>
      <c r="J2072" s="1174"/>
      <c r="K2072" s="1174"/>
      <c r="L2072" s="1172"/>
      <c r="M2072" s="1172"/>
      <c r="N2072" s="1175"/>
      <c r="O2072" s="143"/>
      <c r="P2072" s="1196"/>
      <c r="Q2072" s="141"/>
      <c r="R2072" s="141"/>
      <c r="S2072" s="148"/>
      <c r="T2072" s="419"/>
      <c r="U2072" s="559"/>
      <c r="V2072" s="141"/>
      <c r="W2072" s="141"/>
      <c r="X2072" s="141"/>
      <c r="Y2072" s="144"/>
      <c r="Z2072" s="141"/>
      <c r="AA2072" s="141"/>
      <c r="AB2072" s="141"/>
      <c r="AC2072" s="141"/>
      <c r="AD2072" s="141"/>
      <c r="AE2072" s="141"/>
      <c r="AF2072" s="145"/>
      <c r="AG2072" s="419"/>
    </row>
    <row r="2073" spans="1:33" s="139" customFormat="1" ht="12.75" customHeight="1" x14ac:dyDescent="0.2">
      <c r="A2073" s="141"/>
      <c r="B2073" s="141"/>
      <c r="C2073" s="141"/>
      <c r="D2073" s="141"/>
      <c r="E2073" s="1014"/>
      <c r="F2073" s="1014"/>
      <c r="G2073" s="1027"/>
      <c r="H2073" s="1027"/>
      <c r="I2073" s="1174"/>
      <c r="J2073" s="1174"/>
      <c r="K2073" s="1174"/>
      <c r="L2073" s="1172"/>
      <c r="M2073" s="1172"/>
      <c r="N2073" s="1175"/>
      <c r="O2073" s="143"/>
      <c r="P2073" s="1196"/>
      <c r="Q2073" s="141"/>
      <c r="R2073" s="141"/>
      <c r="S2073" s="148"/>
      <c r="T2073" s="419"/>
      <c r="U2073" s="559"/>
      <c r="V2073" s="141"/>
      <c r="W2073" s="141"/>
      <c r="X2073" s="141"/>
      <c r="Y2073" s="144"/>
      <c r="Z2073" s="141"/>
      <c r="AA2073" s="141"/>
      <c r="AB2073" s="141"/>
      <c r="AC2073" s="141"/>
      <c r="AD2073" s="141"/>
      <c r="AE2073" s="141"/>
      <c r="AF2073" s="145"/>
      <c r="AG2073" s="419"/>
    </row>
    <row r="2074" spans="1:33" s="139" customFormat="1" ht="12.75" customHeight="1" x14ac:dyDescent="0.2">
      <c r="A2074" s="141"/>
      <c r="B2074" s="141"/>
      <c r="C2074" s="141"/>
      <c r="D2074" s="141"/>
      <c r="E2074" s="1014"/>
      <c r="F2074" s="1014"/>
      <c r="G2074" s="1027"/>
      <c r="H2074" s="1027"/>
      <c r="I2074" s="1174"/>
      <c r="J2074" s="1174"/>
      <c r="K2074" s="1174"/>
      <c r="L2074" s="1172"/>
      <c r="M2074" s="1172"/>
      <c r="N2074" s="1175"/>
      <c r="O2074" s="143"/>
      <c r="P2074" s="1196"/>
      <c r="Q2074" s="141"/>
      <c r="R2074" s="141"/>
      <c r="S2074" s="148"/>
      <c r="T2074" s="419"/>
      <c r="U2074" s="559"/>
      <c r="V2074" s="141"/>
      <c r="W2074" s="141"/>
      <c r="X2074" s="141"/>
      <c r="Y2074" s="144"/>
      <c r="Z2074" s="141"/>
      <c r="AA2074" s="141"/>
      <c r="AB2074" s="141"/>
      <c r="AC2074" s="141"/>
      <c r="AD2074" s="141"/>
      <c r="AE2074" s="141"/>
      <c r="AF2074" s="145"/>
      <c r="AG2074" s="419"/>
    </row>
    <row r="2075" spans="1:33" s="139" customFormat="1" ht="12.75" customHeight="1" x14ac:dyDescent="0.2">
      <c r="A2075" s="141"/>
      <c r="B2075" s="141"/>
      <c r="C2075" s="141"/>
      <c r="D2075" s="141"/>
      <c r="E2075" s="1014"/>
      <c r="F2075" s="1014"/>
      <c r="G2075" s="1027"/>
      <c r="H2075" s="1027"/>
      <c r="I2075" s="1174"/>
      <c r="J2075" s="1174"/>
      <c r="K2075" s="1174"/>
      <c r="L2075" s="1172"/>
      <c r="M2075" s="1172"/>
      <c r="N2075" s="1175"/>
      <c r="O2075" s="143"/>
      <c r="P2075" s="1196"/>
      <c r="Q2075" s="141"/>
      <c r="R2075" s="141"/>
      <c r="S2075" s="148"/>
      <c r="T2075" s="419"/>
      <c r="U2075" s="559"/>
      <c r="V2075" s="141"/>
      <c r="W2075" s="141"/>
      <c r="X2075" s="141"/>
      <c r="Y2075" s="144"/>
      <c r="Z2075" s="141"/>
      <c r="AA2075" s="141"/>
      <c r="AB2075" s="141"/>
      <c r="AC2075" s="141"/>
      <c r="AD2075" s="141"/>
      <c r="AE2075" s="141"/>
      <c r="AF2075" s="145"/>
      <c r="AG2075" s="419"/>
    </row>
    <row r="2076" spans="1:33" s="139" customFormat="1" ht="12.75" customHeight="1" x14ac:dyDescent="0.2">
      <c r="A2076" s="141"/>
      <c r="B2076" s="141"/>
      <c r="C2076" s="141"/>
      <c r="D2076" s="141"/>
      <c r="E2076" s="1014"/>
      <c r="F2076" s="1014"/>
      <c r="G2076" s="1027"/>
      <c r="H2076" s="1027"/>
      <c r="I2076" s="1174"/>
      <c r="J2076" s="1174"/>
      <c r="K2076" s="1174"/>
      <c r="L2076" s="1172"/>
      <c r="M2076" s="1172"/>
      <c r="N2076" s="1175"/>
      <c r="O2076" s="143"/>
      <c r="P2076" s="1196"/>
      <c r="Q2076" s="141"/>
      <c r="R2076" s="141"/>
      <c r="S2076" s="148"/>
      <c r="T2076" s="419"/>
      <c r="U2076" s="559"/>
      <c r="V2076" s="141"/>
      <c r="W2076" s="141"/>
      <c r="X2076" s="141"/>
      <c r="Y2076" s="144"/>
      <c r="Z2076" s="141"/>
      <c r="AA2076" s="141"/>
      <c r="AB2076" s="141"/>
      <c r="AC2076" s="141"/>
      <c r="AD2076" s="141"/>
      <c r="AE2076" s="141"/>
      <c r="AF2076" s="145"/>
      <c r="AG2076" s="419"/>
    </row>
    <row r="2077" spans="1:33" s="139" customFormat="1" ht="12.75" customHeight="1" x14ac:dyDescent="0.2">
      <c r="A2077" s="141"/>
      <c r="B2077" s="141"/>
      <c r="C2077" s="141"/>
      <c r="D2077" s="141"/>
      <c r="E2077" s="1014"/>
      <c r="F2077" s="1014"/>
      <c r="G2077" s="1027"/>
      <c r="H2077" s="1027"/>
      <c r="I2077" s="1174"/>
      <c r="J2077" s="1174"/>
      <c r="K2077" s="1174"/>
      <c r="L2077" s="1172"/>
      <c r="M2077" s="1172"/>
      <c r="N2077" s="1175"/>
      <c r="O2077" s="143"/>
      <c r="P2077" s="1196"/>
      <c r="Q2077" s="141"/>
      <c r="R2077" s="141"/>
      <c r="S2077" s="148"/>
      <c r="T2077" s="419"/>
      <c r="U2077" s="559"/>
      <c r="V2077" s="141"/>
      <c r="W2077" s="141"/>
      <c r="X2077" s="141"/>
      <c r="Y2077" s="144"/>
      <c r="Z2077" s="141"/>
      <c r="AA2077" s="141"/>
      <c r="AB2077" s="141"/>
      <c r="AC2077" s="141"/>
      <c r="AD2077" s="141"/>
      <c r="AE2077" s="141"/>
      <c r="AF2077" s="145"/>
      <c r="AG2077" s="419"/>
    </row>
    <row r="2078" spans="1:33" s="139" customFormat="1" ht="12.75" customHeight="1" x14ac:dyDescent="0.2">
      <c r="A2078" s="141"/>
      <c r="B2078" s="141"/>
      <c r="C2078" s="141"/>
      <c r="D2078" s="141"/>
      <c r="E2078" s="1014"/>
      <c r="F2078" s="1014"/>
      <c r="G2078" s="1027"/>
      <c r="H2078" s="1027"/>
      <c r="I2078" s="1174"/>
      <c r="J2078" s="1174"/>
      <c r="K2078" s="1174"/>
      <c r="L2078" s="1172"/>
      <c r="M2078" s="1172"/>
      <c r="N2078" s="1175"/>
      <c r="O2078" s="143"/>
      <c r="P2078" s="1196"/>
      <c r="Q2078" s="141"/>
      <c r="R2078" s="141"/>
      <c r="S2078" s="148"/>
      <c r="T2078" s="419"/>
      <c r="U2078" s="559"/>
      <c r="V2078" s="141"/>
      <c r="W2078" s="141"/>
      <c r="X2078" s="141"/>
      <c r="Y2078" s="144"/>
      <c r="Z2078" s="141"/>
      <c r="AA2078" s="141"/>
      <c r="AB2078" s="141"/>
      <c r="AC2078" s="141"/>
      <c r="AD2078" s="141"/>
      <c r="AE2078" s="141"/>
      <c r="AF2078" s="145"/>
      <c r="AG2078" s="419"/>
    </row>
    <row r="2079" spans="1:33" s="139" customFormat="1" ht="12.75" customHeight="1" x14ac:dyDescent="0.2">
      <c r="A2079" s="141"/>
      <c r="B2079" s="141"/>
      <c r="C2079" s="141"/>
      <c r="D2079" s="141"/>
      <c r="E2079" s="1014"/>
      <c r="F2079" s="1014"/>
      <c r="G2079" s="1027"/>
      <c r="H2079" s="1027"/>
      <c r="I2079" s="1174"/>
      <c r="J2079" s="1174"/>
      <c r="K2079" s="1174"/>
      <c r="L2079" s="1172"/>
      <c r="M2079" s="1172"/>
      <c r="N2079" s="1175"/>
      <c r="O2079" s="143"/>
      <c r="P2079" s="1196"/>
      <c r="Q2079" s="141"/>
      <c r="R2079" s="141"/>
      <c r="S2079" s="148"/>
      <c r="T2079" s="419"/>
      <c r="U2079" s="559"/>
      <c r="V2079" s="141"/>
      <c r="W2079" s="141"/>
      <c r="X2079" s="141"/>
      <c r="Y2079" s="144"/>
      <c r="Z2079" s="141"/>
      <c r="AA2079" s="141"/>
      <c r="AB2079" s="141"/>
      <c r="AC2079" s="141"/>
      <c r="AD2079" s="141"/>
      <c r="AE2079" s="141"/>
      <c r="AF2079" s="145"/>
      <c r="AG2079" s="419"/>
    </row>
    <row r="2080" spans="1:33" s="139" customFormat="1" ht="12.75" customHeight="1" x14ac:dyDescent="0.2">
      <c r="A2080" s="141"/>
      <c r="B2080" s="141"/>
      <c r="C2080" s="141"/>
      <c r="D2080" s="141"/>
      <c r="E2080" s="1014"/>
      <c r="F2080" s="1014"/>
      <c r="G2080" s="1027"/>
      <c r="H2080" s="1027"/>
      <c r="I2080" s="1174"/>
      <c r="J2080" s="1174"/>
      <c r="K2080" s="1174"/>
      <c r="L2080" s="1172"/>
      <c r="M2080" s="1172"/>
      <c r="N2080" s="1175"/>
      <c r="O2080" s="143"/>
      <c r="P2080" s="1196"/>
      <c r="Q2080" s="141"/>
      <c r="R2080" s="141"/>
      <c r="S2080" s="148"/>
      <c r="T2080" s="419"/>
      <c r="U2080" s="559"/>
      <c r="V2080" s="141"/>
      <c r="W2080" s="141"/>
      <c r="X2080" s="141"/>
      <c r="Y2080" s="144"/>
      <c r="Z2080" s="141"/>
      <c r="AA2080" s="141"/>
      <c r="AB2080" s="141"/>
      <c r="AC2080" s="141"/>
      <c r="AD2080" s="141"/>
      <c r="AE2080" s="141"/>
      <c r="AF2080" s="145"/>
      <c r="AG2080" s="419"/>
    </row>
    <row r="2081" spans="1:33" s="139" customFormat="1" ht="12.75" customHeight="1" x14ac:dyDescent="0.2">
      <c r="A2081" s="141"/>
      <c r="B2081" s="141"/>
      <c r="C2081" s="141"/>
      <c r="D2081" s="141"/>
      <c r="E2081" s="1014"/>
      <c r="F2081" s="1014"/>
      <c r="G2081" s="1027"/>
      <c r="H2081" s="1027"/>
      <c r="I2081" s="1174"/>
      <c r="J2081" s="1174"/>
      <c r="K2081" s="1174"/>
      <c r="L2081" s="1172"/>
      <c r="M2081" s="1172"/>
      <c r="N2081" s="1175"/>
      <c r="O2081" s="143"/>
      <c r="P2081" s="1196"/>
      <c r="Q2081" s="141"/>
      <c r="R2081" s="141"/>
      <c r="S2081" s="148"/>
      <c r="T2081" s="419"/>
      <c r="U2081" s="559"/>
      <c r="V2081" s="141"/>
      <c r="W2081" s="141"/>
      <c r="X2081" s="141"/>
      <c r="Y2081" s="144"/>
      <c r="Z2081" s="141"/>
      <c r="AA2081" s="141"/>
      <c r="AB2081" s="141"/>
      <c r="AC2081" s="141"/>
      <c r="AD2081" s="141"/>
      <c r="AE2081" s="141"/>
      <c r="AF2081" s="145"/>
      <c r="AG2081" s="419"/>
    </row>
    <row r="2082" spans="1:33" s="139" customFormat="1" ht="12.75" customHeight="1" x14ac:dyDescent="0.2">
      <c r="A2082" s="141"/>
      <c r="B2082" s="141"/>
      <c r="C2082" s="141"/>
      <c r="D2082" s="141"/>
      <c r="E2082" s="1014"/>
      <c r="F2082" s="1014"/>
      <c r="G2082" s="1027"/>
      <c r="H2082" s="1027"/>
      <c r="I2082" s="1174"/>
      <c r="J2082" s="1174"/>
      <c r="K2082" s="1174"/>
      <c r="L2082" s="1172"/>
      <c r="M2082" s="1172"/>
      <c r="N2082" s="1175"/>
      <c r="O2082" s="143"/>
      <c r="P2082" s="1196"/>
      <c r="Q2082" s="141"/>
      <c r="R2082" s="141"/>
      <c r="S2082" s="148"/>
      <c r="T2082" s="419"/>
      <c r="U2082" s="559"/>
      <c r="V2082" s="141"/>
      <c r="W2082" s="141"/>
      <c r="X2082" s="141"/>
      <c r="Y2082" s="144"/>
      <c r="Z2082" s="141"/>
      <c r="AA2082" s="141"/>
      <c r="AB2082" s="141"/>
      <c r="AC2082" s="141"/>
      <c r="AD2082" s="141"/>
      <c r="AE2082" s="141"/>
      <c r="AF2082" s="145"/>
      <c r="AG2082" s="419"/>
    </row>
    <row r="2083" spans="1:33" s="139" customFormat="1" ht="12.75" customHeight="1" x14ac:dyDescent="0.2">
      <c r="A2083" s="141"/>
      <c r="B2083" s="141"/>
      <c r="C2083" s="141"/>
      <c r="D2083" s="141"/>
      <c r="E2083" s="1014"/>
      <c r="F2083" s="1014"/>
      <c r="G2083" s="1027"/>
      <c r="H2083" s="1027"/>
      <c r="I2083" s="1174"/>
      <c r="J2083" s="1174"/>
      <c r="K2083" s="1174"/>
      <c r="L2083" s="1172"/>
      <c r="M2083" s="1172"/>
      <c r="N2083" s="1175"/>
      <c r="O2083" s="143"/>
      <c r="P2083" s="1196"/>
      <c r="Q2083" s="141"/>
      <c r="R2083" s="141"/>
      <c r="S2083" s="148"/>
      <c r="T2083" s="419"/>
      <c r="U2083" s="559"/>
      <c r="V2083" s="141"/>
      <c r="W2083" s="141"/>
      <c r="X2083" s="141"/>
      <c r="Y2083" s="144"/>
      <c r="Z2083" s="141"/>
      <c r="AA2083" s="141"/>
      <c r="AB2083" s="141"/>
      <c r="AC2083" s="141"/>
      <c r="AD2083" s="141"/>
      <c r="AE2083" s="141"/>
      <c r="AF2083" s="145"/>
      <c r="AG2083" s="419"/>
    </row>
    <row r="2084" spans="1:33" s="139" customFormat="1" ht="12.75" customHeight="1" x14ac:dyDescent="0.2">
      <c r="A2084" s="141"/>
      <c r="B2084" s="141"/>
      <c r="C2084" s="141"/>
      <c r="D2084" s="141"/>
      <c r="E2084" s="1014"/>
      <c r="F2084" s="1014"/>
      <c r="G2084" s="1027"/>
      <c r="H2084" s="1027"/>
      <c r="I2084" s="1174"/>
      <c r="J2084" s="1174"/>
      <c r="K2084" s="1174"/>
      <c r="L2084" s="1172"/>
      <c r="M2084" s="1172"/>
      <c r="N2084" s="1175"/>
      <c r="O2084" s="143"/>
      <c r="P2084" s="1196"/>
      <c r="Q2084" s="141"/>
      <c r="R2084" s="141"/>
      <c r="S2084" s="148"/>
      <c r="T2084" s="419"/>
      <c r="U2084" s="559"/>
      <c r="V2084" s="141"/>
      <c r="W2084" s="141"/>
      <c r="X2084" s="141"/>
      <c r="Y2084" s="144"/>
      <c r="Z2084" s="141"/>
      <c r="AA2084" s="141"/>
      <c r="AB2084" s="141"/>
      <c r="AC2084" s="141"/>
      <c r="AD2084" s="141"/>
      <c r="AE2084" s="141"/>
      <c r="AF2084" s="145"/>
      <c r="AG2084" s="419"/>
    </row>
    <row r="2085" spans="1:33" s="139" customFormat="1" ht="12.75" customHeight="1" x14ac:dyDescent="0.2">
      <c r="A2085" s="141"/>
      <c r="B2085" s="141"/>
      <c r="C2085" s="141"/>
      <c r="D2085" s="141"/>
      <c r="E2085" s="1014"/>
      <c r="F2085" s="1014"/>
      <c r="G2085" s="1027"/>
      <c r="H2085" s="1027"/>
      <c r="I2085" s="1174"/>
      <c r="J2085" s="1174"/>
      <c r="K2085" s="1174"/>
      <c r="L2085" s="1172"/>
      <c r="M2085" s="1172"/>
      <c r="N2085" s="1175"/>
      <c r="O2085" s="143"/>
      <c r="P2085" s="1196"/>
      <c r="Q2085" s="141"/>
      <c r="R2085" s="141"/>
      <c r="S2085" s="148"/>
      <c r="T2085" s="419"/>
      <c r="U2085" s="559"/>
      <c r="V2085" s="141"/>
      <c r="W2085" s="141"/>
      <c r="X2085" s="141"/>
      <c r="Y2085" s="144"/>
      <c r="Z2085" s="141"/>
      <c r="AA2085" s="141"/>
      <c r="AB2085" s="141"/>
      <c r="AC2085" s="141"/>
      <c r="AD2085" s="141"/>
      <c r="AE2085" s="141"/>
      <c r="AF2085" s="145"/>
      <c r="AG2085" s="419"/>
    </row>
    <row r="2086" spans="1:33" s="139" customFormat="1" ht="12.75" customHeight="1" x14ac:dyDescent="0.2">
      <c r="A2086" s="141"/>
      <c r="B2086" s="141"/>
      <c r="C2086" s="141"/>
      <c r="D2086" s="141"/>
      <c r="E2086" s="1014"/>
      <c r="F2086" s="1014"/>
      <c r="G2086" s="1027"/>
      <c r="H2086" s="1027"/>
      <c r="I2086" s="1174"/>
      <c r="J2086" s="1174"/>
      <c r="K2086" s="1174"/>
      <c r="L2086" s="1172"/>
      <c r="M2086" s="1172"/>
      <c r="N2086" s="1175"/>
      <c r="O2086" s="143"/>
      <c r="P2086" s="1196"/>
      <c r="Q2086" s="141"/>
      <c r="R2086" s="141"/>
      <c r="S2086" s="148"/>
      <c r="T2086" s="419"/>
      <c r="U2086" s="559"/>
      <c r="V2086" s="141"/>
      <c r="W2086" s="141"/>
      <c r="X2086" s="141"/>
      <c r="Y2086" s="144"/>
      <c r="Z2086" s="141"/>
      <c r="AA2086" s="141"/>
      <c r="AB2086" s="141"/>
      <c r="AC2086" s="141"/>
      <c r="AD2086" s="141"/>
      <c r="AE2086" s="141"/>
      <c r="AF2086" s="145"/>
      <c r="AG2086" s="419"/>
    </row>
    <row r="2087" spans="1:33" s="139" customFormat="1" ht="12.75" customHeight="1" x14ac:dyDescent="0.2">
      <c r="A2087" s="141"/>
      <c r="B2087" s="141"/>
      <c r="C2087" s="141"/>
      <c r="D2087" s="141"/>
      <c r="E2087" s="1014"/>
      <c r="F2087" s="1014"/>
      <c r="G2087" s="1027"/>
      <c r="H2087" s="1027"/>
      <c r="I2087" s="1174"/>
      <c r="J2087" s="1174"/>
      <c r="K2087" s="1174"/>
      <c r="L2087" s="1172"/>
      <c r="M2087" s="1172"/>
      <c r="N2087" s="1175"/>
      <c r="O2087" s="143"/>
      <c r="P2087" s="1196"/>
      <c r="Q2087" s="141"/>
      <c r="R2087" s="141"/>
      <c r="S2087" s="148"/>
      <c r="T2087" s="419"/>
      <c r="U2087" s="559"/>
      <c r="V2087" s="141"/>
      <c r="W2087" s="141"/>
      <c r="X2087" s="141"/>
      <c r="Y2087" s="144"/>
      <c r="Z2087" s="141"/>
      <c r="AA2087" s="141"/>
      <c r="AB2087" s="141"/>
      <c r="AC2087" s="141"/>
      <c r="AD2087" s="141"/>
      <c r="AE2087" s="141"/>
      <c r="AF2087" s="145"/>
      <c r="AG2087" s="419"/>
    </row>
    <row r="2088" spans="1:33" s="139" customFormat="1" ht="12.75" customHeight="1" x14ac:dyDescent="0.2">
      <c r="A2088" s="141"/>
      <c r="B2088" s="141"/>
      <c r="C2088" s="141"/>
      <c r="D2088" s="141"/>
      <c r="E2088" s="1014"/>
      <c r="F2088" s="1014"/>
      <c r="G2088" s="1027"/>
      <c r="H2088" s="1027"/>
      <c r="I2088" s="1174"/>
      <c r="J2088" s="1174"/>
      <c r="K2088" s="1174"/>
      <c r="L2088" s="1172"/>
      <c r="M2088" s="1172"/>
      <c r="N2088" s="1175"/>
      <c r="O2088" s="143"/>
      <c r="P2088" s="1196"/>
      <c r="Q2088" s="141"/>
      <c r="R2088" s="141"/>
      <c r="S2088" s="148"/>
      <c r="T2088" s="419"/>
      <c r="U2088" s="559"/>
      <c r="V2088" s="141"/>
      <c r="W2088" s="141"/>
      <c r="X2088" s="141"/>
      <c r="Y2088" s="144"/>
      <c r="Z2088" s="141"/>
      <c r="AA2088" s="141"/>
      <c r="AB2088" s="141"/>
      <c r="AC2088" s="141"/>
      <c r="AD2088" s="141"/>
      <c r="AE2088" s="141"/>
      <c r="AF2088" s="145"/>
      <c r="AG2088" s="419"/>
    </row>
    <row r="2089" spans="1:33" s="139" customFormat="1" ht="12.75" customHeight="1" x14ac:dyDescent="0.2">
      <c r="A2089" s="141"/>
      <c r="B2089" s="141"/>
      <c r="C2089" s="141"/>
      <c r="D2089" s="141"/>
      <c r="E2089" s="1014"/>
      <c r="F2089" s="1014"/>
      <c r="G2089" s="1027"/>
      <c r="H2089" s="1027"/>
      <c r="I2089" s="1174"/>
      <c r="J2089" s="1174"/>
      <c r="K2089" s="1174"/>
      <c r="L2089" s="1172"/>
      <c r="M2089" s="1172"/>
      <c r="N2089" s="1175"/>
      <c r="O2089" s="143"/>
      <c r="P2089" s="1196"/>
      <c r="Q2089" s="141"/>
      <c r="R2089" s="141"/>
      <c r="S2089" s="148"/>
      <c r="T2089" s="419"/>
      <c r="U2089" s="559"/>
      <c r="V2089" s="141"/>
      <c r="W2089" s="141"/>
      <c r="X2089" s="141"/>
      <c r="Y2089" s="144"/>
      <c r="Z2089" s="141"/>
      <c r="AA2089" s="141"/>
      <c r="AB2089" s="141"/>
      <c r="AC2089" s="141"/>
      <c r="AD2089" s="141"/>
      <c r="AE2089" s="141"/>
      <c r="AF2089" s="145"/>
      <c r="AG2089" s="419"/>
    </row>
    <row r="2090" spans="1:33" s="139" customFormat="1" ht="12.75" customHeight="1" x14ac:dyDescent="0.2">
      <c r="A2090" s="141"/>
      <c r="B2090" s="141"/>
      <c r="C2090" s="141"/>
      <c r="D2090" s="141"/>
      <c r="E2090" s="1014"/>
      <c r="F2090" s="1014"/>
      <c r="G2090" s="1027"/>
      <c r="H2090" s="1027"/>
      <c r="I2090" s="1174"/>
      <c r="J2090" s="1174"/>
      <c r="K2090" s="1174"/>
      <c r="L2090" s="1172"/>
      <c r="M2090" s="1172"/>
      <c r="N2090" s="1175"/>
      <c r="O2090" s="143"/>
      <c r="P2090" s="1196"/>
      <c r="Q2090" s="141"/>
      <c r="R2090" s="141"/>
      <c r="S2090" s="148"/>
      <c r="T2090" s="419"/>
      <c r="U2090" s="559"/>
      <c r="V2090" s="141"/>
      <c r="W2090" s="141"/>
      <c r="X2090" s="141"/>
      <c r="Y2090" s="144"/>
      <c r="Z2090" s="141"/>
      <c r="AA2090" s="141"/>
      <c r="AB2090" s="141"/>
      <c r="AC2090" s="141"/>
      <c r="AD2090" s="141"/>
      <c r="AE2090" s="141"/>
      <c r="AF2090" s="145"/>
      <c r="AG2090" s="419"/>
    </row>
    <row r="2091" spans="1:33" s="139" customFormat="1" ht="12.75" customHeight="1" x14ac:dyDescent="0.2">
      <c r="A2091" s="141"/>
      <c r="B2091" s="141"/>
      <c r="C2091" s="141"/>
      <c r="D2091" s="141"/>
      <c r="E2091" s="1014"/>
      <c r="F2091" s="1014"/>
      <c r="G2091" s="1027"/>
      <c r="H2091" s="1027"/>
      <c r="I2091" s="1174"/>
      <c r="J2091" s="1174"/>
      <c r="K2091" s="1174"/>
      <c r="L2091" s="1172"/>
      <c r="M2091" s="1172"/>
      <c r="N2091" s="1175"/>
      <c r="O2091" s="143"/>
      <c r="P2091" s="1196"/>
      <c r="Q2091" s="141"/>
      <c r="R2091" s="141"/>
      <c r="S2091" s="148"/>
      <c r="T2091" s="419"/>
      <c r="U2091" s="559"/>
      <c r="V2091" s="141"/>
      <c r="W2091" s="141"/>
      <c r="X2091" s="141"/>
      <c r="Y2091" s="144"/>
      <c r="Z2091" s="141"/>
      <c r="AA2091" s="141"/>
      <c r="AB2091" s="141"/>
      <c r="AC2091" s="141"/>
      <c r="AD2091" s="141"/>
      <c r="AE2091" s="141"/>
      <c r="AF2091" s="145"/>
      <c r="AG2091" s="419"/>
    </row>
    <row r="2092" spans="1:33" s="139" customFormat="1" ht="12.75" customHeight="1" x14ac:dyDescent="0.2">
      <c r="A2092" s="141"/>
      <c r="B2092" s="141"/>
      <c r="C2092" s="141"/>
      <c r="D2092" s="141"/>
      <c r="E2092" s="1014"/>
      <c r="F2092" s="1014"/>
      <c r="G2092" s="1027"/>
      <c r="H2092" s="1027"/>
      <c r="I2092" s="1174"/>
      <c r="J2092" s="1174"/>
      <c r="K2092" s="1174"/>
      <c r="L2092" s="1172"/>
      <c r="M2092" s="1172"/>
      <c r="N2092" s="1175"/>
      <c r="O2092" s="143"/>
      <c r="P2092" s="1196"/>
      <c r="Q2092" s="141"/>
      <c r="R2092" s="141"/>
      <c r="S2092" s="148"/>
      <c r="T2092" s="419"/>
      <c r="U2092" s="559"/>
      <c r="V2092" s="141"/>
      <c r="W2092" s="141"/>
      <c r="X2092" s="141"/>
      <c r="Y2092" s="144"/>
      <c r="Z2092" s="141"/>
      <c r="AA2092" s="141"/>
      <c r="AB2092" s="141"/>
      <c r="AC2092" s="141"/>
      <c r="AD2092" s="141"/>
      <c r="AE2092" s="141"/>
      <c r="AF2092" s="145"/>
      <c r="AG2092" s="419"/>
    </row>
    <row r="2093" spans="1:33" s="139" customFormat="1" ht="12.75" customHeight="1" x14ac:dyDescent="0.2">
      <c r="A2093" s="141"/>
      <c r="B2093" s="141"/>
      <c r="C2093" s="141"/>
      <c r="D2093" s="141"/>
      <c r="E2093" s="1014"/>
      <c r="F2093" s="1014"/>
      <c r="G2093" s="1027"/>
      <c r="H2093" s="1027"/>
      <c r="I2093" s="1174"/>
      <c r="J2093" s="1174"/>
      <c r="K2093" s="1174"/>
      <c r="L2093" s="1172"/>
      <c r="M2093" s="1172"/>
      <c r="N2093" s="1175"/>
      <c r="O2093" s="143"/>
      <c r="P2093" s="1196"/>
      <c r="Q2093" s="141"/>
      <c r="R2093" s="141"/>
      <c r="S2093" s="148"/>
      <c r="T2093" s="419"/>
      <c r="U2093" s="559"/>
      <c r="V2093" s="141"/>
      <c r="W2093" s="141"/>
      <c r="X2093" s="141"/>
      <c r="Y2093" s="144"/>
      <c r="Z2093" s="141"/>
      <c r="AA2093" s="141"/>
      <c r="AB2093" s="141"/>
      <c r="AC2093" s="141"/>
      <c r="AD2093" s="141"/>
      <c r="AE2093" s="141"/>
      <c r="AF2093" s="145"/>
      <c r="AG2093" s="419"/>
    </row>
    <row r="2094" spans="1:33" s="139" customFormat="1" ht="12.75" customHeight="1" x14ac:dyDescent="0.2">
      <c r="A2094" s="141"/>
      <c r="B2094" s="141"/>
      <c r="C2094" s="141"/>
      <c r="D2094" s="141"/>
      <c r="E2094" s="1014"/>
      <c r="F2094" s="1014"/>
      <c r="G2094" s="1027"/>
      <c r="H2094" s="1027"/>
      <c r="I2094" s="1174"/>
      <c r="J2094" s="1174"/>
      <c r="K2094" s="1174"/>
      <c r="L2094" s="1172"/>
      <c r="M2094" s="1172"/>
      <c r="N2094" s="1175"/>
      <c r="O2094" s="143"/>
      <c r="P2094" s="1196"/>
      <c r="Q2094" s="141"/>
      <c r="R2094" s="141"/>
      <c r="S2094" s="148"/>
      <c r="T2094" s="419"/>
      <c r="U2094" s="559"/>
      <c r="V2094" s="141"/>
      <c r="W2094" s="141"/>
      <c r="X2094" s="141"/>
      <c r="Y2094" s="144"/>
      <c r="Z2094" s="141"/>
      <c r="AA2094" s="141"/>
      <c r="AB2094" s="141"/>
      <c r="AC2094" s="141"/>
      <c r="AD2094" s="141"/>
      <c r="AE2094" s="141"/>
      <c r="AF2094" s="145"/>
      <c r="AG2094" s="419"/>
    </row>
    <row r="2095" spans="1:33" s="139" customFormat="1" ht="12.75" customHeight="1" x14ac:dyDescent="0.2">
      <c r="A2095" s="141"/>
      <c r="B2095" s="141"/>
      <c r="C2095" s="141"/>
      <c r="D2095" s="141"/>
      <c r="E2095" s="1014"/>
      <c r="F2095" s="1014"/>
      <c r="G2095" s="1027"/>
      <c r="H2095" s="1027"/>
      <c r="I2095" s="1174"/>
      <c r="J2095" s="1174"/>
      <c r="K2095" s="1174"/>
      <c r="L2095" s="1172"/>
      <c r="M2095" s="1172"/>
      <c r="N2095" s="1175"/>
      <c r="O2095" s="143"/>
      <c r="P2095" s="1196"/>
      <c r="Q2095" s="141"/>
      <c r="R2095" s="141"/>
      <c r="S2095" s="148"/>
      <c r="T2095" s="419"/>
      <c r="U2095" s="559"/>
      <c r="V2095" s="141"/>
      <c r="W2095" s="141"/>
      <c r="X2095" s="141"/>
      <c r="Y2095" s="144"/>
      <c r="Z2095" s="141"/>
      <c r="AA2095" s="141"/>
      <c r="AB2095" s="141"/>
      <c r="AC2095" s="141"/>
      <c r="AD2095" s="141"/>
      <c r="AE2095" s="141"/>
      <c r="AF2095" s="145"/>
      <c r="AG2095" s="419"/>
    </row>
    <row r="2096" spans="1:33" s="139" customFormat="1" ht="12.75" customHeight="1" x14ac:dyDescent="0.2">
      <c r="A2096" s="141"/>
      <c r="B2096" s="141"/>
      <c r="C2096" s="141"/>
      <c r="D2096" s="141"/>
      <c r="E2096" s="1014"/>
      <c r="F2096" s="1014"/>
      <c r="G2096" s="1027"/>
      <c r="H2096" s="1027"/>
      <c r="I2096" s="1174"/>
      <c r="J2096" s="1174"/>
      <c r="K2096" s="1174"/>
      <c r="L2096" s="1172"/>
      <c r="M2096" s="1172"/>
      <c r="N2096" s="1175"/>
      <c r="O2096" s="143"/>
      <c r="P2096" s="1196"/>
      <c r="Q2096" s="141"/>
      <c r="R2096" s="141"/>
      <c r="S2096" s="148"/>
      <c r="T2096" s="419"/>
      <c r="U2096" s="559"/>
      <c r="V2096" s="141"/>
      <c r="W2096" s="141"/>
      <c r="X2096" s="141"/>
      <c r="Y2096" s="144"/>
      <c r="Z2096" s="141"/>
      <c r="AA2096" s="141"/>
      <c r="AB2096" s="141"/>
      <c r="AC2096" s="141"/>
      <c r="AD2096" s="141"/>
      <c r="AE2096" s="141"/>
      <c r="AF2096" s="145"/>
      <c r="AG2096" s="419"/>
    </row>
    <row r="2097" spans="1:33" s="139" customFormat="1" ht="12.75" customHeight="1" x14ac:dyDescent="0.2">
      <c r="A2097" s="141"/>
      <c r="B2097" s="141"/>
      <c r="C2097" s="141"/>
      <c r="D2097" s="141"/>
      <c r="E2097" s="1014"/>
      <c r="F2097" s="1014"/>
      <c r="G2097" s="1027"/>
      <c r="H2097" s="1027"/>
      <c r="I2097" s="1174"/>
      <c r="J2097" s="1174"/>
      <c r="K2097" s="1174"/>
      <c r="L2097" s="1172"/>
      <c r="M2097" s="1172"/>
      <c r="N2097" s="1175"/>
      <c r="O2097" s="143"/>
      <c r="P2097" s="1196"/>
      <c r="Q2097" s="141"/>
      <c r="R2097" s="141"/>
      <c r="S2097" s="148"/>
      <c r="T2097" s="419"/>
      <c r="U2097" s="559"/>
      <c r="V2097" s="141"/>
      <c r="W2097" s="141"/>
      <c r="X2097" s="141"/>
      <c r="Y2097" s="144"/>
      <c r="Z2097" s="141"/>
      <c r="AA2097" s="141"/>
      <c r="AB2097" s="141"/>
      <c r="AC2097" s="141"/>
      <c r="AD2097" s="141"/>
      <c r="AE2097" s="141"/>
      <c r="AF2097" s="145"/>
      <c r="AG2097" s="419"/>
    </row>
    <row r="2098" spans="1:33" s="139" customFormat="1" ht="12.75" customHeight="1" x14ac:dyDescent="0.2">
      <c r="A2098" s="141"/>
      <c r="B2098" s="141"/>
      <c r="C2098" s="141"/>
      <c r="D2098" s="141"/>
      <c r="E2098" s="1014"/>
      <c r="F2098" s="1014"/>
      <c r="G2098" s="1027"/>
      <c r="H2098" s="1027"/>
      <c r="I2098" s="1174"/>
      <c r="J2098" s="1174"/>
      <c r="K2098" s="1174"/>
      <c r="L2098" s="1172"/>
      <c r="M2098" s="1172"/>
      <c r="N2098" s="1175"/>
      <c r="O2098" s="143"/>
      <c r="P2098" s="1196"/>
      <c r="Q2098" s="141"/>
      <c r="R2098" s="141"/>
      <c r="S2098" s="148"/>
      <c r="T2098" s="419"/>
      <c r="U2098" s="559"/>
      <c r="V2098" s="141"/>
      <c r="W2098" s="141"/>
      <c r="X2098" s="141"/>
      <c r="Y2098" s="144"/>
      <c r="Z2098" s="141"/>
      <c r="AA2098" s="141"/>
      <c r="AB2098" s="141"/>
      <c r="AC2098" s="141"/>
      <c r="AD2098" s="141"/>
      <c r="AE2098" s="141"/>
      <c r="AF2098" s="145"/>
      <c r="AG2098" s="419"/>
    </row>
    <row r="2099" spans="1:33" s="139" customFormat="1" ht="12.75" customHeight="1" x14ac:dyDescent="0.2">
      <c r="A2099" s="141"/>
      <c r="B2099" s="141"/>
      <c r="C2099" s="141"/>
      <c r="D2099" s="141"/>
      <c r="E2099" s="1014"/>
      <c r="F2099" s="1014"/>
      <c r="G2099" s="1027"/>
      <c r="H2099" s="1027"/>
      <c r="I2099" s="1174"/>
      <c r="J2099" s="1174"/>
      <c r="K2099" s="1174"/>
      <c r="L2099" s="1172"/>
      <c r="M2099" s="1172"/>
      <c r="N2099" s="1175"/>
      <c r="O2099" s="143"/>
      <c r="P2099" s="1196"/>
      <c r="Q2099" s="141"/>
      <c r="R2099" s="141"/>
      <c r="S2099" s="148"/>
      <c r="T2099" s="419"/>
      <c r="U2099" s="559"/>
      <c r="V2099" s="141"/>
      <c r="W2099" s="141"/>
      <c r="X2099" s="141"/>
      <c r="Y2099" s="144"/>
      <c r="Z2099" s="141"/>
      <c r="AA2099" s="141"/>
      <c r="AB2099" s="141"/>
      <c r="AC2099" s="141"/>
      <c r="AD2099" s="141"/>
      <c r="AE2099" s="141"/>
      <c r="AF2099" s="145"/>
      <c r="AG2099" s="419"/>
    </row>
    <row r="2100" spans="1:33" s="139" customFormat="1" ht="12.75" customHeight="1" x14ac:dyDescent="0.2">
      <c r="A2100" s="141"/>
      <c r="B2100" s="141"/>
      <c r="C2100" s="141"/>
      <c r="D2100" s="141"/>
      <c r="E2100" s="1014"/>
      <c r="F2100" s="1014"/>
      <c r="G2100" s="1027"/>
      <c r="H2100" s="1027"/>
      <c r="I2100" s="1174"/>
      <c r="J2100" s="1174"/>
      <c r="K2100" s="1174"/>
      <c r="L2100" s="1172"/>
      <c r="M2100" s="1172"/>
      <c r="N2100" s="1175"/>
      <c r="O2100" s="143"/>
      <c r="P2100" s="1196"/>
      <c r="Q2100" s="141"/>
      <c r="R2100" s="141"/>
      <c r="S2100" s="148"/>
      <c r="T2100" s="419"/>
      <c r="U2100" s="559"/>
      <c r="V2100" s="141"/>
      <c r="W2100" s="141"/>
      <c r="X2100" s="141"/>
      <c r="Y2100" s="144"/>
      <c r="Z2100" s="141"/>
      <c r="AA2100" s="141"/>
      <c r="AB2100" s="141"/>
      <c r="AC2100" s="141"/>
      <c r="AD2100" s="141"/>
      <c r="AE2100" s="141"/>
      <c r="AF2100" s="145"/>
      <c r="AG2100" s="419"/>
    </row>
    <row r="2101" spans="1:33" s="139" customFormat="1" ht="12.75" customHeight="1" x14ac:dyDescent="0.2">
      <c r="A2101" s="141"/>
      <c r="B2101" s="141"/>
      <c r="C2101" s="141"/>
      <c r="D2101" s="141"/>
      <c r="E2101" s="1014"/>
      <c r="F2101" s="1014"/>
      <c r="G2101" s="1027"/>
      <c r="H2101" s="1027"/>
      <c r="I2101" s="1174"/>
      <c r="J2101" s="1174"/>
      <c r="K2101" s="1174"/>
      <c r="L2101" s="1172"/>
      <c r="M2101" s="1172"/>
      <c r="N2101" s="1175"/>
      <c r="O2101" s="143"/>
      <c r="P2101" s="1196"/>
      <c r="Q2101" s="141"/>
      <c r="R2101" s="141"/>
      <c r="S2101" s="148"/>
      <c r="T2101" s="419"/>
      <c r="U2101" s="559"/>
      <c r="V2101" s="141"/>
      <c r="W2101" s="141"/>
      <c r="X2101" s="141"/>
      <c r="Y2101" s="144"/>
      <c r="Z2101" s="141"/>
      <c r="AA2101" s="141"/>
      <c r="AB2101" s="141"/>
      <c r="AC2101" s="141"/>
      <c r="AD2101" s="141"/>
      <c r="AE2101" s="141"/>
      <c r="AF2101" s="145"/>
      <c r="AG2101" s="419"/>
    </row>
    <row r="2102" spans="1:33" s="139" customFormat="1" ht="12.75" customHeight="1" x14ac:dyDescent="0.2">
      <c r="A2102" s="141"/>
      <c r="B2102" s="141"/>
      <c r="C2102" s="141"/>
      <c r="D2102" s="141"/>
      <c r="E2102" s="1014"/>
      <c r="F2102" s="1014"/>
      <c r="G2102" s="1027"/>
      <c r="H2102" s="1027"/>
      <c r="I2102" s="1174"/>
      <c r="J2102" s="1174"/>
      <c r="K2102" s="1174"/>
      <c r="L2102" s="1172"/>
      <c r="M2102" s="1172"/>
      <c r="N2102" s="1175"/>
      <c r="O2102" s="143"/>
      <c r="P2102" s="1196"/>
      <c r="Q2102" s="141"/>
      <c r="R2102" s="141"/>
      <c r="S2102" s="148"/>
      <c r="T2102" s="419"/>
      <c r="U2102" s="559"/>
      <c r="V2102" s="141"/>
      <c r="W2102" s="141"/>
      <c r="X2102" s="141"/>
      <c r="Y2102" s="144"/>
      <c r="Z2102" s="141"/>
      <c r="AA2102" s="141"/>
      <c r="AB2102" s="141"/>
      <c r="AC2102" s="141"/>
      <c r="AD2102" s="141"/>
      <c r="AE2102" s="141"/>
      <c r="AF2102" s="145"/>
      <c r="AG2102" s="419"/>
    </row>
    <row r="2103" spans="1:33" s="139" customFormat="1" ht="12.75" customHeight="1" x14ac:dyDescent="0.2">
      <c r="A2103" s="141"/>
      <c r="B2103" s="141"/>
      <c r="C2103" s="141"/>
      <c r="D2103" s="141"/>
      <c r="E2103" s="1014"/>
      <c r="F2103" s="1014"/>
      <c r="G2103" s="1027"/>
      <c r="H2103" s="1027"/>
      <c r="I2103" s="1174"/>
      <c r="J2103" s="1174"/>
      <c r="K2103" s="1174"/>
      <c r="L2103" s="1172"/>
      <c r="M2103" s="1172"/>
      <c r="N2103" s="1175"/>
      <c r="O2103" s="143"/>
      <c r="P2103" s="1196"/>
      <c r="Q2103" s="141"/>
      <c r="R2103" s="141"/>
      <c r="S2103" s="148"/>
      <c r="T2103" s="419"/>
      <c r="U2103" s="559"/>
      <c r="V2103" s="141"/>
      <c r="W2103" s="141"/>
      <c r="X2103" s="141"/>
      <c r="Y2103" s="144"/>
      <c r="Z2103" s="141"/>
      <c r="AA2103" s="141"/>
      <c r="AB2103" s="141"/>
      <c r="AC2103" s="141"/>
      <c r="AD2103" s="141"/>
      <c r="AE2103" s="141"/>
      <c r="AF2103" s="145"/>
      <c r="AG2103" s="419"/>
    </row>
    <row r="2104" spans="1:33" s="139" customFormat="1" ht="12.75" customHeight="1" x14ac:dyDescent="0.2">
      <c r="A2104" s="141"/>
      <c r="B2104" s="141"/>
      <c r="C2104" s="141"/>
      <c r="D2104" s="141"/>
      <c r="E2104" s="1014"/>
      <c r="F2104" s="1014"/>
      <c r="G2104" s="1027"/>
      <c r="H2104" s="1027"/>
      <c r="I2104" s="1174"/>
      <c r="J2104" s="1174"/>
      <c r="K2104" s="1174"/>
      <c r="L2104" s="1172"/>
      <c r="M2104" s="1172"/>
      <c r="N2104" s="1175"/>
      <c r="O2104" s="143"/>
      <c r="P2104" s="1196"/>
      <c r="Q2104" s="141"/>
      <c r="R2104" s="141"/>
      <c r="S2104" s="148"/>
      <c r="T2104" s="419"/>
      <c r="U2104" s="559"/>
      <c r="V2104" s="141"/>
      <c r="W2104" s="141"/>
      <c r="X2104" s="141"/>
      <c r="Y2104" s="144"/>
      <c r="Z2104" s="141"/>
      <c r="AA2104" s="141"/>
      <c r="AB2104" s="141"/>
      <c r="AC2104" s="141"/>
      <c r="AD2104" s="141"/>
      <c r="AE2104" s="141"/>
      <c r="AF2104" s="145"/>
      <c r="AG2104" s="419"/>
    </row>
    <row r="2105" spans="1:33" s="139" customFormat="1" ht="12.75" customHeight="1" x14ac:dyDescent="0.2">
      <c r="A2105" s="141"/>
      <c r="B2105" s="141"/>
      <c r="C2105" s="141"/>
      <c r="D2105" s="141"/>
      <c r="E2105" s="1014"/>
      <c r="F2105" s="1014"/>
      <c r="G2105" s="1027"/>
      <c r="H2105" s="1027"/>
      <c r="I2105" s="1174"/>
      <c r="J2105" s="1174"/>
      <c r="K2105" s="1174"/>
      <c r="L2105" s="1172"/>
      <c r="M2105" s="1172"/>
      <c r="N2105" s="1175"/>
      <c r="O2105" s="143"/>
      <c r="P2105" s="1196"/>
      <c r="Q2105" s="141"/>
      <c r="R2105" s="141"/>
      <c r="S2105" s="148"/>
      <c r="T2105" s="419"/>
      <c r="U2105" s="559"/>
      <c r="V2105" s="141"/>
      <c r="W2105" s="141"/>
      <c r="X2105" s="141"/>
      <c r="Y2105" s="144"/>
      <c r="Z2105" s="141"/>
      <c r="AA2105" s="141"/>
      <c r="AB2105" s="141"/>
      <c r="AC2105" s="141"/>
      <c r="AD2105" s="141"/>
      <c r="AE2105" s="141"/>
      <c r="AF2105" s="145"/>
      <c r="AG2105" s="419"/>
    </row>
    <row r="2106" spans="1:33" s="139" customFormat="1" ht="12.75" customHeight="1" x14ac:dyDescent="0.2">
      <c r="A2106" s="141"/>
      <c r="B2106" s="141"/>
      <c r="C2106" s="141"/>
      <c r="D2106" s="141"/>
      <c r="E2106" s="1014"/>
      <c r="F2106" s="1014"/>
      <c r="G2106" s="1027"/>
      <c r="H2106" s="1027"/>
      <c r="I2106" s="1174"/>
      <c r="J2106" s="1174"/>
      <c r="K2106" s="1174"/>
      <c r="L2106" s="1172"/>
      <c r="M2106" s="1172"/>
      <c r="N2106" s="1175"/>
      <c r="O2106" s="143"/>
      <c r="P2106" s="1196"/>
      <c r="Q2106" s="141"/>
      <c r="R2106" s="141"/>
      <c r="S2106" s="148"/>
      <c r="T2106" s="419"/>
      <c r="U2106" s="559"/>
      <c r="V2106" s="141"/>
      <c r="W2106" s="141"/>
      <c r="X2106" s="141"/>
      <c r="Y2106" s="144"/>
      <c r="Z2106" s="141"/>
      <c r="AA2106" s="141"/>
      <c r="AB2106" s="141"/>
      <c r="AC2106" s="141"/>
      <c r="AD2106" s="141"/>
      <c r="AE2106" s="141"/>
      <c r="AF2106" s="145"/>
      <c r="AG2106" s="419"/>
    </row>
    <row r="2107" spans="1:33" s="139" customFormat="1" ht="12.75" customHeight="1" x14ac:dyDescent="0.2">
      <c r="A2107" s="141"/>
      <c r="B2107" s="141"/>
      <c r="C2107" s="141"/>
      <c r="D2107" s="141"/>
      <c r="E2107" s="1014"/>
      <c r="F2107" s="1014"/>
      <c r="G2107" s="1027"/>
      <c r="H2107" s="1027"/>
      <c r="I2107" s="1174"/>
      <c r="J2107" s="1174"/>
      <c r="K2107" s="1174"/>
      <c r="L2107" s="1172"/>
      <c r="M2107" s="1172"/>
      <c r="N2107" s="1175"/>
      <c r="O2107" s="143"/>
      <c r="P2107" s="1196"/>
      <c r="Q2107" s="141"/>
      <c r="R2107" s="141"/>
      <c r="S2107" s="148"/>
      <c r="T2107" s="419"/>
      <c r="U2107" s="559"/>
      <c r="V2107" s="141"/>
      <c r="W2107" s="141"/>
      <c r="X2107" s="141"/>
      <c r="Y2107" s="144"/>
      <c r="Z2107" s="141"/>
      <c r="AA2107" s="141"/>
      <c r="AB2107" s="141"/>
      <c r="AC2107" s="141"/>
      <c r="AD2107" s="141"/>
      <c r="AE2107" s="141"/>
      <c r="AF2107" s="145"/>
      <c r="AG2107" s="419"/>
    </row>
    <row r="2108" spans="1:33" s="139" customFormat="1" ht="12.75" customHeight="1" x14ac:dyDescent="0.2">
      <c r="A2108" s="141"/>
      <c r="B2108" s="141"/>
      <c r="C2108" s="141"/>
      <c r="D2108" s="141"/>
      <c r="E2108" s="1014"/>
      <c r="F2108" s="1014"/>
      <c r="G2108" s="1027"/>
      <c r="H2108" s="1027"/>
      <c r="I2108" s="1174"/>
      <c r="J2108" s="1174"/>
      <c r="K2108" s="1174"/>
      <c r="L2108" s="1172"/>
      <c r="M2108" s="1172"/>
      <c r="N2108" s="1175"/>
      <c r="O2108" s="143"/>
      <c r="P2108" s="1196"/>
      <c r="Q2108" s="141"/>
      <c r="R2108" s="141"/>
      <c r="S2108" s="148"/>
      <c r="T2108" s="419"/>
      <c r="U2108" s="559"/>
      <c r="V2108" s="141"/>
      <c r="W2108" s="141"/>
      <c r="X2108" s="141"/>
      <c r="Y2108" s="144"/>
      <c r="Z2108" s="141"/>
      <c r="AA2108" s="141"/>
      <c r="AB2108" s="141"/>
      <c r="AC2108" s="141"/>
      <c r="AD2108" s="141"/>
      <c r="AE2108" s="141"/>
      <c r="AF2108" s="145"/>
      <c r="AG2108" s="419"/>
    </row>
    <row r="2109" spans="1:33" s="139" customFormat="1" ht="12.75" customHeight="1" x14ac:dyDescent="0.2">
      <c r="A2109" s="141"/>
      <c r="B2109" s="141"/>
      <c r="C2109" s="141"/>
      <c r="D2109" s="141"/>
      <c r="E2109" s="1014"/>
      <c r="F2109" s="1014"/>
      <c r="G2109" s="1027"/>
      <c r="H2109" s="1027"/>
      <c r="I2109" s="1174"/>
      <c r="J2109" s="1174"/>
      <c r="K2109" s="1174"/>
      <c r="L2109" s="1172"/>
      <c r="M2109" s="1172"/>
      <c r="N2109" s="1175"/>
      <c r="O2109" s="143"/>
      <c r="P2109" s="1196"/>
      <c r="Q2109" s="141"/>
      <c r="R2109" s="141"/>
      <c r="S2109" s="148"/>
      <c r="T2109" s="419"/>
      <c r="U2109" s="559"/>
      <c r="V2109" s="141"/>
      <c r="W2109" s="141"/>
      <c r="X2109" s="141"/>
      <c r="Y2109" s="144"/>
      <c r="Z2109" s="141"/>
      <c r="AA2109" s="141"/>
      <c r="AB2109" s="141"/>
      <c r="AC2109" s="141"/>
      <c r="AD2109" s="141"/>
      <c r="AE2109" s="141"/>
      <c r="AF2109" s="145"/>
      <c r="AG2109" s="419"/>
    </row>
    <row r="2110" spans="1:33" s="139" customFormat="1" ht="12.75" customHeight="1" x14ac:dyDescent="0.2">
      <c r="A2110" s="141"/>
      <c r="B2110" s="141"/>
      <c r="C2110" s="141"/>
      <c r="D2110" s="141"/>
      <c r="E2110" s="1014"/>
      <c r="F2110" s="1014"/>
      <c r="G2110" s="1027"/>
      <c r="H2110" s="1027"/>
      <c r="I2110" s="1174"/>
      <c r="J2110" s="1174"/>
      <c r="K2110" s="1174"/>
      <c r="L2110" s="1172"/>
      <c r="M2110" s="1172"/>
      <c r="N2110" s="1175"/>
      <c r="O2110" s="143"/>
      <c r="P2110" s="1196"/>
      <c r="Q2110" s="141"/>
      <c r="R2110" s="141"/>
      <c r="S2110" s="148"/>
      <c r="T2110" s="419"/>
      <c r="U2110" s="559"/>
      <c r="V2110" s="141"/>
      <c r="W2110" s="141"/>
      <c r="X2110" s="141"/>
      <c r="Y2110" s="144"/>
      <c r="Z2110" s="141"/>
      <c r="AA2110" s="141"/>
      <c r="AB2110" s="141"/>
      <c r="AC2110" s="141"/>
      <c r="AD2110" s="141"/>
      <c r="AE2110" s="141"/>
      <c r="AF2110" s="145"/>
      <c r="AG2110" s="419"/>
    </row>
    <row r="2111" spans="1:33" s="139" customFormat="1" ht="12.75" customHeight="1" x14ac:dyDescent="0.2">
      <c r="A2111" s="141"/>
      <c r="B2111" s="141"/>
      <c r="C2111" s="141"/>
      <c r="D2111" s="141"/>
      <c r="E2111" s="1014"/>
      <c r="F2111" s="1014"/>
      <c r="G2111" s="1027"/>
      <c r="H2111" s="1027"/>
      <c r="I2111" s="1174"/>
      <c r="J2111" s="1174"/>
      <c r="K2111" s="1174"/>
      <c r="L2111" s="1172"/>
      <c r="M2111" s="1172"/>
      <c r="N2111" s="1175"/>
      <c r="O2111" s="143"/>
      <c r="P2111" s="1196"/>
      <c r="Q2111" s="141"/>
      <c r="R2111" s="141"/>
      <c r="S2111" s="148"/>
      <c r="T2111" s="419"/>
      <c r="U2111" s="559"/>
      <c r="V2111" s="141"/>
      <c r="W2111" s="141"/>
      <c r="X2111" s="141"/>
      <c r="Y2111" s="144"/>
      <c r="Z2111" s="141"/>
      <c r="AA2111" s="141"/>
      <c r="AB2111" s="141"/>
      <c r="AC2111" s="141"/>
      <c r="AD2111" s="141"/>
      <c r="AE2111" s="141"/>
      <c r="AF2111" s="145"/>
      <c r="AG2111" s="419"/>
    </row>
    <row r="2112" spans="1:33" s="139" customFormat="1" ht="12.75" customHeight="1" x14ac:dyDescent="0.2">
      <c r="A2112" s="141"/>
      <c r="B2112" s="141"/>
      <c r="C2112" s="141"/>
      <c r="D2112" s="141"/>
      <c r="E2112" s="1014"/>
      <c r="F2112" s="1014"/>
      <c r="G2112" s="1027"/>
      <c r="H2112" s="1027"/>
      <c r="I2112" s="1174"/>
      <c r="J2112" s="1174"/>
      <c r="K2112" s="1174"/>
      <c r="L2112" s="1172"/>
      <c r="M2112" s="1172"/>
      <c r="N2112" s="1175"/>
      <c r="O2112" s="143"/>
      <c r="P2112" s="1196"/>
      <c r="Q2112" s="141"/>
      <c r="R2112" s="141"/>
      <c r="S2112" s="148"/>
      <c r="T2112" s="419"/>
      <c r="U2112" s="559"/>
      <c r="V2112" s="141"/>
      <c r="W2112" s="141"/>
      <c r="X2112" s="141"/>
      <c r="Y2112" s="144"/>
      <c r="Z2112" s="141"/>
      <c r="AA2112" s="141"/>
      <c r="AB2112" s="141"/>
      <c r="AC2112" s="141"/>
      <c r="AD2112" s="141"/>
      <c r="AE2112" s="141"/>
      <c r="AF2112" s="145"/>
      <c r="AG2112" s="419"/>
    </row>
    <row r="2113" spans="1:33" s="139" customFormat="1" ht="12.75" customHeight="1" x14ac:dyDescent="0.2">
      <c r="A2113" s="141"/>
      <c r="B2113" s="141"/>
      <c r="C2113" s="141"/>
      <c r="D2113" s="141"/>
      <c r="E2113" s="1014"/>
      <c r="F2113" s="1014"/>
      <c r="G2113" s="1027"/>
      <c r="H2113" s="1027"/>
      <c r="I2113" s="1174"/>
      <c r="J2113" s="1174"/>
      <c r="K2113" s="1174"/>
      <c r="L2113" s="1172"/>
      <c r="M2113" s="1172"/>
      <c r="N2113" s="1175"/>
      <c r="O2113" s="143"/>
      <c r="P2113" s="1196"/>
      <c r="Q2113" s="141"/>
      <c r="R2113" s="141"/>
      <c r="S2113" s="148"/>
      <c r="T2113" s="419"/>
      <c r="U2113" s="559"/>
      <c r="V2113" s="141"/>
      <c r="W2113" s="141"/>
      <c r="X2113" s="141"/>
      <c r="Y2113" s="144"/>
      <c r="Z2113" s="141"/>
      <c r="AA2113" s="141"/>
      <c r="AB2113" s="141"/>
      <c r="AC2113" s="141"/>
      <c r="AD2113" s="141"/>
      <c r="AE2113" s="141"/>
      <c r="AF2113" s="145"/>
      <c r="AG2113" s="419"/>
    </row>
    <row r="2114" spans="1:33" s="139" customFormat="1" ht="12.75" customHeight="1" x14ac:dyDescent="0.2">
      <c r="A2114" s="141"/>
      <c r="B2114" s="141"/>
      <c r="C2114" s="141"/>
      <c r="D2114" s="141"/>
      <c r="E2114" s="1014"/>
      <c r="F2114" s="1014"/>
      <c r="G2114" s="1027"/>
      <c r="H2114" s="1027"/>
      <c r="I2114" s="1174"/>
      <c r="J2114" s="1174"/>
      <c r="K2114" s="1174"/>
      <c r="L2114" s="1172"/>
      <c r="M2114" s="1172"/>
      <c r="N2114" s="1175"/>
      <c r="O2114" s="143"/>
      <c r="P2114" s="1196"/>
      <c r="Q2114" s="141"/>
      <c r="R2114" s="141"/>
      <c r="S2114" s="148"/>
      <c r="T2114" s="419"/>
      <c r="U2114" s="559"/>
      <c r="V2114" s="141"/>
      <c r="W2114" s="141"/>
      <c r="X2114" s="141"/>
      <c r="Y2114" s="144"/>
      <c r="Z2114" s="141"/>
      <c r="AA2114" s="141"/>
      <c r="AB2114" s="141"/>
      <c r="AC2114" s="141"/>
      <c r="AD2114" s="141"/>
      <c r="AE2114" s="141"/>
      <c r="AF2114" s="145"/>
      <c r="AG2114" s="419"/>
    </row>
    <row r="2115" spans="1:33" s="139" customFormat="1" ht="12.75" customHeight="1" x14ac:dyDescent="0.2">
      <c r="A2115" s="141"/>
      <c r="B2115" s="141"/>
      <c r="C2115" s="141"/>
      <c r="D2115" s="141"/>
      <c r="E2115" s="1014"/>
      <c r="F2115" s="1014"/>
      <c r="G2115" s="1027"/>
      <c r="H2115" s="1027"/>
      <c r="I2115" s="1174"/>
      <c r="J2115" s="1174"/>
      <c r="K2115" s="1174"/>
      <c r="L2115" s="1172"/>
      <c r="M2115" s="1172"/>
      <c r="N2115" s="1175"/>
      <c r="O2115" s="143"/>
      <c r="P2115" s="1196"/>
      <c r="Q2115" s="141"/>
      <c r="R2115" s="141"/>
      <c r="S2115" s="148"/>
      <c r="T2115" s="419"/>
      <c r="U2115" s="559"/>
      <c r="V2115" s="141"/>
      <c r="W2115" s="141"/>
      <c r="X2115" s="141"/>
      <c r="Y2115" s="144"/>
      <c r="Z2115" s="141"/>
      <c r="AA2115" s="141"/>
      <c r="AB2115" s="141"/>
      <c r="AC2115" s="141"/>
      <c r="AD2115" s="141"/>
      <c r="AE2115" s="141"/>
      <c r="AF2115" s="145"/>
      <c r="AG2115" s="419"/>
    </row>
    <row r="2116" spans="1:33" s="139" customFormat="1" ht="12.75" customHeight="1" x14ac:dyDescent="0.2">
      <c r="A2116" s="141"/>
      <c r="B2116" s="141"/>
      <c r="C2116" s="141"/>
      <c r="D2116" s="141"/>
      <c r="E2116" s="1014"/>
      <c r="F2116" s="1014"/>
      <c r="G2116" s="1027"/>
      <c r="H2116" s="1027"/>
      <c r="I2116" s="1174"/>
      <c r="J2116" s="1174"/>
      <c r="K2116" s="1174"/>
      <c r="L2116" s="1172"/>
      <c r="M2116" s="1172"/>
      <c r="N2116" s="1175"/>
      <c r="O2116" s="143"/>
      <c r="P2116" s="1196"/>
      <c r="Q2116" s="141"/>
      <c r="R2116" s="141"/>
      <c r="S2116" s="148"/>
      <c r="T2116" s="419"/>
      <c r="U2116" s="559"/>
      <c r="V2116" s="141"/>
      <c r="W2116" s="141"/>
      <c r="X2116" s="141"/>
      <c r="Y2116" s="144"/>
      <c r="Z2116" s="141"/>
      <c r="AA2116" s="141"/>
      <c r="AB2116" s="141"/>
      <c r="AC2116" s="141"/>
      <c r="AD2116" s="141"/>
      <c r="AE2116" s="141"/>
      <c r="AF2116" s="145"/>
      <c r="AG2116" s="419"/>
    </row>
    <row r="2117" spans="1:33" s="139" customFormat="1" ht="12.75" customHeight="1" x14ac:dyDescent="0.2">
      <c r="A2117" s="141"/>
      <c r="B2117" s="141"/>
      <c r="C2117" s="141"/>
      <c r="D2117" s="141"/>
      <c r="E2117" s="1014"/>
      <c r="F2117" s="1014"/>
      <c r="G2117" s="1027"/>
      <c r="H2117" s="1027"/>
      <c r="I2117" s="1174"/>
      <c r="J2117" s="1174"/>
      <c r="K2117" s="1174"/>
      <c r="L2117" s="1172"/>
      <c r="M2117" s="1172"/>
      <c r="N2117" s="1175"/>
      <c r="O2117" s="143"/>
      <c r="P2117" s="1196"/>
      <c r="Q2117" s="141"/>
      <c r="R2117" s="141"/>
      <c r="S2117" s="148"/>
      <c r="T2117" s="419"/>
      <c r="U2117" s="559"/>
      <c r="V2117" s="141"/>
      <c r="W2117" s="141"/>
      <c r="X2117" s="141"/>
      <c r="Y2117" s="144"/>
      <c r="Z2117" s="141"/>
      <c r="AA2117" s="141"/>
      <c r="AB2117" s="141"/>
      <c r="AC2117" s="141"/>
      <c r="AD2117" s="141"/>
      <c r="AE2117" s="141"/>
      <c r="AF2117" s="145"/>
      <c r="AG2117" s="419"/>
    </row>
    <row r="2118" spans="1:33" s="139" customFormat="1" ht="12.75" customHeight="1" x14ac:dyDescent="0.2">
      <c r="A2118" s="141"/>
      <c r="B2118" s="141"/>
      <c r="C2118" s="141"/>
      <c r="D2118" s="141"/>
      <c r="E2118" s="1014"/>
      <c r="F2118" s="1014"/>
      <c r="G2118" s="1027"/>
      <c r="H2118" s="1027"/>
      <c r="I2118" s="1174"/>
      <c r="J2118" s="1174"/>
      <c r="K2118" s="1174"/>
      <c r="L2118" s="1172"/>
      <c r="M2118" s="1172"/>
      <c r="N2118" s="1175"/>
      <c r="O2118" s="143"/>
      <c r="P2118" s="1196"/>
      <c r="Q2118" s="141"/>
      <c r="R2118" s="141"/>
      <c r="S2118" s="148"/>
      <c r="T2118" s="419"/>
      <c r="U2118" s="559"/>
      <c r="V2118" s="141"/>
      <c r="W2118" s="141"/>
      <c r="X2118" s="141"/>
      <c r="Y2118" s="144"/>
      <c r="Z2118" s="141"/>
      <c r="AA2118" s="141"/>
      <c r="AB2118" s="141"/>
      <c r="AC2118" s="141"/>
      <c r="AD2118" s="141"/>
      <c r="AE2118" s="141"/>
      <c r="AF2118" s="145"/>
      <c r="AG2118" s="419"/>
    </row>
    <row r="2119" spans="1:33" s="139" customFormat="1" ht="12.75" customHeight="1" x14ac:dyDescent="0.2">
      <c r="A2119" s="141"/>
      <c r="B2119" s="141"/>
      <c r="C2119" s="141"/>
      <c r="D2119" s="141"/>
      <c r="E2119" s="1014"/>
      <c r="F2119" s="1014"/>
      <c r="G2119" s="1027"/>
      <c r="H2119" s="1027"/>
      <c r="I2119" s="1174"/>
      <c r="J2119" s="1174"/>
      <c r="K2119" s="1174"/>
      <c r="L2119" s="1172"/>
      <c r="M2119" s="1172"/>
      <c r="N2119" s="1175"/>
      <c r="O2119" s="143"/>
      <c r="P2119" s="1196"/>
      <c r="Q2119" s="141"/>
      <c r="R2119" s="141"/>
      <c r="S2119" s="148"/>
      <c r="T2119" s="419"/>
      <c r="U2119" s="559"/>
      <c r="V2119" s="141"/>
      <c r="W2119" s="141"/>
      <c r="X2119" s="141"/>
      <c r="Y2119" s="144"/>
      <c r="Z2119" s="141"/>
      <c r="AA2119" s="141"/>
      <c r="AB2119" s="141"/>
      <c r="AC2119" s="141"/>
      <c r="AD2119" s="141"/>
      <c r="AE2119" s="141"/>
      <c r="AF2119" s="145"/>
      <c r="AG2119" s="419"/>
    </row>
    <row r="2120" spans="1:33" s="139" customFormat="1" ht="12.75" customHeight="1" x14ac:dyDescent="0.2">
      <c r="A2120" s="141"/>
      <c r="B2120" s="141"/>
      <c r="C2120" s="141"/>
      <c r="D2120" s="141"/>
      <c r="E2120" s="1014"/>
      <c r="F2120" s="1014"/>
      <c r="G2120" s="1027"/>
      <c r="H2120" s="1027"/>
      <c r="I2120" s="1174"/>
      <c r="J2120" s="1174"/>
      <c r="K2120" s="1174"/>
      <c r="L2120" s="1172"/>
      <c r="M2120" s="1172"/>
      <c r="N2120" s="1175"/>
      <c r="O2120" s="143"/>
      <c r="P2120" s="1196"/>
      <c r="Q2120" s="141"/>
      <c r="R2120" s="141"/>
      <c r="S2120" s="148"/>
      <c r="T2120" s="419"/>
      <c r="U2120" s="559"/>
      <c r="V2120" s="141"/>
      <c r="W2120" s="141"/>
      <c r="X2120" s="141"/>
      <c r="Y2120" s="144"/>
      <c r="Z2120" s="141"/>
      <c r="AA2120" s="141"/>
      <c r="AB2120" s="141"/>
      <c r="AC2120" s="141"/>
      <c r="AD2120" s="141"/>
      <c r="AE2120" s="141"/>
      <c r="AF2120" s="145"/>
      <c r="AG2120" s="419"/>
    </row>
    <row r="2121" spans="1:33" s="139" customFormat="1" ht="12.75" customHeight="1" x14ac:dyDescent="0.2">
      <c r="A2121" s="141"/>
      <c r="B2121" s="141"/>
      <c r="C2121" s="141"/>
      <c r="D2121" s="141"/>
      <c r="E2121" s="1014"/>
      <c r="F2121" s="1014"/>
      <c r="G2121" s="1027"/>
      <c r="H2121" s="1027"/>
      <c r="I2121" s="1174"/>
      <c r="J2121" s="1174"/>
      <c r="K2121" s="1174"/>
      <c r="L2121" s="1172"/>
      <c r="M2121" s="1172"/>
      <c r="N2121" s="1175"/>
      <c r="O2121" s="143"/>
      <c r="P2121" s="1196"/>
      <c r="Q2121" s="141"/>
      <c r="R2121" s="141"/>
      <c r="S2121" s="148"/>
      <c r="T2121" s="419"/>
      <c r="U2121" s="559"/>
      <c r="V2121" s="141"/>
      <c r="W2121" s="141"/>
      <c r="X2121" s="141"/>
      <c r="Y2121" s="144"/>
      <c r="Z2121" s="141"/>
      <c r="AA2121" s="141"/>
      <c r="AB2121" s="141"/>
      <c r="AC2121" s="141"/>
      <c r="AD2121" s="141"/>
      <c r="AE2121" s="141"/>
      <c r="AF2121" s="145"/>
      <c r="AG2121" s="419"/>
    </row>
    <row r="2122" spans="1:33" s="139" customFormat="1" ht="12.75" customHeight="1" x14ac:dyDescent="0.2">
      <c r="A2122" s="141"/>
      <c r="B2122" s="141"/>
      <c r="C2122" s="141"/>
      <c r="D2122" s="141"/>
      <c r="E2122" s="1014"/>
      <c r="F2122" s="1014"/>
      <c r="G2122" s="1027"/>
      <c r="H2122" s="1027"/>
      <c r="I2122" s="1174"/>
      <c r="J2122" s="1174"/>
      <c r="K2122" s="1174"/>
      <c r="L2122" s="1172"/>
      <c r="M2122" s="1172"/>
      <c r="N2122" s="1175"/>
      <c r="O2122" s="143"/>
      <c r="P2122" s="1196"/>
      <c r="Q2122" s="141"/>
      <c r="R2122" s="141"/>
      <c r="S2122" s="148"/>
      <c r="T2122" s="419"/>
      <c r="U2122" s="559"/>
      <c r="V2122" s="141"/>
      <c r="W2122" s="141"/>
      <c r="X2122" s="141"/>
      <c r="Y2122" s="144"/>
      <c r="Z2122" s="141"/>
      <c r="AA2122" s="141"/>
      <c r="AB2122" s="141"/>
      <c r="AC2122" s="141"/>
      <c r="AD2122" s="141"/>
      <c r="AE2122" s="141"/>
      <c r="AF2122" s="145"/>
      <c r="AG2122" s="419"/>
    </row>
    <row r="2123" spans="1:33" s="139" customFormat="1" ht="12.75" customHeight="1" x14ac:dyDescent="0.2">
      <c r="A2123" s="141"/>
      <c r="B2123" s="141"/>
      <c r="C2123" s="141"/>
      <c r="D2123" s="141"/>
      <c r="E2123" s="1014"/>
      <c r="F2123" s="1014"/>
      <c r="G2123" s="1027"/>
      <c r="H2123" s="1027"/>
      <c r="I2123" s="1174"/>
      <c r="J2123" s="1174"/>
      <c r="K2123" s="1174"/>
      <c r="L2123" s="1172"/>
      <c r="M2123" s="1172"/>
      <c r="N2123" s="1175"/>
      <c r="O2123" s="143"/>
      <c r="P2123" s="1196"/>
      <c r="Q2123" s="141"/>
      <c r="R2123" s="141"/>
      <c r="S2123" s="148"/>
      <c r="T2123" s="419"/>
      <c r="U2123" s="559"/>
      <c r="V2123" s="141"/>
      <c r="W2123" s="141"/>
      <c r="X2123" s="141"/>
      <c r="Y2123" s="144"/>
      <c r="Z2123" s="141"/>
      <c r="AA2123" s="141"/>
      <c r="AB2123" s="141"/>
      <c r="AC2123" s="141"/>
      <c r="AD2123" s="141"/>
      <c r="AE2123" s="141"/>
      <c r="AF2123" s="145"/>
      <c r="AG2123" s="419"/>
    </row>
    <row r="2124" spans="1:33" s="139" customFormat="1" ht="12.75" customHeight="1" x14ac:dyDescent="0.2">
      <c r="A2124" s="141"/>
      <c r="B2124" s="141"/>
      <c r="C2124" s="141"/>
      <c r="D2124" s="141"/>
      <c r="E2124" s="1014"/>
      <c r="F2124" s="1014"/>
      <c r="G2124" s="1027"/>
      <c r="H2124" s="1027"/>
      <c r="I2124" s="1174"/>
      <c r="J2124" s="1174"/>
      <c r="K2124" s="1174"/>
      <c r="L2124" s="1172"/>
      <c r="M2124" s="1172"/>
      <c r="N2124" s="1175"/>
      <c r="O2124" s="143"/>
      <c r="P2124" s="1196"/>
      <c r="Q2124" s="141"/>
      <c r="R2124" s="141"/>
      <c r="S2124" s="148"/>
      <c r="T2124" s="419"/>
      <c r="U2124" s="559"/>
      <c r="V2124" s="141"/>
      <c r="W2124" s="141"/>
      <c r="X2124" s="141"/>
      <c r="Y2124" s="144"/>
      <c r="Z2124" s="141"/>
      <c r="AA2124" s="141"/>
      <c r="AB2124" s="141"/>
      <c r="AC2124" s="141"/>
      <c r="AD2124" s="141"/>
      <c r="AE2124" s="141"/>
      <c r="AF2124" s="145"/>
      <c r="AG2124" s="419"/>
    </row>
    <row r="2125" spans="1:33" s="139" customFormat="1" ht="12.75" customHeight="1" x14ac:dyDescent="0.2">
      <c r="A2125" s="141"/>
      <c r="B2125" s="141"/>
      <c r="C2125" s="141"/>
      <c r="D2125" s="141"/>
      <c r="E2125" s="1014"/>
      <c r="F2125" s="1014"/>
      <c r="G2125" s="1027"/>
      <c r="H2125" s="1027"/>
      <c r="I2125" s="1174"/>
      <c r="J2125" s="1174"/>
      <c r="K2125" s="1174"/>
      <c r="L2125" s="1172"/>
      <c r="M2125" s="1172"/>
      <c r="N2125" s="1175"/>
      <c r="O2125" s="143"/>
      <c r="P2125" s="1196"/>
      <c r="Q2125" s="141"/>
      <c r="R2125" s="141"/>
      <c r="S2125" s="148"/>
      <c r="T2125" s="419"/>
      <c r="U2125" s="559"/>
      <c r="V2125" s="141"/>
      <c r="W2125" s="141"/>
      <c r="X2125" s="141"/>
      <c r="Y2125" s="144"/>
      <c r="Z2125" s="141"/>
      <c r="AA2125" s="141"/>
      <c r="AB2125" s="141"/>
      <c r="AC2125" s="141"/>
      <c r="AD2125" s="141"/>
      <c r="AE2125" s="141"/>
      <c r="AF2125" s="145"/>
      <c r="AG2125" s="419"/>
    </row>
    <row r="2126" spans="1:33" s="139" customFormat="1" ht="12.75" customHeight="1" x14ac:dyDescent="0.2">
      <c r="A2126" s="141"/>
      <c r="B2126" s="141"/>
      <c r="C2126" s="141"/>
      <c r="D2126" s="141"/>
      <c r="E2126" s="1014"/>
      <c r="F2126" s="1014"/>
      <c r="G2126" s="1027"/>
      <c r="H2126" s="1027"/>
      <c r="I2126" s="1174"/>
      <c r="J2126" s="1174"/>
      <c r="K2126" s="1174"/>
      <c r="L2126" s="1172"/>
      <c r="M2126" s="1172"/>
      <c r="N2126" s="1175"/>
      <c r="O2126" s="143"/>
      <c r="P2126" s="1196"/>
      <c r="Q2126" s="141"/>
      <c r="R2126" s="141"/>
      <c r="S2126" s="148"/>
      <c r="T2126" s="419"/>
      <c r="U2126" s="559"/>
      <c r="V2126" s="141"/>
      <c r="W2126" s="141"/>
      <c r="X2126" s="141"/>
      <c r="Y2126" s="144"/>
      <c r="Z2126" s="141"/>
      <c r="AA2126" s="141"/>
      <c r="AB2126" s="141"/>
      <c r="AC2126" s="141"/>
      <c r="AD2126" s="141"/>
      <c r="AE2126" s="141"/>
      <c r="AF2126" s="145"/>
      <c r="AG2126" s="419"/>
    </row>
    <row r="2127" spans="1:33" s="139" customFormat="1" ht="12.75" customHeight="1" x14ac:dyDescent="0.2">
      <c r="A2127" s="141"/>
      <c r="B2127" s="141"/>
      <c r="C2127" s="141"/>
      <c r="D2127" s="141"/>
      <c r="E2127" s="1014"/>
      <c r="F2127" s="1014"/>
      <c r="G2127" s="1027"/>
      <c r="H2127" s="1027"/>
      <c r="I2127" s="1174"/>
      <c r="J2127" s="1174"/>
      <c r="K2127" s="1174"/>
      <c r="L2127" s="1172"/>
      <c r="M2127" s="1172"/>
      <c r="N2127" s="1175"/>
      <c r="O2127" s="143"/>
      <c r="P2127" s="1196"/>
      <c r="Q2127" s="141"/>
      <c r="R2127" s="141"/>
      <c r="S2127" s="148"/>
      <c r="T2127" s="419"/>
      <c r="U2127" s="559"/>
      <c r="V2127" s="141"/>
      <c r="W2127" s="141"/>
      <c r="X2127" s="141"/>
      <c r="Y2127" s="144"/>
      <c r="Z2127" s="141"/>
      <c r="AA2127" s="141"/>
      <c r="AB2127" s="141"/>
      <c r="AC2127" s="141"/>
      <c r="AD2127" s="141"/>
      <c r="AE2127" s="141"/>
      <c r="AF2127" s="145"/>
      <c r="AG2127" s="419"/>
    </row>
    <row r="2128" spans="1:33" s="139" customFormat="1" ht="12.75" customHeight="1" x14ac:dyDescent="0.2">
      <c r="A2128" s="141"/>
      <c r="B2128" s="141"/>
      <c r="C2128" s="141"/>
      <c r="D2128" s="141"/>
      <c r="E2128" s="1014"/>
      <c r="F2128" s="1014"/>
      <c r="G2128" s="1027"/>
      <c r="H2128" s="1027"/>
      <c r="I2128" s="1174"/>
      <c r="J2128" s="1174"/>
      <c r="K2128" s="1174"/>
      <c r="L2128" s="1172"/>
      <c r="M2128" s="1172"/>
      <c r="N2128" s="1175"/>
      <c r="O2128" s="143"/>
      <c r="P2128" s="1196"/>
      <c r="Q2128" s="141"/>
      <c r="R2128" s="141"/>
      <c r="S2128" s="148"/>
      <c r="T2128" s="419"/>
      <c r="U2128" s="559"/>
      <c r="V2128" s="141"/>
      <c r="W2128" s="141"/>
      <c r="X2128" s="141"/>
      <c r="Y2128" s="144"/>
      <c r="Z2128" s="141"/>
      <c r="AA2128" s="141"/>
      <c r="AB2128" s="141"/>
      <c r="AC2128" s="141"/>
      <c r="AD2128" s="141"/>
      <c r="AE2128" s="141"/>
      <c r="AF2128" s="145"/>
      <c r="AG2128" s="419"/>
    </row>
    <row r="2129" spans="1:33" s="139" customFormat="1" ht="12.75" customHeight="1" x14ac:dyDescent="0.2">
      <c r="A2129" s="141"/>
      <c r="B2129" s="141"/>
      <c r="C2129" s="141"/>
      <c r="D2129" s="141"/>
      <c r="E2129" s="1014"/>
      <c r="F2129" s="1014"/>
      <c r="G2129" s="1027"/>
      <c r="H2129" s="1027"/>
      <c r="I2129" s="1174"/>
      <c r="J2129" s="1174"/>
      <c r="K2129" s="1174"/>
      <c r="L2129" s="1172"/>
      <c r="M2129" s="1172"/>
      <c r="N2129" s="1175"/>
      <c r="O2129" s="143"/>
      <c r="P2129" s="1196"/>
      <c r="Q2129" s="141"/>
      <c r="R2129" s="141"/>
      <c r="S2129" s="148"/>
      <c r="T2129" s="419"/>
      <c r="U2129" s="559"/>
      <c r="V2129" s="141"/>
      <c r="W2129" s="141"/>
      <c r="X2129" s="141"/>
      <c r="Y2129" s="144"/>
      <c r="Z2129" s="141"/>
      <c r="AA2129" s="141"/>
      <c r="AB2129" s="141"/>
      <c r="AC2129" s="141"/>
      <c r="AD2129" s="141"/>
      <c r="AE2129" s="141"/>
      <c r="AF2129" s="145"/>
      <c r="AG2129" s="419"/>
    </row>
    <row r="2130" spans="1:33" s="139" customFormat="1" ht="12.75" customHeight="1" x14ac:dyDescent="0.2">
      <c r="A2130" s="141"/>
      <c r="B2130" s="141"/>
      <c r="C2130" s="141"/>
      <c r="D2130" s="141"/>
      <c r="E2130" s="1014"/>
      <c r="F2130" s="1014"/>
      <c r="G2130" s="1027"/>
      <c r="H2130" s="1027"/>
      <c r="I2130" s="1174"/>
      <c r="J2130" s="1174"/>
      <c r="K2130" s="1174"/>
      <c r="L2130" s="1172"/>
      <c r="M2130" s="1172"/>
      <c r="N2130" s="1175"/>
      <c r="O2130" s="143"/>
      <c r="P2130" s="1196"/>
      <c r="Q2130" s="141"/>
      <c r="R2130" s="141"/>
      <c r="S2130" s="148"/>
      <c r="T2130" s="419"/>
      <c r="U2130" s="559"/>
      <c r="V2130" s="141"/>
      <c r="W2130" s="141"/>
      <c r="X2130" s="141"/>
      <c r="Y2130" s="144"/>
      <c r="Z2130" s="141"/>
      <c r="AA2130" s="141"/>
      <c r="AB2130" s="141"/>
      <c r="AC2130" s="141"/>
      <c r="AD2130" s="141"/>
      <c r="AE2130" s="141"/>
      <c r="AF2130" s="145"/>
      <c r="AG2130" s="419"/>
    </row>
    <row r="2131" spans="1:33" s="139" customFormat="1" ht="12.75" customHeight="1" x14ac:dyDescent="0.2">
      <c r="A2131" s="141"/>
      <c r="B2131" s="141"/>
      <c r="C2131" s="141"/>
      <c r="D2131" s="141"/>
      <c r="E2131" s="1014"/>
      <c r="F2131" s="1014"/>
      <c r="G2131" s="1027"/>
      <c r="H2131" s="1027"/>
      <c r="I2131" s="1174"/>
      <c r="J2131" s="1174"/>
      <c r="K2131" s="1174"/>
      <c r="L2131" s="1172"/>
      <c r="M2131" s="1172"/>
      <c r="N2131" s="1175"/>
      <c r="O2131" s="143"/>
      <c r="P2131" s="1196"/>
      <c r="Q2131" s="141"/>
      <c r="R2131" s="141"/>
      <c r="S2131" s="148"/>
      <c r="T2131" s="419"/>
      <c r="U2131" s="559"/>
      <c r="V2131" s="141"/>
      <c r="W2131" s="141"/>
      <c r="X2131" s="141"/>
      <c r="Y2131" s="144"/>
      <c r="Z2131" s="141"/>
      <c r="AA2131" s="141"/>
      <c r="AB2131" s="141"/>
      <c r="AC2131" s="141"/>
      <c r="AD2131" s="141"/>
      <c r="AE2131" s="141"/>
      <c r="AF2131" s="145"/>
      <c r="AG2131" s="419"/>
    </row>
    <row r="2132" spans="1:33" s="139" customFormat="1" ht="12.75" customHeight="1" x14ac:dyDescent="0.2">
      <c r="A2132" s="141"/>
      <c r="B2132" s="141"/>
      <c r="C2132" s="141"/>
      <c r="D2132" s="141"/>
      <c r="E2132" s="1014"/>
      <c r="F2132" s="1014"/>
      <c r="G2132" s="1027"/>
      <c r="H2132" s="1027"/>
      <c r="I2132" s="1174"/>
      <c r="J2132" s="1174"/>
      <c r="K2132" s="1174"/>
      <c r="L2132" s="1172"/>
      <c r="M2132" s="1172"/>
      <c r="N2132" s="1175"/>
      <c r="O2132" s="143"/>
      <c r="P2132" s="1196"/>
      <c r="Q2132" s="141"/>
      <c r="R2132" s="141"/>
      <c r="S2132" s="148"/>
      <c r="T2132" s="419"/>
      <c r="U2132" s="559"/>
      <c r="V2132" s="141"/>
      <c r="W2132" s="141"/>
      <c r="X2132" s="141"/>
      <c r="Y2132" s="144"/>
      <c r="Z2132" s="141"/>
      <c r="AA2132" s="141"/>
      <c r="AB2132" s="141"/>
      <c r="AC2132" s="141"/>
      <c r="AD2132" s="141"/>
      <c r="AE2132" s="141"/>
      <c r="AF2132" s="145"/>
      <c r="AG2132" s="419"/>
    </row>
    <row r="2133" spans="1:33" s="139" customFormat="1" ht="12.75" customHeight="1" x14ac:dyDescent="0.2">
      <c r="A2133" s="141"/>
      <c r="B2133" s="141"/>
      <c r="C2133" s="141"/>
      <c r="D2133" s="141"/>
      <c r="E2133" s="1014"/>
      <c r="F2133" s="1014"/>
      <c r="G2133" s="1027"/>
      <c r="H2133" s="1027"/>
      <c r="I2133" s="1174"/>
      <c r="J2133" s="1174"/>
      <c r="K2133" s="1174"/>
      <c r="L2133" s="1172"/>
      <c r="M2133" s="1172"/>
      <c r="N2133" s="1175"/>
      <c r="O2133" s="143"/>
      <c r="P2133" s="1196"/>
      <c r="Q2133" s="141"/>
      <c r="R2133" s="141"/>
      <c r="S2133" s="148"/>
      <c r="T2133" s="419"/>
      <c r="U2133" s="559"/>
      <c r="V2133" s="141"/>
      <c r="W2133" s="141"/>
      <c r="X2133" s="141"/>
      <c r="Y2133" s="144"/>
      <c r="Z2133" s="141"/>
      <c r="AA2133" s="141"/>
      <c r="AB2133" s="141"/>
      <c r="AC2133" s="141"/>
      <c r="AD2133" s="141"/>
      <c r="AE2133" s="141"/>
      <c r="AF2133" s="145"/>
      <c r="AG2133" s="419"/>
    </row>
    <row r="2134" spans="1:33" s="139" customFormat="1" ht="12.75" customHeight="1" x14ac:dyDescent="0.2">
      <c r="A2134" s="141"/>
      <c r="B2134" s="141"/>
      <c r="C2134" s="141"/>
      <c r="D2134" s="141"/>
      <c r="E2134" s="1014"/>
      <c r="F2134" s="1014"/>
      <c r="G2134" s="1027"/>
      <c r="H2134" s="1027"/>
      <c r="I2134" s="1174"/>
      <c r="J2134" s="1174"/>
      <c r="K2134" s="1174"/>
      <c r="L2134" s="1172"/>
      <c r="M2134" s="1172"/>
      <c r="N2134" s="1175"/>
      <c r="O2134" s="143"/>
      <c r="P2134" s="1196"/>
      <c r="Q2134" s="141"/>
      <c r="R2134" s="141"/>
      <c r="S2134" s="148"/>
      <c r="T2134" s="419"/>
      <c r="U2134" s="559"/>
      <c r="V2134" s="141"/>
      <c r="W2134" s="141"/>
      <c r="X2134" s="141"/>
      <c r="Y2134" s="144"/>
      <c r="Z2134" s="141"/>
      <c r="AA2134" s="141"/>
      <c r="AB2134" s="141"/>
      <c r="AC2134" s="141"/>
      <c r="AD2134" s="141"/>
      <c r="AE2134" s="141"/>
      <c r="AF2134" s="145"/>
      <c r="AG2134" s="419"/>
    </row>
    <row r="2135" spans="1:33" s="139" customFormat="1" ht="12.75" customHeight="1" x14ac:dyDescent="0.2">
      <c r="A2135" s="141"/>
      <c r="B2135" s="141"/>
      <c r="C2135" s="141"/>
      <c r="D2135" s="141"/>
      <c r="E2135" s="1014"/>
      <c r="F2135" s="1014"/>
      <c r="G2135" s="1027"/>
      <c r="H2135" s="1027"/>
      <c r="I2135" s="1174"/>
      <c r="J2135" s="1174"/>
      <c r="K2135" s="1174"/>
      <c r="L2135" s="1172"/>
      <c r="M2135" s="1172"/>
      <c r="N2135" s="1175"/>
      <c r="O2135" s="143"/>
      <c r="P2135" s="1196"/>
      <c r="Q2135" s="141"/>
      <c r="R2135" s="141"/>
      <c r="S2135" s="148"/>
      <c r="T2135" s="419"/>
      <c r="U2135" s="559"/>
      <c r="V2135" s="141"/>
      <c r="W2135" s="141"/>
      <c r="X2135" s="141"/>
      <c r="Y2135" s="144"/>
      <c r="Z2135" s="141"/>
      <c r="AA2135" s="141"/>
      <c r="AB2135" s="141"/>
      <c r="AC2135" s="141"/>
      <c r="AD2135" s="141"/>
      <c r="AE2135" s="141"/>
      <c r="AF2135" s="145"/>
      <c r="AG2135" s="419"/>
    </row>
    <row r="2136" spans="1:33" s="139" customFormat="1" ht="12.75" customHeight="1" x14ac:dyDescent="0.2">
      <c r="A2136" s="141"/>
      <c r="B2136" s="141"/>
      <c r="C2136" s="141"/>
      <c r="D2136" s="141"/>
      <c r="E2136" s="1014"/>
      <c r="F2136" s="1014"/>
      <c r="G2136" s="1027"/>
      <c r="H2136" s="1027"/>
      <c r="I2136" s="1174"/>
      <c r="J2136" s="1174"/>
      <c r="K2136" s="1174"/>
      <c r="L2136" s="1172"/>
      <c r="M2136" s="1172"/>
      <c r="N2136" s="1175"/>
      <c r="O2136" s="143"/>
      <c r="P2136" s="1196"/>
      <c r="Q2136" s="141"/>
      <c r="R2136" s="141"/>
      <c r="S2136" s="148"/>
      <c r="T2136" s="419"/>
      <c r="U2136" s="559"/>
      <c r="V2136" s="141"/>
      <c r="W2136" s="141"/>
      <c r="X2136" s="141"/>
      <c r="Y2136" s="144"/>
      <c r="Z2136" s="141"/>
      <c r="AA2136" s="141"/>
      <c r="AB2136" s="141"/>
      <c r="AC2136" s="141"/>
      <c r="AD2136" s="141"/>
      <c r="AE2136" s="141"/>
      <c r="AF2136" s="145"/>
      <c r="AG2136" s="419"/>
    </row>
    <row r="2137" spans="1:33" s="139" customFormat="1" ht="12.75" customHeight="1" x14ac:dyDescent="0.2">
      <c r="A2137" s="141"/>
      <c r="B2137" s="141"/>
      <c r="C2137" s="141"/>
      <c r="D2137" s="141"/>
      <c r="E2137" s="1014"/>
      <c r="F2137" s="1014"/>
      <c r="G2137" s="1027"/>
      <c r="H2137" s="1027"/>
      <c r="I2137" s="1174"/>
      <c r="J2137" s="1174"/>
      <c r="K2137" s="1174"/>
      <c r="L2137" s="1172"/>
      <c r="M2137" s="1172"/>
      <c r="N2137" s="1175"/>
      <c r="O2137" s="143"/>
      <c r="P2137" s="1196"/>
      <c r="Q2137" s="141"/>
      <c r="R2137" s="141"/>
      <c r="S2137" s="148"/>
      <c r="T2137" s="419"/>
      <c r="U2137" s="559"/>
      <c r="V2137" s="141"/>
      <c r="W2137" s="141"/>
      <c r="X2137" s="141"/>
      <c r="Y2137" s="144"/>
      <c r="Z2137" s="141"/>
      <c r="AA2137" s="141"/>
      <c r="AB2137" s="141"/>
      <c r="AC2137" s="141"/>
      <c r="AD2137" s="141"/>
      <c r="AE2137" s="141"/>
      <c r="AF2137" s="145"/>
      <c r="AG2137" s="419"/>
    </row>
    <row r="2138" spans="1:33" s="139" customFormat="1" ht="12.75" customHeight="1" x14ac:dyDescent="0.2">
      <c r="A2138" s="141"/>
      <c r="B2138" s="141"/>
      <c r="C2138" s="141"/>
      <c r="D2138" s="141"/>
      <c r="E2138" s="1014"/>
      <c r="F2138" s="1014"/>
      <c r="G2138" s="1027"/>
      <c r="H2138" s="1027"/>
      <c r="I2138" s="1174"/>
      <c r="J2138" s="1174"/>
      <c r="K2138" s="1174"/>
      <c r="L2138" s="1172"/>
      <c r="M2138" s="1172"/>
      <c r="N2138" s="1175"/>
      <c r="O2138" s="143"/>
      <c r="P2138" s="1196"/>
      <c r="Q2138" s="141"/>
      <c r="R2138" s="141"/>
      <c r="S2138" s="148"/>
      <c r="T2138" s="419"/>
      <c r="U2138" s="559"/>
      <c r="V2138" s="141"/>
      <c r="W2138" s="141"/>
      <c r="X2138" s="141"/>
      <c r="Y2138" s="144"/>
      <c r="Z2138" s="141"/>
      <c r="AA2138" s="141"/>
      <c r="AB2138" s="141"/>
      <c r="AC2138" s="141"/>
      <c r="AD2138" s="141"/>
      <c r="AE2138" s="141"/>
      <c r="AF2138" s="145"/>
      <c r="AG2138" s="419"/>
    </row>
    <row r="2139" spans="1:33" s="139" customFormat="1" ht="12.75" customHeight="1" x14ac:dyDescent="0.2">
      <c r="A2139" s="141"/>
      <c r="B2139" s="141"/>
      <c r="C2139" s="141"/>
      <c r="D2139" s="141"/>
      <c r="E2139" s="1014"/>
      <c r="F2139" s="1014"/>
      <c r="G2139" s="1027"/>
      <c r="H2139" s="1027"/>
      <c r="I2139" s="1174"/>
      <c r="J2139" s="1174"/>
      <c r="K2139" s="1174"/>
      <c r="L2139" s="1172"/>
      <c r="M2139" s="1172"/>
      <c r="N2139" s="1175"/>
      <c r="O2139" s="143"/>
      <c r="P2139" s="1196"/>
      <c r="Q2139" s="141"/>
      <c r="R2139" s="141"/>
      <c r="S2139" s="148"/>
      <c r="T2139" s="419"/>
      <c r="U2139" s="559"/>
      <c r="V2139" s="141"/>
      <c r="W2139" s="141"/>
      <c r="X2139" s="141"/>
      <c r="Y2139" s="144"/>
      <c r="Z2139" s="141"/>
      <c r="AA2139" s="141"/>
      <c r="AB2139" s="141"/>
      <c r="AC2139" s="141"/>
      <c r="AD2139" s="141"/>
      <c r="AE2139" s="141"/>
      <c r="AF2139" s="145"/>
      <c r="AG2139" s="419"/>
    </row>
    <row r="2140" spans="1:33" s="139" customFormat="1" ht="12.75" customHeight="1" x14ac:dyDescent="0.2">
      <c r="A2140" s="141"/>
      <c r="B2140" s="141"/>
      <c r="C2140" s="141"/>
      <c r="D2140" s="141"/>
      <c r="E2140" s="1014"/>
      <c r="F2140" s="1014"/>
      <c r="G2140" s="1027"/>
      <c r="H2140" s="1027"/>
      <c r="I2140" s="1174"/>
      <c r="J2140" s="1174"/>
      <c r="K2140" s="1174"/>
      <c r="L2140" s="1172"/>
      <c r="M2140" s="1172"/>
      <c r="N2140" s="1175"/>
      <c r="O2140" s="143"/>
      <c r="P2140" s="1196"/>
      <c r="Q2140" s="141"/>
      <c r="R2140" s="141"/>
      <c r="S2140" s="148"/>
      <c r="T2140" s="419"/>
      <c r="U2140" s="559"/>
      <c r="V2140" s="141"/>
      <c r="W2140" s="141"/>
      <c r="X2140" s="141"/>
      <c r="Y2140" s="144"/>
      <c r="Z2140" s="141"/>
      <c r="AA2140" s="141"/>
      <c r="AB2140" s="141"/>
      <c r="AC2140" s="141"/>
      <c r="AD2140" s="141"/>
      <c r="AE2140" s="141"/>
      <c r="AF2140" s="145"/>
      <c r="AG2140" s="419"/>
    </row>
    <row r="2141" spans="1:33" s="139" customFormat="1" ht="12.75" customHeight="1" x14ac:dyDescent="0.2">
      <c r="A2141" s="141"/>
      <c r="B2141" s="141"/>
      <c r="C2141" s="141"/>
      <c r="D2141" s="141"/>
      <c r="E2141" s="1014"/>
      <c r="F2141" s="1014"/>
      <c r="G2141" s="1027"/>
      <c r="H2141" s="1027"/>
      <c r="I2141" s="1174"/>
      <c r="J2141" s="1174"/>
      <c r="K2141" s="1174"/>
      <c r="L2141" s="1172"/>
      <c r="M2141" s="1172"/>
      <c r="N2141" s="1175"/>
      <c r="O2141" s="143"/>
      <c r="P2141" s="1196"/>
      <c r="Q2141" s="141"/>
      <c r="R2141" s="141"/>
      <c r="S2141" s="148"/>
      <c r="T2141" s="419"/>
      <c r="U2141" s="559"/>
      <c r="V2141" s="141"/>
      <c r="W2141" s="141"/>
      <c r="X2141" s="141"/>
      <c r="Y2141" s="144"/>
      <c r="Z2141" s="141"/>
      <c r="AA2141" s="141"/>
      <c r="AB2141" s="141"/>
      <c r="AC2141" s="141"/>
      <c r="AD2141" s="141"/>
      <c r="AE2141" s="141"/>
      <c r="AF2141" s="145"/>
      <c r="AG2141" s="419"/>
    </row>
    <row r="2142" spans="1:33" s="139" customFormat="1" ht="12.75" customHeight="1" x14ac:dyDescent="0.2">
      <c r="A2142" s="141"/>
      <c r="B2142" s="141"/>
      <c r="C2142" s="141"/>
      <c r="D2142" s="141"/>
      <c r="E2142" s="1014"/>
      <c r="F2142" s="1014"/>
      <c r="G2142" s="1027"/>
      <c r="H2142" s="1027"/>
      <c r="I2142" s="1174"/>
      <c r="J2142" s="1174"/>
      <c r="K2142" s="1174"/>
      <c r="L2142" s="1172"/>
      <c r="M2142" s="1172"/>
      <c r="N2142" s="1175"/>
      <c r="O2142" s="143"/>
      <c r="P2142" s="1196"/>
      <c r="Q2142" s="141"/>
      <c r="R2142" s="141"/>
      <c r="S2142" s="148"/>
      <c r="T2142" s="419"/>
      <c r="U2142" s="559"/>
      <c r="V2142" s="141"/>
      <c r="W2142" s="141"/>
      <c r="X2142" s="141"/>
      <c r="Y2142" s="144"/>
      <c r="Z2142" s="141"/>
      <c r="AA2142" s="141"/>
      <c r="AB2142" s="141"/>
      <c r="AC2142" s="141"/>
      <c r="AD2142" s="141"/>
      <c r="AE2142" s="141"/>
      <c r="AF2142" s="145"/>
      <c r="AG2142" s="419"/>
    </row>
    <row r="2143" spans="1:33" s="139" customFormat="1" ht="12.75" customHeight="1" x14ac:dyDescent="0.2">
      <c r="A2143" s="141"/>
      <c r="B2143" s="141"/>
      <c r="C2143" s="141"/>
      <c r="D2143" s="141"/>
      <c r="E2143" s="1014"/>
      <c r="F2143" s="1014"/>
      <c r="G2143" s="1027"/>
      <c r="H2143" s="1027"/>
      <c r="I2143" s="1174"/>
      <c r="J2143" s="1174"/>
      <c r="K2143" s="1174"/>
      <c r="L2143" s="1172"/>
      <c r="M2143" s="1172"/>
      <c r="N2143" s="1175"/>
      <c r="O2143" s="143"/>
      <c r="P2143" s="1196"/>
      <c r="Q2143" s="141"/>
      <c r="R2143" s="141"/>
      <c r="S2143" s="148"/>
      <c r="T2143" s="419"/>
      <c r="U2143" s="559"/>
      <c r="V2143" s="141"/>
      <c r="W2143" s="141"/>
      <c r="X2143" s="141"/>
      <c r="Y2143" s="144"/>
      <c r="Z2143" s="141"/>
      <c r="AA2143" s="141"/>
      <c r="AB2143" s="141"/>
      <c r="AC2143" s="141"/>
      <c r="AD2143" s="141"/>
      <c r="AE2143" s="141"/>
      <c r="AF2143" s="145"/>
      <c r="AG2143" s="419"/>
    </row>
    <row r="2144" spans="1:33" s="139" customFormat="1" ht="12.75" customHeight="1" x14ac:dyDescent="0.2">
      <c r="A2144" s="141"/>
      <c r="B2144" s="141"/>
      <c r="C2144" s="141"/>
      <c r="D2144" s="141"/>
      <c r="E2144" s="1014"/>
      <c r="F2144" s="1014"/>
      <c r="G2144" s="1027"/>
      <c r="H2144" s="1027"/>
      <c r="I2144" s="1174"/>
      <c r="J2144" s="1174"/>
      <c r="K2144" s="1174"/>
      <c r="L2144" s="1172"/>
      <c r="M2144" s="1172"/>
      <c r="N2144" s="1175"/>
      <c r="O2144" s="143"/>
      <c r="P2144" s="1196"/>
      <c r="Q2144" s="141"/>
      <c r="R2144" s="141"/>
      <c r="S2144" s="148"/>
      <c r="T2144" s="419"/>
      <c r="U2144" s="559"/>
      <c r="V2144" s="141"/>
      <c r="W2144" s="141"/>
      <c r="X2144" s="141"/>
      <c r="Y2144" s="144"/>
      <c r="Z2144" s="141"/>
      <c r="AA2144" s="141"/>
      <c r="AB2144" s="141"/>
      <c r="AC2144" s="141"/>
      <c r="AD2144" s="141"/>
      <c r="AE2144" s="141"/>
      <c r="AF2144" s="145"/>
      <c r="AG2144" s="419"/>
    </row>
    <row r="2145" spans="1:33" s="139" customFormat="1" ht="12.75" customHeight="1" x14ac:dyDescent="0.2">
      <c r="A2145" s="141"/>
      <c r="B2145" s="141"/>
      <c r="C2145" s="141"/>
      <c r="D2145" s="141"/>
      <c r="E2145" s="1014"/>
      <c r="F2145" s="1014"/>
      <c r="G2145" s="1027"/>
      <c r="H2145" s="1027"/>
      <c r="I2145" s="1174"/>
      <c r="J2145" s="1174"/>
      <c r="K2145" s="1174"/>
      <c r="L2145" s="1172"/>
      <c r="M2145" s="1172"/>
      <c r="N2145" s="1175"/>
      <c r="O2145" s="143"/>
      <c r="P2145" s="1196"/>
      <c r="Q2145" s="141"/>
      <c r="R2145" s="141"/>
      <c r="S2145" s="148"/>
      <c r="T2145" s="419"/>
      <c r="U2145" s="559"/>
      <c r="V2145" s="141"/>
      <c r="W2145" s="141"/>
      <c r="X2145" s="141"/>
      <c r="Y2145" s="144"/>
      <c r="Z2145" s="141"/>
      <c r="AA2145" s="141"/>
      <c r="AB2145" s="141"/>
      <c r="AC2145" s="141"/>
      <c r="AD2145" s="141"/>
      <c r="AE2145" s="141"/>
      <c r="AF2145" s="145"/>
      <c r="AG2145" s="419"/>
    </row>
    <row r="2146" spans="1:33" s="139" customFormat="1" ht="12.75" customHeight="1" x14ac:dyDescent="0.2">
      <c r="A2146" s="141"/>
      <c r="B2146" s="141"/>
      <c r="C2146" s="141"/>
      <c r="D2146" s="141"/>
      <c r="E2146" s="1014"/>
      <c r="F2146" s="1014"/>
      <c r="G2146" s="1027"/>
      <c r="H2146" s="1027"/>
      <c r="I2146" s="1174"/>
      <c r="J2146" s="1174"/>
      <c r="K2146" s="1174"/>
      <c r="L2146" s="1172"/>
      <c r="M2146" s="1172"/>
      <c r="N2146" s="1175"/>
      <c r="O2146" s="143"/>
      <c r="P2146" s="1196"/>
      <c r="Q2146" s="141"/>
      <c r="R2146" s="141"/>
      <c r="S2146" s="148"/>
      <c r="T2146" s="419"/>
      <c r="U2146" s="559"/>
      <c r="V2146" s="141"/>
      <c r="W2146" s="141"/>
      <c r="X2146" s="141"/>
      <c r="Y2146" s="144"/>
      <c r="Z2146" s="141"/>
      <c r="AA2146" s="141"/>
      <c r="AB2146" s="141"/>
      <c r="AC2146" s="141"/>
      <c r="AD2146" s="141"/>
      <c r="AE2146" s="141"/>
      <c r="AF2146" s="145"/>
      <c r="AG2146" s="419"/>
    </row>
    <row r="2147" spans="1:33" s="139" customFormat="1" ht="12.75" customHeight="1" x14ac:dyDescent="0.2">
      <c r="A2147" s="141"/>
      <c r="B2147" s="141"/>
      <c r="C2147" s="141"/>
      <c r="D2147" s="141"/>
      <c r="E2147" s="1014"/>
      <c r="F2147" s="1014"/>
      <c r="G2147" s="1027"/>
      <c r="H2147" s="1027"/>
      <c r="I2147" s="1174"/>
      <c r="J2147" s="1174"/>
      <c r="K2147" s="1174"/>
      <c r="L2147" s="1172"/>
      <c r="M2147" s="1172"/>
      <c r="N2147" s="1175"/>
      <c r="O2147" s="143"/>
      <c r="P2147" s="1196"/>
      <c r="Q2147" s="141"/>
      <c r="R2147" s="141"/>
      <c r="S2147" s="148"/>
      <c r="T2147" s="419"/>
      <c r="U2147" s="559"/>
      <c r="V2147" s="141"/>
      <c r="W2147" s="141"/>
      <c r="X2147" s="141"/>
      <c r="Y2147" s="144"/>
      <c r="Z2147" s="141"/>
      <c r="AA2147" s="141"/>
      <c r="AB2147" s="141"/>
      <c r="AC2147" s="141"/>
      <c r="AD2147" s="141"/>
      <c r="AE2147" s="141"/>
      <c r="AF2147" s="145"/>
      <c r="AG2147" s="419"/>
    </row>
    <row r="2148" spans="1:33" s="139" customFormat="1" ht="12.75" customHeight="1" x14ac:dyDescent="0.2">
      <c r="A2148" s="141"/>
      <c r="B2148" s="141"/>
      <c r="C2148" s="141"/>
      <c r="D2148" s="141"/>
      <c r="E2148" s="1014"/>
      <c r="F2148" s="1014"/>
      <c r="G2148" s="1027"/>
      <c r="H2148" s="1027"/>
      <c r="I2148" s="1174"/>
      <c r="J2148" s="1174"/>
      <c r="K2148" s="1174"/>
      <c r="L2148" s="1172"/>
      <c r="M2148" s="1172"/>
      <c r="N2148" s="1175"/>
      <c r="O2148" s="143"/>
      <c r="P2148" s="1196"/>
      <c r="Q2148" s="141"/>
      <c r="R2148" s="141"/>
      <c r="S2148" s="148"/>
      <c r="T2148" s="419"/>
      <c r="U2148" s="559"/>
      <c r="V2148" s="141"/>
      <c r="W2148" s="141"/>
      <c r="X2148" s="141"/>
      <c r="Y2148" s="144"/>
      <c r="Z2148" s="141"/>
      <c r="AA2148" s="141"/>
      <c r="AB2148" s="141"/>
      <c r="AC2148" s="141"/>
      <c r="AD2148" s="141"/>
      <c r="AE2148" s="141"/>
      <c r="AF2148" s="145"/>
      <c r="AG2148" s="419"/>
    </row>
    <row r="2149" spans="1:33" s="139" customFormat="1" ht="12.75" customHeight="1" x14ac:dyDescent="0.2">
      <c r="A2149" s="141"/>
      <c r="B2149" s="141"/>
      <c r="C2149" s="141"/>
      <c r="D2149" s="141"/>
      <c r="E2149" s="1014"/>
      <c r="F2149" s="1014"/>
      <c r="G2149" s="1027"/>
      <c r="H2149" s="1027"/>
      <c r="I2149" s="1174"/>
      <c r="J2149" s="1174"/>
      <c r="K2149" s="1174"/>
      <c r="L2149" s="1172"/>
      <c r="M2149" s="1172"/>
      <c r="N2149" s="1175"/>
      <c r="O2149" s="143"/>
      <c r="P2149" s="1196"/>
      <c r="Q2149" s="141"/>
      <c r="R2149" s="141"/>
      <c r="S2149" s="148"/>
      <c r="T2149" s="419"/>
      <c r="U2149" s="559"/>
      <c r="V2149" s="141"/>
      <c r="W2149" s="141"/>
      <c r="X2149" s="141"/>
      <c r="Y2149" s="144"/>
      <c r="Z2149" s="141"/>
      <c r="AA2149" s="141"/>
      <c r="AB2149" s="141"/>
      <c r="AC2149" s="141"/>
      <c r="AD2149" s="141"/>
      <c r="AE2149" s="141"/>
      <c r="AF2149" s="145"/>
      <c r="AG2149" s="419"/>
    </row>
    <row r="2150" spans="1:33" s="139" customFormat="1" ht="12.75" customHeight="1" x14ac:dyDescent="0.2">
      <c r="A2150" s="141"/>
      <c r="B2150" s="141"/>
      <c r="C2150" s="141"/>
      <c r="D2150" s="141"/>
      <c r="E2150" s="1014"/>
      <c r="F2150" s="1014"/>
      <c r="G2150" s="1027"/>
      <c r="H2150" s="1027"/>
      <c r="I2150" s="1174"/>
      <c r="J2150" s="1174"/>
      <c r="K2150" s="1174"/>
      <c r="L2150" s="1172"/>
      <c r="M2150" s="1172"/>
      <c r="N2150" s="1175"/>
      <c r="O2150" s="143"/>
      <c r="P2150" s="1196"/>
      <c r="Q2150" s="141"/>
      <c r="R2150" s="141"/>
      <c r="S2150" s="148"/>
      <c r="T2150" s="419"/>
      <c r="U2150" s="559"/>
      <c r="V2150" s="141"/>
      <c r="W2150" s="141"/>
      <c r="X2150" s="141"/>
      <c r="Y2150" s="144"/>
      <c r="Z2150" s="141"/>
      <c r="AA2150" s="141"/>
      <c r="AB2150" s="141"/>
      <c r="AC2150" s="141"/>
      <c r="AD2150" s="141"/>
      <c r="AE2150" s="141"/>
      <c r="AF2150" s="145"/>
      <c r="AG2150" s="419"/>
    </row>
    <row r="2151" spans="1:33" s="139" customFormat="1" ht="12.75" customHeight="1" x14ac:dyDescent="0.2">
      <c r="A2151" s="141"/>
      <c r="B2151" s="141"/>
      <c r="C2151" s="141"/>
      <c r="D2151" s="141"/>
      <c r="E2151" s="1014"/>
      <c r="F2151" s="1014"/>
      <c r="G2151" s="1027"/>
      <c r="H2151" s="1027"/>
      <c r="I2151" s="1174"/>
      <c r="J2151" s="1174"/>
      <c r="K2151" s="1174"/>
      <c r="L2151" s="1172"/>
      <c r="M2151" s="1172"/>
      <c r="N2151" s="1175"/>
      <c r="O2151" s="143"/>
      <c r="P2151" s="1196"/>
      <c r="Q2151" s="141"/>
      <c r="R2151" s="141"/>
      <c r="S2151" s="148"/>
      <c r="T2151" s="419"/>
      <c r="U2151" s="559"/>
      <c r="V2151" s="141"/>
      <c r="W2151" s="141"/>
      <c r="X2151" s="141"/>
      <c r="Y2151" s="144"/>
      <c r="Z2151" s="141"/>
      <c r="AA2151" s="141"/>
      <c r="AB2151" s="141"/>
      <c r="AC2151" s="141"/>
      <c r="AD2151" s="141"/>
      <c r="AE2151" s="141"/>
      <c r="AF2151" s="145"/>
      <c r="AG2151" s="419"/>
    </row>
    <row r="2152" spans="1:33" s="139" customFormat="1" ht="12.75" customHeight="1" x14ac:dyDescent="0.2">
      <c r="A2152" s="141"/>
      <c r="B2152" s="141"/>
      <c r="C2152" s="141"/>
      <c r="D2152" s="141"/>
      <c r="E2152" s="1014"/>
      <c r="F2152" s="1014"/>
      <c r="G2152" s="1027"/>
      <c r="H2152" s="1027"/>
      <c r="I2152" s="1174"/>
      <c r="J2152" s="1174"/>
      <c r="K2152" s="1174"/>
      <c r="L2152" s="1172"/>
      <c r="M2152" s="1172"/>
      <c r="N2152" s="1175"/>
      <c r="O2152" s="143"/>
      <c r="P2152" s="1196"/>
      <c r="Q2152" s="141"/>
      <c r="R2152" s="141"/>
      <c r="S2152" s="148"/>
      <c r="T2152" s="419"/>
      <c r="U2152" s="559"/>
      <c r="V2152" s="141"/>
      <c r="W2152" s="141"/>
      <c r="X2152" s="141"/>
      <c r="Y2152" s="144"/>
      <c r="Z2152" s="141"/>
      <c r="AA2152" s="141"/>
      <c r="AB2152" s="141"/>
      <c r="AC2152" s="141"/>
      <c r="AD2152" s="141"/>
      <c r="AE2152" s="141"/>
      <c r="AF2152" s="145"/>
      <c r="AG2152" s="419"/>
    </row>
    <row r="2153" spans="1:33" s="139" customFormat="1" ht="12.75" customHeight="1" x14ac:dyDescent="0.2">
      <c r="A2153" s="141"/>
      <c r="B2153" s="141"/>
      <c r="C2153" s="141"/>
      <c r="D2153" s="141"/>
      <c r="E2153" s="1014"/>
      <c r="F2153" s="1014"/>
      <c r="G2153" s="1027"/>
      <c r="H2153" s="1027"/>
      <c r="I2153" s="1174"/>
      <c r="J2153" s="1174"/>
      <c r="K2153" s="1174"/>
      <c r="L2153" s="1172"/>
      <c r="M2153" s="1172"/>
      <c r="N2153" s="1175"/>
      <c r="O2153" s="143"/>
      <c r="P2153" s="1196"/>
      <c r="Q2153" s="141"/>
      <c r="R2153" s="141"/>
      <c r="S2153" s="148"/>
      <c r="T2153" s="419"/>
      <c r="U2153" s="559"/>
      <c r="V2153" s="141"/>
      <c r="W2153" s="141"/>
      <c r="X2153" s="141"/>
      <c r="Y2153" s="144"/>
      <c r="Z2153" s="141"/>
      <c r="AA2153" s="141"/>
      <c r="AB2153" s="141"/>
      <c r="AC2153" s="141"/>
      <c r="AD2153" s="141"/>
      <c r="AE2153" s="141"/>
      <c r="AF2153" s="145"/>
      <c r="AG2153" s="419"/>
    </row>
    <row r="2154" spans="1:33" s="139" customFormat="1" ht="12.75" customHeight="1" x14ac:dyDescent="0.2">
      <c r="A2154" s="141"/>
      <c r="B2154" s="141"/>
      <c r="C2154" s="141"/>
      <c r="D2154" s="141"/>
      <c r="E2154" s="1014"/>
      <c r="F2154" s="1014"/>
      <c r="G2154" s="1027"/>
      <c r="H2154" s="1027"/>
      <c r="I2154" s="1174"/>
      <c r="J2154" s="1174"/>
      <c r="K2154" s="1174"/>
      <c r="L2154" s="1172"/>
      <c r="M2154" s="1172"/>
      <c r="N2154" s="1175"/>
      <c r="O2154" s="143"/>
      <c r="P2154" s="1196"/>
      <c r="Q2154" s="141"/>
      <c r="R2154" s="141"/>
      <c r="S2154" s="148"/>
      <c r="T2154" s="419"/>
      <c r="U2154" s="559"/>
      <c r="V2154" s="141"/>
      <c r="W2154" s="141"/>
      <c r="X2154" s="141"/>
      <c r="Y2154" s="144"/>
      <c r="Z2154" s="141"/>
      <c r="AA2154" s="141"/>
      <c r="AB2154" s="141"/>
      <c r="AC2154" s="141"/>
      <c r="AD2154" s="141"/>
      <c r="AE2154" s="141"/>
      <c r="AF2154" s="145"/>
      <c r="AG2154" s="419"/>
    </row>
    <row r="2155" spans="1:33" s="139" customFormat="1" ht="12.75" customHeight="1" x14ac:dyDescent="0.2">
      <c r="A2155" s="141"/>
      <c r="B2155" s="141"/>
      <c r="C2155" s="141"/>
      <c r="D2155" s="141"/>
      <c r="E2155" s="1014"/>
      <c r="F2155" s="1014"/>
      <c r="G2155" s="1027"/>
      <c r="H2155" s="1027"/>
      <c r="I2155" s="1174"/>
      <c r="J2155" s="1174"/>
      <c r="K2155" s="1174"/>
      <c r="L2155" s="1172"/>
      <c r="M2155" s="1172"/>
      <c r="N2155" s="1175"/>
      <c r="O2155" s="143"/>
      <c r="P2155" s="1196"/>
      <c r="Q2155" s="141"/>
      <c r="R2155" s="141"/>
      <c r="S2155" s="148"/>
      <c r="T2155" s="419"/>
      <c r="U2155" s="559"/>
      <c r="V2155" s="141"/>
      <c r="W2155" s="141"/>
      <c r="X2155" s="141"/>
      <c r="Y2155" s="144"/>
      <c r="Z2155" s="141"/>
      <c r="AA2155" s="141"/>
      <c r="AB2155" s="141"/>
      <c r="AC2155" s="141"/>
      <c r="AD2155" s="141"/>
      <c r="AE2155" s="141"/>
      <c r="AF2155" s="145"/>
      <c r="AG2155" s="419"/>
    </row>
    <row r="2156" spans="1:33" s="139" customFormat="1" ht="12.75" customHeight="1" x14ac:dyDescent="0.2">
      <c r="A2156" s="141"/>
      <c r="B2156" s="141"/>
      <c r="C2156" s="141"/>
      <c r="D2156" s="141"/>
      <c r="E2156" s="1014"/>
      <c r="F2156" s="1014"/>
      <c r="G2156" s="1027"/>
      <c r="H2156" s="1027"/>
      <c r="I2156" s="1174"/>
      <c r="J2156" s="1174"/>
      <c r="K2156" s="1174"/>
      <c r="L2156" s="1172"/>
      <c r="M2156" s="1172"/>
      <c r="N2156" s="1175"/>
      <c r="O2156" s="143"/>
      <c r="P2156" s="1196"/>
      <c r="Q2156" s="141"/>
      <c r="R2156" s="141"/>
      <c r="S2156" s="148"/>
      <c r="T2156" s="419"/>
      <c r="U2156" s="559"/>
      <c r="V2156" s="141"/>
      <c r="W2156" s="141"/>
      <c r="X2156" s="141"/>
      <c r="Y2156" s="144"/>
      <c r="Z2156" s="141"/>
      <c r="AA2156" s="141"/>
      <c r="AB2156" s="141"/>
      <c r="AC2156" s="141"/>
      <c r="AD2156" s="141"/>
      <c r="AE2156" s="141"/>
      <c r="AF2156" s="145"/>
      <c r="AG2156" s="419"/>
    </row>
    <row r="2157" spans="1:33" s="139" customFormat="1" ht="12.75" customHeight="1" x14ac:dyDescent="0.2">
      <c r="A2157" s="141"/>
      <c r="B2157" s="141"/>
      <c r="C2157" s="141"/>
      <c r="D2157" s="141"/>
      <c r="E2157" s="1014"/>
      <c r="F2157" s="1014"/>
      <c r="G2157" s="1027"/>
      <c r="H2157" s="1027"/>
      <c r="I2157" s="1174"/>
      <c r="J2157" s="1174"/>
      <c r="K2157" s="1174"/>
      <c r="L2157" s="1172"/>
      <c r="M2157" s="1172"/>
      <c r="N2157" s="1175"/>
      <c r="O2157" s="143"/>
      <c r="P2157" s="1196"/>
      <c r="Q2157" s="141"/>
      <c r="R2157" s="141"/>
      <c r="S2157" s="148"/>
      <c r="T2157" s="419"/>
      <c r="U2157" s="559"/>
      <c r="V2157" s="141"/>
      <c r="W2157" s="141"/>
      <c r="X2157" s="141"/>
      <c r="Y2157" s="144"/>
      <c r="Z2157" s="141"/>
      <c r="AA2157" s="141"/>
      <c r="AB2157" s="141"/>
      <c r="AC2157" s="141"/>
      <c r="AD2157" s="141"/>
      <c r="AE2157" s="141"/>
      <c r="AF2157" s="145"/>
      <c r="AG2157" s="419"/>
    </row>
    <row r="2158" spans="1:33" s="139" customFormat="1" ht="12.75" customHeight="1" x14ac:dyDescent="0.2">
      <c r="A2158" s="141"/>
      <c r="B2158" s="141"/>
      <c r="C2158" s="141"/>
      <c r="D2158" s="141"/>
      <c r="E2158" s="1014"/>
      <c r="F2158" s="1014"/>
      <c r="G2158" s="1027"/>
      <c r="H2158" s="1027"/>
      <c r="I2158" s="1174"/>
      <c r="J2158" s="1174"/>
      <c r="K2158" s="1174"/>
      <c r="L2158" s="1172"/>
      <c r="M2158" s="1172"/>
      <c r="N2158" s="1175"/>
      <c r="O2158" s="143"/>
      <c r="P2158" s="1196"/>
      <c r="Q2158" s="141"/>
      <c r="R2158" s="141"/>
      <c r="S2158" s="148"/>
      <c r="T2158" s="419"/>
      <c r="U2158" s="559"/>
      <c r="V2158" s="141"/>
      <c r="W2158" s="141"/>
      <c r="X2158" s="141"/>
      <c r="Y2158" s="144"/>
      <c r="Z2158" s="141"/>
      <c r="AA2158" s="141"/>
      <c r="AB2158" s="141"/>
      <c r="AC2158" s="141"/>
      <c r="AD2158" s="141"/>
      <c r="AE2158" s="141"/>
      <c r="AF2158" s="145"/>
      <c r="AG2158" s="419"/>
    </row>
    <row r="2159" spans="1:33" s="139" customFormat="1" ht="12.75" customHeight="1" x14ac:dyDescent="0.2">
      <c r="A2159" s="141"/>
      <c r="B2159" s="141"/>
      <c r="C2159" s="141"/>
      <c r="D2159" s="141"/>
      <c r="E2159" s="1014"/>
      <c r="F2159" s="1014"/>
      <c r="G2159" s="1027"/>
      <c r="H2159" s="1027"/>
      <c r="I2159" s="1174"/>
      <c r="J2159" s="1174"/>
      <c r="K2159" s="1174"/>
      <c r="L2159" s="1172"/>
      <c r="M2159" s="1172"/>
      <c r="N2159" s="1175"/>
      <c r="O2159" s="143"/>
      <c r="P2159" s="1196"/>
      <c r="Q2159" s="141"/>
      <c r="R2159" s="141"/>
      <c r="S2159" s="148"/>
      <c r="T2159" s="419"/>
      <c r="U2159" s="559"/>
      <c r="V2159" s="141"/>
      <c r="W2159" s="141"/>
      <c r="X2159" s="141"/>
      <c r="Y2159" s="144"/>
      <c r="Z2159" s="141"/>
      <c r="AA2159" s="141"/>
      <c r="AB2159" s="141"/>
      <c r="AC2159" s="141"/>
      <c r="AD2159" s="141"/>
      <c r="AE2159" s="141"/>
      <c r="AF2159" s="145"/>
      <c r="AG2159" s="419"/>
    </row>
    <row r="2160" spans="1:33" s="139" customFormat="1" ht="12.75" customHeight="1" x14ac:dyDescent="0.2">
      <c r="A2160" s="141"/>
      <c r="B2160" s="141"/>
      <c r="C2160" s="141"/>
      <c r="D2160" s="141"/>
      <c r="E2160" s="1014"/>
      <c r="F2160" s="1014"/>
      <c r="G2160" s="1027"/>
      <c r="H2160" s="1027"/>
      <c r="I2160" s="1174"/>
      <c r="J2160" s="1174"/>
      <c r="K2160" s="1174"/>
      <c r="L2160" s="1172"/>
      <c r="M2160" s="1172"/>
      <c r="N2160" s="1175"/>
      <c r="O2160" s="143"/>
      <c r="P2160" s="1196"/>
      <c r="Q2160" s="141"/>
      <c r="R2160" s="141"/>
      <c r="S2160" s="148"/>
      <c r="T2160" s="419"/>
      <c r="U2160" s="559"/>
      <c r="V2160" s="141"/>
      <c r="W2160" s="141"/>
      <c r="X2160" s="141"/>
      <c r="Y2160" s="144"/>
      <c r="Z2160" s="141"/>
      <c r="AA2160" s="141"/>
      <c r="AB2160" s="141"/>
      <c r="AC2160" s="141"/>
      <c r="AD2160" s="141"/>
      <c r="AE2160" s="141"/>
      <c r="AF2160" s="145"/>
      <c r="AG2160" s="419"/>
    </row>
    <row r="2161" spans="1:33" s="139" customFormat="1" ht="12.75" customHeight="1" x14ac:dyDescent="0.2">
      <c r="A2161" s="141"/>
      <c r="B2161" s="141"/>
      <c r="C2161" s="141"/>
      <c r="D2161" s="141"/>
      <c r="E2161" s="1014"/>
      <c r="F2161" s="1014"/>
      <c r="G2161" s="1027"/>
      <c r="H2161" s="1027"/>
      <c r="I2161" s="1174"/>
      <c r="J2161" s="1174"/>
      <c r="K2161" s="1174"/>
      <c r="L2161" s="1172"/>
      <c r="M2161" s="1172"/>
      <c r="N2161" s="1175"/>
      <c r="O2161" s="143"/>
      <c r="P2161" s="1196"/>
      <c r="Q2161" s="141"/>
      <c r="R2161" s="141"/>
      <c r="S2161" s="148"/>
      <c r="T2161" s="419"/>
      <c r="U2161" s="559"/>
      <c r="V2161" s="141"/>
      <c r="W2161" s="141"/>
      <c r="X2161" s="141"/>
      <c r="Y2161" s="144"/>
      <c r="Z2161" s="141"/>
      <c r="AA2161" s="141"/>
      <c r="AB2161" s="141"/>
      <c r="AC2161" s="141"/>
      <c r="AD2161" s="141"/>
      <c r="AE2161" s="141"/>
      <c r="AF2161" s="145"/>
      <c r="AG2161" s="419"/>
    </row>
    <row r="2162" spans="1:33" s="139" customFormat="1" ht="12.75" customHeight="1" x14ac:dyDescent="0.2">
      <c r="A2162" s="141"/>
      <c r="B2162" s="141"/>
      <c r="C2162" s="141"/>
      <c r="D2162" s="141"/>
      <c r="E2162" s="1014"/>
      <c r="F2162" s="1014"/>
      <c r="G2162" s="1027"/>
      <c r="H2162" s="1027"/>
      <c r="I2162" s="1174"/>
      <c r="J2162" s="1174"/>
      <c r="K2162" s="1174"/>
      <c r="L2162" s="1172"/>
      <c r="M2162" s="1172"/>
      <c r="N2162" s="1175"/>
      <c r="O2162" s="143"/>
      <c r="P2162" s="1196"/>
      <c r="Q2162" s="141"/>
      <c r="R2162" s="141"/>
      <c r="S2162" s="148"/>
      <c r="T2162" s="419"/>
      <c r="U2162" s="559"/>
      <c r="V2162" s="141"/>
      <c r="W2162" s="141"/>
      <c r="X2162" s="141"/>
      <c r="Y2162" s="144"/>
      <c r="Z2162" s="141"/>
      <c r="AA2162" s="141"/>
      <c r="AB2162" s="141"/>
      <c r="AC2162" s="141"/>
      <c r="AD2162" s="141"/>
      <c r="AE2162" s="141"/>
      <c r="AF2162" s="145"/>
      <c r="AG2162" s="419"/>
    </row>
    <row r="2163" spans="1:33" s="139" customFormat="1" ht="12.75" customHeight="1" x14ac:dyDescent="0.2">
      <c r="A2163" s="141"/>
      <c r="B2163" s="141"/>
      <c r="C2163" s="141"/>
      <c r="D2163" s="141"/>
      <c r="E2163" s="1014"/>
      <c r="F2163" s="1014"/>
      <c r="G2163" s="1027"/>
      <c r="H2163" s="1027"/>
      <c r="I2163" s="1174"/>
      <c r="J2163" s="1174"/>
      <c r="K2163" s="1174"/>
      <c r="L2163" s="1172"/>
      <c r="M2163" s="1172"/>
      <c r="N2163" s="1175"/>
      <c r="O2163" s="143"/>
      <c r="P2163" s="1196"/>
      <c r="Q2163" s="141"/>
      <c r="R2163" s="141"/>
      <c r="S2163" s="148"/>
      <c r="T2163" s="419"/>
      <c r="U2163" s="559"/>
      <c r="V2163" s="141"/>
      <c r="W2163" s="141"/>
      <c r="X2163" s="141"/>
      <c r="Y2163" s="144"/>
      <c r="Z2163" s="141"/>
      <c r="AA2163" s="141"/>
      <c r="AB2163" s="141"/>
      <c r="AC2163" s="141"/>
      <c r="AD2163" s="141"/>
      <c r="AE2163" s="141"/>
      <c r="AF2163" s="145"/>
      <c r="AG2163" s="419"/>
    </row>
    <row r="2164" spans="1:33" s="139" customFormat="1" ht="12.75" customHeight="1" x14ac:dyDescent="0.2">
      <c r="A2164" s="141"/>
      <c r="B2164" s="141"/>
      <c r="C2164" s="141"/>
      <c r="D2164" s="141"/>
      <c r="E2164" s="1014"/>
      <c r="F2164" s="1014"/>
      <c r="G2164" s="1027"/>
      <c r="H2164" s="1027"/>
      <c r="I2164" s="1174"/>
      <c r="J2164" s="1174"/>
      <c r="K2164" s="1174"/>
      <c r="L2164" s="1172"/>
      <c r="M2164" s="1172"/>
      <c r="N2164" s="1175"/>
      <c r="O2164" s="143"/>
      <c r="P2164" s="1196"/>
      <c r="Q2164" s="141"/>
      <c r="R2164" s="141"/>
      <c r="S2164" s="148"/>
      <c r="T2164" s="419"/>
      <c r="U2164" s="559"/>
      <c r="V2164" s="141"/>
      <c r="W2164" s="141"/>
      <c r="X2164" s="141"/>
      <c r="Y2164" s="144"/>
      <c r="Z2164" s="141"/>
      <c r="AA2164" s="141"/>
      <c r="AB2164" s="141"/>
      <c r="AC2164" s="141"/>
      <c r="AD2164" s="141"/>
      <c r="AE2164" s="141"/>
      <c r="AF2164" s="145"/>
      <c r="AG2164" s="419"/>
    </row>
    <row r="2165" spans="1:33" s="139" customFormat="1" ht="12.75" customHeight="1" x14ac:dyDescent="0.2">
      <c r="A2165" s="141"/>
      <c r="B2165" s="141"/>
      <c r="C2165" s="141"/>
      <c r="D2165" s="141"/>
      <c r="E2165" s="1014"/>
      <c r="F2165" s="1014"/>
      <c r="G2165" s="1027"/>
      <c r="H2165" s="1027"/>
      <c r="I2165" s="1174"/>
      <c r="J2165" s="1174"/>
      <c r="K2165" s="1174"/>
      <c r="L2165" s="1172"/>
      <c r="M2165" s="1172"/>
      <c r="N2165" s="1175"/>
      <c r="O2165" s="143"/>
      <c r="P2165" s="1196"/>
      <c r="Q2165" s="141"/>
      <c r="R2165" s="141"/>
      <c r="S2165" s="148"/>
      <c r="T2165" s="419"/>
      <c r="U2165" s="559"/>
      <c r="V2165" s="141"/>
      <c r="W2165" s="141"/>
      <c r="X2165" s="141"/>
      <c r="Y2165" s="144"/>
      <c r="Z2165" s="141"/>
      <c r="AA2165" s="141"/>
      <c r="AB2165" s="141"/>
      <c r="AC2165" s="141"/>
      <c r="AD2165" s="141"/>
      <c r="AE2165" s="141"/>
      <c r="AF2165" s="145"/>
      <c r="AG2165" s="419"/>
    </row>
    <row r="2166" spans="1:33" s="139" customFormat="1" ht="12.75" customHeight="1" x14ac:dyDescent="0.2">
      <c r="A2166" s="141"/>
      <c r="B2166" s="141"/>
      <c r="C2166" s="141"/>
      <c r="D2166" s="141"/>
      <c r="E2166" s="1014"/>
      <c r="F2166" s="1014"/>
      <c r="G2166" s="1027"/>
      <c r="H2166" s="1027"/>
      <c r="I2166" s="1174"/>
      <c r="J2166" s="1174"/>
      <c r="K2166" s="1174"/>
      <c r="L2166" s="1172"/>
      <c r="M2166" s="1172"/>
      <c r="N2166" s="1175"/>
      <c r="O2166" s="143"/>
      <c r="P2166" s="1196"/>
      <c r="Q2166" s="141"/>
      <c r="R2166" s="141"/>
      <c r="S2166" s="148"/>
      <c r="T2166" s="419"/>
      <c r="U2166" s="559"/>
      <c r="V2166" s="141"/>
      <c r="W2166" s="141"/>
      <c r="X2166" s="141"/>
      <c r="Y2166" s="144"/>
      <c r="Z2166" s="141"/>
      <c r="AA2166" s="141"/>
      <c r="AB2166" s="141"/>
      <c r="AC2166" s="141"/>
      <c r="AD2166" s="141"/>
      <c r="AE2166" s="141"/>
      <c r="AF2166" s="145"/>
      <c r="AG2166" s="419"/>
    </row>
    <row r="2167" spans="1:33" s="139" customFormat="1" ht="12.75" customHeight="1" x14ac:dyDescent="0.2">
      <c r="A2167" s="141"/>
      <c r="B2167" s="141"/>
      <c r="C2167" s="141"/>
      <c r="D2167" s="141"/>
      <c r="E2167" s="1014"/>
      <c r="F2167" s="1014"/>
      <c r="G2167" s="1027"/>
      <c r="H2167" s="1027"/>
      <c r="I2167" s="1174"/>
      <c r="J2167" s="1174"/>
      <c r="K2167" s="1174"/>
      <c r="L2167" s="1172"/>
      <c r="M2167" s="1172"/>
      <c r="N2167" s="1175"/>
      <c r="O2167" s="143"/>
      <c r="P2167" s="1196"/>
      <c r="Q2167" s="141"/>
      <c r="R2167" s="141"/>
      <c r="S2167" s="148"/>
      <c r="T2167" s="419"/>
      <c r="U2167" s="559"/>
      <c r="V2167" s="141"/>
      <c r="W2167" s="141"/>
      <c r="X2167" s="141"/>
      <c r="Y2167" s="144"/>
      <c r="Z2167" s="141"/>
      <c r="AA2167" s="141"/>
      <c r="AB2167" s="141"/>
      <c r="AC2167" s="141"/>
      <c r="AD2167" s="141"/>
      <c r="AE2167" s="141"/>
      <c r="AF2167" s="145"/>
      <c r="AG2167" s="419"/>
    </row>
    <row r="2168" spans="1:33" s="139" customFormat="1" ht="12.75" customHeight="1" x14ac:dyDescent="0.2">
      <c r="A2168" s="141"/>
      <c r="B2168" s="141"/>
      <c r="C2168" s="141"/>
      <c r="D2168" s="141"/>
      <c r="E2168" s="1014"/>
      <c r="F2168" s="1014"/>
      <c r="G2168" s="1027"/>
      <c r="H2168" s="1027"/>
      <c r="I2168" s="1174"/>
      <c r="J2168" s="1174"/>
      <c r="K2168" s="1174"/>
      <c r="L2168" s="1172"/>
      <c r="M2168" s="1172"/>
      <c r="N2168" s="1175"/>
      <c r="O2168" s="143"/>
      <c r="P2168" s="1196"/>
      <c r="Q2168" s="141"/>
      <c r="R2168" s="141"/>
      <c r="S2168" s="148"/>
      <c r="T2168" s="419"/>
      <c r="U2168" s="559"/>
      <c r="V2168" s="141"/>
      <c r="W2168" s="141"/>
      <c r="X2168" s="141"/>
      <c r="Y2168" s="144"/>
      <c r="Z2168" s="141"/>
      <c r="AA2168" s="141"/>
      <c r="AB2168" s="141"/>
      <c r="AC2168" s="141"/>
      <c r="AD2168" s="141"/>
      <c r="AE2168" s="141"/>
      <c r="AF2168" s="145"/>
      <c r="AG2168" s="419"/>
    </row>
    <row r="2169" spans="1:33" s="139" customFormat="1" ht="12.75" customHeight="1" x14ac:dyDescent="0.2">
      <c r="A2169" s="141"/>
      <c r="B2169" s="141"/>
      <c r="C2169" s="141"/>
      <c r="D2169" s="141"/>
      <c r="E2169" s="1014"/>
      <c r="F2169" s="1014"/>
      <c r="G2169" s="1027"/>
      <c r="H2169" s="1027"/>
      <c r="I2169" s="1174"/>
      <c r="J2169" s="1174"/>
      <c r="K2169" s="1174"/>
      <c r="L2169" s="1172"/>
      <c r="M2169" s="1172"/>
      <c r="N2169" s="1175"/>
      <c r="O2169" s="143"/>
      <c r="P2169" s="1196"/>
      <c r="Q2169" s="141"/>
      <c r="R2169" s="141"/>
      <c r="S2169" s="148"/>
      <c r="T2169" s="419"/>
      <c r="U2169" s="559"/>
      <c r="V2169" s="141"/>
      <c r="W2169" s="141"/>
      <c r="X2169" s="141"/>
      <c r="Y2169" s="144"/>
      <c r="Z2169" s="141"/>
      <c r="AA2169" s="141"/>
      <c r="AB2169" s="141"/>
      <c r="AC2169" s="141"/>
      <c r="AD2169" s="141"/>
      <c r="AE2169" s="141"/>
      <c r="AF2169" s="145"/>
      <c r="AG2169" s="419"/>
    </row>
    <row r="2170" spans="1:33" s="139" customFormat="1" ht="12.75" customHeight="1" x14ac:dyDescent="0.2">
      <c r="A2170" s="141"/>
      <c r="B2170" s="141"/>
      <c r="C2170" s="141"/>
      <c r="D2170" s="141"/>
      <c r="E2170" s="1014"/>
      <c r="F2170" s="1014"/>
      <c r="G2170" s="1027"/>
      <c r="H2170" s="1027"/>
      <c r="I2170" s="1174"/>
      <c r="J2170" s="1174"/>
      <c r="K2170" s="1174"/>
      <c r="L2170" s="1172"/>
      <c r="M2170" s="1172"/>
      <c r="N2170" s="1175"/>
      <c r="O2170" s="143"/>
      <c r="P2170" s="1196"/>
      <c r="Q2170" s="141"/>
      <c r="R2170" s="141"/>
      <c r="S2170" s="148"/>
      <c r="T2170" s="419"/>
      <c r="U2170" s="559"/>
      <c r="V2170" s="141"/>
      <c r="W2170" s="141"/>
      <c r="X2170" s="141"/>
      <c r="Y2170" s="144"/>
      <c r="Z2170" s="141"/>
      <c r="AA2170" s="141"/>
      <c r="AB2170" s="141"/>
      <c r="AC2170" s="141"/>
      <c r="AD2170" s="141"/>
      <c r="AE2170" s="141"/>
      <c r="AF2170" s="145"/>
      <c r="AG2170" s="419"/>
    </row>
    <row r="2171" spans="1:33" s="139" customFormat="1" ht="12.75" customHeight="1" x14ac:dyDescent="0.2">
      <c r="A2171" s="141"/>
      <c r="B2171" s="141"/>
      <c r="C2171" s="141"/>
      <c r="D2171" s="141"/>
      <c r="E2171" s="1014"/>
      <c r="F2171" s="1014"/>
      <c r="G2171" s="1027"/>
      <c r="H2171" s="1027"/>
      <c r="I2171" s="1174"/>
      <c r="J2171" s="1174"/>
      <c r="K2171" s="1174"/>
      <c r="L2171" s="1172"/>
      <c r="M2171" s="1172"/>
      <c r="N2171" s="1175"/>
      <c r="O2171" s="143"/>
      <c r="P2171" s="1196"/>
      <c r="Q2171" s="141"/>
      <c r="R2171" s="141"/>
      <c r="S2171" s="148"/>
      <c r="T2171" s="419"/>
      <c r="U2171" s="559"/>
      <c r="V2171" s="141"/>
      <c r="W2171" s="141"/>
      <c r="X2171" s="141"/>
      <c r="Y2171" s="144"/>
      <c r="Z2171" s="141"/>
      <c r="AA2171" s="141"/>
      <c r="AB2171" s="141"/>
      <c r="AC2171" s="141"/>
      <c r="AD2171" s="141"/>
      <c r="AE2171" s="141"/>
      <c r="AF2171" s="145"/>
      <c r="AG2171" s="419"/>
    </row>
    <row r="2172" spans="1:33" s="139" customFormat="1" ht="12.75" customHeight="1" x14ac:dyDescent="0.2">
      <c r="A2172" s="141"/>
      <c r="B2172" s="141"/>
      <c r="C2172" s="141"/>
      <c r="D2172" s="141"/>
      <c r="E2172" s="1014"/>
      <c r="F2172" s="1014"/>
      <c r="G2172" s="1027"/>
      <c r="H2172" s="1027"/>
      <c r="I2172" s="1174"/>
      <c r="J2172" s="1174"/>
      <c r="K2172" s="1174"/>
      <c r="L2172" s="1172"/>
      <c r="M2172" s="1172"/>
      <c r="N2172" s="1175"/>
      <c r="O2172" s="143"/>
      <c r="P2172" s="1196"/>
      <c r="Q2172" s="141"/>
      <c r="R2172" s="141"/>
      <c r="S2172" s="148"/>
      <c r="T2172" s="419"/>
      <c r="U2172" s="559"/>
      <c r="V2172" s="141"/>
      <c r="W2172" s="141"/>
      <c r="X2172" s="141"/>
      <c r="Y2172" s="144"/>
      <c r="Z2172" s="141"/>
      <c r="AA2172" s="141"/>
      <c r="AB2172" s="141"/>
      <c r="AC2172" s="141"/>
      <c r="AD2172" s="141"/>
      <c r="AE2172" s="141"/>
      <c r="AF2172" s="145"/>
      <c r="AG2172" s="419"/>
    </row>
    <row r="2173" spans="1:33" s="139" customFormat="1" ht="12.75" customHeight="1" x14ac:dyDescent="0.2">
      <c r="A2173" s="141"/>
      <c r="B2173" s="141"/>
      <c r="C2173" s="141"/>
      <c r="D2173" s="141"/>
      <c r="E2173" s="1014"/>
      <c r="F2173" s="1014"/>
      <c r="G2173" s="1027"/>
      <c r="H2173" s="1027"/>
      <c r="I2173" s="1174"/>
      <c r="J2173" s="1174"/>
      <c r="K2173" s="1174"/>
      <c r="L2173" s="1172"/>
      <c r="M2173" s="1172"/>
      <c r="N2173" s="1175"/>
      <c r="O2173" s="143"/>
      <c r="P2173" s="1196"/>
      <c r="Q2173" s="141"/>
      <c r="R2173" s="141"/>
      <c r="S2173" s="148"/>
      <c r="T2173" s="419"/>
      <c r="U2173" s="559"/>
      <c r="V2173" s="141"/>
      <c r="W2173" s="141"/>
      <c r="X2173" s="141"/>
      <c r="Y2173" s="144"/>
      <c r="Z2173" s="141"/>
      <c r="AA2173" s="141"/>
      <c r="AB2173" s="141"/>
      <c r="AC2173" s="141"/>
      <c r="AD2173" s="141"/>
      <c r="AE2173" s="141"/>
      <c r="AF2173" s="145"/>
      <c r="AG2173" s="419"/>
    </row>
    <row r="2174" spans="1:33" s="139" customFormat="1" ht="12.75" customHeight="1" x14ac:dyDescent="0.2">
      <c r="A2174" s="141"/>
      <c r="B2174" s="141"/>
      <c r="C2174" s="141"/>
      <c r="D2174" s="141"/>
      <c r="E2174" s="1014"/>
      <c r="F2174" s="1014"/>
      <c r="G2174" s="1027"/>
      <c r="H2174" s="1027"/>
      <c r="I2174" s="1174"/>
      <c r="J2174" s="1174"/>
      <c r="K2174" s="1174"/>
      <c r="L2174" s="1172"/>
      <c r="M2174" s="1172"/>
      <c r="N2174" s="1175"/>
      <c r="O2174" s="143"/>
      <c r="P2174" s="1196"/>
      <c r="Q2174" s="141"/>
      <c r="R2174" s="141"/>
      <c r="S2174" s="148"/>
      <c r="T2174" s="419"/>
      <c r="U2174" s="559"/>
      <c r="V2174" s="141"/>
      <c r="W2174" s="141"/>
      <c r="X2174" s="141"/>
      <c r="Y2174" s="144"/>
      <c r="Z2174" s="141"/>
      <c r="AA2174" s="141"/>
      <c r="AB2174" s="141"/>
      <c r="AC2174" s="141"/>
      <c r="AD2174" s="141"/>
      <c r="AE2174" s="141"/>
      <c r="AF2174" s="145"/>
      <c r="AG2174" s="419"/>
    </row>
    <row r="2175" spans="1:33" s="139" customFormat="1" ht="12.75" customHeight="1" x14ac:dyDescent="0.2">
      <c r="A2175" s="141"/>
      <c r="B2175" s="141"/>
      <c r="C2175" s="141"/>
      <c r="D2175" s="141"/>
      <c r="E2175" s="1014"/>
      <c r="F2175" s="1014"/>
      <c r="G2175" s="1027"/>
      <c r="H2175" s="1027"/>
      <c r="I2175" s="1174"/>
      <c r="J2175" s="1174"/>
      <c r="K2175" s="1174"/>
      <c r="L2175" s="1172"/>
      <c r="M2175" s="1172"/>
      <c r="N2175" s="1175"/>
      <c r="O2175" s="143"/>
      <c r="P2175" s="1196"/>
      <c r="Q2175" s="141"/>
      <c r="R2175" s="141"/>
      <c r="S2175" s="148"/>
      <c r="T2175" s="419"/>
      <c r="U2175" s="559"/>
      <c r="V2175" s="141"/>
      <c r="W2175" s="141"/>
      <c r="X2175" s="141"/>
      <c r="Y2175" s="144"/>
      <c r="Z2175" s="141"/>
      <c r="AA2175" s="141"/>
      <c r="AB2175" s="141"/>
      <c r="AC2175" s="141"/>
      <c r="AD2175" s="141"/>
      <c r="AE2175" s="141"/>
      <c r="AF2175" s="145"/>
      <c r="AG2175" s="419"/>
    </row>
    <row r="2176" spans="1:33" s="139" customFormat="1" ht="12.75" customHeight="1" x14ac:dyDescent="0.2">
      <c r="A2176" s="141"/>
      <c r="B2176" s="141"/>
      <c r="C2176" s="141"/>
      <c r="D2176" s="141"/>
      <c r="E2176" s="1014"/>
      <c r="F2176" s="1014"/>
      <c r="G2176" s="1027"/>
      <c r="H2176" s="1027"/>
      <c r="I2176" s="1174"/>
      <c r="J2176" s="1174"/>
      <c r="K2176" s="1174"/>
      <c r="L2176" s="1172"/>
      <c r="M2176" s="1172"/>
      <c r="N2176" s="1175"/>
      <c r="O2176" s="143"/>
      <c r="P2176" s="1196"/>
      <c r="Q2176" s="141"/>
      <c r="R2176" s="141"/>
      <c r="S2176" s="148"/>
      <c r="T2176" s="419"/>
      <c r="U2176" s="559"/>
      <c r="V2176" s="141"/>
      <c r="W2176" s="141"/>
      <c r="X2176" s="141"/>
      <c r="Y2176" s="144"/>
      <c r="Z2176" s="141"/>
      <c r="AA2176" s="141"/>
      <c r="AB2176" s="141"/>
      <c r="AC2176" s="141"/>
      <c r="AD2176" s="141"/>
      <c r="AE2176" s="141"/>
      <c r="AF2176" s="145"/>
      <c r="AG2176" s="419"/>
    </row>
    <row r="2177" spans="1:33" s="139" customFormat="1" ht="12.75" customHeight="1" x14ac:dyDescent="0.2">
      <c r="A2177" s="141"/>
      <c r="B2177" s="141"/>
      <c r="C2177" s="141"/>
      <c r="D2177" s="141"/>
      <c r="E2177" s="1014"/>
      <c r="F2177" s="1014"/>
      <c r="G2177" s="1027"/>
      <c r="H2177" s="1027"/>
      <c r="I2177" s="1174"/>
      <c r="J2177" s="1174"/>
      <c r="K2177" s="1174"/>
      <c r="L2177" s="1172"/>
      <c r="M2177" s="1172"/>
      <c r="N2177" s="1175"/>
      <c r="O2177" s="143"/>
      <c r="P2177" s="1196"/>
      <c r="Q2177" s="141"/>
      <c r="R2177" s="141"/>
      <c r="S2177" s="148"/>
      <c r="T2177" s="419"/>
      <c r="U2177" s="559"/>
      <c r="V2177" s="141"/>
      <c r="W2177" s="141"/>
      <c r="X2177" s="141"/>
      <c r="Y2177" s="144"/>
      <c r="Z2177" s="141"/>
      <c r="AA2177" s="141"/>
      <c r="AB2177" s="141"/>
      <c r="AC2177" s="141"/>
      <c r="AD2177" s="141"/>
      <c r="AE2177" s="141"/>
      <c r="AF2177" s="145"/>
      <c r="AG2177" s="419"/>
    </row>
    <row r="2178" spans="1:33" s="139" customFormat="1" ht="12.75" customHeight="1" x14ac:dyDescent="0.2">
      <c r="A2178" s="141"/>
      <c r="B2178" s="141"/>
      <c r="C2178" s="141"/>
      <c r="D2178" s="141"/>
      <c r="E2178" s="1014"/>
      <c r="F2178" s="1014"/>
      <c r="G2178" s="1027"/>
      <c r="H2178" s="1027"/>
      <c r="I2178" s="1174"/>
      <c r="J2178" s="1174"/>
      <c r="K2178" s="1174"/>
      <c r="L2178" s="1172"/>
      <c r="M2178" s="1172"/>
      <c r="N2178" s="1175"/>
      <c r="O2178" s="143"/>
      <c r="P2178" s="1196"/>
      <c r="Q2178" s="141"/>
      <c r="R2178" s="141"/>
      <c r="S2178" s="148"/>
      <c r="T2178" s="419"/>
      <c r="U2178" s="559"/>
      <c r="V2178" s="141"/>
      <c r="W2178" s="141"/>
      <c r="X2178" s="141"/>
      <c r="Y2178" s="144"/>
      <c r="Z2178" s="141"/>
      <c r="AA2178" s="141"/>
      <c r="AB2178" s="141"/>
      <c r="AC2178" s="141"/>
      <c r="AD2178" s="141"/>
      <c r="AE2178" s="141"/>
      <c r="AF2178" s="145"/>
      <c r="AG2178" s="419"/>
    </row>
    <row r="2179" spans="1:33" s="139" customFormat="1" ht="12.75" customHeight="1" x14ac:dyDescent="0.2">
      <c r="A2179" s="141"/>
      <c r="B2179" s="141"/>
      <c r="C2179" s="141"/>
      <c r="D2179" s="141"/>
      <c r="E2179" s="1014"/>
      <c r="F2179" s="1014"/>
      <c r="G2179" s="1027"/>
      <c r="H2179" s="1027"/>
      <c r="I2179" s="1174"/>
      <c r="J2179" s="1174"/>
      <c r="K2179" s="1174"/>
      <c r="L2179" s="1172"/>
      <c r="M2179" s="1172"/>
      <c r="N2179" s="1175"/>
      <c r="O2179" s="143"/>
      <c r="P2179" s="1196"/>
      <c r="Q2179" s="141"/>
      <c r="R2179" s="141"/>
      <c r="S2179" s="148"/>
      <c r="T2179" s="419"/>
      <c r="U2179" s="559"/>
      <c r="V2179" s="141"/>
      <c r="W2179" s="141"/>
      <c r="X2179" s="141"/>
      <c r="Y2179" s="144"/>
      <c r="Z2179" s="141"/>
      <c r="AA2179" s="141"/>
      <c r="AB2179" s="141"/>
      <c r="AC2179" s="141"/>
      <c r="AD2179" s="141"/>
      <c r="AE2179" s="141"/>
      <c r="AF2179" s="145"/>
      <c r="AG2179" s="419"/>
    </row>
    <row r="2180" spans="1:33" s="139" customFormat="1" ht="12.75" customHeight="1" x14ac:dyDescent="0.2">
      <c r="A2180" s="141"/>
      <c r="B2180" s="141"/>
      <c r="C2180" s="141"/>
      <c r="D2180" s="141"/>
      <c r="E2180" s="1014"/>
      <c r="F2180" s="1014"/>
      <c r="G2180" s="1027"/>
      <c r="H2180" s="1027"/>
      <c r="I2180" s="1174"/>
      <c r="J2180" s="1174"/>
      <c r="K2180" s="1174"/>
      <c r="L2180" s="1172"/>
      <c r="M2180" s="1172"/>
      <c r="N2180" s="1175"/>
      <c r="O2180" s="143"/>
      <c r="P2180" s="1196"/>
      <c r="Q2180" s="141"/>
      <c r="R2180" s="141"/>
      <c r="S2180" s="148"/>
      <c r="T2180" s="419"/>
      <c r="U2180" s="559"/>
      <c r="V2180" s="141"/>
      <c r="W2180" s="141"/>
      <c r="X2180" s="141"/>
      <c r="Y2180" s="144"/>
      <c r="Z2180" s="141"/>
      <c r="AA2180" s="141"/>
      <c r="AB2180" s="141"/>
      <c r="AC2180" s="141"/>
      <c r="AD2180" s="141"/>
      <c r="AE2180" s="141"/>
      <c r="AF2180" s="145"/>
      <c r="AG2180" s="419"/>
    </row>
    <row r="2181" spans="1:33" s="139" customFormat="1" ht="12.75" customHeight="1" x14ac:dyDescent="0.2">
      <c r="A2181" s="141"/>
      <c r="B2181" s="141"/>
      <c r="C2181" s="141"/>
      <c r="D2181" s="141"/>
      <c r="E2181" s="1014"/>
      <c r="F2181" s="1014"/>
      <c r="G2181" s="1027"/>
      <c r="H2181" s="1027"/>
      <c r="I2181" s="1174"/>
      <c r="J2181" s="1174"/>
      <c r="K2181" s="1174"/>
      <c r="L2181" s="1172"/>
      <c r="M2181" s="1172"/>
      <c r="N2181" s="1175"/>
      <c r="O2181" s="143"/>
      <c r="P2181" s="1196"/>
      <c r="Q2181" s="141"/>
      <c r="R2181" s="141"/>
      <c r="S2181" s="148"/>
      <c r="T2181" s="419"/>
      <c r="U2181" s="559"/>
      <c r="V2181" s="141"/>
      <c r="W2181" s="141"/>
      <c r="X2181" s="141"/>
      <c r="Y2181" s="144"/>
      <c r="Z2181" s="141"/>
      <c r="AA2181" s="141"/>
      <c r="AB2181" s="141"/>
      <c r="AC2181" s="141"/>
      <c r="AD2181" s="141"/>
      <c r="AE2181" s="141"/>
      <c r="AF2181" s="145"/>
      <c r="AG2181" s="419"/>
    </row>
    <row r="2182" spans="1:33" s="139" customFormat="1" ht="12.75" customHeight="1" x14ac:dyDescent="0.2">
      <c r="A2182" s="141"/>
      <c r="B2182" s="141"/>
      <c r="C2182" s="141"/>
      <c r="D2182" s="141"/>
      <c r="E2182" s="1014"/>
      <c r="F2182" s="1014"/>
      <c r="G2182" s="1027"/>
      <c r="H2182" s="1027"/>
      <c r="I2182" s="1174"/>
      <c r="J2182" s="1174"/>
      <c r="K2182" s="1174"/>
      <c r="L2182" s="1172"/>
      <c r="M2182" s="1172"/>
      <c r="N2182" s="1175"/>
      <c r="O2182" s="143"/>
      <c r="P2182" s="1196"/>
      <c r="Q2182" s="141"/>
      <c r="R2182" s="141"/>
      <c r="S2182" s="148"/>
      <c r="T2182" s="419"/>
      <c r="U2182" s="559"/>
      <c r="V2182" s="141"/>
      <c r="W2182" s="141"/>
      <c r="X2182" s="141"/>
      <c r="Y2182" s="144"/>
      <c r="Z2182" s="141"/>
      <c r="AA2182" s="141"/>
      <c r="AB2182" s="141"/>
      <c r="AC2182" s="141"/>
      <c r="AD2182" s="141"/>
      <c r="AE2182" s="141"/>
      <c r="AF2182" s="145"/>
      <c r="AG2182" s="419"/>
    </row>
    <row r="2183" spans="1:33" s="139" customFormat="1" ht="12.75" customHeight="1" x14ac:dyDescent="0.2">
      <c r="A2183" s="141"/>
      <c r="B2183" s="141"/>
      <c r="C2183" s="141"/>
      <c r="D2183" s="141"/>
      <c r="E2183" s="1014"/>
      <c r="F2183" s="1014"/>
      <c r="G2183" s="1027"/>
      <c r="H2183" s="1027"/>
      <c r="I2183" s="1174"/>
      <c r="J2183" s="1174"/>
      <c r="K2183" s="1174"/>
      <c r="L2183" s="1172"/>
      <c r="M2183" s="1172"/>
      <c r="N2183" s="1175"/>
      <c r="O2183" s="143"/>
      <c r="P2183" s="1196"/>
      <c r="Q2183" s="141"/>
      <c r="R2183" s="141"/>
      <c r="S2183" s="148"/>
      <c r="T2183" s="419"/>
      <c r="U2183" s="559"/>
      <c r="V2183" s="141"/>
      <c r="W2183" s="141"/>
      <c r="X2183" s="141"/>
      <c r="Y2183" s="144"/>
      <c r="Z2183" s="141"/>
      <c r="AA2183" s="141"/>
      <c r="AB2183" s="141"/>
      <c r="AC2183" s="141"/>
      <c r="AD2183" s="141"/>
      <c r="AE2183" s="141"/>
      <c r="AF2183" s="145"/>
      <c r="AG2183" s="419"/>
    </row>
    <row r="2184" spans="1:33" s="139" customFormat="1" ht="12.75" customHeight="1" x14ac:dyDescent="0.2">
      <c r="A2184" s="141"/>
      <c r="B2184" s="141"/>
      <c r="C2184" s="141"/>
      <c r="D2184" s="141"/>
      <c r="E2184" s="1014"/>
      <c r="F2184" s="1014"/>
      <c r="G2184" s="1027"/>
      <c r="H2184" s="1027"/>
      <c r="I2184" s="1174"/>
      <c r="J2184" s="1174"/>
      <c r="K2184" s="1174"/>
      <c r="L2184" s="1172"/>
      <c r="M2184" s="1172"/>
      <c r="N2184" s="1175"/>
      <c r="O2184" s="143"/>
      <c r="P2184" s="1196"/>
      <c r="Q2184" s="141"/>
      <c r="R2184" s="141"/>
      <c r="S2184" s="148"/>
      <c r="T2184" s="419"/>
      <c r="U2184" s="559"/>
      <c r="V2184" s="141"/>
      <c r="W2184" s="141"/>
      <c r="X2184" s="141"/>
      <c r="Y2184" s="144"/>
      <c r="Z2184" s="141"/>
      <c r="AA2184" s="141"/>
      <c r="AB2184" s="141"/>
      <c r="AC2184" s="141"/>
      <c r="AD2184" s="141"/>
      <c r="AE2184" s="141"/>
      <c r="AF2184" s="145"/>
      <c r="AG2184" s="419"/>
    </row>
    <row r="2185" spans="1:33" s="139" customFormat="1" ht="12.75" customHeight="1" x14ac:dyDescent="0.2">
      <c r="A2185" s="141"/>
      <c r="B2185" s="141"/>
      <c r="C2185" s="141"/>
      <c r="D2185" s="141"/>
      <c r="E2185" s="1014"/>
      <c r="F2185" s="1014"/>
      <c r="G2185" s="1027"/>
      <c r="H2185" s="1027"/>
      <c r="I2185" s="1174"/>
      <c r="J2185" s="1174"/>
      <c r="K2185" s="1174"/>
      <c r="L2185" s="1172"/>
      <c r="M2185" s="1172"/>
      <c r="N2185" s="1175"/>
      <c r="O2185" s="143"/>
      <c r="P2185" s="1196"/>
      <c r="Q2185" s="141"/>
      <c r="R2185" s="141"/>
      <c r="S2185" s="148"/>
      <c r="T2185" s="419"/>
      <c r="U2185" s="559"/>
      <c r="V2185" s="141"/>
      <c r="W2185" s="141"/>
      <c r="X2185" s="141"/>
      <c r="Y2185" s="144"/>
      <c r="Z2185" s="141"/>
      <c r="AA2185" s="141"/>
      <c r="AB2185" s="141"/>
      <c r="AC2185" s="141"/>
      <c r="AD2185" s="141"/>
      <c r="AE2185" s="141"/>
      <c r="AF2185" s="145"/>
      <c r="AG2185" s="419"/>
    </row>
    <row r="2186" spans="1:33" s="139" customFormat="1" ht="12.75" customHeight="1" x14ac:dyDescent="0.2">
      <c r="A2186" s="141"/>
      <c r="B2186" s="141"/>
      <c r="C2186" s="141"/>
      <c r="D2186" s="141"/>
      <c r="E2186" s="1014"/>
      <c r="F2186" s="1014"/>
      <c r="G2186" s="1027"/>
      <c r="H2186" s="1027"/>
      <c r="I2186" s="1174"/>
      <c r="J2186" s="1174"/>
      <c r="K2186" s="1174"/>
      <c r="L2186" s="1172"/>
      <c r="M2186" s="1172"/>
      <c r="N2186" s="1175"/>
      <c r="O2186" s="143"/>
      <c r="P2186" s="1196"/>
      <c r="Q2186" s="141"/>
      <c r="R2186" s="141"/>
      <c r="S2186" s="148"/>
      <c r="T2186" s="419"/>
      <c r="U2186" s="559"/>
      <c r="V2186" s="141"/>
      <c r="W2186" s="141"/>
      <c r="X2186" s="141"/>
      <c r="Y2186" s="144"/>
      <c r="Z2186" s="141"/>
      <c r="AA2186" s="141"/>
      <c r="AB2186" s="141"/>
      <c r="AC2186" s="141"/>
      <c r="AD2186" s="141"/>
      <c r="AE2186" s="141"/>
      <c r="AF2186" s="145"/>
      <c r="AG2186" s="419"/>
    </row>
    <row r="2187" spans="1:33" s="139" customFormat="1" ht="12.75" customHeight="1" x14ac:dyDescent="0.2">
      <c r="A2187" s="141"/>
      <c r="B2187" s="141"/>
      <c r="C2187" s="141"/>
      <c r="D2187" s="141"/>
      <c r="E2187" s="1014"/>
      <c r="F2187" s="1014"/>
      <c r="G2187" s="1027"/>
      <c r="H2187" s="1027"/>
      <c r="I2187" s="1174"/>
      <c r="J2187" s="1174"/>
      <c r="K2187" s="1174"/>
      <c r="L2187" s="1172"/>
      <c r="M2187" s="1172"/>
      <c r="N2187" s="1175"/>
      <c r="O2187" s="143"/>
      <c r="P2187" s="1196"/>
      <c r="Q2187" s="141"/>
      <c r="R2187" s="141"/>
      <c r="S2187" s="148"/>
      <c r="T2187" s="419"/>
      <c r="U2187" s="559"/>
      <c r="V2187" s="141"/>
      <c r="W2187" s="141"/>
      <c r="X2187" s="141"/>
      <c r="Y2187" s="144"/>
      <c r="Z2187" s="141"/>
      <c r="AA2187" s="141"/>
      <c r="AB2187" s="141"/>
      <c r="AC2187" s="141"/>
      <c r="AD2187" s="141"/>
      <c r="AE2187" s="141"/>
      <c r="AF2187" s="145"/>
      <c r="AG2187" s="419"/>
    </row>
    <row r="2188" spans="1:33" s="139" customFormat="1" ht="12.75" customHeight="1" x14ac:dyDescent="0.2">
      <c r="A2188" s="141"/>
      <c r="B2188" s="141"/>
      <c r="C2188" s="141"/>
      <c r="D2188" s="141"/>
      <c r="E2188" s="1014"/>
      <c r="F2188" s="1014"/>
      <c r="G2188" s="1027"/>
      <c r="H2188" s="1027"/>
      <c r="I2188" s="1174"/>
      <c r="J2188" s="1174"/>
      <c r="K2188" s="1174"/>
      <c r="L2188" s="1172"/>
      <c r="M2188" s="1172"/>
      <c r="N2188" s="1175"/>
      <c r="O2188" s="143"/>
      <c r="P2188" s="1196"/>
      <c r="Q2188" s="141"/>
      <c r="R2188" s="141"/>
      <c r="S2188" s="148"/>
      <c r="T2188" s="419"/>
      <c r="U2188" s="559"/>
      <c r="V2188" s="141"/>
      <c r="W2188" s="141"/>
      <c r="X2188" s="141"/>
      <c r="Y2188" s="144"/>
      <c r="Z2188" s="141"/>
      <c r="AA2188" s="141"/>
      <c r="AB2188" s="141"/>
      <c r="AC2188" s="141"/>
      <c r="AD2188" s="141"/>
      <c r="AE2188" s="141"/>
      <c r="AF2188" s="145"/>
      <c r="AG2188" s="419"/>
    </row>
    <row r="2189" spans="1:33" s="139" customFormat="1" ht="12.75" customHeight="1" x14ac:dyDescent="0.2">
      <c r="A2189" s="141"/>
      <c r="B2189" s="141"/>
      <c r="C2189" s="141"/>
      <c r="D2189" s="141"/>
      <c r="E2189" s="1014"/>
      <c r="F2189" s="1014"/>
      <c r="G2189" s="1027"/>
      <c r="H2189" s="1027"/>
      <c r="I2189" s="1174"/>
      <c r="J2189" s="1174"/>
      <c r="K2189" s="1174"/>
      <c r="L2189" s="1172"/>
      <c r="M2189" s="1172"/>
      <c r="N2189" s="1175"/>
      <c r="O2189" s="143"/>
      <c r="P2189" s="1196"/>
      <c r="Q2189" s="141"/>
      <c r="R2189" s="141"/>
      <c r="S2189" s="148"/>
      <c r="T2189" s="419"/>
      <c r="U2189" s="559"/>
      <c r="V2189" s="141"/>
      <c r="W2189" s="141"/>
      <c r="X2189" s="141"/>
      <c r="Y2189" s="144"/>
      <c r="Z2189" s="141"/>
      <c r="AA2189" s="141"/>
      <c r="AB2189" s="141"/>
      <c r="AC2189" s="141"/>
      <c r="AD2189" s="141"/>
      <c r="AE2189" s="141"/>
      <c r="AF2189" s="145"/>
      <c r="AG2189" s="419"/>
    </row>
    <row r="2190" spans="1:33" s="139" customFormat="1" ht="12.75" customHeight="1" x14ac:dyDescent="0.2">
      <c r="A2190" s="141"/>
      <c r="B2190" s="141"/>
      <c r="C2190" s="141"/>
      <c r="D2190" s="141"/>
      <c r="E2190" s="1014"/>
      <c r="F2190" s="1014"/>
      <c r="G2190" s="1027"/>
      <c r="H2190" s="1027"/>
      <c r="I2190" s="1174"/>
      <c r="J2190" s="1174"/>
      <c r="K2190" s="1174"/>
      <c r="L2190" s="1172"/>
      <c r="M2190" s="1172"/>
      <c r="N2190" s="1175"/>
      <c r="O2190" s="143"/>
      <c r="P2190" s="1196"/>
      <c r="Q2190" s="141"/>
      <c r="R2190" s="141"/>
      <c r="S2190" s="148"/>
      <c r="T2190" s="419"/>
      <c r="U2190" s="559"/>
      <c r="V2190" s="141"/>
      <c r="W2190" s="141"/>
      <c r="X2190" s="141"/>
      <c r="Y2190" s="144"/>
      <c r="Z2190" s="141"/>
      <c r="AA2190" s="141"/>
      <c r="AB2190" s="141"/>
      <c r="AC2190" s="141"/>
      <c r="AD2190" s="141"/>
      <c r="AE2190" s="141"/>
      <c r="AF2190" s="145"/>
      <c r="AG2190" s="419"/>
    </row>
    <row r="2191" spans="1:33" s="139" customFormat="1" ht="12.75" customHeight="1" x14ac:dyDescent="0.2">
      <c r="A2191" s="141"/>
      <c r="B2191" s="141"/>
      <c r="C2191" s="141"/>
      <c r="D2191" s="141"/>
      <c r="E2191" s="1014"/>
      <c r="F2191" s="1014"/>
      <c r="G2191" s="1027"/>
      <c r="H2191" s="1027"/>
      <c r="I2191" s="1174"/>
      <c r="J2191" s="1174"/>
      <c r="K2191" s="1174"/>
      <c r="L2191" s="1172"/>
      <c r="M2191" s="1172"/>
      <c r="N2191" s="1175"/>
      <c r="O2191" s="143"/>
      <c r="P2191" s="1196"/>
      <c r="Q2191" s="141"/>
      <c r="R2191" s="141"/>
      <c r="S2191" s="148"/>
      <c r="T2191" s="419"/>
      <c r="U2191" s="559"/>
      <c r="V2191" s="141"/>
      <c r="W2191" s="141"/>
      <c r="X2191" s="141"/>
      <c r="Y2191" s="144"/>
      <c r="Z2191" s="141"/>
      <c r="AA2191" s="141"/>
      <c r="AB2191" s="141"/>
      <c r="AC2191" s="141"/>
      <c r="AD2191" s="141"/>
      <c r="AE2191" s="141"/>
      <c r="AF2191" s="145"/>
      <c r="AG2191" s="419"/>
    </row>
    <row r="2192" spans="1:33" s="139" customFormat="1" ht="12.75" customHeight="1" x14ac:dyDescent="0.2">
      <c r="A2192" s="141"/>
      <c r="B2192" s="141"/>
      <c r="C2192" s="141"/>
      <c r="D2192" s="141"/>
      <c r="E2192" s="1014"/>
      <c r="F2192" s="1014"/>
      <c r="G2192" s="1027"/>
      <c r="H2192" s="1027"/>
      <c r="I2192" s="1174"/>
      <c r="J2192" s="1174"/>
      <c r="K2192" s="1174"/>
      <c r="L2192" s="1172"/>
      <c r="M2192" s="1172"/>
      <c r="N2192" s="1175"/>
      <c r="O2192" s="143"/>
      <c r="P2192" s="1196"/>
      <c r="Q2192" s="141"/>
      <c r="R2192" s="141"/>
      <c r="S2192" s="148"/>
      <c r="T2192" s="419"/>
      <c r="U2192" s="559"/>
      <c r="V2192" s="141"/>
      <c r="W2192" s="141"/>
      <c r="X2192" s="141"/>
      <c r="Y2192" s="144"/>
      <c r="Z2192" s="141"/>
      <c r="AA2192" s="141"/>
      <c r="AB2192" s="141"/>
      <c r="AC2192" s="141"/>
      <c r="AD2192" s="141"/>
      <c r="AE2192" s="141"/>
      <c r="AF2192" s="145"/>
      <c r="AG2192" s="419"/>
    </row>
    <row r="2193" spans="1:33" s="139" customFormat="1" ht="12.75" customHeight="1" x14ac:dyDescent="0.2">
      <c r="A2193" s="141"/>
      <c r="B2193" s="141"/>
      <c r="C2193" s="141"/>
      <c r="D2193" s="141"/>
      <c r="E2193" s="1014"/>
      <c r="F2193" s="1014"/>
      <c r="G2193" s="1027"/>
      <c r="H2193" s="1027"/>
      <c r="I2193" s="1174"/>
      <c r="J2193" s="1174"/>
      <c r="K2193" s="1174"/>
      <c r="L2193" s="1172"/>
      <c r="M2193" s="1172"/>
      <c r="N2193" s="1175"/>
      <c r="O2193" s="143"/>
      <c r="P2193" s="1196"/>
      <c r="Q2193" s="141"/>
      <c r="R2193" s="141"/>
      <c r="S2193" s="148"/>
      <c r="T2193" s="419"/>
      <c r="U2193" s="559"/>
      <c r="V2193" s="141"/>
      <c r="W2193" s="141"/>
      <c r="X2193" s="141"/>
      <c r="Y2193" s="144"/>
      <c r="Z2193" s="141"/>
      <c r="AA2193" s="141"/>
      <c r="AB2193" s="141"/>
      <c r="AC2193" s="141"/>
      <c r="AD2193" s="141"/>
      <c r="AE2193" s="141"/>
      <c r="AF2193" s="145"/>
      <c r="AG2193" s="419"/>
    </row>
    <row r="2194" spans="1:33" s="139" customFormat="1" ht="12.75" customHeight="1" x14ac:dyDescent="0.2">
      <c r="A2194" s="141"/>
      <c r="B2194" s="141"/>
      <c r="C2194" s="141"/>
      <c r="D2194" s="141"/>
      <c r="E2194" s="1014"/>
      <c r="F2194" s="1014"/>
      <c r="G2194" s="1027"/>
      <c r="H2194" s="1027"/>
      <c r="I2194" s="1174"/>
      <c r="J2194" s="1174"/>
      <c r="K2194" s="1174"/>
      <c r="L2194" s="1172"/>
      <c r="M2194" s="1172"/>
      <c r="N2194" s="1175"/>
      <c r="O2194" s="143"/>
      <c r="P2194" s="1196"/>
      <c r="Q2194" s="141"/>
      <c r="R2194" s="141"/>
      <c r="S2194" s="148"/>
      <c r="T2194" s="419"/>
      <c r="U2194" s="559"/>
      <c r="V2194" s="141"/>
      <c r="W2194" s="141"/>
      <c r="X2194" s="141"/>
      <c r="Y2194" s="144"/>
      <c r="Z2194" s="141"/>
      <c r="AA2194" s="141"/>
      <c r="AB2194" s="141"/>
      <c r="AC2194" s="141"/>
      <c r="AD2194" s="141"/>
      <c r="AE2194" s="141"/>
      <c r="AF2194" s="145"/>
      <c r="AG2194" s="419"/>
    </row>
    <row r="2195" spans="1:33" s="139" customFormat="1" ht="12.75" customHeight="1" x14ac:dyDescent="0.2">
      <c r="A2195" s="141"/>
      <c r="B2195" s="141"/>
      <c r="C2195" s="141"/>
      <c r="D2195" s="141"/>
      <c r="E2195" s="1014"/>
      <c r="F2195" s="1014"/>
      <c r="G2195" s="1027"/>
      <c r="H2195" s="1027"/>
      <c r="I2195" s="1174"/>
      <c r="J2195" s="1174"/>
      <c r="K2195" s="1174"/>
      <c r="L2195" s="1172"/>
      <c r="M2195" s="1172"/>
      <c r="N2195" s="1175"/>
      <c r="O2195" s="143"/>
      <c r="P2195" s="1196"/>
      <c r="Q2195" s="141"/>
      <c r="R2195" s="141"/>
      <c r="S2195" s="148"/>
      <c r="T2195" s="419"/>
      <c r="U2195" s="559"/>
      <c r="V2195" s="141"/>
      <c r="W2195" s="141"/>
      <c r="X2195" s="141"/>
      <c r="Y2195" s="144"/>
      <c r="Z2195" s="141"/>
      <c r="AA2195" s="141"/>
      <c r="AB2195" s="141"/>
      <c r="AC2195" s="141"/>
      <c r="AD2195" s="141"/>
      <c r="AE2195" s="141"/>
      <c r="AF2195" s="145"/>
      <c r="AG2195" s="419"/>
    </row>
    <row r="2196" spans="1:33" s="139" customFormat="1" ht="12.75" customHeight="1" x14ac:dyDescent="0.2">
      <c r="A2196" s="141"/>
      <c r="B2196" s="141"/>
      <c r="C2196" s="141"/>
      <c r="D2196" s="141"/>
      <c r="E2196" s="1014"/>
      <c r="F2196" s="1014"/>
      <c r="G2196" s="1027"/>
      <c r="H2196" s="1027"/>
      <c r="I2196" s="1174"/>
      <c r="J2196" s="1174"/>
      <c r="K2196" s="1174"/>
      <c r="L2196" s="1172"/>
      <c r="M2196" s="1172"/>
      <c r="N2196" s="1175"/>
      <c r="O2196" s="143"/>
      <c r="P2196" s="1196"/>
      <c r="Q2196" s="141"/>
      <c r="R2196" s="141"/>
      <c r="S2196" s="148"/>
      <c r="T2196" s="419"/>
      <c r="U2196" s="559"/>
      <c r="V2196" s="141"/>
      <c r="W2196" s="141"/>
      <c r="X2196" s="141"/>
      <c r="Y2196" s="144"/>
      <c r="Z2196" s="141"/>
      <c r="AA2196" s="141"/>
      <c r="AB2196" s="141"/>
      <c r="AC2196" s="141"/>
      <c r="AD2196" s="141"/>
      <c r="AE2196" s="141"/>
      <c r="AF2196" s="145"/>
      <c r="AG2196" s="419"/>
    </row>
    <row r="2197" spans="1:33" s="139" customFormat="1" ht="12.75" customHeight="1" x14ac:dyDescent="0.2">
      <c r="A2197" s="141"/>
      <c r="B2197" s="141"/>
      <c r="C2197" s="141"/>
      <c r="D2197" s="141"/>
      <c r="E2197" s="1014"/>
      <c r="F2197" s="1014"/>
      <c r="G2197" s="1027"/>
      <c r="H2197" s="1027"/>
      <c r="I2197" s="1174"/>
      <c r="J2197" s="1174"/>
      <c r="K2197" s="1174"/>
      <c r="L2197" s="1172"/>
      <c r="M2197" s="1172"/>
      <c r="N2197" s="1175"/>
      <c r="O2197" s="143"/>
      <c r="P2197" s="1196"/>
      <c r="Q2197" s="141"/>
      <c r="R2197" s="141"/>
      <c r="S2197" s="148"/>
      <c r="T2197" s="419"/>
      <c r="U2197" s="559"/>
      <c r="V2197" s="141"/>
      <c r="W2197" s="141"/>
      <c r="X2197" s="141"/>
      <c r="Y2197" s="144"/>
      <c r="Z2197" s="141"/>
      <c r="AA2197" s="141"/>
      <c r="AB2197" s="141"/>
      <c r="AC2197" s="141"/>
      <c r="AD2197" s="141"/>
      <c r="AE2197" s="141"/>
      <c r="AF2197" s="145"/>
      <c r="AG2197" s="419"/>
    </row>
    <row r="2198" spans="1:33" s="139" customFormat="1" ht="12.75" customHeight="1" x14ac:dyDescent="0.2">
      <c r="A2198" s="141"/>
      <c r="B2198" s="141"/>
      <c r="C2198" s="141"/>
      <c r="D2198" s="141"/>
      <c r="E2198" s="1014"/>
      <c r="F2198" s="1014"/>
      <c r="G2198" s="1027"/>
      <c r="H2198" s="1027"/>
      <c r="I2198" s="1174"/>
      <c r="J2198" s="1174"/>
      <c r="K2198" s="1174"/>
      <c r="L2198" s="1172"/>
      <c r="M2198" s="1172"/>
      <c r="N2198" s="1175"/>
      <c r="O2198" s="143"/>
      <c r="P2198" s="1196"/>
      <c r="Q2198" s="141"/>
      <c r="R2198" s="141"/>
      <c r="S2198" s="148"/>
      <c r="T2198" s="419"/>
      <c r="U2198" s="559"/>
      <c r="V2198" s="141"/>
      <c r="W2198" s="141"/>
      <c r="X2198" s="141"/>
      <c r="Y2198" s="144"/>
      <c r="Z2198" s="141"/>
      <c r="AA2198" s="141"/>
      <c r="AB2198" s="141"/>
      <c r="AC2198" s="141"/>
      <c r="AD2198" s="141"/>
      <c r="AE2198" s="141"/>
      <c r="AF2198" s="145"/>
      <c r="AG2198" s="419"/>
    </row>
    <row r="2199" spans="1:33" s="139" customFormat="1" ht="12.75" customHeight="1" x14ac:dyDescent="0.2">
      <c r="A2199" s="141"/>
      <c r="B2199" s="141"/>
      <c r="C2199" s="141"/>
      <c r="D2199" s="141"/>
      <c r="E2199" s="1014"/>
      <c r="F2199" s="1014"/>
      <c r="G2199" s="1027"/>
      <c r="H2199" s="1027"/>
      <c r="I2199" s="1174"/>
      <c r="J2199" s="1174"/>
      <c r="K2199" s="1174"/>
      <c r="L2199" s="1172"/>
      <c r="M2199" s="1172"/>
      <c r="N2199" s="1175"/>
      <c r="O2199" s="143"/>
      <c r="P2199" s="1196"/>
      <c r="Q2199" s="141"/>
      <c r="R2199" s="141"/>
      <c r="S2199" s="148"/>
      <c r="T2199" s="419"/>
      <c r="U2199" s="559"/>
      <c r="V2199" s="141"/>
      <c r="W2199" s="141"/>
      <c r="X2199" s="141"/>
      <c r="Y2199" s="144"/>
      <c r="Z2199" s="141"/>
      <c r="AA2199" s="141"/>
      <c r="AB2199" s="141"/>
      <c r="AC2199" s="141"/>
      <c r="AD2199" s="141"/>
      <c r="AE2199" s="141"/>
      <c r="AF2199" s="145"/>
      <c r="AG2199" s="419"/>
    </row>
    <row r="2200" spans="1:33" s="139" customFormat="1" ht="12.75" customHeight="1" x14ac:dyDescent="0.2">
      <c r="A2200" s="141"/>
      <c r="B2200" s="141"/>
      <c r="C2200" s="141"/>
      <c r="D2200" s="141"/>
      <c r="E2200" s="1014"/>
      <c r="F2200" s="1014"/>
      <c r="G2200" s="1027"/>
      <c r="H2200" s="1027"/>
      <c r="I2200" s="1174"/>
      <c r="J2200" s="1174"/>
      <c r="K2200" s="1174"/>
      <c r="L2200" s="1172"/>
      <c r="M2200" s="1172"/>
      <c r="N2200" s="1175"/>
      <c r="O2200" s="143"/>
      <c r="P2200" s="1196"/>
      <c r="Q2200" s="141"/>
      <c r="R2200" s="141"/>
      <c r="S2200" s="148"/>
      <c r="T2200" s="419"/>
      <c r="U2200" s="559"/>
      <c r="V2200" s="141"/>
      <c r="W2200" s="141"/>
      <c r="X2200" s="141"/>
      <c r="Y2200" s="144"/>
      <c r="Z2200" s="141"/>
      <c r="AA2200" s="141"/>
      <c r="AB2200" s="141"/>
      <c r="AC2200" s="141"/>
      <c r="AD2200" s="141"/>
      <c r="AE2200" s="141"/>
      <c r="AF2200" s="145"/>
      <c r="AG2200" s="419"/>
    </row>
    <row r="2201" spans="1:33" s="139" customFormat="1" ht="12.75" customHeight="1" x14ac:dyDescent="0.2">
      <c r="A2201" s="141"/>
      <c r="B2201" s="141"/>
      <c r="C2201" s="141"/>
      <c r="D2201" s="141"/>
      <c r="E2201" s="1014"/>
      <c r="F2201" s="1014"/>
      <c r="G2201" s="1027"/>
      <c r="H2201" s="1027"/>
      <c r="I2201" s="1174"/>
      <c r="J2201" s="1174"/>
      <c r="K2201" s="1174"/>
      <c r="L2201" s="1172"/>
      <c r="M2201" s="1172"/>
      <c r="N2201" s="1175"/>
      <c r="O2201" s="143"/>
      <c r="P2201" s="1196"/>
      <c r="Q2201" s="141"/>
      <c r="R2201" s="141"/>
      <c r="S2201" s="148"/>
      <c r="T2201" s="419"/>
      <c r="U2201" s="559"/>
      <c r="V2201" s="141"/>
      <c r="W2201" s="141"/>
      <c r="X2201" s="141"/>
      <c r="Y2201" s="144"/>
      <c r="Z2201" s="141"/>
      <c r="AA2201" s="141"/>
      <c r="AB2201" s="141"/>
      <c r="AC2201" s="141"/>
      <c r="AD2201" s="141"/>
      <c r="AE2201" s="141"/>
      <c r="AF2201" s="145"/>
      <c r="AG2201" s="419"/>
    </row>
    <row r="2202" spans="1:33" s="139" customFormat="1" ht="12.75" customHeight="1" x14ac:dyDescent="0.2">
      <c r="A2202" s="141"/>
      <c r="B2202" s="141"/>
      <c r="C2202" s="141"/>
      <c r="D2202" s="141"/>
      <c r="E2202" s="1014"/>
      <c r="F2202" s="1014"/>
      <c r="G2202" s="1027"/>
      <c r="H2202" s="1027"/>
      <c r="I2202" s="1174"/>
      <c r="J2202" s="1174"/>
      <c r="K2202" s="1174"/>
      <c r="L2202" s="1172"/>
      <c r="M2202" s="1172"/>
      <c r="N2202" s="1175"/>
      <c r="O2202" s="143"/>
      <c r="P2202" s="1196"/>
      <c r="Q2202" s="141"/>
      <c r="R2202" s="141"/>
      <c r="S2202" s="148"/>
      <c r="T2202" s="419"/>
      <c r="U2202" s="559"/>
      <c r="V2202" s="141"/>
      <c r="W2202" s="141"/>
      <c r="X2202" s="141"/>
      <c r="Y2202" s="144"/>
      <c r="Z2202" s="141"/>
      <c r="AA2202" s="141"/>
      <c r="AB2202" s="141"/>
      <c r="AC2202" s="141"/>
      <c r="AD2202" s="141"/>
      <c r="AE2202" s="141"/>
      <c r="AF2202" s="145"/>
      <c r="AG2202" s="419"/>
    </row>
    <row r="2203" spans="1:33" s="139" customFormat="1" ht="12.75" customHeight="1" x14ac:dyDescent="0.2">
      <c r="A2203" s="141"/>
      <c r="B2203" s="141"/>
      <c r="C2203" s="141"/>
      <c r="D2203" s="141"/>
      <c r="E2203" s="1014"/>
      <c r="F2203" s="1014"/>
      <c r="G2203" s="1027"/>
      <c r="H2203" s="1027"/>
      <c r="I2203" s="1174"/>
      <c r="J2203" s="1174"/>
      <c r="K2203" s="1174"/>
      <c r="L2203" s="1172"/>
      <c r="M2203" s="1172"/>
      <c r="N2203" s="1175"/>
      <c r="O2203" s="143"/>
      <c r="P2203" s="1196"/>
      <c r="Q2203" s="141"/>
      <c r="R2203" s="141"/>
      <c r="S2203" s="148"/>
      <c r="T2203" s="419"/>
      <c r="U2203" s="559"/>
      <c r="V2203" s="141"/>
      <c r="W2203" s="141"/>
      <c r="X2203" s="141"/>
      <c r="Y2203" s="144"/>
      <c r="Z2203" s="141"/>
      <c r="AA2203" s="141"/>
      <c r="AB2203" s="141"/>
      <c r="AC2203" s="141"/>
      <c r="AD2203" s="141"/>
      <c r="AE2203" s="141"/>
      <c r="AF2203" s="145"/>
      <c r="AG2203" s="419"/>
    </row>
    <row r="2204" spans="1:33" s="139" customFormat="1" ht="12.75" customHeight="1" x14ac:dyDescent="0.2">
      <c r="A2204" s="141"/>
      <c r="B2204" s="141"/>
      <c r="C2204" s="141"/>
      <c r="D2204" s="141"/>
      <c r="E2204" s="1014"/>
      <c r="F2204" s="1014"/>
      <c r="G2204" s="1027"/>
      <c r="H2204" s="1027"/>
      <c r="I2204" s="1174"/>
      <c r="J2204" s="1174"/>
      <c r="K2204" s="1174"/>
      <c r="L2204" s="1172"/>
      <c r="M2204" s="1172"/>
      <c r="N2204" s="1175"/>
      <c r="O2204" s="143"/>
      <c r="P2204" s="1196"/>
      <c r="Q2204" s="141"/>
      <c r="R2204" s="141"/>
      <c r="S2204" s="148"/>
      <c r="T2204" s="419"/>
      <c r="U2204" s="559"/>
      <c r="V2204" s="141"/>
      <c r="W2204" s="141"/>
      <c r="X2204" s="141"/>
      <c r="Y2204" s="144"/>
      <c r="Z2204" s="141"/>
      <c r="AA2204" s="141"/>
      <c r="AB2204" s="141"/>
      <c r="AC2204" s="141"/>
      <c r="AD2204" s="141"/>
      <c r="AE2204" s="141"/>
      <c r="AF2204" s="145"/>
      <c r="AG2204" s="419"/>
    </row>
    <row r="2205" spans="1:33" s="139" customFormat="1" ht="12.75" customHeight="1" x14ac:dyDescent="0.2">
      <c r="A2205" s="141"/>
      <c r="B2205" s="141"/>
      <c r="C2205" s="141"/>
      <c r="D2205" s="141"/>
      <c r="E2205" s="1014"/>
      <c r="F2205" s="1014"/>
      <c r="G2205" s="1027"/>
      <c r="H2205" s="1027"/>
      <c r="I2205" s="1174"/>
      <c r="J2205" s="1174"/>
      <c r="K2205" s="1174"/>
      <c r="L2205" s="1172"/>
      <c r="M2205" s="1172"/>
      <c r="N2205" s="1175"/>
      <c r="O2205" s="143"/>
      <c r="P2205" s="1196"/>
      <c r="Q2205" s="141"/>
      <c r="R2205" s="141"/>
      <c r="S2205" s="148"/>
      <c r="T2205" s="419"/>
      <c r="U2205" s="559"/>
      <c r="V2205" s="141"/>
      <c r="W2205" s="141"/>
      <c r="X2205" s="141"/>
      <c r="Y2205" s="144"/>
      <c r="Z2205" s="141"/>
      <c r="AA2205" s="141"/>
      <c r="AB2205" s="141"/>
      <c r="AC2205" s="141"/>
      <c r="AD2205" s="141"/>
      <c r="AE2205" s="141"/>
      <c r="AF2205" s="145"/>
      <c r="AG2205" s="419"/>
    </row>
    <row r="2206" spans="1:33" s="139" customFormat="1" ht="12.75" customHeight="1" x14ac:dyDescent="0.2">
      <c r="A2206" s="141"/>
      <c r="B2206" s="141"/>
      <c r="C2206" s="141"/>
      <c r="D2206" s="141"/>
      <c r="E2206" s="1014"/>
      <c r="F2206" s="1014"/>
      <c r="G2206" s="1027"/>
      <c r="H2206" s="1027"/>
      <c r="I2206" s="1174"/>
      <c r="J2206" s="1174"/>
      <c r="K2206" s="1174"/>
      <c r="L2206" s="1172"/>
      <c r="M2206" s="1172"/>
      <c r="N2206" s="1175"/>
      <c r="O2206" s="143"/>
      <c r="P2206" s="1196"/>
      <c r="Q2206" s="141"/>
      <c r="R2206" s="141"/>
      <c r="S2206" s="148"/>
      <c r="T2206" s="419"/>
      <c r="U2206" s="559"/>
      <c r="V2206" s="141"/>
      <c r="W2206" s="141"/>
      <c r="X2206" s="141"/>
      <c r="Y2206" s="144"/>
      <c r="Z2206" s="141"/>
      <c r="AA2206" s="141"/>
      <c r="AB2206" s="141"/>
      <c r="AC2206" s="141"/>
      <c r="AD2206" s="141"/>
      <c r="AE2206" s="141"/>
      <c r="AF2206" s="145"/>
      <c r="AG2206" s="419"/>
    </row>
    <row r="2207" spans="1:33" s="139" customFormat="1" ht="12.75" customHeight="1" x14ac:dyDescent="0.2">
      <c r="A2207" s="141"/>
      <c r="B2207" s="141"/>
      <c r="C2207" s="141"/>
      <c r="D2207" s="141"/>
      <c r="E2207" s="1014"/>
      <c r="F2207" s="1014"/>
      <c r="G2207" s="1027"/>
      <c r="H2207" s="1027"/>
      <c r="I2207" s="1174"/>
      <c r="J2207" s="1174"/>
      <c r="K2207" s="1174"/>
      <c r="L2207" s="1172"/>
      <c r="M2207" s="1172"/>
      <c r="N2207" s="1175"/>
      <c r="O2207" s="143"/>
      <c r="P2207" s="1196"/>
      <c r="Q2207" s="141"/>
      <c r="R2207" s="141"/>
      <c r="S2207" s="148"/>
      <c r="T2207" s="419"/>
      <c r="U2207" s="559"/>
      <c r="V2207" s="141"/>
      <c r="W2207" s="141"/>
      <c r="X2207" s="141"/>
      <c r="Y2207" s="144"/>
      <c r="Z2207" s="141"/>
      <c r="AA2207" s="141"/>
      <c r="AB2207" s="141"/>
      <c r="AC2207" s="141"/>
      <c r="AD2207" s="141"/>
      <c r="AE2207" s="141"/>
      <c r="AF2207" s="145"/>
      <c r="AG2207" s="419"/>
    </row>
    <row r="2208" spans="1:33" s="139" customFormat="1" ht="12.75" customHeight="1" x14ac:dyDescent="0.2">
      <c r="A2208" s="141"/>
      <c r="B2208" s="141"/>
      <c r="C2208" s="141"/>
      <c r="D2208" s="141"/>
      <c r="E2208" s="1014"/>
      <c r="F2208" s="1014"/>
      <c r="G2208" s="1027"/>
      <c r="H2208" s="1027"/>
      <c r="I2208" s="1174"/>
      <c r="J2208" s="1174"/>
      <c r="K2208" s="1174"/>
      <c r="L2208" s="1172"/>
      <c r="M2208" s="1172"/>
      <c r="N2208" s="1175"/>
      <c r="O2208" s="143"/>
      <c r="P2208" s="1196"/>
      <c r="Q2208" s="141"/>
      <c r="R2208" s="141"/>
      <c r="S2208" s="148"/>
      <c r="T2208" s="419"/>
      <c r="U2208" s="559"/>
      <c r="V2208" s="141"/>
      <c r="W2208" s="141"/>
      <c r="X2208" s="141"/>
      <c r="Y2208" s="144"/>
      <c r="Z2208" s="141"/>
      <c r="AA2208" s="141"/>
      <c r="AB2208" s="141"/>
      <c r="AC2208" s="141"/>
      <c r="AD2208" s="141"/>
      <c r="AE2208" s="141"/>
      <c r="AF2208" s="145"/>
      <c r="AG2208" s="419"/>
    </row>
    <row r="2209" spans="1:33" s="139" customFormat="1" ht="12.75" customHeight="1" x14ac:dyDescent="0.2">
      <c r="A2209" s="141"/>
      <c r="B2209" s="141"/>
      <c r="C2209" s="141"/>
      <c r="D2209" s="141"/>
      <c r="E2209" s="1014"/>
      <c r="F2209" s="1014"/>
      <c r="G2209" s="1027"/>
      <c r="H2209" s="1027"/>
      <c r="I2209" s="1174"/>
      <c r="J2209" s="1174"/>
      <c r="K2209" s="1174"/>
      <c r="L2209" s="1172"/>
      <c r="M2209" s="1172"/>
      <c r="N2209" s="1175"/>
      <c r="O2209" s="143"/>
      <c r="P2209" s="1196"/>
      <c r="Q2209" s="141"/>
      <c r="R2209" s="141"/>
      <c r="S2209" s="148"/>
      <c r="T2209" s="419"/>
      <c r="U2209" s="559"/>
      <c r="V2209" s="141"/>
      <c r="W2209" s="141"/>
      <c r="X2209" s="141"/>
      <c r="Y2209" s="144"/>
      <c r="Z2209" s="141"/>
      <c r="AA2209" s="141"/>
      <c r="AB2209" s="141"/>
      <c r="AC2209" s="141"/>
      <c r="AD2209" s="141"/>
      <c r="AE2209" s="141"/>
      <c r="AF2209" s="145"/>
      <c r="AG2209" s="419"/>
    </row>
    <row r="2210" spans="1:33" s="139" customFormat="1" ht="12.75" customHeight="1" x14ac:dyDescent="0.2">
      <c r="A2210" s="141"/>
      <c r="B2210" s="141"/>
      <c r="C2210" s="141"/>
      <c r="D2210" s="141"/>
      <c r="E2210" s="1014"/>
      <c r="F2210" s="1014"/>
      <c r="G2210" s="1027"/>
      <c r="H2210" s="1027"/>
      <c r="I2210" s="1174"/>
      <c r="J2210" s="1174"/>
      <c r="K2210" s="1174"/>
      <c r="L2210" s="1172"/>
      <c r="M2210" s="1172"/>
      <c r="N2210" s="1175"/>
      <c r="O2210" s="143"/>
      <c r="P2210" s="1196"/>
      <c r="Q2210" s="141"/>
      <c r="R2210" s="141"/>
      <c r="S2210" s="148"/>
      <c r="T2210" s="419"/>
      <c r="U2210" s="559"/>
      <c r="V2210" s="141"/>
      <c r="W2210" s="141"/>
      <c r="X2210" s="141"/>
      <c r="Y2210" s="144"/>
      <c r="Z2210" s="141"/>
      <c r="AA2210" s="141"/>
      <c r="AB2210" s="141"/>
      <c r="AC2210" s="141"/>
      <c r="AD2210" s="141"/>
      <c r="AE2210" s="141"/>
      <c r="AF2210" s="145"/>
      <c r="AG2210" s="419"/>
    </row>
    <row r="2211" spans="1:33" s="139" customFormat="1" ht="12.75" customHeight="1" x14ac:dyDescent="0.2">
      <c r="A2211" s="141"/>
      <c r="B2211" s="141"/>
      <c r="C2211" s="141"/>
      <c r="D2211" s="141"/>
      <c r="E2211" s="1014"/>
      <c r="F2211" s="1014"/>
      <c r="G2211" s="1027"/>
      <c r="H2211" s="1027"/>
      <c r="I2211" s="1174"/>
      <c r="J2211" s="1174"/>
      <c r="K2211" s="1174"/>
      <c r="L2211" s="1172"/>
      <c r="M2211" s="1172"/>
      <c r="N2211" s="1175"/>
      <c r="O2211" s="143"/>
      <c r="P2211" s="1196"/>
      <c r="Q2211" s="141"/>
      <c r="R2211" s="141"/>
      <c r="S2211" s="148"/>
      <c r="T2211" s="419"/>
      <c r="U2211" s="559"/>
      <c r="V2211" s="141"/>
      <c r="W2211" s="141"/>
      <c r="X2211" s="141"/>
      <c r="Y2211" s="144"/>
      <c r="Z2211" s="141"/>
      <c r="AA2211" s="141"/>
      <c r="AB2211" s="141"/>
      <c r="AC2211" s="141"/>
      <c r="AD2211" s="141"/>
      <c r="AE2211" s="141"/>
      <c r="AF2211" s="145"/>
      <c r="AG2211" s="419"/>
    </row>
    <row r="2212" spans="1:33" s="139" customFormat="1" ht="12.75" customHeight="1" x14ac:dyDescent="0.2">
      <c r="A2212" s="141"/>
      <c r="B2212" s="141"/>
      <c r="C2212" s="141"/>
      <c r="D2212" s="141"/>
      <c r="E2212" s="1014"/>
      <c r="F2212" s="1014"/>
      <c r="G2212" s="1027"/>
      <c r="H2212" s="1027"/>
      <c r="I2212" s="1174"/>
      <c r="J2212" s="1174"/>
      <c r="K2212" s="1174"/>
      <c r="L2212" s="1172"/>
      <c r="M2212" s="1172"/>
      <c r="N2212" s="1175"/>
      <c r="O2212" s="143"/>
      <c r="P2212" s="1196"/>
      <c r="Q2212" s="141"/>
      <c r="R2212" s="141"/>
      <c r="S2212" s="148"/>
      <c r="T2212" s="419"/>
      <c r="U2212" s="559"/>
      <c r="V2212" s="141"/>
      <c r="W2212" s="141"/>
      <c r="X2212" s="141"/>
      <c r="Y2212" s="144"/>
      <c r="Z2212" s="141"/>
      <c r="AA2212" s="141"/>
      <c r="AB2212" s="141"/>
      <c r="AC2212" s="141"/>
      <c r="AD2212" s="141"/>
      <c r="AE2212" s="141"/>
      <c r="AF2212" s="145"/>
      <c r="AG2212" s="419"/>
    </row>
    <row r="2213" spans="1:33" s="139" customFormat="1" ht="12.75" customHeight="1" x14ac:dyDescent="0.2">
      <c r="A2213" s="141"/>
      <c r="B2213" s="141"/>
      <c r="C2213" s="141"/>
      <c r="D2213" s="141"/>
      <c r="E2213" s="1014"/>
      <c r="F2213" s="1014"/>
      <c r="G2213" s="1027"/>
      <c r="H2213" s="1027"/>
      <c r="I2213" s="1174"/>
      <c r="J2213" s="1174"/>
      <c r="K2213" s="1174"/>
      <c r="L2213" s="1172"/>
      <c r="M2213" s="1172"/>
      <c r="N2213" s="1175"/>
      <c r="O2213" s="143"/>
      <c r="P2213" s="1196"/>
      <c r="Q2213" s="141"/>
      <c r="R2213" s="141"/>
      <c r="S2213" s="148"/>
      <c r="T2213" s="419"/>
      <c r="U2213" s="559"/>
      <c r="V2213" s="141"/>
      <c r="W2213" s="141"/>
      <c r="X2213" s="141"/>
      <c r="Y2213" s="144"/>
      <c r="Z2213" s="141"/>
      <c r="AA2213" s="141"/>
      <c r="AB2213" s="141"/>
      <c r="AC2213" s="141"/>
      <c r="AD2213" s="141"/>
      <c r="AE2213" s="141"/>
      <c r="AF2213" s="145"/>
      <c r="AG2213" s="419"/>
    </row>
    <row r="2214" spans="1:33" s="139" customFormat="1" ht="12.75" customHeight="1" x14ac:dyDescent="0.2">
      <c r="A2214" s="141"/>
      <c r="B2214" s="141"/>
      <c r="C2214" s="141"/>
      <c r="D2214" s="141"/>
      <c r="E2214" s="1014"/>
      <c r="F2214" s="1014"/>
      <c r="G2214" s="1027"/>
      <c r="H2214" s="1027"/>
      <c r="I2214" s="1174"/>
      <c r="J2214" s="1174"/>
      <c r="K2214" s="1174"/>
      <c r="L2214" s="1172"/>
      <c r="M2214" s="1172"/>
      <c r="N2214" s="1175"/>
      <c r="O2214" s="143"/>
      <c r="P2214" s="1196"/>
      <c r="Q2214" s="141"/>
      <c r="R2214" s="141"/>
      <c r="S2214" s="148"/>
      <c r="T2214" s="419"/>
      <c r="U2214" s="559"/>
      <c r="V2214" s="141"/>
      <c r="W2214" s="141"/>
      <c r="X2214" s="141"/>
      <c r="Y2214" s="144"/>
      <c r="Z2214" s="141"/>
      <c r="AA2214" s="141"/>
      <c r="AB2214" s="141"/>
      <c r="AC2214" s="141"/>
      <c r="AD2214" s="141"/>
      <c r="AE2214" s="141"/>
      <c r="AF2214" s="145"/>
      <c r="AG2214" s="419"/>
    </row>
    <row r="2215" spans="1:33" s="139" customFormat="1" ht="12.75" customHeight="1" x14ac:dyDescent="0.2">
      <c r="A2215" s="141"/>
      <c r="B2215" s="141"/>
      <c r="C2215" s="141"/>
      <c r="D2215" s="141"/>
      <c r="E2215" s="1014"/>
      <c r="F2215" s="1014"/>
      <c r="G2215" s="1027"/>
      <c r="H2215" s="1027"/>
      <c r="I2215" s="1174"/>
      <c r="J2215" s="1174"/>
      <c r="K2215" s="1174"/>
      <c r="L2215" s="1172"/>
      <c r="M2215" s="1172"/>
      <c r="N2215" s="1175"/>
      <c r="O2215" s="143"/>
      <c r="P2215" s="1196"/>
      <c r="Q2215" s="141"/>
      <c r="R2215" s="141"/>
      <c r="S2215" s="148"/>
      <c r="T2215" s="419"/>
      <c r="U2215" s="559"/>
      <c r="V2215" s="141"/>
      <c r="W2215" s="141"/>
      <c r="X2215" s="141"/>
      <c r="Y2215" s="144"/>
      <c r="Z2215" s="141"/>
      <c r="AA2215" s="141"/>
      <c r="AB2215" s="141"/>
      <c r="AC2215" s="141"/>
      <c r="AD2215" s="141"/>
      <c r="AE2215" s="141"/>
      <c r="AF2215" s="145"/>
      <c r="AG2215" s="419"/>
    </row>
    <row r="2216" spans="1:33" s="139" customFormat="1" ht="12.75" customHeight="1" x14ac:dyDescent="0.2">
      <c r="A2216" s="141"/>
      <c r="B2216" s="141"/>
      <c r="C2216" s="141"/>
      <c r="D2216" s="141"/>
      <c r="E2216" s="1014"/>
      <c r="F2216" s="1014"/>
      <c r="G2216" s="1027"/>
      <c r="H2216" s="1027"/>
      <c r="I2216" s="1174"/>
      <c r="J2216" s="1174"/>
      <c r="K2216" s="1174"/>
      <c r="L2216" s="1172"/>
      <c r="M2216" s="1172"/>
      <c r="N2216" s="1175"/>
      <c r="O2216" s="143"/>
      <c r="P2216" s="1196"/>
      <c r="Q2216" s="141"/>
      <c r="R2216" s="141"/>
      <c r="S2216" s="148"/>
      <c r="T2216" s="419"/>
      <c r="U2216" s="559"/>
      <c r="V2216" s="141"/>
      <c r="W2216" s="141"/>
      <c r="X2216" s="141"/>
      <c r="Y2216" s="144"/>
      <c r="Z2216" s="141"/>
      <c r="AA2216" s="141"/>
      <c r="AB2216" s="141"/>
      <c r="AC2216" s="141"/>
      <c r="AD2216" s="141"/>
      <c r="AE2216" s="141"/>
      <c r="AF2216" s="145"/>
      <c r="AG2216" s="419"/>
    </row>
    <row r="2217" spans="1:33" s="139" customFormat="1" ht="12.75" customHeight="1" x14ac:dyDescent="0.2">
      <c r="A2217" s="141"/>
      <c r="B2217" s="141"/>
      <c r="C2217" s="141"/>
      <c r="D2217" s="141"/>
      <c r="E2217" s="1014"/>
      <c r="F2217" s="1014"/>
      <c r="G2217" s="1027"/>
      <c r="H2217" s="1027"/>
      <c r="I2217" s="1174"/>
      <c r="J2217" s="1174"/>
      <c r="K2217" s="1174"/>
      <c r="L2217" s="1172"/>
      <c r="M2217" s="1172"/>
      <c r="N2217" s="1175"/>
      <c r="O2217" s="143"/>
      <c r="P2217" s="1196"/>
      <c r="Q2217" s="141"/>
      <c r="R2217" s="141"/>
      <c r="S2217" s="148"/>
      <c r="T2217" s="419"/>
      <c r="U2217" s="559"/>
      <c r="V2217" s="141"/>
      <c r="W2217" s="141"/>
      <c r="X2217" s="141"/>
      <c r="Y2217" s="144"/>
      <c r="Z2217" s="141"/>
      <c r="AA2217" s="141"/>
      <c r="AB2217" s="141"/>
      <c r="AC2217" s="141"/>
      <c r="AD2217" s="141"/>
      <c r="AE2217" s="141"/>
      <c r="AF2217" s="145"/>
      <c r="AG2217" s="419"/>
    </row>
    <row r="2218" spans="1:33" s="139" customFormat="1" ht="12.75" customHeight="1" x14ac:dyDescent="0.2">
      <c r="A2218" s="141"/>
      <c r="B2218" s="141"/>
      <c r="C2218" s="141"/>
      <c r="D2218" s="141"/>
      <c r="E2218" s="1014"/>
      <c r="F2218" s="1014"/>
      <c r="G2218" s="1027"/>
      <c r="H2218" s="1027"/>
      <c r="I2218" s="1174"/>
      <c r="J2218" s="1174"/>
      <c r="K2218" s="1174"/>
      <c r="L2218" s="1172"/>
      <c r="M2218" s="1172"/>
      <c r="N2218" s="1175"/>
      <c r="O2218" s="143"/>
      <c r="P2218" s="1196"/>
      <c r="Q2218" s="141"/>
      <c r="R2218" s="141"/>
      <c r="S2218" s="148"/>
      <c r="T2218" s="419"/>
      <c r="U2218" s="559"/>
      <c r="V2218" s="141"/>
      <c r="W2218" s="141"/>
      <c r="X2218" s="141"/>
      <c r="Y2218" s="144"/>
      <c r="Z2218" s="141"/>
      <c r="AA2218" s="141"/>
      <c r="AB2218" s="141"/>
      <c r="AC2218" s="141"/>
      <c r="AD2218" s="141"/>
      <c r="AE2218" s="141"/>
      <c r="AF2218" s="145"/>
      <c r="AG2218" s="419"/>
    </row>
    <row r="2219" spans="1:33" s="139" customFormat="1" ht="12.75" customHeight="1" x14ac:dyDescent="0.2">
      <c r="A2219" s="141"/>
      <c r="B2219" s="141"/>
      <c r="C2219" s="141"/>
      <c r="D2219" s="141"/>
      <c r="E2219" s="1014"/>
      <c r="F2219" s="1014"/>
      <c r="G2219" s="1027"/>
      <c r="H2219" s="1027"/>
      <c r="I2219" s="1174"/>
      <c r="J2219" s="1174"/>
      <c r="K2219" s="1174"/>
      <c r="L2219" s="1172"/>
      <c r="M2219" s="1172"/>
      <c r="N2219" s="1175"/>
      <c r="O2219" s="143"/>
      <c r="P2219" s="1196"/>
      <c r="Q2219" s="141"/>
      <c r="R2219" s="141"/>
      <c r="S2219" s="148"/>
      <c r="T2219" s="419"/>
      <c r="U2219" s="559"/>
      <c r="V2219" s="141"/>
      <c r="W2219" s="141"/>
      <c r="X2219" s="141"/>
      <c r="Y2219" s="144"/>
      <c r="Z2219" s="141"/>
      <c r="AA2219" s="141"/>
      <c r="AB2219" s="141"/>
      <c r="AC2219" s="141"/>
      <c r="AD2219" s="141"/>
      <c r="AE2219" s="141"/>
      <c r="AF2219" s="145"/>
      <c r="AG2219" s="419"/>
    </row>
    <row r="2220" spans="1:33" s="139" customFormat="1" ht="12.75" customHeight="1" x14ac:dyDescent="0.2">
      <c r="A2220" s="141"/>
      <c r="B2220" s="141"/>
      <c r="C2220" s="141"/>
      <c r="D2220" s="141"/>
      <c r="E2220" s="1014"/>
      <c r="F2220" s="1014"/>
      <c r="G2220" s="1027"/>
      <c r="H2220" s="1027"/>
      <c r="I2220" s="1174"/>
      <c r="J2220" s="1174"/>
      <c r="K2220" s="1174"/>
      <c r="L2220" s="1172"/>
      <c r="M2220" s="1172"/>
      <c r="N2220" s="1175"/>
      <c r="O2220" s="143"/>
      <c r="P2220" s="1196"/>
      <c r="Q2220" s="141"/>
      <c r="R2220" s="141"/>
      <c r="S2220" s="148"/>
      <c r="T2220" s="419"/>
      <c r="U2220" s="559"/>
      <c r="V2220" s="141"/>
      <c r="W2220" s="141"/>
      <c r="X2220" s="141"/>
      <c r="Y2220" s="144"/>
      <c r="Z2220" s="141"/>
      <c r="AA2220" s="141"/>
      <c r="AB2220" s="141"/>
      <c r="AC2220" s="141"/>
      <c r="AD2220" s="141"/>
      <c r="AE2220" s="141"/>
      <c r="AF2220" s="145"/>
      <c r="AG2220" s="419"/>
    </row>
    <row r="2221" spans="1:33" s="139" customFormat="1" ht="12.75" customHeight="1" x14ac:dyDescent="0.2">
      <c r="A2221" s="141"/>
      <c r="B2221" s="141"/>
      <c r="C2221" s="141"/>
      <c r="D2221" s="141"/>
      <c r="E2221" s="1014"/>
      <c r="F2221" s="1014"/>
      <c r="G2221" s="1027"/>
      <c r="H2221" s="1027"/>
      <c r="I2221" s="1174"/>
      <c r="J2221" s="1174"/>
      <c r="K2221" s="1174"/>
      <c r="L2221" s="1172"/>
      <c r="M2221" s="1172"/>
      <c r="N2221" s="1175"/>
      <c r="O2221" s="143"/>
      <c r="P2221" s="1196"/>
      <c r="Q2221" s="141"/>
      <c r="R2221" s="141"/>
      <c r="S2221" s="148"/>
      <c r="T2221" s="419"/>
      <c r="U2221" s="559"/>
      <c r="V2221" s="141"/>
      <c r="W2221" s="141"/>
      <c r="X2221" s="141"/>
      <c r="Y2221" s="144"/>
      <c r="Z2221" s="141"/>
      <c r="AA2221" s="141"/>
      <c r="AB2221" s="141"/>
      <c r="AC2221" s="141"/>
      <c r="AD2221" s="141"/>
      <c r="AE2221" s="141"/>
      <c r="AF2221" s="145"/>
      <c r="AG2221" s="419"/>
    </row>
    <row r="2222" spans="1:33" s="139" customFormat="1" ht="12.75" customHeight="1" x14ac:dyDescent="0.2">
      <c r="A2222" s="141"/>
      <c r="B2222" s="141"/>
      <c r="C2222" s="141"/>
      <c r="D2222" s="141"/>
      <c r="E2222" s="1014"/>
      <c r="F2222" s="1014"/>
      <c r="G2222" s="1027"/>
      <c r="H2222" s="1027"/>
      <c r="I2222" s="1174"/>
      <c r="J2222" s="1174"/>
      <c r="K2222" s="1174"/>
      <c r="L2222" s="1172"/>
      <c r="M2222" s="1172"/>
      <c r="N2222" s="1175"/>
      <c r="O2222" s="143"/>
      <c r="P2222" s="1196"/>
      <c r="Q2222" s="141"/>
      <c r="R2222" s="141"/>
      <c r="S2222" s="148"/>
      <c r="T2222" s="419"/>
      <c r="U2222" s="559"/>
      <c r="V2222" s="141"/>
      <c r="W2222" s="141"/>
      <c r="X2222" s="141"/>
      <c r="Y2222" s="144"/>
      <c r="Z2222" s="141"/>
      <c r="AA2222" s="141"/>
      <c r="AB2222" s="141"/>
      <c r="AC2222" s="141"/>
      <c r="AD2222" s="141"/>
      <c r="AE2222" s="141"/>
      <c r="AF2222" s="145"/>
      <c r="AG2222" s="419"/>
    </row>
    <row r="2223" spans="1:33" s="139" customFormat="1" ht="12.75" customHeight="1" x14ac:dyDescent="0.2">
      <c r="A2223" s="141"/>
      <c r="B2223" s="141"/>
      <c r="C2223" s="141"/>
      <c r="D2223" s="141"/>
      <c r="E2223" s="1014"/>
      <c r="F2223" s="1014"/>
      <c r="G2223" s="1027"/>
      <c r="H2223" s="1027"/>
      <c r="I2223" s="1174"/>
      <c r="J2223" s="1174"/>
      <c r="K2223" s="1174"/>
      <c r="L2223" s="1172"/>
      <c r="M2223" s="1172"/>
      <c r="N2223" s="1175"/>
      <c r="O2223" s="143"/>
      <c r="P2223" s="1196"/>
      <c r="Q2223" s="141"/>
      <c r="R2223" s="141"/>
      <c r="S2223" s="148"/>
      <c r="T2223" s="419"/>
      <c r="U2223" s="559"/>
      <c r="V2223" s="141"/>
      <c r="W2223" s="141"/>
      <c r="X2223" s="141"/>
      <c r="Y2223" s="144"/>
      <c r="Z2223" s="141"/>
      <c r="AA2223" s="141"/>
      <c r="AB2223" s="141"/>
      <c r="AC2223" s="141"/>
      <c r="AD2223" s="141"/>
      <c r="AE2223" s="141"/>
      <c r="AF2223" s="145"/>
      <c r="AG2223" s="419"/>
    </row>
    <row r="2224" spans="1:33" s="139" customFormat="1" ht="12.75" customHeight="1" x14ac:dyDescent="0.2">
      <c r="A2224" s="141"/>
      <c r="B2224" s="141"/>
      <c r="C2224" s="141"/>
      <c r="D2224" s="141"/>
      <c r="E2224" s="1014"/>
      <c r="F2224" s="1014"/>
      <c r="G2224" s="1027"/>
      <c r="H2224" s="1027"/>
      <c r="I2224" s="1174"/>
      <c r="J2224" s="1174"/>
      <c r="K2224" s="1174"/>
      <c r="L2224" s="1172"/>
      <c r="M2224" s="1172"/>
      <c r="N2224" s="1175"/>
      <c r="O2224" s="143"/>
      <c r="P2224" s="1196"/>
      <c r="Q2224" s="141"/>
      <c r="R2224" s="141"/>
      <c r="S2224" s="148"/>
      <c r="T2224" s="419"/>
      <c r="U2224" s="559"/>
      <c r="V2224" s="141"/>
      <c r="W2224" s="141"/>
      <c r="X2224" s="141"/>
      <c r="Y2224" s="144"/>
      <c r="Z2224" s="141"/>
      <c r="AA2224" s="141"/>
      <c r="AB2224" s="141"/>
      <c r="AC2224" s="141"/>
      <c r="AD2224" s="141"/>
      <c r="AE2224" s="141"/>
      <c r="AF2224" s="145"/>
      <c r="AG2224" s="419"/>
    </row>
    <row r="2225" spans="1:33" s="139" customFormat="1" ht="12.75" customHeight="1" x14ac:dyDescent="0.2">
      <c r="A2225" s="141"/>
      <c r="B2225" s="141"/>
      <c r="C2225" s="141"/>
      <c r="D2225" s="141"/>
      <c r="E2225" s="1014"/>
      <c r="F2225" s="1014"/>
      <c r="G2225" s="1027"/>
      <c r="H2225" s="1027"/>
      <c r="I2225" s="1174"/>
      <c r="J2225" s="1174"/>
      <c r="K2225" s="1174"/>
      <c r="L2225" s="1172"/>
      <c r="M2225" s="1172"/>
      <c r="N2225" s="1175"/>
      <c r="O2225" s="143"/>
      <c r="P2225" s="1196"/>
      <c r="Q2225" s="141"/>
      <c r="R2225" s="141"/>
      <c r="S2225" s="148"/>
      <c r="T2225" s="419"/>
      <c r="U2225" s="559"/>
      <c r="V2225" s="141"/>
      <c r="W2225" s="141"/>
      <c r="X2225" s="141"/>
      <c r="Y2225" s="144"/>
      <c r="Z2225" s="141"/>
      <c r="AA2225" s="141"/>
      <c r="AB2225" s="141"/>
      <c r="AC2225" s="141"/>
      <c r="AD2225" s="141"/>
      <c r="AE2225" s="141"/>
      <c r="AF2225" s="145"/>
      <c r="AG2225" s="419"/>
    </row>
    <row r="2226" spans="1:33" s="139" customFormat="1" ht="12.75" customHeight="1" x14ac:dyDescent="0.2">
      <c r="A2226" s="141"/>
      <c r="B2226" s="141"/>
      <c r="C2226" s="141"/>
      <c r="D2226" s="141"/>
      <c r="E2226" s="1014"/>
      <c r="F2226" s="1014"/>
      <c r="G2226" s="1027"/>
      <c r="H2226" s="1027"/>
      <c r="I2226" s="1174"/>
      <c r="J2226" s="1174"/>
      <c r="K2226" s="1174"/>
      <c r="L2226" s="1172"/>
      <c r="M2226" s="1172"/>
      <c r="N2226" s="1175"/>
      <c r="O2226" s="143"/>
      <c r="P2226" s="1196"/>
      <c r="Q2226" s="141"/>
      <c r="R2226" s="141"/>
      <c r="S2226" s="148"/>
      <c r="T2226" s="419"/>
      <c r="U2226" s="559"/>
      <c r="V2226" s="141"/>
      <c r="W2226" s="141"/>
      <c r="X2226" s="141"/>
      <c r="Y2226" s="144"/>
      <c r="Z2226" s="141"/>
      <c r="AA2226" s="141"/>
      <c r="AB2226" s="141"/>
      <c r="AC2226" s="141"/>
      <c r="AD2226" s="141"/>
      <c r="AE2226" s="141"/>
      <c r="AF2226" s="145"/>
      <c r="AG2226" s="419"/>
    </row>
    <row r="2227" spans="1:33" s="139" customFormat="1" ht="12.75" customHeight="1" x14ac:dyDescent="0.2">
      <c r="A2227" s="141"/>
      <c r="B2227" s="141"/>
      <c r="C2227" s="141"/>
      <c r="D2227" s="141"/>
      <c r="E2227" s="1014"/>
      <c r="F2227" s="1014"/>
      <c r="G2227" s="1027"/>
      <c r="H2227" s="1027"/>
      <c r="I2227" s="1174"/>
      <c r="J2227" s="1174"/>
      <c r="K2227" s="1174"/>
      <c r="L2227" s="1172"/>
      <c r="M2227" s="1172"/>
      <c r="N2227" s="1175"/>
      <c r="O2227" s="143"/>
      <c r="P2227" s="1196"/>
      <c r="Q2227" s="141"/>
      <c r="R2227" s="141"/>
      <c r="S2227" s="148"/>
      <c r="T2227" s="419"/>
      <c r="U2227" s="559"/>
      <c r="V2227" s="141"/>
      <c r="W2227" s="141"/>
      <c r="X2227" s="141"/>
      <c r="Y2227" s="144"/>
      <c r="Z2227" s="141"/>
      <c r="AA2227" s="141"/>
      <c r="AB2227" s="141"/>
      <c r="AC2227" s="141"/>
      <c r="AD2227" s="141"/>
      <c r="AE2227" s="141"/>
      <c r="AF2227" s="145"/>
      <c r="AG2227" s="419"/>
    </row>
    <row r="2228" spans="1:33" s="139" customFormat="1" ht="12.75" customHeight="1" x14ac:dyDescent="0.2">
      <c r="A2228" s="141"/>
      <c r="B2228" s="141"/>
      <c r="C2228" s="141"/>
      <c r="D2228" s="141"/>
      <c r="E2228" s="1014"/>
      <c r="F2228" s="1014"/>
      <c r="G2228" s="1027"/>
      <c r="H2228" s="1027"/>
      <c r="I2228" s="1174"/>
      <c r="J2228" s="1174"/>
      <c r="K2228" s="1174"/>
      <c r="L2228" s="1172"/>
      <c r="M2228" s="1172"/>
      <c r="N2228" s="1175"/>
      <c r="O2228" s="143"/>
      <c r="P2228" s="1196"/>
      <c r="Q2228" s="141"/>
      <c r="R2228" s="141"/>
      <c r="S2228" s="148"/>
      <c r="T2228" s="419"/>
      <c r="U2228" s="559"/>
      <c r="V2228" s="141"/>
      <c r="W2228" s="141"/>
      <c r="X2228" s="141"/>
      <c r="Y2228" s="144"/>
      <c r="Z2228" s="141"/>
      <c r="AA2228" s="141"/>
      <c r="AB2228" s="141"/>
      <c r="AC2228" s="141"/>
      <c r="AD2228" s="141"/>
      <c r="AE2228" s="141"/>
      <c r="AF2228" s="145"/>
      <c r="AG2228" s="419"/>
    </row>
    <row r="2229" spans="1:33" s="139" customFormat="1" ht="12.75" customHeight="1" x14ac:dyDescent="0.2">
      <c r="A2229" s="141"/>
      <c r="B2229" s="141"/>
      <c r="C2229" s="141"/>
      <c r="D2229" s="141"/>
      <c r="E2229" s="1014"/>
      <c r="F2229" s="1014"/>
      <c r="G2229" s="1027"/>
      <c r="H2229" s="1027"/>
      <c r="I2229" s="1174"/>
      <c r="J2229" s="1174"/>
      <c r="K2229" s="1174"/>
      <c r="L2229" s="1172"/>
      <c r="M2229" s="1172"/>
      <c r="N2229" s="1175"/>
      <c r="O2229" s="143"/>
      <c r="P2229" s="1196"/>
      <c r="Q2229" s="141"/>
      <c r="R2229" s="141"/>
      <c r="S2229" s="148"/>
      <c r="T2229" s="419"/>
      <c r="U2229" s="559"/>
      <c r="V2229" s="141"/>
      <c r="W2229" s="141"/>
      <c r="X2229" s="141"/>
      <c r="Y2229" s="144"/>
      <c r="Z2229" s="141"/>
      <c r="AA2229" s="141"/>
      <c r="AB2229" s="141"/>
      <c r="AC2229" s="141"/>
      <c r="AD2229" s="141"/>
      <c r="AE2229" s="141"/>
      <c r="AF2229" s="145"/>
      <c r="AG2229" s="419"/>
    </row>
    <row r="2230" spans="1:33" s="139" customFormat="1" ht="12.75" customHeight="1" x14ac:dyDescent="0.2">
      <c r="A2230" s="141"/>
      <c r="B2230" s="141"/>
      <c r="C2230" s="141"/>
      <c r="D2230" s="141"/>
      <c r="E2230" s="1014"/>
      <c r="F2230" s="1014"/>
      <c r="G2230" s="1027"/>
      <c r="H2230" s="1027"/>
      <c r="I2230" s="1174"/>
      <c r="J2230" s="1174"/>
      <c r="K2230" s="1174"/>
      <c r="L2230" s="1172"/>
      <c r="M2230" s="1172"/>
      <c r="N2230" s="1175"/>
      <c r="O2230" s="143"/>
      <c r="P2230" s="1196"/>
      <c r="Q2230" s="141"/>
      <c r="R2230" s="141"/>
      <c r="S2230" s="148"/>
      <c r="T2230" s="419"/>
      <c r="U2230" s="559"/>
      <c r="V2230" s="141"/>
      <c r="W2230" s="141"/>
      <c r="X2230" s="141"/>
      <c r="Y2230" s="144"/>
      <c r="Z2230" s="141"/>
      <c r="AA2230" s="141"/>
      <c r="AB2230" s="141"/>
      <c r="AC2230" s="141"/>
      <c r="AD2230" s="141"/>
      <c r="AE2230" s="141"/>
      <c r="AF2230" s="145"/>
      <c r="AG2230" s="419"/>
    </row>
    <row r="2231" spans="1:33" s="139" customFormat="1" ht="12.75" customHeight="1" x14ac:dyDescent="0.2">
      <c r="A2231" s="141"/>
      <c r="B2231" s="141"/>
      <c r="C2231" s="141"/>
      <c r="D2231" s="141"/>
      <c r="E2231" s="1014"/>
      <c r="F2231" s="1014"/>
      <c r="G2231" s="1027"/>
      <c r="H2231" s="1027"/>
      <c r="I2231" s="1174"/>
      <c r="J2231" s="1174"/>
      <c r="K2231" s="1174"/>
      <c r="L2231" s="1172"/>
      <c r="M2231" s="1172"/>
      <c r="N2231" s="1175"/>
      <c r="O2231" s="143"/>
      <c r="P2231" s="1196"/>
      <c r="Q2231" s="141"/>
      <c r="R2231" s="141"/>
      <c r="S2231" s="148"/>
      <c r="T2231" s="419"/>
      <c r="U2231" s="559"/>
      <c r="V2231" s="141"/>
      <c r="W2231" s="141"/>
      <c r="X2231" s="141"/>
      <c r="Y2231" s="144"/>
      <c r="Z2231" s="141"/>
      <c r="AA2231" s="141"/>
      <c r="AB2231" s="141"/>
      <c r="AC2231" s="141"/>
      <c r="AD2231" s="141"/>
      <c r="AE2231" s="141"/>
      <c r="AF2231" s="145"/>
      <c r="AG2231" s="419"/>
    </row>
    <row r="2232" spans="1:33" s="139" customFormat="1" ht="12.75" customHeight="1" x14ac:dyDescent="0.2">
      <c r="A2232" s="141"/>
      <c r="B2232" s="141"/>
      <c r="C2232" s="141"/>
      <c r="D2232" s="141"/>
      <c r="E2232" s="1014"/>
      <c r="F2232" s="1014"/>
      <c r="G2232" s="1027"/>
      <c r="H2232" s="1027"/>
      <c r="I2232" s="1174"/>
      <c r="J2232" s="1174"/>
      <c r="K2232" s="1174"/>
      <c r="L2232" s="1172"/>
      <c r="M2232" s="1172"/>
      <c r="N2232" s="1175"/>
      <c r="O2232" s="143"/>
      <c r="P2232" s="1196"/>
      <c r="Q2232" s="141"/>
      <c r="R2232" s="141"/>
      <c r="S2232" s="148"/>
      <c r="T2232" s="419"/>
      <c r="U2232" s="559"/>
      <c r="V2232" s="141"/>
      <c r="W2232" s="141"/>
      <c r="X2232" s="141"/>
      <c r="Y2232" s="144"/>
      <c r="Z2232" s="141"/>
      <c r="AA2232" s="141"/>
      <c r="AB2232" s="141"/>
      <c r="AC2232" s="141"/>
      <c r="AD2232" s="141"/>
      <c r="AE2232" s="141"/>
      <c r="AF2232" s="145"/>
      <c r="AG2232" s="419"/>
    </row>
    <row r="2233" spans="1:33" s="139" customFormat="1" ht="12.75" customHeight="1" x14ac:dyDescent="0.2">
      <c r="A2233" s="141"/>
      <c r="B2233" s="141"/>
      <c r="C2233" s="141"/>
      <c r="D2233" s="141"/>
      <c r="E2233" s="1014"/>
      <c r="F2233" s="1014"/>
      <c r="G2233" s="1027"/>
      <c r="H2233" s="1027"/>
      <c r="I2233" s="1174"/>
      <c r="J2233" s="1174"/>
      <c r="K2233" s="1174"/>
      <c r="L2233" s="1172"/>
      <c r="M2233" s="1172"/>
      <c r="N2233" s="1175"/>
      <c r="O2233" s="143"/>
      <c r="P2233" s="1196"/>
      <c r="Q2233" s="141"/>
      <c r="R2233" s="141"/>
      <c r="S2233" s="148"/>
      <c r="T2233" s="419"/>
      <c r="U2233" s="559"/>
      <c r="V2233" s="141"/>
      <c r="W2233" s="141"/>
      <c r="X2233" s="141"/>
      <c r="Y2233" s="144"/>
      <c r="Z2233" s="141"/>
      <c r="AA2233" s="141"/>
      <c r="AB2233" s="141"/>
      <c r="AC2233" s="141"/>
      <c r="AD2233" s="141"/>
      <c r="AE2233" s="141"/>
      <c r="AF2233" s="145"/>
      <c r="AG2233" s="419"/>
    </row>
    <row r="2234" spans="1:33" s="139" customFormat="1" ht="12.75" customHeight="1" x14ac:dyDescent="0.2">
      <c r="A2234" s="141"/>
      <c r="B2234" s="141"/>
      <c r="C2234" s="141"/>
      <c r="D2234" s="141"/>
      <c r="E2234" s="1014"/>
      <c r="F2234" s="1014"/>
      <c r="G2234" s="1027"/>
      <c r="H2234" s="1027"/>
      <c r="I2234" s="1174"/>
      <c r="J2234" s="1174"/>
      <c r="K2234" s="1174"/>
      <c r="L2234" s="1172"/>
      <c r="M2234" s="1172"/>
      <c r="N2234" s="1175"/>
      <c r="O2234" s="143"/>
      <c r="P2234" s="1196"/>
      <c r="Q2234" s="141"/>
      <c r="R2234" s="141"/>
      <c r="S2234" s="148"/>
      <c r="T2234" s="419"/>
      <c r="U2234" s="559"/>
      <c r="V2234" s="141"/>
      <c r="W2234" s="141"/>
      <c r="X2234" s="141"/>
      <c r="Y2234" s="144"/>
      <c r="Z2234" s="141"/>
      <c r="AA2234" s="141"/>
      <c r="AB2234" s="141"/>
      <c r="AC2234" s="141"/>
      <c r="AD2234" s="141"/>
      <c r="AE2234" s="141"/>
      <c r="AF2234" s="145"/>
      <c r="AG2234" s="419"/>
    </row>
    <row r="2235" spans="1:33" s="139" customFormat="1" ht="12.75" customHeight="1" x14ac:dyDescent="0.2">
      <c r="A2235" s="141"/>
      <c r="B2235" s="141"/>
      <c r="C2235" s="141"/>
      <c r="D2235" s="141"/>
      <c r="E2235" s="1014"/>
      <c r="F2235" s="1014"/>
      <c r="G2235" s="1027"/>
      <c r="H2235" s="1027"/>
      <c r="I2235" s="1174"/>
      <c r="J2235" s="1174"/>
      <c r="K2235" s="1174"/>
      <c r="L2235" s="1172"/>
      <c r="M2235" s="1172"/>
      <c r="N2235" s="1175"/>
      <c r="O2235" s="143"/>
      <c r="P2235" s="1196"/>
      <c r="Q2235" s="141"/>
      <c r="R2235" s="141"/>
      <c r="S2235" s="148"/>
      <c r="T2235" s="419"/>
      <c r="U2235" s="559"/>
      <c r="V2235" s="141"/>
      <c r="W2235" s="141"/>
      <c r="X2235" s="141"/>
      <c r="Y2235" s="144"/>
      <c r="Z2235" s="141"/>
      <c r="AA2235" s="141"/>
      <c r="AB2235" s="141"/>
      <c r="AC2235" s="141"/>
      <c r="AD2235" s="141"/>
      <c r="AE2235" s="141"/>
      <c r="AF2235" s="145"/>
      <c r="AG2235" s="419"/>
    </row>
    <row r="2236" spans="1:33" s="139" customFormat="1" ht="12.75" customHeight="1" x14ac:dyDescent="0.2">
      <c r="A2236" s="141"/>
      <c r="B2236" s="141"/>
      <c r="C2236" s="141"/>
      <c r="D2236" s="141"/>
      <c r="E2236" s="1014"/>
      <c r="F2236" s="1014"/>
      <c r="G2236" s="1027"/>
      <c r="H2236" s="1027"/>
      <c r="I2236" s="1174"/>
      <c r="J2236" s="1174"/>
      <c r="K2236" s="1174"/>
      <c r="L2236" s="1172"/>
      <c r="M2236" s="1172"/>
      <c r="N2236" s="1175"/>
      <c r="O2236" s="143"/>
      <c r="P2236" s="1196"/>
      <c r="Q2236" s="141"/>
      <c r="R2236" s="141"/>
      <c r="S2236" s="148"/>
      <c r="T2236" s="419"/>
      <c r="U2236" s="559"/>
      <c r="V2236" s="141"/>
      <c r="W2236" s="141"/>
      <c r="X2236" s="141"/>
      <c r="Y2236" s="144"/>
      <c r="Z2236" s="141"/>
      <c r="AA2236" s="141"/>
      <c r="AB2236" s="141"/>
      <c r="AC2236" s="141"/>
      <c r="AD2236" s="141"/>
      <c r="AE2236" s="141"/>
      <c r="AF2236" s="145"/>
      <c r="AG2236" s="419"/>
    </row>
    <row r="2237" spans="1:33" s="139" customFormat="1" ht="12.75" customHeight="1" x14ac:dyDescent="0.2">
      <c r="A2237" s="141"/>
      <c r="B2237" s="141"/>
      <c r="C2237" s="141"/>
      <c r="D2237" s="141"/>
      <c r="E2237" s="1014"/>
      <c r="F2237" s="1014"/>
      <c r="G2237" s="1027"/>
      <c r="H2237" s="1027"/>
      <c r="I2237" s="1174"/>
      <c r="J2237" s="1174"/>
      <c r="K2237" s="1174"/>
      <c r="L2237" s="1172"/>
      <c r="M2237" s="1172"/>
      <c r="N2237" s="1175"/>
      <c r="O2237" s="143"/>
      <c r="P2237" s="1196"/>
      <c r="Q2237" s="141"/>
      <c r="R2237" s="141"/>
      <c r="S2237" s="148"/>
      <c r="T2237" s="419"/>
      <c r="U2237" s="559"/>
      <c r="V2237" s="141"/>
      <c r="W2237" s="141"/>
      <c r="X2237" s="141"/>
      <c r="Y2237" s="144"/>
      <c r="Z2237" s="141"/>
      <c r="AA2237" s="141"/>
      <c r="AB2237" s="141"/>
      <c r="AC2237" s="141"/>
      <c r="AD2237" s="141"/>
      <c r="AE2237" s="141"/>
      <c r="AF2237" s="145"/>
      <c r="AG2237" s="419"/>
    </row>
    <row r="2238" spans="1:33" s="139" customFormat="1" ht="12.75" customHeight="1" x14ac:dyDescent="0.2">
      <c r="A2238" s="141"/>
      <c r="B2238" s="141"/>
      <c r="C2238" s="141"/>
      <c r="D2238" s="141"/>
      <c r="E2238" s="1014"/>
      <c r="F2238" s="1014"/>
      <c r="G2238" s="1027"/>
      <c r="H2238" s="1027"/>
      <c r="I2238" s="1174"/>
      <c r="J2238" s="1174"/>
      <c r="K2238" s="1174"/>
      <c r="L2238" s="1172"/>
      <c r="M2238" s="1172"/>
      <c r="N2238" s="1175"/>
      <c r="O2238" s="143"/>
      <c r="P2238" s="1196"/>
      <c r="Q2238" s="141"/>
      <c r="R2238" s="141"/>
      <c r="S2238" s="148"/>
      <c r="T2238" s="419"/>
      <c r="U2238" s="559"/>
      <c r="V2238" s="141"/>
      <c r="W2238" s="141"/>
      <c r="X2238" s="141"/>
      <c r="Y2238" s="144"/>
      <c r="Z2238" s="141"/>
      <c r="AA2238" s="141"/>
      <c r="AB2238" s="141"/>
      <c r="AC2238" s="141"/>
      <c r="AD2238" s="141"/>
      <c r="AE2238" s="141"/>
      <c r="AF2238" s="145"/>
      <c r="AG2238" s="419"/>
    </row>
    <row r="2239" spans="1:33" s="139" customFormat="1" ht="12.75" customHeight="1" x14ac:dyDescent="0.2">
      <c r="A2239" s="141"/>
      <c r="B2239" s="141"/>
      <c r="C2239" s="141"/>
      <c r="D2239" s="141"/>
      <c r="E2239" s="1014"/>
      <c r="F2239" s="1014"/>
      <c r="G2239" s="1027"/>
      <c r="H2239" s="1027"/>
      <c r="I2239" s="1174"/>
      <c r="J2239" s="1174"/>
      <c r="K2239" s="1174"/>
      <c r="L2239" s="1172"/>
      <c r="M2239" s="1172"/>
      <c r="N2239" s="1175"/>
      <c r="O2239" s="143"/>
      <c r="P2239" s="1196"/>
      <c r="Q2239" s="141"/>
      <c r="R2239" s="141"/>
      <c r="S2239" s="148"/>
      <c r="T2239" s="419"/>
      <c r="U2239" s="559"/>
      <c r="V2239" s="141"/>
      <c r="W2239" s="141"/>
      <c r="X2239" s="141"/>
      <c r="Y2239" s="144"/>
      <c r="Z2239" s="141"/>
      <c r="AA2239" s="141"/>
      <c r="AB2239" s="141"/>
      <c r="AC2239" s="141"/>
      <c r="AD2239" s="141"/>
      <c r="AE2239" s="141"/>
      <c r="AF2239" s="145"/>
      <c r="AG2239" s="419"/>
    </row>
    <row r="2240" spans="1:33" s="139" customFormat="1" ht="12.75" customHeight="1" x14ac:dyDescent="0.2">
      <c r="A2240" s="141"/>
      <c r="B2240" s="141"/>
      <c r="C2240" s="141"/>
      <c r="D2240" s="141"/>
      <c r="E2240" s="1014"/>
      <c r="F2240" s="1014"/>
      <c r="G2240" s="1027"/>
      <c r="H2240" s="1027"/>
      <c r="I2240" s="1174"/>
      <c r="J2240" s="1174"/>
      <c r="K2240" s="1174"/>
      <c r="L2240" s="1172"/>
      <c r="M2240" s="1172"/>
      <c r="N2240" s="1175"/>
      <c r="O2240" s="143"/>
      <c r="P2240" s="1196"/>
      <c r="Q2240" s="141"/>
      <c r="R2240" s="141"/>
      <c r="S2240" s="148"/>
      <c r="T2240" s="419"/>
      <c r="U2240" s="559"/>
      <c r="V2240" s="141"/>
      <c r="W2240" s="141"/>
      <c r="X2240" s="141"/>
      <c r="Y2240" s="144"/>
      <c r="Z2240" s="141"/>
      <c r="AA2240" s="141"/>
      <c r="AB2240" s="141"/>
      <c r="AC2240" s="141"/>
      <c r="AD2240" s="141"/>
      <c r="AE2240" s="141"/>
      <c r="AF2240" s="145"/>
      <c r="AG2240" s="419"/>
    </row>
    <row r="2241" spans="1:33" s="139" customFormat="1" ht="12.75" customHeight="1" x14ac:dyDescent="0.2">
      <c r="A2241" s="141"/>
      <c r="B2241" s="141"/>
      <c r="C2241" s="141"/>
      <c r="D2241" s="141"/>
      <c r="E2241" s="1014"/>
      <c r="F2241" s="1014"/>
      <c r="G2241" s="1027"/>
      <c r="H2241" s="1027"/>
      <c r="I2241" s="1174"/>
      <c r="J2241" s="1174"/>
      <c r="K2241" s="1174"/>
      <c r="L2241" s="1172"/>
      <c r="M2241" s="1172"/>
      <c r="N2241" s="1175"/>
      <c r="O2241" s="143"/>
      <c r="P2241" s="1196"/>
      <c r="Q2241" s="141"/>
      <c r="R2241" s="141"/>
      <c r="S2241" s="148"/>
      <c r="T2241" s="419"/>
      <c r="U2241" s="559"/>
      <c r="V2241" s="141"/>
      <c r="W2241" s="141"/>
      <c r="X2241" s="141"/>
      <c r="Y2241" s="144"/>
      <c r="Z2241" s="141"/>
      <c r="AA2241" s="141"/>
      <c r="AB2241" s="141"/>
      <c r="AC2241" s="141"/>
      <c r="AD2241" s="141"/>
      <c r="AE2241" s="141"/>
      <c r="AF2241" s="145"/>
      <c r="AG2241" s="419"/>
    </row>
    <row r="2242" spans="1:33" s="139" customFormat="1" ht="12.75" customHeight="1" x14ac:dyDescent="0.2">
      <c r="A2242" s="141"/>
      <c r="B2242" s="141"/>
      <c r="C2242" s="141"/>
      <c r="D2242" s="141"/>
      <c r="E2242" s="1014"/>
      <c r="F2242" s="1014"/>
      <c r="G2242" s="1027"/>
      <c r="H2242" s="1027"/>
      <c r="I2242" s="1174"/>
      <c r="J2242" s="1174"/>
      <c r="K2242" s="1174"/>
      <c r="L2242" s="1172"/>
      <c r="M2242" s="1172"/>
      <c r="N2242" s="1175"/>
      <c r="O2242" s="143"/>
      <c r="P2242" s="1196"/>
      <c r="Q2242" s="141"/>
      <c r="R2242" s="141"/>
      <c r="S2242" s="148"/>
      <c r="T2242" s="419"/>
      <c r="U2242" s="559"/>
      <c r="V2242" s="141"/>
      <c r="W2242" s="141"/>
      <c r="X2242" s="141"/>
      <c r="Y2242" s="144"/>
      <c r="Z2242" s="141"/>
      <c r="AA2242" s="141"/>
      <c r="AB2242" s="141"/>
      <c r="AC2242" s="141"/>
      <c r="AD2242" s="141"/>
      <c r="AE2242" s="141"/>
      <c r="AF2242" s="145"/>
      <c r="AG2242" s="419"/>
    </row>
    <row r="2243" spans="1:33" s="139" customFormat="1" ht="12.75" customHeight="1" x14ac:dyDescent="0.2">
      <c r="A2243" s="141"/>
      <c r="B2243" s="141"/>
      <c r="C2243" s="141"/>
      <c r="D2243" s="141"/>
      <c r="E2243" s="1014"/>
      <c r="F2243" s="1014"/>
      <c r="G2243" s="1027"/>
      <c r="H2243" s="1027"/>
      <c r="I2243" s="1174"/>
      <c r="J2243" s="1174"/>
      <c r="K2243" s="1174"/>
      <c r="L2243" s="1172"/>
      <c r="M2243" s="1172"/>
      <c r="N2243" s="1175"/>
      <c r="O2243" s="143"/>
      <c r="P2243" s="1196"/>
      <c r="Q2243" s="141"/>
      <c r="R2243" s="141"/>
      <c r="S2243" s="148"/>
      <c r="T2243" s="419"/>
      <c r="U2243" s="559"/>
      <c r="V2243" s="141"/>
      <c r="W2243" s="141"/>
      <c r="X2243" s="141"/>
      <c r="Y2243" s="144"/>
      <c r="Z2243" s="141"/>
      <c r="AA2243" s="141"/>
      <c r="AB2243" s="141"/>
      <c r="AC2243" s="141"/>
      <c r="AD2243" s="141"/>
      <c r="AE2243" s="141"/>
      <c r="AF2243" s="145"/>
      <c r="AG2243" s="419"/>
    </row>
    <row r="2244" spans="1:33" s="139" customFormat="1" ht="12.75" customHeight="1" x14ac:dyDescent="0.2">
      <c r="A2244" s="141"/>
      <c r="B2244" s="141"/>
      <c r="C2244" s="141"/>
      <c r="D2244" s="141"/>
      <c r="E2244" s="1014"/>
      <c r="F2244" s="1014"/>
      <c r="G2244" s="1027"/>
      <c r="H2244" s="1027"/>
      <c r="I2244" s="1174"/>
      <c r="J2244" s="1174"/>
      <c r="K2244" s="1174"/>
      <c r="L2244" s="1172"/>
      <c r="M2244" s="1172"/>
      <c r="N2244" s="1175"/>
      <c r="O2244" s="143"/>
      <c r="P2244" s="1196"/>
      <c r="Q2244" s="141"/>
      <c r="R2244" s="141"/>
      <c r="S2244" s="148"/>
      <c r="T2244" s="419"/>
      <c r="U2244" s="559"/>
      <c r="V2244" s="141"/>
      <c r="W2244" s="141"/>
      <c r="X2244" s="141"/>
      <c r="Y2244" s="144"/>
      <c r="Z2244" s="141"/>
      <c r="AA2244" s="141"/>
      <c r="AB2244" s="141"/>
      <c r="AC2244" s="141"/>
      <c r="AD2244" s="141"/>
      <c r="AE2244" s="141"/>
      <c r="AF2244" s="145"/>
      <c r="AG2244" s="419"/>
    </row>
    <row r="2245" spans="1:33" s="139" customFormat="1" ht="12.75" customHeight="1" x14ac:dyDescent="0.2">
      <c r="A2245" s="141"/>
      <c r="B2245" s="141"/>
      <c r="C2245" s="141"/>
      <c r="D2245" s="141"/>
      <c r="E2245" s="1014"/>
      <c r="F2245" s="1014"/>
      <c r="G2245" s="1027"/>
      <c r="H2245" s="1027"/>
      <c r="I2245" s="1174"/>
      <c r="J2245" s="1174"/>
      <c r="K2245" s="1174"/>
      <c r="L2245" s="1172"/>
      <c r="M2245" s="1172"/>
      <c r="N2245" s="1175"/>
      <c r="O2245" s="143"/>
      <c r="P2245" s="1196"/>
      <c r="Q2245" s="141"/>
      <c r="R2245" s="141"/>
      <c r="S2245" s="148"/>
      <c r="T2245" s="419"/>
      <c r="U2245" s="559"/>
      <c r="V2245" s="141"/>
      <c r="W2245" s="141"/>
      <c r="X2245" s="141"/>
      <c r="Y2245" s="144"/>
      <c r="Z2245" s="141"/>
      <c r="AA2245" s="141"/>
      <c r="AB2245" s="141"/>
      <c r="AC2245" s="141"/>
      <c r="AD2245" s="141"/>
      <c r="AE2245" s="141"/>
      <c r="AF2245" s="145"/>
      <c r="AG2245" s="419"/>
    </row>
    <row r="2246" spans="1:33" s="139" customFormat="1" ht="12.75" customHeight="1" x14ac:dyDescent="0.2">
      <c r="A2246" s="141"/>
      <c r="B2246" s="141"/>
      <c r="C2246" s="141"/>
      <c r="D2246" s="141"/>
      <c r="E2246" s="1014"/>
      <c r="F2246" s="1014"/>
      <c r="G2246" s="1027"/>
      <c r="H2246" s="1027"/>
      <c r="I2246" s="1174"/>
      <c r="J2246" s="1174"/>
      <c r="K2246" s="1174"/>
      <c r="L2246" s="1172"/>
      <c r="M2246" s="1172"/>
      <c r="N2246" s="1175"/>
      <c r="O2246" s="143"/>
      <c r="P2246" s="1196"/>
      <c r="Q2246" s="141"/>
      <c r="R2246" s="141"/>
      <c r="S2246" s="148"/>
      <c r="T2246" s="419"/>
      <c r="U2246" s="559"/>
      <c r="V2246" s="141"/>
      <c r="W2246" s="141"/>
      <c r="X2246" s="141"/>
      <c r="Y2246" s="144"/>
      <c r="Z2246" s="141"/>
      <c r="AA2246" s="141"/>
      <c r="AB2246" s="141"/>
      <c r="AC2246" s="141"/>
      <c r="AD2246" s="141"/>
      <c r="AE2246" s="141"/>
      <c r="AF2246" s="145"/>
      <c r="AG2246" s="419"/>
    </row>
    <row r="2247" spans="1:33" s="139" customFormat="1" ht="12.75" customHeight="1" x14ac:dyDescent="0.2">
      <c r="A2247" s="141"/>
      <c r="B2247" s="141"/>
      <c r="C2247" s="141"/>
      <c r="D2247" s="141"/>
      <c r="E2247" s="1014"/>
      <c r="F2247" s="1014"/>
      <c r="G2247" s="1027"/>
      <c r="H2247" s="1027"/>
      <c r="I2247" s="1174"/>
      <c r="J2247" s="1174"/>
      <c r="K2247" s="1174"/>
      <c r="L2247" s="1172"/>
      <c r="M2247" s="1172"/>
      <c r="N2247" s="1175"/>
      <c r="O2247" s="143"/>
      <c r="P2247" s="1196"/>
      <c r="Q2247" s="141"/>
      <c r="R2247" s="141"/>
      <c r="S2247" s="148"/>
      <c r="T2247" s="419"/>
      <c r="U2247" s="559"/>
      <c r="V2247" s="141"/>
      <c r="W2247" s="141"/>
      <c r="X2247" s="141"/>
      <c r="Y2247" s="144"/>
      <c r="Z2247" s="141"/>
      <c r="AA2247" s="141"/>
      <c r="AB2247" s="141"/>
      <c r="AC2247" s="141"/>
      <c r="AD2247" s="141"/>
      <c r="AE2247" s="141"/>
      <c r="AF2247" s="145"/>
      <c r="AG2247" s="419"/>
    </row>
    <row r="2248" spans="1:33" s="139" customFormat="1" ht="12.75" customHeight="1" x14ac:dyDescent="0.2">
      <c r="A2248" s="141"/>
      <c r="B2248" s="141"/>
      <c r="C2248" s="141"/>
      <c r="D2248" s="141"/>
      <c r="E2248" s="1014"/>
      <c r="F2248" s="1014"/>
      <c r="G2248" s="1027"/>
      <c r="H2248" s="1027"/>
      <c r="I2248" s="1174"/>
      <c r="J2248" s="1174"/>
      <c r="K2248" s="1174"/>
      <c r="L2248" s="1172"/>
      <c r="M2248" s="1172"/>
      <c r="N2248" s="1175"/>
      <c r="O2248" s="143"/>
      <c r="P2248" s="1196"/>
      <c r="Q2248" s="141"/>
      <c r="R2248" s="141"/>
      <c r="S2248" s="148"/>
      <c r="T2248" s="419"/>
      <c r="U2248" s="559"/>
      <c r="V2248" s="141"/>
      <c r="W2248" s="141"/>
      <c r="X2248" s="141"/>
      <c r="Y2248" s="144"/>
      <c r="Z2248" s="141"/>
      <c r="AA2248" s="141"/>
      <c r="AB2248" s="141"/>
      <c r="AC2248" s="141"/>
      <c r="AD2248" s="141"/>
      <c r="AE2248" s="141"/>
      <c r="AF2248" s="145"/>
      <c r="AG2248" s="419"/>
    </row>
    <row r="2249" spans="1:33" s="139" customFormat="1" ht="12.75" customHeight="1" x14ac:dyDescent="0.2">
      <c r="A2249" s="141"/>
      <c r="B2249" s="141"/>
      <c r="C2249" s="141"/>
      <c r="D2249" s="141"/>
      <c r="E2249" s="1014"/>
      <c r="F2249" s="1014"/>
      <c r="G2249" s="1027"/>
      <c r="H2249" s="1027"/>
      <c r="I2249" s="1174"/>
      <c r="J2249" s="1174"/>
      <c r="K2249" s="1174"/>
      <c r="L2249" s="1172"/>
      <c r="M2249" s="1172"/>
      <c r="N2249" s="1175"/>
      <c r="O2249" s="143"/>
      <c r="P2249" s="1196"/>
      <c r="Q2249" s="141"/>
      <c r="R2249" s="141"/>
      <c r="S2249" s="148"/>
      <c r="T2249" s="419"/>
      <c r="U2249" s="559"/>
      <c r="V2249" s="141"/>
      <c r="W2249" s="141"/>
      <c r="X2249" s="141"/>
      <c r="Y2249" s="144"/>
      <c r="Z2249" s="141"/>
      <c r="AA2249" s="141"/>
      <c r="AB2249" s="141"/>
      <c r="AC2249" s="141"/>
      <c r="AD2249" s="141"/>
      <c r="AE2249" s="141"/>
      <c r="AF2249" s="145"/>
      <c r="AG2249" s="419"/>
    </row>
    <row r="2250" spans="1:33" s="139" customFormat="1" ht="12.75" customHeight="1" x14ac:dyDescent="0.2">
      <c r="A2250" s="141"/>
      <c r="B2250" s="141"/>
      <c r="C2250" s="141"/>
      <c r="D2250" s="141"/>
      <c r="E2250" s="1014"/>
      <c r="F2250" s="1014"/>
      <c r="G2250" s="1027"/>
      <c r="H2250" s="1027"/>
      <c r="I2250" s="1174"/>
      <c r="J2250" s="1174"/>
      <c r="K2250" s="1174"/>
      <c r="L2250" s="1172"/>
      <c r="M2250" s="1172"/>
      <c r="N2250" s="1175"/>
      <c r="O2250" s="143"/>
      <c r="P2250" s="1196"/>
      <c r="Q2250" s="141"/>
      <c r="R2250" s="141"/>
      <c r="S2250" s="148"/>
      <c r="T2250" s="419"/>
      <c r="U2250" s="559"/>
      <c r="V2250" s="141"/>
      <c r="W2250" s="141"/>
      <c r="X2250" s="141"/>
      <c r="Y2250" s="144"/>
      <c r="Z2250" s="141"/>
      <c r="AA2250" s="141"/>
      <c r="AB2250" s="141"/>
      <c r="AC2250" s="141"/>
      <c r="AD2250" s="141"/>
      <c r="AE2250" s="141"/>
      <c r="AF2250" s="145"/>
      <c r="AG2250" s="419"/>
    </row>
    <row r="2251" spans="1:33" s="139" customFormat="1" ht="12.75" customHeight="1" x14ac:dyDescent="0.2">
      <c r="A2251" s="141"/>
      <c r="B2251" s="141"/>
      <c r="C2251" s="141"/>
      <c r="D2251" s="141"/>
      <c r="E2251" s="1014"/>
      <c r="F2251" s="1014"/>
      <c r="G2251" s="1027"/>
      <c r="H2251" s="1027"/>
      <c r="I2251" s="1174"/>
      <c r="J2251" s="1174"/>
      <c r="K2251" s="1174"/>
      <c r="L2251" s="1172"/>
      <c r="M2251" s="1172"/>
      <c r="N2251" s="1175"/>
      <c r="O2251" s="143"/>
      <c r="P2251" s="1196"/>
      <c r="Q2251" s="141"/>
      <c r="R2251" s="141"/>
      <c r="S2251" s="148"/>
      <c r="T2251" s="419"/>
      <c r="U2251" s="559"/>
      <c r="V2251" s="141"/>
      <c r="W2251" s="141"/>
      <c r="X2251" s="141"/>
      <c r="Y2251" s="144"/>
      <c r="Z2251" s="141"/>
      <c r="AA2251" s="141"/>
      <c r="AB2251" s="141"/>
      <c r="AC2251" s="141"/>
      <c r="AD2251" s="141"/>
      <c r="AE2251" s="141"/>
      <c r="AF2251" s="145"/>
      <c r="AG2251" s="419"/>
    </row>
    <row r="2252" spans="1:33" s="139" customFormat="1" ht="12.75" customHeight="1" x14ac:dyDescent="0.2">
      <c r="A2252" s="141"/>
      <c r="B2252" s="141"/>
      <c r="C2252" s="141"/>
      <c r="D2252" s="141"/>
      <c r="E2252" s="1014"/>
      <c r="F2252" s="1014"/>
      <c r="G2252" s="1027"/>
      <c r="H2252" s="1027"/>
      <c r="I2252" s="1174"/>
      <c r="J2252" s="1174"/>
      <c r="K2252" s="1174"/>
      <c r="L2252" s="1172"/>
      <c r="M2252" s="1172"/>
      <c r="N2252" s="1175"/>
      <c r="O2252" s="143"/>
      <c r="P2252" s="1196"/>
      <c r="Q2252" s="141"/>
      <c r="R2252" s="141"/>
      <c r="S2252" s="148"/>
      <c r="T2252" s="419"/>
      <c r="U2252" s="559"/>
      <c r="V2252" s="141"/>
      <c r="W2252" s="141"/>
      <c r="X2252" s="141"/>
      <c r="Y2252" s="144"/>
      <c r="Z2252" s="141"/>
      <c r="AA2252" s="141"/>
      <c r="AB2252" s="141"/>
      <c r="AC2252" s="141"/>
      <c r="AD2252" s="141"/>
      <c r="AE2252" s="141"/>
      <c r="AF2252" s="145"/>
      <c r="AG2252" s="419"/>
    </row>
    <row r="2253" spans="1:33" s="139" customFormat="1" ht="12.75" customHeight="1" x14ac:dyDescent="0.2">
      <c r="A2253" s="141"/>
      <c r="B2253" s="141"/>
      <c r="C2253" s="141"/>
      <c r="D2253" s="141"/>
      <c r="E2253" s="1014"/>
      <c r="F2253" s="1014"/>
      <c r="G2253" s="1027"/>
      <c r="H2253" s="1027"/>
      <c r="I2253" s="1174"/>
      <c r="J2253" s="1174"/>
      <c r="K2253" s="1174"/>
      <c r="L2253" s="1172"/>
      <c r="M2253" s="1172"/>
      <c r="N2253" s="1175"/>
      <c r="O2253" s="143"/>
      <c r="P2253" s="1196"/>
      <c r="Q2253" s="141"/>
      <c r="R2253" s="141"/>
      <c r="S2253" s="148"/>
      <c r="T2253" s="419"/>
      <c r="U2253" s="559"/>
      <c r="V2253" s="141"/>
      <c r="W2253" s="141"/>
      <c r="X2253" s="141"/>
      <c r="Y2253" s="144"/>
      <c r="Z2253" s="141"/>
      <c r="AA2253" s="141"/>
      <c r="AB2253" s="141"/>
      <c r="AC2253" s="141"/>
      <c r="AD2253" s="141"/>
      <c r="AE2253" s="141"/>
      <c r="AF2253" s="145"/>
      <c r="AG2253" s="419"/>
    </row>
    <row r="2254" spans="1:33" s="139" customFormat="1" ht="12.75" customHeight="1" x14ac:dyDescent="0.2">
      <c r="A2254" s="141"/>
      <c r="B2254" s="141"/>
      <c r="C2254" s="141"/>
      <c r="D2254" s="141"/>
      <c r="E2254" s="1014"/>
      <c r="F2254" s="1014"/>
      <c r="G2254" s="1027"/>
      <c r="H2254" s="1027"/>
      <c r="I2254" s="1174"/>
      <c r="J2254" s="1174"/>
      <c r="K2254" s="1174"/>
      <c r="L2254" s="1172"/>
      <c r="M2254" s="1172"/>
      <c r="N2254" s="1175"/>
      <c r="O2254" s="143"/>
      <c r="P2254" s="1196"/>
      <c r="Q2254" s="141"/>
      <c r="R2254" s="141"/>
      <c r="S2254" s="148"/>
      <c r="T2254" s="419"/>
      <c r="U2254" s="559"/>
      <c r="V2254" s="141"/>
      <c r="W2254" s="141"/>
      <c r="X2254" s="141"/>
      <c r="Y2254" s="144"/>
      <c r="Z2254" s="141"/>
      <c r="AA2254" s="141"/>
      <c r="AB2254" s="141"/>
      <c r="AC2254" s="141"/>
      <c r="AD2254" s="141"/>
      <c r="AE2254" s="141"/>
      <c r="AF2254" s="145"/>
      <c r="AG2254" s="419"/>
    </row>
    <row r="2255" spans="1:33" s="139" customFormat="1" ht="12.75" customHeight="1" x14ac:dyDescent="0.2">
      <c r="A2255" s="141"/>
      <c r="B2255" s="141"/>
      <c r="C2255" s="141"/>
      <c r="D2255" s="141"/>
      <c r="E2255" s="1014"/>
      <c r="F2255" s="1014"/>
      <c r="G2255" s="1027"/>
      <c r="H2255" s="1027"/>
      <c r="I2255" s="1174"/>
      <c r="J2255" s="1174"/>
      <c r="K2255" s="1174"/>
      <c r="L2255" s="1172"/>
      <c r="M2255" s="1172"/>
      <c r="N2255" s="1175"/>
      <c r="O2255" s="143"/>
      <c r="P2255" s="1196"/>
      <c r="Q2255" s="141"/>
      <c r="R2255" s="141"/>
      <c r="S2255" s="148"/>
      <c r="T2255" s="419"/>
      <c r="U2255" s="559"/>
      <c r="V2255" s="141"/>
      <c r="W2255" s="141"/>
      <c r="X2255" s="141"/>
      <c r="Y2255" s="144"/>
      <c r="Z2255" s="141"/>
      <c r="AA2255" s="141"/>
      <c r="AB2255" s="141"/>
      <c r="AC2255" s="141"/>
      <c r="AD2255" s="141"/>
      <c r="AE2255" s="141"/>
      <c r="AF2255" s="145"/>
      <c r="AG2255" s="419"/>
    </row>
    <row r="2256" spans="1:33" s="139" customFormat="1" ht="12.75" customHeight="1" x14ac:dyDescent="0.2">
      <c r="A2256" s="141"/>
      <c r="B2256" s="141"/>
      <c r="C2256" s="141"/>
      <c r="D2256" s="141"/>
      <c r="E2256" s="1014"/>
      <c r="F2256" s="1014"/>
      <c r="G2256" s="1027"/>
      <c r="H2256" s="1027"/>
      <c r="I2256" s="1174"/>
      <c r="J2256" s="1174"/>
      <c r="K2256" s="1174"/>
      <c r="L2256" s="1172"/>
      <c r="M2256" s="1172"/>
      <c r="N2256" s="1175"/>
      <c r="O2256" s="143"/>
      <c r="P2256" s="1196"/>
      <c r="Q2256" s="141"/>
      <c r="R2256" s="141"/>
      <c r="S2256" s="148"/>
      <c r="T2256" s="419"/>
      <c r="U2256" s="559"/>
      <c r="V2256" s="141"/>
      <c r="W2256" s="141"/>
      <c r="X2256" s="141"/>
      <c r="Y2256" s="144"/>
      <c r="Z2256" s="141"/>
      <c r="AA2256" s="141"/>
      <c r="AB2256" s="141"/>
      <c r="AC2256" s="141"/>
      <c r="AD2256" s="141"/>
      <c r="AE2256" s="141"/>
      <c r="AF2256" s="145"/>
      <c r="AG2256" s="419"/>
    </row>
    <row r="2257" spans="1:33" s="139" customFormat="1" ht="12.75" customHeight="1" x14ac:dyDescent="0.2">
      <c r="A2257" s="141"/>
      <c r="B2257" s="141"/>
      <c r="C2257" s="141"/>
      <c r="D2257" s="141"/>
      <c r="E2257" s="1014"/>
      <c r="F2257" s="1014"/>
      <c r="G2257" s="1027"/>
      <c r="H2257" s="1027"/>
      <c r="I2257" s="1174"/>
      <c r="J2257" s="1174"/>
      <c r="K2257" s="1174"/>
      <c r="L2257" s="1172"/>
      <c r="M2257" s="1172"/>
      <c r="N2257" s="1175"/>
      <c r="O2257" s="143"/>
      <c r="P2257" s="1196"/>
      <c r="Q2257" s="141"/>
      <c r="R2257" s="141"/>
      <c r="S2257" s="148"/>
      <c r="T2257" s="419"/>
      <c r="U2257" s="559"/>
      <c r="V2257" s="141"/>
      <c r="W2257" s="141"/>
      <c r="X2257" s="141"/>
      <c r="Y2257" s="144"/>
      <c r="Z2257" s="141"/>
      <c r="AA2257" s="141"/>
      <c r="AB2257" s="141"/>
      <c r="AC2257" s="141"/>
      <c r="AD2257" s="141"/>
      <c r="AE2257" s="141"/>
      <c r="AF2257" s="145"/>
      <c r="AG2257" s="419"/>
    </row>
    <row r="2258" spans="1:33" s="139" customFormat="1" ht="12.75" customHeight="1" x14ac:dyDescent="0.2">
      <c r="A2258" s="141"/>
      <c r="B2258" s="141"/>
      <c r="C2258" s="141"/>
      <c r="D2258" s="141"/>
      <c r="E2258" s="1014"/>
      <c r="F2258" s="1014"/>
      <c r="G2258" s="1027"/>
      <c r="H2258" s="1027"/>
      <c r="I2258" s="1174"/>
      <c r="J2258" s="1174"/>
      <c r="K2258" s="1174"/>
      <c r="L2258" s="1172"/>
      <c r="M2258" s="1172"/>
      <c r="N2258" s="1175"/>
      <c r="O2258" s="143"/>
      <c r="P2258" s="1196"/>
      <c r="Q2258" s="141"/>
      <c r="R2258" s="141"/>
      <c r="S2258" s="148"/>
      <c r="T2258" s="419"/>
      <c r="U2258" s="559"/>
      <c r="V2258" s="141"/>
      <c r="W2258" s="141"/>
      <c r="X2258" s="141"/>
      <c r="Y2258" s="144"/>
      <c r="Z2258" s="141"/>
      <c r="AA2258" s="141"/>
      <c r="AB2258" s="141"/>
      <c r="AC2258" s="141"/>
      <c r="AD2258" s="141"/>
      <c r="AE2258" s="141"/>
      <c r="AF2258" s="145"/>
      <c r="AG2258" s="419"/>
    </row>
    <row r="2259" spans="1:33" s="139" customFormat="1" ht="12.75" customHeight="1" x14ac:dyDescent="0.2">
      <c r="A2259" s="141"/>
      <c r="B2259" s="141"/>
      <c r="C2259" s="141"/>
      <c r="D2259" s="141"/>
      <c r="E2259" s="1014"/>
      <c r="F2259" s="1014"/>
      <c r="G2259" s="1027"/>
      <c r="H2259" s="1027"/>
      <c r="I2259" s="1174"/>
      <c r="J2259" s="1174"/>
      <c r="K2259" s="1174"/>
      <c r="L2259" s="1172"/>
      <c r="M2259" s="1172"/>
      <c r="N2259" s="1175"/>
      <c r="O2259" s="143"/>
      <c r="P2259" s="1196"/>
      <c r="Q2259" s="141"/>
      <c r="R2259" s="141"/>
      <c r="S2259" s="148"/>
      <c r="T2259" s="419"/>
      <c r="U2259" s="559"/>
      <c r="V2259" s="141"/>
      <c r="W2259" s="141"/>
      <c r="X2259" s="141"/>
      <c r="Y2259" s="144"/>
      <c r="Z2259" s="141"/>
      <c r="AA2259" s="141"/>
      <c r="AB2259" s="141"/>
      <c r="AC2259" s="141"/>
      <c r="AD2259" s="141"/>
      <c r="AE2259" s="141"/>
      <c r="AF2259" s="145"/>
      <c r="AG2259" s="419"/>
    </row>
    <row r="2260" spans="1:33" s="139" customFormat="1" ht="12.75" customHeight="1" x14ac:dyDescent="0.2">
      <c r="A2260" s="141"/>
      <c r="B2260" s="141"/>
      <c r="C2260" s="141"/>
      <c r="D2260" s="141"/>
      <c r="E2260" s="1014"/>
      <c r="F2260" s="1014"/>
      <c r="G2260" s="1027"/>
      <c r="H2260" s="1027"/>
      <c r="I2260" s="1174"/>
      <c r="J2260" s="1174"/>
      <c r="K2260" s="1174"/>
      <c r="L2260" s="1172"/>
      <c r="M2260" s="1172"/>
      <c r="N2260" s="1175"/>
      <c r="O2260" s="143"/>
      <c r="P2260" s="1196"/>
      <c r="Q2260" s="141"/>
      <c r="R2260" s="141"/>
      <c r="S2260" s="148"/>
      <c r="T2260" s="419"/>
      <c r="U2260" s="559"/>
      <c r="V2260" s="141"/>
      <c r="W2260" s="141"/>
      <c r="X2260" s="141"/>
      <c r="Y2260" s="144"/>
      <c r="Z2260" s="141"/>
      <c r="AA2260" s="141"/>
      <c r="AB2260" s="141"/>
      <c r="AC2260" s="141"/>
      <c r="AD2260" s="141"/>
      <c r="AE2260" s="141"/>
      <c r="AF2260" s="145"/>
      <c r="AG2260" s="419"/>
    </row>
    <row r="2261" spans="1:33" s="139" customFormat="1" ht="12.75" customHeight="1" x14ac:dyDescent="0.2">
      <c r="A2261" s="141"/>
      <c r="B2261" s="141"/>
      <c r="C2261" s="141"/>
      <c r="D2261" s="141"/>
      <c r="E2261" s="1014"/>
      <c r="F2261" s="1014"/>
      <c r="G2261" s="1027"/>
      <c r="H2261" s="1027"/>
      <c r="I2261" s="1174"/>
      <c r="J2261" s="1174"/>
      <c r="K2261" s="1174"/>
      <c r="L2261" s="1172"/>
      <c r="M2261" s="1172"/>
      <c r="N2261" s="1175"/>
      <c r="O2261" s="143"/>
      <c r="P2261" s="1196"/>
      <c r="Q2261" s="141"/>
      <c r="R2261" s="141"/>
      <c r="S2261" s="148"/>
      <c r="T2261" s="419"/>
      <c r="U2261" s="559"/>
      <c r="V2261" s="141"/>
      <c r="W2261" s="141"/>
      <c r="X2261" s="141"/>
      <c r="Y2261" s="144"/>
      <c r="Z2261" s="141"/>
      <c r="AA2261" s="141"/>
      <c r="AB2261" s="141"/>
      <c r="AC2261" s="141"/>
      <c r="AD2261" s="141"/>
      <c r="AE2261" s="141"/>
      <c r="AF2261" s="145"/>
      <c r="AG2261" s="419"/>
    </row>
    <row r="2262" spans="1:33" s="139" customFormat="1" ht="12.75" customHeight="1" x14ac:dyDescent="0.2">
      <c r="A2262" s="141"/>
      <c r="B2262" s="141"/>
      <c r="C2262" s="141"/>
      <c r="D2262" s="141"/>
      <c r="E2262" s="1014"/>
      <c r="F2262" s="1014"/>
      <c r="G2262" s="1027"/>
      <c r="H2262" s="1027"/>
      <c r="I2262" s="1174"/>
      <c r="J2262" s="1174"/>
      <c r="K2262" s="1174"/>
      <c r="L2262" s="1172"/>
      <c r="M2262" s="1172"/>
      <c r="N2262" s="1175"/>
      <c r="O2262" s="143"/>
      <c r="P2262" s="1196"/>
      <c r="Q2262" s="141"/>
      <c r="R2262" s="141"/>
      <c r="S2262" s="148"/>
      <c r="T2262" s="419"/>
      <c r="U2262" s="559"/>
      <c r="V2262" s="141"/>
      <c r="W2262" s="141"/>
      <c r="X2262" s="141"/>
      <c r="Y2262" s="144"/>
      <c r="Z2262" s="141"/>
      <c r="AA2262" s="141"/>
      <c r="AB2262" s="141"/>
      <c r="AC2262" s="141"/>
      <c r="AD2262" s="141"/>
      <c r="AE2262" s="141"/>
      <c r="AF2262" s="145"/>
      <c r="AG2262" s="419"/>
    </row>
    <row r="2263" spans="1:33" s="139" customFormat="1" ht="12.75" customHeight="1" x14ac:dyDescent="0.2">
      <c r="A2263" s="141"/>
      <c r="B2263" s="141"/>
      <c r="C2263" s="141"/>
      <c r="D2263" s="141"/>
      <c r="E2263" s="1014"/>
      <c r="F2263" s="1014"/>
      <c r="G2263" s="1027"/>
      <c r="H2263" s="1027"/>
      <c r="I2263" s="1174"/>
      <c r="J2263" s="1174"/>
      <c r="K2263" s="1174"/>
      <c r="L2263" s="1172"/>
      <c r="M2263" s="1172"/>
      <c r="N2263" s="1175"/>
      <c r="O2263" s="143"/>
      <c r="P2263" s="1196"/>
      <c r="Q2263" s="141"/>
      <c r="R2263" s="141"/>
      <c r="S2263" s="148"/>
      <c r="T2263" s="419"/>
      <c r="U2263" s="559"/>
      <c r="V2263" s="141"/>
      <c r="W2263" s="141"/>
      <c r="X2263" s="141"/>
      <c r="Y2263" s="144"/>
      <c r="Z2263" s="141"/>
      <c r="AA2263" s="141"/>
      <c r="AB2263" s="141"/>
      <c r="AC2263" s="141"/>
      <c r="AD2263" s="141"/>
      <c r="AE2263" s="141"/>
      <c r="AF2263" s="145"/>
      <c r="AG2263" s="419"/>
    </row>
    <row r="2264" spans="1:33" s="139" customFormat="1" ht="12.75" customHeight="1" x14ac:dyDescent="0.2">
      <c r="A2264" s="141"/>
      <c r="B2264" s="141"/>
      <c r="C2264" s="141"/>
      <c r="D2264" s="141"/>
      <c r="E2264" s="1014"/>
      <c r="F2264" s="1014"/>
      <c r="G2264" s="1027"/>
      <c r="H2264" s="1027"/>
      <c r="I2264" s="1174"/>
      <c r="J2264" s="1174"/>
      <c r="K2264" s="1174"/>
      <c r="L2264" s="1172"/>
      <c r="M2264" s="1172"/>
      <c r="N2264" s="1175"/>
      <c r="O2264" s="143"/>
      <c r="P2264" s="1196"/>
      <c r="Q2264" s="141"/>
      <c r="R2264" s="141"/>
      <c r="S2264" s="148"/>
      <c r="T2264" s="419"/>
      <c r="U2264" s="559"/>
      <c r="V2264" s="141"/>
      <c r="W2264" s="141"/>
      <c r="X2264" s="141"/>
      <c r="Y2264" s="144"/>
      <c r="Z2264" s="141"/>
      <c r="AA2264" s="141"/>
      <c r="AB2264" s="141"/>
      <c r="AC2264" s="141"/>
      <c r="AD2264" s="141"/>
      <c r="AE2264" s="141"/>
      <c r="AF2264" s="145"/>
      <c r="AG2264" s="419"/>
    </row>
    <row r="2265" spans="1:33" s="139" customFormat="1" ht="12.75" customHeight="1" x14ac:dyDescent="0.2">
      <c r="A2265" s="141"/>
      <c r="B2265" s="141"/>
      <c r="C2265" s="141"/>
      <c r="D2265" s="141"/>
      <c r="E2265" s="1014"/>
      <c r="F2265" s="1014"/>
      <c r="G2265" s="1027"/>
      <c r="H2265" s="1027"/>
      <c r="I2265" s="1174"/>
      <c r="J2265" s="1174"/>
      <c r="K2265" s="1174"/>
      <c r="L2265" s="1172"/>
      <c r="M2265" s="1172"/>
      <c r="N2265" s="1175"/>
      <c r="O2265" s="143"/>
      <c r="P2265" s="1196"/>
      <c r="Q2265" s="141"/>
      <c r="R2265" s="141"/>
      <c r="S2265" s="148"/>
      <c r="T2265" s="419"/>
      <c r="U2265" s="559"/>
      <c r="V2265" s="141"/>
      <c r="W2265" s="141"/>
      <c r="X2265" s="141"/>
      <c r="Y2265" s="144"/>
      <c r="Z2265" s="141"/>
      <c r="AA2265" s="141"/>
      <c r="AB2265" s="141"/>
      <c r="AC2265" s="141"/>
      <c r="AD2265" s="141"/>
      <c r="AE2265" s="141"/>
      <c r="AF2265" s="145"/>
      <c r="AG2265" s="419"/>
    </row>
    <row r="2266" spans="1:33" s="139" customFormat="1" ht="12.75" customHeight="1" x14ac:dyDescent="0.2">
      <c r="A2266" s="141"/>
      <c r="B2266" s="141"/>
      <c r="C2266" s="141"/>
      <c r="D2266" s="141"/>
      <c r="E2266" s="1014"/>
      <c r="F2266" s="1014"/>
      <c r="G2266" s="1027"/>
      <c r="H2266" s="1027"/>
      <c r="I2266" s="1174"/>
      <c r="J2266" s="1174"/>
      <c r="K2266" s="1174"/>
      <c r="L2266" s="1172"/>
      <c r="M2266" s="1172"/>
      <c r="N2266" s="1175"/>
      <c r="O2266" s="143"/>
      <c r="P2266" s="1196"/>
      <c r="Q2266" s="141"/>
      <c r="R2266" s="141"/>
      <c r="S2266" s="148"/>
      <c r="T2266" s="419"/>
      <c r="U2266" s="559"/>
      <c r="V2266" s="141"/>
      <c r="W2266" s="141"/>
      <c r="X2266" s="141"/>
      <c r="Y2266" s="144"/>
      <c r="Z2266" s="141"/>
      <c r="AA2266" s="141"/>
      <c r="AB2266" s="141"/>
      <c r="AC2266" s="141"/>
      <c r="AD2266" s="141"/>
      <c r="AE2266" s="141"/>
      <c r="AF2266" s="145"/>
      <c r="AG2266" s="419"/>
    </row>
    <row r="2267" spans="1:33" s="139" customFormat="1" ht="12.75" customHeight="1" x14ac:dyDescent="0.2">
      <c r="A2267" s="141"/>
      <c r="B2267" s="141"/>
      <c r="C2267" s="141"/>
      <c r="D2267" s="141"/>
      <c r="E2267" s="1014"/>
      <c r="F2267" s="1014"/>
      <c r="G2267" s="1027"/>
      <c r="H2267" s="1027"/>
      <c r="I2267" s="1174"/>
      <c r="J2267" s="1174"/>
      <c r="K2267" s="1174"/>
      <c r="L2267" s="1172"/>
      <c r="M2267" s="1172"/>
      <c r="N2267" s="1175"/>
      <c r="O2267" s="143"/>
      <c r="P2267" s="1196"/>
      <c r="Q2267" s="141"/>
      <c r="R2267" s="141"/>
      <c r="S2267" s="148"/>
      <c r="T2267" s="419"/>
      <c r="U2267" s="559"/>
      <c r="V2267" s="141"/>
      <c r="W2267" s="141"/>
      <c r="X2267" s="141"/>
      <c r="Y2267" s="144"/>
      <c r="Z2267" s="141"/>
      <c r="AA2267" s="141"/>
      <c r="AB2267" s="141"/>
      <c r="AC2267" s="141"/>
      <c r="AD2267" s="141"/>
      <c r="AE2267" s="141"/>
      <c r="AF2267" s="145"/>
      <c r="AG2267" s="419"/>
    </row>
    <row r="2268" spans="1:33" s="139" customFormat="1" ht="12.75" customHeight="1" x14ac:dyDescent="0.2">
      <c r="A2268" s="141"/>
      <c r="B2268" s="141"/>
      <c r="C2268" s="141"/>
      <c r="D2268" s="141"/>
      <c r="E2268" s="1014"/>
      <c r="F2268" s="1014"/>
      <c r="G2268" s="1027"/>
      <c r="H2268" s="1027"/>
      <c r="I2268" s="1174"/>
      <c r="J2268" s="1174"/>
      <c r="K2268" s="1174"/>
      <c r="L2268" s="1172"/>
      <c r="M2268" s="1172"/>
      <c r="N2268" s="1175"/>
      <c r="O2268" s="143"/>
      <c r="P2268" s="1196"/>
      <c r="Q2268" s="141"/>
      <c r="R2268" s="141"/>
      <c r="S2268" s="148"/>
      <c r="T2268" s="419"/>
      <c r="U2268" s="559"/>
      <c r="V2268" s="141"/>
      <c r="W2268" s="141"/>
      <c r="X2268" s="141"/>
      <c r="Y2268" s="144"/>
      <c r="Z2268" s="141"/>
      <c r="AA2268" s="141"/>
      <c r="AB2268" s="141"/>
      <c r="AC2268" s="141"/>
      <c r="AD2268" s="141"/>
      <c r="AE2268" s="141"/>
      <c r="AF2268" s="145"/>
      <c r="AG2268" s="419"/>
    </row>
    <row r="2269" spans="1:33" s="139" customFormat="1" ht="12.75" customHeight="1" x14ac:dyDescent="0.2">
      <c r="A2269" s="141"/>
      <c r="B2269" s="141"/>
      <c r="C2269" s="141"/>
      <c r="D2269" s="141"/>
      <c r="E2269" s="1014"/>
      <c r="F2269" s="1014"/>
      <c r="G2269" s="1027"/>
      <c r="H2269" s="1027"/>
      <c r="I2269" s="1174"/>
      <c r="J2269" s="1174"/>
      <c r="K2269" s="1174"/>
      <c r="L2269" s="1172"/>
      <c r="M2269" s="1172"/>
      <c r="N2269" s="1175"/>
      <c r="O2269" s="143"/>
      <c r="P2269" s="1196"/>
      <c r="Q2269" s="141"/>
      <c r="R2269" s="141"/>
      <c r="S2269" s="148"/>
      <c r="T2269" s="419"/>
      <c r="U2269" s="559"/>
      <c r="V2269" s="141"/>
      <c r="W2269" s="141"/>
      <c r="X2269" s="141"/>
      <c r="Y2269" s="144"/>
      <c r="Z2269" s="141"/>
      <c r="AA2269" s="141"/>
      <c r="AB2269" s="141"/>
      <c r="AC2269" s="141"/>
      <c r="AD2269" s="141"/>
      <c r="AE2269" s="141"/>
      <c r="AF2269" s="145"/>
      <c r="AG2269" s="419"/>
    </row>
    <row r="2270" spans="1:33" s="139" customFormat="1" ht="12.75" customHeight="1" x14ac:dyDescent="0.2">
      <c r="A2270" s="141"/>
      <c r="B2270" s="141"/>
      <c r="C2270" s="141"/>
      <c r="D2270" s="141"/>
      <c r="E2270" s="1014"/>
      <c r="F2270" s="1014"/>
      <c r="G2270" s="1027"/>
      <c r="H2270" s="1027"/>
      <c r="I2270" s="1174"/>
      <c r="J2270" s="1174"/>
      <c r="K2270" s="1174"/>
      <c r="L2270" s="1172"/>
      <c r="M2270" s="1172"/>
      <c r="N2270" s="1175"/>
      <c r="O2270" s="143"/>
      <c r="P2270" s="1196"/>
      <c r="Q2270" s="141"/>
      <c r="R2270" s="141"/>
      <c r="S2270" s="148"/>
      <c r="T2270" s="419"/>
      <c r="U2270" s="559"/>
      <c r="V2270" s="141"/>
      <c r="W2270" s="141"/>
      <c r="X2270" s="141"/>
      <c r="Y2270" s="144"/>
      <c r="Z2270" s="141"/>
      <c r="AA2270" s="141"/>
      <c r="AB2270" s="141"/>
      <c r="AC2270" s="141"/>
      <c r="AD2270" s="141"/>
      <c r="AE2270" s="141"/>
      <c r="AF2270" s="145"/>
      <c r="AG2270" s="419"/>
    </row>
    <row r="2271" spans="1:33" s="139" customFormat="1" ht="12.75" customHeight="1" x14ac:dyDescent="0.2">
      <c r="A2271" s="141"/>
      <c r="B2271" s="141"/>
      <c r="C2271" s="141"/>
      <c r="D2271" s="141"/>
      <c r="E2271" s="1014"/>
      <c r="F2271" s="1014"/>
      <c r="G2271" s="1027"/>
      <c r="H2271" s="1027"/>
      <c r="I2271" s="1174"/>
      <c r="J2271" s="1174"/>
      <c r="K2271" s="1174"/>
      <c r="L2271" s="1172"/>
      <c r="M2271" s="1172"/>
      <c r="N2271" s="1175"/>
      <c r="O2271" s="143"/>
      <c r="P2271" s="1196"/>
      <c r="Q2271" s="141"/>
      <c r="R2271" s="141"/>
      <c r="S2271" s="148"/>
      <c r="T2271" s="419"/>
      <c r="U2271" s="559"/>
      <c r="V2271" s="141"/>
      <c r="W2271" s="141"/>
      <c r="X2271" s="141"/>
      <c r="Y2271" s="144"/>
      <c r="Z2271" s="141"/>
      <c r="AA2271" s="141"/>
      <c r="AB2271" s="141"/>
      <c r="AC2271" s="141"/>
      <c r="AD2271" s="141"/>
      <c r="AE2271" s="141"/>
      <c r="AF2271" s="145"/>
      <c r="AG2271" s="419"/>
    </row>
    <row r="2272" spans="1:33" s="139" customFormat="1" ht="12.75" customHeight="1" x14ac:dyDescent="0.2">
      <c r="A2272" s="141"/>
      <c r="B2272" s="141"/>
      <c r="C2272" s="141"/>
      <c r="D2272" s="141"/>
      <c r="E2272" s="1014"/>
      <c r="F2272" s="1014"/>
      <c r="G2272" s="1027"/>
      <c r="H2272" s="1027"/>
      <c r="I2272" s="1174"/>
      <c r="J2272" s="1174"/>
      <c r="K2272" s="1174"/>
      <c r="L2272" s="1172"/>
      <c r="M2272" s="1172"/>
      <c r="N2272" s="1175"/>
      <c r="O2272" s="143"/>
      <c r="P2272" s="1196"/>
      <c r="Q2272" s="141"/>
      <c r="R2272" s="141"/>
      <c r="S2272" s="148"/>
      <c r="T2272" s="419"/>
      <c r="U2272" s="559"/>
      <c r="V2272" s="141"/>
      <c r="W2272" s="141"/>
      <c r="X2272" s="141"/>
      <c r="Y2272" s="144"/>
      <c r="Z2272" s="141"/>
      <c r="AA2272" s="141"/>
      <c r="AB2272" s="141"/>
      <c r="AC2272" s="141"/>
      <c r="AD2272" s="141"/>
      <c r="AE2272" s="141"/>
      <c r="AF2272" s="145"/>
      <c r="AG2272" s="419"/>
    </row>
    <row r="2273" spans="1:33" s="139" customFormat="1" ht="12.75" customHeight="1" x14ac:dyDescent="0.2">
      <c r="A2273" s="141"/>
      <c r="B2273" s="141"/>
      <c r="C2273" s="141"/>
      <c r="D2273" s="141"/>
      <c r="E2273" s="1014"/>
      <c r="F2273" s="1014"/>
      <c r="G2273" s="1027"/>
      <c r="H2273" s="1027"/>
      <c r="I2273" s="1174"/>
      <c r="J2273" s="1174"/>
      <c r="K2273" s="1174"/>
      <c r="L2273" s="1172"/>
      <c r="M2273" s="1172"/>
      <c r="N2273" s="1175"/>
      <c r="O2273" s="143"/>
      <c r="P2273" s="1196"/>
      <c r="Q2273" s="141"/>
      <c r="R2273" s="141"/>
      <c r="S2273" s="148"/>
      <c r="T2273" s="419"/>
      <c r="U2273" s="559"/>
      <c r="V2273" s="141"/>
      <c r="W2273" s="141"/>
      <c r="X2273" s="141"/>
      <c r="Y2273" s="144"/>
      <c r="Z2273" s="141"/>
      <c r="AA2273" s="141"/>
      <c r="AB2273" s="141"/>
      <c r="AC2273" s="141"/>
      <c r="AD2273" s="141"/>
      <c r="AE2273" s="141"/>
      <c r="AF2273" s="145"/>
      <c r="AG2273" s="419"/>
    </row>
    <row r="2274" spans="1:33" s="139" customFormat="1" ht="12.75" customHeight="1" x14ac:dyDescent="0.2">
      <c r="A2274" s="141"/>
      <c r="B2274" s="141"/>
      <c r="C2274" s="141"/>
      <c r="D2274" s="141"/>
      <c r="E2274" s="1014"/>
      <c r="F2274" s="1014"/>
      <c r="G2274" s="1027"/>
      <c r="H2274" s="1027"/>
      <c r="I2274" s="1174"/>
      <c r="J2274" s="1174"/>
      <c r="K2274" s="1174"/>
      <c r="L2274" s="1172"/>
      <c r="M2274" s="1172"/>
      <c r="N2274" s="1175"/>
      <c r="O2274" s="143"/>
      <c r="P2274" s="1196"/>
      <c r="Q2274" s="141"/>
      <c r="R2274" s="141"/>
      <c r="S2274" s="148"/>
      <c r="T2274" s="419"/>
      <c r="U2274" s="559"/>
      <c r="V2274" s="141"/>
      <c r="W2274" s="141"/>
      <c r="X2274" s="141"/>
      <c r="Y2274" s="144"/>
      <c r="Z2274" s="141"/>
      <c r="AA2274" s="141"/>
      <c r="AB2274" s="141"/>
      <c r="AC2274" s="141"/>
      <c r="AD2274" s="141"/>
      <c r="AE2274" s="141"/>
      <c r="AF2274" s="145"/>
      <c r="AG2274" s="419"/>
    </row>
    <row r="2275" spans="1:33" s="139" customFormat="1" ht="12.75" customHeight="1" x14ac:dyDescent="0.2">
      <c r="A2275" s="141"/>
      <c r="B2275" s="141"/>
      <c r="C2275" s="141"/>
      <c r="D2275" s="141"/>
      <c r="E2275" s="1014"/>
      <c r="F2275" s="1014"/>
      <c r="G2275" s="1027"/>
      <c r="H2275" s="1027"/>
      <c r="I2275" s="1174"/>
      <c r="J2275" s="1174"/>
      <c r="K2275" s="1174"/>
      <c r="L2275" s="1172"/>
      <c r="M2275" s="1172"/>
      <c r="N2275" s="1175"/>
      <c r="O2275" s="143"/>
      <c r="P2275" s="1196"/>
      <c r="Q2275" s="141"/>
      <c r="R2275" s="141"/>
      <c r="S2275" s="148"/>
      <c r="T2275" s="419"/>
      <c r="U2275" s="559"/>
      <c r="V2275" s="141"/>
      <c r="W2275" s="141"/>
      <c r="X2275" s="141"/>
      <c r="Y2275" s="144"/>
      <c r="Z2275" s="141"/>
      <c r="AA2275" s="141"/>
      <c r="AB2275" s="141"/>
      <c r="AC2275" s="141"/>
      <c r="AD2275" s="141"/>
      <c r="AE2275" s="141"/>
      <c r="AF2275" s="145"/>
      <c r="AG2275" s="419"/>
    </row>
    <row r="2276" spans="1:33" s="139" customFormat="1" ht="12.75" customHeight="1" x14ac:dyDescent="0.2">
      <c r="A2276" s="141"/>
      <c r="B2276" s="141"/>
      <c r="C2276" s="141"/>
      <c r="D2276" s="141"/>
      <c r="E2276" s="1014"/>
      <c r="F2276" s="1014"/>
      <c r="G2276" s="1027"/>
      <c r="H2276" s="1027"/>
      <c r="I2276" s="1174"/>
      <c r="J2276" s="1174"/>
      <c r="K2276" s="1174"/>
      <c r="L2276" s="1172"/>
      <c r="M2276" s="1172"/>
      <c r="N2276" s="1175"/>
      <c r="O2276" s="143"/>
      <c r="P2276" s="1196"/>
      <c r="Q2276" s="141"/>
      <c r="R2276" s="141"/>
      <c r="S2276" s="148"/>
      <c r="T2276" s="419"/>
      <c r="U2276" s="559"/>
      <c r="V2276" s="141"/>
      <c r="W2276" s="141"/>
      <c r="X2276" s="141"/>
      <c r="Y2276" s="144"/>
      <c r="Z2276" s="141"/>
      <c r="AA2276" s="141"/>
      <c r="AB2276" s="141"/>
      <c r="AC2276" s="141"/>
      <c r="AD2276" s="141"/>
      <c r="AE2276" s="141"/>
      <c r="AF2276" s="145"/>
      <c r="AG2276" s="419"/>
    </row>
    <row r="2277" spans="1:33" s="139" customFormat="1" ht="12.75" customHeight="1" x14ac:dyDescent="0.2">
      <c r="A2277" s="141"/>
      <c r="B2277" s="141"/>
      <c r="C2277" s="141"/>
      <c r="D2277" s="141"/>
      <c r="E2277" s="1014"/>
      <c r="F2277" s="1014"/>
      <c r="G2277" s="1027"/>
      <c r="H2277" s="1027"/>
      <c r="I2277" s="1174"/>
      <c r="J2277" s="1174"/>
      <c r="K2277" s="1174"/>
      <c r="L2277" s="1172"/>
      <c r="M2277" s="1172"/>
      <c r="N2277" s="1175"/>
      <c r="O2277" s="143"/>
      <c r="P2277" s="1196"/>
      <c r="Q2277" s="141"/>
      <c r="R2277" s="141"/>
      <c r="S2277" s="148"/>
      <c r="T2277" s="419"/>
      <c r="U2277" s="559"/>
      <c r="V2277" s="141"/>
      <c r="W2277" s="141"/>
      <c r="X2277" s="141"/>
      <c r="Y2277" s="144"/>
      <c r="Z2277" s="141"/>
      <c r="AA2277" s="141"/>
      <c r="AB2277" s="141"/>
      <c r="AC2277" s="141"/>
      <c r="AD2277" s="141"/>
      <c r="AE2277" s="141"/>
      <c r="AF2277" s="145"/>
      <c r="AG2277" s="419"/>
    </row>
    <row r="2278" spans="1:33" s="139" customFormat="1" ht="12.75" customHeight="1" x14ac:dyDescent="0.2">
      <c r="A2278" s="141"/>
      <c r="B2278" s="141"/>
      <c r="C2278" s="141"/>
      <c r="D2278" s="141"/>
      <c r="E2278" s="1014"/>
      <c r="F2278" s="1014"/>
      <c r="G2278" s="1027"/>
      <c r="H2278" s="1027"/>
      <c r="I2278" s="1174"/>
      <c r="J2278" s="1174"/>
      <c r="K2278" s="1174"/>
      <c r="L2278" s="1172"/>
      <c r="M2278" s="1172"/>
      <c r="N2278" s="1175"/>
      <c r="O2278" s="143"/>
      <c r="P2278" s="1196"/>
      <c r="Q2278" s="141"/>
      <c r="R2278" s="141"/>
      <c r="S2278" s="148"/>
      <c r="T2278" s="419"/>
      <c r="U2278" s="559"/>
      <c r="V2278" s="141"/>
      <c r="W2278" s="141"/>
      <c r="X2278" s="141"/>
      <c r="Y2278" s="144"/>
      <c r="Z2278" s="141"/>
      <c r="AA2278" s="141"/>
      <c r="AB2278" s="141"/>
      <c r="AC2278" s="141"/>
      <c r="AD2278" s="141"/>
      <c r="AE2278" s="141"/>
      <c r="AF2278" s="145"/>
      <c r="AG2278" s="419"/>
    </row>
    <row r="2279" spans="1:33" s="139" customFormat="1" ht="12.75" customHeight="1" x14ac:dyDescent="0.2">
      <c r="A2279" s="141"/>
      <c r="B2279" s="141"/>
      <c r="C2279" s="141"/>
      <c r="D2279" s="141"/>
      <c r="E2279" s="1014"/>
      <c r="F2279" s="1014"/>
      <c r="G2279" s="1027"/>
      <c r="H2279" s="1027"/>
      <c r="I2279" s="1174"/>
      <c r="J2279" s="1174"/>
      <c r="K2279" s="1174"/>
      <c r="L2279" s="1172"/>
      <c r="M2279" s="1172"/>
      <c r="N2279" s="1175"/>
      <c r="O2279" s="143"/>
      <c r="P2279" s="1196"/>
      <c r="Q2279" s="141"/>
      <c r="R2279" s="141"/>
      <c r="S2279" s="148"/>
      <c r="T2279" s="419"/>
      <c r="U2279" s="559"/>
      <c r="V2279" s="141"/>
      <c r="W2279" s="141"/>
      <c r="X2279" s="141"/>
      <c r="Y2279" s="144"/>
      <c r="Z2279" s="141"/>
      <c r="AA2279" s="141"/>
      <c r="AB2279" s="141"/>
      <c r="AC2279" s="141"/>
      <c r="AD2279" s="141"/>
      <c r="AE2279" s="141"/>
      <c r="AF2279" s="145"/>
      <c r="AG2279" s="419"/>
    </row>
    <row r="2280" spans="1:33" s="139" customFormat="1" ht="12.75" customHeight="1" x14ac:dyDescent="0.2">
      <c r="A2280" s="141"/>
      <c r="B2280" s="141"/>
      <c r="C2280" s="141"/>
      <c r="D2280" s="141"/>
      <c r="E2280" s="1014"/>
      <c r="F2280" s="1014"/>
      <c r="G2280" s="1027"/>
      <c r="H2280" s="1027"/>
      <c r="I2280" s="1174"/>
      <c r="J2280" s="1174"/>
      <c r="K2280" s="1174"/>
      <c r="L2280" s="1172"/>
      <c r="M2280" s="1172"/>
      <c r="N2280" s="1175"/>
      <c r="O2280" s="143"/>
      <c r="P2280" s="1196"/>
      <c r="Q2280" s="141"/>
      <c r="R2280" s="141"/>
      <c r="S2280" s="148"/>
      <c r="T2280" s="419"/>
      <c r="U2280" s="559"/>
      <c r="V2280" s="141"/>
      <c r="W2280" s="141"/>
      <c r="X2280" s="141"/>
      <c r="Y2280" s="144"/>
      <c r="Z2280" s="141"/>
      <c r="AA2280" s="141"/>
      <c r="AB2280" s="141"/>
      <c r="AC2280" s="141"/>
      <c r="AD2280" s="141"/>
      <c r="AE2280" s="141"/>
      <c r="AF2280" s="145"/>
      <c r="AG2280" s="419"/>
    </row>
    <row r="2281" spans="1:33" s="139" customFormat="1" ht="12.75" customHeight="1" x14ac:dyDescent="0.2">
      <c r="A2281" s="141"/>
      <c r="B2281" s="141"/>
      <c r="C2281" s="141"/>
      <c r="D2281" s="141"/>
      <c r="E2281" s="1014"/>
      <c r="F2281" s="1014"/>
      <c r="G2281" s="1027"/>
      <c r="H2281" s="1027"/>
      <c r="I2281" s="1174"/>
      <c r="J2281" s="1174"/>
      <c r="K2281" s="1174"/>
      <c r="L2281" s="1172"/>
      <c r="M2281" s="1172"/>
      <c r="N2281" s="1175"/>
      <c r="O2281" s="143"/>
      <c r="P2281" s="1196"/>
      <c r="Q2281" s="141"/>
      <c r="R2281" s="141"/>
      <c r="S2281" s="148"/>
      <c r="T2281" s="419"/>
      <c r="U2281" s="559"/>
      <c r="V2281" s="141"/>
      <c r="W2281" s="141"/>
      <c r="X2281" s="141"/>
      <c r="Y2281" s="144"/>
      <c r="Z2281" s="141"/>
      <c r="AA2281" s="141"/>
      <c r="AB2281" s="141"/>
      <c r="AC2281" s="141"/>
      <c r="AD2281" s="141"/>
      <c r="AE2281" s="141"/>
      <c r="AF2281" s="145"/>
      <c r="AG2281" s="419"/>
    </row>
    <row r="2282" spans="1:33" s="139" customFormat="1" ht="12.75" customHeight="1" x14ac:dyDescent="0.2">
      <c r="A2282" s="141"/>
      <c r="B2282" s="141"/>
      <c r="C2282" s="141"/>
      <c r="D2282" s="141"/>
      <c r="E2282" s="1014"/>
      <c r="F2282" s="1014"/>
      <c r="G2282" s="1027"/>
      <c r="H2282" s="1027"/>
      <c r="I2282" s="1174"/>
      <c r="J2282" s="1174"/>
      <c r="K2282" s="1174"/>
      <c r="L2282" s="1172"/>
      <c r="M2282" s="1172"/>
      <c r="N2282" s="1175"/>
      <c r="O2282" s="143"/>
      <c r="P2282" s="1196"/>
      <c r="Q2282" s="141"/>
      <c r="R2282" s="141"/>
      <c r="S2282" s="148"/>
      <c r="T2282" s="419"/>
      <c r="U2282" s="559"/>
      <c r="V2282" s="141"/>
      <c r="W2282" s="141"/>
      <c r="X2282" s="141"/>
      <c r="Y2282" s="144"/>
      <c r="Z2282" s="141"/>
      <c r="AA2282" s="141"/>
      <c r="AB2282" s="141"/>
      <c r="AC2282" s="141"/>
      <c r="AD2282" s="141"/>
      <c r="AE2282" s="141"/>
      <c r="AF2282" s="145"/>
      <c r="AG2282" s="419"/>
    </row>
    <row r="2283" spans="1:33" s="139" customFormat="1" ht="12.75" customHeight="1" x14ac:dyDescent="0.2">
      <c r="A2283" s="141"/>
      <c r="B2283" s="141"/>
      <c r="C2283" s="141"/>
      <c r="D2283" s="141"/>
      <c r="E2283" s="1014"/>
      <c r="F2283" s="1014"/>
      <c r="G2283" s="1027"/>
      <c r="H2283" s="1027"/>
      <c r="I2283" s="1174"/>
      <c r="J2283" s="1174"/>
      <c r="K2283" s="1174"/>
      <c r="L2283" s="1172"/>
      <c r="M2283" s="1172"/>
      <c r="N2283" s="1175"/>
      <c r="O2283" s="143"/>
      <c r="P2283" s="1196"/>
      <c r="Q2283" s="141"/>
      <c r="R2283" s="141"/>
      <c r="S2283" s="148"/>
      <c r="T2283" s="419"/>
      <c r="U2283" s="559"/>
      <c r="V2283" s="141"/>
      <c r="W2283" s="141"/>
      <c r="X2283" s="141"/>
      <c r="Y2283" s="144"/>
      <c r="Z2283" s="141"/>
      <c r="AA2283" s="141"/>
      <c r="AB2283" s="141"/>
      <c r="AC2283" s="141"/>
      <c r="AD2283" s="141"/>
      <c r="AE2283" s="141"/>
      <c r="AF2283" s="145"/>
      <c r="AG2283" s="419"/>
    </row>
    <row r="2284" spans="1:33" s="139" customFormat="1" ht="12.75" customHeight="1" x14ac:dyDescent="0.2">
      <c r="A2284" s="141"/>
      <c r="B2284" s="141"/>
      <c r="C2284" s="141"/>
      <c r="D2284" s="141"/>
      <c r="E2284" s="1014"/>
      <c r="F2284" s="1014"/>
      <c r="G2284" s="1027"/>
      <c r="H2284" s="1027"/>
      <c r="I2284" s="1174"/>
      <c r="J2284" s="1174"/>
      <c r="K2284" s="1174"/>
      <c r="L2284" s="1172"/>
      <c r="M2284" s="1172"/>
      <c r="N2284" s="1175"/>
      <c r="O2284" s="143"/>
      <c r="P2284" s="1196"/>
      <c r="Q2284" s="141"/>
      <c r="R2284" s="141"/>
      <c r="S2284" s="148"/>
      <c r="T2284" s="419"/>
      <c r="U2284" s="559"/>
      <c r="V2284" s="141"/>
      <c r="W2284" s="141"/>
      <c r="X2284" s="141"/>
      <c r="Y2284" s="144"/>
      <c r="Z2284" s="141"/>
      <c r="AA2284" s="141"/>
      <c r="AB2284" s="141"/>
      <c r="AC2284" s="141"/>
      <c r="AD2284" s="141"/>
      <c r="AE2284" s="141"/>
      <c r="AF2284" s="145"/>
      <c r="AG2284" s="419"/>
    </row>
    <row r="2285" spans="1:33" s="139" customFormat="1" ht="12.75" customHeight="1" x14ac:dyDescent="0.2">
      <c r="A2285" s="141"/>
      <c r="B2285" s="141"/>
      <c r="C2285" s="141"/>
      <c r="D2285" s="141"/>
      <c r="E2285" s="1014"/>
      <c r="F2285" s="1014"/>
      <c r="G2285" s="1027"/>
      <c r="H2285" s="1027"/>
      <c r="I2285" s="1174"/>
      <c r="J2285" s="1174"/>
      <c r="K2285" s="1174"/>
      <c r="L2285" s="1172"/>
      <c r="M2285" s="1172"/>
      <c r="N2285" s="1175"/>
      <c r="O2285" s="143"/>
      <c r="P2285" s="1196"/>
      <c r="Q2285" s="141"/>
      <c r="R2285" s="141"/>
      <c r="S2285" s="148"/>
      <c r="T2285" s="419"/>
      <c r="U2285" s="559"/>
      <c r="V2285" s="141"/>
      <c r="W2285" s="141"/>
      <c r="X2285" s="141"/>
      <c r="Y2285" s="144"/>
      <c r="Z2285" s="141"/>
      <c r="AA2285" s="141"/>
      <c r="AB2285" s="141"/>
      <c r="AC2285" s="141"/>
      <c r="AD2285" s="141"/>
      <c r="AE2285" s="141"/>
      <c r="AF2285" s="145"/>
      <c r="AG2285" s="419"/>
    </row>
    <row r="2286" spans="1:33" s="139" customFormat="1" ht="12.75" customHeight="1" x14ac:dyDescent="0.2">
      <c r="A2286" s="141"/>
      <c r="B2286" s="141"/>
      <c r="C2286" s="141"/>
      <c r="D2286" s="141"/>
      <c r="E2286" s="1014"/>
      <c r="F2286" s="1014"/>
      <c r="G2286" s="1027"/>
      <c r="H2286" s="1027"/>
      <c r="I2286" s="1174"/>
      <c r="J2286" s="1174"/>
      <c r="K2286" s="1174"/>
      <c r="L2286" s="1172"/>
      <c r="M2286" s="1172"/>
      <c r="N2286" s="1175"/>
      <c r="O2286" s="143"/>
      <c r="P2286" s="1196"/>
      <c r="Q2286" s="141"/>
      <c r="R2286" s="141"/>
      <c r="S2286" s="148"/>
      <c r="T2286" s="419"/>
      <c r="U2286" s="559"/>
      <c r="V2286" s="141"/>
      <c r="W2286" s="141"/>
      <c r="X2286" s="141"/>
      <c r="Y2286" s="144"/>
      <c r="Z2286" s="141"/>
      <c r="AA2286" s="141"/>
      <c r="AB2286" s="141"/>
      <c r="AC2286" s="141"/>
      <c r="AD2286" s="141"/>
      <c r="AE2286" s="141"/>
      <c r="AF2286" s="145"/>
      <c r="AG2286" s="419"/>
    </row>
    <row r="2287" spans="1:33" s="139" customFormat="1" ht="12.75" customHeight="1" x14ac:dyDescent="0.2">
      <c r="A2287" s="141"/>
      <c r="B2287" s="141"/>
      <c r="C2287" s="141"/>
      <c r="D2287" s="141"/>
      <c r="E2287" s="1014"/>
      <c r="F2287" s="1014"/>
      <c r="G2287" s="1027"/>
      <c r="H2287" s="1027"/>
      <c r="I2287" s="1174"/>
      <c r="J2287" s="1174"/>
      <c r="K2287" s="1174"/>
      <c r="L2287" s="1172"/>
      <c r="M2287" s="1172"/>
      <c r="N2287" s="1175"/>
      <c r="O2287" s="143"/>
      <c r="P2287" s="1196"/>
      <c r="Q2287" s="141"/>
      <c r="R2287" s="141"/>
      <c r="S2287" s="148"/>
      <c r="T2287" s="419"/>
      <c r="U2287" s="559"/>
      <c r="V2287" s="141"/>
      <c r="W2287" s="141"/>
      <c r="X2287" s="141"/>
      <c r="Y2287" s="144"/>
      <c r="Z2287" s="141"/>
      <c r="AA2287" s="141"/>
      <c r="AB2287" s="141"/>
      <c r="AC2287" s="141"/>
      <c r="AD2287" s="141"/>
      <c r="AE2287" s="141"/>
      <c r="AF2287" s="145"/>
      <c r="AG2287" s="419"/>
    </row>
    <row r="2288" spans="1:33" s="139" customFormat="1" ht="12.75" customHeight="1" x14ac:dyDescent="0.2">
      <c r="A2288" s="141"/>
      <c r="B2288" s="141"/>
      <c r="C2288" s="141"/>
      <c r="D2288" s="141"/>
      <c r="E2288" s="1014"/>
      <c r="F2288" s="1014"/>
      <c r="G2288" s="1027"/>
      <c r="H2288" s="1027"/>
      <c r="I2288" s="1174"/>
      <c r="J2288" s="1174"/>
      <c r="K2288" s="1174"/>
      <c r="L2288" s="1172"/>
      <c r="M2288" s="1172"/>
      <c r="N2288" s="1175"/>
      <c r="O2288" s="143"/>
      <c r="P2288" s="1196"/>
      <c r="Q2288" s="141"/>
      <c r="R2288" s="141"/>
      <c r="S2288" s="148"/>
      <c r="T2288" s="419"/>
      <c r="U2288" s="559"/>
      <c r="V2288" s="141"/>
      <c r="W2288" s="141"/>
      <c r="X2288" s="141"/>
      <c r="Y2288" s="144"/>
      <c r="Z2288" s="141"/>
      <c r="AA2288" s="141"/>
      <c r="AB2288" s="141"/>
      <c r="AC2288" s="141"/>
      <c r="AD2288" s="141"/>
      <c r="AE2288" s="141"/>
      <c r="AF2288" s="145"/>
      <c r="AG2288" s="419"/>
    </row>
    <row r="2289" spans="1:33" s="139" customFormat="1" ht="12.75" customHeight="1" x14ac:dyDescent="0.2">
      <c r="A2289" s="141"/>
      <c r="B2289" s="141"/>
      <c r="C2289" s="141"/>
      <c r="D2289" s="141"/>
      <c r="E2289" s="1014"/>
      <c r="F2289" s="1014"/>
      <c r="G2289" s="1027"/>
      <c r="H2289" s="1027"/>
      <c r="I2289" s="1174"/>
      <c r="J2289" s="1174"/>
      <c r="K2289" s="1174"/>
      <c r="L2289" s="1172"/>
      <c r="M2289" s="1172"/>
      <c r="N2289" s="1175"/>
      <c r="O2289" s="143"/>
      <c r="P2289" s="1196"/>
      <c r="Q2289" s="141"/>
      <c r="R2289" s="141"/>
      <c r="S2289" s="148"/>
      <c r="T2289" s="419"/>
      <c r="U2289" s="559"/>
      <c r="V2289" s="141"/>
      <c r="W2289" s="141"/>
      <c r="X2289" s="141"/>
      <c r="Y2289" s="144"/>
      <c r="Z2289" s="141"/>
      <c r="AA2289" s="141"/>
      <c r="AB2289" s="141"/>
      <c r="AC2289" s="141"/>
      <c r="AD2289" s="141"/>
      <c r="AE2289" s="141"/>
      <c r="AF2289" s="145"/>
      <c r="AG2289" s="419"/>
    </row>
    <row r="2290" spans="1:33" s="139" customFormat="1" ht="12.75" customHeight="1" x14ac:dyDescent="0.2">
      <c r="A2290" s="141"/>
      <c r="B2290" s="141"/>
      <c r="C2290" s="141"/>
      <c r="D2290" s="141"/>
      <c r="E2290" s="1014"/>
      <c r="F2290" s="1014"/>
      <c r="G2290" s="1027"/>
      <c r="H2290" s="1027"/>
      <c r="I2290" s="1174"/>
      <c r="J2290" s="1174"/>
      <c r="K2290" s="1174"/>
      <c r="L2290" s="1172"/>
      <c r="M2290" s="1172"/>
      <c r="N2290" s="1175"/>
      <c r="O2290" s="143"/>
      <c r="P2290" s="1196"/>
      <c r="Q2290" s="141"/>
      <c r="R2290" s="141"/>
      <c r="S2290" s="148"/>
      <c r="T2290" s="419"/>
      <c r="U2290" s="559"/>
      <c r="V2290" s="141"/>
      <c r="W2290" s="141"/>
      <c r="X2290" s="141"/>
      <c r="Y2290" s="144"/>
      <c r="Z2290" s="141"/>
      <c r="AA2290" s="141"/>
      <c r="AB2290" s="141"/>
      <c r="AC2290" s="141"/>
      <c r="AD2290" s="141"/>
      <c r="AE2290" s="141"/>
      <c r="AF2290" s="145"/>
      <c r="AG2290" s="419"/>
    </row>
    <row r="2291" spans="1:33" s="139" customFormat="1" ht="12.75" customHeight="1" x14ac:dyDescent="0.2">
      <c r="A2291" s="141"/>
      <c r="B2291" s="141"/>
      <c r="C2291" s="141"/>
      <c r="D2291" s="141"/>
      <c r="E2291" s="1014"/>
      <c r="F2291" s="1014"/>
      <c r="G2291" s="1027"/>
      <c r="H2291" s="1027"/>
      <c r="I2291" s="1174"/>
      <c r="J2291" s="1174"/>
      <c r="K2291" s="1174"/>
      <c r="L2291" s="1172"/>
      <c r="M2291" s="1172"/>
      <c r="N2291" s="1175"/>
      <c r="O2291" s="143"/>
      <c r="P2291" s="1196"/>
      <c r="Q2291" s="141"/>
      <c r="R2291" s="141"/>
      <c r="S2291" s="148"/>
      <c r="T2291" s="419"/>
      <c r="U2291" s="559"/>
      <c r="V2291" s="141"/>
      <c r="W2291" s="141"/>
      <c r="X2291" s="141"/>
      <c r="Y2291" s="144"/>
      <c r="Z2291" s="141"/>
      <c r="AA2291" s="141"/>
      <c r="AB2291" s="141"/>
      <c r="AC2291" s="141"/>
      <c r="AD2291" s="141"/>
      <c r="AE2291" s="141"/>
      <c r="AF2291" s="145"/>
      <c r="AG2291" s="419"/>
    </row>
    <row r="2292" spans="1:33" s="139" customFormat="1" ht="12.75" customHeight="1" x14ac:dyDescent="0.2">
      <c r="A2292" s="141"/>
      <c r="B2292" s="141"/>
      <c r="C2292" s="141"/>
      <c r="D2292" s="141"/>
      <c r="E2292" s="1014"/>
      <c r="F2292" s="1014"/>
      <c r="G2292" s="1027"/>
      <c r="H2292" s="1027"/>
      <c r="I2292" s="1174"/>
      <c r="J2292" s="1174"/>
      <c r="K2292" s="1174"/>
      <c r="L2292" s="1172"/>
      <c r="M2292" s="1172"/>
      <c r="N2292" s="1175"/>
      <c r="O2292" s="143"/>
      <c r="P2292" s="1196"/>
      <c r="Q2292" s="141"/>
      <c r="R2292" s="141"/>
      <c r="S2292" s="148"/>
      <c r="T2292" s="419"/>
      <c r="U2292" s="559"/>
      <c r="V2292" s="141"/>
      <c r="W2292" s="141"/>
      <c r="X2292" s="141"/>
      <c r="Y2292" s="144"/>
      <c r="Z2292" s="141"/>
      <c r="AA2292" s="141"/>
      <c r="AB2292" s="141"/>
      <c r="AC2292" s="141"/>
      <c r="AD2292" s="141"/>
      <c r="AE2292" s="141"/>
      <c r="AF2292" s="145"/>
      <c r="AG2292" s="419"/>
    </row>
    <row r="2293" spans="1:33" s="139" customFormat="1" ht="12.75" customHeight="1" x14ac:dyDescent="0.2">
      <c r="A2293" s="141"/>
      <c r="B2293" s="141"/>
      <c r="C2293" s="141"/>
      <c r="D2293" s="141"/>
      <c r="E2293" s="1014"/>
      <c r="F2293" s="1014"/>
      <c r="G2293" s="1027"/>
      <c r="H2293" s="1027"/>
      <c r="I2293" s="1174"/>
      <c r="J2293" s="1174"/>
      <c r="K2293" s="1174"/>
      <c r="L2293" s="1172"/>
      <c r="M2293" s="1172"/>
      <c r="N2293" s="1175"/>
      <c r="O2293" s="143"/>
      <c r="P2293" s="1196"/>
      <c r="Q2293" s="141"/>
      <c r="R2293" s="141"/>
      <c r="S2293" s="148"/>
      <c r="T2293" s="419"/>
      <c r="U2293" s="559"/>
      <c r="V2293" s="141"/>
      <c r="W2293" s="141"/>
      <c r="X2293" s="141"/>
      <c r="Y2293" s="144"/>
      <c r="Z2293" s="141"/>
      <c r="AA2293" s="141"/>
      <c r="AB2293" s="141"/>
      <c r="AC2293" s="141"/>
      <c r="AD2293" s="141"/>
      <c r="AE2293" s="141"/>
      <c r="AF2293" s="145"/>
      <c r="AG2293" s="419"/>
    </row>
    <row r="2294" spans="1:33" s="139" customFormat="1" ht="12.75" customHeight="1" x14ac:dyDescent="0.2">
      <c r="A2294" s="141"/>
      <c r="B2294" s="141"/>
      <c r="C2294" s="141"/>
      <c r="D2294" s="141"/>
      <c r="E2294" s="1014"/>
      <c r="F2294" s="1014"/>
      <c r="G2294" s="1027"/>
      <c r="H2294" s="1027"/>
      <c r="I2294" s="1174"/>
      <c r="J2294" s="1174"/>
      <c r="K2294" s="1174"/>
      <c r="L2294" s="1172"/>
      <c r="M2294" s="1172"/>
      <c r="N2294" s="1175"/>
      <c r="O2294" s="143"/>
      <c r="P2294" s="1196"/>
      <c r="Q2294" s="141"/>
      <c r="R2294" s="141"/>
      <c r="S2294" s="148"/>
      <c r="T2294" s="419"/>
      <c r="U2294" s="559"/>
      <c r="V2294" s="141"/>
      <c r="W2294" s="141"/>
      <c r="X2294" s="141"/>
      <c r="Y2294" s="144"/>
      <c r="Z2294" s="141"/>
      <c r="AA2294" s="141"/>
      <c r="AB2294" s="141"/>
      <c r="AC2294" s="141"/>
      <c r="AD2294" s="141"/>
      <c r="AE2294" s="141"/>
      <c r="AF2294" s="145"/>
      <c r="AG2294" s="419"/>
    </row>
    <row r="2295" spans="1:33" s="139" customFormat="1" ht="12.75" customHeight="1" x14ac:dyDescent="0.2">
      <c r="A2295" s="141"/>
      <c r="B2295" s="141"/>
      <c r="C2295" s="141"/>
      <c r="D2295" s="141"/>
      <c r="E2295" s="1014"/>
      <c r="F2295" s="1014"/>
      <c r="G2295" s="1027"/>
      <c r="H2295" s="1027"/>
      <c r="I2295" s="1174"/>
      <c r="J2295" s="1174"/>
      <c r="K2295" s="1174"/>
      <c r="L2295" s="1172"/>
      <c r="M2295" s="1172"/>
      <c r="N2295" s="1175"/>
      <c r="O2295" s="143"/>
      <c r="P2295" s="1196"/>
      <c r="Q2295" s="141"/>
      <c r="R2295" s="141"/>
      <c r="S2295" s="148"/>
      <c r="T2295" s="419"/>
      <c r="U2295" s="559"/>
      <c r="V2295" s="141"/>
      <c r="W2295" s="141"/>
      <c r="X2295" s="141"/>
      <c r="Y2295" s="144"/>
      <c r="Z2295" s="141"/>
      <c r="AA2295" s="141"/>
      <c r="AB2295" s="141"/>
      <c r="AC2295" s="141"/>
      <c r="AD2295" s="141"/>
      <c r="AE2295" s="141"/>
      <c r="AF2295" s="145"/>
      <c r="AG2295" s="419"/>
    </row>
    <row r="2296" spans="1:33" s="139" customFormat="1" ht="12.75" customHeight="1" x14ac:dyDescent="0.2">
      <c r="A2296" s="141"/>
      <c r="B2296" s="141"/>
      <c r="C2296" s="141"/>
      <c r="D2296" s="141"/>
      <c r="E2296" s="1014"/>
      <c r="F2296" s="1014"/>
      <c r="G2296" s="1027"/>
      <c r="H2296" s="1027"/>
      <c r="I2296" s="1174"/>
      <c r="J2296" s="1174"/>
      <c r="K2296" s="1174"/>
      <c r="L2296" s="1172"/>
      <c r="M2296" s="1172"/>
      <c r="N2296" s="1175"/>
      <c r="O2296" s="143"/>
      <c r="P2296" s="1196"/>
      <c r="Q2296" s="141"/>
      <c r="R2296" s="141"/>
      <c r="S2296" s="148"/>
      <c r="T2296" s="419"/>
      <c r="U2296" s="559"/>
      <c r="V2296" s="141"/>
      <c r="W2296" s="141"/>
      <c r="X2296" s="141"/>
      <c r="Y2296" s="144"/>
      <c r="Z2296" s="141"/>
      <c r="AA2296" s="141"/>
      <c r="AB2296" s="141"/>
      <c r="AC2296" s="141"/>
      <c r="AD2296" s="141"/>
      <c r="AE2296" s="141"/>
      <c r="AF2296" s="145"/>
      <c r="AG2296" s="419"/>
    </row>
    <row r="2297" spans="1:33" s="139" customFormat="1" ht="12.75" customHeight="1" x14ac:dyDescent="0.2">
      <c r="A2297" s="141"/>
      <c r="B2297" s="141"/>
      <c r="C2297" s="141"/>
      <c r="D2297" s="141"/>
      <c r="E2297" s="1014"/>
      <c r="F2297" s="1014"/>
      <c r="G2297" s="1027"/>
      <c r="H2297" s="1027"/>
      <c r="I2297" s="1174"/>
      <c r="J2297" s="1174"/>
      <c r="K2297" s="1174"/>
      <c r="L2297" s="1172"/>
      <c r="M2297" s="1172"/>
      <c r="N2297" s="1175"/>
      <c r="O2297" s="143"/>
      <c r="P2297" s="1196"/>
      <c r="Q2297" s="141"/>
      <c r="R2297" s="141"/>
      <c r="S2297" s="148"/>
      <c r="T2297" s="419"/>
      <c r="U2297" s="559"/>
      <c r="V2297" s="141"/>
      <c r="W2297" s="141"/>
      <c r="X2297" s="141"/>
      <c r="Y2297" s="144"/>
      <c r="Z2297" s="141"/>
      <c r="AA2297" s="141"/>
      <c r="AB2297" s="141"/>
      <c r="AC2297" s="141"/>
      <c r="AD2297" s="141"/>
      <c r="AE2297" s="141"/>
      <c r="AF2297" s="145"/>
      <c r="AG2297" s="419"/>
    </row>
    <row r="2298" spans="1:33" s="139" customFormat="1" ht="12.75" customHeight="1" x14ac:dyDescent="0.2">
      <c r="A2298" s="141"/>
      <c r="B2298" s="141"/>
      <c r="C2298" s="141"/>
      <c r="D2298" s="141"/>
      <c r="E2298" s="1014"/>
      <c r="F2298" s="1014"/>
      <c r="G2298" s="1027"/>
      <c r="H2298" s="1027"/>
      <c r="I2298" s="1174"/>
      <c r="J2298" s="1174"/>
      <c r="K2298" s="1174"/>
      <c r="L2298" s="1172"/>
      <c r="M2298" s="1172"/>
      <c r="N2298" s="1175"/>
      <c r="O2298" s="143"/>
      <c r="P2298" s="1196"/>
      <c r="Q2298" s="141"/>
      <c r="R2298" s="141"/>
      <c r="S2298" s="148"/>
      <c r="T2298" s="419"/>
      <c r="U2298" s="559"/>
      <c r="V2298" s="141"/>
      <c r="W2298" s="141"/>
      <c r="X2298" s="141"/>
      <c r="Y2298" s="144"/>
      <c r="Z2298" s="141"/>
      <c r="AA2298" s="141"/>
      <c r="AB2298" s="141"/>
      <c r="AC2298" s="141"/>
      <c r="AD2298" s="141"/>
      <c r="AE2298" s="141"/>
      <c r="AF2298" s="145"/>
      <c r="AG2298" s="419"/>
    </row>
    <row r="2299" spans="1:33" s="139" customFormat="1" ht="12.75" customHeight="1" x14ac:dyDescent="0.2">
      <c r="A2299" s="141"/>
      <c r="B2299" s="141"/>
      <c r="C2299" s="141"/>
      <c r="D2299" s="141"/>
      <c r="E2299" s="1014"/>
      <c r="F2299" s="1014"/>
      <c r="G2299" s="1027"/>
      <c r="H2299" s="1027"/>
      <c r="I2299" s="1174"/>
      <c r="J2299" s="1174"/>
      <c r="K2299" s="1174"/>
      <c r="L2299" s="1172"/>
      <c r="M2299" s="1172"/>
      <c r="N2299" s="1175"/>
      <c r="O2299" s="143"/>
      <c r="P2299" s="1196"/>
      <c r="Q2299" s="141"/>
      <c r="R2299" s="141"/>
      <c r="S2299" s="148"/>
      <c r="T2299" s="419"/>
      <c r="U2299" s="559"/>
      <c r="V2299" s="141"/>
      <c r="W2299" s="141"/>
      <c r="X2299" s="141"/>
      <c r="Y2299" s="144"/>
      <c r="Z2299" s="141"/>
      <c r="AA2299" s="141"/>
      <c r="AB2299" s="141"/>
      <c r="AC2299" s="141"/>
      <c r="AD2299" s="141"/>
      <c r="AE2299" s="141"/>
      <c r="AF2299" s="145"/>
      <c r="AG2299" s="419"/>
    </row>
    <row r="2300" spans="1:33" s="139" customFormat="1" ht="12.75" customHeight="1" x14ac:dyDescent="0.2">
      <c r="A2300" s="141"/>
      <c r="B2300" s="141"/>
      <c r="C2300" s="141"/>
      <c r="D2300" s="141"/>
      <c r="E2300" s="1014"/>
      <c r="F2300" s="1014"/>
      <c r="G2300" s="1027"/>
      <c r="H2300" s="1027"/>
      <c r="I2300" s="1174"/>
      <c r="J2300" s="1174"/>
      <c r="K2300" s="1174"/>
      <c r="L2300" s="1172"/>
      <c r="M2300" s="1172"/>
      <c r="N2300" s="1175"/>
      <c r="O2300" s="143"/>
      <c r="P2300" s="1196"/>
      <c r="Q2300" s="141"/>
      <c r="R2300" s="141"/>
      <c r="S2300" s="148"/>
      <c r="T2300" s="419"/>
      <c r="U2300" s="559"/>
      <c r="V2300" s="141"/>
      <c r="W2300" s="141"/>
      <c r="X2300" s="141"/>
      <c r="Y2300" s="144"/>
      <c r="Z2300" s="141"/>
      <c r="AA2300" s="141"/>
      <c r="AB2300" s="141"/>
      <c r="AC2300" s="141"/>
      <c r="AD2300" s="141"/>
      <c r="AE2300" s="141"/>
      <c r="AF2300" s="145"/>
      <c r="AG2300" s="419"/>
    </row>
    <row r="2301" spans="1:33" s="139" customFormat="1" ht="12.75" customHeight="1" x14ac:dyDescent="0.2">
      <c r="A2301" s="141"/>
      <c r="B2301" s="141"/>
      <c r="C2301" s="141"/>
      <c r="D2301" s="141"/>
      <c r="E2301" s="1014"/>
      <c r="F2301" s="1014"/>
      <c r="G2301" s="1027"/>
      <c r="H2301" s="1027"/>
      <c r="I2301" s="1174"/>
      <c r="J2301" s="1174"/>
      <c r="K2301" s="1174"/>
      <c r="L2301" s="1172"/>
      <c r="M2301" s="1172"/>
      <c r="N2301" s="1175"/>
      <c r="O2301" s="143"/>
      <c r="P2301" s="1196"/>
      <c r="Q2301" s="141"/>
      <c r="R2301" s="141"/>
      <c r="S2301" s="148"/>
      <c r="T2301" s="419"/>
      <c r="U2301" s="559"/>
      <c r="V2301" s="141"/>
      <c r="W2301" s="141"/>
      <c r="X2301" s="141"/>
      <c r="Y2301" s="144"/>
      <c r="Z2301" s="141"/>
      <c r="AA2301" s="141"/>
      <c r="AB2301" s="141"/>
      <c r="AC2301" s="141"/>
      <c r="AD2301" s="141"/>
      <c r="AE2301" s="141"/>
      <c r="AF2301" s="145"/>
      <c r="AG2301" s="419"/>
    </row>
    <row r="2302" spans="1:33" s="139" customFormat="1" ht="12.75" customHeight="1" x14ac:dyDescent="0.2">
      <c r="A2302" s="141"/>
      <c r="B2302" s="141"/>
      <c r="C2302" s="141"/>
      <c r="D2302" s="141"/>
      <c r="E2302" s="1014"/>
      <c r="F2302" s="1014"/>
      <c r="G2302" s="1027"/>
      <c r="H2302" s="1027"/>
      <c r="I2302" s="1174"/>
      <c r="J2302" s="1174"/>
      <c r="K2302" s="1174"/>
      <c r="L2302" s="1172"/>
      <c r="M2302" s="1172"/>
      <c r="N2302" s="1175"/>
      <c r="O2302" s="143"/>
      <c r="P2302" s="1196"/>
      <c r="Q2302" s="141"/>
      <c r="R2302" s="141"/>
      <c r="S2302" s="148"/>
      <c r="T2302" s="419"/>
      <c r="U2302" s="559"/>
      <c r="V2302" s="141"/>
      <c r="W2302" s="141"/>
      <c r="X2302" s="141"/>
      <c r="Y2302" s="144"/>
      <c r="Z2302" s="141"/>
      <c r="AA2302" s="141"/>
      <c r="AB2302" s="141"/>
      <c r="AC2302" s="141"/>
      <c r="AD2302" s="141"/>
      <c r="AE2302" s="141"/>
      <c r="AF2302" s="145"/>
      <c r="AG2302" s="419"/>
    </row>
    <row r="2303" spans="1:33" s="139" customFormat="1" ht="12.75" customHeight="1" x14ac:dyDescent="0.2">
      <c r="A2303" s="141"/>
      <c r="B2303" s="141"/>
      <c r="C2303" s="141"/>
      <c r="D2303" s="141"/>
      <c r="E2303" s="1014"/>
      <c r="F2303" s="1014"/>
      <c r="G2303" s="1027"/>
      <c r="H2303" s="1027"/>
      <c r="I2303" s="1174"/>
      <c r="J2303" s="1174"/>
      <c r="K2303" s="1174"/>
      <c r="L2303" s="1172"/>
      <c r="M2303" s="1172"/>
      <c r="N2303" s="1175"/>
      <c r="O2303" s="143"/>
      <c r="P2303" s="1196"/>
      <c r="Q2303" s="141"/>
      <c r="R2303" s="141"/>
      <c r="S2303" s="148"/>
      <c r="T2303" s="419"/>
      <c r="U2303" s="559"/>
      <c r="V2303" s="141"/>
      <c r="W2303" s="141"/>
      <c r="X2303" s="141"/>
      <c r="Y2303" s="144"/>
      <c r="Z2303" s="141"/>
      <c r="AA2303" s="141"/>
      <c r="AB2303" s="141"/>
      <c r="AC2303" s="141"/>
      <c r="AD2303" s="141"/>
      <c r="AE2303" s="141"/>
      <c r="AF2303" s="145"/>
      <c r="AG2303" s="419"/>
    </row>
    <row r="2304" spans="1:33" s="139" customFormat="1" ht="12.75" customHeight="1" x14ac:dyDescent="0.2">
      <c r="A2304" s="141"/>
      <c r="B2304" s="141"/>
      <c r="C2304" s="141"/>
      <c r="D2304" s="141"/>
      <c r="E2304" s="1014"/>
      <c r="F2304" s="1014"/>
      <c r="G2304" s="1027"/>
      <c r="H2304" s="1027"/>
      <c r="I2304" s="1174"/>
      <c r="J2304" s="1174"/>
      <c r="K2304" s="1174"/>
      <c r="L2304" s="1172"/>
      <c r="M2304" s="1172"/>
      <c r="N2304" s="1175"/>
      <c r="O2304" s="143"/>
      <c r="P2304" s="1196"/>
      <c r="Q2304" s="141"/>
      <c r="R2304" s="141"/>
      <c r="S2304" s="148"/>
      <c r="T2304" s="419"/>
      <c r="U2304" s="559"/>
      <c r="V2304" s="141"/>
      <c r="W2304" s="141"/>
      <c r="X2304" s="141"/>
      <c r="Y2304" s="144"/>
      <c r="Z2304" s="141"/>
      <c r="AA2304" s="141"/>
      <c r="AB2304" s="141"/>
      <c r="AC2304" s="141"/>
      <c r="AD2304" s="141"/>
      <c r="AE2304" s="141"/>
      <c r="AF2304" s="145"/>
      <c r="AG2304" s="419"/>
    </row>
    <row r="2305" spans="1:33" s="139" customFormat="1" ht="12.75" customHeight="1" x14ac:dyDescent="0.2">
      <c r="A2305" s="141"/>
      <c r="B2305" s="141"/>
      <c r="C2305" s="141"/>
      <c r="D2305" s="141"/>
      <c r="E2305" s="1014"/>
      <c r="F2305" s="1014"/>
      <c r="G2305" s="1027"/>
      <c r="H2305" s="1027"/>
      <c r="I2305" s="1174"/>
      <c r="J2305" s="1174"/>
      <c r="K2305" s="1174"/>
      <c r="L2305" s="1172"/>
      <c r="M2305" s="1172"/>
      <c r="N2305" s="1175"/>
      <c r="O2305" s="143"/>
      <c r="P2305" s="1196"/>
      <c r="Q2305" s="141"/>
      <c r="R2305" s="141"/>
      <c r="S2305" s="148"/>
      <c r="T2305" s="419"/>
      <c r="U2305" s="559"/>
      <c r="V2305" s="141"/>
      <c r="W2305" s="141"/>
      <c r="X2305" s="141"/>
      <c r="Y2305" s="144"/>
      <c r="Z2305" s="141"/>
      <c r="AA2305" s="141"/>
      <c r="AB2305" s="141"/>
      <c r="AC2305" s="141"/>
      <c r="AD2305" s="141"/>
      <c r="AE2305" s="141"/>
      <c r="AF2305" s="145"/>
      <c r="AG2305" s="419"/>
    </row>
    <row r="2306" spans="1:33" s="139" customFormat="1" ht="12.75" customHeight="1" x14ac:dyDescent="0.2">
      <c r="A2306" s="141"/>
      <c r="B2306" s="141"/>
      <c r="C2306" s="141"/>
      <c r="D2306" s="141"/>
      <c r="E2306" s="1014"/>
      <c r="F2306" s="1014"/>
      <c r="G2306" s="1027"/>
      <c r="H2306" s="1027"/>
      <c r="I2306" s="1174"/>
      <c r="J2306" s="1174"/>
      <c r="K2306" s="1174"/>
      <c r="L2306" s="1172"/>
      <c r="M2306" s="1172"/>
      <c r="N2306" s="1175"/>
      <c r="O2306" s="143"/>
      <c r="P2306" s="1196"/>
      <c r="Q2306" s="141"/>
      <c r="R2306" s="141"/>
      <c r="S2306" s="148"/>
      <c r="T2306" s="419"/>
      <c r="U2306" s="559"/>
      <c r="V2306" s="141"/>
      <c r="W2306" s="141"/>
      <c r="X2306" s="141"/>
      <c r="Y2306" s="144"/>
      <c r="Z2306" s="141"/>
      <c r="AA2306" s="141"/>
      <c r="AB2306" s="141"/>
      <c r="AC2306" s="141"/>
      <c r="AD2306" s="141"/>
      <c r="AE2306" s="141"/>
      <c r="AF2306" s="145"/>
      <c r="AG2306" s="419"/>
    </row>
    <row r="2307" spans="1:33" s="139" customFormat="1" ht="12.75" customHeight="1" x14ac:dyDescent="0.2">
      <c r="A2307" s="141"/>
      <c r="B2307" s="141"/>
      <c r="C2307" s="141"/>
      <c r="D2307" s="141"/>
      <c r="E2307" s="1014"/>
      <c r="F2307" s="1014"/>
      <c r="G2307" s="1027"/>
      <c r="H2307" s="1027"/>
      <c r="I2307" s="1174"/>
      <c r="J2307" s="1174"/>
      <c r="K2307" s="1174"/>
      <c r="L2307" s="1172"/>
      <c r="M2307" s="1172"/>
      <c r="N2307" s="1175"/>
      <c r="O2307" s="143"/>
      <c r="P2307" s="1196"/>
      <c r="Q2307" s="141"/>
      <c r="R2307" s="141"/>
      <c r="S2307" s="148"/>
      <c r="T2307" s="419"/>
      <c r="U2307" s="559"/>
      <c r="V2307" s="141"/>
      <c r="W2307" s="141"/>
      <c r="X2307" s="141"/>
      <c r="Y2307" s="144"/>
      <c r="Z2307" s="141"/>
      <c r="AA2307" s="141"/>
      <c r="AB2307" s="141"/>
      <c r="AC2307" s="141"/>
      <c r="AD2307" s="141"/>
      <c r="AE2307" s="141"/>
      <c r="AF2307" s="145"/>
      <c r="AG2307" s="419"/>
    </row>
    <row r="2308" spans="1:33" s="139" customFormat="1" ht="12.75" customHeight="1" x14ac:dyDescent="0.2">
      <c r="A2308" s="141"/>
      <c r="B2308" s="141"/>
      <c r="C2308" s="141"/>
      <c r="D2308" s="141"/>
      <c r="E2308" s="1014"/>
      <c r="F2308" s="1014"/>
      <c r="G2308" s="1027"/>
      <c r="H2308" s="1027"/>
      <c r="I2308" s="1174"/>
      <c r="J2308" s="1174"/>
      <c r="K2308" s="1174"/>
      <c r="L2308" s="1172"/>
      <c r="M2308" s="1172"/>
      <c r="N2308" s="1175"/>
      <c r="O2308" s="143"/>
      <c r="P2308" s="1196"/>
      <c r="Q2308" s="141"/>
      <c r="R2308" s="141"/>
      <c r="S2308" s="148"/>
      <c r="T2308" s="419"/>
      <c r="U2308" s="559"/>
      <c r="V2308" s="141"/>
      <c r="W2308" s="141"/>
      <c r="X2308" s="141"/>
      <c r="Y2308" s="144"/>
      <c r="Z2308" s="141"/>
      <c r="AA2308" s="141"/>
      <c r="AB2308" s="141"/>
      <c r="AC2308" s="141"/>
      <c r="AD2308" s="141"/>
      <c r="AE2308" s="141"/>
      <c r="AF2308" s="145"/>
      <c r="AG2308" s="419"/>
    </row>
    <row r="2309" spans="1:33" s="139" customFormat="1" ht="12.75" customHeight="1" x14ac:dyDescent="0.2">
      <c r="A2309" s="141"/>
      <c r="B2309" s="141"/>
      <c r="C2309" s="141"/>
      <c r="D2309" s="141"/>
      <c r="E2309" s="1014"/>
      <c r="F2309" s="1014"/>
      <c r="G2309" s="1027"/>
      <c r="H2309" s="1027"/>
      <c r="I2309" s="1174"/>
      <c r="J2309" s="1174"/>
      <c r="K2309" s="1174"/>
      <c r="L2309" s="1172"/>
      <c r="M2309" s="1172"/>
      <c r="N2309" s="1175"/>
      <c r="O2309" s="143"/>
      <c r="P2309" s="1196"/>
      <c r="Q2309" s="141"/>
      <c r="R2309" s="141"/>
      <c r="S2309" s="148"/>
      <c r="T2309" s="419"/>
      <c r="U2309" s="559"/>
      <c r="V2309" s="141"/>
      <c r="W2309" s="141"/>
      <c r="X2309" s="141"/>
      <c r="Y2309" s="144"/>
      <c r="Z2309" s="141"/>
      <c r="AA2309" s="141"/>
      <c r="AB2309" s="141"/>
      <c r="AC2309" s="141"/>
      <c r="AD2309" s="141"/>
      <c r="AE2309" s="141"/>
      <c r="AF2309" s="145"/>
      <c r="AG2309" s="419"/>
    </row>
    <row r="2310" spans="1:33" s="139" customFormat="1" ht="12.75" customHeight="1" x14ac:dyDescent="0.2">
      <c r="A2310" s="141"/>
      <c r="B2310" s="141"/>
      <c r="C2310" s="141"/>
      <c r="D2310" s="141"/>
      <c r="E2310" s="1014"/>
      <c r="F2310" s="1014"/>
      <c r="G2310" s="1027"/>
      <c r="H2310" s="1027"/>
      <c r="I2310" s="1174"/>
      <c r="J2310" s="1174"/>
      <c r="K2310" s="1174"/>
      <c r="L2310" s="1172"/>
      <c r="M2310" s="1172"/>
      <c r="N2310" s="1175"/>
      <c r="O2310" s="143"/>
      <c r="P2310" s="1196"/>
      <c r="Q2310" s="141"/>
      <c r="R2310" s="141"/>
      <c r="S2310" s="148"/>
      <c r="T2310" s="419"/>
      <c r="U2310" s="559"/>
      <c r="V2310" s="141"/>
      <c r="W2310" s="141"/>
      <c r="X2310" s="141"/>
      <c r="Y2310" s="144"/>
      <c r="Z2310" s="141"/>
      <c r="AA2310" s="141"/>
      <c r="AB2310" s="141"/>
      <c r="AC2310" s="141"/>
      <c r="AD2310" s="141"/>
      <c r="AE2310" s="141"/>
      <c r="AF2310" s="145"/>
      <c r="AG2310" s="419"/>
    </row>
    <row r="2311" spans="1:33" s="139" customFormat="1" ht="12.75" customHeight="1" x14ac:dyDescent="0.2">
      <c r="A2311" s="141"/>
      <c r="B2311" s="141"/>
      <c r="C2311" s="141"/>
      <c r="D2311" s="141"/>
      <c r="E2311" s="1014"/>
      <c r="F2311" s="1014"/>
      <c r="G2311" s="1027"/>
      <c r="H2311" s="1027"/>
      <c r="I2311" s="1174"/>
      <c r="J2311" s="1174"/>
      <c r="K2311" s="1174"/>
      <c r="L2311" s="1172"/>
      <c r="M2311" s="1172"/>
      <c r="N2311" s="1175"/>
      <c r="O2311" s="143"/>
      <c r="P2311" s="1196"/>
      <c r="Q2311" s="141"/>
      <c r="R2311" s="141"/>
      <c r="S2311" s="148"/>
      <c r="T2311" s="419"/>
      <c r="U2311" s="559"/>
      <c r="V2311" s="141"/>
      <c r="W2311" s="141"/>
      <c r="X2311" s="141"/>
      <c r="Y2311" s="144"/>
      <c r="Z2311" s="141"/>
      <c r="AA2311" s="141"/>
      <c r="AB2311" s="141"/>
      <c r="AC2311" s="141"/>
      <c r="AD2311" s="141"/>
      <c r="AE2311" s="141"/>
      <c r="AF2311" s="145"/>
      <c r="AG2311" s="419"/>
    </row>
    <row r="2312" spans="1:33" s="139" customFormat="1" ht="12.75" customHeight="1" x14ac:dyDescent="0.2">
      <c r="A2312" s="141"/>
      <c r="B2312" s="141"/>
      <c r="C2312" s="141"/>
      <c r="D2312" s="141"/>
      <c r="E2312" s="1014"/>
      <c r="F2312" s="1014"/>
      <c r="G2312" s="1027"/>
      <c r="H2312" s="1027"/>
      <c r="I2312" s="1174"/>
      <c r="J2312" s="1174"/>
      <c r="K2312" s="1174"/>
      <c r="L2312" s="1172"/>
      <c r="M2312" s="1172"/>
      <c r="N2312" s="1175"/>
      <c r="O2312" s="143"/>
      <c r="P2312" s="1196"/>
      <c r="Q2312" s="141"/>
      <c r="R2312" s="141"/>
      <c r="S2312" s="148"/>
      <c r="T2312" s="419"/>
      <c r="U2312" s="559"/>
      <c r="V2312" s="141"/>
      <c r="W2312" s="141"/>
      <c r="X2312" s="141"/>
      <c r="Y2312" s="144"/>
      <c r="Z2312" s="141"/>
      <c r="AA2312" s="141"/>
      <c r="AB2312" s="141"/>
      <c r="AC2312" s="141"/>
      <c r="AD2312" s="141"/>
      <c r="AE2312" s="141"/>
      <c r="AF2312" s="145"/>
      <c r="AG2312" s="419"/>
    </row>
    <row r="2313" spans="1:33" s="139" customFormat="1" ht="12.75" customHeight="1" x14ac:dyDescent="0.2">
      <c r="A2313" s="141"/>
      <c r="B2313" s="141"/>
      <c r="C2313" s="141"/>
      <c r="D2313" s="141"/>
      <c r="E2313" s="1014"/>
      <c r="F2313" s="1014"/>
      <c r="G2313" s="1027"/>
      <c r="H2313" s="1027"/>
      <c r="I2313" s="1174"/>
      <c r="J2313" s="1174"/>
      <c r="K2313" s="1174"/>
      <c r="L2313" s="1172"/>
      <c r="M2313" s="1172"/>
      <c r="N2313" s="1175"/>
      <c r="O2313" s="143"/>
      <c r="P2313" s="1196"/>
      <c r="Q2313" s="141"/>
      <c r="R2313" s="141"/>
      <c r="S2313" s="148"/>
      <c r="T2313" s="419"/>
      <c r="U2313" s="559"/>
      <c r="V2313" s="141"/>
      <c r="W2313" s="141"/>
      <c r="X2313" s="141"/>
      <c r="Y2313" s="144"/>
      <c r="Z2313" s="141"/>
      <c r="AA2313" s="141"/>
      <c r="AB2313" s="141"/>
      <c r="AC2313" s="141"/>
      <c r="AD2313" s="141"/>
      <c r="AE2313" s="141"/>
      <c r="AF2313" s="145"/>
      <c r="AG2313" s="419"/>
    </row>
    <row r="2314" spans="1:33" s="139" customFormat="1" ht="12.75" customHeight="1" x14ac:dyDescent="0.2">
      <c r="A2314" s="141"/>
      <c r="B2314" s="141"/>
      <c r="C2314" s="141"/>
      <c r="D2314" s="141"/>
      <c r="E2314" s="1014"/>
      <c r="F2314" s="1014"/>
      <c r="G2314" s="1027"/>
      <c r="H2314" s="1027"/>
      <c r="I2314" s="1174"/>
      <c r="J2314" s="1174"/>
      <c r="K2314" s="1174"/>
      <c r="L2314" s="1172"/>
      <c r="M2314" s="1172"/>
      <c r="N2314" s="1175"/>
      <c r="O2314" s="143"/>
      <c r="P2314" s="1196"/>
      <c r="Q2314" s="141"/>
      <c r="R2314" s="141"/>
      <c r="S2314" s="148"/>
      <c r="T2314" s="419"/>
      <c r="U2314" s="559"/>
      <c r="V2314" s="141"/>
      <c r="W2314" s="141"/>
      <c r="X2314" s="141"/>
      <c r="Y2314" s="144"/>
      <c r="Z2314" s="141"/>
      <c r="AA2314" s="141"/>
      <c r="AB2314" s="141"/>
      <c r="AC2314" s="141"/>
      <c r="AD2314" s="141"/>
      <c r="AE2314" s="141"/>
      <c r="AF2314" s="145"/>
      <c r="AG2314" s="419"/>
    </row>
    <row r="2315" spans="1:33" s="139" customFormat="1" ht="12.75" customHeight="1" x14ac:dyDescent="0.2">
      <c r="A2315" s="141"/>
      <c r="B2315" s="141"/>
      <c r="C2315" s="141"/>
      <c r="D2315" s="141"/>
      <c r="E2315" s="1014"/>
      <c r="F2315" s="1014"/>
      <c r="G2315" s="1027"/>
      <c r="H2315" s="1027"/>
      <c r="I2315" s="1174"/>
      <c r="J2315" s="1174"/>
      <c r="K2315" s="1174"/>
      <c r="L2315" s="1172"/>
      <c r="M2315" s="1172"/>
      <c r="N2315" s="1175"/>
      <c r="O2315" s="143"/>
      <c r="P2315" s="1196"/>
      <c r="Q2315" s="141"/>
      <c r="R2315" s="141"/>
      <c r="S2315" s="148"/>
      <c r="T2315" s="419"/>
      <c r="U2315" s="559"/>
      <c r="V2315" s="141"/>
      <c r="W2315" s="141"/>
      <c r="X2315" s="141"/>
      <c r="Y2315" s="144"/>
      <c r="Z2315" s="141"/>
      <c r="AA2315" s="141"/>
      <c r="AB2315" s="141"/>
      <c r="AC2315" s="141"/>
      <c r="AD2315" s="141"/>
      <c r="AE2315" s="141"/>
      <c r="AF2315" s="145"/>
      <c r="AG2315" s="419"/>
    </row>
    <row r="2316" spans="1:33" s="139" customFormat="1" ht="12.75" customHeight="1" x14ac:dyDescent="0.2">
      <c r="A2316" s="141"/>
      <c r="B2316" s="141"/>
      <c r="C2316" s="141"/>
      <c r="D2316" s="141"/>
      <c r="E2316" s="1014"/>
      <c r="F2316" s="1014"/>
      <c r="G2316" s="1027"/>
      <c r="H2316" s="1027"/>
      <c r="I2316" s="1174"/>
      <c r="J2316" s="1174"/>
      <c r="K2316" s="1174"/>
      <c r="L2316" s="1172"/>
      <c r="M2316" s="1172"/>
      <c r="N2316" s="1175"/>
      <c r="O2316" s="143"/>
      <c r="P2316" s="1196"/>
      <c r="Q2316" s="141"/>
      <c r="R2316" s="141"/>
      <c r="S2316" s="148"/>
      <c r="T2316" s="419"/>
      <c r="U2316" s="559"/>
      <c r="V2316" s="141"/>
      <c r="W2316" s="141"/>
      <c r="X2316" s="141"/>
      <c r="Y2316" s="144"/>
      <c r="Z2316" s="141"/>
      <c r="AA2316" s="141"/>
      <c r="AB2316" s="141"/>
      <c r="AC2316" s="141"/>
      <c r="AD2316" s="141"/>
      <c r="AE2316" s="141"/>
      <c r="AF2316" s="145"/>
      <c r="AG2316" s="419"/>
    </row>
    <row r="2317" spans="1:33" s="139" customFormat="1" ht="12.75" customHeight="1" x14ac:dyDescent="0.2">
      <c r="A2317" s="141"/>
      <c r="B2317" s="141"/>
      <c r="C2317" s="141"/>
      <c r="D2317" s="141"/>
      <c r="E2317" s="1014"/>
      <c r="F2317" s="1014"/>
      <c r="G2317" s="1027"/>
      <c r="H2317" s="1027"/>
      <c r="I2317" s="1174"/>
      <c r="J2317" s="1174"/>
      <c r="K2317" s="1174"/>
      <c r="L2317" s="1172"/>
      <c r="M2317" s="1172"/>
      <c r="N2317" s="1175"/>
      <c r="O2317" s="143"/>
      <c r="P2317" s="1196"/>
      <c r="Q2317" s="141"/>
      <c r="R2317" s="141"/>
      <c r="S2317" s="148"/>
      <c r="T2317" s="419"/>
      <c r="U2317" s="559"/>
      <c r="V2317" s="141"/>
      <c r="W2317" s="141"/>
      <c r="X2317" s="141"/>
      <c r="Y2317" s="144"/>
      <c r="Z2317" s="141"/>
      <c r="AA2317" s="141"/>
      <c r="AB2317" s="141"/>
      <c r="AC2317" s="141"/>
      <c r="AD2317" s="141"/>
      <c r="AE2317" s="141"/>
      <c r="AF2317" s="145"/>
      <c r="AG2317" s="419"/>
    </row>
    <row r="2318" spans="1:33" s="139" customFormat="1" ht="12.75" customHeight="1" x14ac:dyDescent="0.2">
      <c r="A2318" s="141"/>
      <c r="B2318" s="141"/>
      <c r="C2318" s="141"/>
      <c r="D2318" s="141"/>
      <c r="E2318" s="1014"/>
      <c r="F2318" s="1014"/>
      <c r="G2318" s="1027"/>
      <c r="H2318" s="1027"/>
      <c r="I2318" s="1174"/>
      <c r="J2318" s="1174"/>
      <c r="K2318" s="1174"/>
      <c r="L2318" s="1172"/>
      <c r="M2318" s="1172"/>
      <c r="N2318" s="1175"/>
      <c r="O2318" s="143"/>
      <c r="P2318" s="1196"/>
      <c r="Q2318" s="141"/>
      <c r="R2318" s="141"/>
      <c r="S2318" s="148"/>
      <c r="T2318" s="419"/>
      <c r="U2318" s="559"/>
      <c r="V2318" s="141"/>
      <c r="W2318" s="141"/>
      <c r="X2318" s="141"/>
      <c r="Y2318" s="144"/>
      <c r="Z2318" s="141"/>
      <c r="AA2318" s="141"/>
      <c r="AB2318" s="141"/>
      <c r="AC2318" s="141"/>
      <c r="AD2318" s="141"/>
      <c r="AE2318" s="141"/>
      <c r="AF2318" s="145"/>
      <c r="AG2318" s="419"/>
    </row>
    <row r="2319" spans="1:33" s="139" customFormat="1" ht="12.75" customHeight="1" x14ac:dyDescent="0.2">
      <c r="A2319" s="141"/>
      <c r="B2319" s="141"/>
      <c r="C2319" s="141"/>
      <c r="D2319" s="141"/>
      <c r="E2319" s="1014"/>
      <c r="F2319" s="1014"/>
      <c r="G2319" s="1027"/>
      <c r="H2319" s="1027"/>
      <c r="I2319" s="1174"/>
      <c r="J2319" s="1174"/>
      <c r="K2319" s="1174"/>
      <c r="L2319" s="1172"/>
      <c r="M2319" s="1172"/>
      <c r="N2319" s="1175"/>
      <c r="O2319" s="143"/>
      <c r="P2319" s="1196"/>
      <c r="Q2319" s="141"/>
      <c r="R2319" s="141"/>
      <c r="S2319" s="148"/>
      <c r="T2319" s="419"/>
      <c r="U2319" s="559"/>
      <c r="V2319" s="141"/>
      <c r="W2319" s="141"/>
      <c r="X2319" s="141"/>
      <c r="Y2319" s="144"/>
      <c r="Z2319" s="141"/>
      <c r="AA2319" s="141"/>
      <c r="AB2319" s="141"/>
      <c r="AC2319" s="141"/>
      <c r="AD2319" s="141"/>
      <c r="AE2319" s="141"/>
      <c r="AF2319" s="145"/>
      <c r="AG2319" s="419"/>
    </row>
    <row r="2320" spans="1:33" s="139" customFormat="1" ht="12.75" customHeight="1" x14ac:dyDescent="0.2">
      <c r="A2320" s="141"/>
      <c r="B2320" s="141"/>
      <c r="C2320" s="141"/>
      <c r="D2320" s="141"/>
      <c r="E2320" s="1014"/>
      <c r="F2320" s="1014"/>
      <c r="G2320" s="1027"/>
      <c r="H2320" s="1027"/>
      <c r="I2320" s="1174"/>
      <c r="J2320" s="1174"/>
      <c r="K2320" s="1174"/>
      <c r="L2320" s="1172"/>
      <c r="M2320" s="1172"/>
      <c r="N2320" s="1175"/>
      <c r="O2320" s="143"/>
      <c r="P2320" s="1196"/>
      <c r="Q2320" s="141"/>
      <c r="R2320" s="141"/>
      <c r="S2320" s="148"/>
      <c r="T2320" s="419"/>
      <c r="U2320" s="559"/>
      <c r="V2320" s="141"/>
      <c r="W2320" s="141"/>
      <c r="X2320" s="141"/>
      <c r="Y2320" s="144"/>
      <c r="Z2320" s="141"/>
      <c r="AA2320" s="141"/>
      <c r="AB2320" s="141"/>
      <c r="AC2320" s="141"/>
      <c r="AD2320" s="141"/>
      <c r="AE2320" s="141"/>
      <c r="AF2320" s="145"/>
      <c r="AG2320" s="419"/>
    </row>
    <row r="2321" spans="1:33" s="139" customFormat="1" ht="12.75" customHeight="1" x14ac:dyDescent="0.2">
      <c r="A2321" s="141"/>
      <c r="B2321" s="141"/>
      <c r="C2321" s="141"/>
      <c r="D2321" s="141"/>
      <c r="E2321" s="1014"/>
      <c r="F2321" s="1014"/>
      <c r="G2321" s="1027"/>
      <c r="H2321" s="1027"/>
      <c r="I2321" s="1174"/>
      <c r="J2321" s="1174"/>
      <c r="K2321" s="1174"/>
      <c r="L2321" s="1172"/>
      <c r="M2321" s="1172"/>
      <c r="N2321" s="1175"/>
      <c r="O2321" s="143"/>
      <c r="P2321" s="1196"/>
      <c r="Q2321" s="141"/>
      <c r="R2321" s="141"/>
      <c r="S2321" s="148"/>
      <c r="T2321" s="419"/>
      <c r="U2321" s="559"/>
      <c r="V2321" s="141"/>
      <c r="W2321" s="141"/>
      <c r="X2321" s="141"/>
      <c r="Y2321" s="144"/>
      <c r="Z2321" s="141"/>
      <c r="AA2321" s="141"/>
      <c r="AB2321" s="141"/>
      <c r="AC2321" s="141"/>
      <c r="AD2321" s="141"/>
      <c r="AE2321" s="141"/>
      <c r="AF2321" s="145"/>
      <c r="AG2321" s="419"/>
    </row>
    <row r="2322" spans="1:33" s="139" customFormat="1" ht="12.75" customHeight="1" x14ac:dyDescent="0.2">
      <c r="A2322" s="141"/>
      <c r="B2322" s="141"/>
      <c r="C2322" s="141"/>
      <c r="D2322" s="141"/>
      <c r="E2322" s="1014"/>
      <c r="F2322" s="1014"/>
      <c r="G2322" s="1027"/>
      <c r="H2322" s="1027"/>
      <c r="I2322" s="1174"/>
      <c r="J2322" s="1174"/>
      <c r="K2322" s="1174"/>
      <c r="L2322" s="1172"/>
      <c r="M2322" s="1172"/>
      <c r="N2322" s="1175"/>
      <c r="O2322" s="143"/>
      <c r="P2322" s="1196"/>
      <c r="Q2322" s="141"/>
      <c r="R2322" s="141"/>
      <c r="S2322" s="148"/>
      <c r="T2322" s="419"/>
      <c r="U2322" s="559"/>
      <c r="V2322" s="141"/>
      <c r="W2322" s="141"/>
      <c r="X2322" s="141"/>
      <c r="Y2322" s="144"/>
      <c r="Z2322" s="141"/>
      <c r="AA2322" s="141"/>
      <c r="AB2322" s="141"/>
      <c r="AC2322" s="141"/>
      <c r="AD2322" s="141"/>
      <c r="AE2322" s="141"/>
      <c r="AF2322" s="145"/>
      <c r="AG2322" s="419"/>
    </row>
    <row r="2323" spans="1:33" s="139" customFormat="1" ht="12.75" customHeight="1" x14ac:dyDescent="0.2">
      <c r="A2323" s="141"/>
      <c r="B2323" s="141"/>
      <c r="C2323" s="141"/>
      <c r="D2323" s="141"/>
      <c r="E2323" s="1014"/>
      <c r="F2323" s="1014"/>
      <c r="G2323" s="1027"/>
      <c r="H2323" s="1027"/>
      <c r="I2323" s="1174"/>
      <c r="J2323" s="1174"/>
      <c r="K2323" s="1174"/>
      <c r="L2323" s="1172"/>
      <c r="M2323" s="1172"/>
      <c r="N2323" s="1175"/>
      <c r="O2323" s="143"/>
      <c r="P2323" s="1196"/>
      <c r="Q2323" s="141"/>
      <c r="R2323" s="141"/>
      <c r="S2323" s="148"/>
      <c r="T2323" s="419"/>
      <c r="U2323" s="559"/>
      <c r="V2323" s="141"/>
      <c r="W2323" s="141"/>
      <c r="X2323" s="141"/>
      <c r="Y2323" s="144"/>
      <c r="Z2323" s="141"/>
      <c r="AA2323" s="141"/>
      <c r="AB2323" s="141"/>
      <c r="AC2323" s="141"/>
      <c r="AD2323" s="141"/>
      <c r="AE2323" s="141"/>
      <c r="AF2323" s="145"/>
      <c r="AG2323" s="419"/>
    </row>
    <row r="2324" spans="1:33" s="139" customFormat="1" ht="12.75" customHeight="1" x14ac:dyDescent="0.2">
      <c r="A2324" s="141"/>
      <c r="B2324" s="141"/>
      <c r="C2324" s="141"/>
      <c r="D2324" s="141"/>
      <c r="E2324" s="1014"/>
      <c r="F2324" s="1014"/>
      <c r="G2324" s="1027"/>
      <c r="H2324" s="1027"/>
      <c r="I2324" s="1174"/>
      <c r="J2324" s="1174"/>
      <c r="K2324" s="1174"/>
      <c r="L2324" s="1172"/>
      <c r="M2324" s="1172"/>
      <c r="N2324" s="1175"/>
      <c r="O2324" s="143"/>
      <c r="P2324" s="1196"/>
      <c r="Q2324" s="141"/>
      <c r="R2324" s="141"/>
      <c r="S2324" s="148"/>
      <c r="T2324" s="419"/>
      <c r="U2324" s="559"/>
      <c r="V2324" s="141"/>
      <c r="W2324" s="141"/>
      <c r="X2324" s="141"/>
      <c r="Y2324" s="144"/>
      <c r="Z2324" s="141"/>
      <c r="AA2324" s="141"/>
      <c r="AB2324" s="141"/>
      <c r="AC2324" s="141"/>
      <c r="AD2324" s="141"/>
      <c r="AE2324" s="141"/>
      <c r="AF2324" s="145"/>
      <c r="AG2324" s="419"/>
    </row>
    <row r="2325" spans="1:33" s="139" customFormat="1" ht="12.75" customHeight="1" x14ac:dyDescent="0.2">
      <c r="A2325" s="141"/>
      <c r="B2325" s="141"/>
      <c r="C2325" s="141"/>
      <c r="D2325" s="141"/>
      <c r="E2325" s="1014"/>
      <c r="F2325" s="1014"/>
      <c r="G2325" s="1027"/>
      <c r="H2325" s="1027"/>
      <c r="I2325" s="1174"/>
      <c r="J2325" s="1174"/>
      <c r="K2325" s="1174"/>
      <c r="L2325" s="1172"/>
      <c r="M2325" s="1172"/>
      <c r="N2325" s="1175"/>
      <c r="O2325" s="143"/>
      <c r="P2325" s="1196"/>
      <c r="Q2325" s="141"/>
      <c r="R2325" s="141"/>
      <c r="S2325" s="148"/>
      <c r="T2325" s="419"/>
      <c r="U2325" s="559"/>
      <c r="V2325" s="141"/>
      <c r="W2325" s="141"/>
      <c r="X2325" s="141"/>
      <c r="Y2325" s="144"/>
      <c r="Z2325" s="141"/>
      <c r="AA2325" s="141"/>
      <c r="AB2325" s="141"/>
      <c r="AC2325" s="141"/>
      <c r="AD2325" s="141"/>
      <c r="AE2325" s="141"/>
      <c r="AF2325" s="145"/>
      <c r="AG2325" s="419"/>
    </row>
    <row r="2326" spans="1:33" s="139" customFormat="1" ht="12.75" customHeight="1" x14ac:dyDescent="0.2">
      <c r="A2326" s="141"/>
      <c r="B2326" s="141"/>
      <c r="C2326" s="141"/>
      <c r="D2326" s="141"/>
      <c r="E2326" s="1014"/>
      <c r="F2326" s="1014"/>
      <c r="G2326" s="1027"/>
      <c r="H2326" s="1027"/>
      <c r="I2326" s="1174"/>
      <c r="J2326" s="1174"/>
      <c r="K2326" s="1174"/>
      <c r="L2326" s="1172"/>
      <c r="M2326" s="1172"/>
      <c r="N2326" s="1175"/>
      <c r="O2326" s="143"/>
      <c r="P2326" s="1196"/>
      <c r="Q2326" s="141"/>
      <c r="R2326" s="141"/>
      <c r="S2326" s="148"/>
      <c r="T2326" s="419"/>
      <c r="U2326" s="559"/>
      <c r="V2326" s="141"/>
      <c r="W2326" s="141"/>
      <c r="X2326" s="141"/>
      <c r="Y2326" s="144"/>
      <c r="Z2326" s="141"/>
      <c r="AA2326" s="141"/>
      <c r="AB2326" s="141"/>
      <c r="AC2326" s="141"/>
      <c r="AD2326" s="141"/>
      <c r="AE2326" s="141"/>
      <c r="AF2326" s="145"/>
      <c r="AG2326" s="419"/>
    </row>
    <row r="2327" spans="1:33" s="139" customFormat="1" ht="12.75" customHeight="1" x14ac:dyDescent="0.2">
      <c r="A2327" s="141"/>
      <c r="B2327" s="141"/>
      <c r="C2327" s="141"/>
      <c r="D2327" s="141"/>
      <c r="E2327" s="1014"/>
      <c r="F2327" s="1014"/>
      <c r="G2327" s="1027"/>
      <c r="H2327" s="1027"/>
      <c r="I2327" s="1174"/>
      <c r="J2327" s="1174"/>
      <c r="K2327" s="1174"/>
      <c r="L2327" s="1172"/>
      <c r="M2327" s="1172"/>
      <c r="N2327" s="1175"/>
      <c r="O2327" s="143"/>
      <c r="P2327" s="1196"/>
      <c r="Q2327" s="141"/>
      <c r="R2327" s="141"/>
      <c r="S2327" s="148"/>
      <c r="T2327" s="419"/>
      <c r="U2327" s="559"/>
      <c r="V2327" s="141"/>
      <c r="W2327" s="141"/>
      <c r="X2327" s="141"/>
      <c r="Y2327" s="144"/>
      <c r="Z2327" s="141"/>
      <c r="AA2327" s="141"/>
      <c r="AB2327" s="141"/>
      <c r="AC2327" s="141"/>
      <c r="AD2327" s="141"/>
      <c r="AE2327" s="141"/>
      <c r="AF2327" s="145"/>
      <c r="AG2327" s="419"/>
    </row>
    <row r="2328" spans="1:33" s="139" customFormat="1" ht="12.75" customHeight="1" x14ac:dyDescent="0.2">
      <c r="A2328" s="141"/>
      <c r="B2328" s="141"/>
      <c r="C2328" s="141"/>
      <c r="D2328" s="141"/>
      <c r="E2328" s="1014"/>
      <c r="F2328" s="1014"/>
      <c r="G2328" s="1027"/>
      <c r="H2328" s="1027"/>
      <c r="I2328" s="1174"/>
      <c r="J2328" s="1174"/>
      <c r="K2328" s="1174"/>
      <c r="L2328" s="1172"/>
      <c r="M2328" s="1172"/>
      <c r="N2328" s="1175"/>
      <c r="O2328" s="143"/>
      <c r="P2328" s="1196"/>
      <c r="Q2328" s="141"/>
      <c r="R2328" s="141"/>
      <c r="S2328" s="148"/>
      <c r="T2328" s="419"/>
      <c r="U2328" s="559"/>
      <c r="V2328" s="141"/>
      <c r="W2328" s="141"/>
      <c r="X2328" s="141"/>
      <c r="Y2328" s="144"/>
      <c r="Z2328" s="141"/>
      <c r="AA2328" s="141"/>
      <c r="AB2328" s="141"/>
      <c r="AC2328" s="141"/>
      <c r="AD2328" s="141"/>
      <c r="AE2328" s="141"/>
      <c r="AF2328" s="145"/>
      <c r="AG2328" s="419"/>
    </row>
    <row r="2329" spans="1:33" s="139" customFormat="1" ht="12.75" customHeight="1" x14ac:dyDescent="0.2">
      <c r="A2329" s="141"/>
      <c r="B2329" s="141"/>
      <c r="C2329" s="141"/>
      <c r="D2329" s="141"/>
      <c r="E2329" s="1014"/>
      <c r="F2329" s="1014"/>
      <c r="G2329" s="1027"/>
      <c r="H2329" s="1027"/>
      <c r="I2329" s="1174"/>
      <c r="J2329" s="1174"/>
      <c r="K2329" s="1174"/>
      <c r="L2329" s="1172"/>
      <c r="M2329" s="1172"/>
      <c r="N2329" s="1175"/>
      <c r="O2329" s="143"/>
      <c r="P2329" s="1196"/>
      <c r="Q2329" s="141"/>
      <c r="R2329" s="141"/>
      <c r="S2329" s="148"/>
      <c r="T2329" s="419"/>
      <c r="U2329" s="559"/>
      <c r="V2329" s="141"/>
      <c r="W2329" s="141"/>
      <c r="X2329" s="141"/>
      <c r="Y2329" s="144"/>
      <c r="Z2329" s="141"/>
      <c r="AA2329" s="141"/>
      <c r="AB2329" s="141"/>
      <c r="AC2329" s="141"/>
      <c r="AD2329" s="141"/>
      <c r="AE2329" s="141"/>
      <c r="AF2329" s="145"/>
      <c r="AG2329" s="419"/>
    </row>
    <row r="2330" spans="1:33" s="139" customFormat="1" ht="12.75" customHeight="1" x14ac:dyDescent="0.2">
      <c r="A2330" s="141"/>
      <c r="B2330" s="141"/>
      <c r="C2330" s="141"/>
      <c r="D2330" s="141"/>
      <c r="E2330" s="1014"/>
      <c r="F2330" s="1014"/>
      <c r="G2330" s="1027"/>
      <c r="H2330" s="1027"/>
      <c r="I2330" s="1174"/>
      <c r="J2330" s="1174"/>
      <c r="K2330" s="1174"/>
      <c r="L2330" s="1172"/>
      <c r="M2330" s="1172"/>
      <c r="N2330" s="1175"/>
      <c r="O2330" s="143"/>
      <c r="P2330" s="1196"/>
      <c r="Q2330" s="141"/>
      <c r="R2330" s="141"/>
      <c r="S2330" s="148"/>
      <c r="T2330" s="419"/>
      <c r="U2330" s="559"/>
      <c r="V2330" s="141"/>
      <c r="W2330" s="141"/>
      <c r="X2330" s="141"/>
      <c r="Y2330" s="144"/>
      <c r="Z2330" s="141"/>
      <c r="AA2330" s="141"/>
      <c r="AB2330" s="141"/>
      <c r="AC2330" s="141"/>
      <c r="AD2330" s="141"/>
      <c r="AE2330" s="141"/>
      <c r="AF2330" s="145"/>
      <c r="AG2330" s="419"/>
    </row>
    <row r="2331" spans="1:33" s="139" customFormat="1" ht="12.75" customHeight="1" x14ac:dyDescent="0.2">
      <c r="A2331" s="141"/>
      <c r="B2331" s="141"/>
      <c r="C2331" s="141"/>
      <c r="D2331" s="141"/>
      <c r="E2331" s="1014"/>
      <c r="F2331" s="1014"/>
      <c r="G2331" s="1027"/>
      <c r="H2331" s="1027"/>
      <c r="I2331" s="1174"/>
      <c r="J2331" s="1174"/>
      <c r="K2331" s="1174"/>
      <c r="L2331" s="1172"/>
      <c r="M2331" s="1172"/>
      <c r="N2331" s="1175"/>
      <c r="O2331" s="143"/>
      <c r="P2331" s="1196"/>
      <c r="Q2331" s="141"/>
      <c r="R2331" s="141"/>
      <c r="S2331" s="148"/>
      <c r="T2331" s="419"/>
      <c r="U2331" s="559"/>
      <c r="V2331" s="141"/>
      <c r="W2331" s="141"/>
      <c r="X2331" s="141"/>
      <c r="Y2331" s="144"/>
      <c r="Z2331" s="141"/>
      <c r="AA2331" s="141"/>
      <c r="AB2331" s="141"/>
      <c r="AC2331" s="141"/>
      <c r="AD2331" s="141"/>
      <c r="AE2331" s="141"/>
      <c r="AF2331" s="145"/>
      <c r="AG2331" s="419"/>
    </row>
    <row r="2332" spans="1:33" s="139" customFormat="1" ht="12.75" customHeight="1" x14ac:dyDescent="0.2">
      <c r="A2332" s="141"/>
      <c r="B2332" s="141"/>
      <c r="C2332" s="141"/>
      <c r="D2332" s="141"/>
      <c r="E2332" s="1014"/>
      <c r="F2332" s="1014"/>
      <c r="G2332" s="1027"/>
      <c r="H2332" s="1027"/>
      <c r="I2332" s="1174"/>
      <c r="J2332" s="1174"/>
      <c r="K2332" s="1174"/>
      <c r="L2332" s="1172"/>
      <c r="M2332" s="1172"/>
      <c r="N2332" s="1175"/>
      <c r="O2332" s="143"/>
      <c r="P2332" s="1196"/>
      <c r="Q2332" s="141"/>
      <c r="R2332" s="141"/>
      <c r="S2332" s="148"/>
      <c r="T2332" s="419"/>
      <c r="U2332" s="559"/>
      <c r="V2332" s="141"/>
      <c r="W2332" s="141"/>
      <c r="X2332" s="141"/>
      <c r="Y2332" s="144"/>
      <c r="Z2332" s="141"/>
      <c r="AA2332" s="141"/>
      <c r="AB2332" s="141"/>
      <c r="AC2332" s="141"/>
      <c r="AD2332" s="141"/>
      <c r="AE2332" s="141"/>
      <c r="AF2332" s="145"/>
      <c r="AG2332" s="419"/>
    </row>
    <row r="2333" spans="1:33" s="139" customFormat="1" ht="12.75" customHeight="1" x14ac:dyDescent="0.2">
      <c r="A2333" s="141"/>
      <c r="B2333" s="141"/>
      <c r="C2333" s="141"/>
      <c r="D2333" s="141"/>
      <c r="E2333" s="1014"/>
      <c r="F2333" s="1014"/>
      <c r="G2333" s="1027"/>
      <c r="H2333" s="1027"/>
      <c r="I2333" s="1174"/>
      <c r="J2333" s="1174"/>
      <c r="K2333" s="1174"/>
      <c r="L2333" s="1172"/>
      <c r="M2333" s="1172"/>
      <c r="N2333" s="1175"/>
      <c r="O2333" s="143"/>
      <c r="P2333" s="1196"/>
      <c r="Q2333" s="141"/>
      <c r="R2333" s="141"/>
      <c r="S2333" s="148"/>
      <c r="T2333" s="419"/>
      <c r="U2333" s="559"/>
      <c r="V2333" s="141"/>
      <c r="W2333" s="141"/>
      <c r="X2333" s="141"/>
      <c r="Y2333" s="144"/>
      <c r="Z2333" s="141"/>
      <c r="AA2333" s="141"/>
      <c r="AB2333" s="141"/>
      <c r="AC2333" s="141"/>
      <c r="AD2333" s="141"/>
      <c r="AE2333" s="141"/>
      <c r="AF2333" s="145"/>
      <c r="AG2333" s="419"/>
    </row>
    <row r="2334" spans="1:33" s="139" customFormat="1" ht="12.75" customHeight="1" x14ac:dyDescent="0.2">
      <c r="A2334" s="141"/>
      <c r="B2334" s="141"/>
      <c r="C2334" s="141"/>
      <c r="D2334" s="141"/>
      <c r="E2334" s="1014"/>
      <c r="F2334" s="1014"/>
      <c r="G2334" s="1027"/>
      <c r="H2334" s="1027"/>
      <c r="I2334" s="1174"/>
      <c r="J2334" s="1174"/>
      <c r="K2334" s="1174"/>
      <c r="L2334" s="1172"/>
      <c r="M2334" s="1172"/>
      <c r="N2334" s="1175"/>
      <c r="O2334" s="143"/>
      <c r="P2334" s="1196"/>
      <c r="Q2334" s="141"/>
      <c r="R2334" s="141"/>
      <c r="S2334" s="148"/>
      <c r="T2334" s="419"/>
      <c r="U2334" s="559"/>
      <c r="V2334" s="141"/>
      <c r="W2334" s="141"/>
      <c r="X2334" s="141"/>
      <c r="Y2334" s="144"/>
      <c r="Z2334" s="141"/>
      <c r="AA2334" s="141"/>
      <c r="AB2334" s="141"/>
      <c r="AC2334" s="141"/>
      <c r="AD2334" s="141"/>
      <c r="AE2334" s="141"/>
      <c r="AF2334" s="145"/>
      <c r="AG2334" s="419"/>
    </row>
    <row r="2335" spans="1:33" s="139" customFormat="1" ht="12.75" customHeight="1" x14ac:dyDescent="0.2">
      <c r="A2335" s="141"/>
      <c r="B2335" s="141"/>
      <c r="C2335" s="141"/>
      <c r="D2335" s="141"/>
      <c r="E2335" s="1014"/>
      <c r="F2335" s="1014"/>
      <c r="G2335" s="1027"/>
      <c r="H2335" s="1027"/>
      <c r="I2335" s="1174"/>
      <c r="J2335" s="1174"/>
      <c r="K2335" s="1174"/>
      <c r="L2335" s="1172"/>
      <c r="M2335" s="1172"/>
      <c r="N2335" s="1175"/>
      <c r="O2335" s="143"/>
      <c r="P2335" s="1196"/>
      <c r="Q2335" s="141"/>
      <c r="R2335" s="141"/>
      <c r="S2335" s="148"/>
      <c r="T2335" s="419"/>
      <c r="U2335" s="559"/>
      <c r="V2335" s="141"/>
      <c r="W2335" s="141"/>
      <c r="X2335" s="141"/>
      <c r="Y2335" s="144"/>
      <c r="Z2335" s="141"/>
      <c r="AA2335" s="141"/>
      <c r="AB2335" s="141"/>
      <c r="AC2335" s="141"/>
      <c r="AD2335" s="141"/>
      <c r="AE2335" s="141"/>
      <c r="AF2335" s="145"/>
      <c r="AG2335" s="419"/>
    </row>
    <row r="2336" spans="1:33" s="139" customFormat="1" ht="12.75" customHeight="1" x14ac:dyDescent="0.2">
      <c r="A2336" s="141"/>
      <c r="B2336" s="141"/>
      <c r="C2336" s="141"/>
      <c r="D2336" s="141"/>
      <c r="E2336" s="1014"/>
      <c r="F2336" s="1014"/>
      <c r="G2336" s="1027"/>
      <c r="H2336" s="1027"/>
      <c r="I2336" s="1174"/>
      <c r="J2336" s="1174"/>
      <c r="K2336" s="1174"/>
      <c r="L2336" s="1172"/>
      <c r="M2336" s="1172"/>
      <c r="N2336" s="1175"/>
      <c r="O2336" s="143"/>
      <c r="P2336" s="1196"/>
      <c r="Q2336" s="141"/>
      <c r="R2336" s="141"/>
      <c r="S2336" s="148"/>
      <c r="T2336" s="419"/>
      <c r="U2336" s="559"/>
      <c r="V2336" s="141"/>
      <c r="W2336" s="141"/>
      <c r="X2336" s="141"/>
      <c r="Y2336" s="144"/>
      <c r="Z2336" s="141"/>
      <c r="AA2336" s="141"/>
      <c r="AB2336" s="141"/>
      <c r="AC2336" s="141"/>
      <c r="AD2336" s="141"/>
      <c r="AE2336" s="141"/>
      <c r="AF2336" s="145"/>
      <c r="AG2336" s="419"/>
    </row>
    <row r="2337" spans="1:33" s="139" customFormat="1" ht="12.75" customHeight="1" x14ac:dyDescent="0.2">
      <c r="A2337" s="141"/>
      <c r="B2337" s="141"/>
      <c r="C2337" s="141"/>
      <c r="D2337" s="141"/>
      <c r="E2337" s="1014"/>
      <c r="F2337" s="1014"/>
      <c r="G2337" s="1027"/>
      <c r="H2337" s="1027"/>
      <c r="I2337" s="1174"/>
      <c r="J2337" s="1174"/>
      <c r="K2337" s="1174"/>
      <c r="L2337" s="1172"/>
      <c r="M2337" s="1172"/>
      <c r="N2337" s="1175"/>
      <c r="O2337" s="143"/>
      <c r="P2337" s="1196"/>
      <c r="Q2337" s="141"/>
      <c r="R2337" s="141"/>
      <c r="S2337" s="148"/>
      <c r="T2337" s="419"/>
      <c r="U2337" s="559"/>
      <c r="V2337" s="141"/>
      <c r="W2337" s="141"/>
      <c r="X2337" s="141"/>
      <c r="Y2337" s="144"/>
      <c r="Z2337" s="141"/>
      <c r="AA2337" s="141"/>
      <c r="AB2337" s="141"/>
      <c r="AC2337" s="141"/>
      <c r="AD2337" s="141"/>
      <c r="AE2337" s="141"/>
      <c r="AF2337" s="145"/>
      <c r="AG2337" s="419"/>
    </row>
    <row r="2338" spans="1:33" s="139" customFormat="1" ht="12.75" customHeight="1" x14ac:dyDescent="0.2">
      <c r="A2338" s="141"/>
      <c r="B2338" s="141"/>
      <c r="C2338" s="141"/>
      <c r="D2338" s="141"/>
      <c r="E2338" s="1014"/>
      <c r="F2338" s="1014"/>
      <c r="G2338" s="1027"/>
      <c r="H2338" s="1027"/>
      <c r="I2338" s="1174"/>
      <c r="J2338" s="1174"/>
      <c r="K2338" s="1174"/>
      <c r="L2338" s="1172"/>
      <c r="M2338" s="1172"/>
      <c r="N2338" s="1175"/>
      <c r="O2338" s="143"/>
      <c r="P2338" s="1196"/>
      <c r="Q2338" s="141"/>
      <c r="R2338" s="141"/>
      <c r="S2338" s="148"/>
      <c r="T2338" s="419"/>
      <c r="U2338" s="559"/>
      <c r="V2338" s="141"/>
      <c r="W2338" s="141"/>
      <c r="X2338" s="141"/>
      <c r="Y2338" s="144"/>
      <c r="Z2338" s="141"/>
      <c r="AA2338" s="141"/>
      <c r="AB2338" s="141"/>
      <c r="AC2338" s="141"/>
      <c r="AD2338" s="141"/>
      <c r="AE2338" s="141"/>
      <c r="AF2338" s="145"/>
      <c r="AG2338" s="419"/>
    </row>
    <row r="2339" spans="1:33" s="139" customFormat="1" ht="12.75" customHeight="1" x14ac:dyDescent="0.2">
      <c r="A2339" s="141"/>
      <c r="B2339" s="141"/>
      <c r="C2339" s="141"/>
      <c r="D2339" s="141"/>
      <c r="E2339" s="1014"/>
      <c r="F2339" s="1014"/>
      <c r="G2339" s="1027"/>
      <c r="H2339" s="1027"/>
      <c r="I2339" s="1174"/>
      <c r="J2339" s="1174"/>
      <c r="K2339" s="1174"/>
      <c r="L2339" s="1172"/>
      <c r="M2339" s="1172"/>
      <c r="N2339" s="1175"/>
      <c r="O2339" s="143"/>
      <c r="P2339" s="1196"/>
      <c r="Q2339" s="141"/>
      <c r="R2339" s="141"/>
      <c r="S2339" s="148"/>
      <c r="T2339" s="419"/>
      <c r="U2339" s="559"/>
      <c r="V2339" s="141"/>
      <c r="W2339" s="141"/>
      <c r="X2339" s="141"/>
      <c r="Y2339" s="144"/>
      <c r="Z2339" s="141"/>
      <c r="AA2339" s="141"/>
      <c r="AB2339" s="141"/>
      <c r="AC2339" s="141"/>
      <c r="AD2339" s="141"/>
      <c r="AE2339" s="141"/>
      <c r="AF2339" s="145"/>
      <c r="AG2339" s="419"/>
    </row>
    <row r="2340" spans="1:33" s="139" customFormat="1" ht="12.75" customHeight="1" x14ac:dyDescent="0.2">
      <c r="A2340" s="141"/>
      <c r="B2340" s="141"/>
      <c r="C2340" s="141"/>
      <c r="D2340" s="141"/>
      <c r="E2340" s="1014"/>
      <c r="F2340" s="1014"/>
      <c r="G2340" s="1027"/>
      <c r="H2340" s="1027"/>
      <c r="I2340" s="1174"/>
      <c r="J2340" s="1174"/>
      <c r="K2340" s="1174"/>
      <c r="L2340" s="1172"/>
      <c r="M2340" s="1172"/>
      <c r="N2340" s="1175"/>
      <c r="O2340" s="143"/>
      <c r="P2340" s="1196"/>
      <c r="Q2340" s="141"/>
      <c r="R2340" s="141"/>
      <c r="S2340" s="148"/>
      <c r="T2340" s="419"/>
      <c r="U2340" s="559"/>
      <c r="V2340" s="141"/>
      <c r="W2340" s="141"/>
      <c r="X2340" s="141"/>
      <c r="Y2340" s="144"/>
      <c r="Z2340" s="141"/>
      <c r="AA2340" s="141"/>
      <c r="AB2340" s="141"/>
      <c r="AC2340" s="141"/>
      <c r="AD2340" s="141"/>
      <c r="AE2340" s="141"/>
      <c r="AF2340" s="145"/>
      <c r="AG2340" s="419"/>
    </row>
    <row r="2341" spans="1:33" s="139" customFormat="1" ht="12.75" customHeight="1" x14ac:dyDescent="0.2">
      <c r="A2341" s="141"/>
      <c r="B2341" s="141"/>
      <c r="C2341" s="141"/>
      <c r="D2341" s="141"/>
      <c r="E2341" s="1014"/>
      <c r="F2341" s="1014"/>
      <c r="G2341" s="1027"/>
      <c r="H2341" s="1027"/>
      <c r="I2341" s="1174"/>
      <c r="J2341" s="1174"/>
      <c r="K2341" s="1174"/>
      <c r="L2341" s="1172"/>
      <c r="M2341" s="1172"/>
      <c r="N2341" s="1175"/>
      <c r="O2341" s="143"/>
      <c r="P2341" s="1196"/>
      <c r="Q2341" s="141"/>
      <c r="R2341" s="141"/>
      <c r="S2341" s="148"/>
      <c r="T2341" s="419"/>
      <c r="U2341" s="559"/>
      <c r="V2341" s="141"/>
      <c r="W2341" s="141"/>
      <c r="X2341" s="141"/>
      <c r="Y2341" s="144"/>
      <c r="Z2341" s="141"/>
      <c r="AA2341" s="141"/>
      <c r="AB2341" s="141"/>
      <c r="AC2341" s="141"/>
      <c r="AD2341" s="141"/>
      <c r="AE2341" s="141"/>
      <c r="AF2341" s="145"/>
      <c r="AG2341" s="419"/>
    </row>
    <row r="2342" spans="1:33" s="139" customFormat="1" ht="12.75" customHeight="1" x14ac:dyDescent="0.2">
      <c r="A2342" s="141"/>
      <c r="B2342" s="141"/>
      <c r="C2342" s="141"/>
      <c r="D2342" s="141"/>
      <c r="E2342" s="1014"/>
      <c r="F2342" s="1014"/>
      <c r="G2342" s="1027"/>
      <c r="H2342" s="1027"/>
      <c r="I2342" s="1174"/>
      <c r="J2342" s="1174"/>
      <c r="K2342" s="1174"/>
      <c r="L2342" s="1172"/>
      <c r="M2342" s="1172"/>
      <c r="N2342" s="1175"/>
      <c r="O2342" s="143"/>
      <c r="P2342" s="1196"/>
      <c r="Q2342" s="141"/>
      <c r="R2342" s="141"/>
      <c r="S2342" s="148"/>
      <c r="T2342" s="419"/>
      <c r="U2342" s="559"/>
      <c r="V2342" s="141"/>
      <c r="W2342" s="141"/>
      <c r="X2342" s="141"/>
      <c r="Y2342" s="144"/>
      <c r="Z2342" s="141"/>
      <c r="AA2342" s="141"/>
      <c r="AB2342" s="141"/>
      <c r="AC2342" s="141"/>
      <c r="AD2342" s="141"/>
      <c r="AE2342" s="141"/>
      <c r="AF2342" s="145"/>
      <c r="AG2342" s="419"/>
    </row>
    <row r="2343" spans="1:33" s="139" customFormat="1" ht="12.75" customHeight="1" x14ac:dyDescent="0.2">
      <c r="A2343" s="141"/>
      <c r="B2343" s="141"/>
      <c r="C2343" s="141"/>
      <c r="D2343" s="141"/>
      <c r="E2343" s="1014"/>
      <c r="F2343" s="1014"/>
      <c r="G2343" s="1027"/>
      <c r="H2343" s="1027"/>
      <c r="I2343" s="1174"/>
      <c r="J2343" s="1174"/>
      <c r="K2343" s="1174"/>
      <c r="L2343" s="1172"/>
      <c r="M2343" s="1172"/>
      <c r="N2343" s="1175"/>
      <c r="O2343" s="143"/>
      <c r="P2343" s="1196"/>
      <c r="Q2343" s="141"/>
      <c r="R2343" s="141"/>
      <c r="S2343" s="148"/>
      <c r="T2343" s="419"/>
      <c r="U2343" s="559"/>
      <c r="V2343" s="141"/>
      <c r="W2343" s="141"/>
      <c r="X2343" s="141"/>
      <c r="Y2343" s="144"/>
      <c r="Z2343" s="141"/>
      <c r="AA2343" s="141"/>
      <c r="AB2343" s="141"/>
      <c r="AC2343" s="141"/>
      <c r="AD2343" s="141"/>
      <c r="AE2343" s="141"/>
      <c r="AF2343" s="145"/>
      <c r="AG2343" s="419"/>
    </row>
    <row r="2344" spans="1:33" s="139" customFormat="1" ht="12.75" customHeight="1" x14ac:dyDescent="0.2">
      <c r="A2344" s="141"/>
      <c r="B2344" s="141"/>
      <c r="C2344" s="141"/>
      <c r="D2344" s="141"/>
      <c r="E2344" s="1014"/>
      <c r="F2344" s="1014"/>
      <c r="G2344" s="1027"/>
      <c r="H2344" s="1027"/>
      <c r="I2344" s="1174"/>
      <c r="J2344" s="1174"/>
      <c r="K2344" s="1174"/>
      <c r="L2344" s="1172"/>
      <c r="M2344" s="1172"/>
      <c r="N2344" s="1175"/>
      <c r="O2344" s="143"/>
      <c r="P2344" s="1196"/>
      <c r="Q2344" s="141"/>
      <c r="R2344" s="141"/>
      <c r="S2344" s="148"/>
      <c r="T2344" s="419"/>
      <c r="U2344" s="559"/>
      <c r="V2344" s="141"/>
      <c r="W2344" s="141"/>
      <c r="X2344" s="141"/>
      <c r="Y2344" s="144"/>
      <c r="Z2344" s="141"/>
      <c r="AA2344" s="141"/>
      <c r="AB2344" s="141"/>
      <c r="AC2344" s="141"/>
      <c r="AD2344" s="141"/>
      <c r="AE2344" s="141"/>
      <c r="AF2344" s="145"/>
      <c r="AG2344" s="419"/>
    </row>
    <row r="2345" spans="1:33" s="139" customFormat="1" ht="12.75" customHeight="1" x14ac:dyDescent="0.2">
      <c r="A2345" s="141"/>
      <c r="B2345" s="141"/>
      <c r="C2345" s="141"/>
      <c r="D2345" s="141"/>
      <c r="E2345" s="1014"/>
      <c r="F2345" s="1014"/>
      <c r="G2345" s="1027"/>
      <c r="H2345" s="1027"/>
      <c r="I2345" s="1174"/>
      <c r="J2345" s="1174"/>
      <c r="K2345" s="1174"/>
      <c r="L2345" s="1172"/>
      <c r="M2345" s="1172"/>
      <c r="N2345" s="1175"/>
      <c r="O2345" s="143"/>
      <c r="P2345" s="1196"/>
      <c r="Q2345" s="141"/>
      <c r="R2345" s="141"/>
      <c r="S2345" s="148"/>
      <c r="T2345" s="419"/>
      <c r="U2345" s="559"/>
      <c r="V2345" s="141"/>
      <c r="W2345" s="141"/>
      <c r="X2345" s="141"/>
      <c r="Y2345" s="144"/>
      <c r="Z2345" s="141"/>
      <c r="AA2345" s="141"/>
      <c r="AB2345" s="141"/>
      <c r="AC2345" s="141"/>
      <c r="AD2345" s="141"/>
      <c r="AE2345" s="141"/>
      <c r="AF2345" s="145"/>
      <c r="AG2345" s="419"/>
    </row>
    <row r="2346" spans="1:33" s="139" customFormat="1" ht="12.75" customHeight="1" x14ac:dyDescent="0.2">
      <c r="A2346" s="141"/>
      <c r="B2346" s="141"/>
      <c r="C2346" s="141"/>
      <c r="D2346" s="141"/>
      <c r="E2346" s="1014"/>
      <c r="F2346" s="1014"/>
      <c r="G2346" s="1027"/>
      <c r="H2346" s="1027"/>
      <c r="I2346" s="1174"/>
      <c r="J2346" s="1174"/>
      <c r="K2346" s="1174"/>
      <c r="L2346" s="1172"/>
      <c r="M2346" s="1172"/>
      <c r="N2346" s="1175"/>
      <c r="O2346" s="143"/>
      <c r="P2346" s="1196"/>
      <c r="Q2346" s="141"/>
      <c r="R2346" s="141"/>
      <c r="S2346" s="148"/>
      <c r="T2346" s="419"/>
      <c r="U2346" s="559"/>
      <c r="V2346" s="141"/>
      <c r="W2346" s="141"/>
      <c r="X2346" s="141"/>
      <c r="Y2346" s="144"/>
      <c r="Z2346" s="141"/>
      <c r="AA2346" s="141"/>
      <c r="AB2346" s="141"/>
      <c r="AC2346" s="141"/>
      <c r="AD2346" s="141"/>
      <c r="AE2346" s="141"/>
      <c r="AF2346" s="145"/>
      <c r="AG2346" s="419"/>
    </row>
    <row r="2347" spans="1:33" s="139" customFormat="1" ht="12.75" customHeight="1" x14ac:dyDescent="0.2">
      <c r="A2347" s="141"/>
      <c r="B2347" s="141"/>
      <c r="C2347" s="141"/>
      <c r="D2347" s="141"/>
      <c r="E2347" s="1014"/>
      <c r="F2347" s="1014"/>
      <c r="G2347" s="1027"/>
      <c r="H2347" s="1027"/>
      <c r="I2347" s="1174"/>
      <c r="J2347" s="1174"/>
      <c r="K2347" s="1174"/>
      <c r="L2347" s="1172"/>
      <c r="M2347" s="1172"/>
      <c r="N2347" s="1175"/>
      <c r="O2347" s="143"/>
      <c r="P2347" s="1196"/>
      <c r="Q2347" s="141"/>
      <c r="R2347" s="141"/>
      <c r="S2347" s="148"/>
      <c r="T2347" s="419"/>
      <c r="U2347" s="559"/>
      <c r="V2347" s="141"/>
      <c r="W2347" s="141"/>
      <c r="X2347" s="141"/>
      <c r="Y2347" s="144"/>
      <c r="Z2347" s="141"/>
      <c r="AA2347" s="141"/>
      <c r="AB2347" s="141"/>
      <c r="AC2347" s="141"/>
      <c r="AD2347" s="141"/>
      <c r="AE2347" s="141"/>
      <c r="AF2347" s="145"/>
      <c r="AG2347" s="419"/>
    </row>
    <row r="2348" spans="1:33" s="139" customFormat="1" ht="12.75" customHeight="1" x14ac:dyDescent="0.2">
      <c r="A2348" s="141"/>
      <c r="B2348" s="141"/>
      <c r="C2348" s="141"/>
      <c r="D2348" s="141"/>
      <c r="E2348" s="1014"/>
      <c r="F2348" s="1014"/>
      <c r="G2348" s="1027"/>
      <c r="H2348" s="1027"/>
      <c r="I2348" s="1174"/>
      <c r="J2348" s="1174"/>
      <c r="K2348" s="1174"/>
      <c r="L2348" s="1172"/>
      <c r="M2348" s="1172"/>
      <c r="N2348" s="1175"/>
      <c r="O2348" s="143"/>
      <c r="P2348" s="1196"/>
      <c r="Q2348" s="141"/>
      <c r="R2348" s="141"/>
      <c r="S2348" s="148"/>
      <c r="T2348" s="419"/>
      <c r="U2348" s="559"/>
      <c r="V2348" s="141"/>
      <c r="W2348" s="141"/>
      <c r="X2348" s="141"/>
      <c r="Y2348" s="144"/>
      <c r="Z2348" s="141"/>
      <c r="AA2348" s="141"/>
      <c r="AB2348" s="141"/>
      <c r="AC2348" s="141"/>
      <c r="AD2348" s="141"/>
      <c r="AE2348" s="141"/>
      <c r="AF2348" s="145"/>
      <c r="AG2348" s="419"/>
    </row>
    <row r="2349" spans="1:33" s="139" customFormat="1" ht="12.75" customHeight="1" x14ac:dyDescent="0.2">
      <c r="A2349" s="141"/>
      <c r="B2349" s="141"/>
      <c r="C2349" s="141"/>
      <c r="D2349" s="141"/>
      <c r="E2349" s="1014"/>
      <c r="F2349" s="1014"/>
      <c r="G2349" s="1027"/>
      <c r="H2349" s="1027"/>
      <c r="I2349" s="1174"/>
      <c r="J2349" s="1174"/>
      <c r="K2349" s="1174"/>
      <c r="L2349" s="1172"/>
      <c r="M2349" s="1172"/>
      <c r="N2349" s="1175"/>
      <c r="O2349" s="143"/>
      <c r="P2349" s="1196"/>
      <c r="Q2349" s="141"/>
      <c r="R2349" s="141"/>
      <c r="S2349" s="148"/>
      <c r="T2349" s="419"/>
      <c r="U2349" s="559"/>
      <c r="V2349" s="141"/>
      <c r="W2349" s="141"/>
      <c r="X2349" s="141"/>
      <c r="Y2349" s="144"/>
      <c r="Z2349" s="141"/>
      <c r="AA2349" s="141"/>
      <c r="AB2349" s="141"/>
      <c r="AC2349" s="141"/>
      <c r="AD2349" s="141"/>
      <c r="AE2349" s="141"/>
      <c r="AF2349" s="145"/>
      <c r="AG2349" s="419"/>
    </row>
    <row r="2350" spans="1:33" s="139" customFormat="1" ht="12.75" customHeight="1" x14ac:dyDescent="0.2">
      <c r="A2350" s="141"/>
      <c r="B2350" s="141"/>
      <c r="C2350" s="141"/>
      <c r="D2350" s="141"/>
      <c r="E2350" s="1014"/>
      <c r="F2350" s="1014"/>
      <c r="G2350" s="1027"/>
      <c r="H2350" s="1027"/>
      <c r="I2350" s="1174"/>
      <c r="J2350" s="1174"/>
      <c r="K2350" s="1174"/>
      <c r="L2350" s="1172"/>
      <c r="M2350" s="1172"/>
      <c r="N2350" s="1175"/>
      <c r="O2350" s="143"/>
      <c r="P2350" s="1196"/>
      <c r="Q2350" s="141"/>
      <c r="R2350" s="141"/>
      <c r="S2350" s="148"/>
      <c r="T2350" s="419"/>
      <c r="U2350" s="559"/>
      <c r="V2350" s="141"/>
      <c r="W2350" s="141"/>
      <c r="X2350" s="141"/>
      <c r="Y2350" s="144"/>
      <c r="Z2350" s="141"/>
      <c r="AA2350" s="141"/>
      <c r="AB2350" s="141"/>
      <c r="AC2350" s="141"/>
      <c r="AD2350" s="141"/>
      <c r="AE2350" s="141"/>
      <c r="AF2350" s="145"/>
      <c r="AG2350" s="419"/>
    </row>
    <row r="2351" spans="1:33" s="139" customFormat="1" ht="12.75" customHeight="1" x14ac:dyDescent="0.2">
      <c r="A2351" s="141"/>
      <c r="B2351" s="141"/>
      <c r="C2351" s="141"/>
      <c r="D2351" s="141"/>
      <c r="E2351" s="1014"/>
      <c r="F2351" s="1014"/>
      <c r="G2351" s="1027"/>
      <c r="H2351" s="1027"/>
      <c r="I2351" s="1174"/>
      <c r="J2351" s="1174"/>
      <c r="K2351" s="1174"/>
      <c r="L2351" s="1172"/>
      <c r="M2351" s="1172"/>
      <c r="N2351" s="1175"/>
      <c r="O2351" s="143"/>
      <c r="P2351" s="1196"/>
      <c r="Q2351" s="141"/>
      <c r="R2351" s="141"/>
      <c r="S2351" s="148"/>
      <c r="T2351" s="419"/>
      <c r="U2351" s="559"/>
      <c r="V2351" s="141"/>
      <c r="W2351" s="141"/>
      <c r="X2351" s="141"/>
      <c r="Y2351" s="144"/>
      <c r="Z2351" s="141"/>
      <c r="AA2351" s="141"/>
      <c r="AB2351" s="141"/>
      <c r="AC2351" s="141"/>
      <c r="AD2351" s="141"/>
      <c r="AE2351" s="141"/>
      <c r="AF2351" s="145"/>
      <c r="AG2351" s="419"/>
    </row>
    <row r="2352" spans="1:33" s="139" customFormat="1" ht="12.75" customHeight="1" x14ac:dyDescent="0.2">
      <c r="A2352" s="141"/>
      <c r="B2352" s="141"/>
      <c r="C2352" s="141"/>
      <c r="D2352" s="141"/>
      <c r="E2352" s="1014"/>
      <c r="F2352" s="1014"/>
      <c r="G2352" s="1027"/>
      <c r="H2352" s="1027"/>
      <c r="I2352" s="1174"/>
      <c r="J2352" s="1174"/>
      <c r="K2352" s="1174"/>
      <c r="L2352" s="1172"/>
      <c r="M2352" s="1172"/>
      <c r="N2352" s="1175"/>
      <c r="O2352" s="143"/>
      <c r="P2352" s="1196"/>
      <c r="Q2352" s="141"/>
      <c r="R2352" s="141"/>
      <c r="S2352" s="148"/>
      <c r="T2352" s="419"/>
      <c r="U2352" s="559"/>
      <c r="V2352" s="141"/>
      <c r="W2352" s="141"/>
      <c r="X2352" s="141"/>
      <c r="Y2352" s="144"/>
      <c r="Z2352" s="141"/>
      <c r="AA2352" s="141"/>
      <c r="AB2352" s="141"/>
      <c r="AC2352" s="141"/>
      <c r="AD2352" s="141"/>
      <c r="AE2352" s="141"/>
      <c r="AF2352" s="145"/>
      <c r="AG2352" s="419"/>
    </row>
    <row r="2353" spans="1:33" s="139" customFormat="1" ht="12.75" customHeight="1" x14ac:dyDescent="0.2">
      <c r="A2353" s="141"/>
      <c r="B2353" s="141"/>
      <c r="C2353" s="141"/>
      <c r="D2353" s="141"/>
      <c r="E2353" s="1014"/>
      <c r="F2353" s="1014"/>
      <c r="G2353" s="1027"/>
      <c r="H2353" s="1027"/>
      <c r="I2353" s="1174"/>
      <c r="J2353" s="1174"/>
      <c r="K2353" s="1174"/>
      <c r="L2353" s="1172"/>
      <c r="M2353" s="1172"/>
      <c r="N2353" s="1175"/>
      <c r="O2353" s="143"/>
      <c r="P2353" s="1196"/>
      <c r="Q2353" s="141"/>
      <c r="R2353" s="141"/>
      <c r="S2353" s="148"/>
      <c r="T2353" s="419"/>
      <c r="U2353" s="559"/>
      <c r="V2353" s="141"/>
      <c r="W2353" s="141"/>
      <c r="X2353" s="141"/>
      <c r="Y2353" s="144"/>
      <c r="Z2353" s="141"/>
      <c r="AA2353" s="141"/>
      <c r="AB2353" s="141"/>
      <c r="AC2353" s="141"/>
      <c r="AD2353" s="141"/>
      <c r="AE2353" s="141"/>
      <c r="AF2353" s="145"/>
      <c r="AG2353" s="419"/>
    </row>
    <row r="2354" spans="1:33" s="139" customFormat="1" ht="12.75" customHeight="1" x14ac:dyDescent="0.2">
      <c r="A2354" s="141"/>
      <c r="B2354" s="141"/>
      <c r="C2354" s="141"/>
      <c r="D2354" s="141"/>
      <c r="E2354" s="1014"/>
      <c r="F2354" s="1014"/>
      <c r="G2354" s="1027"/>
      <c r="H2354" s="1027"/>
      <c r="I2354" s="1174"/>
      <c r="J2354" s="1174"/>
      <c r="K2354" s="1174"/>
      <c r="L2354" s="1172"/>
      <c r="M2354" s="1172"/>
      <c r="N2354" s="1175"/>
      <c r="O2354" s="143"/>
      <c r="P2354" s="1196"/>
      <c r="Q2354" s="141"/>
      <c r="R2354" s="141"/>
      <c r="S2354" s="148"/>
      <c r="T2354" s="419"/>
      <c r="U2354" s="559"/>
      <c r="V2354" s="141"/>
      <c r="W2354" s="141"/>
      <c r="X2354" s="141"/>
      <c r="Y2354" s="144"/>
      <c r="Z2354" s="141"/>
      <c r="AA2354" s="141"/>
      <c r="AB2354" s="141"/>
      <c r="AC2354" s="141"/>
      <c r="AD2354" s="141"/>
      <c r="AE2354" s="141"/>
      <c r="AF2354" s="145"/>
      <c r="AG2354" s="419"/>
    </row>
    <row r="2355" spans="1:33" s="139" customFormat="1" ht="12.75" customHeight="1" x14ac:dyDescent="0.2">
      <c r="A2355" s="141"/>
      <c r="B2355" s="141"/>
      <c r="C2355" s="141"/>
      <c r="D2355" s="141"/>
      <c r="E2355" s="1014"/>
      <c r="F2355" s="1014"/>
      <c r="G2355" s="1027"/>
      <c r="H2355" s="1027"/>
      <c r="I2355" s="1174"/>
      <c r="J2355" s="1174"/>
      <c r="K2355" s="1174"/>
      <c r="L2355" s="1172"/>
      <c r="M2355" s="1172"/>
      <c r="N2355" s="1175"/>
      <c r="O2355" s="143"/>
      <c r="P2355" s="1196"/>
      <c r="Q2355" s="141"/>
      <c r="R2355" s="141"/>
      <c r="S2355" s="148"/>
      <c r="T2355" s="419"/>
      <c r="U2355" s="559"/>
      <c r="V2355" s="141"/>
      <c r="W2355" s="141"/>
      <c r="X2355" s="141"/>
      <c r="Y2355" s="144"/>
      <c r="Z2355" s="141"/>
      <c r="AA2355" s="141"/>
      <c r="AB2355" s="141"/>
      <c r="AC2355" s="141"/>
      <c r="AD2355" s="141"/>
      <c r="AE2355" s="141"/>
      <c r="AF2355" s="145"/>
      <c r="AG2355" s="419"/>
    </row>
    <row r="2356" spans="1:33" s="139" customFormat="1" ht="12.75" customHeight="1" x14ac:dyDescent="0.2">
      <c r="A2356" s="141"/>
      <c r="B2356" s="141"/>
      <c r="C2356" s="141"/>
      <c r="D2356" s="141"/>
      <c r="E2356" s="1014"/>
      <c r="F2356" s="1014"/>
      <c r="G2356" s="1027"/>
      <c r="H2356" s="1027"/>
      <c r="I2356" s="1174"/>
      <c r="J2356" s="1174"/>
      <c r="K2356" s="1174"/>
      <c r="L2356" s="1172"/>
      <c r="M2356" s="1172"/>
      <c r="N2356" s="1175"/>
      <c r="O2356" s="143"/>
      <c r="P2356" s="1196"/>
      <c r="Q2356" s="141"/>
      <c r="R2356" s="141"/>
      <c r="S2356" s="148"/>
      <c r="T2356" s="419"/>
      <c r="U2356" s="559"/>
      <c r="V2356" s="141"/>
      <c r="W2356" s="141"/>
      <c r="X2356" s="141"/>
      <c r="Y2356" s="144"/>
      <c r="Z2356" s="141"/>
      <c r="AA2356" s="141"/>
      <c r="AB2356" s="141"/>
      <c r="AC2356" s="141"/>
      <c r="AD2356" s="141"/>
      <c r="AE2356" s="141"/>
      <c r="AF2356" s="145"/>
      <c r="AG2356" s="419"/>
    </row>
    <row r="2357" spans="1:33" s="139" customFormat="1" ht="12.75" customHeight="1" x14ac:dyDescent="0.2">
      <c r="A2357" s="141"/>
      <c r="B2357" s="141"/>
      <c r="C2357" s="141"/>
      <c r="D2357" s="141"/>
      <c r="E2357" s="1014"/>
      <c r="F2357" s="1014"/>
      <c r="G2357" s="1027"/>
      <c r="H2357" s="1027"/>
      <c r="I2357" s="1174"/>
      <c r="J2357" s="1174"/>
      <c r="K2357" s="1174"/>
      <c r="L2357" s="1172"/>
      <c r="M2357" s="1172"/>
      <c r="N2357" s="1175"/>
      <c r="O2357" s="143"/>
      <c r="P2357" s="1196"/>
      <c r="Q2357" s="141"/>
      <c r="R2357" s="141"/>
      <c r="S2357" s="148"/>
      <c r="T2357" s="419"/>
      <c r="U2357" s="559"/>
      <c r="V2357" s="141"/>
      <c r="W2357" s="141"/>
      <c r="X2357" s="141"/>
      <c r="Y2357" s="144"/>
      <c r="Z2357" s="141"/>
      <c r="AA2357" s="141"/>
      <c r="AB2357" s="141"/>
      <c r="AC2357" s="141"/>
      <c r="AD2357" s="141"/>
      <c r="AE2357" s="141"/>
      <c r="AF2357" s="145"/>
      <c r="AG2357" s="419"/>
    </row>
    <row r="2358" spans="1:33" s="139" customFormat="1" ht="12.75" customHeight="1" x14ac:dyDescent="0.2">
      <c r="A2358" s="141"/>
      <c r="B2358" s="141"/>
      <c r="C2358" s="141"/>
      <c r="D2358" s="141"/>
      <c r="E2358" s="1014"/>
      <c r="F2358" s="1014"/>
      <c r="G2358" s="1027"/>
      <c r="H2358" s="1027"/>
      <c r="I2358" s="1174"/>
      <c r="J2358" s="1174"/>
      <c r="K2358" s="1174"/>
      <c r="L2358" s="1172"/>
      <c r="M2358" s="1172"/>
      <c r="N2358" s="1175"/>
      <c r="O2358" s="143"/>
      <c r="P2358" s="1196"/>
      <c r="Q2358" s="141"/>
      <c r="R2358" s="141"/>
      <c r="S2358" s="148"/>
      <c r="T2358" s="419"/>
      <c r="U2358" s="559"/>
      <c r="V2358" s="141"/>
      <c r="W2358" s="141"/>
      <c r="X2358" s="141"/>
      <c r="Y2358" s="144"/>
      <c r="Z2358" s="141"/>
      <c r="AA2358" s="141"/>
      <c r="AB2358" s="141"/>
      <c r="AC2358" s="141"/>
      <c r="AD2358" s="141"/>
      <c r="AE2358" s="141"/>
      <c r="AF2358" s="145"/>
      <c r="AG2358" s="419"/>
    </row>
    <row r="2359" spans="1:33" s="139" customFormat="1" ht="12.75" customHeight="1" x14ac:dyDescent="0.2">
      <c r="A2359" s="141"/>
      <c r="B2359" s="141"/>
      <c r="C2359" s="141"/>
      <c r="D2359" s="141"/>
      <c r="E2359" s="1014"/>
      <c r="F2359" s="1014"/>
      <c r="G2359" s="1027"/>
      <c r="H2359" s="1027"/>
      <c r="I2359" s="1174"/>
      <c r="J2359" s="1174"/>
      <c r="K2359" s="1174"/>
      <c r="L2359" s="1172"/>
      <c r="M2359" s="1172"/>
      <c r="N2359" s="1175"/>
      <c r="O2359" s="143"/>
      <c r="P2359" s="1196"/>
      <c r="Q2359" s="141"/>
      <c r="R2359" s="141"/>
      <c r="S2359" s="148"/>
      <c r="T2359" s="419"/>
      <c r="U2359" s="559"/>
      <c r="V2359" s="141"/>
      <c r="W2359" s="141"/>
      <c r="X2359" s="141"/>
      <c r="Y2359" s="144"/>
      <c r="Z2359" s="141"/>
      <c r="AA2359" s="141"/>
      <c r="AB2359" s="141"/>
      <c r="AC2359" s="141"/>
      <c r="AD2359" s="141"/>
      <c r="AE2359" s="141"/>
      <c r="AF2359" s="145"/>
      <c r="AG2359" s="419"/>
    </row>
    <row r="2360" spans="1:33" s="139" customFormat="1" ht="12.75" customHeight="1" x14ac:dyDescent="0.2">
      <c r="A2360" s="141"/>
      <c r="B2360" s="141"/>
      <c r="C2360" s="141"/>
      <c r="D2360" s="141"/>
      <c r="E2360" s="1014"/>
      <c r="F2360" s="1014"/>
      <c r="G2360" s="1027"/>
      <c r="H2360" s="1027"/>
      <c r="I2360" s="1174"/>
      <c r="J2360" s="1174"/>
      <c r="K2360" s="1174"/>
      <c r="L2360" s="1172"/>
      <c r="M2360" s="1172"/>
      <c r="N2360" s="1175"/>
      <c r="O2360" s="143"/>
      <c r="P2360" s="1196"/>
      <c r="Q2360" s="141"/>
      <c r="R2360" s="141"/>
      <c r="S2360" s="148"/>
      <c r="T2360" s="419"/>
      <c r="U2360" s="559"/>
      <c r="V2360" s="141"/>
      <c r="W2360" s="141"/>
      <c r="X2360" s="141"/>
      <c r="Y2360" s="144"/>
      <c r="Z2360" s="141"/>
      <c r="AA2360" s="141"/>
      <c r="AB2360" s="141"/>
      <c r="AC2360" s="141"/>
      <c r="AD2360" s="141"/>
      <c r="AE2360" s="141"/>
      <c r="AF2360" s="145"/>
      <c r="AG2360" s="419"/>
    </row>
    <row r="2361" spans="1:33" s="139" customFormat="1" ht="12.75" customHeight="1" x14ac:dyDescent="0.2">
      <c r="A2361" s="141"/>
      <c r="B2361" s="141"/>
      <c r="C2361" s="141"/>
      <c r="D2361" s="141"/>
      <c r="E2361" s="1014"/>
      <c r="F2361" s="1014"/>
      <c r="G2361" s="1027"/>
      <c r="H2361" s="1027"/>
      <c r="I2361" s="1174"/>
      <c r="J2361" s="1174"/>
      <c r="K2361" s="1174"/>
      <c r="L2361" s="1172"/>
      <c r="M2361" s="1172"/>
      <c r="N2361" s="1175"/>
      <c r="O2361" s="143"/>
      <c r="P2361" s="1196"/>
      <c r="Q2361" s="141"/>
      <c r="R2361" s="141"/>
      <c r="S2361" s="148"/>
      <c r="T2361" s="419"/>
      <c r="U2361" s="559"/>
      <c r="V2361" s="141"/>
      <c r="W2361" s="141"/>
      <c r="X2361" s="141"/>
      <c r="Y2361" s="144"/>
      <c r="Z2361" s="141"/>
      <c r="AA2361" s="141"/>
      <c r="AB2361" s="141"/>
      <c r="AC2361" s="141"/>
      <c r="AD2361" s="141"/>
      <c r="AE2361" s="141"/>
      <c r="AF2361" s="145"/>
      <c r="AG2361" s="419"/>
    </row>
    <row r="2362" spans="1:33" s="139" customFormat="1" ht="12.75" customHeight="1" x14ac:dyDescent="0.2">
      <c r="A2362" s="141"/>
      <c r="B2362" s="141"/>
      <c r="C2362" s="141"/>
      <c r="D2362" s="141"/>
      <c r="E2362" s="1014"/>
      <c r="F2362" s="1014"/>
      <c r="G2362" s="1027"/>
      <c r="H2362" s="1027"/>
      <c r="I2362" s="1174"/>
      <c r="J2362" s="1174"/>
      <c r="K2362" s="1174"/>
      <c r="L2362" s="1172"/>
      <c r="M2362" s="1172"/>
      <c r="N2362" s="1175"/>
      <c r="O2362" s="143"/>
      <c r="P2362" s="1196"/>
      <c r="Q2362" s="141"/>
      <c r="R2362" s="141"/>
      <c r="S2362" s="148"/>
      <c r="T2362" s="419"/>
      <c r="U2362" s="559"/>
      <c r="V2362" s="141"/>
      <c r="W2362" s="141"/>
      <c r="X2362" s="141"/>
      <c r="Y2362" s="144"/>
      <c r="Z2362" s="141"/>
      <c r="AA2362" s="141"/>
      <c r="AB2362" s="141"/>
      <c r="AC2362" s="141"/>
      <c r="AD2362" s="141"/>
      <c r="AE2362" s="141"/>
      <c r="AF2362" s="145"/>
      <c r="AG2362" s="419"/>
    </row>
    <row r="2363" spans="1:33" s="139" customFormat="1" ht="12.75" customHeight="1" x14ac:dyDescent="0.2">
      <c r="A2363" s="141"/>
      <c r="B2363" s="141"/>
      <c r="C2363" s="141"/>
      <c r="D2363" s="141"/>
      <c r="E2363" s="1014"/>
      <c r="F2363" s="1014"/>
      <c r="G2363" s="1027"/>
      <c r="H2363" s="1027"/>
      <c r="I2363" s="1174"/>
      <c r="J2363" s="1174"/>
      <c r="K2363" s="1174"/>
      <c r="L2363" s="1172"/>
      <c r="M2363" s="1172"/>
      <c r="N2363" s="1175"/>
      <c r="O2363" s="143"/>
      <c r="P2363" s="1196"/>
      <c r="Q2363" s="141"/>
      <c r="R2363" s="141"/>
      <c r="S2363" s="148"/>
      <c r="T2363" s="419"/>
      <c r="U2363" s="559"/>
      <c r="V2363" s="141"/>
      <c r="W2363" s="141"/>
      <c r="X2363" s="141"/>
      <c r="Y2363" s="144"/>
      <c r="Z2363" s="141"/>
      <c r="AA2363" s="141"/>
      <c r="AB2363" s="141"/>
      <c r="AC2363" s="141"/>
      <c r="AD2363" s="141"/>
      <c r="AE2363" s="141"/>
      <c r="AF2363" s="145"/>
      <c r="AG2363" s="419"/>
    </row>
    <row r="2364" spans="1:33" s="139" customFormat="1" ht="12.75" customHeight="1" x14ac:dyDescent="0.2">
      <c r="A2364" s="141"/>
      <c r="B2364" s="141"/>
      <c r="C2364" s="141"/>
      <c r="D2364" s="141"/>
      <c r="E2364" s="1014"/>
      <c r="F2364" s="1014"/>
      <c r="G2364" s="1027"/>
      <c r="H2364" s="1027"/>
      <c r="I2364" s="1174"/>
      <c r="J2364" s="1174"/>
      <c r="K2364" s="1174"/>
      <c r="L2364" s="1172"/>
      <c r="M2364" s="1172"/>
      <c r="N2364" s="1175"/>
      <c r="O2364" s="143"/>
      <c r="P2364" s="1196"/>
      <c r="Q2364" s="141"/>
      <c r="R2364" s="141"/>
      <c r="S2364" s="148"/>
      <c r="T2364" s="419"/>
      <c r="U2364" s="559"/>
      <c r="V2364" s="141"/>
      <c r="W2364" s="141"/>
      <c r="X2364" s="141"/>
      <c r="Y2364" s="144"/>
      <c r="Z2364" s="141"/>
      <c r="AA2364" s="141"/>
      <c r="AB2364" s="141"/>
      <c r="AC2364" s="141"/>
      <c r="AD2364" s="141"/>
      <c r="AE2364" s="141"/>
      <c r="AF2364" s="145"/>
      <c r="AG2364" s="419"/>
    </row>
    <row r="2365" spans="1:33" s="139" customFormat="1" ht="12.75" customHeight="1" x14ac:dyDescent="0.2">
      <c r="A2365" s="141"/>
      <c r="B2365" s="141"/>
      <c r="C2365" s="141"/>
      <c r="D2365" s="141"/>
      <c r="E2365" s="1014"/>
      <c r="F2365" s="1014"/>
      <c r="G2365" s="1027"/>
      <c r="H2365" s="1027"/>
      <c r="I2365" s="1174"/>
      <c r="J2365" s="1174"/>
      <c r="K2365" s="1174"/>
      <c r="L2365" s="1172"/>
      <c r="M2365" s="1172"/>
      <c r="N2365" s="1175"/>
      <c r="O2365" s="143"/>
      <c r="P2365" s="1196"/>
      <c r="Q2365" s="141"/>
      <c r="R2365" s="141"/>
      <c r="S2365" s="148"/>
      <c r="T2365" s="419"/>
      <c r="U2365" s="559"/>
      <c r="V2365" s="141"/>
      <c r="W2365" s="141"/>
      <c r="X2365" s="141"/>
      <c r="Y2365" s="144"/>
      <c r="Z2365" s="141"/>
      <c r="AA2365" s="141"/>
      <c r="AB2365" s="141"/>
      <c r="AC2365" s="141"/>
      <c r="AD2365" s="141"/>
      <c r="AE2365" s="141"/>
      <c r="AF2365" s="145"/>
      <c r="AG2365" s="419"/>
    </row>
    <row r="2366" spans="1:33" s="139" customFormat="1" ht="12.75" customHeight="1" x14ac:dyDescent="0.2">
      <c r="A2366" s="141"/>
      <c r="B2366" s="141"/>
      <c r="C2366" s="141"/>
      <c r="D2366" s="141"/>
      <c r="E2366" s="1014"/>
      <c r="F2366" s="1014"/>
      <c r="G2366" s="1027"/>
      <c r="H2366" s="1027"/>
      <c r="I2366" s="1174"/>
      <c r="J2366" s="1174"/>
      <c r="K2366" s="1174"/>
      <c r="L2366" s="1172"/>
      <c r="M2366" s="1172"/>
      <c r="N2366" s="1175"/>
      <c r="O2366" s="143"/>
      <c r="P2366" s="1196"/>
      <c r="Q2366" s="141"/>
      <c r="R2366" s="141"/>
      <c r="S2366" s="148"/>
      <c r="T2366" s="419"/>
      <c r="U2366" s="559"/>
      <c r="V2366" s="141"/>
      <c r="W2366" s="141"/>
      <c r="X2366" s="141"/>
      <c r="Y2366" s="144"/>
      <c r="Z2366" s="141"/>
      <c r="AA2366" s="141"/>
      <c r="AB2366" s="141"/>
      <c r="AC2366" s="141"/>
      <c r="AD2366" s="141"/>
      <c r="AE2366" s="141"/>
      <c r="AF2366" s="145"/>
      <c r="AG2366" s="419"/>
    </row>
    <row r="2367" spans="1:33" s="139" customFormat="1" ht="12.75" customHeight="1" x14ac:dyDescent="0.2">
      <c r="A2367" s="141"/>
      <c r="B2367" s="141"/>
      <c r="C2367" s="141"/>
      <c r="D2367" s="141"/>
      <c r="E2367" s="1014"/>
      <c r="F2367" s="1014"/>
      <c r="G2367" s="1027"/>
      <c r="H2367" s="1027"/>
      <c r="I2367" s="1174"/>
      <c r="J2367" s="1174"/>
      <c r="K2367" s="1174"/>
      <c r="L2367" s="1172"/>
      <c r="M2367" s="1172"/>
      <c r="N2367" s="1175"/>
      <c r="O2367" s="143"/>
      <c r="P2367" s="1196"/>
      <c r="Q2367" s="141"/>
      <c r="R2367" s="141"/>
      <c r="S2367" s="148"/>
      <c r="T2367" s="419"/>
      <c r="U2367" s="559"/>
      <c r="V2367" s="141"/>
      <c r="W2367" s="141"/>
      <c r="X2367" s="141"/>
      <c r="Y2367" s="144"/>
      <c r="Z2367" s="141"/>
      <c r="AA2367" s="141"/>
      <c r="AB2367" s="141"/>
      <c r="AC2367" s="141"/>
      <c r="AD2367" s="141"/>
      <c r="AE2367" s="141"/>
      <c r="AF2367" s="145"/>
      <c r="AG2367" s="419"/>
    </row>
    <row r="2368" spans="1:33" s="139" customFormat="1" ht="12.75" customHeight="1" x14ac:dyDescent="0.2">
      <c r="A2368" s="141"/>
      <c r="B2368" s="141"/>
      <c r="C2368" s="141"/>
      <c r="D2368" s="141"/>
      <c r="E2368" s="1014"/>
      <c r="F2368" s="1014"/>
      <c r="G2368" s="1027"/>
      <c r="H2368" s="1027"/>
      <c r="I2368" s="1174"/>
      <c r="J2368" s="1174"/>
      <c r="K2368" s="1174"/>
      <c r="L2368" s="1172"/>
      <c r="M2368" s="1172"/>
      <c r="N2368" s="1175"/>
      <c r="O2368" s="143"/>
      <c r="P2368" s="1196"/>
      <c r="Q2368" s="141"/>
      <c r="R2368" s="141"/>
      <c r="S2368" s="148"/>
      <c r="T2368" s="419"/>
      <c r="U2368" s="559"/>
      <c r="V2368" s="141"/>
      <c r="W2368" s="141"/>
      <c r="X2368" s="141"/>
      <c r="Y2368" s="144"/>
      <c r="Z2368" s="141"/>
      <c r="AA2368" s="141"/>
      <c r="AB2368" s="141"/>
      <c r="AC2368" s="141"/>
      <c r="AD2368" s="141"/>
      <c r="AE2368" s="141"/>
      <c r="AF2368" s="145"/>
      <c r="AG2368" s="419"/>
    </row>
    <row r="2369" spans="1:33" s="139" customFormat="1" ht="12.75" customHeight="1" x14ac:dyDescent="0.2">
      <c r="A2369" s="141"/>
      <c r="B2369" s="141"/>
      <c r="C2369" s="141"/>
      <c r="D2369" s="141"/>
      <c r="E2369" s="1014"/>
      <c r="F2369" s="1014"/>
      <c r="G2369" s="1027"/>
      <c r="H2369" s="1027"/>
      <c r="I2369" s="1174"/>
      <c r="J2369" s="1174"/>
      <c r="K2369" s="1174"/>
      <c r="L2369" s="1172"/>
      <c r="M2369" s="1172"/>
      <c r="N2369" s="1175"/>
      <c r="O2369" s="143"/>
      <c r="P2369" s="1196"/>
      <c r="Q2369" s="141"/>
      <c r="R2369" s="141"/>
      <c r="S2369" s="148"/>
      <c r="T2369" s="419"/>
      <c r="U2369" s="559"/>
      <c r="V2369" s="141"/>
      <c r="W2369" s="141"/>
      <c r="X2369" s="141"/>
      <c r="Y2369" s="144"/>
      <c r="Z2369" s="141"/>
      <c r="AA2369" s="141"/>
      <c r="AB2369" s="141"/>
      <c r="AC2369" s="141"/>
      <c r="AD2369" s="141"/>
      <c r="AE2369" s="141"/>
      <c r="AF2369" s="145"/>
      <c r="AG2369" s="419"/>
    </row>
    <row r="2370" spans="1:33" s="139" customFormat="1" ht="12.75" customHeight="1" x14ac:dyDescent="0.2">
      <c r="A2370" s="141"/>
      <c r="B2370" s="141"/>
      <c r="C2370" s="141"/>
      <c r="D2370" s="141"/>
      <c r="E2370" s="1014"/>
      <c r="F2370" s="1014"/>
      <c r="G2370" s="1027"/>
      <c r="H2370" s="1027"/>
      <c r="I2370" s="1174"/>
      <c r="J2370" s="1174"/>
      <c r="K2370" s="1174"/>
      <c r="L2370" s="1172"/>
      <c r="M2370" s="1172"/>
      <c r="N2370" s="1175"/>
      <c r="O2370" s="143"/>
      <c r="P2370" s="1196"/>
      <c r="Q2370" s="141"/>
      <c r="R2370" s="141"/>
      <c r="S2370" s="148"/>
      <c r="T2370" s="419"/>
      <c r="U2370" s="559"/>
      <c r="V2370" s="141"/>
      <c r="W2370" s="141"/>
      <c r="X2370" s="141"/>
      <c r="Y2370" s="144"/>
      <c r="Z2370" s="141"/>
      <c r="AA2370" s="141"/>
      <c r="AB2370" s="141"/>
      <c r="AC2370" s="141"/>
      <c r="AD2370" s="141"/>
      <c r="AE2370" s="141"/>
      <c r="AF2370" s="145"/>
      <c r="AG2370" s="419"/>
    </row>
    <row r="2371" spans="1:33" s="139" customFormat="1" ht="12.75" customHeight="1" x14ac:dyDescent="0.2">
      <c r="A2371" s="141"/>
      <c r="B2371" s="141"/>
      <c r="C2371" s="141"/>
      <c r="D2371" s="141"/>
      <c r="E2371" s="1014"/>
      <c r="F2371" s="1014"/>
      <c r="G2371" s="1027"/>
      <c r="H2371" s="1027"/>
      <c r="I2371" s="1174"/>
      <c r="J2371" s="1174"/>
      <c r="K2371" s="1174"/>
      <c r="L2371" s="1172"/>
      <c r="M2371" s="1172"/>
      <c r="N2371" s="1175"/>
      <c r="O2371" s="143"/>
      <c r="P2371" s="1196"/>
      <c r="Q2371" s="141"/>
      <c r="R2371" s="141"/>
      <c r="S2371" s="148"/>
      <c r="T2371" s="419"/>
      <c r="U2371" s="559"/>
      <c r="V2371" s="141"/>
      <c r="W2371" s="141"/>
      <c r="X2371" s="141"/>
      <c r="Y2371" s="144"/>
      <c r="Z2371" s="141"/>
      <c r="AA2371" s="141"/>
      <c r="AB2371" s="141"/>
      <c r="AC2371" s="141"/>
      <c r="AD2371" s="141"/>
      <c r="AE2371" s="141"/>
      <c r="AF2371" s="145"/>
      <c r="AG2371" s="419"/>
    </row>
    <row r="2372" spans="1:33" s="139" customFormat="1" ht="12.75" customHeight="1" x14ac:dyDescent="0.2">
      <c r="A2372" s="141"/>
      <c r="B2372" s="141"/>
      <c r="C2372" s="141"/>
      <c r="D2372" s="141"/>
      <c r="E2372" s="1014"/>
      <c r="F2372" s="1014"/>
      <c r="G2372" s="1027"/>
      <c r="H2372" s="1027"/>
      <c r="I2372" s="1174"/>
      <c r="J2372" s="1174"/>
      <c r="K2372" s="1174"/>
      <c r="L2372" s="1172"/>
      <c r="M2372" s="1172"/>
      <c r="N2372" s="1175"/>
      <c r="O2372" s="143"/>
      <c r="P2372" s="1196"/>
      <c r="Q2372" s="141"/>
      <c r="R2372" s="141"/>
      <c r="S2372" s="148"/>
      <c r="T2372" s="419"/>
      <c r="U2372" s="559"/>
      <c r="V2372" s="141"/>
      <c r="W2372" s="141"/>
      <c r="X2372" s="141"/>
      <c r="Y2372" s="144"/>
      <c r="Z2372" s="141"/>
      <c r="AA2372" s="141"/>
      <c r="AB2372" s="141"/>
      <c r="AC2372" s="141"/>
      <c r="AD2372" s="141"/>
      <c r="AE2372" s="141"/>
      <c r="AF2372" s="145"/>
      <c r="AG2372" s="419"/>
    </row>
    <row r="2373" spans="1:33" s="139" customFormat="1" ht="12.75" customHeight="1" x14ac:dyDescent="0.2">
      <c r="A2373" s="141"/>
      <c r="B2373" s="141"/>
      <c r="C2373" s="141"/>
      <c r="D2373" s="141"/>
      <c r="E2373" s="1014"/>
      <c r="F2373" s="1014"/>
      <c r="G2373" s="1027"/>
      <c r="H2373" s="1027"/>
      <c r="I2373" s="1174"/>
      <c r="J2373" s="1174"/>
      <c r="K2373" s="1174"/>
      <c r="L2373" s="1172"/>
      <c r="M2373" s="1172"/>
      <c r="N2373" s="1175"/>
      <c r="O2373" s="143"/>
      <c r="P2373" s="1196"/>
      <c r="Q2373" s="141"/>
      <c r="R2373" s="141"/>
      <c r="S2373" s="148"/>
      <c r="T2373" s="419"/>
      <c r="U2373" s="559"/>
      <c r="V2373" s="141"/>
      <c r="W2373" s="141"/>
      <c r="X2373" s="141"/>
      <c r="Y2373" s="144"/>
      <c r="Z2373" s="141"/>
      <c r="AA2373" s="141"/>
      <c r="AB2373" s="141"/>
      <c r="AC2373" s="141"/>
      <c r="AD2373" s="141"/>
      <c r="AE2373" s="141"/>
      <c r="AF2373" s="145"/>
      <c r="AG2373" s="419"/>
    </row>
    <row r="2374" spans="1:33" s="139" customFormat="1" ht="12.75" customHeight="1" x14ac:dyDescent="0.2">
      <c r="A2374" s="141"/>
      <c r="B2374" s="141"/>
      <c r="C2374" s="141"/>
      <c r="D2374" s="141"/>
      <c r="E2374" s="1014"/>
      <c r="F2374" s="1014"/>
      <c r="G2374" s="1027"/>
      <c r="H2374" s="1027"/>
      <c r="I2374" s="1174"/>
      <c r="J2374" s="1174"/>
      <c r="K2374" s="1174"/>
      <c r="L2374" s="1172"/>
      <c r="M2374" s="1172"/>
      <c r="N2374" s="1175"/>
      <c r="O2374" s="143"/>
      <c r="P2374" s="1196"/>
      <c r="Q2374" s="141"/>
      <c r="R2374" s="141"/>
      <c r="S2374" s="148"/>
      <c r="T2374" s="419"/>
      <c r="U2374" s="559"/>
      <c r="V2374" s="141"/>
      <c r="W2374" s="141"/>
      <c r="X2374" s="141"/>
      <c r="Y2374" s="144"/>
      <c r="Z2374" s="141"/>
      <c r="AA2374" s="141"/>
      <c r="AB2374" s="141"/>
      <c r="AC2374" s="141"/>
      <c r="AD2374" s="141"/>
      <c r="AE2374" s="141"/>
      <c r="AF2374" s="145"/>
      <c r="AG2374" s="419"/>
    </row>
    <row r="2375" spans="1:33" s="139" customFormat="1" ht="12.75" customHeight="1" x14ac:dyDescent="0.2">
      <c r="A2375" s="141"/>
      <c r="B2375" s="141"/>
      <c r="C2375" s="141"/>
      <c r="D2375" s="141"/>
      <c r="E2375" s="1014"/>
      <c r="F2375" s="1014"/>
      <c r="G2375" s="1027"/>
      <c r="H2375" s="1027"/>
      <c r="I2375" s="1174"/>
      <c r="J2375" s="1174"/>
      <c r="K2375" s="1174"/>
      <c r="L2375" s="1172"/>
      <c r="M2375" s="1172"/>
      <c r="N2375" s="1175"/>
      <c r="O2375" s="143"/>
      <c r="P2375" s="1196"/>
      <c r="Q2375" s="141"/>
      <c r="R2375" s="141"/>
      <c r="S2375" s="148"/>
      <c r="T2375" s="419"/>
      <c r="U2375" s="559"/>
      <c r="V2375" s="141"/>
      <c r="W2375" s="141"/>
      <c r="X2375" s="141"/>
      <c r="Y2375" s="144"/>
      <c r="Z2375" s="141"/>
      <c r="AA2375" s="141"/>
      <c r="AB2375" s="141"/>
      <c r="AC2375" s="141"/>
      <c r="AD2375" s="141"/>
      <c r="AE2375" s="141"/>
      <c r="AF2375" s="145"/>
      <c r="AG2375" s="419"/>
    </row>
    <row r="2376" spans="1:33" s="139" customFormat="1" ht="12.75" customHeight="1" x14ac:dyDescent="0.2">
      <c r="A2376" s="141"/>
      <c r="B2376" s="141"/>
      <c r="C2376" s="141"/>
      <c r="D2376" s="141"/>
      <c r="E2376" s="1014"/>
      <c r="F2376" s="1014"/>
      <c r="G2376" s="1027"/>
      <c r="H2376" s="1027"/>
      <c r="I2376" s="1174"/>
      <c r="J2376" s="1174"/>
      <c r="K2376" s="1174"/>
      <c r="L2376" s="1172"/>
      <c r="M2376" s="1172"/>
      <c r="N2376" s="1175"/>
      <c r="O2376" s="143"/>
      <c r="P2376" s="1196"/>
      <c r="Q2376" s="141"/>
      <c r="R2376" s="141"/>
      <c r="S2376" s="148"/>
      <c r="T2376" s="419"/>
      <c r="U2376" s="559"/>
      <c r="V2376" s="141"/>
      <c r="W2376" s="141"/>
      <c r="X2376" s="141"/>
      <c r="Y2376" s="144"/>
      <c r="Z2376" s="141"/>
      <c r="AA2376" s="141"/>
      <c r="AB2376" s="141"/>
      <c r="AC2376" s="141"/>
      <c r="AD2376" s="141"/>
      <c r="AE2376" s="141"/>
      <c r="AF2376" s="145"/>
      <c r="AG2376" s="419"/>
    </row>
    <row r="2377" spans="1:33" s="139" customFormat="1" ht="12.75" customHeight="1" x14ac:dyDescent="0.2">
      <c r="A2377" s="141"/>
      <c r="B2377" s="141"/>
      <c r="C2377" s="141"/>
      <c r="D2377" s="141"/>
      <c r="E2377" s="1014"/>
      <c r="F2377" s="1014"/>
      <c r="G2377" s="1027"/>
      <c r="H2377" s="1027"/>
      <c r="I2377" s="1174"/>
      <c r="J2377" s="1174"/>
      <c r="K2377" s="1174"/>
      <c r="L2377" s="1172"/>
      <c r="M2377" s="1172"/>
      <c r="N2377" s="1175"/>
      <c r="O2377" s="143"/>
      <c r="P2377" s="1196"/>
      <c r="Q2377" s="141"/>
      <c r="R2377" s="141"/>
      <c r="S2377" s="148"/>
      <c r="T2377" s="419"/>
      <c r="U2377" s="559"/>
      <c r="V2377" s="141"/>
      <c r="W2377" s="141"/>
      <c r="X2377" s="141"/>
      <c r="Y2377" s="144"/>
      <c r="Z2377" s="141"/>
      <c r="AA2377" s="141"/>
      <c r="AB2377" s="141"/>
      <c r="AC2377" s="141"/>
      <c r="AD2377" s="141"/>
      <c r="AE2377" s="141"/>
      <c r="AF2377" s="145"/>
      <c r="AG2377" s="419"/>
    </row>
    <row r="2378" spans="1:33" s="139" customFormat="1" ht="12.75" customHeight="1" x14ac:dyDescent="0.2">
      <c r="A2378" s="141"/>
      <c r="B2378" s="141"/>
      <c r="C2378" s="141"/>
      <c r="D2378" s="141"/>
      <c r="E2378" s="1014"/>
      <c r="F2378" s="1014"/>
      <c r="G2378" s="1027"/>
      <c r="H2378" s="1027"/>
      <c r="I2378" s="1174"/>
      <c r="J2378" s="1174"/>
      <c r="K2378" s="1174"/>
      <c r="L2378" s="1172"/>
      <c r="M2378" s="1172"/>
      <c r="N2378" s="1175"/>
      <c r="O2378" s="143"/>
      <c r="P2378" s="1196"/>
      <c r="Q2378" s="141"/>
      <c r="R2378" s="141"/>
      <c r="S2378" s="148"/>
      <c r="T2378" s="419"/>
      <c r="U2378" s="559"/>
      <c r="V2378" s="141"/>
      <c r="W2378" s="141"/>
      <c r="X2378" s="141"/>
      <c r="Y2378" s="144"/>
      <c r="Z2378" s="141"/>
      <c r="AA2378" s="141"/>
      <c r="AB2378" s="141"/>
      <c r="AC2378" s="141"/>
      <c r="AD2378" s="141"/>
      <c r="AE2378" s="141"/>
      <c r="AF2378" s="145"/>
      <c r="AG2378" s="419"/>
    </row>
    <row r="2379" spans="1:33" s="139" customFormat="1" ht="12.75" customHeight="1" x14ac:dyDescent="0.2">
      <c r="A2379" s="141"/>
      <c r="B2379" s="141"/>
      <c r="C2379" s="141"/>
      <c r="D2379" s="141"/>
      <c r="E2379" s="1014"/>
      <c r="F2379" s="1014"/>
      <c r="G2379" s="1027"/>
      <c r="H2379" s="1027"/>
      <c r="I2379" s="1174"/>
      <c r="J2379" s="1174"/>
      <c r="K2379" s="1174"/>
      <c r="L2379" s="1172"/>
      <c r="M2379" s="1172"/>
      <c r="N2379" s="1175"/>
      <c r="O2379" s="143"/>
      <c r="P2379" s="1196"/>
      <c r="Q2379" s="141"/>
      <c r="R2379" s="141"/>
      <c r="S2379" s="148"/>
      <c r="T2379" s="419"/>
      <c r="U2379" s="559"/>
      <c r="V2379" s="141"/>
      <c r="W2379" s="141"/>
      <c r="X2379" s="141"/>
      <c r="Y2379" s="144"/>
      <c r="Z2379" s="141"/>
      <c r="AA2379" s="141"/>
      <c r="AB2379" s="141"/>
      <c r="AC2379" s="141"/>
      <c r="AD2379" s="141"/>
      <c r="AE2379" s="141"/>
      <c r="AF2379" s="145"/>
      <c r="AG2379" s="419"/>
    </row>
    <row r="2380" spans="1:33" s="139" customFormat="1" ht="12.75" customHeight="1" x14ac:dyDescent="0.2">
      <c r="A2380" s="141"/>
      <c r="B2380" s="141"/>
      <c r="C2380" s="141"/>
      <c r="D2380" s="141"/>
      <c r="E2380" s="1014"/>
      <c r="F2380" s="1014"/>
      <c r="G2380" s="1027"/>
      <c r="H2380" s="1027"/>
      <c r="I2380" s="1174"/>
      <c r="J2380" s="1174"/>
      <c r="K2380" s="1174"/>
      <c r="L2380" s="1172"/>
      <c r="M2380" s="1172"/>
      <c r="N2380" s="1175"/>
      <c r="O2380" s="143"/>
      <c r="P2380" s="1196"/>
      <c r="Q2380" s="141"/>
      <c r="R2380" s="141"/>
      <c r="S2380" s="148"/>
      <c r="T2380" s="419"/>
      <c r="U2380" s="559"/>
      <c r="V2380" s="141"/>
      <c r="W2380" s="141"/>
      <c r="X2380" s="141"/>
      <c r="Y2380" s="144"/>
      <c r="Z2380" s="141"/>
      <c r="AA2380" s="141"/>
      <c r="AB2380" s="141"/>
      <c r="AC2380" s="141"/>
      <c r="AD2380" s="141"/>
      <c r="AE2380" s="141"/>
      <c r="AF2380" s="145"/>
      <c r="AG2380" s="419"/>
    </row>
    <row r="2381" spans="1:33" s="139" customFormat="1" ht="12.75" customHeight="1" x14ac:dyDescent="0.2">
      <c r="A2381" s="141"/>
      <c r="B2381" s="141"/>
      <c r="C2381" s="141"/>
      <c r="D2381" s="141"/>
      <c r="E2381" s="1014"/>
      <c r="F2381" s="1014"/>
      <c r="G2381" s="1027"/>
      <c r="H2381" s="1027"/>
      <c r="I2381" s="1174"/>
      <c r="J2381" s="1174"/>
      <c r="K2381" s="1174"/>
      <c r="L2381" s="1172"/>
      <c r="M2381" s="1172"/>
      <c r="N2381" s="1175"/>
      <c r="O2381" s="143"/>
      <c r="P2381" s="1196"/>
      <c r="Q2381" s="141"/>
      <c r="R2381" s="141"/>
      <c r="S2381" s="148"/>
      <c r="T2381" s="419"/>
      <c r="U2381" s="559"/>
      <c r="V2381" s="141"/>
      <c r="W2381" s="141"/>
      <c r="X2381" s="141"/>
      <c r="Y2381" s="144"/>
      <c r="Z2381" s="141"/>
      <c r="AA2381" s="141"/>
      <c r="AB2381" s="141"/>
      <c r="AC2381" s="141"/>
      <c r="AD2381" s="141"/>
      <c r="AE2381" s="141"/>
      <c r="AF2381" s="145"/>
      <c r="AG2381" s="419"/>
    </row>
    <row r="2382" spans="1:33" s="139" customFormat="1" ht="12.75" customHeight="1" x14ac:dyDescent="0.2">
      <c r="A2382" s="141"/>
      <c r="B2382" s="141"/>
      <c r="C2382" s="141"/>
      <c r="D2382" s="141"/>
      <c r="E2382" s="1014"/>
      <c r="F2382" s="1014"/>
      <c r="G2382" s="1027"/>
      <c r="H2382" s="1027"/>
      <c r="I2382" s="1174"/>
      <c r="J2382" s="1174"/>
      <c r="K2382" s="1174"/>
      <c r="L2382" s="1172"/>
      <c r="M2382" s="1172"/>
      <c r="N2382" s="1175"/>
      <c r="O2382" s="143"/>
      <c r="P2382" s="1196"/>
      <c r="Q2382" s="141"/>
      <c r="R2382" s="141"/>
      <c r="S2382" s="148"/>
      <c r="T2382" s="419"/>
      <c r="U2382" s="559"/>
      <c r="V2382" s="141"/>
      <c r="W2382" s="141"/>
      <c r="X2382" s="141"/>
      <c r="Y2382" s="144"/>
      <c r="Z2382" s="141"/>
      <c r="AA2382" s="141"/>
      <c r="AB2382" s="141"/>
      <c r="AC2382" s="141"/>
      <c r="AD2382" s="141"/>
      <c r="AE2382" s="141"/>
      <c r="AF2382" s="145"/>
      <c r="AG2382" s="419"/>
    </row>
    <row r="2383" spans="1:33" s="139" customFormat="1" ht="12.75" customHeight="1" x14ac:dyDescent="0.2">
      <c r="A2383" s="141"/>
      <c r="B2383" s="141"/>
      <c r="C2383" s="141"/>
      <c r="D2383" s="141"/>
      <c r="E2383" s="1014"/>
      <c r="F2383" s="1014"/>
      <c r="G2383" s="1027"/>
      <c r="H2383" s="1027"/>
      <c r="I2383" s="1174"/>
      <c r="J2383" s="1174"/>
      <c r="K2383" s="1174"/>
      <c r="L2383" s="1172"/>
      <c r="M2383" s="1172"/>
      <c r="N2383" s="1175"/>
      <c r="O2383" s="143"/>
      <c r="P2383" s="1196"/>
      <c r="Q2383" s="141"/>
      <c r="R2383" s="141"/>
      <c r="S2383" s="148"/>
      <c r="T2383" s="419"/>
      <c r="U2383" s="559"/>
      <c r="V2383" s="141"/>
      <c r="W2383" s="141"/>
      <c r="X2383" s="141"/>
      <c r="Y2383" s="144"/>
      <c r="Z2383" s="141"/>
      <c r="AA2383" s="141"/>
      <c r="AB2383" s="141"/>
      <c r="AC2383" s="141"/>
      <c r="AD2383" s="141"/>
      <c r="AE2383" s="141"/>
      <c r="AF2383" s="145"/>
      <c r="AG2383" s="419"/>
    </row>
    <row r="2384" spans="1:33" s="139" customFormat="1" ht="12.75" customHeight="1" x14ac:dyDescent="0.2">
      <c r="A2384" s="141"/>
      <c r="B2384" s="141"/>
      <c r="C2384" s="141"/>
      <c r="D2384" s="141"/>
      <c r="E2384" s="1014"/>
      <c r="F2384" s="1014"/>
      <c r="G2384" s="1027"/>
      <c r="H2384" s="1027"/>
      <c r="I2384" s="1174"/>
      <c r="J2384" s="1174"/>
      <c r="K2384" s="1174"/>
      <c r="L2384" s="1172"/>
      <c r="M2384" s="1172"/>
      <c r="N2384" s="1175"/>
      <c r="O2384" s="143"/>
      <c r="P2384" s="1196"/>
      <c r="Q2384" s="141"/>
      <c r="R2384" s="141"/>
      <c r="S2384" s="148"/>
      <c r="T2384" s="419"/>
      <c r="U2384" s="559"/>
      <c r="V2384" s="141"/>
      <c r="W2384" s="141"/>
      <c r="X2384" s="141"/>
      <c r="Y2384" s="144"/>
      <c r="Z2384" s="141"/>
      <c r="AA2384" s="141"/>
      <c r="AB2384" s="141"/>
      <c r="AC2384" s="141"/>
      <c r="AD2384" s="141"/>
      <c r="AE2384" s="141"/>
      <c r="AF2384" s="145"/>
      <c r="AG2384" s="419"/>
    </row>
    <row r="2385" spans="1:33" s="139" customFormat="1" ht="12.75" customHeight="1" x14ac:dyDescent="0.2">
      <c r="A2385" s="141"/>
      <c r="B2385" s="141"/>
      <c r="C2385" s="141"/>
      <c r="D2385" s="141"/>
      <c r="E2385" s="1014"/>
      <c r="F2385" s="1014"/>
      <c r="G2385" s="1027"/>
      <c r="H2385" s="1027"/>
      <c r="I2385" s="1174"/>
      <c r="J2385" s="1174"/>
      <c r="K2385" s="1174"/>
      <c r="L2385" s="1172"/>
      <c r="M2385" s="1172"/>
      <c r="N2385" s="1175"/>
      <c r="O2385" s="143"/>
      <c r="P2385" s="1196"/>
      <c r="Q2385" s="141"/>
      <c r="R2385" s="141"/>
      <c r="S2385" s="148"/>
      <c r="T2385" s="419"/>
      <c r="U2385" s="559"/>
      <c r="V2385" s="141"/>
      <c r="W2385" s="141"/>
      <c r="X2385" s="141"/>
      <c r="Y2385" s="144"/>
      <c r="Z2385" s="141"/>
      <c r="AA2385" s="141"/>
      <c r="AB2385" s="141"/>
      <c r="AC2385" s="141"/>
      <c r="AD2385" s="141"/>
      <c r="AE2385" s="141"/>
      <c r="AF2385" s="145"/>
      <c r="AG2385" s="419"/>
    </row>
    <row r="2386" spans="1:33" s="139" customFormat="1" ht="12.75" customHeight="1" x14ac:dyDescent="0.2">
      <c r="A2386" s="141"/>
      <c r="B2386" s="141"/>
      <c r="C2386" s="141"/>
      <c r="D2386" s="141"/>
      <c r="E2386" s="1014"/>
      <c r="F2386" s="1014"/>
      <c r="G2386" s="1027"/>
      <c r="H2386" s="1027"/>
      <c r="I2386" s="1174"/>
      <c r="J2386" s="1174"/>
      <c r="K2386" s="1174"/>
      <c r="L2386" s="1172"/>
      <c r="M2386" s="1172"/>
      <c r="N2386" s="1175"/>
      <c r="O2386" s="143"/>
      <c r="P2386" s="1196"/>
      <c r="Q2386" s="141"/>
      <c r="R2386" s="141"/>
      <c r="S2386" s="148"/>
      <c r="T2386" s="419"/>
      <c r="U2386" s="559"/>
      <c r="V2386" s="141"/>
      <c r="W2386" s="141"/>
      <c r="X2386" s="141"/>
      <c r="Y2386" s="144"/>
      <c r="Z2386" s="141"/>
      <c r="AA2386" s="141"/>
      <c r="AB2386" s="141"/>
      <c r="AC2386" s="141"/>
      <c r="AD2386" s="141"/>
      <c r="AE2386" s="141"/>
      <c r="AF2386" s="145"/>
      <c r="AG2386" s="419"/>
    </row>
    <row r="2387" spans="1:33" s="139" customFormat="1" ht="12.75" customHeight="1" x14ac:dyDescent="0.2">
      <c r="A2387" s="141"/>
      <c r="B2387" s="141"/>
      <c r="C2387" s="141"/>
      <c r="D2387" s="141"/>
      <c r="E2387" s="1014"/>
      <c r="F2387" s="1014"/>
      <c r="G2387" s="1027"/>
      <c r="H2387" s="1027"/>
      <c r="I2387" s="1174"/>
      <c r="J2387" s="1174"/>
      <c r="K2387" s="1174"/>
      <c r="L2387" s="1172"/>
      <c r="M2387" s="1172"/>
      <c r="N2387" s="1175"/>
      <c r="O2387" s="143"/>
      <c r="P2387" s="1196"/>
      <c r="Q2387" s="141"/>
      <c r="R2387" s="141"/>
      <c r="S2387" s="148"/>
      <c r="T2387" s="419"/>
      <c r="U2387" s="559"/>
      <c r="V2387" s="141"/>
      <c r="W2387" s="141"/>
      <c r="X2387" s="141"/>
      <c r="Y2387" s="144"/>
      <c r="Z2387" s="141"/>
      <c r="AA2387" s="141"/>
      <c r="AB2387" s="141"/>
      <c r="AC2387" s="141"/>
      <c r="AD2387" s="141"/>
      <c r="AE2387" s="141"/>
      <c r="AF2387" s="145"/>
      <c r="AG2387" s="419"/>
    </row>
    <row r="2388" spans="1:33" s="139" customFormat="1" ht="12.75" customHeight="1" x14ac:dyDescent="0.2">
      <c r="A2388" s="141"/>
      <c r="B2388" s="141"/>
      <c r="C2388" s="141"/>
      <c r="D2388" s="141"/>
      <c r="E2388" s="1014"/>
      <c r="F2388" s="1014"/>
      <c r="G2388" s="1027"/>
      <c r="H2388" s="1027"/>
      <c r="I2388" s="1174"/>
      <c r="J2388" s="1174"/>
      <c r="K2388" s="1174"/>
      <c r="L2388" s="1172"/>
      <c r="M2388" s="1172"/>
      <c r="N2388" s="1175"/>
      <c r="O2388" s="143"/>
      <c r="P2388" s="1196"/>
      <c r="Q2388" s="141"/>
      <c r="R2388" s="141"/>
      <c r="S2388" s="148"/>
      <c r="T2388" s="419"/>
      <c r="U2388" s="559"/>
      <c r="V2388" s="141"/>
      <c r="W2388" s="141"/>
      <c r="X2388" s="141"/>
      <c r="Y2388" s="144"/>
      <c r="Z2388" s="141"/>
      <c r="AA2388" s="141"/>
      <c r="AB2388" s="141"/>
      <c r="AC2388" s="141"/>
      <c r="AD2388" s="141"/>
      <c r="AE2388" s="141"/>
      <c r="AF2388" s="145"/>
      <c r="AG2388" s="419"/>
    </row>
    <row r="2389" spans="1:33" s="139" customFormat="1" ht="12.75" customHeight="1" x14ac:dyDescent="0.2">
      <c r="A2389" s="141"/>
      <c r="B2389" s="141"/>
      <c r="C2389" s="141"/>
      <c r="D2389" s="141"/>
      <c r="E2389" s="1014"/>
      <c r="F2389" s="1014"/>
      <c r="G2389" s="1027"/>
      <c r="H2389" s="1027"/>
      <c r="I2389" s="1174"/>
      <c r="J2389" s="1174"/>
      <c r="K2389" s="1174"/>
      <c r="L2389" s="1172"/>
      <c r="M2389" s="1172"/>
      <c r="N2389" s="1175"/>
      <c r="O2389" s="143"/>
      <c r="P2389" s="1196"/>
      <c r="Q2389" s="141"/>
      <c r="R2389" s="141"/>
      <c r="S2389" s="148"/>
      <c r="T2389" s="419"/>
      <c r="U2389" s="559"/>
      <c r="V2389" s="141"/>
      <c r="W2389" s="141"/>
      <c r="X2389" s="141"/>
      <c r="Y2389" s="144"/>
      <c r="Z2389" s="141"/>
      <c r="AA2389" s="141"/>
      <c r="AB2389" s="141"/>
      <c r="AC2389" s="141"/>
      <c r="AD2389" s="141"/>
      <c r="AE2389" s="141"/>
      <c r="AF2389" s="145"/>
      <c r="AG2389" s="419"/>
    </row>
    <row r="2390" spans="1:33" s="139" customFormat="1" ht="12.75" customHeight="1" x14ac:dyDescent="0.2">
      <c r="A2390" s="141"/>
      <c r="B2390" s="141"/>
      <c r="C2390" s="141"/>
      <c r="D2390" s="141"/>
      <c r="E2390" s="1014"/>
      <c r="F2390" s="1014"/>
      <c r="G2390" s="1027"/>
      <c r="H2390" s="1027"/>
      <c r="I2390" s="1174"/>
      <c r="J2390" s="1174"/>
      <c r="K2390" s="1174"/>
      <c r="L2390" s="1172"/>
      <c r="M2390" s="1172"/>
      <c r="N2390" s="1175"/>
      <c r="O2390" s="143"/>
      <c r="P2390" s="1196"/>
      <c r="Q2390" s="141"/>
      <c r="R2390" s="141"/>
      <c r="S2390" s="148"/>
      <c r="T2390" s="419"/>
      <c r="U2390" s="559"/>
      <c r="V2390" s="141"/>
      <c r="W2390" s="141"/>
      <c r="X2390" s="141"/>
      <c r="Y2390" s="144"/>
      <c r="Z2390" s="141"/>
      <c r="AA2390" s="141"/>
      <c r="AB2390" s="141"/>
      <c r="AC2390" s="141"/>
      <c r="AD2390" s="141"/>
      <c r="AE2390" s="141"/>
      <c r="AF2390" s="145"/>
      <c r="AG2390" s="419"/>
    </row>
    <row r="2391" spans="1:33" s="139" customFormat="1" ht="12.75" customHeight="1" x14ac:dyDescent="0.2">
      <c r="A2391" s="141"/>
      <c r="B2391" s="141"/>
      <c r="C2391" s="141"/>
      <c r="D2391" s="141"/>
      <c r="E2391" s="1014"/>
      <c r="F2391" s="1014"/>
      <c r="G2391" s="1027"/>
      <c r="H2391" s="1027"/>
      <c r="I2391" s="1174"/>
      <c r="J2391" s="1174"/>
      <c r="K2391" s="1174"/>
      <c r="L2391" s="1172"/>
      <c r="M2391" s="1172"/>
      <c r="N2391" s="1175"/>
      <c r="O2391" s="143"/>
      <c r="P2391" s="1196"/>
      <c r="Q2391" s="141"/>
      <c r="R2391" s="141"/>
      <c r="S2391" s="148"/>
      <c r="T2391" s="419"/>
      <c r="U2391" s="559"/>
      <c r="V2391" s="141"/>
      <c r="W2391" s="141"/>
      <c r="X2391" s="141"/>
      <c r="Y2391" s="144"/>
      <c r="Z2391" s="141"/>
      <c r="AA2391" s="141"/>
      <c r="AB2391" s="141"/>
      <c r="AC2391" s="141"/>
      <c r="AD2391" s="141"/>
      <c r="AE2391" s="141"/>
      <c r="AF2391" s="145"/>
      <c r="AG2391" s="419"/>
    </row>
    <row r="2392" spans="1:33" s="139" customFormat="1" ht="12.75" customHeight="1" x14ac:dyDescent="0.2">
      <c r="A2392" s="141"/>
      <c r="B2392" s="141"/>
      <c r="C2392" s="141"/>
      <c r="D2392" s="141"/>
      <c r="E2392" s="1014"/>
      <c r="F2392" s="1014"/>
      <c r="G2392" s="1027"/>
      <c r="H2392" s="1027"/>
      <c r="I2392" s="1174"/>
      <c r="J2392" s="1174"/>
      <c r="K2392" s="1174"/>
      <c r="L2392" s="1172"/>
      <c r="M2392" s="1172"/>
      <c r="N2392" s="1175"/>
      <c r="O2392" s="143"/>
      <c r="P2392" s="1196"/>
      <c r="Q2392" s="141"/>
      <c r="R2392" s="141"/>
      <c r="S2392" s="148"/>
      <c r="T2392" s="419"/>
      <c r="U2392" s="559"/>
      <c r="V2392" s="141"/>
      <c r="W2392" s="141"/>
      <c r="X2392" s="141"/>
      <c r="Y2392" s="144"/>
      <c r="Z2392" s="141"/>
      <c r="AA2392" s="141"/>
      <c r="AB2392" s="141"/>
      <c r="AC2392" s="141"/>
      <c r="AD2392" s="141"/>
      <c r="AE2392" s="141"/>
      <c r="AF2392" s="145"/>
      <c r="AG2392" s="419"/>
    </row>
    <row r="2393" spans="1:33" s="139" customFormat="1" ht="12.75" customHeight="1" x14ac:dyDescent="0.2">
      <c r="A2393" s="141"/>
      <c r="B2393" s="141"/>
      <c r="C2393" s="141"/>
      <c r="D2393" s="141"/>
      <c r="E2393" s="1014"/>
      <c r="F2393" s="1014"/>
      <c r="G2393" s="1027"/>
      <c r="H2393" s="1027"/>
      <c r="I2393" s="1174"/>
      <c r="J2393" s="1174"/>
      <c r="K2393" s="1174"/>
      <c r="L2393" s="1172"/>
      <c r="M2393" s="1172"/>
      <c r="N2393" s="1175"/>
      <c r="O2393" s="143"/>
      <c r="P2393" s="1196"/>
      <c r="Q2393" s="141"/>
      <c r="R2393" s="141"/>
      <c r="S2393" s="148"/>
      <c r="T2393" s="419"/>
      <c r="U2393" s="559"/>
      <c r="V2393" s="141"/>
      <c r="W2393" s="141"/>
      <c r="X2393" s="141"/>
      <c r="Y2393" s="144"/>
      <c r="Z2393" s="141"/>
      <c r="AA2393" s="141"/>
      <c r="AB2393" s="141"/>
      <c r="AC2393" s="141"/>
      <c r="AD2393" s="141"/>
      <c r="AE2393" s="141"/>
      <c r="AF2393" s="145"/>
      <c r="AG2393" s="419"/>
    </row>
    <row r="2394" spans="1:33" s="139" customFormat="1" ht="12.75" customHeight="1" x14ac:dyDescent="0.2">
      <c r="A2394" s="141"/>
      <c r="B2394" s="141"/>
      <c r="C2394" s="141"/>
      <c r="D2394" s="141"/>
      <c r="E2394" s="1014"/>
      <c r="F2394" s="1014"/>
      <c r="G2394" s="1027"/>
      <c r="H2394" s="1027"/>
      <c r="I2394" s="1174"/>
      <c r="J2394" s="1174"/>
      <c r="K2394" s="1174"/>
      <c r="L2394" s="1172"/>
      <c r="M2394" s="1172"/>
      <c r="N2394" s="1175"/>
      <c r="O2394" s="143"/>
      <c r="P2394" s="1196"/>
      <c r="Q2394" s="141"/>
      <c r="R2394" s="141"/>
      <c r="S2394" s="148"/>
      <c r="T2394" s="419"/>
      <c r="U2394" s="559"/>
      <c r="V2394" s="141"/>
      <c r="W2394" s="141"/>
      <c r="X2394" s="141"/>
      <c r="Y2394" s="144"/>
      <c r="Z2394" s="141"/>
      <c r="AA2394" s="141"/>
      <c r="AB2394" s="141"/>
      <c r="AC2394" s="141"/>
      <c r="AD2394" s="141"/>
      <c r="AE2394" s="141"/>
      <c r="AF2394" s="145"/>
      <c r="AG2394" s="419"/>
    </row>
    <row r="2395" spans="1:33" s="139" customFormat="1" ht="12.75" customHeight="1" x14ac:dyDescent="0.2">
      <c r="A2395" s="141"/>
      <c r="B2395" s="141"/>
      <c r="C2395" s="141"/>
      <c r="D2395" s="141"/>
      <c r="E2395" s="1014"/>
      <c r="F2395" s="1014"/>
      <c r="G2395" s="1027"/>
      <c r="H2395" s="1027"/>
      <c r="I2395" s="1174"/>
      <c r="J2395" s="1174"/>
      <c r="K2395" s="1174"/>
      <c r="L2395" s="1172"/>
      <c r="M2395" s="1172"/>
      <c r="N2395" s="1175"/>
      <c r="O2395" s="143"/>
      <c r="P2395" s="1196"/>
      <c r="Q2395" s="141"/>
      <c r="R2395" s="141"/>
      <c r="S2395" s="148"/>
      <c r="T2395" s="419"/>
      <c r="U2395" s="559"/>
      <c r="V2395" s="141"/>
      <c r="W2395" s="141"/>
      <c r="X2395" s="141"/>
      <c r="Y2395" s="144"/>
      <c r="Z2395" s="141"/>
      <c r="AA2395" s="141"/>
      <c r="AB2395" s="141"/>
      <c r="AC2395" s="141"/>
      <c r="AD2395" s="141"/>
      <c r="AE2395" s="141"/>
      <c r="AF2395" s="145"/>
      <c r="AG2395" s="419"/>
    </row>
    <row r="2396" spans="1:33" s="139" customFormat="1" ht="12.75" customHeight="1" x14ac:dyDescent="0.2">
      <c r="A2396" s="141"/>
      <c r="B2396" s="141"/>
      <c r="C2396" s="141"/>
      <c r="D2396" s="141"/>
      <c r="E2396" s="1014"/>
      <c r="F2396" s="1014"/>
      <c r="G2396" s="1027"/>
      <c r="H2396" s="1027"/>
      <c r="I2396" s="1174"/>
      <c r="J2396" s="1174"/>
      <c r="K2396" s="1174"/>
      <c r="L2396" s="1172"/>
      <c r="M2396" s="1172"/>
      <c r="N2396" s="1175"/>
      <c r="O2396" s="143"/>
      <c r="P2396" s="1196"/>
      <c r="Q2396" s="141"/>
      <c r="R2396" s="141"/>
      <c r="S2396" s="148"/>
      <c r="T2396" s="419"/>
      <c r="U2396" s="559"/>
      <c r="V2396" s="141"/>
      <c r="W2396" s="141"/>
      <c r="X2396" s="141"/>
      <c r="Y2396" s="144"/>
      <c r="Z2396" s="141"/>
      <c r="AA2396" s="141"/>
      <c r="AB2396" s="141"/>
      <c r="AC2396" s="141"/>
      <c r="AD2396" s="141"/>
      <c r="AE2396" s="141"/>
      <c r="AF2396" s="145"/>
      <c r="AG2396" s="419"/>
    </row>
    <row r="2397" spans="1:33" s="139" customFormat="1" ht="12.75" customHeight="1" x14ac:dyDescent="0.2">
      <c r="A2397" s="141"/>
      <c r="B2397" s="141"/>
      <c r="C2397" s="141"/>
      <c r="D2397" s="141"/>
      <c r="E2397" s="1014"/>
      <c r="F2397" s="1014"/>
      <c r="G2397" s="1027"/>
      <c r="H2397" s="1027"/>
      <c r="I2397" s="1174"/>
      <c r="J2397" s="1174"/>
      <c r="K2397" s="1174"/>
      <c r="L2397" s="1172"/>
      <c r="M2397" s="1172"/>
      <c r="N2397" s="1175"/>
      <c r="O2397" s="143"/>
      <c r="P2397" s="1196"/>
      <c r="Q2397" s="141"/>
      <c r="R2397" s="141"/>
      <c r="S2397" s="148"/>
      <c r="T2397" s="419"/>
      <c r="U2397" s="559"/>
      <c r="V2397" s="141"/>
      <c r="W2397" s="141"/>
      <c r="X2397" s="141"/>
      <c r="Y2397" s="144"/>
      <c r="Z2397" s="141"/>
      <c r="AA2397" s="141"/>
      <c r="AB2397" s="141"/>
      <c r="AC2397" s="141"/>
      <c r="AD2397" s="141"/>
      <c r="AE2397" s="141"/>
      <c r="AF2397" s="145"/>
      <c r="AG2397" s="419"/>
    </row>
    <row r="2398" spans="1:33" s="139" customFormat="1" ht="12.75" customHeight="1" x14ac:dyDescent="0.2">
      <c r="A2398" s="141"/>
      <c r="B2398" s="141"/>
      <c r="C2398" s="141"/>
      <c r="D2398" s="141"/>
      <c r="E2398" s="1014"/>
      <c r="F2398" s="1014"/>
      <c r="G2398" s="1027"/>
      <c r="H2398" s="1027"/>
      <c r="I2398" s="1174"/>
      <c r="J2398" s="1174"/>
      <c r="K2398" s="1174"/>
      <c r="L2398" s="1172"/>
      <c r="M2398" s="1172"/>
      <c r="N2398" s="1175"/>
      <c r="O2398" s="143"/>
      <c r="P2398" s="1196"/>
      <c r="Q2398" s="141"/>
      <c r="R2398" s="141"/>
      <c r="S2398" s="148"/>
      <c r="T2398" s="419"/>
      <c r="U2398" s="559"/>
      <c r="V2398" s="141"/>
      <c r="W2398" s="141"/>
      <c r="X2398" s="141"/>
      <c r="Y2398" s="144"/>
      <c r="Z2398" s="141"/>
      <c r="AA2398" s="141"/>
      <c r="AB2398" s="141"/>
      <c r="AC2398" s="141"/>
      <c r="AD2398" s="141"/>
      <c r="AE2398" s="141"/>
      <c r="AF2398" s="145"/>
      <c r="AG2398" s="419"/>
    </row>
    <row r="2399" spans="1:33" s="139" customFormat="1" ht="12.75" customHeight="1" x14ac:dyDescent="0.2">
      <c r="A2399" s="141"/>
      <c r="B2399" s="141"/>
      <c r="C2399" s="141"/>
      <c r="D2399" s="141"/>
      <c r="E2399" s="1014"/>
      <c r="F2399" s="1014"/>
      <c r="G2399" s="1027"/>
      <c r="H2399" s="1027"/>
      <c r="I2399" s="1174"/>
      <c r="J2399" s="1174"/>
      <c r="K2399" s="1174"/>
      <c r="L2399" s="1172"/>
      <c r="M2399" s="1172"/>
      <c r="N2399" s="1175"/>
      <c r="O2399" s="143"/>
      <c r="P2399" s="1196"/>
      <c r="Q2399" s="141"/>
      <c r="R2399" s="141"/>
      <c r="S2399" s="148"/>
      <c r="T2399" s="419"/>
      <c r="U2399" s="559"/>
      <c r="V2399" s="141"/>
      <c r="W2399" s="141"/>
      <c r="X2399" s="141"/>
      <c r="Y2399" s="144"/>
      <c r="Z2399" s="141"/>
      <c r="AA2399" s="141"/>
      <c r="AB2399" s="141"/>
      <c r="AC2399" s="141"/>
      <c r="AD2399" s="141"/>
      <c r="AE2399" s="141"/>
      <c r="AF2399" s="145"/>
      <c r="AG2399" s="419"/>
    </row>
    <row r="2400" spans="1:33" s="139" customFormat="1" ht="12.75" customHeight="1" x14ac:dyDescent="0.2">
      <c r="A2400" s="141"/>
      <c r="B2400" s="141"/>
      <c r="C2400" s="141"/>
      <c r="D2400" s="141"/>
      <c r="E2400" s="1014"/>
      <c r="F2400" s="1014"/>
      <c r="G2400" s="1027"/>
      <c r="H2400" s="1027"/>
      <c r="I2400" s="1174"/>
      <c r="J2400" s="1174"/>
      <c r="K2400" s="1174"/>
      <c r="L2400" s="1172"/>
      <c r="M2400" s="1172"/>
      <c r="N2400" s="1175"/>
      <c r="O2400" s="143"/>
      <c r="P2400" s="1196"/>
      <c r="Q2400" s="141"/>
      <c r="R2400" s="141"/>
      <c r="S2400" s="148"/>
      <c r="T2400" s="419"/>
      <c r="U2400" s="559"/>
      <c r="V2400" s="141"/>
      <c r="W2400" s="141"/>
      <c r="X2400" s="141"/>
      <c r="Y2400" s="144"/>
      <c r="Z2400" s="141"/>
      <c r="AA2400" s="141"/>
      <c r="AB2400" s="141"/>
      <c r="AC2400" s="141"/>
      <c r="AD2400" s="141"/>
      <c r="AE2400" s="141"/>
      <c r="AF2400" s="145"/>
      <c r="AG2400" s="419"/>
    </row>
    <row r="2401" spans="1:33" s="139" customFormat="1" ht="12.75" customHeight="1" x14ac:dyDescent="0.2">
      <c r="A2401" s="141"/>
      <c r="B2401" s="141"/>
      <c r="C2401" s="141"/>
      <c r="D2401" s="141"/>
      <c r="E2401" s="1014"/>
      <c r="F2401" s="1014"/>
      <c r="G2401" s="1027"/>
      <c r="H2401" s="1027"/>
      <c r="I2401" s="1174"/>
      <c r="J2401" s="1174"/>
      <c r="K2401" s="1174"/>
      <c r="L2401" s="1172"/>
      <c r="M2401" s="1172"/>
      <c r="N2401" s="1175"/>
      <c r="O2401" s="143"/>
      <c r="P2401" s="1196"/>
      <c r="Q2401" s="141"/>
      <c r="R2401" s="141"/>
      <c r="S2401" s="148"/>
      <c r="T2401" s="419"/>
      <c r="U2401" s="559"/>
      <c r="V2401" s="141"/>
      <c r="W2401" s="141"/>
      <c r="X2401" s="141"/>
      <c r="Y2401" s="144"/>
      <c r="Z2401" s="141"/>
      <c r="AA2401" s="141"/>
      <c r="AB2401" s="141"/>
      <c r="AC2401" s="141"/>
      <c r="AD2401" s="141"/>
      <c r="AE2401" s="141"/>
      <c r="AF2401" s="145"/>
      <c r="AG2401" s="419"/>
    </row>
    <row r="2402" spans="1:33" s="139" customFormat="1" ht="12.75" customHeight="1" x14ac:dyDescent="0.2">
      <c r="A2402" s="141"/>
      <c r="B2402" s="141"/>
      <c r="C2402" s="141"/>
      <c r="D2402" s="141"/>
      <c r="E2402" s="1014"/>
      <c r="F2402" s="1014"/>
      <c r="G2402" s="1027"/>
      <c r="H2402" s="1027"/>
      <c r="I2402" s="1174"/>
      <c r="J2402" s="1174"/>
      <c r="K2402" s="1174"/>
      <c r="L2402" s="1172"/>
      <c r="M2402" s="1172"/>
      <c r="N2402" s="1175"/>
      <c r="O2402" s="143"/>
      <c r="P2402" s="1196"/>
      <c r="Q2402" s="141"/>
      <c r="R2402" s="141"/>
      <c r="S2402" s="148"/>
      <c r="T2402" s="419"/>
      <c r="U2402" s="559"/>
      <c r="V2402" s="141"/>
      <c r="W2402" s="141"/>
      <c r="X2402" s="141"/>
      <c r="Y2402" s="144"/>
      <c r="Z2402" s="141"/>
      <c r="AA2402" s="141"/>
      <c r="AB2402" s="141"/>
      <c r="AC2402" s="141"/>
      <c r="AD2402" s="141"/>
      <c r="AE2402" s="141"/>
      <c r="AF2402" s="145"/>
      <c r="AG2402" s="419"/>
    </row>
    <row r="2403" spans="1:33" s="139" customFormat="1" ht="12.75" customHeight="1" x14ac:dyDescent="0.2">
      <c r="A2403" s="141"/>
      <c r="B2403" s="141"/>
      <c r="C2403" s="141"/>
      <c r="D2403" s="141"/>
      <c r="E2403" s="1014"/>
      <c r="F2403" s="1014"/>
      <c r="G2403" s="1027"/>
      <c r="H2403" s="1027"/>
      <c r="I2403" s="1174"/>
      <c r="J2403" s="1174"/>
      <c r="K2403" s="1174"/>
      <c r="L2403" s="1172"/>
      <c r="M2403" s="1172"/>
      <c r="N2403" s="1175"/>
      <c r="O2403" s="143"/>
      <c r="P2403" s="1196"/>
      <c r="Q2403" s="141"/>
      <c r="R2403" s="141"/>
      <c r="S2403" s="148"/>
      <c r="T2403" s="419"/>
      <c r="U2403" s="559"/>
      <c r="V2403" s="141"/>
      <c r="W2403" s="141"/>
      <c r="X2403" s="141"/>
      <c r="Y2403" s="144"/>
      <c r="Z2403" s="141"/>
      <c r="AA2403" s="141"/>
      <c r="AB2403" s="141"/>
      <c r="AC2403" s="141"/>
      <c r="AD2403" s="141"/>
      <c r="AE2403" s="141"/>
      <c r="AF2403" s="145"/>
      <c r="AG2403" s="419"/>
    </row>
    <row r="2404" spans="1:33" s="139" customFormat="1" ht="12.75" customHeight="1" x14ac:dyDescent="0.2">
      <c r="A2404" s="141"/>
      <c r="B2404" s="141"/>
      <c r="C2404" s="141"/>
      <c r="D2404" s="141"/>
      <c r="E2404" s="1014"/>
      <c r="F2404" s="1014"/>
      <c r="G2404" s="1027"/>
      <c r="H2404" s="1027"/>
      <c r="I2404" s="1174"/>
      <c r="J2404" s="1174"/>
      <c r="K2404" s="1174"/>
      <c r="L2404" s="1172"/>
      <c r="M2404" s="1172"/>
      <c r="N2404" s="1175"/>
      <c r="O2404" s="143"/>
      <c r="P2404" s="1196"/>
      <c r="Q2404" s="141"/>
      <c r="R2404" s="141"/>
      <c r="S2404" s="148"/>
      <c r="T2404" s="419"/>
      <c r="U2404" s="559"/>
      <c r="V2404" s="141"/>
      <c r="W2404" s="141"/>
      <c r="X2404" s="141"/>
      <c r="Y2404" s="144"/>
      <c r="Z2404" s="141"/>
      <c r="AA2404" s="141"/>
      <c r="AB2404" s="141"/>
      <c r="AC2404" s="141"/>
      <c r="AD2404" s="141"/>
      <c r="AE2404" s="141"/>
      <c r="AF2404" s="145"/>
      <c r="AG2404" s="419"/>
    </row>
    <row r="2405" spans="1:33" s="139" customFormat="1" ht="12.75" customHeight="1" x14ac:dyDescent="0.2">
      <c r="A2405" s="141"/>
      <c r="B2405" s="141"/>
      <c r="C2405" s="141"/>
      <c r="D2405" s="141"/>
      <c r="E2405" s="1014"/>
      <c r="F2405" s="1014"/>
      <c r="G2405" s="1027"/>
      <c r="H2405" s="1027"/>
      <c r="I2405" s="1174"/>
      <c r="J2405" s="1174"/>
      <c r="K2405" s="1174"/>
      <c r="L2405" s="1172"/>
      <c r="M2405" s="1172"/>
      <c r="N2405" s="1175"/>
      <c r="O2405" s="143"/>
      <c r="P2405" s="1196"/>
      <c r="Q2405" s="141"/>
      <c r="R2405" s="141"/>
      <c r="S2405" s="148"/>
      <c r="T2405" s="419"/>
      <c r="U2405" s="559"/>
      <c r="V2405" s="141"/>
      <c r="W2405" s="141"/>
      <c r="X2405" s="141"/>
      <c r="Y2405" s="144"/>
      <c r="Z2405" s="141"/>
      <c r="AA2405" s="141"/>
      <c r="AB2405" s="141"/>
      <c r="AC2405" s="141"/>
      <c r="AD2405" s="141"/>
      <c r="AE2405" s="141"/>
      <c r="AF2405" s="145"/>
      <c r="AG2405" s="419"/>
    </row>
    <row r="2406" spans="1:33" s="139" customFormat="1" ht="12.75" customHeight="1" x14ac:dyDescent="0.2">
      <c r="A2406" s="141"/>
      <c r="B2406" s="141"/>
      <c r="C2406" s="141"/>
      <c r="D2406" s="141"/>
      <c r="E2406" s="1014"/>
      <c r="F2406" s="1014"/>
      <c r="G2406" s="1027"/>
      <c r="H2406" s="1027"/>
      <c r="I2406" s="1174"/>
      <c r="J2406" s="1174"/>
      <c r="K2406" s="1174"/>
      <c r="L2406" s="1172"/>
      <c r="M2406" s="1172"/>
      <c r="N2406" s="1175"/>
      <c r="O2406" s="143"/>
      <c r="P2406" s="1196"/>
      <c r="Q2406" s="141"/>
      <c r="R2406" s="141"/>
      <c r="S2406" s="148"/>
      <c r="T2406" s="419"/>
      <c r="U2406" s="559"/>
      <c r="V2406" s="141"/>
      <c r="W2406" s="141"/>
      <c r="X2406" s="141"/>
      <c r="Y2406" s="144"/>
      <c r="Z2406" s="141"/>
      <c r="AA2406" s="141"/>
      <c r="AB2406" s="141"/>
      <c r="AC2406" s="141"/>
      <c r="AD2406" s="141"/>
      <c r="AE2406" s="141"/>
      <c r="AF2406" s="145"/>
      <c r="AG2406" s="419"/>
    </row>
    <row r="2407" spans="1:33" s="139" customFormat="1" ht="12.75" customHeight="1" x14ac:dyDescent="0.2">
      <c r="A2407" s="141"/>
      <c r="B2407" s="141"/>
      <c r="C2407" s="141"/>
      <c r="D2407" s="141"/>
      <c r="E2407" s="1014"/>
      <c r="F2407" s="1014"/>
      <c r="G2407" s="1027"/>
      <c r="H2407" s="1027"/>
      <c r="I2407" s="1174"/>
      <c r="J2407" s="1174"/>
      <c r="K2407" s="1174"/>
      <c r="L2407" s="1172"/>
      <c r="M2407" s="1172"/>
      <c r="N2407" s="1175"/>
      <c r="O2407" s="143"/>
      <c r="P2407" s="1196"/>
      <c r="Q2407" s="141"/>
      <c r="R2407" s="141"/>
      <c r="S2407" s="148"/>
      <c r="T2407" s="419"/>
      <c r="U2407" s="559"/>
      <c r="V2407" s="141"/>
      <c r="W2407" s="141"/>
      <c r="X2407" s="141"/>
      <c r="Y2407" s="144"/>
      <c r="Z2407" s="141"/>
      <c r="AA2407" s="141"/>
      <c r="AB2407" s="141"/>
      <c r="AC2407" s="141"/>
      <c r="AD2407" s="141"/>
      <c r="AE2407" s="141"/>
      <c r="AF2407" s="145"/>
      <c r="AG2407" s="419"/>
    </row>
    <row r="2408" spans="1:33" s="139" customFormat="1" ht="12.75" customHeight="1" x14ac:dyDescent="0.2">
      <c r="A2408" s="141"/>
      <c r="B2408" s="141"/>
      <c r="C2408" s="141"/>
      <c r="D2408" s="141"/>
      <c r="E2408" s="1014"/>
      <c r="F2408" s="1014"/>
      <c r="G2408" s="1027"/>
      <c r="H2408" s="1027"/>
      <c r="I2408" s="1174"/>
      <c r="J2408" s="1174"/>
      <c r="K2408" s="1174"/>
      <c r="L2408" s="1172"/>
      <c r="M2408" s="1172"/>
      <c r="N2408" s="1175"/>
      <c r="O2408" s="143"/>
      <c r="P2408" s="1196"/>
      <c r="Q2408" s="141"/>
      <c r="R2408" s="141"/>
      <c r="S2408" s="148"/>
      <c r="T2408" s="419"/>
      <c r="U2408" s="559"/>
      <c r="V2408" s="141"/>
      <c r="W2408" s="141"/>
      <c r="X2408" s="141"/>
      <c r="Y2408" s="144"/>
      <c r="Z2408" s="141"/>
      <c r="AA2408" s="141"/>
      <c r="AB2408" s="141"/>
      <c r="AC2408" s="141"/>
      <c r="AD2408" s="141"/>
      <c r="AE2408" s="141"/>
      <c r="AF2408" s="145"/>
      <c r="AG2408" s="419"/>
    </row>
    <row r="2409" spans="1:33" s="139" customFormat="1" ht="12.75" customHeight="1" x14ac:dyDescent="0.2">
      <c r="A2409" s="141"/>
      <c r="B2409" s="141"/>
      <c r="C2409" s="141"/>
      <c r="D2409" s="141"/>
      <c r="E2409" s="1014"/>
      <c r="F2409" s="1014"/>
      <c r="G2409" s="1027"/>
      <c r="H2409" s="1027"/>
      <c r="I2409" s="1174"/>
      <c r="J2409" s="1174"/>
      <c r="K2409" s="1174"/>
      <c r="L2409" s="1172"/>
      <c r="M2409" s="1172"/>
      <c r="N2409" s="1175"/>
      <c r="O2409" s="143"/>
      <c r="P2409" s="1196"/>
      <c r="Q2409" s="141"/>
      <c r="R2409" s="141"/>
      <c r="S2409" s="148"/>
      <c r="T2409" s="419"/>
      <c r="U2409" s="559"/>
      <c r="V2409" s="141"/>
      <c r="W2409" s="141"/>
      <c r="X2409" s="141"/>
      <c r="Y2409" s="144"/>
      <c r="Z2409" s="141"/>
      <c r="AA2409" s="141"/>
      <c r="AB2409" s="141"/>
      <c r="AC2409" s="141"/>
      <c r="AD2409" s="141"/>
      <c r="AE2409" s="141"/>
      <c r="AF2409" s="145"/>
      <c r="AG2409" s="419"/>
    </row>
    <row r="2410" spans="1:33" s="139" customFormat="1" ht="12.75" customHeight="1" x14ac:dyDescent="0.2">
      <c r="A2410" s="141"/>
      <c r="B2410" s="141"/>
      <c r="C2410" s="141"/>
      <c r="D2410" s="141"/>
      <c r="E2410" s="1014"/>
      <c r="F2410" s="1014"/>
      <c r="G2410" s="1027"/>
      <c r="H2410" s="1027"/>
      <c r="I2410" s="1174"/>
      <c r="J2410" s="1174"/>
      <c r="K2410" s="1174"/>
      <c r="L2410" s="1172"/>
      <c r="M2410" s="1172"/>
      <c r="N2410" s="1175"/>
      <c r="O2410" s="143"/>
      <c r="P2410" s="1196"/>
      <c r="Q2410" s="141"/>
      <c r="R2410" s="141"/>
      <c r="S2410" s="148"/>
      <c r="T2410" s="419"/>
      <c r="U2410" s="559"/>
      <c r="V2410" s="141"/>
      <c r="W2410" s="141"/>
      <c r="X2410" s="141"/>
      <c r="Y2410" s="144"/>
      <c r="Z2410" s="141"/>
      <c r="AA2410" s="141"/>
      <c r="AB2410" s="141"/>
      <c r="AC2410" s="141"/>
      <c r="AD2410" s="141"/>
      <c r="AE2410" s="141"/>
      <c r="AF2410" s="145"/>
      <c r="AG2410" s="419"/>
    </row>
    <row r="2411" spans="1:33" s="139" customFormat="1" ht="12.75" customHeight="1" x14ac:dyDescent="0.2">
      <c r="A2411" s="141"/>
      <c r="B2411" s="141"/>
      <c r="C2411" s="141"/>
      <c r="D2411" s="141"/>
      <c r="E2411" s="1014"/>
      <c r="F2411" s="1014"/>
      <c r="G2411" s="1027"/>
      <c r="H2411" s="1027"/>
      <c r="I2411" s="1174"/>
      <c r="J2411" s="1174"/>
      <c r="K2411" s="1174"/>
      <c r="L2411" s="1172"/>
      <c r="M2411" s="1172"/>
      <c r="N2411" s="1175"/>
      <c r="O2411" s="143"/>
      <c r="P2411" s="1196"/>
      <c r="Q2411" s="141"/>
      <c r="R2411" s="141"/>
      <c r="S2411" s="148"/>
      <c r="T2411" s="419"/>
      <c r="U2411" s="559"/>
      <c r="V2411" s="141"/>
      <c r="W2411" s="141"/>
      <c r="X2411" s="141"/>
      <c r="Y2411" s="144"/>
      <c r="Z2411" s="141"/>
      <c r="AA2411" s="141"/>
      <c r="AB2411" s="141"/>
      <c r="AC2411" s="141"/>
      <c r="AD2411" s="141"/>
      <c r="AE2411" s="141"/>
      <c r="AF2411" s="145"/>
      <c r="AG2411" s="419"/>
    </row>
    <row r="2412" spans="1:33" s="139" customFormat="1" ht="12.75" customHeight="1" x14ac:dyDescent="0.2">
      <c r="A2412" s="141"/>
      <c r="B2412" s="141"/>
      <c r="C2412" s="141"/>
      <c r="D2412" s="141"/>
      <c r="E2412" s="1014"/>
      <c r="F2412" s="1014"/>
      <c r="G2412" s="1027"/>
      <c r="H2412" s="1027"/>
      <c r="I2412" s="1174"/>
      <c r="J2412" s="1174"/>
      <c r="K2412" s="1174"/>
      <c r="L2412" s="1172"/>
      <c r="M2412" s="1172"/>
      <c r="N2412" s="1175"/>
      <c r="O2412" s="143"/>
      <c r="P2412" s="1196"/>
      <c r="Q2412" s="141"/>
      <c r="R2412" s="141"/>
      <c r="S2412" s="148"/>
      <c r="T2412" s="419"/>
      <c r="U2412" s="559"/>
      <c r="V2412" s="141"/>
      <c r="W2412" s="141"/>
      <c r="X2412" s="141"/>
      <c r="Y2412" s="144"/>
      <c r="Z2412" s="141"/>
      <c r="AA2412" s="141"/>
      <c r="AB2412" s="141"/>
      <c r="AC2412" s="141"/>
      <c r="AD2412" s="141"/>
      <c r="AE2412" s="141"/>
      <c r="AF2412" s="145"/>
      <c r="AG2412" s="419"/>
    </row>
    <row r="2413" spans="1:33" s="139" customFormat="1" ht="12.75" customHeight="1" x14ac:dyDescent="0.2">
      <c r="A2413" s="141"/>
      <c r="B2413" s="141"/>
      <c r="C2413" s="141"/>
      <c r="D2413" s="141"/>
      <c r="E2413" s="1014"/>
      <c r="F2413" s="1014"/>
      <c r="G2413" s="1027"/>
      <c r="H2413" s="1027"/>
      <c r="I2413" s="1174"/>
      <c r="J2413" s="1174"/>
      <c r="K2413" s="1174"/>
      <c r="L2413" s="1172"/>
      <c r="M2413" s="1172"/>
      <c r="N2413" s="1175"/>
      <c r="O2413" s="143"/>
      <c r="P2413" s="1196"/>
      <c r="Q2413" s="141"/>
      <c r="R2413" s="141"/>
      <c r="S2413" s="148"/>
      <c r="T2413" s="419"/>
      <c r="U2413" s="559"/>
      <c r="V2413" s="141"/>
      <c r="W2413" s="141"/>
      <c r="X2413" s="141"/>
      <c r="Y2413" s="144"/>
      <c r="Z2413" s="141"/>
      <c r="AA2413" s="141"/>
      <c r="AB2413" s="141"/>
      <c r="AC2413" s="141"/>
      <c r="AD2413" s="141"/>
      <c r="AE2413" s="141"/>
      <c r="AF2413" s="145"/>
      <c r="AG2413" s="419"/>
    </row>
    <row r="2414" spans="1:33" s="139" customFormat="1" ht="12.75" customHeight="1" x14ac:dyDescent="0.2">
      <c r="A2414" s="141"/>
      <c r="B2414" s="141"/>
      <c r="C2414" s="141"/>
      <c r="D2414" s="141"/>
      <c r="E2414" s="1014"/>
      <c r="F2414" s="1014"/>
      <c r="G2414" s="1027"/>
      <c r="H2414" s="1027"/>
      <c r="I2414" s="1174"/>
      <c r="J2414" s="1174"/>
      <c r="K2414" s="1174"/>
      <c r="L2414" s="1172"/>
      <c r="M2414" s="1172"/>
      <c r="N2414" s="1175"/>
      <c r="O2414" s="143"/>
      <c r="P2414" s="1196"/>
      <c r="Q2414" s="141"/>
      <c r="R2414" s="141"/>
      <c r="S2414" s="148"/>
      <c r="T2414" s="419"/>
      <c r="U2414" s="559"/>
      <c r="V2414" s="141"/>
      <c r="W2414" s="141"/>
      <c r="X2414" s="141"/>
      <c r="Y2414" s="144"/>
      <c r="Z2414" s="141"/>
      <c r="AA2414" s="141"/>
      <c r="AB2414" s="141"/>
      <c r="AC2414" s="141"/>
      <c r="AD2414" s="141"/>
      <c r="AE2414" s="141"/>
      <c r="AF2414" s="145"/>
      <c r="AG2414" s="419"/>
    </row>
    <row r="2415" spans="1:33" s="139" customFormat="1" ht="12.75" customHeight="1" x14ac:dyDescent="0.2">
      <c r="A2415" s="141"/>
      <c r="B2415" s="141"/>
      <c r="C2415" s="141"/>
      <c r="D2415" s="141"/>
      <c r="E2415" s="1014"/>
      <c r="F2415" s="1014"/>
      <c r="G2415" s="1027"/>
      <c r="H2415" s="1027"/>
      <c r="I2415" s="1174"/>
      <c r="J2415" s="1174"/>
      <c r="K2415" s="1174"/>
      <c r="L2415" s="1172"/>
      <c r="M2415" s="1172"/>
      <c r="N2415" s="1175"/>
      <c r="O2415" s="143"/>
      <c r="P2415" s="1196"/>
      <c r="Q2415" s="141"/>
      <c r="R2415" s="141"/>
      <c r="S2415" s="148"/>
      <c r="T2415" s="419"/>
      <c r="U2415" s="559"/>
      <c r="V2415" s="141"/>
      <c r="W2415" s="141"/>
      <c r="X2415" s="141"/>
      <c r="Y2415" s="144"/>
      <c r="Z2415" s="141"/>
      <c r="AA2415" s="141"/>
      <c r="AB2415" s="141"/>
      <c r="AC2415" s="141"/>
      <c r="AD2415" s="141"/>
      <c r="AE2415" s="141"/>
      <c r="AF2415" s="145"/>
      <c r="AG2415" s="419"/>
    </row>
    <row r="2416" spans="1:33" s="139" customFormat="1" ht="12.75" customHeight="1" x14ac:dyDescent="0.2">
      <c r="A2416" s="141"/>
      <c r="B2416" s="141"/>
      <c r="C2416" s="141"/>
      <c r="D2416" s="141"/>
      <c r="E2416" s="1014"/>
      <c r="F2416" s="1014"/>
      <c r="G2416" s="1027"/>
      <c r="H2416" s="1027"/>
      <c r="I2416" s="1174"/>
      <c r="J2416" s="1174"/>
      <c r="K2416" s="1174"/>
      <c r="L2416" s="1172"/>
      <c r="M2416" s="1172"/>
      <c r="N2416" s="1175"/>
      <c r="O2416" s="143"/>
      <c r="P2416" s="1196"/>
      <c r="Q2416" s="141"/>
      <c r="R2416" s="141"/>
      <c r="S2416" s="148"/>
      <c r="T2416" s="419"/>
      <c r="U2416" s="559"/>
      <c r="V2416" s="141"/>
      <c r="W2416" s="141"/>
      <c r="X2416" s="141"/>
      <c r="Y2416" s="144"/>
      <c r="Z2416" s="141"/>
      <c r="AA2416" s="141"/>
      <c r="AB2416" s="141"/>
      <c r="AC2416" s="141"/>
      <c r="AD2416" s="141"/>
      <c r="AE2416" s="141"/>
      <c r="AF2416" s="145"/>
      <c r="AG2416" s="419"/>
    </row>
    <row r="2417" spans="1:33" s="139" customFormat="1" ht="12.75" customHeight="1" x14ac:dyDescent="0.2">
      <c r="A2417" s="141"/>
      <c r="B2417" s="141"/>
      <c r="C2417" s="141"/>
      <c r="D2417" s="141"/>
      <c r="E2417" s="1014"/>
      <c r="F2417" s="1014"/>
      <c r="G2417" s="1027"/>
      <c r="H2417" s="1027"/>
      <c r="I2417" s="1174"/>
      <c r="J2417" s="1174"/>
      <c r="K2417" s="1174"/>
      <c r="L2417" s="1172"/>
      <c r="M2417" s="1172"/>
      <c r="N2417" s="1175"/>
      <c r="O2417" s="143"/>
      <c r="P2417" s="1196"/>
      <c r="Q2417" s="141"/>
      <c r="R2417" s="141"/>
      <c r="S2417" s="148"/>
      <c r="T2417" s="419"/>
      <c r="U2417" s="559"/>
      <c r="V2417" s="141"/>
      <c r="W2417" s="141"/>
      <c r="X2417" s="141"/>
      <c r="Y2417" s="144"/>
      <c r="Z2417" s="141"/>
      <c r="AA2417" s="141"/>
      <c r="AB2417" s="141"/>
      <c r="AC2417" s="141"/>
      <c r="AD2417" s="141"/>
      <c r="AE2417" s="141"/>
      <c r="AF2417" s="145"/>
      <c r="AG2417" s="419"/>
    </row>
    <row r="2418" spans="1:33" s="139" customFormat="1" ht="12.75" customHeight="1" x14ac:dyDescent="0.2">
      <c r="A2418" s="141"/>
      <c r="B2418" s="141"/>
      <c r="C2418" s="141"/>
      <c r="D2418" s="141"/>
      <c r="E2418" s="1014"/>
      <c r="F2418" s="1014"/>
      <c r="G2418" s="1027"/>
      <c r="H2418" s="1027"/>
      <c r="I2418" s="1174"/>
      <c r="J2418" s="1174"/>
      <c r="K2418" s="1174"/>
      <c r="L2418" s="1172"/>
      <c r="M2418" s="1172"/>
      <c r="N2418" s="1175"/>
      <c r="O2418" s="143"/>
      <c r="P2418" s="1196"/>
      <c r="Q2418" s="141"/>
      <c r="R2418" s="141"/>
      <c r="S2418" s="148"/>
      <c r="T2418" s="419"/>
      <c r="U2418" s="559"/>
      <c r="V2418" s="141"/>
      <c r="W2418" s="141"/>
      <c r="X2418" s="141"/>
      <c r="Y2418" s="144"/>
      <c r="Z2418" s="141"/>
      <c r="AA2418" s="141"/>
      <c r="AB2418" s="141"/>
      <c r="AC2418" s="141"/>
      <c r="AD2418" s="141"/>
      <c r="AE2418" s="141"/>
      <c r="AF2418" s="145"/>
      <c r="AG2418" s="419"/>
    </row>
    <row r="2419" spans="1:33" s="139" customFormat="1" ht="12.75" customHeight="1" x14ac:dyDescent="0.2">
      <c r="A2419" s="141"/>
      <c r="B2419" s="141"/>
      <c r="C2419" s="141"/>
      <c r="D2419" s="141"/>
      <c r="E2419" s="1014"/>
      <c r="F2419" s="1014"/>
      <c r="G2419" s="1027"/>
      <c r="H2419" s="1027"/>
      <c r="I2419" s="1174"/>
      <c r="J2419" s="1174"/>
      <c r="K2419" s="1174"/>
      <c r="L2419" s="1172"/>
      <c r="M2419" s="1172"/>
      <c r="N2419" s="1175"/>
      <c r="O2419" s="143"/>
      <c r="P2419" s="1196"/>
      <c r="Q2419" s="141"/>
      <c r="R2419" s="141"/>
      <c r="S2419" s="148"/>
      <c r="T2419" s="419"/>
      <c r="U2419" s="559"/>
      <c r="V2419" s="141"/>
      <c r="W2419" s="141"/>
      <c r="X2419" s="141"/>
      <c r="Y2419" s="144"/>
      <c r="Z2419" s="141"/>
      <c r="AA2419" s="141"/>
      <c r="AB2419" s="141"/>
      <c r="AC2419" s="141"/>
      <c r="AD2419" s="141"/>
      <c r="AE2419" s="141"/>
      <c r="AF2419" s="145"/>
      <c r="AG2419" s="419"/>
    </row>
    <row r="2420" spans="1:33" s="139" customFormat="1" ht="12.75" customHeight="1" x14ac:dyDescent="0.2">
      <c r="A2420" s="141"/>
      <c r="B2420" s="141"/>
      <c r="C2420" s="141"/>
      <c r="D2420" s="141"/>
      <c r="E2420" s="1014"/>
      <c r="F2420" s="1014"/>
      <c r="G2420" s="1027"/>
      <c r="H2420" s="1027"/>
      <c r="I2420" s="1174"/>
      <c r="J2420" s="1174"/>
      <c r="K2420" s="1174"/>
      <c r="L2420" s="1172"/>
      <c r="M2420" s="1172"/>
      <c r="N2420" s="1175"/>
      <c r="O2420" s="143"/>
      <c r="P2420" s="1196"/>
      <c r="Q2420" s="141"/>
      <c r="R2420" s="141"/>
      <c r="S2420" s="148"/>
      <c r="T2420" s="419"/>
      <c r="U2420" s="559"/>
      <c r="V2420" s="141"/>
      <c r="W2420" s="141"/>
      <c r="X2420" s="141"/>
      <c r="Y2420" s="144"/>
      <c r="Z2420" s="141"/>
      <c r="AA2420" s="141"/>
      <c r="AB2420" s="141"/>
      <c r="AC2420" s="141"/>
      <c r="AD2420" s="141"/>
      <c r="AE2420" s="141"/>
      <c r="AF2420" s="145"/>
      <c r="AG2420" s="419"/>
    </row>
    <row r="2421" spans="1:33" s="139" customFormat="1" ht="12.75" customHeight="1" x14ac:dyDescent="0.2">
      <c r="A2421" s="141"/>
      <c r="B2421" s="141"/>
      <c r="C2421" s="141"/>
      <c r="D2421" s="141"/>
      <c r="E2421" s="1014"/>
      <c r="F2421" s="1014"/>
      <c r="G2421" s="1027"/>
      <c r="H2421" s="1027"/>
      <c r="I2421" s="1174"/>
      <c r="J2421" s="1174"/>
      <c r="K2421" s="1174"/>
      <c r="L2421" s="1172"/>
      <c r="M2421" s="1172"/>
      <c r="N2421" s="1175"/>
      <c r="O2421" s="143"/>
      <c r="P2421" s="1196"/>
      <c r="Q2421" s="141"/>
      <c r="R2421" s="141"/>
      <c r="S2421" s="148"/>
      <c r="T2421" s="419"/>
      <c r="U2421" s="559"/>
      <c r="V2421" s="141"/>
      <c r="W2421" s="141"/>
      <c r="X2421" s="141"/>
      <c r="Y2421" s="144"/>
      <c r="Z2421" s="141"/>
      <c r="AA2421" s="141"/>
      <c r="AB2421" s="141"/>
      <c r="AC2421" s="141"/>
      <c r="AD2421" s="141"/>
      <c r="AE2421" s="141"/>
      <c r="AF2421" s="145"/>
      <c r="AG2421" s="419"/>
    </row>
    <row r="2422" spans="1:33" s="139" customFormat="1" ht="12.75" customHeight="1" x14ac:dyDescent="0.2">
      <c r="A2422" s="141"/>
      <c r="B2422" s="141"/>
      <c r="C2422" s="141"/>
      <c r="D2422" s="141"/>
      <c r="E2422" s="1014"/>
      <c r="F2422" s="1014"/>
      <c r="G2422" s="1027"/>
      <c r="H2422" s="1027"/>
      <c r="I2422" s="1174"/>
      <c r="J2422" s="1174"/>
      <c r="K2422" s="1174"/>
      <c r="L2422" s="1172"/>
      <c r="M2422" s="1172"/>
      <c r="N2422" s="1175"/>
      <c r="O2422" s="143"/>
      <c r="P2422" s="1196"/>
      <c r="Q2422" s="141"/>
      <c r="R2422" s="141"/>
      <c r="S2422" s="148"/>
      <c r="T2422" s="419"/>
      <c r="U2422" s="559"/>
      <c r="V2422" s="141"/>
      <c r="W2422" s="141"/>
      <c r="X2422" s="141"/>
      <c r="Y2422" s="144"/>
      <c r="Z2422" s="141"/>
      <c r="AA2422" s="141"/>
      <c r="AB2422" s="141"/>
      <c r="AC2422" s="141"/>
      <c r="AD2422" s="141"/>
      <c r="AE2422" s="141"/>
      <c r="AF2422" s="145"/>
      <c r="AG2422" s="419"/>
    </row>
    <row r="2423" spans="1:33" s="139" customFormat="1" ht="12.75" customHeight="1" x14ac:dyDescent="0.2">
      <c r="A2423" s="141"/>
      <c r="B2423" s="141"/>
      <c r="C2423" s="141"/>
      <c r="D2423" s="141"/>
      <c r="E2423" s="1014"/>
      <c r="F2423" s="1014"/>
      <c r="G2423" s="1027"/>
      <c r="H2423" s="1027"/>
      <c r="I2423" s="1174"/>
      <c r="J2423" s="1174"/>
      <c r="K2423" s="1174"/>
      <c r="L2423" s="1172"/>
      <c r="M2423" s="1172"/>
      <c r="N2423" s="1175"/>
      <c r="O2423" s="143"/>
      <c r="P2423" s="1196"/>
      <c r="Q2423" s="141"/>
      <c r="R2423" s="141"/>
      <c r="S2423" s="148"/>
      <c r="T2423" s="419"/>
      <c r="U2423" s="559"/>
      <c r="V2423" s="141"/>
      <c r="W2423" s="141"/>
      <c r="X2423" s="141"/>
      <c r="Y2423" s="144"/>
      <c r="Z2423" s="141"/>
      <c r="AA2423" s="141"/>
      <c r="AB2423" s="141"/>
      <c r="AC2423" s="141"/>
      <c r="AD2423" s="141"/>
      <c r="AE2423" s="141"/>
      <c r="AF2423" s="145"/>
      <c r="AG2423" s="419"/>
    </row>
    <row r="2424" spans="1:33" s="139" customFormat="1" ht="12.75" customHeight="1" x14ac:dyDescent="0.2">
      <c r="A2424" s="141"/>
      <c r="B2424" s="141"/>
      <c r="C2424" s="141"/>
      <c r="D2424" s="141"/>
      <c r="E2424" s="1014"/>
      <c r="F2424" s="1014"/>
      <c r="G2424" s="1027"/>
      <c r="H2424" s="1027"/>
      <c r="I2424" s="1174"/>
      <c r="J2424" s="1174"/>
      <c r="K2424" s="1174"/>
      <c r="L2424" s="1172"/>
      <c r="M2424" s="1172"/>
      <c r="N2424" s="1175"/>
      <c r="O2424" s="143"/>
      <c r="P2424" s="1196"/>
      <c r="Q2424" s="141"/>
      <c r="R2424" s="141"/>
      <c r="S2424" s="148"/>
      <c r="T2424" s="419"/>
      <c r="U2424" s="559"/>
      <c r="V2424" s="141"/>
      <c r="W2424" s="141"/>
      <c r="X2424" s="141"/>
      <c r="Y2424" s="144"/>
      <c r="Z2424" s="141"/>
      <c r="AA2424" s="141"/>
      <c r="AB2424" s="141"/>
      <c r="AC2424" s="141"/>
      <c r="AD2424" s="141"/>
      <c r="AE2424" s="141"/>
      <c r="AF2424" s="145"/>
      <c r="AG2424" s="419"/>
    </row>
    <row r="2425" spans="1:33" s="139" customFormat="1" ht="12.75" customHeight="1" x14ac:dyDescent="0.2">
      <c r="A2425" s="141"/>
      <c r="B2425" s="141"/>
      <c r="C2425" s="141"/>
      <c r="D2425" s="141"/>
      <c r="E2425" s="1014"/>
      <c r="F2425" s="1014"/>
      <c r="G2425" s="1027"/>
      <c r="H2425" s="1027"/>
      <c r="I2425" s="1174"/>
      <c r="J2425" s="1174"/>
      <c r="K2425" s="1174"/>
      <c r="L2425" s="1172"/>
      <c r="M2425" s="1172"/>
      <c r="N2425" s="1175"/>
      <c r="O2425" s="143"/>
      <c r="P2425" s="1196"/>
      <c r="Q2425" s="141"/>
      <c r="R2425" s="141"/>
      <c r="S2425" s="148"/>
      <c r="T2425" s="419"/>
      <c r="U2425" s="559"/>
      <c r="V2425" s="141"/>
      <c r="W2425" s="141"/>
      <c r="X2425" s="141"/>
      <c r="Y2425" s="144"/>
      <c r="Z2425" s="141"/>
      <c r="AA2425" s="141"/>
      <c r="AB2425" s="141"/>
      <c r="AC2425" s="141"/>
      <c r="AD2425" s="141"/>
      <c r="AE2425" s="141"/>
      <c r="AF2425" s="145"/>
      <c r="AG2425" s="419"/>
    </row>
    <row r="2426" spans="1:33" s="139" customFormat="1" ht="12.75" customHeight="1" x14ac:dyDescent="0.2">
      <c r="A2426" s="141"/>
      <c r="B2426" s="141"/>
      <c r="C2426" s="141"/>
      <c r="D2426" s="141"/>
      <c r="E2426" s="1014"/>
      <c r="F2426" s="1014"/>
      <c r="G2426" s="1027"/>
      <c r="H2426" s="1027"/>
      <c r="I2426" s="1174"/>
      <c r="J2426" s="1174"/>
      <c r="K2426" s="1174"/>
      <c r="L2426" s="1172"/>
      <c r="M2426" s="1172"/>
      <c r="N2426" s="1175"/>
      <c r="O2426" s="143"/>
      <c r="P2426" s="1196"/>
      <c r="Q2426" s="141"/>
      <c r="R2426" s="141"/>
      <c r="S2426" s="148"/>
      <c r="T2426" s="419"/>
      <c r="U2426" s="559"/>
      <c r="V2426" s="141"/>
      <c r="W2426" s="141"/>
      <c r="X2426" s="141"/>
      <c r="Y2426" s="144"/>
      <c r="Z2426" s="141"/>
      <c r="AA2426" s="141"/>
      <c r="AB2426" s="141"/>
      <c r="AC2426" s="141"/>
      <c r="AD2426" s="141"/>
      <c r="AE2426" s="141"/>
      <c r="AF2426" s="145"/>
      <c r="AG2426" s="419"/>
    </row>
    <row r="2427" spans="1:33" s="139" customFormat="1" ht="12.75" customHeight="1" x14ac:dyDescent="0.2">
      <c r="A2427" s="141"/>
      <c r="B2427" s="141"/>
      <c r="C2427" s="141"/>
      <c r="D2427" s="141"/>
      <c r="E2427" s="1014"/>
      <c r="F2427" s="1014"/>
      <c r="G2427" s="1027"/>
      <c r="H2427" s="1027"/>
      <c r="I2427" s="1174"/>
      <c r="J2427" s="1174"/>
      <c r="K2427" s="1174"/>
      <c r="L2427" s="1172"/>
      <c r="M2427" s="1172"/>
      <c r="N2427" s="1175"/>
      <c r="O2427" s="143"/>
      <c r="P2427" s="1196"/>
      <c r="Q2427" s="141"/>
      <c r="R2427" s="141"/>
      <c r="S2427" s="148"/>
      <c r="T2427" s="419"/>
      <c r="U2427" s="559"/>
      <c r="V2427" s="141"/>
      <c r="W2427" s="141"/>
      <c r="X2427" s="141"/>
      <c r="Y2427" s="144"/>
      <c r="Z2427" s="141"/>
      <c r="AA2427" s="141"/>
      <c r="AB2427" s="141"/>
      <c r="AC2427" s="141"/>
      <c r="AD2427" s="141"/>
      <c r="AE2427" s="141"/>
      <c r="AF2427" s="145"/>
      <c r="AG2427" s="419"/>
    </row>
    <row r="2428" spans="1:33" s="139" customFormat="1" ht="12.75" customHeight="1" x14ac:dyDescent="0.2">
      <c r="A2428" s="141"/>
      <c r="B2428" s="141"/>
      <c r="C2428" s="141"/>
      <c r="D2428" s="141"/>
      <c r="E2428" s="1014"/>
      <c r="F2428" s="1014"/>
      <c r="G2428" s="1027"/>
      <c r="H2428" s="1027"/>
      <c r="I2428" s="1174"/>
      <c r="J2428" s="1174"/>
      <c r="K2428" s="1174"/>
      <c r="L2428" s="1172"/>
      <c r="M2428" s="1172"/>
      <c r="N2428" s="1175"/>
      <c r="O2428" s="143"/>
      <c r="P2428" s="1196"/>
      <c r="Q2428" s="141"/>
      <c r="R2428" s="141"/>
      <c r="S2428" s="148"/>
      <c r="T2428" s="419"/>
      <c r="U2428" s="559"/>
      <c r="V2428" s="141"/>
      <c r="W2428" s="141"/>
      <c r="X2428" s="141"/>
      <c r="Y2428" s="144"/>
      <c r="Z2428" s="141"/>
      <c r="AA2428" s="141"/>
      <c r="AB2428" s="141"/>
      <c r="AC2428" s="141"/>
      <c r="AD2428" s="141"/>
      <c r="AE2428" s="141"/>
      <c r="AF2428" s="145"/>
      <c r="AG2428" s="419"/>
    </row>
    <row r="2429" spans="1:33" s="139" customFormat="1" ht="12.75" customHeight="1" x14ac:dyDescent="0.2">
      <c r="A2429" s="141"/>
      <c r="B2429" s="141"/>
      <c r="C2429" s="141"/>
      <c r="D2429" s="141"/>
      <c r="E2429" s="1014"/>
      <c r="F2429" s="1014"/>
      <c r="G2429" s="1027"/>
      <c r="H2429" s="1027"/>
      <c r="I2429" s="1174"/>
      <c r="J2429" s="1174"/>
      <c r="K2429" s="1174"/>
      <c r="L2429" s="1172"/>
      <c r="M2429" s="1172"/>
      <c r="N2429" s="1175"/>
      <c r="O2429" s="143"/>
      <c r="P2429" s="1196"/>
      <c r="Q2429" s="141"/>
      <c r="R2429" s="141"/>
      <c r="S2429" s="148"/>
      <c r="T2429" s="419"/>
      <c r="U2429" s="559"/>
      <c r="V2429" s="141"/>
      <c r="W2429" s="141"/>
      <c r="X2429" s="141"/>
      <c r="Y2429" s="144"/>
      <c r="Z2429" s="141"/>
      <c r="AA2429" s="141"/>
      <c r="AB2429" s="141"/>
      <c r="AC2429" s="141"/>
      <c r="AD2429" s="141"/>
      <c r="AE2429" s="141"/>
      <c r="AF2429" s="145"/>
      <c r="AG2429" s="419"/>
    </row>
    <row r="2430" spans="1:33" s="139" customFormat="1" ht="12.75" customHeight="1" x14ac:dyDescent="0.2">
      <c r="A2430" s="141"/>
      <c r="B2430" s="141"/>
      <c r="C2430" s="141"/>
      <c r="D2430" s="141"/>
      <c r="E2430" s="1014"/>
      <c r="F2430" s="1014"/>
      <c r="G2430" s="1027"/>
      <c r="H2430" s="1027"/>
      <c r="I2430" s="1174"/>
      <c r="J2430" s="1174"/>
      <c r="K2430" s="1174"/>
      <c r="L2430" s="1172"/>
      <c r="M2430" s="1172"/>
      <c r="N2430" s="1175"/>
      <c r="O2430" s="143"/>
      <c r="P2430" s="1196"/>
      <c r="Q2430" s="141"/>
      <c r="R2430" s="141"/>
      <c r="S2430" s="148"/>
      <c r="T2430" s="419"/>
      <c r="U2430" s="559"/>
      <c r="V2430" s="141"/>
      <c r="W2430" s="141"/>
      <c r="X2430" s="141"/>
      <c r="Y2430" s="144"/>
      <c r="Z2430" s="141"/>
      <c r="AA2430" s="141"/>
      <c r="AB2430" s="141"/>
      <c r="AC2430" s="141"/>
      <c r="AD2430" s="141"/>
      <c r="AE2430" s="141"/>
      <c r="AF2430" s="145"/>
      <c r="AG2430" s="419"/>
    </row>
    <row r="2431" spans="1:33" s="139" customFormat="1" ht="12.75" customHeight="1" x14ac:dyDescent="0.2">
      <c r="A2431" s="141"/>
      <c r="B2431" s="141"/>
      <c r="C2431" s="141"/>
      <c r="D2431" s="141"/>
      <c r="E2431" s="1014"/>
      <c r="F2431" s="1014"/>
      <c r="G2431" s="1027"/>
      <c r="H2431" s="1027"/>
      <c r="I2431" s="1174"/>
      <c r="J2431" s="1174"/>
      <c r="K2431" s="1174"/>
      <c r="L2431" s="1172"/>
      <c r="M2431" s="1172"/>
      <c r="N2431" s="1175"/>
      <c r="O2431" s="143"/>
      <c r="P2431" s="1196"/>
      <c r="Q2431" s="141"/>
      <c r="R2431" s="141"/>
      <c r="S2431" s="148"/>
      <c r="T2431" s="419"/>
      <c r="U2431" s="559"/>
      <c r="V2431" s="141"/>
      <c r="W2431" s="141"/>
      <c r="X2431" s="141"/>
      <c r="Y2431" s="144"/>
      <c r="Z2431" s="141"/>
      <c r="AA2431" s="141"/>
      <c r="AB2431" s="141"/>
      <c r="AC2431" s="141"/>
      <c r="AD2431" s="141"/>
      <c r="AE2431" s="141"/>
      <c r="AF2431" s="145"/>
      <c r="AG2431" s="419"/>
    </row>
    <row r="2432" spans="1:33" s="139" customFormat="1" ht="12.75" customHeight="1" x14ac:dyDescent="0.2">
      <c r="A2432" s="141"/>
      <c r="B2432" s="141"/>
      <c r="C2432" s="141"/>
      <c r="D2432" s="141"/>
      <c r="E2432" s="1014"/>
      <c r="F2432" s="1014"/>
      <c r="G2432" s="1027"/>
      <c r="H2432" s="1027"/>
      <c r="I2432" s="1174"/>
      <c r="J2432" s="1174"/>
      <c r="K2432" s="1174"/>
      <c r="L2432" s="1172"/>
      <c r="M2432" s="1172"/>
      <c r="N2432" s="1175"/>
      <c r="O2432" s="143"/>
      <c r="P2432" s="1196"/>
      <c r="Q2432" s="141"/>
      <c r="R2432" s="141"/>
      <c r="S2432" s="148"/>
      <c r="T2432" s="419"/>
      <c r="U2432" s="559"/>
      <c r="V2432" s="141"/>
      <c r="W2432" s="141"/>
      <c r="X2432" s="141"/>
      <c r="Y2432" s="144"/>
      <c r="Z2432" s="141"/>
      <c r="AA2432" s="141"/>
      <c r="AB2432" s="141"/>
      <c r="AC2432" s="141"/>
      <c r="AD2432" s="141"/>
      <c r="AE2432" s="141"/>
      <c r="AF2432" s="145"/>
      <c r="AG2432" s="419"/>
    </row>
    <row r="2433" spans="1:33" s="139" customFormat="1" ht="12.75" customHeight="1" x14ac:dyDescent="0.2">
      <c r="A2433" s="141"/>
      <c r="B2433" s="141"/>
      <c r="C2433" s="141"/>
      <c r="D2433" s="141"/>
      <c r="E2433" s="1014"/>
      <c r="F2433" s="1014"/>
      <c r="G2433" s="1027"/>
      <c r="H2433" s="1027"/>
      <c r="I2433" s="1174"/>
      <c r="J2433" s="1174"/>
      <c r="K2433" s="1174"/>
      <c r="L2433" s="1172"/>
      <c r="M2433" s="1172"/>
      <c r="N2433" s="1175"/>
      <c r="O2433" s="143"/>
      <c r="P2433" s="1196"/>
      <c r="Q2433" s="141"/>
      <c r="R2433" s="141"/>
      <c r="S2433" s="148"/>
      <c r="T2433" s="419"/>
      <c r="U2433" s="559"/>
      <c r="V2433" s="141"/>
      <c r="W2433" s="141"/>
      <c r="X2433" s="141"/>
      <c r="Y2433" s="144"/>
      <c r="Z2433" s="141"/>
      <c r="AA2433" s="141"/>
      <c r="AB2433" s="141"/>
      <c r="AC2433" s="141"/>
      <c r="AD2433" s="141"/>
      <c r="AE2433" s="141"/>
      <c r="AF2433" s="145"/>
      <c r="AG2433" s="419"/>
    </row>
    <row r="2434" spans="1:33" s="139" customFormat="1" ht="12.75" customHeight="1" x14ac:dyDescent="0.2">
      <c r="A2434" s="141"/>
      <c r="B2434" s="141"/>
      <c r="C2434" s="141"/>
      <c r="D2434" s="141"/>
      <c r="E2434" s="1014"/>
      <c r="F2434" s="1014"/>
      <c r="G2434" s="1027"/>
      <c r="H2434" s="1027"/>
      <c r="I2434" s="1174"/>
      <c r="J2434" s="1174"/>
      <c r="K2434" s="1174"/>
      <c r="L2434" s="1172"/>
      <c r="M2434" s="1172"/>
      <c r="N2434" s="1175"/>
      <c r="O2434" s="143"/>
      <c r="P2434" s="1196"/>
      <c r="Q2434" s="141"/>
      <c r="R2434" s="141"/>
      <c r="S2434" s="148"/>
      <c r="T2434" s="419"/>
      <c r="U2434" s="559"/>
      <c r="V2434" s="141"/>
      <c r="W2434" s="141"/>
      <c r="X2434" s="141"/>
      <c r="Y2434" s="144"/>
      <c r="Z2434" s="141"/>
      <c r="AA2434" s="141"/>
      <c r="AB2434" s="141"/>
      <c r="AC2434" s="141"/>
      <c r="AD2434" s="141"/>
      <c r="AE2434" s="141"/>
      <c r="AF2434" s="145"/>
      <c r="AG2434" s="419"/>
    </row>
    <row r="2435" spans="1:33" s="139" customFormat="1" ht="12.75" customHeight="1" x14ac:dyDescent="0.2">
      <c r="A2435" s="141"/>
      <c r="B2435" s="141"/>
      <c r="C2435" s="141"/>
      <c r="D2435" s="141"/>
      <c r="E2435" s="1014"/>
      <c r="F2435" s="1014"/>
      <c r="G2435" s="1027"/>
      <c r="H2435" s="1027"/>
      <c r="I2435" s="1174"/>
      <c r="J2435" s="1174"/>
      <c r="K2435" s="1174"/>
      <c r="L2435" s="1172"/>
      <c r="M2435" s="1172"/>
      <c r="N2435" s="1175"/>
      <c r="O2435" s="143"/>
      <c r="P2435" s="1196"/>
      <c r="Q2435" s="141"/>
      <c r="R2435" s="141"/>
      <c r="S2435" s="148"/>
      <c r="T2435" s="419"/>
      <c r="U2435" s="559"/>
      <c r="V2435" s="141"/>
      <c r="W2435" s="141"/>
      <c r="X2435" s="141"/>
      <c r="Y2435" s="144"/>
      <c r="Z2435" s="141"/>
      <c r="AA2435" s="141"/>
      <c r="AB2435" s="141"/>
      <c r="AC2435" s="141"/>
      <c r="AD2435" s="141"/>
      <c r="AE2435" s="141"/>
      <c r="AF2435" s="145"/>
      <c r="AG2435" s="419"/>
    </row>
    <row r="2436" spans="1:33" s="139" customFormat="1" ht="12.75" customHeight="1" x14ac:dyDescent="0.2">
      <c r="A2436" s="141"/>
      <c r="B2436" s="141"/>
      <c r="C2436" s="141"/>
      <c r="D2436" s="141"/>
      <c r="E2436" s="1014"/>
      <c r="F2436" s="1014"/>
      <c r="G2436" s="1027"/>
      <c r="H2436" s="1027"/>
      <c r="I2436" s="1174"/>
      <c r="J2436" s="1174"/>
      <c r="K2436" s="1174"/>
      <c r="L2436" s="1172"/>
      <c r="M2436" s="1172"/>
      <c r="N2436" s="1175"/>
      <c r="O2436" s="143"/>
      <c r="P2436" s="1196"/>
      <c r="Q2436" s="141"/>
      <c r="R2436" s="141"/>
      <c r="S2436" s="148"/>
      <c r="T2436" s="419"/>
      <c r="U2436" s="559"/>
      <c r="V2436" s="141"/>
      <c r="W2436" s="141"/>
      <c r="X2436" s="141"/>
      <c r="Y2436" s="144"/>
      <c r="Z2436" s="141"/>
      <c r="AA2436" s="141"/>
      <c r="AB2436" s="141"/>
      <c r="AC2436" s="141"/>
      <c r="AD2436" s="141"/>
      <c r="AE2436" s="141"/>
      <c r="AF2436" s="145"/>
      <c r="AG2436" s="419"/>
    </row>
    <row r="2437" spans="1:33" s="139" customFormat="1" ht="12.75" customHeight="1" x14ac:dyDescent="0.2">
      <c r="A2437" s="141"/>
      <c r="B2437" s="141"/>
      <c r="C2437" s="141"/>
      <c r="D2437" s="141"/>
      <c r="E2437" s="1014"/>
      <c r="F2437" s="1014"/>
      <c r="G2437" s="1027"/>
      <c r="H2437" s="1027"/>
      <c r="I2437" s="1174"/>
      <c r="J2437" s="1174"/>
      <c r="K2437" s="1174"/>
      <c r="L2437" s="1172"/>
      <c r="M2437" s="1172"/>
      <c r="N2437" s="1175"/>
      <c r="O2437" s="143"/>
      <c r="P2437" s="1196"/>
      <c r="Q2437" s="141"/>
      <c r="R2437" s="141"/>
      <c r="S2437" s="148"/>
      <c r="T2437" s="419"/>
      <c r="U2437" s="559"/>
      <c r="V2437" s="141"/>
      <c r="W2437" s="141"/>
      <c r="X2437" s="141"/>
      <c r="Y2437" s="144"/>
      <c r="Z2437" s="141"/>
      <c r="AA2437" s="141"/>
      <c r="AB2437" s="141"/>
      <c r="AC2437" s="141"/>
      <c r="AD2437" s="141"/>
      <c r="AE2437" s="141"/>
      <c r="AF2437" s="145"/>
      <c r="AG2437" s="419"/>
    </row>
    <row r="2438" spans="1:33" s="139" customFormat="1" ht="12.75" customHeight="1" x14ac:dyDescent="0.2">
      <c r="A2438" s="141"/>
      <c r="B2438" s="141"/>
      <c r="C2438" s="141"/>
      <c r="D2438" s="141"/>
      <c r="E2438" s="1014"/>
      <c r="F2438" s="1014"/>
      <c r="G2438" s="1027"/>
      <c r="H2438" s="1027"/>
      <c r="I2438" s="1174"/>
      <c r="J2438" s="1174"/>
      <c r="K2438" s="1174"/>
      <c r="L2438" s="1172"/>
      <c r="M2438" s="1172"/>
      <c r="N2438" s="1175"/>
      <c r="O2438" s="143"/>
      <c r="P2438" s="1196"/>
      <c r="Q2438" s="141"/>
      <c r="R2438" s="141"/>
      <c r="S2438" s="148"/>
      <c r="T2438" s="419"/>
      <c r="U2438" s="559"/>
      <c r="V2438" s="141"/>
      <c r="W2438" s="141"/>
      <c r="X2438" s="141"/>
      <c r="Y2438" s="144"/>
      <c r="Z2438" s="141"/>
      <c r="AA2438" s="141"/>
      <c r="AB2438" s="141"/>
      <c r="AC2438" s="141"/>
      <c r="AD2438" s="141"/>
      <c r="AE2438" s="141"/>
      <c r="AF2438" s="145"/>
      <c r="AG2438" s="419"/>
    </row>
    <row r="2439" spans="1:33" s="139" customFormat="1" ht="12.75" customHeight="1" x14ac:dyDescent="0.2">
      <c r="A2439" s="141"/>
      <c r="B2439" s="141"/>
      <c r="C2439" s="141"/>
      <c r="D2439" s="141"/>
      <c r="E2439" s="1014"/>
      <c r="F2439" s="1014"/>
      <c r="G2439" s="1027"/>
      <c r="H2439" s="1027"/>
      <c r="I2439" s="1174"/>
      <c r="J2439" s="1174"/>
      <c r="K2439" s="1174"/>
      <c r="L2439" s="1172"/>
      <c r="M2439" s="1172"/>
      <c r="N2439" s="1175"/>
      <c r="O2439" s="143"/>
      <c r="P2439" s="1196"/>
      <c r="Q2439" s="141"/>
      <c r="R2439" s="141"/>
      <c r="S2439" s="148"/>
      <c r="T2439" s="419"/>
      <c r="U2439" s="559"/>
      <c r="V2439" s="141"/>
      <c r="W2439" s="141"/>
      <c r="X2439" s="141"/>
      <c r="Y2439" s="144"/>
      <c r="Z2439" s="141"/>
      <c r="AA2439" s="141"/>
      <c r="AB2439" s="141"/>
      <c r="AC2439" s="141"/>
      <c r="AD2439" s="141"/>
      <c r="AE2439" s="141"/>
      <c r="AF2439" s="145"/>
      <c r="AG2439" s="419"/>
    </row>
    <row r="2440" spans="1:33" s="139" customFormat="1" ht="12.75" customHeight="1" x14ac:dyDescent="0.2">
      <c r="A2440" s="141"/>
      <c r="B2440" s="141"/>
      <c r="C2440" s="141"/>
      <c r="D2440" s="141"/>
      <c r="E2440" s="1014"/>
      <c r="F2440" s="1014"/>
      <c r="G2440" s="1027"/>
      <c r="H2440" s="1027"/>
      <c r="I2440" s="1174"/>
      <c r="J2440" s="1174"/>
      <c r="K2440" s="1174"/>
      <c r="L2440" s="1172"/>
      <c r="M2440" s="1172"/>
      <c r="N2440" s="1175"/>
      <c r="O2440" s="143"/>
      <c r="P2440" s="1196"/>
      <c r="Q2440" s="141"/>
      <c r="R2440" s="141"/>
      <c r="S2440" s="148"/>
      <c r="T2440" s="419"/>
      <c r="U2440" s="559"/>
      <c r="V2440" s="141"/>
      <c r="W2440" s="141"/>
      <c r="X2440" s="141"/>
      <c r="Y2440" s="144"/>
      <c r="Z2440" s="141"/>
      <c r="AA2440" s="141"/>
      <c r="AB2440" s="141"/>
      <c r="AC2440" s="141"/>
      <c r="AD2440" s="141"/>
      <c r="AE2440" s="141"/>
      <c r="AF2440" s="145"/>
      <c r="AG2440" s="419"/>
    </row>
    <row r="2441" spans="1:33" s="139" customFormat="1" ht="12.75" customHeight="1" x14ac:dyDescent="0.2">
      <c r="A2441" s="141"/>
      <c r="B2441" s="141"/>
      <c r="C2441" s="141"/>
      <c r="D2441" s="141"/>
      <c r="E2441" s="1014"/>
      <c r="F2441" s="1014"/>
      <c r="G2441" s="1027"/>
      <c r="H2441" s="1027"/>
      <c r="I2441" s="1174"/>
      <c r="J2441" s="1174"/>
      <c r="K2441" s="1174"/>
      <c r="L2441" s="1172"/>
      <c r="M2441" s="1172"/>
      <c r="N2441" s="1175"/>
      <c r="O2441" s="143"/>
      <c r="P2441" s="1196"/>
      <c r="Q2441" s="141"/>
      <c r="R2441" s="141"/>
      <c r="S2441" s="148"/>
      <c r="T2441" s="419"/>
      <c r="U2441" s="559"/>
      <c r="V2441" s="141"/>
      <c r="W2441" s="141"/>
      <c r="X2441" s="141"/>
      <c r="Y2441" s="144"/>
      <c r="Z2441" s="141"/>
      <c r="AA2441" s="141"/>
      <c r="AB2441" s="141"/>
      <c r="AC2441" s="141"/>
      <c r="AD2441" s="141"/>
      <c r="AE2441" s="141"/>
      <c r="AF2441" s="145"/>
      <c r="AG2441" s="419"/>
    </row>
    <row r="2442" spans="1:33" s="139" customFormat="1" ht="12.75" customHeight="1" x14ac:dyDescent="0.2">
      <c r="A2442" s="141"/>
      <c r="B2442" s="141"/>
      <c r="C2442" s="141"/>
      <c r="D2442" s="141"/>
      <c r="E2442" s="1014"/>
      <c r="F2442" s="1014"/>
      <c r="G2442" s="1027"/>
      <c r="H2442" s="1027"/>
      <c r="I2442" s="1174"/>
      <c r="J2442" s="1174"/>
      <c r="K2442" s="1174"/>
      <c r="L2442" s="1172"/>
      <c r="M2442" s="1172"/>
      <c r="N2442" s="1175"/>
      <c r="O2442" s="143"/>
      <c r="P2442" s="1196"/>
      <c r="Q2442" s="141"/>
      <c r="R2442" s="141"/>
      <c r="S2442" s="148"/>
      <c r="T2442" s="419"/>
      <c r="U2442" s="559"/>
      <c r="V2442" s="141"/>
      <c r="W2442" s="141"/>
      <c r="X2442" s="141"/>
      <c r="Y2442" s="144"/>
      <c r="Z2442" s="141"/>
      <c r="AA2442" s="141"/>
      <c r="AB2442" s="141"/>
      <c r="AC2442" s="141"/>
      <c r="AD2442" s="141"/>
      <c r="AE2442" s="141"/>
      <c r="AF2442" s="145"/>
      <c r="AG2442" s="419"/>
    </row>
    <row r="2443" spans="1:33" s="139" customFormat="1" ht="12.75" customHeight="1" x14ac:dyDescent="0.2">
      <c r="A2443" s="141"/>
      <c r="B2443" s="141"/>
      <c r="C2443" s="141"/>
      <c r="D2443" s="141"/>
      <c r="E2443" s="1014"/>
      <c r="F2443" s="1014"/>
      <c r="G2443" s="1027"/>
      <c r="H2443" s="1027"/>
      <c r="I2443" s="1174"/>
      <c r="J2443" s="1174"/>
      <c r="K2443" s="1174"/>
      <c r="L2443" s="1172"/>
      <c r="M2443" s="1172"/>
      <c r="N2443" s="1175"/>
      <c r="O2443" s="143"/>
      <c r="P2443" s="1196"/>
      <c r="Q2443" s="141"/>
      <c r="R2443" s="141"/>
      <c r="S2443" s="148"/>
      <c r="T2443" s="419"/>
      <c r="U2443" s="559"/>
      <c r="V2443" s="141"/>
      <c r="W2443" s="141"/>
      <c r="X2443" s="141"/>
      <c r="Y2443" s="144"/>
      <c r="Z2443" s="141"/>
      <c r="AA2443" s="141"/>
      <c r="AB2443" s="141"/>
      <c r="AC2443" s="141"/>
      <c r="AD2443" s="141"/>
      <c r="AE2443" s="141"/>
      <c r="AF2443" s="145"/>
      <c r="AG2443" s="419"/>
    </row>
    <row r="2444" spans="1:33" s="139" customFormat="1" ht="12.75" customHeight="1" x14ac:dyDescent="0.2">
      <c r="A2444" s="141"/>
      <c r="B2444" s="141"/>
      <c r="C2444" s="141"/>
      <c r="D2444" s="141"/>
      <c r="E2444" s="1014"/>
      <c r="F2444" s="1014"/>
      <c r="G2444" s="1027"/>
      <c r="H2444" s="1027"/>
      <c r="I2444" s="1174"/>
      <c r="J2444" s="1174"/>
      <c r="K2444" s="1174"/>
      <c r="L2444" s="1172"/>
      <c r="M2444" s="1172"/>
      <c r="N2444" s="1175"/>
      <c r="O2444" s="143"/>
      <c r="P2444" s="1196"/>
      <c r="Q2444" s="141"/>
      <c r="R2444" s="141"/>
      <c r="S2444" s="148"/>
      <c r="T2444" s="419"/>
      <c r="U2444" s="559"/>
      <c r="V2444" s="141"/>
      <c r="W2444" s="141"/>
      <c r="X2444" s="141"/>
      <c r="Y2444" s="144"/>
      <c r="Z2444" s="141"/>
      <c r="AA2444" s="141"/>
      <c r="AB2444" s="141"/>
      <c r="AC2444" s="141"/>
      <c r="AD2444" s="141"/>
      <c r="AE2444" s="141"/>
      <c r="AF2444" s="145"/>
      <c r="AG2444" s="419"/>
    </row>
    <row r="2445" spans="1:33" s="139" customFormat="1" ht="12.75" customHeight="1" x14ac:dyDescent="0.2">
      <c r="A2445" s="141"/>
      <c r="B2445" s="141"/>
      <c r="C2445" s="141"/>
      <c r="D2445" s="141"/>
      <c r="E2445" s="1014"/>
      <c r="F2445" s="1014"/>
      <c r="G2445" s="1027"/>
      <c r="H2445" s="1027"/>
      <c r="I2445" s="1174"/>
      <c r="J2445" s="1174"/>
      <c r="K2445" s="1174"/>
      <c r="L2445" s="1172"/>
      <c r="M2445" s="1172"/>
      <c r="N2445" s="1175"/>
      <c r="O2445" s="143"/>
      <c r="P2445" s="1196"/>
      <c r="Q2445" s="141"/>
      <c r="R2445" s="141"/>
      <c r="S2445" s="148"/>
      <c r="T2445" s="419"/>
      <c r="U2445" s="559"/>
      <c r="V2445" s="141"/>
      <c r="W2445" s="141"/>
      <c r="X2445" s="141"/>
      <c r="Y2445" s="144"/>
      <c r="Z2445" s="141"/>
      <c r="AA2445" s="141"/>
      <c r="AB2445" s="141"/>
      <c r="AC2445" s="141"/>
      <c r="AD2445" s="141"/>
      <c r="AE2445" s="141"/>
      <c r="AF2445" s="145"/>
      <c r="AG2445" s="419"/>
    </row>
    <row r="2446" spans="1:33" s="139" customFormat="1" ht="12.75" customHeight="1" x14ac:dyDescent="0.2">
      <c r="A2446" s="141"/>
      <c r="B2446" s="141"/>
      <c r="C2446" s="141"/>
      <c r="D2446" s="141"/>
      <c r="E2446" s="1014"/>
      <c r="F2446" s="1014"/>
      <c r="G2446" s="1027"/>
      <c r="H2446" s="1027"/>
      <c r="I2446" s="1174"/>
      <c r="J2446" s="1174"/>
      <c r="K2446" s="1174"/>
      <c r="L2446" s="1172"/>
      <c r="M2446" s="1172"/>
      <c r="N2446" s="1175"/>
      <c r="O2446" s="143"/>
      <c r="P2446" s="1196"/>
      <c r="Q2446" s="141"/>
      <c r="R2446" s="141"/>
      <c r="S2446" s="148"/>
      <c r="T2446" s="419"/>
      <c r="U2446" s="559"/>
      <c r="V2446" s="141"/>
      <c r="W2446" s="141"/>
      <c r="X2446" s="141"/>
      <c r="Y2446" s="144"/>
      <c r="Z2446" s="141"/>
      <c r="AA2446" s="141"/>
      <c r="AB2446" s="141"/>
      <c r="AC2446" s="141"/>
      <c r="AD2446" s="141"/>
      <c r="AE2446" s="141"/>
      <c r="AF2446" s="145"/>
      <c r="AG2446" s="419"/>
    </row>
    <row r="2447" spans="1:33" s="139" customFormat="1" ht="12.75" customHeight="1" x14ac:dyDescent="0.2">
      <c r="A2447" s="141"/>
      <c r="B2447" s="141"/>
      <c r="C2447" s="141"/>
      <c r="D2447" s="141"/>
      <c r="E2447" s="1014"/>
      <c r="F2447" s="1014"/>
      <c r="G2447" s="1027"/>
      <c r="H2447" s="1027"/>
      <c r="I2447" s="1174"/>
      <c r="J2447" s="1174"/>
      <c r="K2447" s="1174"/>
      <c r="L2447" s="1172"/>
      <c r="M2447" s="1172"/>
      <c r="N2447" s="1175"/>
      <c r="O2447" s="143"/>
      <c r="P2447" s="1196"/>
      <c r="Q2447" s="141"/>
      <c r="R2447" s="141"/>
      <c r="S2447" s="148"/>
      <c r="T2447" s="419"/>
      <c r="U2447" s="559"/>
      <c r="V2447" s="141"/>
      <c r="W2447" s="141"/>
      <c r="X2447" s="141"/>
      <c r="Y2447" s="144"/>
      <c r="Z2447" s="141"/>
      <c r="AA2447" s="141"/>
      <c r="AB2447" s="141"/>
      <c r="AC2447" s="141"/>
      <c r="AD2447" s="141"/>
      <c r="AE2447" s="141"/>
      <c r="AF2447" s="145"/>
      <c r="AG2447" s="419"/>
    </row>
    <row r="2448" spans="1:33" s="139" customFormat="1" ht="12.75" customHeight="1" x14ac:dyDescent="0.2">
      <c r="A2448" s="141"/>
      <c r="B2448" s="141"/>
      <c r="C2448" s="141"/>
      <c r="D2448" s="141"/>
      <c r="E2448" s="1014"/>
      <c r="F2448" s="1014"/>
      <c r="G2448" s="1027"/>
      <c r="H2448" s="1027"/>
      <c r="I2448" s="1174"/>
      <c r="J2448" s="1174"/>
      <c r="K2448" s="1174"/>
      <c r="L2448" s="1172"/>
      <c r="M2448" s="1172"/>
      <c r="N2448" s="1175"/>
      <c r="O2448" s="143"/>
      <c r="P2448" s="1196"/>
      <c r="Q2448" s="141"/>
      <c r="R2448" s="141"/>
      <c r="S2448" s="148"/>
      <c r="T2448" s="419"/>
      <c r="U2448" s="559"/>
      <c r="V2448" s="141"/>
      <c r="W2448" s="141"/>
      <c r="X2448" s="141"/>
      <c r="Y2448" s="144"/>
      <c r="Z2448" s="141"/>
      <c r="AA2448" s="141"/>
      <c r="AB2448" s="141"/>
      <c r="AC2448" s="141"/>
      <c r="AD2448" s="141"/>
      <c r="AE2448" s="141"/>
      <c r="AF2448" s="145"/>
      <c r="AG2448" s="419"/>
    </row>
    <row r="2449" spans="1:33" s="139" customFormat="1" ht="12.75" customHeight="1" x14ac:dyDescent="0.2">
      <c r="A2449" s="141"/>
      <c r="B2449" s="141"/>
      <c r="C2449" s="141"/>
      <c r="D2449" s="141"/>
      <c r="E2449" s="1014"/>
      <c r="F2449" s="1014"/>
      <c r="G2449" s="1027"/>
      <c r="H2449" s="1027"/>
      <c r="I2449" s="1174"/>
      <c r="J2449" s="1174"/>
      <c r="K2449" s="1174"/>
      <c r="L2449" s="1172"/>
      <c r="M2449" s="1172"/>
      <c r="N2449" s="1175"/>
      <c r="O2449" s="143"/>
      <c r="P2449" s="1196"/>
      <c r="Q2449" s="141"/>
      <c r="R2449" s="141"/>
      <c r="S2449" s="148"/>
      <c r="T2449" s="419"/>
      <c r="U2449" s="559"/>
      <c r="V2449" s="141"/>
      <c r="W2449" s="141"/>
      <c r="X2449" s="141"/>
      <c r="Y2449" s="144"/>
      <c r="Z2449" s="141"/>
      <c r="AA2449" s="141"/>
      <c r="AB2449" s="141"/>
      <c r="AC2449" s="141"/>
      <c r="AD2449" s="141"/>
      <c r="AE2449" s="141"/>
      <c r="AF2449" s="145"/>
      <c r="AG2449" s="419"/>
    </row>
    <row r="2450" spans="1:33" s="139" customFormat="1" ht="12.75" customHeight="1" x14ac:dyDescent="0.2">
      <c r="A2450" s="141"/>
      <c r="B2450" s="141"/>
      <c r="C2450" s="141"/>
      <c r="D2450" s="141"/>
      <c r="E2450" s="1014"/>
      <c r="F2450" s="1014"/>
      <c r="G2450" s="1027"/>
      <c r="H2450" s="1027"/>
      <c r="I2450" s="1174"/>
      <c r="J2450" s="1174"/>
      <c r="K2450" s="1174"/>
      <c r="L2450" s="1172"/>
      <c r="M2450" s="1172"/>
      <c r="N2450" s="1175"/>
      <c r="O2450" s="143"/>
      <c r="P2450" s="1196"/>
      <c r="Q2450" s="141"/>
      <c r="R2450" s="141"/>
      <c r="S2450" s="148"/>
      <c r="T2450" s="419"/>
      <c r="U2450" s="559"/>
      <c r="V2450" s="141"/>
      <c r="W2450" s="141"/>
      <c r="X2450" s="141"/>
      <c r="Y2450" s="144"/>
      <c r="Z2450" s="141"/>
      <c r="AA2450" s="141"/>
      <c r="AB2450" s="141"/>
      <c r="AC2450" s="141"/>
      <c r="AD2450" s="141"/>
      <c r="AE2450" s="141"/>
      <c r="AF2450" s="145"/>
      <c r="AG2450" s="419"/>
    </row>
    <row r="2451" spans="1:33" s="139" customFormat="1" ht="12.75" customHeight="1" x14ac:dyDescent="0.2">
      <c r="A2451" s="141"/>
      <c r="B2451" s="141"/>
      <c r="C2451" s="141"/>
      <c r="D2451" s="141"/>
      <c r="E2451" s="1014"/>
      <c r="F2451" s="1014"/>
      <c r="G2451" s="1027"/>
      <c r="H2451" s="1027"/>
      <c r="I2451" s="1174"/>
      <c r="J2451" s="1174"/>
      <c r="K2451" s="1174"/>
      <c r="L2451" s="1172"/>
      <c r="M2451" s="1172"/>
      <c r="N2451" s="1175"/>
      <c r="O2451" s="143"/>
      <c r="P2451" s="1196"/>
      <c r="Q2451" s="141"/>
      <c r="R2451" s="141"/>
      <c r="S2451" s="148"/>
      <c r="T2451" s="419"/>
      <c r="U2451" s="559"/>
      <c r="V2451" s="141"/>
      <c r="W2451" s="141"/>
      <c r="X2451" s="141"/>
      <c r="Y2451" s="144"/>
      <c r="Z2451" s="141"/>
      <c r="AA2451" s="141"/>
      <c r="AB2451" s="141"/>
      <c r="AC2451" s="141"/>
      <c r="AD2451" s="141"/>
      <c r="AE2451" s="141"/>
      <c r="AF2451" s="145"/>
      <c r="AG2451" s="419"/>
    </row>
    <row r="2452" spans="1:33" s="139" customFormat="1" ht="12.75" customHeight="1" x14ac:dyDescent="0.2">
      <c r="A2452" s="141"/>
      <c r="B2452" s="141"/>
      <c r="C2452" s="141"/>
      <c r="D2452" s="141"/>
      <c r="E2452" s="1014"/>
      <c r="F2452" s="1014"/>
      <c r="G2452" s="1027"/>
      <c r="H2452" s="1027"/>
      <c r="I2452" s="1174"/>
      <c r="J2452" s="1174"/>
      <c r="K2452" s="1174"/>
      <c r="L2452" s="1172"/>
      <c r="M2452" s="1172"/>
      <c r="N2452" s="1175"/>
      <c r="O2452" s="143"/>
      <c r="P2452" s="1196"/>
      <c r="Q2452" s="141"/>
      <c r="R2452" s="141"/>
      <c r="S2452" s="148"/>
      <c r="T2452" s="419"/>
      <c r="U2452" s="559"/>
      <c r="V2452" s="141"/>
      <c r="W2452" s="141"/>
      <c r="X2452" s="141"/>
      <c r="Y2452" s="144"/>
      <c r="Z2452" s="141"/>
      <c r="AA2452" s="141"/>
      <c r="AB2452" s="141"/>
      <c r="AC2452" s="141"/>
      <c r="AD2452" s="141"/>
      <c r="AE2452" s="141"/>
      <c r="AF2452" s="145"/>
      <c r="AG2452" s="419"/>
    </row>
    <row r="2453" spans="1:33" s="139" customFormat="1" ht="12.75" customHeight="1" x14ac:dyDescent="0.2">
      <c r="A2453" s="141"/>
      <c r="B2453" s="141"/>
      <c r="C2453" s="141"/>
      <c r="D2453" s="141"/>
      <c r="E2453" s="1014"/>
      <c r="F2453" s="1014"/>
      <c r="G2453" s="1027"/>
      <c r="H2453" s="1027"/>
      <c r="I2453" s="1174"/>
      <c r="J2453" s="1174"/>
      <c r="K2453" s="1174"/>
      <c r="L2453" s="1172"/>
      <c r="M2453" s="1172"/>
      <c r="N2453" s="1175"/>
      <c r="O2453" s="143"/>
      <c r="P2453" s="1196"/>
      <c r="Q2453" s="141"/>
      <c r="R2453" s="141"/>
      <c r="S2453" s="148"/>
      <c r="T2453" s="419"/>
      <c r="U2453" s="559"/>
      <c r="V2453" s="141"/>
      <c r="W2453" s="141"/>
      <c r="X2453" s="141"/>
      <c r="Y2453" s="144"/>
      <c r="Z2453" s="141"/>
      <c r="AA2453" s="141"/>
      <c r="AB2453" s="141"/>
      <c r="AC2453" s="141"/>
      <c r="AD2453" s="141"/>
      <c r="AE2453" s="141"/>
      <c r="AF2453" s="145"/>
      <c r="AG2453" s="419"/>
    </row>
    <row r="2454" spans="1:33" s="139" customFormat="1" ht="12.75" customHeight="1" x14ac:dyDescent="0.2">
      <c r="A2454" s="141"/>
      <c r="B2454" s="141"/>
      <c r="C2454" s="141"/>
      <c r="D2454" s="141"/>
      <c r="E2454" s="1014"/>
      <c r="F2454" s="1014"/>
      <c r="G2454" s="1027"/>
      <c r="H2454" s="1027"/>
      <c r="I2454" s="1174"/>
      <c r="J2454" s="1174"/>
      <c r="K2454" s="1174"/>
      <c r="L2454" s="1172"/>
      <c r="M2454" s="1172"/>
      <c r="N2454" s="1175"/>
      <c r="O2454" s="143"/>
      <c r="P2454" s="1196"/>
      <c r="Q2454" s="141"/>
      <c r="R2454" s="141"/>
      <c r="S2454" s="148"/>
      <c r="T2454" s="419"/>
      <c r="U2454" s="559"/>
      <c r="V2454" s="141"/>
      <c r="W2454" s="141"/>
      <c r="X2454" s="141"/>
      <c r="Y2454" s="144"/>
      <c r="Z2454" s="141"/>
      <c r="AA2454" s="141"/>
      <c r="AB2454" s="141"/>
      <c r="AC2454" s="141"/>
      <c r="AD2454" s="141"/>
      <c r="AE2454" s="141"/>
      <c r="AF2454" s="145"/>
      <c r="AG2454" s="419"/>
    </row>
    <row r="2455" spans="1:33" s="139" customFormat="1" ht="12.75" customHeight="1" x14ac:dyDescent="0.2">
      <c r="A2455" s="141"/>
      <c r="B2455" s="141"/>
      <c r="C2455" s="141"/>
      <c r="D2455" s="141"/>
      <c r="E2455" s="1014"/>
      <c r="F2455" s="1014"/>
      <c r="G2455" s="1027"/>
      <c r="H2455" s="1027"/>
      <c r="I2455" s="1174"/>
      <c r="J2455" s="1174"/>
      <c r="K2455" s="1174"/>
      <c r="L2455" s="1172"/>
      <c r="M2455" s="1172"/>
      <c r="N2455" s="1175"/>
      <c r="O2455" s="143"/>
      <c r="P2455" s="1196"/>
      <c r="Q2455" s="141"/>
      <c r="R2455" s="141"/>
      <c r="S2455" s="148"/>
      <c r="T2455" s="419"/>
      <c r="U2455" s="559"/>
      <c r="V2455" s="141"/>
      <c r="W2455" s="141"/>
      <c r="X2455" s="141"/>
      <c r="Y2455" s="144"/>
      <c r="Z2455" s="141"/>
      <c r="AA2455" s="141"/>
      <c r="AB2455" s="141"/>
      <c r="AC2455" s="141"/>
      <c r="AD2455" s="141"/>
      <c r="AE2455" s="141"/>
      <c r="AF2455" s="145"/>
      <c r="AG2455" s="419"/>
    </row>
    <row r="2456" spans="1:33" s="139" customFormat="1" ht="12.75" customHeight="1" x14ac:dyDescent="0.2">
      <c r="A2456" s="141"/>
      <c r="B2456" s="141"/>
      <c r="C2456" s="141"/>
      <c r="D2456" s="141"/>
      <c r="E2456" s="1014"/>
      <c r="F2456" s="1014"/>
      <c r="G2456" s="1027"/>
      <c r="H2456" s="1027"/>
      <c r="I2456" s="1174"/>
      <c r="J2456" s="1174"/>
      <c r="K2456" s="1174"/>
      <c r="L2456" s="1172"/>
      <c r="M2456" s="1172"/>
      <c r="N2456" s="1175"/>
      <c r="O2456" s="143"/>
      <c r="P2456" s="1196"/>
      <c r="Q2456" s="141"/>
      <c r="R2456" s="141"/>
      <c r="S2456" s="148"/>
      <c r="T2456" s="419"/>
      <c r="U2456" s="559"/>
      <c r="V2456" s="141"/>
      <c r="W2456" s="141"/>
      <c r="X2456" s="141"/>
      <c r="Y2456" s="144"/>
      <c r="Z2456" s="141"/>
      <c r="AA2456" s="141"/>
      <c r="AB2456" s="141"/>
      <c r="AC2456" s="141"/>
      <c r="AD2456" s="141"/>
      <c r="AE2456" s="141"/>
      <c r="AF2456" s="145"/>
      <c r="AG2456" s="419"/>
    </row>
    <row r="2457" spans="1:33" s="139" customFormat="1" ht="12.75" customHeight="1" x14ac:dyDescent="0.2">
      <c r="A2457" s="141"/>
      <c r="B2457" s="141"/>
      <c r="C2457" s="141"/>
      <c r="D2457" s="141"/>
      <c r="E2457" s="1014"/>
      <c r="F2457" s="1014"/>
      <c r="G2457" s="1027"/>
      <c r="H2457" s="1027"/>
      <c r="I2457" s="1174"/>
      <c r="J2457" s="1174"/>
      <c r="K2457" s="1174"/>
      <c r="L2457" s="1172"/>
      <c r="M2457" s="1172"/>
      <c r="N2457" s="1175"/>
      <c r="O2457" s="143"/>
      <c r="P2457" s="1196"/>
      <c r="Q2457" s="141"/>
      <c r="R2457" s="141"/>
      <c r="S2457" s="148"/>
      <c r="T2457" s="419"/>
      <c r="U2457" s="559"/>
      <c r="V2457" s="141"/>
      <c r="W2457" s="141"/>
      <c r="X2457" s="141"/>
      <c r="Y2457" s="144"/>
      <c r="Z2457" s="141"/>
      <c r="AA2457" s="141"/>
      <c r="AB2457" s="141"/>
      <c r="AC2457" s="141"/>
      <c r="AD2457" s="141"/>
      <c r="AE2457" s="141"/>
      <c r="AF2457" s="145"/>
      <c r="AG2457" s="419"/>
    </row>
    <row r="2458" spans="1:33" s="139" customFormat="1" ht="12.75" customHeight="1" x14ac:dyDescent="0.2">
      <c r="A2458" s="141"/>
      <c r="B2458" s="141"/>
      <c r="C2458" s="141"/>
      <c r="D2458" s="141"/>
      <c r="E2458" s="1014"/>
      <c r="F2458" s="1014"/>
      <c r="G2458" s="1027"/>
      <c r="H2458" s="1027"/>
      <c r="I2458" s="1174"/>
      <c r="J2458" s="1174"/>
      <c r="K2458" s="1174"/>
      <c r="L2458" s="1172"/>
      <c r="M2458" s="1172"/>
      <c r="N2458" s="1175"/>
      <c r="O2458" s="143"/>
      <c r="P2458" s="1196"/>
      <c r="Q2458" s="141"/>
      <c r="R2458" s="141"/>
      <c r="S2458" s="148"/>
      <c r="T2458" s="419"/>
      <c r="U2458" s="559"/>
      <c r="V2458" s="141"/>
      <c r="W2458" s="141"/>
      <c r="X2458" s="141"/>
      <c r="Y2458" s="144"/>
      <c r="Z2458" s="141"/>
      <c r="AA2458" s="141"/>
      <c r="AB2458" s="141"/>
      <c r="AC2458" s="141"/>
      <c r="AD2458" s="141"/>
      <c r="AE2458" s="141"/>
      <c r="AF2458" s="145"/>
      <c r="AG2458" s="419"/>
    </row>
    <row r="2459" spans="1:33" s="139" customFormat="1" ht="12.75" customHeight="1" x14ac:dyDescent="0.2">
      <c r="A2459" s="141"/>
      <c r="B2459" s="141"/>
      <c r="C2459" s="141"/>
      <c r="D2459" s="141"/>
      <c r="E2459" s="1014"/>
      <c r="F2459" s="1014"/>
      <c r="G2459" s="1027"/>
      <c r="H2459" s="1027"/>
      <c r="I2459" s="1174"/>
      <c r="J2459" s="1174"/>
      <c r="K2459" s="1174"/>
      <c r="L2459" s="1172"/>
      <c r="M2459" s="1172"/>
      <c r="N2459" s="1175"/>
      <c r="O2459" s="143"/>
      <c r="P2459" s="1196"/>
      <c r="Q2459" s="141"/>
      <c r="R2459" s="141"/>
      <c r="S2459" s="148"/>
      <c r="T2459" s="419"/>
      <c r="U2459" s="559"/>
      <c r="V2459" s="141"/>
      <c r="W2459" s="141"/>
      <c r="X2459" s="141"/>
      <c r="Y2459" s="144"/>
      <c r="Z2459" s="141"/>
      <c r="AA2459" s="141"/>
      <c r="AB2459" s="141"/>
      <c r="AC2459" s="141"/>
      <c r="AD2459" s="141"/>
      <c r="AE2459" s="141"/>
      <c r="AF2459" s="145"/>
      <c r="AG2459" s="419"/>
    </row>
    <row r="2460" spans="1:33" s="139" customFormat="1" ht="12.75" customHeight="1" x14ac:dyDescent="0.2">
      <c r="A2460" s="141"/>
      <c r="B2460" s="141"/>
      <c r="C2460" s="141"/>
      <c r="D2460" s="141"/>
      <c r="E2460" s="1014"/>
      <c r="F2460" s="1014"/>
      <c r="G2460" s="1027"/>
      <c r="H2460" s="1027"/>
      <c r="I2460" s="1174"/>
      <c r="J2460" s="1174"/>
      <c r="K2460" s="1174"/>
      <c r="L2460" s="1172"/>
      <c r="M2460" s="1172"/>
      <c r="N2460" s="1175"/>
      <c r="O2460" s="143"/>
      <c r="P2460" s="1196"/>
      <c r="Q2460" s="141"/>
      <c r="R2460" s="141"/>
      <c r="S2460" s="148"/>
      <c r="T2460" s="419"/>
      <c r="U2460" s="559"/>
      <c r="V2460" s="141"/>
      <c r="W2460" s="141"/>
      <c r="X2460" s="141"/>
      <c r="Y2460" s="144"/>
      <c r="Z2460" s="141"/>
      <c r="AA2460" s="141"/>
      <c r="AB2460" s="141"/>
      <c r="AC2460" s="141"/>
      <c r="AD2460" s="141"/>
      <c r="AE2460" s="141"/>
      <c r="AF2460" s="145"/>
      <c r="AG2460" s="419"/>
    </row>
    <row r="2461" spans="1:33" s="139" customFormat="1" ht="12.75" customHeight="1" x14ac:dyDescent="0.2">
      <c r="A2461" s="141"/>
      <c r="B2461" s="141"/>
      <c r="C2461" s="141"/>
      <c r="D2461" s="141"/>
      <c r="E2461" s="1014"/>
      <c r="F2461" s="1014"/>
      <c r="G2461" s="1027"/>
      <c r="H2461" s="1027"/>
      <c r="I2461" s="1174"/>
      <c r="J2461" s="1174"/>
      <c r="K2461" s="1174"/>
      <c r="L2461" s="1172"/>
      <c r="M2461" s="1172"/>
      <c r="N2461" s="1175"/>
      <c r="O2461" s="143"/>
      <c r="P2461" s="1196"/>
      <c r="Q2461" s="141"/>
      <c r="R2461" s="141"/>
      <c r="S2461" s="148"/>
      <c r="T2461" s="419"/>
      <c r="U2461" s="559"/>
      <c r="V2461" s="141"/>
      <c r="W2461" s="141"/>
      <c r="X2461" s="141"/>
      <c r="Y2461" s="144"/>
      <c r="Z2461" s="141"/>
      <c r="AA2461" s="141"/>
      <c r="AB2461" s="141"/>
      <c r="AC2461" s="141"/>
      <c r="AD2461" s="141"/>
      <c r="AE2461" s="141"/>
      <c r="AF2461" s="145"/>
      <c r="AG2461" s="419"/>
    </row>
    <row r="2462" spans="1:33" s="139" customFormat="1" ht="12.75" customHeight="1" x14ac:dyDescent="0.2">
      <c r="A2462" s="141"/>
      <c r="B2462" s="141"/>
      <c r="C2462" s="141"/>
      <c r="D2462" s="141"/>
      <c r="E2462" s="1014"/>
      <c r="F2462" s="1014"/>
      <c r="G2462" s="1027"/>
      <c r="H2462" s="1027"/>
      <c r="I2462" s="1174"/>
      <c r="J2462" s="1174"/>
      <c r="K2462" s="1174"/>
      <c r="L2462" s="1172"/>
      <c r="M2462" s="1172"/>
      <c r="N2462" s="1175"/>
      <c r="O2462" s="143"/>
      <c r="P2462" s="1196"/>
      <c r="Q2462" s="141"/>
      <c r="R2462" s="141"/>
      <c r="S2462" s="148"/>
      <c r="T2462" s="419"/>
      <c r="U2462" s="559"/>
      <c r="V2462" s="141"/>
      <c r="W2462" s="141"/>
      <c r="X2462" s="141"/>
      <c r="Y2462" s="144"/>
      <c r="Z2462" s="141"/>
      <c r="AA2462" s="141"/>
      <c r="AB2462" s="141"/>
      <c r="AC2462" s="141"/>
      <c r="AD2462" s="141"/>
      <c r="AE2462" s="141"/>
      <c r="AF2462" s="145"/>
      <c r="AG2462" s="419"/>
    </row>
    <row r="2463" spans="1:33" s="139" customFormat="1" ht="12.75" customHeight="1" x14ac:dyDescent="0.2">
      <c r="A2463" s="141"/>
      <c r="B2463" s="141"/>
      <c r="C2463" s="141"/>
      <c r="D2463" s="141"/>
      <c r="E2463" s="1014"/>
      <c r="F2463" s="1014"/>
      <c r="G2463" s="1027"/>
      <c r="H2463" s="1027"/>
      <c r="I2463" s="1174"/>
      <c r="J2463" s="1174"/>
      <c r="K2463" s="1174"/>
      <c r="L2463" s="1172"/>
      <c r="M2463" s="1172"/>
      <c r="N2463" s="1175"/>
      <c r="O2463" s="143"/>
      <c r="P2463" s="1196"/>
      <c r="Q2463" s="141"/>
      <c r="R2463" s="141"/>
      <c r="S2463" s="148"/>
      <c r="T2463" s="419"/>
      <c r="U2463" s="559"/>
      <c r="V2463" s="141"/>
      <c r="W2463" s="141"/>
      <c r="X2463" s="141"/>
      <c r="Y2463" s="144"/>
      <c r="Z2463" s="141"/>
      <c r="AA2463" s="141"/>
      <c r="AB2463" s="141"/>
      <c r="AC2463" s="141"/>
      <c r="AD2463" s="141"/>
      <c r="AE2463" s="141"/>
      <c r="AF2463" s="145"/>
      <c r="AG2463" s="419"/>
    </row>
    <row r="2464" spans="1:33" s="139" customFormat="1" ht="12.75" customHeight="1" x14ac:dyDescent="0.2">
      <c r="A2464" s="141"/>
      <c r="B2464" s="141"/>
      <c r="C2464" s="141"/>
      <c r="D2464" s="141"/>
      <c r="E2464" s="1014"/>
      <c r="F2464" s="1014"/>
      <c r="G2464" s="1027"/>
      <c r="H2464" s="1027"/>
      <c r="I2464" s="1174"/>
      <c r="J2464" s="1174"/>
      <c r="K2464" s="1174"/>
      <c r="L2464" s="1172"/>
      <c r="M2464" s="1172"/>
      <c r="N2464" s="1175"/>
      <c r="O2464" s="143"/>
      <c r="P2464" s="1196"/>
      <c r="Q2464" s="141"/>
      <c r="R2464" s="141"/>
      <c r="S2464" s="148"/>
      <c r="T2464" s="419"/>
      <c r="U2464" s="559"/>
      <c r="V2464" s="141"/>
      <c r="W2464" s="141"/>
      <c r="X2464" s="141"/>
      <c r="Y2464" s="144"/>
      <c r="Z2464" s="141"/>
      <c r="AA2464" s="141"/>
      <c r="AB2464" s="141"/>
      <c r="AC2464" s="141"/>
      <c r="AD2464" s="141"/>
      <c r="AE2464" s="141"/>
      <c r="AF2464" s="145"/>
      <c r="AG2464" s="419"/>
    </row>
    <row r="2465" spans="1:33" s="139" customFormat="1" ht="12.75" customHeight="1" x14ac:dyDescent="0.2">
      <c r="A2465" s="141"/>
      <c r="B2465" s="141"/>
      <c r="C2465" s="141"/>
      <c r="D2465" s="141"/>
      <c r="E2465" s="1014"/>
      <c r="F2465" s="1014"/>
      <c r="G2465" s="1027"/>
      <c r="H2465" s="1027"/>
      <c r="I2465" s="1174"/>
      <c r="J2465" s="1174"/>
      <c r="K2465" s="1174"/>
      <c r="L2465" s="1172"/>
      <c r="M2465" s="1172"/>
      <c r="N2465" s="1175"/>
      <c r="O2465" s="143"/>
      <c r="P2465" s="1196"/>
      <c r="Q2465" s="141"/>
      <c r="R2465" s="141"/>
      <c r="S2465" s="148"/>
      <c r="T2465" s="419"/>
      <c r="U2465" s="559"/>
      <c r="V2465" s="141"/>
      <c r="W2465" s="141"/>
      <c r="X2465" s="141"/>
      <c r="Y2465" s="144"/>
      <c r="Z2465" s="141"/>
      <c r="AA2465" s="141"/>
      <c r="AB2465" s="141"/>
      <c r="AC2465" s="141"/>
      <c r="AD2465" s="141"/>
      <c r="AE2465" s="141"/>
      <c r="AF2465" s="145"/>
      <c r="AG2465" s="419"/>
    </row>
    <row r="2466" spans="1:33" s="139" customFormat="1" ht="12.75" customHeight="1" x14ac:dyDescent="0.2">
      <c r="A2466" s="141"/>
      <c r="B2466" s="141"/>
      <c r="C2466" s="141"/>
      <c r="D2466" s="141"/>
      <c r="E2466" s="1014"/>
      <c r="F2466" s="1014"/>
      <c r="G2466" s="1027"/>
      <c r="H2466" s="1027"/>
      <c r="I2466" s="1174"/>
      <c r="J2466" s="1174"/>
      <c r="K2466" s="1174"/>
      <c r="L2466" s="1172"/>
      <c r="M2466" s="1172"/>
      <c r="N2466" s="1175"/>
      <c r="O2466" s="143"/>
      <c r="P2466" s="1196"/>
      <c r="Q2466" s="141"/>
      <c r="R2466" s="141"/>
      <c r="S2466" s="148"/>
      <c r="T2466" s="419"/>
      <c r="U2466" s="559"/>
      <c r="V2466" s="141"/>
      <c r="W2466" s="141"/>
      <c r="X2466" s="141"/>
      <c r="Y2466" s="144"/>
      <c r="Z2466" s="141"/>
      <c r="AA2466" s="141"/>
      <c r="AB2466" s="141"/>
      <c r="AC2466" s="141"/>
      <c r="AD2466" s="141"/>
      <c r="AE2466" s="141"/>
      <c r="AF2466" s="145"/>
      <c r="AG2466" s="419"/>
    </row>
    <row r="2467" spans="1:33" s="139" customFormat="1" ht="12.75" customHeight="1" x14ac:dyDescent="0.2">
      <c r="A2467" s="141"/>
      <c r="B2467" s="141"/>
      <c r="C2467" s="141"/>
      <c r="D2467" s="141"/>
      <c r="E2467" s="1014"/>
      <c r="F2467" s="1014"/>
      <c r="G2467" s="1027"/>
      <c r="H2467" s="1027"/>
      <c r="I2467" s="1174"/>
      <c r="J2467" s="1174"/>
      <c r="K2467" s="1174"/>
      <c r="L2467" s="1172"/>
      <c r="M2467" s="1172"/>
      <c r="N2467" s="1175"/>
      <c r="O2467" s="143"/>
      <c r="P2467" s="1196"/>
      <c r="Q2467" s="141"/>
      <c r="R2467" s="141"/>
      <c r="S2467" s="148"/>
      <c r="T2467" s="419"/>
      <c r="U2467" s="559"/>
      <c r="V2467" s="141"/>
      <c r="W2467" s="141"/>
      <c r="X2467" s="141"/>
      <c r="Y2467" s="144"/>
      <c r="Z2467" s="141"/>
      <c r="AA2467" s="141"/>
      <c r="AB2467" s="141"/>
      <c r="AC2467" s="141"/>
      <c r="AD2467" s="141"/>
      <c r="AE2467" s="141"/>
      <c r="AF2467" s="145"/>
      <c r="AG2467" s="419"/>
    </row>
    <row r="2468" spans="1:33" s="139" customFormat="1" ht="12.75" customHeight="1" x14ac:dyDescent="0.2">
      <c r="A2468" s="141"/>
      <c r="B2468" s="141"/>
      <c r="C2468" s="141"/>
      <c r="D2468" s="141"/>
      <c r="E2468" s="1014"/>
      <c r="F2468" s="1014"/>
      <c r="G2468" s="1027"/>
      <c r="H2468" s="1027"/>
      <c r="I2468" s="1174"/>
      <c r="J2468" s="1174"/>
      <c r="K2468" s="1174"/>
      <c r="L2468" s="1172"/>
      <c r="M2468" s="1172"/>
      <c r="N2468" s="1175"/>
      <c r="O2468" s="143"/>
      <c r="P2468" s="1196"/>
      <c r="Q2468" s="141"/>
      <c r="R2468" s="141"/>
      <c r="S2468" s="148"/>
      <c r="T2468" s="419"/>
      <c r="U2468" s="559"/>
      <c r="V2468" s="141"/>
      <c r="W2468" s="141"/>
      <c r="X2468" s="141"/>
      <c r="Y2468" s="144"/>
      <c r="Z2468" s="141"/>
      <c r="AA2468" s="141"/>
      <c r="AB2468" s="141"/>
      <c r="AC2468" s="141"/>
      <c r="AD2468" s="141"/>
      <c r="AE2468" s="141"/>
      <c r="AF2468" s="145"/>
      <c r="AG2468" s="419"/>
    </row>
    <row r="2469" spans="1:33" s="139" customFormat="1" ht="12.75" customHeight="1" x14ac:dyDescent="0.2">
      <c r="A2469" s="141"/>
      <c r="B2469" s="141"/>
      <c r="C2469" s="141"/>
      <c r="D2469" s="141"/>
      <c r="E2469" s="1014"/>
      <c r="F2469" s="1014"/>
      <c r="G2469" s="1027"/>
      <c r="H2469" s="1027"/>
      <c r="I2469" s="1174"/>
      <c r="J2469" s="1174"/>
      <c r="K2469" s="1174"/>
      <c r="L2469" s="1172"/>
      <c r="M2469" s="1172"/>
      <c r="N2469" s="1175"/>
      <c r="O2469" s="143"/>
      <c r="P2469" s="1196"/>
      <c r="Q2469" s="141"/>
      <c r="R2469" s="141"/>
      <c r="S2469" s="148"/>
      <c r="T2469" s="419"/>
      <c r="U2469" s="559"/>
      <c r="V2469" s="141"/>
      <c r="W2469" s="141"/>
      <c r="X2469" s="141"/>
      <c r="Y2469" s="144"/>
      <c r="Z2469" s="141"/>
      <c r="AA2469" s="141"/>
      <c r="AB2469" s="141"/>
      <c r="AC2469" s="141"/>
      <c r="AD2469" s="141"/>
      <c r="AE2469" s="141"/>
      <c r="AF2469" s="145"/>
      <c r="AG2469" s="419"/>
    </row>
    <row r="2470" spans="1:33" s="139" customFormat="1" ht="12.75" customHeight="1" x14ac:dyDescent="0.2">
      <c r="A2470" s="141"/>
      <c r="B2470" s="141"/>
      <c r="C2470" s="141"/>
      <c r="D2470" s="141"/>
      <c r="E2470" s="1014"/>
      <c r="F2470" s="1014"/>
      <c r="G2470" s="1027"/>
      <c r="H2470" s="1027"/>
      <c r="I2470" s="1174"/>
      <c r="J2470" s="1174"/>
      <c r="K2470" s="1174"/>
      <c r="L2470" s="1172"/>
      <c r="M2470" s="1172"/>
      <c r="N2470" s="1175"/>
      <c r="O2470" s="143"/>
      <c r="P2470" s="1196"/>
      <c r="Q2470" s="141"/>
      <c r="R2470" s="141"/>
      <c r="S2470" s="148"/>
      <c r="T2470" s="419"/>
      <c r="U2470" s="559"/>
      <c r="V2470" s="141"/>
      <c r="W2470" s="141"/>
      <c r="X2470" s="141"/>
      <c r="Y2470" s="144"/>
      <c r="Z2470" s="141"/>
      <c r="AA2470" s="141"/>
      <c r="AB2470" s="141"/>
      <c r="AC2470" s="141"/>
      <c r="AD2470" s="141"/>
      <c r="AE2470" s="141"/>
      <c r="AF2470" s="145"/>
      <c r="AG2470" s="419"/>
    </row>
    <row r="2471" spans="1:33" s="139" customFormat="1" ht="12.75" customHeight="1" x14ac:dyDescent="0.2">
      <c r="A2471" s="141"/>
      <c r="B2471" s="141"/>
      <c r="C2471" s="141"/>
      <c r="D2471" s="141"/>
      <c r="E2471" s="1014"/>
      <c r="F2471" s="1014"/>
      <c r="G2471" s="1027"/>
      <c r="H2471" s="1027"/>
      <c r="I2471" s="1174"/>
      <c r="J2471" s="1174"/>
      <c r="K2471" s="1174"/>
      <c r="L2471" s="1172"/>
      <c r="M2471" s="1172"/>
      <c r="N2471" s="1175"/>
      <c r="O2471" s="143"/>
      <c r="P2471" s="1196"/>
      <c r="Q2471" s="141"/>
      <c r="R2471" s="141"/>
      <c r="S2471" s="148"/>
      <c r="T2471" s="419"/>
      <c r="U2471" s="559"/>
      <c r="V2471" s="141"/>
      <c r="W2471" s="141"/>
      <c r="X2471" s="141"/>
      <c r="Y2471" s="144"/>
      <c r="Z2471" s="141"/>
      <c r="AA2471" s="141"/>
      <c r="AB2471" s="141"/>
      <c r="AC2471" s="141"/>
      <c r="AD2471" s="141"/>
      <c r="AE2471" s="141"/>
      <c r="AF2471" s="145"/>
      <c r="AG2471" s="419"/>
    </row>
    <row r="2472" spans="1:33" s="139" customFormat="1" ht="12.75" customHeight="1" x14ac:dyDescent="0.2">
      <c r="A2472" s="141"/>
      <c r="B2472" s="141"/>
      <c r="C2472" s="141"/>
      <c r="D2472" s="141"/>
      <c r="E2472" s="1014"/>
      <c r="F2472" s="1014"/>
      <c r="G2472" s="1027"/>
      <c r="H2472" s="1027"/>
      <c r="I2472" s="1174"/>
      <c r="J2472" s="1174"/>
      <c r="K2472" s="1174"/>
      <c r="L2472" s="1172"/>
      <c r="M2472" s="1172"/>
      <c r="N2472" s="1175"/>
      <c r="O2472" s="143"/>
      <c r="P2472" s="1196"/>
      <c r="Q2472" s="141"/>
      <c r="R2472" s="141"/>
      <c r="S2472" s="148"/>
      <c r="T2472" s="419"/>
      <c r="U2472" s="559"/>
      <c r="V2472" s="141"/>
      <c r="W2472" s="141"/>
      <c r="X2472" s="141"/>
      <c r="Y2472" s="144"/>
      <c r="Z2472" s="141"/>
      <c r="AA2472" s="141"/>
      <c r="AB2472" s="141"/>
      <c r="AC2472" s="141"/>
      <c r="AD2472" s="141"/>
      <c r="AE2472" s="141"/>
      <c r="AF2472" s="145"/>
      <c r="AG2472" s="419"/>
    </row>
    <row r="2473" spans="1:33" s="139" customFormat="1" ht="12.75" customHeight="1" x14ac:dyDescent="0.2">
      <c r="A2473" s="141"/>
      <c r="B2473" s="141"/>
      <c r="C2473" s="141"/>
      <c r="D2473" s="141"/>
      <c r="E2473" s="1014"/>
      <c r="F2473" s="1014"/>
      <c r="G2473" s="1027"/>
      <c r="H2473" s="1027"/>
      <c r="I2473" s="1174"/>
      <c r="J2473" s="1174"/>
      <c r="K2473" s="1174"/>
      <c r="L2473" s="1172"/>
      <c r="M2473" s="1172"/>
      <c r="N2473" s="1175"/>
      <c r="O2473" s="143"/>
      <c r="P2473" s="1196"/>
      <c r="Q2473" s="141"/>
      <c r="R2473" s="141"/>
      <c r="S2473" s="148"/>
      <c r="T2473" s="419"/>
      <c r="U2473" s="559"/>
      <c r="V2473" s="141"/>
      <c r="W2473" s="141"/>
      <c r="X2473" s="141"/>
      <c r="Y2473" s="144"/>
      <c r="Z2473" s="141"/>
      <c r="AA2473" s="141"/>
      <c r="AB2473" s="141"/>
      <c r="AC2473" s="141"/>
      <c r="AD2473" s="141"/>
      <c r="AE2473" s="141"/>
      <c r="AF2473" s="145"/>
      <c r="AG2473" s="419"/>
    </row>
    <row r="2474" spans="1:33" s="139" customFormat="1" ht="12.75" customHeight="1" x14ac:dyDescent="0.2">
      <c r="A2474" s="141"/>
      <c r="B2474" s="141"/>
      <c r="C2474" s="141"/>
      <c r="D2474" s="141"/>
      <c r="E2474" s="1014"/>
      <c r="F2474" s="1014"/>
      <c r="G2474" s="1027"/>
      <c r="H2474" s="1027"/>
      <c r="I2474" s="1174"/>
      <c r="J2474" s="1174"/>
      <c r="K2474" s="1174"/>
      <c r="L2474" s="1172"/>
      <c r="M2474" s="1172"/>
      <c r="N2474" s="1175"/>
      <c r="O2474" s="143"/>
      <c r="P2474" s="1196"/>
      <c r="Q2474" s="141"/>
      <c r="R2474" s="141"/>
      <c r="S2474" s="148"/>
      <c r="T2474" s="419"/>
      <c r="U2474" s="559"/>
      <c r="V2474" s="141"/>
      <c r="W2474" s="141"/>
      <c r="X2474" s="141"/>
      <c r="Y2474" s="144"/>
      <c r="Z2474" s="141"/>
      <c r="AA2474" s="141"/>
      <c r="AB2474" s="141"/>
      <c r="AC2474" s="141"/>
      <c r="AD2474" s="141"/>
      <c r="AE2474" s="141"/>
      <c r="AF2474" s="145"/>
      <c r="AG2474" s="419"/>
    </row>
    <row r="2475" spans="1:33" s="139" customFormat="1" ht="12.75" customHeight="1" x14ac:dyDescent="0.2">
      <c r="A2475" s="141"/>
      <c r="B2475" s="141"/>
      <c r="C2475" s="141"/>
      <c r="D2475" s="141"/>
      <c r="E2475" s="1014"/>
      <c r="F2475" s="1014"/>
      <c r="G2475" s="1027"/>
      <c r="H2475" s="1027"/>
      <c r="I2475" s="1174"/>
      <c r="J2475" s="1174"/>
      <c r="K2475" s="1174"/>
      <c r="L2475" s="1172"/>
      <c r="M2475" s="1172"/>
      <c r="N2475" s="1175"/>
      <c r="O2475" s="143"/>
      <c r="P2475" s="1196"/>
      <c r="Q2475" s="141"/>
      <c r="R2475" s="141"/>
      <c r="S2475" s="148"/>
      <c r="T2475" s="419"/>
      <c r="U2475" s="559"/>
      <c r="V2475" s="141"/>
      <c r="W2475" s="141"/>
      <c r="X2475" s="141"/>
      <c r="Y2475" s="144"/>
      <c r="Z2475" s="141"/>
      <c r="AA2475" s="141"/>
      <c r="AB2475" s="141"/>
      <c r="AC2475" s="141"/>
      <c r="AD2475" s="141"/>
      <c r="AE2475" s="141"/>
      <c r="AF2475" s="145"/>
      <c r="AG2475" s="419"/>
    </row>
    <row r="2476" spans="1:33" s="139" customFormat="1" ht="12.75" customHeight="1" x14ac:dyDescent="0.2">
      <c r="A2476" s="141"/>
      <c r="B2476" s="141"/>
      <c r="C2476" s="141"/>
      <c r="D2476" s="141"/>
      <c r="E2476" s="1014"/>
      <c r="F2476" s="1014"/>
      <c r="G2476" s="1027"/>
      <c r="H2476" s="1027"/>
      <c r="I2476" s="1174"/>
      <c r="J2476" s="1174"/>
      <c r="K2476" s="1174"/>
      <c r="L2476" s="1172"/>
      <c r="M2476" s="1172"/>
      <c r="N2476" s="1175"/>
      <c r="O2476" s="143"/>
      <c r="P2476" s="1196"/>
      <c r="Q2476" s="141"/>
      <c r="R2476" s="141"/>
      <c r="S2476" s="148"/>
      <c r="T2476" s="419"/>
      <c r="U2476" s="559"/>
      <c r="V2476" s="141"/>
      <c r="W2476" s="141"/>
      <c r="X2476" s="141"/>
      <c r="Y2476" s="144"/>
      <c r="Z2476" s="141"/>
      <c r="AA2476" s="141"/>
      <c r="AB2476" s="141"/>
      <c r="AC2476" s="141"/>
      <c r="AD2476" s="141"/>
      <c r="AE2476" s="141"/>
      <c r="AF2476" s="145"/>
      <c r="AG2476" s="419"/>
    </row>
    <row r="2477" spans="1:33" s="139" customFormat="1" ht="12.75" customHeight="1" x14ac:dyDescent="0.2">
      <c r="A2477" s="141"/>
      <c r="B2477" s="141"/>
      <c r="C2477" s="141"/>
      <c r="D2477" s="141"/>
      <c r="E2477" s="1014"/>
      <c r="F2477" s="1014"/>
      <c r="G2477" s="1027"/>
      <c r="H2477" s="1027"/>
      <c r="I2477" s="1174"/>
      <c r="J2477" s="1174"/>
      <c r="K2477" s="1174"/>
      <c r="L2477" s="1172"/>
      <c r="M2477" s="1172"/>
      <c r="N2477" s="1175"/>
      <c r="O2477" s="143"/>
      <c r="P2477" s="1196"/>
      <c r="Q2477" s="141"/>
      <c r="R2477" s="141"/>
      <c r="S2477" s="148"/>
      <c r="T2477" s="419"/>
      <c r="U2477" s="559"/>
      <c r="V2477" s="141"/>
      <c r="W2477" s="141"/>
      <c r="X2477" s="141"/>
      <c r="Y2477" s="144"/>
      <c r="Z2477" s="141"/>
      <c r="AA2477" s="141"/>
      <c r="AB2477" s="141"/>
      <c r="AC2477" s="141"/>
      <c r="AD2477" s="141"/>
      <c r="AE2477" s="141"/>
      <c r="AF2477" s="145"/>
      <c r="AG2477" s="419"/>
    </row>
    <row r="2478" spans="1:33" s="139" customFormat="1" ht="12.75" customHeight="1" x14ac:dyDescent="0.2">
      <c r="A2478" s="141"/>
      <c r="B2478" s="141"/>
      <c r="C2478" s="141"/>
      <c r="D2478" s="141"/>
      <c r="E2478" s="1014"/>
      <c r="F2478" s="1014"/>
      <c r="G2478" s="1027"/>
      <c r="H2478" s="1027"/>
      <c r="I2478" s="1174"/>
      <c r="J2478" s="1174"/>
      <c r="K2478" s="1174"/>
      <c r="L2478" s="1172"/>
      <c r="M2478" s="1172"/>
      <c r="N2478" s="1175"/>
      <c r="O2478" s="143"/>
      <c r="P2478" s="1196"/>
      <c r="Q2478" s="141"/>
      <c r="R2478" s="141"/>
      <c r="S2478" s="148"/>
      <c r="T2478" s="419"/>
      <c r="U2478" s="559"/>
      <c r="V2478" s="141"/>
      <c r="W2478" s="141"/>
      <c r="X2478" s="141"/>
      <c r="Y2478" s="144"/>
      <c r="Z2478" s="141"/>
      <c r="AA2478" s="141"/>
      <c r="AB2478" s="141"/>
      <c r="AC2478" s="141"/>
      <c r="AD2478" s="141"/>
      <c r="AE2478" s="141"/>
      <c r="AF2478" s="145"/>
      <c r="AG2478" s="419"/>
    </row>
    <row r="2479" spans="1:33" s="139" customFormat="1" ht="12.75" customHeight="1" x14ac:dyDescent="0.2">
      <c r="A2479" s="141"/>
      <c r="B2479" s="141"/>
      <c r="C2479" s="141"/>
      <c r="D2479" s="141"/>
      <c r="E2479" s="1014"/>
      <c r="F2479" s="1014"/>
      <c r="G2479" s="1027"/>
      <c r="H2479" s="1027"/>
      <c r="I2479" s="1174"/>
      <c r="J2479" s="1174"/>
      <c r="K2479" s="1174"/>
      <c r="L2479" s="1172"/>
      <c r="M2479" s="1172"/>
      <c r="N2479" s="1175"/>
      <c r="O2479" s="143"/>
      <c r="P2479" s="1196"/>
      <c r="Q2479" s="141"/>
      <c r="R2479" s="141"/>
      <c r="S2479" s="148"/>
      <c r="T2479" s="419"/>
      <c r="U2479" s="559"/>
      <c r="V2479" s="141"/>
      <c r="W2479" s="141"/>
      <c r="X2479" s="141"/>
      <c r="Y2479" s="144"/>
      <c r="Z2479" s="141"/>
      <c r="AA2479" s="141"/>
      <c r="AB2479" s="141"/>
      <c r="AC2479" s="141"/>
      <c r="AD2479" s="141"/>
      <c r="AE2479" s="141"/>
      <c r="AF2479" s="145"/>
      <c r="AG2479" s="419"/>
    </row>
    <row r="2480" spans="1:33" s="139" customFormat="1" ht="12.75" customHeight="1" x14ac:dyDescent="0.2">
      <c r="A2480" s="141"/>
      <c r="B2480" s="141"/>
      <c r="C2480" s="141"/>
      <c r="D2480" s="141"/>
      <c r="E2480" s="1014"/>
      <c r="F2480" s="1014"/>
      <c r="G2480" s="1027"/>
      <c r="H2480" s="1027"/>
      <c r="I2480" s="1174"/>
      <c r="J2480" s="1174"/>
      <c r="K2480" s="1174"/>
      <c r="L2480" s="1172"/>
      <c r="M2480" s="1172"/>
      <c r="N2480" s="1175"/>
      <c r="O2480" s="143"/>
      <c r="P2480" s="1196"/>
      <c r="Q2480" s="141"/>
      <c r="R2480" s="141"/>
      <c r="S2480" s="148"/>
      <c r="T2480" s="419"/>
      <c r="U2480" s="559"/>
      <c r="V2480" s="141"/>
      <c r="W2480" s="141"/>
      <c r="X2480" s="141"/>
      <c r="Y2480" s="144"/>
      <c r="Z2480" s="141"/>
      <c r="AA2480" s="141"/>
      <c r="AB2480" s="141"/>
      <c r="AC2480" s="141"/>
      <c r="AD2480" s="141"/>
      <c r="AE2480" s="141"/>
      <c r="AF2480" s="145"/>
      <c r="AG2480" s="419"/>
    </row>
    <row r="2481" spans="1:33" s="139" customFormat="1" ht="12.75" customHeight="1" x14ac:dyDescent="0.2">
      <c r="A2481" s="141"/>
      <c r="B2481" s="141"/>
      <c r="C2481" s="141"/>
      <c r="D2481" s="141"/>
      <c r="E2481" s="1014"/>
      <c r="F2481" s="1014"/>
      <c r="G2481" s="1027"/>
      <c r="H2481" s="1027"/>
      <c r="I2481" s="1174"/>
      <c r="J2481" s="1174"/>
      <c r="K2481" s="1174"/>
      <c r="L2481" s="1172"/>
      <c r="M2481" s="1172"/>
      <c r="N2481" s="1175"/>
      <c r="O2481" s="143"/>
      <c r="P2481" s="1196"/>
      <c r="Q2481" s="141"/>
      <c r="R2481" s="141"/>
      <c r="S2481" s="148"/>
      <c r="T2481" s="419"/>
      <c r="U2481" s="559"/>
      <c r="V2481" s="141"/>
      <c r="W2481" s="141"/>
      <c r="X2481" s="141"/>
      <c r="Y2481" s="144"/>
      <c r="Z2481" s="141"/>
      <c r="AA2481" s="141"/>
      <c r="AB2481" s="141"/>
      <c r="AC2481" s="141"/>
      <c r="AD2481" s="141"/>
      <c r="AE2481" s="141"/>
      <c r="AF2481" s="145"/>
      <c r="AG2481" s="419"/>
    </row>
    <row r="2482" spans="1:33" s="139" customFormat="1" ht="12.75" customHeight="1" x14ac:dyDescent="0.2">
      <c r="A2482" s="141"/>
      <c r="B2482" s="141"/>
      <c r="C2482" s="141"/>
      <c r="D2482" s="141"/>
      <c r="E2482" s="1014"/>
      <c r="F2482" s="1014"/>
      <c r="G2482" s="1027"/>
      <c r="H2482" s="1027"/>
      <c r="I2482" s="1174"/>
      <c r="J2482" s="1174"/>
      <c r="K2482" s="1174"/>
      <c r="L2482" s="1172"/>
      <c r="M2482" s="1172"/>
      <c r="N2482" s="1175"/>
      <c r="O2482" s="143"/>
      <c r="P2482" s="1196"/>
      <c r="Q2482" s="141"/>
      <c r="R2482" s="141"/>
      <c r="S2482" s="148"/>
      <c r="T2482" s="419"/>
      <c r="U2482" s="559"/>
      <c r="V2482" s="141"/>
      <c r="W2482" s="141"/>
      <c r="X2482" s="141"/>
      <c r="Y2482" s="144"/>
      <c r="Z2482" s="141"/>
      <c r="AA2482" s="141"/>
      <c r="AB2482" s="141"/>
      <c r="AC2482" s="141"/>
      <c r="AD2482" s="141"/>
      <c r="AE2482" s="141"/>
      <c r="AF2482" s="145"/>
      <c r="AG2482" s="419"/>
    </row>
    <row r="2483" spans="1:33" s="139" customFormat="1" ht="12.75" customHeight="1" x14ac:dyDescent="0.2">
      <c r="A2483" s="141"/>
      <c r="B2483" s="141"/>
      <c r="C2483" s="141"/>
      <c r="D2483" s="141"/>
      <c r="E2483" s="1014"/>
      <c r="F2483" s="1014"/>
      <c r="G2483" s="1027"/>
      <c r="H2483" s="1027"/>
      <c r="I2483" s="1174"/>
      <c r="J2483" s="1174"/>
      <c r="K2483" s="1174"/>
      <c r="L2483" s="1172"/>
      <c r="M2483" s="1172"/>
      <c r="N2483" s="1175"/>
      <c r="O2483" s="143"/>
      <c r="P2483" s="1196"/>
      <c r="Q2483" s="141"/>
      <c r="R2483" s="141"/>
      <c r="S2483" s="148"/>
      <c r="T2483" s="419"/>
      <c r="U2483" s="559"/>
      <c r="V2483" s="141"/>
      <c r="W2483" s="141"/>
      <c r="X2483" s="141"/>
      <c r="Y2483" s="144"/>
      <c r="Z2483" s="141"/>
      <c r="AA2483" s="141"/>
      <c r="AB2483" s="141"/>
      <c r="AC2483" s="141"/>
      <c r="AD2483" s="141"/>
      <c r="AE2483" s="141"/>
      <c r="AF2483" s="145"/>
      <c r="AG2483" s="419"/>
    </row>
    <row r="2484" spans="1:33" s="139" customFormat="1" ht="12.75" customHeight="1" x14ac:dyDescent="0.2">
      <c r="A2484" s="141"/>
      <c r="B2484" s="141"/>
      <c r="C2484" s="141"/>
      <c r="D2484" s="141"/>
      <c r="E2484" s="1014"/>
      <c r="F2484" s="1014"/>
      <c r="G2484" s="1027"/>
      <c r="H2484" s="1027"/>
      <c r="I2484" s="1174"/>
      <c r="J2484" s="1174"/>
      <c r="K2484" s="1174"/>
      <c r="L2484" s="1172"/>
      <c r="M2484" s="1172"/>
      <c r="N2484" s="1175"/>
      <c r="O2484" s="143"/>
      <c r="P2484" s="1196"/>
      <c r="Q2484" s="141"/>
      <c r="R2484" s="141"/>
      <c r="S2484" s="148"/>
      <c r="T2484" s="419"/>
      <c r="U2484" s="559"/>
      <c r="V2484" s="141"/>
      <c r="W2484" s="141"/>
      <c r="X2484" s="141"/>
      <c r="Y2484" s="144"/>
      <c r="Z2484" s="141"/>
      <c r="AA2484" s="141"/>
      <c r="AB2484" s="141"/>
      <c r="AC2484" s="141"/>
      <c r="AD2484" s="141"/>
      <c r="AE2484" s="141"/>
      <c r="AF2484" s="145"/>
      <c r="AG2484" s="419"/>
    </row>
    <row r="2485" spans="1:33" s="139" customFormat="1" ht="12.75" customHeight="1" x14ac:dyDescent="0.2">
      <c r="A2485" s="141"/>
      <c r="B2485" s="141"/>
      <c r="C2485" s="141"/>
      <c r="D2485" s="141"/>
      <c r="E2485" s="1014"/>
      <c r="F2485" s="1014"/>
      <c r="G2485" s="1027"/>
      <c r="H2485" s="1027"/>
      <c r="I2485" s="1174"/>
      <c r="J2485" s="1174"/>
      <c r="K2485" s="1174"/>
      <c r="L2485" s="1172"/>
      <c r="M2485" s="1172"/>
      <c r="N2485" s="1175"/>
      <c r="O2485" s="143"/>
      <c r="P2485" s="1196"/>
      <c r="Q2485" s="141"/>
      <c r="R2485" s="141"/>
      <c r="S2485" s="148"/>
      <c r="T2485" s="419"/>
      <c r="U2485" s="559"/>
      <c r="V2485" s="141"/>
      <c r="W2485" s="141"/>
      <c r="X2485" s="141"/>
      <c r="Y2485" s="144"/>
      <c r="Z2485" s="141"/>
      <c r="AA2485" s="141"/>
      <c r="AB2485" s="141"/>
      <c r="AC2485" s="141"/>
      <c r="AD2485" s="141"/>
      <c r="AE2485" s="141"/>
      <c r="AF2485" s="145"/>
      <c r="AG2485" s="419"/>
    </row>
    <row r="2486" spans="1:33" s="139" customFormat="1" ht="12.75" customHeight="1" x14ac:dyDescent="0.2">
      <c r="A2486" s="141"/>
      <c r="B2486" s="141"/>
      <c r="C2486" s="141"/>
      <c r="D2486" s="141"/>
      <c r="E2486" s="1014"/>
      <c r="F2486" s="1014"/>
      <c r="G2486" s="1027"/>
      <c r="H2486" s="1027"/>
      <c r="I2486" s="1174"/>
      <c r="J2486" s="1174"/>
      <c r="K2486" s="1174"/>
      <c r="L2486" s="1172"/>
      <c r="M2486" s="1172"/>
      <c r="N2486" s="1175"/>
      <c r="O2486" s="143"/>
      <c r="P2486" s="1196"/>
      <c r="Q2486" s="141"/>
      <c r="R2486" s="141"/>
      <c r="S2486" s="148"/>
      <c r="T2486" s="419"/>
      <c r="U2486" s="559"/>
      <c r="V2486" s="141"/>
      <c r="W2486" s="141"/>
      <c r="X2486" s="141"/>
      <c r="Y2486" s="144"/>
      <c r="Z2486" s="141"/>
      <c r="AA2486" s="141"/>
      <c r="AB2486" s="141"/>
      <c r="AC2486" s="141"/>
      <c r="AD2486" s="141"/>
      <c r="AE2486" s="141"/>
      <c r="AF2486" s="145"/>
      <c r="AG2486" s="419"/>
    </row>
    <row r="2487" spans="1:33" s="139" customFormat="1" ht="12.75" customHeight="1" x14ac:dyDescent="0.2">
      <c r="A2487" s="141"/>
      <c r="B2487" s="141"/>
      <c r="C2487" s="141"/>
      <c r="D2487" s="141"/>
      <c r="E2487" s="1014"/>
      <c r="F2487" s="1014"/>
      <c r="G2487" s="1027"/>
      <c r="H2487" s="1027"/>
      <c r="I2487" s="1174"/>
      <c r="J2487" s="1174"/>
      <c r="K2487" s="1174"/>
      <c r="L2487" s="1172"/>
      <c r="M2487" s="1172"/>
      <c r="N2487" s="1175"/>
      <c r="O2487" s="143"/>
      <c r="P2487" s="1196"/>
      <c r="Q2487" s="141"/>
      <c r="R2487" s="141"/>
      <c r="S2487" s="148"/>
      <c r="T2487" s="419"/>
      <c r="U2487" s="559"/>
      <c r="V2487" s="141"/>
      <c r="W2487" s="141"/>
      <c r="X2487" s="141"/>
      <c r="Y2487" s="144"/>
      <c r="Z2487" s="141"/>
      <c r="AA2487" s="141"/>
      <c r="AB2487" s="141"/>
      <c r="AC2487" s="141"/>
      <c r="AD2487" s="141"/>
      <c r="AE2487" s="141"/>
      <c r="AF2487" s="145"/>
      <c r="AG2487" s="419"/>
    </row>
    <row r="2488" spans="1:33" s="139" customFormat="1" ht="12.75" customHeight="1" x14ac:dyDescent="0.2">
      <c r="A2488" s="141"/>
      <c r="B2488" s="141"/>
      <c r="C2488" s="141"/>
      <c r="D2488" s="141"/>
      <c r="E2488" s="1014"/>
      <c r="F2488" s="1014"/>
      <c r="G2488" s="1027"/>
      <c r="H2488" s="1027"/>
      <c r="I2488" s="1174"/>
      <c r="J2488" s="1174"/>
      <c r="K2488" s="1174"/>
      <c r="L2488" s="1172"/>
      <c r="M2488" s="1172"/>
      <c r="N2488" s="1175"/>
      <c r="O2488" s="143"/>
      <c r="P2488" s="1196"/>
      <c r="Q2488" s="141"/>
      <c r="R2488" s="141"/>
      <c r="S2488" s="148"/>
      <c r="T2488" s="419"/>
      <c r="U2488" s="559"/>
      <c r="V2488" s="141"/>
      <c r="W2488" s="141"/>
      <c r="X2488" s="141"/>
      <c r="Y2488" s="144"/>
      <c r="Z2488" s="141"/>
      <c r="AA2488" s="141"/>
      <c r="AB2488" s="141"/>
      <c r="AC2488" s="141"/>
      <c r="AD2488" s="141"/>
      <c r="AE2488" s="141"/>
      <c r="AF2488" s="145"/>
      <c r="AG2488" s="419"/>
    </row>
    <row r="2489" spans="1:33" s="139" customFormat="1" ht="12.75" customHeight="1" x14ac:dyDescent="0.2">
      <c r="A2489" s="141"/>
      <c r="B2489" s="141"/>
      <c r="C2489" s="141"/>
      <c r="D2489" s="141"/>
      <c r="E2489" s="1014"/>
      <c r="F2489" s="1014"/>
      <c r="G2489" s="1027"/>
      <c r="H2489" s="1027"/>
      <c r="I2489" s="1174"/>
      <c r="J2489" s="1174"/>
      <c r="K2489" s="1174"/>
      <c r="L2489" s="1172"/>
      <c r="M2489" s="1172"/>
      <c r="N2489" s="1175"/>
      <c r="O2489" s="143"/>
      <c r="P2489" s="1196"/>
      <c r="Q2489" s="141"/>
      <c r="R2489" s="141"/>
      <c r="S2489" s="148"/>
      <c r="T2489" s="419"/>
      <c r="U2489" s="559"/>
      <c r="V2489" s="141"/>
      <c r="W2489" s="141"/>
      <c r="X2489" s="141"/>
      <c r="Y2489" s="144"/>
      <c r="Z2489" s="141"/>
      <c r="AA2489" s="141"/>
      <c r="AB2489" s="141"/>
      <c r="AC2489" s="141"/>
      <c r="AD2489" s="141"/>
      <c r="AE2489" s="141"/>
      <c r="AF2489" s="145"/>
      <c r="AG2489" s="419"/>
    </row>
    <row r="2490" spans="1:33" s="139" customFormat="1" ht="12.75" customHeight="1" x14ac:dyDescent="0.2">
      <c r="A2490" s="141"/>
      <c r="B2490" s="141"/>
      <c r="C2490" s="141"/>
      <c r="D2490" s="141"/>
      <c r="E2490" s="1014"/>
      <c r="F2490" s="1014"/>
      <c r="G2490" s="1027"/>
      <c r="H2490" s="1027"/>
      <c r="I2490" s="1174"/>
      <c r="J2490" s="1174"/>
      <c r="K2490" s="1174"/>
      <c r="L2490" s="1172"/>
      <c r="M2490" s="1172"/>
      <c r="N2490" s="1175"/>
      <c r="O2490" s="143"/>
      <c r="P2490" s="1196"/>
      <c r="Q2490" s="141"/>
      <c r="R2490" s="141"/>
      <c r="S2490" s="148"/>
      <c r="T2490" s="419"/>
      <c r="U2490" s="559"/>
      <c r="V2490" s="141"/>
      <c r="W2490" s="141"/>
      <c r="X2490" s="141"/>
      <c r="Y2490" s="144"/>
      <c r="Z2490" s="141"/>
      <c r="AA2490" s="141"/>
      <c r="AB2490" s="141"/>
      <c r="AC2490" s="141"/>
      <c r="AD2490" s="141"/>
      <c r="AE2490" s="141"/>
      <c r="AF2490" s="145"/>
      <c r="AG2490" s="419"/>
    </row>
    <row r="2491" spans="1:33" s="139" customFormat="1" ht="12.75" customHeight="1" x14ac:dyDescent="0.2">
      <c r="A2491" s="141"/>
      <c r="B2491" s="141"/>
      <c r="C2491" s="141"/>
      <c r="D2491" s="141"/>
      <c r="E2491" s="1014"/>
      <c r="F2491" s="1014"/>
      <c r="G2491" s="1027"/>
      <c r="H2491" s="1027"/>
      <c r="I2491" s="1174"/>
      <c r="J2491" s="1174"/>
      <c r="K2491" s="1174"/>
      <c r="L2491" s="1172"/>
      <c r="M2491" s="1172"/>
      <c r="N2491" s="1175"/>
      <c r="O2491" s="143"/>
      <c r="P2491" s="1196"/>
      <c r="Q2491" s="141"/>
      <c r="R2491" s="141"/>
      <c r="S2491" s="148"/>
      <c r="T2491" s="419"/>
      <c r="U2491" s="559"/>
      <c r="V2491" s="141"/>
      <c r="W2491" s="141"/>
      <c r="X2491" s="141"/>
      <c r="Y2491" s="144"/>
      <c r="Z2491" s="141"/>
      <c r="AA2491" s="141"/>
      <c r="AB2491" s="141"/>
      <c r="AC2491" s="141"/>
      <c r="AD2491" s="141"/>
      <c r="AE2491" s="141"/>
      <c r="AF2491" s="145"/>
      <c r="AG2491" s="419"/>
    </row>
    <row r="2492" spans="1:33" s="139" customFormat="1" ht="12.75" customHeight="1" x14ac:dyDescent="0.2">
      <c r="A2492" s="141"/>
      <c r="B2492" s="141"/>
      <c r="C2492" s="141"/>
      <c r="D2492" s="141"/>
      <c r="E2492" s="1014"/>
      <c r="F2492" s="1014"/>
      <c r="G2492" s="1027"/>
      <c r="H2492" s="1027"/>
      <c r="I2492" s="1174"/>
      <c r="J2492" s="1174"/>
      <c r="K2492" s="1174"/>
      <c r="L2492" s="1172"/>
      <c r="M2492" s="1172"/>
      <c r="N2492" s="1175"/>
      <c r="O2492" s="143"/>
      <c r="P2492" s="1196"/>
      <c r="Q2492" s="141"/>
      <c r="R2492" s="141"/>
      <c r="S2492" s="148"/>
      <c r="T2492" s="419"/>
      <c r="U2492" s="559"/>
      <c r="V2492" s="141"/>
      <c r="W2492" s="141"/>
      <c r="X2492" s="141"/>
      <c r="Y2492" s="144"/>
      <c r="Z2492" s="141"/>
      <c r="AA2492" s="141"/>
      <c r="AB2492" s="141"/>
      <c r="AC2492" s="141"/>
      <c r="AD2492" s="141"/>
      <c r="AE2492" s="141"/>
      <c r="AF2492" s="145"/>
      <c r="AG2492" s="419"/>
    </row>
    <row r="2493" spans="1:33" s="139" customFormat="1" ht="12.75" customHeight="1" x14ac:dyDescent="0.2">
      <c r="A2493" s="141"/>
      <c r="B2493" s="141"/>
      <c r="C2493" s="141"/>
      <c r="D2493" s="141"/>
      <c r="E2493" s="1014"/>
      <c r="F2493" s="1014"/>
      <c r="G2493" s="1027"/>
      <c r="H2493" s="1027"/>
      <c r="I2493" s="1174"/>
      <c r="J2493" s="1174"/>
      <c r="K2493" s="1174"/>
      <c r="L2493" s="1172"/>
      <c r="M2493" s="1172"/>
      <c r="N2493" s="1175"/>
      <c r="O2493" s="143"/>
      <c r="P2493" s="1196"/>
      <c r="Q2493" s="141"/>
      <c r="R2493" s="141"/>
      <c r="S2493" s="148"/>
      <c r="T2493" s="419"/>
      <c r="U2493" s="559"/>
      <c r="V2493" s="141"/>
      <c r="W2493" s="141"/>
      <c r="X2493" s="141"/>
      <c r="Y2493" s="144"/>
      <c r="Z2493" s="141"/>
      <c r="AA2493" s="141"/>
      <c r="AB2493" s="141"/>
      <c r="AC2493" s="141"/>
      <c r="AD2493" s="141"/>
      <c r="AE2493" s="141"/>
      <c r="AF2493" s="145"/>
      <c r="AG2493" s="419"/>
    </row>
    <row r="2494" spans="1:33" s="139" customFormat="1" ht="12.75" customHeight="1" x14ac:dyDescent="0.2">
      <c r="A2494" s="141"/>
      <c r="B2494" s="141"/>
      <c r="C2494" s="141"/>
      <c r="D2494" s="141"/>
      <c r="E2494" s="1014"/>
      <c r="F2494" s="1014"/>
      <c r="G2494" s="1027"/>
      <c r="H2494" s="1027"/>
      <c r="I2494" s="1174"/>
      <c r="J2494" s="1174"/>
      <c r="K2494" s="1174"/>
      <c r="L2494" s="1172"/>
      <c r="M2494" s="1172"/>
      <c r="N2494" s="1175"/>
      <c r="O2494" s="143"/>
      <c r="P2494" s="1196"/>
      <c r="Q2494" s="141"/>
      <c r="R2494" s="141"/>
      <c r="S2494" s="148"/>
      <c r="T2494" s="419"/>
      <c r="U2494" s="559"/>
      <c r="V2494" s="141"/>
      <c r="W2494" s="141"/>
      <c r="X2494" s="141"/>
      <c r="Y2494" s="144"/>
      <c r="Z2494" s="141"/>
      <c r="AA2494" s="141"/>
      <c r="AB2494" s="141"/>
      <c r="AC2494" s="141"/>
      <c r="AD2494" s="141"/>
      <c r="AE2494" s="141"/>
      <c r="AF2494" s="145"/>
      <c r="AG2494" s="419"/>
    </row>
    <row r="2495" spans="1:33" s="139" customFormat="1" ht="12.75" customHeight="1" x14ac:dyDescent="0.2">
      <c r="A2495" s="141"/>
      <c r="B2495" s="141"/>
      <c r="C2495" s="141"/>
      <c r="D2495" s="141"/>
      <c r="E2495" s="1014"/>
      <c r="F2495" s="1014"/>
      <c r="G2495" s="1027"/>
      <c r="H2495" s="1027"/>
      <c r="I2495" s="1174"/>
      <c r="J2495" s="1174"/>
      <c r="K2495" s="1174"/>
      <c r="L2495" s="1172"/>
      <c r="M2495" s="1172"/>
      <c r="N2495" s="1175"/>
      <c r="O2495" s="143"/>
      <c r="P2495" s="1196"/>
      <c r="Q2495" s="141"/>
      <c r="R2495" s="141"/>
      <c r="S2495" s="148"/>
      <c r="T2495" s="419"/>
      <c r="U2495" s="559"/>
      <c r="V2495" s="141"/>
      <c r="W2495" s="141"/>
      <c r="X2495" s="141"/>
      <c r="Y2495" s="144"/>
      <c r="Z2495" s="141"/>
      <c r="AA2495" s="141"/>
      <c r="AB2495" s="141"/>
      <c r="AC2495" s="141"/>
      <c r="AD2495" s="141"/>
      <c r="AE2495" s="141"/>
      <c r="AF2495" s="145"/>
      <c r="AG2495" s="419"/>
    </row>
    <row r="2496" spans="1:33" s="139" customFormat="1" ht="12.75" customHeight="1" x14ac:dyDescent="0.2">
      <c r="A2496" s="141"/>
      <c r="B2496" s="141"/>
      <c r="C2496" s="141"/>
      <c r="D2496" s="141"/>
      <c r="E2496" s="1014"/>
      <c r="F2496" s="1014"/>
      <c r="G2496" s="1027"/>
      <c r="H2496" s="1027"/>
      <c r="I2496" s="1174"/>
      <c r="J2496" s="1174"/>
      <c r="K2496" s="1174"/>
      <c r="L2496" s="1172"/>
      <c r="M2496" s="1172"/>
      <c r="N2496" s="1175"/>
      <c r="O2496" s="143"/>
      <c r="P2496" s="1196"/>
      <c r="Q2496" s="141"/>
      <c r="R2496" s="141"/>
      <c r="S2496" s="148"/>
      <c r="T2496" s="419"/>
      <c r="U2496" s="559"/>
      <c r="V2496" s="141"/>
      <c r="W2496" s="141"/>
      <c r="X2496" s="141"/>
      <c r="Y2496" s="144"/>
      <c r="Z2496" s="141"/>
      <c r="AA2496" s="141"/>
      <c r="AB2496" s="141"/>
      <c r="AC2496" s="141"/>
      <c r="AD2496" s="141"/>
      <c r="AE2496" s="141"/>
      <c r="AF2496" s="145"/>
      <c r="AG2496" s="419"/>
    </row>
    <row r="2497" spans="1:33" s="139" customFormat="1" ht="12.75" customHeight="1" x14ac:dyDescent="0.2">
      <c r="A2497" s="141"/>
      <c r="B2497" s="141"/>
      <c r="C2497" s="141"/>
      <c r="D2497" s="141"/>
      <c r="E2497" s="1014"/>
      <c r="F2497" s="1014"/>
      <c r="G2497" s="1027"/>
      <c r="H2497" s="1027"/>
      <c r="I2497" s="1174"/>
      <c r="J2497" s="1174"/>
      <c r="K2497" s="1174"/>
      <c r="L2497" s="1172"/>
      <c r="M2497" s="1172"/>
      <c r="N2497" s="1175"/>
      <c r="O2497" s="143"/>
      <c r="P2497" s="1196"/>
      <c r="Q2497" s="141"/>
      <c r="R2497" s="141"/>
      <c r="S2497" s="148"/>
      <c r="T2497" s="419"/>
      <c r="U2497" s="559"/>
      <c r="V2497" s="141"/>
      <c r="W2497" s="141"/>
      <c r="X2497" s="141"/>
      <c r="Y2497" s="144"/>
      <c r="Z2497" s="141"/>
      <c r="AA2497" s="141"/>
      <c r="AB2497" s="141"/>
      <c r="AC2497" s="141"/>
      <c r="AD2497" s="141"/>
      <c r="AE2497" s="141"/>
      <c r="AF2497" s="145"/>
      <c r="AG2497" s="419"/>
    </row>
    <row r="2498" spans="1:33" s="139" customFormat="1" ht="12.75" customHeight="1" x14ac:dyDescent="0.2">
      <c r="A2498" s="141"/>
      <c r="B2498" s="141"/>
      <c r="C2498" s="141"/>
      <c r="D2498" s="141"/>
      <c r="E2498" s="1014"/>
      <c r="F2498" s="1014"/>
      <c r="G2498" s="1027"/>
      <c r="H2498" s="1027"/>
      <c r="I2498" s="1174"/>
      <c r="J2498" s="1174"/>
      <c r="K2498" s="1174"/>
      <c r="L2498" s="1172"/>
      <c r="M2498" s="1172"/>
      <c r="N2498" s="1175"/>
      <c r="O2498" s="143"/>
      <c r="P2498" s="1196"/>
      <c r="Q2498" s="141"/>
      <c r="R2498" s="141"/>
      <c r="S2498" s="148"/>
      <c r="T2498" s="419"/>
      <c r="U2498" s="559"/>
      <c r="V2498" s="141"/>
      <c r="W2498" s="141"/>
      <c r="X2498" s="141"/>
      <c r="Y2498" s="144"/>
      <c r="Z2498" s="141"/>
      <c r="AA2498" s="141"/>
      <c r="AB2498" s="141"/>
      <c r="AC2498" s="141"/>
      <c r="AD2498" s="141"/>
      <c r="AE2498" s="141"/>
      <c r="AF2498" s="145"/>
      <c r="AG2498" s="419"/>
    </row>
    <row r="2499" spans="1:33" s="139" customFormat="1" ht="12.75" customHeight="1" x14ac:dyDescent="0.2">
      <c r="A2499" s="141"/>
      <c r="B2499" s="141"/>
      <c r="C2499" s="141"/>
      <c r="D2499" s="141"/>
      <c r="E2499" s="1014"/>
      <c r="F2499" s="1014"/>
      <c r="G2499" s="1027"/>
      <c r="H2499" s="1027"/>
      <c r="I2499" s="1174"/>
      <c r="J2499" s="1174"/>
      <c r="K2499" s="1174"/>
      <c r="L2499" s="1172"/>
      <c r="M2499" s="1172"/>
      <c r="N2499" s="1175"/>
      <c r="O2499" s="143"/>
      <c r="P2499" s="1196"/>
      <c r="Q2499" s="141"/>
      <c r="R2499" s="141"/>
      <c r="S2499" s="148"/>
      <c r="T2499" s="419"/>
      <c r="U2499" s="559"/>
      <c r="V2499" s="141"/>
      <c r="W2499" s="141"/>
      <c r="X2499" s="141"/>
      <c r="Y2499" s="144"/>
      <c r="Z2499" s="141"/>
      <c r="AA2499" s="141"/>
      <c r="AB2499" s="141"/>
      <c r="AC2499" s="141"/>
      <c r="AD2499" s="141"/>
      <c r="AE2499" s="141"/>
      <c r="AF2499" s="145"/>
      <c r="AG2499" s="419"/>
    </row>
    <row r="2500" spans="1:33" s="139" customFormat="1" ht="12.75" customHeight="1" x14ac:dyDescent="0.2">
      <c r="A2500" s="141"/>
      <c r="B2500" s="141"/>
      <c r="C2500" s="141"/>
      <c r="D2500" s="141"/>
      <c r="E2500" s="1014"/>
      <c r="F2500" s="1014"/>
      <c r="G2500" s="1027"/>
      <c r="H2500" s="1027"/>
      <c r="I2500" s="1174"/>
      <c r="J2500" s="1174"/>
      <c r="K2500" s="1174"/>
      <c r="L2500" s="1172"/>
      <c r="M2500" s="1172"/>
      <c r="N2500" s="1175"/>
      <c r="O2500" s="143"/>
      <c r="P2500" s="1196"/>
      <c r="Q2500" s="141"/>
      <c r="R2500" s="141"/>
      <c r="S2500" s="148"/>
      <c r="T2500" s="419"/>
      <c r="U2500" s="559"/>
      <c r="V2500" s="141"/>
      <c r="W2500" s="141"/>
      <c r="X2500" s="141"/>
      <c r="Y2500" s="144"/>
      <c r="Z2500" s="141"/>
      <c r="AA2500" s="141"/>
      <c r="AB2500" s="141"/>
      <c r="AC2500" s="141"/>
      <c r="AD2500" s="141"/>
      <c r="AE2500" s="141"/>
      <c r="AF2500" s="145"/>
      <c r="AG2500" s="419"/>
    </row>
    <row r="2501" spans="1:33" s="139" customFormat="1" ht="12.75" customHeight="1" x14ac:dyDescent="0.2">
      <c r="A2501" s="141"/>
      <c r="B2501" s="141"/>
      <c r="C2501" s="141"/>
      <c r="D2501" s="141"/>
      <c r="E2501" s="1014"/>
      <c r="F2501" s="1014"/>
      <c r="G2501" s="1027"/>
      <c r="H2501" s="1027"/>
      <c r="I2501" s="1174"/>
      <c r="J2501" s="1174"/>
      <c r="K2501" s="1174"/>
      <c r="L2501" s="1172"/>
      <c r="M2501" s="1172"/>
      <c r="N2501" s="1175"/>
      <c r="O2501" s="143"/>
      <c r="P2501" s="1196"/>
      <c r="Q2501" s="141"/>
      <c r="R2501" s="141"/>
      <c r="S2501" s="148"/>
      <c r="T2501" s="419"/>
      <c r="U2501" s="559"/>
      <c r="V2501" s="141"/>
      <c r="W2501" s="141"/>
      <c r="X2501" s="141"/>
      <c r="Y2501" s="144"/>
      <c r="Z2501" s="141"/>
      <c r="AA2501" s="141"/>
      <c r="AB2501" s="141"/>
      <c r="AC2501" s="141"/>
      <c r="AD2501" s="141"/>
      <c r="AE2501" s="141"/>
      <c r="AF2501" s="145"/>
      <c r="AG2501" s="419"/>
    </row>
    <row r="2502" spans="1:33" s="139" customFormat="1" ht="12.75" customHeight="1" x14ac:dyDescent="0.2">
      <c r="A2502" s="141"/>
      <c r="B2502" s="141"/>
      <c r="C2502" s="141"/>
      <c r="D2502" s="141"/>
      <c r="E2502" s="1014"/>
      <c r="F2502" s="1014"/>
      <c r="G2502" s="1027"/>
      <c r="H2502" s="1027"/>
      <c r="I2502" s="1174"/>
      <c r="J2502" s="1174"/>
      <c r="K2502" s="1174"/>
      <c r="L2502" s="1172"/>
      <c r="M2502" s="1172"/>
      <c r="N2502" s="1175"/>
      <c r="O2502" s="143"/>
      <c r="P2502" s="1196"/>
      <c r="Q2502" s="141"/>
      <c r="R2502" s="141"/>
      <c r="S2502" s="148"/>
      <c r="T2502" s="419"/>
      <c r="U2502" s="559"/>
      <c r="V2502" s="141"/>
      <c r="W2502" s="141"/>
      <c r="X2502" s="141"/>
      <c r="Y2502" s="144"/>
      <c r="Z2502" s="141"/>
      <c r="AA2502" s="141"/>
      <c r="AB2502" s="141"/>
      <c r="AC2502" s="141"/>
      <c r="AD2502" s="141"/>
      <c r="AE2502" s="141"/>
      <c r="AF2502" s="145"/>
      <c r="AG2502" s="419"/>
    </row>
    <row r="2503" spans="1:33" s="139" customFormat="1" ht="12.75" customHeight="1" x14ac:dyDescent="0.2">
      <c r="A2503" s="141"/>
      <c r="B2503" s="141"/>
      <c r="C2503" s="141"/>
      <c r="D2503" s="141"/>
      <c r="E2503" s="1014"/>
      <c r="F2503" s="1014"/>
      <c r="G2503" s="1027"/>
      <c r="H2503" s="1027"/>
      <c r="I2503" s="1174"/>
      <c r="J2503" s="1174"/>
      <c r="K2503" s="1174"/>
      <c r="L2503" s="1172"/>
      <c r="M2503" s="1172"/>
      <c r="N2503" s="1175"/>
      <c r="O2503" s="143"/>
      <c r="P2503" s="1196"/>
      <c r="Q2503" s="141"/>
      <c r="R2503" s="141"/>
      <c r="S2503" s="148"/>
      <c r="T2503" s="419"/>
      <c r="U2503" s="559"/>
      <c r="V2503" s="141"/>
      <c r="W2503" s="141"/>
      <c r="X2503" s="141"/>
      <c r="Y2503" s="144"/>
      <c r="Z2503" s="141"/>
      <c r="AA2503" s="141"/>
      <c r="AB2503" s="141"/>
      <c r="AC2503" s="141"/>
      <c r="AD2503" s="141"/>
      <c r="AE2503" s="141"/>
      <c r="AF2503" s="145"/>
      <c r="AG2503" s="419"/>
    </row>
    <row r="2504" spans="1:33" s="139" customFormat="1" ht="12.75" customHeight="1" x14ac:dyDescent="0.2">
      <c r="A2504" s="141"/>
      <c r="B2504" s="141"/>
      <c r="C2504" s="141"/>
      <c r="D2504" s="141"/>
      <c r="E2504" s="1014"/>
      <c r="F2504" s="1014"/>
      <c r="G2504" s="1027"/>
      <c r="H2504" s="1027"/>
      <c r="I2504" s="1174"/>
      <c r="J2504" s="1174"/>
      <c r="K2504" s="1174"/>
      <c r="L2504" s="1172"/>
      <c r="M2504" s="1172"/>
      <c r="N2504" s="1175"/>
      <c r="O2504" s="143"/>
      <c r="P2504" s="1196"/>
      <c r="Q2504" s="141"/>
      <c r="R2504" s="141"/>
      <c r="S2504" s="148"/>
      <c r="T2504" s="419"/>
      <c r="U2504" s="559"/>
      <c r="V2504" s="141"/>
      <c r="W2504" s="141"/>
      <c r="X2504" s="141"/>
      <c r="Y2504" s="144"/>
      <c r="Z2504" s="141"/>
      <c r="AA2504" s="141"/>
      <c r="AB2504" s="141"/>
      <c r="AC2504" s="141"/>
      <c r="AD2504" s="141"/>
      <c r="AE2504" s="141"/>
      <c r="AF2504" s="145"/>
      <c r="AG2504" s="419"/>
    </row>
    <row r="2505" spans="1:33" s="139" customFormat="1" ht="12.75" customHeight="1" x14ac:dyDescent="0.2">
      <c r="A2505" s="141"/>
      <c r="B2505" s="141"/>
      <c r="C2505" s="141"/>
      <c r="D2505" s="141"/>
      <c r="E2505" s="1014"/>
      <c r="F2505" s="1014"/>
      <c r="G2505" s="1027"/>
      <c r="H2505" s="1027"/>
      <c r="I2505" s="1174"/>
      <c r="J2505" s="1174"/>
      <c r="K2505" s="1174"/>
      <c r="L2505" s="1172"/>
      <c r="M2505" s="1172"/>
      <c r="N2505" s="1175"/>
      <c r="O2505" s="143"/>
      <c r="P2505" s="1196"/>
      <c r="Q2505" s="141"/>
      <c r="R2505" s="141"/>
      <c r="S2505" s="148"/>
      <c r="T2505" s="419"/>
      <c r="U2505" s="559"/>
      <c r="V2505" s="141"/>
      <c r="W2505" s="141"/>
      <c r="X2505" s="141"/>
      <c r="Y2505" s="144"/>
      <c r="Z2505" s="141"/>
      <c r="AA2505" s="141"/>
      <c r="AB2505" s="141"/>
      <c r="AC2505" s="141"/>
      <c r="AD2505" s="141"/>
      <c r="AE2505" s="141"/>
      <c r="AF2505" s="145"/>
      <c r="AG2505" s="419"/>
    </row>
    <row r="2506" spans="1:33" s="139" customFormat="1" ht="12.75" customHeight="1" x14ac:dyDescent="0.2">
      <c r="A2506" s="141"/>
      <c r="B2506" s="141"/>
      <c r="C2506" s="141"/>
      <c r="D2506" s="141"/>
      <c r="E2506" s="1014"/>
      <c r="F2506" s="1014"/>
      <c r="G2506" s="1027"/>
      <c r="H2506" s="1027"/>
      <c r="I2506" s="1174"/>
      <c r="J2506" s="1174"/>
      <c r="K2506" s="1174"/>
      <c r="L2506" s="1172"/>
      <c r="M2506" s="1172"/>
      <c r="N2506" s="1175"/>
      <c r="O2506" s="143"/>
      <c r="P2506" s="1196"/>
      <c r="Q2506" s="141"/>
      <c r="R2506" s="141"/>
      <c r="S2506" s="148"/>
      <c r="T2506" s="419"/>
      <c r="U2506" s="559"/>
      <c r="V2506" s="141"/>
      <c r="W2506" s="141"/>
      <c r="X2506" s="141"/>
      <c r="Y2506" s="144"/>
      <c r="Z2506" s="141"/>
      <c r="AA2506" s="141"/>
      <c r="AB2506" s="141"/>
      <c r="AC2506" s="141"/>
      <c r="AD2506" s="141"/>
      <c r="AE2506" s="141"/>
      <c r="AF2506" s="145"/>
      <c r="AG2506" s="419"/>
    </row>
    <row r="2507" spans="1:33" s="139" customFormat="1" ht="12.75" customHeight="1" x14ac:dyDescent="0.2">
      <c r="A2507" s="141"/>
      <c r="B2507" s="141"/>
      <c r="C2507" s="141"/>
      <c r="D2507" s="141"/>
      <c r="E2507" s="1014"/>
      <c r="F2507" s="1014"/>
      <c r="G2507" s="1027"/>
      <c r="H2507" s="1027"/>
      <c r="I2507" s="1174"/>
      <c r="J2507" s="1174"/>
      <c r="K2507" s="1174"/>
      <c r="L2507" s="1172"/>
      <c r="M2507" s="1172"/>
      <c r="N2507" s="1175"/>
      <c r="O2507" s="143"/>
      <c r="P2507" s="1196"/>
      <c r="Q2507" s="141"/>
      <c r="R2507" s="141"/>
      <c r="S2507" s="148"/>
      <c r="T2507" s="419"/>
      <c r="U2507" s="559"/>
      <c r="V2507" s="141"/>
      <c r="W2507" s="141"/>
      <c r="X2507" s="141"/>
      <c r="Y2507" s="144"/>
      <c r="Z2507" s="141"/>
      <c r="AA2507" s="141"/>
      <c r="AB2507" s="141"/>
      <c r="AC2507" s="141"/>
      <c r="AD2507" s="141"/>
      <c r="AE2507" s="141"/>
      <c r="AF2507" s="145"/>
      <c r="AG2507" s="419"/>
    </row>
    <row r="2508" spans="1:33" s="139" customFormat="1" ht="12.75" customHeight="1" x14ac:dyDescent="0.2">
      <c r="A2508" s="141"/>
      <c r="B2508" s="141"/>
      <c r="C2508" s="141"/>
      <c r="D2508" s="141"/>
      <c r="E2508" s="1014"/>
      <c r="F2508" s="1014"/>
      <c r="G2508" s="1027"/>
      <c r="H2508" s="1027"/>
      <c r="I2508" s="1174"/>
      <c r="J2508" s="1174"/>
      <c r="K2508" s="1174"/>
      <c r="L2508" s="1172"/>
      <c r="M2508" s="1172"/>
      <c r="N2508" s="1175"/>
      <c r="O2508" s="143"/>
      <c r="P2508" s="1196"/>
      <c r="Q2508" s="141"/>
      <c r="R2508" s="141"/>
      <c r="S2508" s="148"/>
      <c r="T2508" s="419"/>
      <c r="U2508" s="559"/>
      <c r="V2508" s="141"/>
      <c r="W2508" s="141"/>
      <c r="X2508" s="141"/>
      <c r="Y2508" s="144"/>
      <c r="Z2508" s="141"/>
      <c r="AA2508" s="141"/>
      <c r="AB2508" s="141"/>
      <c r="AC2508" s="141"/>
      <c r="AD2508" s="141"/>
      <c r="AE2508" s="141"/>
      <c r="AF2508" s="145"/>
      <c r="AG2508" s="419"/>
    </row>
    <row r="2509" spans="1:33" s="139" customFormat="1" ht="12.75" customHeight="1" x14ac:dyDescent="0.2">
      <c r="A2509" s="141"/>
      <c r="B2509" s="141"/>
      <c r="C2509" s="141"/>
      <c r="D2509" s="141"/>
      <c r="E2509" s="1014"/>
      <c r="F2509" s="1014"/>
      <c r="G2509" s="1027"/>
      <c r="H2509" s="1027"/>
      <c r="I2509" s="1174"/>
      <c r="J2509" s="1174"/>
      <c r="K2509" s="1174"/>
      <c r="L2509" s="1172"/>
      <c r="M2509" s="1172"/>
      <c r="N2509" s="1175"/>
      <c r="O2509" s="143"/>
      <c r="P2509" s="1196"/>
      <c r="Q2509" s="141"/>
      <c r="R2509" s="141"/>
      <c r="S2509" s="148"/>
      <c r="T2509" s="419"/>
      <c r="U2509" s="559"/>
      <c r="V2509" s="141"/>
      <c r="W2509" s="141"/>
      <c r="X2509" s="141"/>
      <c r="Y2509" s="144"/>
      <c r="Z2509" s="141"/>
      <c r="AA2509" s="141"/>
      <c r="AB2509" s="141"/>
      <c r="AC2509" s="141"/>
      <c r="AD2509" s="141"/>
      <c r="AE2509" s="141"/>
      <c r="AF2509" s="145"/>
      <c r="AG2509" s="419"/>
    </row>
    <row r="2510" spans="1:33" s="139" customFormat="1" ht="12.75" customHeight="1" x14ac:dyDescent="0.2">
      <c r="A2510" s="141"/>
      <c r="B2510" s="141"/>
      <c r="C2510" s="141"/>
      <c r="D2510" s="141"/>
      <c r="E2510" s="1014"/>
      <c r="F2510" s="1014"/>
      <c r="G2510" s="1027"/>
      <c r="H2510" s="1027"/>
      <c r="I2510" s="1174"/>
      <c r="J2510" s="1174"/>
      <c r="K2510" s="1174"/>
      <c r="L2510" s="1172"/>
      <c r="M2510" s="1172"/>
      <c r="N2510" s="1175"/>
      <c r="O2510" s="143"/>
      <c r="P2510" s="1196"/>
      <c r="Q2510" s="141"/>
      <c r="R2510" s="141"/>
      <c r="S2510" s="148"/>
      <c r="T2510" s="419"/>
      <c r="U2510" s="559"/>
      <c r="V2510" s="141"/>
      <c r="W2510" s="141"/>
      <c r="X2510" s="141"/>
      <c r="Y2510" s="144"/>
      <c r="Z2510" s="141"/>
      <c r="AA2510" s="141"/>
      <c r="AB2510" s="141"/>
      <c r="AC2510" s="141"/>
      <c r="AD2510" s="141"/>
      <c r="AE2510" s="141"/>
      <c r="AF2510" s="145"/>
      <c r="AG2510" s="419"/>
    </row>
    <row r="2511" spans="1:33" s="139" customFormat="1" ht="12.75" customHeight="1" x14ac:dyDescent="0.2">
      <c r="A2511" s="141"/>
      <c r="B2511" s="141"/>
      <c r="C2511" s="141"/>
      <c r="D2511" s="141"/>
      <c r="E2511" s="1014"/>
      <c r="F2511" s="1014"/>
      <c r="G2511" s="1027"/>
      <c r="H2511" s="1027"/>
      <c r="I2511" s="1174"/>
      <c r="J2511" s="1174"/>
      <c r="K2511" s="1174"/>
      <c r="L2511" s="1172"/>
      <c r="M2511" s="1172"/>
      <c r="N2511" s="1175"/>
      <c r="O2511" s="143"/>
      <c r="P2511" s="1196"/>
      <c r="Q2511" s="141"/>
      <c r="R2511" s="141"/>
      <c r="S2511" s="148"/>
      <c r="T2511" s="419"/>
      <c r="U2511" s="559"/>
      <c r="V2511" s="141"/>
      <c r="W2511" s="141"/>
      <c r="X2511" s="141"/>
      <c r="Y2511" s="144"/>
      <c r="Z2511" s="141"/>
      <c r="AA2511" s="141"/>
      <c r="AB2511" s="141"/>
      <c r="AC2511" s="141"/>
      <c r="AD2511" s="141"/>
      <c r="AE2511" s="141"/>
      <c r="AF2511" s="145"/>
      <c r="AG2511" s="419"/>
    </row>
    <row r="2512" spans="1:33" s="139" customFormat="1" ht="12.75" customHeight="1" x14ac:dyDescent="0.2">
      <c r="A2512" s="141"/>
      <c r="B2512" s="141"/>
      <c r="C2512" s="141"/>
      <c r="D2512" s="141"/>
      <c r="E2512" s="1014"/>
      <c r="F2512" s="1014"/>
      <c r="G2512" s="1027"/>
      <c r="H2512" s="1027"/>
      <c r="I2512" s="1174"/>
      <c r="J2512" s="1174"/>
      <c r="K2512" s="1174"/>
      <c r="L2512" s="1172"/>
      <c r="M2512" s="1172"/>
      <c r="N2512" s="1175"/>
      <c r="O2512" s="143"/>
      <c r="P2512" s="1196"/>
      <c r="Q2512" s="141"/>
      <c r="R2512" s="141"/>
      <c r="S2512" s="148"/>
      <c r="T2512" s="419"/>
      <c r="U2512" s="559"/>
      <c r="V2512" s="141"/>
      <c r="W2512" s="141"/>
      <c r="X2512" s="141"/>
      <c r="Y2512" s="144"/>
      <c r="Z2512" s="141"/>
      <c r="AA2512" s="141"/>
      <c r="AB2512" s="141"/>
      <c r="AC2512" s="141"/>
      <c r="AD2512" s="141"/>
      <c r="AE2512" s="141"/>
      <c r="AF2512" s="145"/>
      <c r="AG2512" s="419"/>
    </row>
    <row r="2513" spans="1:33" s="139" customFormat="1" ht="12.75" customHeight="1" x14ac:dyDescent="0.2">
      <c r="A2513" s="141"/>
      <c r="B2513" s="141"/>
      <c r="C2513" s="141"/>
      <c r="D2513" s="141"/>
      <c r="E2513" s="1014"/>
      <c r="F2513" s="1014"/>
      <c r="G2513" s="1027"/>
      <c r="H2513" s="1027"/>
      <c r="I2513" s="1174"/>
      <c r="J2513" s="1174"/>
      <c r="K2513" s="1174"/>
      <c r="L2513" s="1172"/>
      <c r="M2513" s="1172"/>
      <c r="N2513" s="1175"/>
      <c r="O2513" s="143"/>
      <c r="P2513" s="1196"/>
      <c r="Q2513" s="141"/>
      <c r="R2513" s="141"/>
      <c r="S2513" s="148"/>
      <c r="T2513" s="419"/>
      <c r="U2513" s="559"/>
      <c r="V2513" s="141"/>
      <c r="W2513" s="141"/>
      <c r="X2513" s="141"/>
      <c r="Y2513" s="144"/>
      <c r="Z2513" s="141"/>
      <c r="AA2513" s="141"/>
      <c r="AB2513" s="141"/>
      <c r="AC2513" s="141"/>
      <c r="AD2513" s="141"/>
      <c r="AE2513" s="141"/>
      <c r="AF2513" s="145"/>
      <c r="AG2513" s="419"/>
    </row>
    <row r="2514" spans="1:33" s="139" customFormat="1" ht="12.75" customHeight="1" x14ac:dyDescent="0.2">
      <c r="A2514" s="141"/>
      <c r="B2514" s="141"/>
      <c r="C2514" s="141"/>
      <c r="D2514" s="141"/>
      <c r="E2514" s="1014"/>
      <c r="F2514" s="1014"/>
      <c r="G2514" s="1027"/>
      <c r="H2514" s="1027"/>
      <c r="I2514" s="1174"/>
      <c r="J2514" s="1174"/>
      <c r="K2514" s="1174"/>
      <c r="L2514" s="1172"/>
      <c r="M2514" s="1172"/>
      <c r="N2514" s="1175"/>
      <c r="O2514" s="143"/>
      <c r="P2514" s="1196"/>
      <c r="Q2514" s="141"/>
      <c r="R2514" s="141"/>
      <c r="S2514" s="148"/>
      <c r="T2514" s="419"/>
      <c r="U2514" s="559"/>
      <c r="V2514" s="141"/>
      <c r="W2514" s="141"/>
      <c r="X2514" s="141"/>
      <c r="Y2514" s="144"/>
      <c r="Z2514" s="141"/>
      <c r="AA2514" s="141"/>
      <c r="AB2514" s="141"/>
      <c r="AC2514" s="141"/>
      <c r="AD2514" s="141"/>
      <c r="AE2514" s="141"/>
      <c r="AF2514" s="145"/>
      <c r="AG2514" s="419"/>
    </row>
    <row r="2515" spans="1:33" s="139" customFormat="1" ht="12.75" customHeight="1" x14ac:dyDescent="0.2">
      <c r="A2515" s="141"/>
      <c r="B2515" s="141"/>
      <c r="C2515" s="141"/>
      <c r="D2515" s="141"/>
      <c r="E2515" s="1014"/>
      <c r="F2515" s="1014"/>
      <c r="G2515" s="1027"/>
      <c r="H2515" s="1027"/>
      <c r="I2515" s="1174"/>
      <c r="J2515" s="1174"/>
      <c r="K2515" s="1174"/>
      <c r="L2515" s="1172"/>
      <c r="M2515" s="1172"/>
      <c r="N2515" s="1175"/>
      <c r="O2515" s="143"/>
      <c r="P2515" s="1196"/>
      <c r="Q2515" s="141"/>
      <c r="R2515" s="141"/>
      <c r="S2515" s="148"/>
      <c r="T2515" s="419"/>
      <c r="U2515" s="559"/>
      <c r="V2515" s="141"/>
      <c r="W2515" s="141"/>
      <c r="X2515" s="141"/>
      <c r="Y2515" s="144"/>
      <c r="Z2515" s="141"/>
      <c r="AA2515" s="141"/>
      <c r="AB2515" s="141"/>
      <c r="AC2515" s="141"/>
      <c r="AD2515" s="141"/>
      <c r="AE2515" s="141"/>
      <c r="AF2515" s="145"/>
      <c r="AG2515" s="419"/>
    </row>
    <row r="2516" spans="1:33" s="139" customFormat="1" ht="12.75" customHeight="1" x14ac:dyDescent="0.2">
      <c r="A2516" s="141"/>
      <c r="B2516" s="141"/>
      <c r="C2516" s="141"/>
      <c r="D2516" s="141"/>
      <c r="E2516" s="1014"/>
      <c r="F2516" s="1014"/>
      <c r="G2516" s="1027"/>
      <c r="H2516" s="1027"/>
      <c r="I2516" s="1174"/>
      <c r="J2516" s="1174"/>
      <c r="K2516" s="1174"/>
      <c r="L2516" s="1172"/>
      <c r="M2516" s="1172"/>
      <c r="N2516" s="1175"/>
      <c r="O2516" s="143"/>
      <c r="P2516" s="1196"/>
      <c r="Q2516" s="141"/>
      <c r="R2516" s="141"/>
      <c r="S2516" s="148"/>
      <c r="T2516" s="419"/>
      <c r="U2516" s="559"/>
      <c r="V2516" s="141"/>
      <c r="W2516" s="141"/>
      <c r="X2516" s="141"/>
      <c r="Y2516" s="144"/>
      <c r="Z2516" s="141"/>
      <c r="AA2516" s="141"/>
      <c r="AB2516" s="141"/>
      <c r="AC2516" s="141"/>
      <c r="AD2516" s="141"/>
      <c r="AE2516" s="141"/>
      <c r="AF2516" s="145"/>
      <c r="AG2516" s="419"/>
    </row>
    <row r="2517" spans="1:33" s="139" customFormat="1" ht="12.75" customHeight="1" x14ac:dyDescent="0.2">
      <c r="A2517" s="141"/>
      <c r="B2517" s="141"/>
      <c r="C2517" s="141"/>
      <c r="D2517" s="141"/>
      <c r="E2517" s="1014"/>
      <c r="F2517" s="1014"/>
      <c r="G2517" s="1027"/>
      <c r="H2517" s="1027"/>
      <c r="I2517" s="1174"/>
      <c r="J2517" s="1174"/>
      <c r="K2517" s="1174"/>
      <c r="L2517" s="1172"/>
      <c r="M2517" s="1172"/>
      <c r="N2517" s="1175"/>
      <c r="O2517" s="143"/>
      <c r="P2517" s="1196"/>
      <c r="Q2517" s="141"/>
      <c r="R2517" s="141"/>
      <c r="S2517" s="148"/>
      <c r="T2517" s="419"/>
      <c r="U2517" s="559"/>
      <c r="V2517" s="141"/>
      <c r="W2517" s="141"/>
      <c r="X2517" s="141"/>
      <c r="Y2517" s="144"/>
      <c r="Z2517" s="141"/>
      <c r="AA2517" s="141"/>
      <c r="AB2517" s="141"/>
      <c r="AC2517" s="141"/>
      <c r="AD2517" s="141"/>
      <c r="AE2517" s="141"/>
      <c r="AF2517" s="145"/>
      <c r="AG2517" s="419"/>
    </row>
    <row r="2518" spans="1:33" s="139" customFormat="1" ht="12.75" customHeight="1" x14ac:dyDescent="0.2">
      <c r="A2518" s="141"/>
      <c r="B2518" s="141"/>
      <c r="C2518" s="141"/>
      <c r="D2518" s="141"/>
      <c r="E2518" s="1014"/>
      <c r="F2518" s="1014"/>
      <c r="G2518" s="1027"/>
      <c r="H2518" s="1027"/>
      <c r="I2518" s="1174"/>
      <c r="J2518" s="1174"/>
      <c r="K2518" s="1174"/>
      <c r="L2518" s="1172"/>
      <c r="M2518" s="1172"/>
      <c r="N2518" s="1175"/>
      <c r="O2518" s="143"/>
      <c r="P2518" s="1196"/>
      <c r="Q2518" s="141"/>
      <c r="R2518" s="141"/>
      <c r="S2518" s="148"/>
      <c r="T2518" s="419"/>
      <c r="U2518" s="559"/>
      <c r="V2518" s="141"/>
      <c r="W2518" s="141"/>
      <c r="X2518" s="141"/>
      <c r="Y2518" s="144"/>
      <c r="Z2518" s="141"/>
      <c r="AA2518" s="141"/>
      <c r="AB2518" s="141"/>
      <c r="AC2518" s="141"/>
      <c r="AD2518" s="141"/>
      <c r="AE2518" s="141"/>
      <c r="AF2518" s="145"/>
      <c r="AG2518" s="419"/>
    </row>
    <row r="2519" spans="1:33" s="139" customFormat="1" ht="12.75" customHeight="1" x14ac:dyDescent="0.2">
      <c r="A2519" s="141"/>
      <c r="B2519" s="141"/>
      <c r="C2519" s="141"/>
      <c r="D2519" s="141"/>
      <c r="E2519" s="1014"/>
      <c r="F2519" s="1014"/>
      <c r="G2519" s="1027"/>
      <c r="H2519" s="1027"/>
      <c r="I2519" s="1174"/>
      <c r="J2519" s="1174"/>
      <c r="K2519" s="1174"/>
      <c r="L2519" s="1172"/>
      <c r="M2519" s="1172"/>
      <c r="N2519" s="1175"/>
      <c r="O2519" s="143"/>
      <c r="P2519" s="1196"/>
      <c r="Q2519" s="141"/>
      <c r="R2519" s="141"/>
      <c r="S2519" s="148"/>
      <c r="T2519" s="419"/>
      <c r="U2519" s="559"/>
      <c r="V2519" s="141"/>
      <c r="W2519" s="141"/>
      <c r="X2519" s="141"/>
      <c r="Y2519" s="144"/>
      <c r="Z2519" s="141"/>
      <c r="AA2519" s="141"/>
      <c r="AB2519" s="141"/>
      <c r="AC2519" s="141"/>
      <c r="AD2519" s="141"/>
      <c r="AE2519" s="141"/>
      <c r="AF2519" s="145"/>
      <c r="AG2519" s="419"/>
    </row>
    <row r="2520" spans="1:33" s="139" customFormat="1" ht="12.75" customHeight="1" x14ac:dyDescent="0.2">
      <c r="A2520" s="141"/>
      <c r="B2520" s="141"/>
      <c r="C2520" s="141"/>
      <c r="D2520" s="141"/>
      <c r="E2520" s="1014"/>
      <c r="F2520" s="1014"/>
      <c r="G2520" s="1027"/>
      <c r="H2520" s="1027"/>
      <c r="I2520" s="1174"/>
      <c r="J2520" s="1174"/>
      <c r="K2520" s="1174"/>
      <c r="L2520" s="1172"/>
      <c r="M2520" s="1172"/>
      <c r="N2520" s="1175"/>
      <c r="O2520" s="143"/>
      <c r="P2520" s="1196"/>
      <c r="Q2520" s="141"/>
      <c r="R2520" s="141"/>
      <c r="S2520" s="148"/>
      <c r="T2520" s="419"/>
      <c r="U2520" s="559"/>
      <c r="V2520" s="141"/>
      <c r="W2520" s="141"/>
      <c r="X2520" s="141"/>
      <c r="Y2520" s="144"/>
      <c r="Z2520" s="141"/>
      <c r="AA2520" s="141"/>
      <c r="AB2520" s="141"/>
      <c r="AC2520" s="141"/>
      <c r="AD2520" s="141"/>
      <c r="AE2520" s="141"/>
      <c r="AF2520" s="145"/>
      <c r="AG2520" s="419"/>
    </row>
    <row r="2521" spans="1:33" s="139" customFormat="1" ht="12.75" customHeight="1" x14ac:dyDescent="0.2">
      <c r="A2521" s="141"/>
      <c r="B2521" s="141"/>
      <c r="C2521" s="141"/>
      <c r="D2521" s="141"/>
      <c r="E2521" s="1014"/>
      <c r="F2521" s="1014"/>
      <c r="G2521" s="1027"/>
      <c r="H2521" s="1027"/>
      <c r="I2521" s="1174"/>
      <c r="J2521" s="1174"/>
      <c r="K2521" s="1174"/>
      <c r="L2521" s="1172"/>
      <c r="M2521" s="1172"/>
      <c r="N2521" s="1175"/>
      <c r="O2521" s="143"/>
      <c r="P2521" s="1196"/>
      <c r="Q2521" s="141"/>
      <c r="R2521" s="141"/>
      <c r="S2521" s="148"/>
      <c r="T2521" s="419"/>
      <c r="U2521" s="559"/>
      <c r="V2521" s="141"/>
      <c r="W2521" s="141"/>
      <c r="X2521" s="141"/>
      <c r="Y2521" s="144"/>
      <c r="Z2521" s="141"/>
      <c r="AA2521" s="141"/>
      <c r="AB2521" s="141"/>
      <c r="AC2521" s="141"/>
      <c r="AD2521" s="141"/>
      <c r="AE2521" s="141"/>
      <c r="AF2521" s="145"/>
      <c r="AG2521" s="419"/>
    </row>
    <row r="2522" spans="1:33" s="139" customFormat="1" ht="12.75" customHeight="1" x14ac:dyDescent="0.2">
      <c r="A2522" s="141"/>
      <c r="B2522" s="141"/>
      <c r="C2522" s="141"/>
      <c r="D2522" s="141"/>
      <c r="E2522" s="1014"/>
      <c r="F2522" s="1014"/>
      <c r="G2522" s="1027"/>
      <c r="H2522" s="1027"/>
      <c r="I2522" s="1174"/>
      <c r="J2522" s="1174"/>
      <c r="K2522" s="1174"/>
      <c r="L2522" s="1172"/>
      <c r="M2522" s="1172"/>
      <c r="N2522" s="1175"/>
      <c r="O2522" s="143"/>
      <c r="P2522" s="1196"/>
      <c r="Q2522" s="141"/>
      <c r="R2522" s="141"/>
      <c r="S2522" s="148"/>
      <c r="T2522" s="419"/>
      <c r="U2522" s="559"/>
      <c r="V2522" s="141"/>
      <c r="W2522" s="141"/>
      <c r="X2522" s="141"/>
      <c r="Y2522" s="144"/>
      <c r="Z2522" s="141"/>
      <c r="AA2522" s="141"/>
      <c r="AB2522" s="141"/>
      <c r="AC2522" s="141"/>
      <c r="AD2522" s="141"/>
      <c r="AE2522" s="141"/>
      <c r="AF2522" s="145"/>
      <c r="AG2522" s="419"/>
    </row>
    <row r="2523" spans="1:33" s="139" customFormat="1" ht="12.75" customHeight="1" x14ac:dyDescent="0.2">
      <c r="A2523" s="141"/>
      <c r="B2523" s="141"/>
      <c r="C2523" s="141"/>
      <c r="D2523" s="141"/>
      <c r="E2523" s="1014"/>
      <c r="F2523" s="1014"/>
      <c r="G2523" s="1027"/>
      <c r="H2523" s="1027"/>
      <c r="I2523" s="1174"/>
      <c r="J2523" s="1174"/>
      <c r="K2523" s="1174"/>
      <c r="L2523" s="1172"/>
      <c r="M2523" s="1172"/>
      <c r="N2523" s="1175"/>
      <c r="O2523" s="143"/>
      <c r="P2523" s="1196"/>
      <c r="Q2523" s="141"/>
      <c r="R2523" s="141"/>
      <c r="S2523" s="148"/>
      <c r="T2523" s="419"/>
      <c r="U2523" s="559"/>
      <c r="V2523" s="141"/>
      <c r="W2523" s="141"/>
      <c r="X2523" s="141"/>
      <c r="Y2523" s="144"/>
      <c r="Z2523" s="141"/>
      <c r="AA2523" s="141"/>
      <c r="AB2523" s="141"/>
      <c r="AC2523" s="141"/>
      <c r="AD2523" s="141"/>
      <c r="AE2523" s="141"/>
      <c r="AF2523" s="145"/>
      <c r="AG2523" s="419"/>
    </row>
    <row r="2524" spans="1:33" s="139" customFormat="1" ht="12.75" customHeight="1" x14ac:dyDescent="0.2">
      <c r="A2524" s="141"/>
      <c r="B2524" s="141"/>
      <c r="C2524" s="141"/>
      <c r="D2524" s="141"/>
      <c r="E2524" s="1014"/>
      <c r="F2524" s="1014"/>
      <c r="G2524" s="1027"/>
      <c r="H2524" s="1027"/>
      <c r="I2524" s="1174"/>
      <c r="J2524" s="1174"/>
      <c r="K2524" s="1174"/>
      <c r="L2524" s="1172"/>
      <c r="M2524" s="1172"/>
      <c r="N2524" s="1175"/>
      <c r="O2524" s="143"/>
      <c r="P2524" s="1196"/>
      <c r="Q2524" s="141"/>
      <c r="R2524" s="141"/>
      <c r="S2524" s="148"/>
      <c r="T2524" s="419"/>
      <c r="U2524" s="559"/>
      <c r="V2524" s="141"/>
      <c r="W2524" s="141"/>
      <c r="X2524" s="141"/>
      <c r="Y2524" s="144"/>
      <c r="Z2524" s="141"/>
      <c r="AA2524" s="141"/>
      <c r="AB2524" s="141"/>
      <c r="AC2524" s="141"/>
      <c r="AD2524" s="141"/>
      <c r="AE2524" s="141"/>
      <c r="AF2524" s="145"/>
      <c r="AG2524" s="419"/>
    </row>
    <row r="2525" spans="1:33" s="139" customFormat="1" ht="12.75" customHeight="1" x14ac:dyDescent="0.2">
      <c r="A2525" s="141"/>
      <c r="B2525" s="141"/>
      <c r="C2525" s="141"/>
      <c r="D2525" s="141"/>
      <c r="E2525" s="1014"/>
      <c r="F2525" s="1014"/>
      <c r="G2525" s="1027"/>
      <c r="H2525" s="1027"/>
      <c r="I2525" s="1174"/>
      <c r="J2525" s="1174"/>
      <c r="K2525" s="1174"/>
      <c r="L2525" s="1172"/>
      <c r="M2525" s="1172"/>
      <c r="N2525" s="1175"/>
      <c r="O2525" s="143"/>
      <c r="P2525" s="1196"/>
      <c r="Q2525" s="141"/>
      <c r="R2525" s="141"/>
      <c r="S2525" s="148"/>
      <c r="T2525" s="419"/>
      <c r="U2525" s="559"/>
      <c r="V2525" s="141"/>
      <c r="W2525" s="141"/>
      <c r="X2525" s="141"/>
      <c r="Y2525" s="144"/>
      <c r="Z2525" s="141"/>
      <c r="AA2525" s="141"/>
      <c r="AB2525" s="141"/>
      <c r="AC2525" s="141"/>
      <c r="AD2525" s="141"/>
      <c r="AE2525" s="141"/>
      <c r="AF2525" s="145"/>
      <c r="AG2525" s="419"/>
    </row>
    <row r="2526" spans="1:33" s="139" customFormat="1" ht="12.75" customHeight="1" x14ac:dyDescent="0.2">
      <c r="A2526" s="141"/>
      <c r="B2526" s="141"/>
      <c r="C2526" s="141"/>
      <c r="D2526" s="141"/>
      <c r="E2526" s="1014"/>
      <c r="F2526" s="1014"/>
      <c r="G2526" s="1027"/>
      <c r="H2526" s="1027"/>
      <c r="I2526" s="1174"/>
      <c r="J2526" s="1174"/>
      <c r="K2526" s="1174"/>
      <c r="L2526" s="1172"/>
      <c r="M2526" s="1172"/>
      <c r="N2526" s="1175"/>
      <c r="O2526" s="143"/>
      <c r="P2526" s="1196"/>
      <c r="Q2526" s="141"/>
      <c r="R2526" s="141"/>
      <c r="S2526" s="148"/>
      <c r="T2526" s="419"/>
      <c r="U2526" s="559"/>
      <c r="V2526" s="141"/>
      <c r="W2526" s="141"/>
      <c r="X2526" s="141"/>
      <c r="Y2526" s="144"/>
      <c r="Z2526" s="141"/>
      <c r="AA2526" s="141"/>
      <c r="AB2526" s="141"/>
      <c r="AC2526" s="141"/>
      <c r="AD2526" s="141"/>
      <c r="AE2526" s="141"/>
      <c r="AF2526" s="145"/>
      <c r="AG2526" s="419"/>
    </row>
    <row r="2527" spans="1:33" s="139" customFormat="1" ht="12.75" customHeight="1" x14ac:dyDescent="0.2">
      <c r="A2527" s="141"/>
      <c r="B2527" s="141"/>
      <c r="C2527" s="141"/>
      <c r="D2527" s="141"/>
      <c r="E2527" s="1014"/>
      <c r="F2527" s="1014"/>
      <c r="G2527" s="1027"/>
      <c r="H2527" s="1027"/>
      <c r="I2527" s="1174"/>
      <c r="J2527" s="1174"/>
      <c r="K2527" s="1174"/>
      <c r="L2527" s="1172"/>
      <c r="M2527" s="1172"/>
      <c r="N2527" s="1175"/>
      <c r="O2527" s="143"/>
      <c r="P2527" s="1196"/>
      <c r="Q2527" s="141"/>
      <c r="R2527" s="141"/>
      <c r="S2527" s="148"/>
      <c r="T2527" s="419"/>
      <c r="U2527" s="559"/>
      <c r="V2527" s="141"/>
      <c r="W2527" s="141"/>
      <c r="X2527" s="141"/>
      <c r="Y2527" s="144"/>
      <c r="Z2527" s="141"/>
      <c r="AA2527" s="141"/>
      <c r="AB2527" s="141"/>
      <c r="AC2527" s="141"/>
      <c r="AD2527" s="141"/>
      <c r="AE2527" s="141"/>
      <c r="AF2527" s="145"/>
      <c r="AG2527" s="419"/>
    </row>
    <row r="2528" spans="1:33" s="139" customFormat="1" ht="12.75" customHeight="1" x14ac:dyDescent="0.2">
      <c r="A2528" s="141"/>
      <c r="B2528" s="141"/>
      <c r="C2528" s="141"/>
      <c r="D2528" s="141"/>
      <c r="E2528" s="1014"/>
      <c r="F2528" s="1014"/>
      <c r="G2528" s="1027"/>
      <c r="H2528" s="1027"/>
      <c r="I2528" s="1174"/>
      <c r="J2528" s="1174"/>
      <c r="K2528" s="1174"/>
      <c r="L2528" s="1172"/>
      <c r="M2528" s="1172"/>
      <c r="N2528" s="1175"/>
      <c r="O2528" s="143"/>
      <c r="P2528" s="1196"/>
      <c r="Q2528" s="141"/>
      <c r="R2528" s="141"/>
      <c r="S2528" s="148"/>
      <c r="T2528" s="419"/>
      <c r="U2528" s="559"/>
      <c r="V2528" s="141"/>
      <c r="W2528" s="141"/>
      <c r="X2528" s="141"/>
      <c r="Y2528" s="144"/>
      <c r="Z2528" s="141"/>
      <c r="AA2528" s="141"/>
      <c r="AB2528" s="141"/>
      <c r="AC2528" s="141"/>
      <c r="AD2528" s="141"/>
      <c r="AE2528" s="141"/>
      <c r="AF2528" s="145"/>
      <c r="AG2528" s="419"/>
    </row>
    <row r="2529" spans="1:33" s="139" customFormat="1" ht="12.75" customHeight="1" x14ac:dyDescent="0.2">
      <c r="A2529" s="141"/>
      <c r="B2529" s="141"/>
      <c r="C2529" s="141"/>
      <c r="D2529" s="141"/>
      <c r="E2529" s="1014"/>
      <c r="F2529" s="1014"/>
      <c r="G2529" s="1027"/>
      <c r="H2529" s="1027"/>
      <c r="I2529" s="1174"/>
      <c r="J2529" s="1174"/>
      <c r="K2529" s="1174"/>
      <c r="L2529" s="1172"/>
      <c r="M2529" s="1172"/>
      <c r="N2529" s="1175"/>
      <c r="O2529" s="143"/>
      <c r="P2529" s="1196"/>
      <c r="Q2529" s="141"/>
      <c r="R2529" s="141"/>
      <c r="S2529" s="148"/>
      <c r="T2529" s="419"/>
      <c r="U2529" s="559"/>
      <c r="V2529" s="141"/>
      <c r="W2529" s="141"/>
      <c r="X2529" s="141"/>
      <c r="Y2529" s="144"/>
      <c r="Z2529" s="141"/>
      <c r="AA2529" s="141"/>
      <c r="AB2529" s="141"/>
      <c r="AC2529" s="141"/>
      <c r="AD2529" s="141"/>
      <c r="AE2529" s="141"/>
      <c r="AF2529" s="145"/>
      <c r="AG2529" s="419"/>
    </row>
    <row r="2530" spans="1:33" s="139" customFormat="1" ht="12.75" customHeight="1" x14ac:dyDescent="0.2">
      <c r="A2530" s="141"/>
      <c r="B2530" s="141"/>
      <c r="C2530" s="141"/>
      <c r="D2530" s="141"/>
      <c r="E2530" s="1014"/>
      <c r="F2530" s="1014"/>
      <c r="G2530" s="1027"/>
      <c r="H2530" s="1027"/>
      <c r="I2530" s="1174"/>
      <c r="J2530" s="1174"/>
      <c r="K2530" s="1174"/>
      <c r="L2530" s="1172"/>
      <c r="M2530" s="1172"/>
      <c r="N2530" s="1175"/>
      <c r="O2530" s="143"/>
      <c r="P2530" s="1196"/>
      <c r="Q2530" s="141"/>
      <c r="R2530" s="141"/>
      <c r="S2530" s="148"/>
      <c r="T2530" s="419"/>
      <c r="U2530" s="559"/>
      <c r="V2530" s="141"/>
      <c r="W2530" s="141"/>
      <c r="X2530" s="141"/>
      <c r="Y2530" s="144"/>
      <c r="Z2530" s="141"/>
      <c r="AA2530" s="141"/>
      <c r="AB2530" s="141"/>
      <c r="AC2530" s="141"/>
      <c r="AD2530" s="141"/>
      <c r="AE2530" s="141"/>
      <c r="AF2530" s="145"/>
      <c r="AG2530" s="419"/>
    </row>
    <row r="2531" spans="1:33" s="139" customFormat="1" ht="12.75" customHeight="1" x14ac:dyDescent="0.2">
      <c r="A2531" s="141"/>
      <c r="B2531" s="141"/>
      <c r="C2531" s="141"/>
      <c r="D2531" s="141"/>
      <c r="E2531" s="1014"/>
      <c r="F2531" s="1014"/>
      <c r="G2531" s="1027"/>
      <c r="H2531" s="1027"/>
      <c r="I2531" s="1174"/>
      <c r="J2531" s="1174"/>
      <c r="K2531" s="1174"/>
      <c r="L2531" s="1172"/>
      <c r="M2531" s="1172"/>
      <c r="N2531" s="1175"/>
      <c r="O2531" s="143"/>
      <c r="P2531" s="1196"/>
      <c r="Q2531" s="141"/>
      <c r="R2531" s="141"/>
      <c r="S2531" s="148"/>
      <c r="T2531" s="419"/>
      <c r="U2531" s="559"/>
      <c r="V2531" s="141"/>
      <c r="W2531" s="141"/>
      <c r="X2531" s="141"/>
      <c r="Y2531" s="144"/>
      <c r="Z2531" s="141"/>
      <c r="AA2531" s="141"/>
      <c r="AB2531" s="141"/>
      <c r="AC2531" s="141"/>
      <c r="AD2531" s="141"/>
      <c r="AE2531" s="141"/>
      <c r="AF2531" s="145"/>
      <c r="AG2531" s="419"/>
    </row>
    <row r="2532" spans="1:33" s="139" customFormat="1" ht="12.75" customHeight="1" x14ac:dyDescent="0.2">
      <c r="A2532" s="141"/>
      <c r="B2532" s="141"/>
      <c r="C2532" s="141"/>
      <c r="D2532" s="141"/>
      <c r="E2532" s="1014"/>
      <c r="F2532" s="1014"/>
      <c r="G2532" s="1027"/>
      <c r="H2532" s="1027"/>
      <c r="I2532" s="1174"/>
      <c r="J2532" s="1174"/>
      <c r="K2532" s="1174"/>
      <c r="L2532" s="1172"/>
      <c r="M2532" s="1172"/>
      <c r="N2532" s="1175"/>
      <c r="O2532" s="143"/>
      <c r="P2532" s="1196"/>
      <c r="Q2532" s="141"/>
      <c r="R2532" s="141"/>
      <c r="S2532" s="148"/>
      <c r="T2532" s="419"/>
      <c r="U2532" s="559"/>
      <c r="V2532" s="141"/>
      <c r="W2532" s="141"/>
      <c r="X2532" s="141"/>
      <c r="Y2532" s="144"/>
      <c r="Z2532" s="141"/>
      <c r="AA2532" s="141"/>
      <c r="AB2532" s="141"/>
      <c r="AC2532" s="141"/>
      <c r="AD2532" s="141"/>
      <c r="AE2532" s="141"/>
      <c r="AF2532" s="145"/>
      <c r="AG2532" s="419"/>
    </row>
    <row r="2533" spans="1:33" s="139" customFormat="1" ht="12.75" customHeight="1" x14ac:dyDescent="0.2">
      <c r="A2533" s="141"/>
      <c r="B2533" s="141"/>
      <c r="C2533" s="141"/>
      <c r="D2533" s="141"/>
      <c r="E2533" s="1014"/>
      <c r="F2533" s="1014"/>
      <c r="G2533" s="1027"/>
      <c r="H2533" s="1027"/>
      <c r="I2533" s="1174"/>
      <c r="J2533" s="1174"/>
      <c r="K2533" s="1174"/>
      <c r="L2533" s="1172"/>
      <c r="M2533" s="1172"/>
      <c r="N2533" s="1175"/>
      <c r="O2533" s="143"/>
      <c r="P2533" s="1196"/>
      <c r="Q2533" s="141"/>
      <c r="R2533" s="141"/>
      <c r="S2533" s="148"/>
      <c r="T2533" s="419"/>
      <c r="U2533" s="559"/>
      <c r="V2533" s="141"/>
      <c r="W2533" s="141"/>
      <c r="X2533" s="141"/>
      <c r="Y2533" s="144"/>
      <c r="Z2533" s="141"/>
      <c r="AA2533" s="141"/>
      <c r="AB2533" s="141"/>
      <c r="AC2533" s="141"/>
      <c r="AD2533" s="141"/>
      <c r="AE2533" s="141"/>
      <c r="AF2533" s="145"/>
      <c r="AG2533" s="419"/>
    </row>
    <row r="2534" spans="1:33" s="139" customFormat="1" ht="12.75" customHeight="1" x14ac:dyDescent="0.2">
      <c r="A2534" s="141"/>
      <c r="B2534" s="141"/>
      <c r="C2534" s="141"/>
      <c r="D2534" s="141"/>
      <c r="E2534" s="1014"/>
      <c r="F2534" s="1014"/>
      <c r="G2534" s="1027"/>
      <c r="H2534" s="1027"/>
      <c r="I2534" s="1174"/>
      <c r="J2534" s="1174"/>
      <c r="K2534" s="1174"/>
      <c r="L2534" s="1172"/>
      <c r="M2534" s="1172"/>
      <c r="N2534" s="1175"/>
      <c r="O2534" s="143"/>
      <c r="P2534" s="1196"/>
      <c r="Q2534" s="141"/>
      <c r="R2534" s="141"/>
      <c r="S2534" s="148"/>
      <c r="T2534" s="419"/>
      <c r="U2534" s="559"/>
      <c r="V2534" s="141"/>
      <c r="W2534" s="141"/>
      <c r="X2534" s="141"/>
      <c r="Y2534" s="144"/>
      <c r="Z2534" s="141"/>
      <c r="AA2534" s="141"/>
      <c r="AB2534" s="141"/>
      <c r="AC2534" s="141"/>
      <c r="AD2534" s="141"/>
      <c r="AE2534" s="141"/>
      <c r="AF2534" s="145"/>
      <c r="AG2534" s="419"/>
    </row>
    <row r="2535" spans="1:33" s="139" customFormat="1" ht="12.75" customHeight="1" x14ac:dyDescent="0.2">
      <c r="A2535" s="141"/>
      <c r="B2535" s="141"/>
      <c r="C2535" s="141"/>
      <c r="D2535" s="141"/>
      <c r="E2535" s="1014"/>
      <c r="F2535" s="1014"/>
      <c r="G2535" s="1027"/>
      <c r="H2535" s="1027"/>
      <c r="I2535" s="1174"/>
      <c r="J2535" s="1174"/>
      <c r="K2535" s="1174"/>
      <c r="L2535" s="1172"/>
      <c r="M2535" s="1172"/>
      <c r="N2535" s="1175"/>
      <c r="O2535" s="143"/>
      <c r="P2535" s="1196"/>
      <c r="Q2535" s="141"/>
      <c r="R2535" s="141"/>
      <c r="S2535" s="148"/>
      <c r="T2535" s="419"/>
      <c r="U2535" s="559"/>
      <c r="V2535" s="141"/>
      <c r="W2535" s="141"/>
      <c r="X2535" s="141"/>
      <c r="Y2535" s="144"/>
      <c r="Z2535" s="141"/>
      <c r="AA2535" s="141"/>
      <c r="AB2535" s="141"/>
      <c r="AC2535" s="141"/>
      <c r="AD2535" s="141"/>
      <c r="AE2535" s="141"/>
      <c r="AF2535" s="145"/>
      <c r="AG2535" s="419"/>
    </row>
    <row r="2536" spans="1:33" s="139" customFormat="1" ht="12.75" customHeight="1" x14ac:dyDescent="0.2">
      <c r="A2536" s="141"/>
      <c r="B2536" s="141"/>
      <c r="C2536" s="141"/>
      <c r="D2536" s="141"/>
      <c r="E2536" s="1014"/>
      <c r="F2536" s="1014"/>
      <c r="G2536" s="1027"/>
      <c r="H2536" s="1027"/>
      <c r="I2536" s="1174"/>
      <c r="J2536" s="1174"/>
      <c r="K2536" s="1174"/>
      <c r="L2536" s="1172"/>
      <c r="M2536" s="1172"/>
      <c r="N2536" s="1175"/>
      <c r="O2536" s="143"/>
      <c r="P2536" s="1196"/>
      <c r="Q2536" s="141"/>
      <c r="R2536" s="141"/>
      <c r="S2536" s="148"/>
      <c r="T2536" s="419"/>
      <c r="U2536" s="559"/>
      <c r="V2536" s="141"/>
      <c r="W2536" s="141"/>
      <c r="X2536" s="141"/>
      <c r="Y2536" s="144"/>
      <c r="Z2536" s="141"/>
      <c r="AA2536" s="141"/>
      <c r="AB2536" s="141"/>
      <c r="AC2536" s="141"/>
      <c r="AD2536" s="141"/>
      <c r="AE2536" s="141"/>
      <c r="AF2536" s="145"/>
      <c r="AG2536" s="419"/>
    </row>
    <row r="2537" spans="1:33" s="139" customFormat="1" ht="12.75" customHeight="1" x14ac:dyDescent="0.2">
      <c r="A2537" s="141"/>
      <c r="B2537" s="141"/>
      <c r="C2537" s="141"/>
      <c r="D2537" s="141"/>
      <c r="E2537" s="1014"/>
      <c r="F2537" s="1014"/>
      <c r="G2537" s="1027"/>
      <c r="H2537" s="1027"/>
      <c r="I2537" s="1174"/>
      <c r="J2537" s="1174"/>
      <c r="K2537" s="1174"/>
      <c r="L2537" s="1172"/>
      <c r="M2537" s="1172"/>
      <c r="N2537" s="1175"/>
      <c r="O2537" s="143"/>
      <c r="P2537" s="1196"/>
      <c r="Q2537" s="141"/>
      <c r="R2537" s="141"/>
      <c r="S2537" s="148"/>
      <c r="T2537" s="419"/>
      <c r="U2537" s="559"/>
      <c r="V2537" s="141"/>
      <c r="W2537" s="141"/>
      <c r="X2537" s="141"/>
      <c r="Y2537" s="144"/>
      <c r="Z2537" s="141"/>
      <c r="AA2537" s="141"/>
      <c r="AB2537" s="141"/>
      <c r="AC2537" s="141"/>
      <c r="AD2537" s="141"/>
      <c r="AE2537" s="141"/>
      <c r="AF2537" s="145"/>
      <c r="AG2537" s="419"/>
    </row>
    <row r="2538" spans="1:33" s="139" customFormat="1" ht="12.75" customHeight="1" x14ac:dyDescent="0.2">
      <c r="A2538" s="141"/>
      <c r="B2538" s="141"/>
      <c r="C2538" s="141"/>
      <c r="D2538" s="141"/>
      <c r="E2538" s="1014"/>
      <c r="F2538" s="1014"/>
      <c r="G2538" s="1027"/>
      <c r="H2538" s="1027"/>
      <c r="I2538" s="1174"/>
      <c r="J2538" s="1174"/>
      <c r="K2538" s="1174"/>
      <c r="L2538" s="1172"/>
      <c r="M2538" s="1172"/>
      <c r="N2538" s="1175"/>
      <c r="O2538" s="143"/>
      <c r="P2538" s="1196"/>
      <c r="Q2538" s="141"/>
      <c r="R2538" s="141"/>
      <c r="S2538" s="148"/>
      <c r="T2538" s="419"/>
      <c r="U2538" s="559"/>
      <c r="V2538" s="141"/>
      <c r="W2538" s="141"/>
      <c r="X2538" s="141"/>
      <c r="Y2538" s="144"/>
      <c r="Z2538" s="141"/>
      <c r="AA2538" s="141"/>
      <c r="AB2538" s="141"/>
      <c r="AC2538" s="141"/>
      <c r="AD2538" s="141"/>
      <c r="AE2538" s="141"/>
      <c r="AF2538" s="145"/>
      <c r="AG2538" s="419"/>
    </row>
    <row r="2539" spans="1:33" s="139" customFormat="1" ht="12.75" customHeight="1" x14ac:dyDescent="0.2">
      <c r="A2539" s="141"/>
      <c r="B2539" s="141"/>
      <c r="C2539" s="141"/>
      <c r="D2539" s="141"/>
      <c r="E2539" s="1014"/>
      <c r="F2539" s="1014"/>
      <c r="G2539" s="1027"/>
      <c r="H2539" s="1027"/>
      <c r="I2539" s="1174"/>
      <c r="J2539" s="1174"/>
      <c r="K2539" s="1174"/>
      <c r="L2539" s="1172"/>
      <c r="M2539" s="1172"/>
      <c r="N2539" s="1175"/>
      <c r="O2539" s="143"/>
      <c r="P2539" s="1196"/>
      <c r="Q2539" s="141"/>
      <c r="R2539" s="141"/>
      <c r="S2539" s="148"/>
      <c r="T2539" s="419"/>
      <c r="U2539" s="559"/>
      <c r="V2539" s="141"/>
      <c r="W2539" s="141"/>
      <c r="X2539" s="141"/>
      <c r="Y2539" s="144"/>
      <c r="Z2539" s="141"/>
      <c r="AA2539" s="141"/>
      <c r="AB2539" s="141"/>
      <c r="AC2539" s="141"/>
      <c r="AD2539" s="141"/>
      <c r="AE2539" s="141"/>
      <c r="AF2539" s="145"/>
      <c r="AG2539" s="419"/>
    </row>
    <row r="2540" spans="1:33" s="139" customFormat="1" ht="12.75" customHeight="1" x14ac:dyDescent="0.2">
      <c r="A2540" s="141"/>
      <c r="B2540" s="141"/>
      <c r="C2540" s="141"/>
      <c r="D2540" s="141"/>
      <c r="E2540" s="1014"/>
      <c r="F2540" s="1014"/>
      <c r="G2540" s="1027"/>
      <c r="H2540" s="1027"/>
      <c r="I2540" s="1174"/>
      <c r="J2540" s="1174"/>
      <c r="K2540" s="1174"/>
      <c r="L2540" s="1172"/>
      <c r="M2540" s="1172"/>
      <c r="N2540" s="1175"/>
      <c r="O2540" s="143"/>
      <c r="P2540" s="1196"/>
      <c r="Q2540" s="141"/>
      <c r="R2540" s="141"/>
      <c r="S2540" s="148"/>
      <c r="T2540" s="419"/>
      <c r="U2540" s="559"/>
      <c r="V2540" s="141"/>
      <c r="W2540" s="141"/>
      <c r="X2540" s="141"/>
      <c r="Y2540" s="144"/>
      <c r="Z2540" s="141"/>
      <c r="AA2540" s="141"/>
      <c r="AB2540" s="141"/>
      <c r="AC2540" s="141"/>
      <c r="AD2540" s="141"/>
      <c r="AE2540" s="141"/>
      <c r="AF2540" s="145"/>
      <c r="AG2540" s="419"/>
    </row>
    <row r="2541" spans="1:33" s="139" customFormat="1" ht="12.75" customHeight="1" x14ac:dyDescent="0.2">
      <c r="A2541" s="141"/>
      <c r="B2541" s="141"/>
      <c r="C2541" s="141"/>
      <c r="D2541" s="141"/>
      <c r="E2541" s="1014"/>
      <c r="F2541" s="1014"/>
      <c r="G2541" s="1027"/>
      <c r="H2541" s="1027"/>
      <c r="I2541" s="1174"/>
      <c r="J2541" s="1174"/>
      <c r="K2541" s="1174"/>
      <c r="L2541" s="1172"/>
      <c r="M2541" s="1172"/>
      <c r="N2541" s="1175"/>
      <c r="O2541" s="143"/>
      <c r="P2541" s="1196"/>
      <c r="Q2541" s="141"/>
      <c r="R2541" s="141"/>
      <c r="S2541" s="148"/>
      <c r="T2541" s="419"/>
      <c r="U2541" s="559"/>
      <c r="V2541" s="141"/>
      <c r="W2541" s="141"/>
      <c r="X2541" s="141"/>
      <c r="Y2541" s="144"/>
      <c r="Z2541" s="141"/>
      <c r="AA2541" s="141"/>
      <c r="AB2541" s="141"/>
      <c r="AC2541" s="141"/>
      <c r="AD2541" s="141"/>
      <c r="AE2541" s="141"/>
      <c r="AF2541" s="145"/>
      <c r="AG2541" s="419"/>
    </row>
    <row r="2542" spans="1:33" s="139" customFormat="1" ht="12.75" customHeight="1" x14ac:dyDescent="0.2">
      <c r="A2542" s="141"/>
      <c r="B2542" s="141"/>
      <c r="C2542" s="141"/>
      <c r="D2542" s="141"/>
      <c r="E2542" s="1014"/>
      <c r="F2542" s="1014"/>
      <c r="G2542" s="1027"/>
      <c r="H2542" s="1027"/>
      <c r="I2542" s="1174"/>
      <c r="J2542" s="1174"/>
      <c r="K2542" s="1174"/>
      <c r="L2542" s="1172"/>
      <c r="M2542" s="1172"/>
      <c r="N2542" s="1175"/>
      <c r="O2542" s="143"/>
      <c r="P2542" s="1196"/>
      <c r="Q2542" s="141"/>
      <c r="R2542" s="141"/>
      <c r="S2542" s="148"/>
      <c r="T2542" s="419"/>
      <c r="U2542" s="559"/>
      <c r="V2542" s="141"/>
      <c r="W2542" s="141"/>
      <c r="X2542" s="141"/>
      <c r="Y2542" s="144"/>
      <c r="Z2542" s="141"/>
      <c r="AA2542" s="141"/>
      <c r="AB2542" s="141"/>
      <c r="AC2542" s="141"/>
      <c r="AD2542" s="141"/>
      <c r="AE2542" s="141"/>
      <c r="AF2542" s="145"/>
      <c r="AG2542" s="419"/>
    </row>
    <row r="2543" spans="1:33" s="139" customFormat="1" ht="12.75" customHeight="1" x14ac:dyDescent="0.2">
      <c r="A2543" s="141"/>
      <c r="B2543" s="141"/>
      <c r="C2543" s="141"/>
      <c r="D2543" s="141"/>
      <c r="E2543" s="1014"/>
      <c r="F2543" s="1014"/>
      <c r="G2543" s="1027"/>
      <c r="H2543" s="1027"/>
      <c r="I2543" s="1174"/>
      <c r="J2543" s="1174"/>
      <c r="K2543" s="1174"/>
      <c r="L2543" s="1172"/>
      <c r="M2543" s="1172"/>
      <c r="N2543" s="1175"/>
      <c r="O2543" s="143"/>
      <c r="P2543" s="1196"/>
      <c r="Q2543" s="141"/>
      <c r="R2543" s="141"/>
      <c r="S2543" s="148"/>
      <c r="T2543" s="419"/>
      <c r="U2543" s="559"/>
      <c r="V2543" s="141"/>
      <c r="W2543" s="141"/>
      <c r="X2543" s="141"/>
      <c r="Y2543" s="144"/>
      <c r="Z2543" s="141"/>
      <c r="AA2543" s="141"/>
      <c r="AB2543" s="141"/>
      <c r="AC2543" s="141"/>
      <c r="AD2543" s="141"/>
      <c r="AE2543" s="141"/>
      <c r="AF2543" s="145"/>
      <c r="AG2543" s="419"/>
    </row>
    <row r="2544" spans="1:33" s="139" customFormat="1" ht="12.75" customHeight="1" x14ac:dyDescent="0.2">
      <c r="A2544" s="141"/>
      <c r="B2544" s="141"/>
      <c r="C2544" s="141"/>
      <c r="D2544" s="141"/>
      <c r="E2544" s="1014"/>
      <c r="F2544" s="1014"/>
      <c r="G2544" s="1027"/>
      <c r="H2544" s="1027"/>
      <c r="I2544" s="1174"/>
      <c r="J2544" s="1174"/>
      <c r="K2544" s="1174"/>
      <c r="L2544" s="1172"/>
      <c r="M2544" s="1172"/>
      <c r="N2544" s="1175"/>
      <c r="O2544" s="143"/>
      <c r="P2544" s="1196"/>
      <c r="Q2544" s="141"/>
      <c r="R2544" s="141"/>
      <c r="S2544" s="148"/>
      <c r="T2544" s="419"/>
      <c r="U2544" s="559"/>
      <c r="V2544" s="141"/>
      <c r="W2544" s="141"/>
      <c r="X2544" s="141"/>
      <c r="Y2544" s="144"/>
      <c r="Z2544" s="141"/>
      <c r="AA2544" s="141"/>
      <c r="AB2544" s="141"/>
      <c r="AC2544" s="141"/>
      <c r="AD2544" s="141"/>
      <c r="AE2544" s="141"/>
      <c r="AF2544" s="145"/>
      <c r="AG2544" s="419"/>
    </row>
    <row r="2545" spans="1:33" s="139" customFormat="1" ht="12.75" customHeight="1" x14ac:dyDescent="0.2">
      <c r="A2545" s="141"/>
      <c r="B2545" s="141"/>
      <c r="C2545" s="141"/>
      <c r="D2545" s="141"/>
      <c r="E2545" s="1014"/>
      <c r="F2545" s="1014"/>
      <c r="G2545" s="1027"/>
      <c r="H2545" s="1027"/>
      <c r="I2545" s="1174"/>
      <c r="J2545" s="1174"/>
      <c r="K2545" s="1174"/>
      <c r="L2545" s="1172"/>
      <c r="M2545" s="1172"/>
      <c r="N2545" s="1175"/>
      <c r="O2545" s="143"/>
      <c r="P2545" s="1196"/>
      <c r="Q2545" s="141"/>
      <c r="R2545" s="141"/>
      <c r="S2545" s="148"/>
      <c r="T2545" s="419"/>
      <c r="U2545" s="559"/>
      <c r="V2545" s="141"/>
      <c r="W2545" s="141"/>
      <c r="X2545" s="141"/>
      <c r="Y2545" s="144"/>
      <c r="Z2545" s="141"/>
      <c r="AA2545" s="141"/>
      <c r="AB2545" s="141"/>
      <c r="AC2545" s="141"/>
      <c r="AD2545" s="141"/>
      <c r="AE2545" s="141"/>
      <c r="AF2545" s="145"/>
      <c r="AG2545" s="419"/>
    </row>
    <row r="2546" spans="1:33" s="139" customFormat="1" ht="12.75" customHeight="1" x14ac:dyDescent="0.2">
      <c r="A2546" s="141"/>
      <c r="B2546" s="141"/>
      <c r="C2546" s="141"/>
      <c r="D2546" s="141"/>
      <c r="E2546" s="1014"/>
      <c r="F2546" s="1014"/>
      <c r="G2546" s="1027"/>
      <c r="H2546" s="1027"/>
      <c r="I2546" s="1174"/>
      <c r="J2546" s="1174"/>
      <c r="K2546" s="1174"/>
      <c r="L2546" s="1172"/>
      <c r="M2546" s="1172"/>
      <c r="N2546" s="1175"/>
      <c r="O2546" s="143"/>
      <c r="P2546" s="1196"/>
      <c r="Q2546" s="141"/>
      <c r="R2546" s="141"/>
      <c r="S2546" s="148"/>
      <c r="T2546" s="419"/>
      <c r="U2546" s="559"/>
      <c r="V2546" s="141"/>
      <c r="W2546" s="141"/>
      <c r="X2546" s="141"/>
      <c r="Y2546" s="144"/>
      <c r="Z2546" s="141"/>
      <c r="AA2546" s="141"/>
      <c r="AB2546" s="141"/>
      <c r="AC2546" s="141"/>
      <c r="AD2546" s="141"/>
      <c r="AE2546" s="141"/>
      <c r="AF2546" s="145"/>
      <c r="AG2546" s="419"/>
    </row>
    <row r="2547" spans="1:33" s="139" customFormat="1" ht="12.75" customHeight="1" x14ac:dyDescent="0.2">
      <c r="A2547" s="141"/>
      <c r="B2547" s="141"/>
      <c r="C2547" s="141"/>
      <c r="D2547" s="141"/>
      <c r="E2547" s="1014"/>
      <c r="F2547" s="1014"/>
      <c r="G2547" s="1027"/>
      <c r="H2547" s="1027"/>
      <c r="I2547" s="1174"/>
      <c r="J2547" s="1174"/>
      <c r="K2547" s="1174"/>
      <c r="L2547" s="1172"/>
      <c r="M2547" s="1172"/>
      <c r="N2547" s="1175"/>
      <c r="O2547" s="143"/>
      <c r="P2547" s="1196"/>
      <c r="Q2547" s="141"/>
      <c r="R2547" s="141"/>
      <c r="S2547" s="148"/>
      <c r="T2547" s="419"/>
      <c r="U2547" s="559"/>
      <c r="V2547" s="141"/>
      <c r="W2547" s="141"/>
      <c r="X2547" s="141"/>
      <c r="Y2547" s="144"/>
      <c r="Z2547" s="141"/>
      <c r="AA2547" s="141"/>
      <c r="AB2547" s="141"/>
      <c r="AC2547" s="141"/>
      <c r="AD2547" s="141"/>
      <c r="AE2547" s="141"/>
      <c r="AF2547" s="145"/>
      <c r="AG2547" s="419"/>
    </row>
    <row r="2548" spans="1:33" s="139" customFormat="1" ht="12.75" customHeight="1" x14ac:dyDescent="0.2">
      <c r="A2548" s="141"/>
      <c r="B2548" s="141"/>
      <c r="C2548" s="141"/>
      <c r="D2548" s="141"/>
      <c r="E2548" s="1014"/>
      <c r="F2548" s="1014"/>
      <c r="G2548" s="1027"/>
      <c r="H2548" s="1027"/>
      <c r="I2548" s="1174"/>
      <c r="J2548" s="1174"/>
      <c r="K2548" s="1174"/>
      <c r="L2548" s="1172"/>
      <c r="M2548" s="1172"/>
      <c r="N2548" s="1175"/>
      <c r="O2548" s="143"/>
      <c r="P2548" s="1196"/>
      <c r="Q2548" s="141"/>
      <c r="R2548" s="141"/>
      <c r="S2548" s="148"/>
      <c r="T2548" s="419"/>
      <c r="U2548" s="559"/>
      <c r="V2548" s="141"/>
      <c r="W2548" s="141"/>
      <c r="X2548" s="141"/>
      <c r="Y2548" s="144"/>
      <c r="Z2548" s="141"/>
      <c r="AA2548" s="141"/>
      <c r="AB2548" s="141"/>
      <c r="AC2548" s="141"/>
      <c r="AD2548" s="141"/>
      <c r="AE2548" s="141"/>
      <c r="AF2548" s="145"/>
      <c r="AG2548" s="419"/>
    </row>
    <row r="2549" spans="1:33" s="139" customFormat="1" ht="12.75" customHeight="1" x14ac:dyDescent="0.2">
      <c r="A2549" s="141"/>
      <c r="B2549" s="141"/>
      <c r="C2549" s="141"/>
      <c r="D2549" s="141"/>
      <c r="E2549" s="1014"/>
      <c r="F2549" s="1014"/>
      <c r="G2549" s="1027"/>
      <c r="H2549" s="1027"/>
      <c r="I2549" s="1174"/>
      <c r="J2549" s="1174"/>
      <c r="K2549" s="1174"/>
      <c r="L2549" s="1172"/>
      <c r="M2549" s="1172"/>
      <c r="N2549" s="1175"/>
      <c r="O2549" s="143"/>
      <c r="P2549" s="1196"/>
      <c r="Q2549" s="141"/>
      <c r="R2549" s="141"/>
      <c r="S2549" s="148"/>
      <c r="T2549" s="419"/>
      <c r="U2549" s="559"/>
      <c r="V2549" s="141"/>
      <c r="W2549" s="141"/>
      <c r="X2549" s="141"/>
      <c r="Y2549" s="144"/>
      <c r="Z2549" s="141"/>
      <c r="AA2549" s="141"/>
      <c r="AB2549" s="141"/>
      <c r="AC2549" s="141"/>
      <c r="AD2549" s="141"/>
      <c r="AE2549" s="141"/>
      <c r="AF2549" s="145"/>
      <c r="AG2549" s="419"/>
    </row>
    <row r="2550" spans="1:33" s="139" customFormat="1" ht="12.75" customHeight="1" x14ac:dyDescent="0.2">
      <c r="A2550" s="141"/>
      <c r="B2550" s="141"/>
      <c r="C2550" s="141"/>
      <c r="D2550" s="141"/>
      <c r="E2550" s="1014"/>
      <c r="F2550" s="1014"/>
      <c r="G2550" s="1027"/>
      <c r="H2550" s="1027"/>
      <c r="I2550" s="1174"/>
      <c r="J2550" s="1174"/>
      <c r="K2550" s="1174"/>
      <c r="L2550" s="1172"/>
      <c r="M2550" s="1172"/>
      <c r="N2550" s="1175"/>
      <c r="O2550" s="143"/>
      <c r="P2550" s="1196"/>
      <c r="Q2550" s="141"/>
      <c r="R2550" s="141"/>
      <c r="S2550" s="148"/>
      <c r="T2550" s="419"/>
      <c r="U2550" s="559"/>
      <c r="V2550" s="141"/>
      <c r="W2550" s="141"/>
      <c r="X2550" s="141"/>
      <c r="Y2550" s="144"/>
      <c r="Z2550" s="141"/>
      <c r="AA2550" s="141"/>
      <c r="AB2550" s="141"/>
      <c r="AC2550" s="141"/>
      <c r="AD2550" s="141"/>
      <c r="AE2550" s="141"/>
      <c r="AF2550" s="145"/>
      <c r="AG2550" s="419"/>
    </row>
    <row r="2551" spans="1:33" s="139" customFormat="1" ht="12.75" customHeight="1" x14ac:dyDescent="0.2">
      <c r="A2551" s="141"/>
      <c r="B2551" s="141"/>
      <c r="C2551" s="141"/>
      <c r="D2551" s="141"/>
      <c r="E2551" s="1014"/>
      <c r="F2551" s="1014"/>
      <c r="G2551" s="1027"/>
      <c r="H2551" s="1027"/>
      <c r="I2551" s="1174"/>
      <c r="J2551" s="1174"/>
      <c r="K2551" s="1174"/>
      <c r="L2551" s="1172"/>
      <c r="M2551" s="1172"/>
      <c r="N2551" s="1175"/>
      <c r="O2551" s="143"/>
      <c r="P2551" s="1196"/>
      <c r="Q2551" s="141"/>
      <c r="R2551" s="141"/>
      <c r="S2551" s="148"/>
      <c r="T2551" s="419"/>
      <c r="U2551" s="559"/>
      <c r="V2551" s="141"/>
      <c r="W2551" s="141"/>
      <c r="X2551" s="141"/>
      <c r="Y2551" s="144"/>
      <c r="Z2551" s="141"/>
      <c r="AA2551" s="141"/>
      <c r="AB2551" s="141"/>
      <c r="AC2551" s="141"/>
      <c r="AD2551" s="141"/>
      <c r="AE2551" s="141"/>
      <c r="AF2551" s="145"/>
      <c r="AG2551" s="419"/>
    </row>
    <row r="2552" spans="1:33" s="139" customFormat="1" ht="12.75" customHeight="1" x14ac:dyDescent="0.2">
      <c r="A2552" s="141"/>
      <c r="B2552" s="141"/>
      <c r="C2552" s="141"/>
      <c r="D2552" s="141"/>
      <c r="E2552" s="1014"/>
      <c r="F2552" s="1014"/>
      <c r="G2552" s="1027"/>
      <c r="H2552" s="1027"/>
      <c r="I2552" s="1174"/>
      <c r="J2552" s="1174"/>
      <c r="K2552" s="1174"/>
      <c r="L2552" s="1172"/>
      <c r="M2552" s="1172"/>
      <c r="N2552" s="1175"/>
      <c r="O2552" s="143"/>
      <c r="P2552" s="1196"/>
      <c r="Q2552" s="141"/>
      <c r="R2552" s="141"/>
      <c r="S2552" s="148"/>
      <c r="T2552" s="419"/>
      <c r="U2552" s="559"/>
      <c r="V2552" s="141"/>
      <c r="W2552" s="141"/>
      <c r="X2552" s="141"/>
      <c r="Y2552" s="144"/>
      <c r="Z2552" s="141"/>
      <c r="AA2552" s="141"/>
      <c r="AB2552" s="141"/>
      <c r="AC2552" s="141"/>
      <c r="AD2552" s="141"/>
      <c r="AE2552" s="141"/>
      <c r="AF2552" s="145"/>
      <c r="AG2552" s="419"/>
    </row>
    <row r="2553" spans="1:33" s="139" customFormat="1" ht="12.75" customHeight="1" x14ac:dyDescent="0.2">
      <c r="A2553" s="141"/>
      <c r="B2553" s="141"/>
      <c r="C2553" s="141"/>
      <c r="D2553" s="141"/>
      <c r="E2553" s="1014"/>
      <c r="F2553" s="1014"/>
      <c r="G2553" s="1027"/>
      <c r="H2553" s="1027"/>
      <c r="I2553" s="1174"/>
      <c r="J2553" s="1174"/>
      <c r="K2553" s="1174"/>
      <c r="L2553" s="1172"/>
      <c r="M2553" s="1172"/>
      <c r="N2553" s="1175"/>
      <c r="O2553" s="143"/>
      <c r="P2553" s="1196"/>
      <c r="Q2553" s="141"/>
      <c r="R2553" s="141"/>
      <c r="S2553" s="148"/>
      <c r="T2553" s="419"/>
      <c r="U2553" s="559"/>
      <c r="V2553" s="141"/>
      <c r="W2553" s="141"/>
      <c r="X2553" s="141"/>
      <c r="Y2553" s="144"/>
      <c r="Z2553" s="141"/>
      <c r="AA2553" s="141"/>
      <c r="AB2553" s="141"/>
      <c r="AC2553" s="141"/>
      <c r="AD2553" s="141"/>
      <c r="AE2553" s="141"/>
      <c r="AF2553" s="145"/>
      <c r="AG2553" s="419"/>
    </row>
    <row r="2554" spans="1:33" s="139" customFormat="1" ht="12.75" customHeight="1" x14ac:dyDescent="0.2">
      <c r="A2554" s="141"/>
      <c r="B2554" s="141"/>
      <c r="C2554" s="141"/>
      <c r="D2554" s="141"/>
      <c r="E2554" s="1014"/>
      <c r="F2554" s="1014"/>
      <c r="G2554" s="1027"/>
      <c r="H2554" s="1027"/>
      <c r="I2554" s="1174"/>
      <c r="J2554" s="1174"/>
      <c r="K2554" s="1174"/>
      <c r="L2554" s="1172"/>
      <c r="M2554" s="1172"/>
      <c r="N2554" s="1175"/>
      <c r="O2554" s="143"/>
      <c r="P2554" s="1196"/>
      <c r="Q2554" s="141"/>
      <c r="R2554" s="141"/>
      <c r="S2554" s="148"/>
      <c r="T2554" s="419"/>
      <c r="U2554" s="559"/>
      <c r="V2554" s="141"/>
      <c r="W2554" s="141"/>
      <c r="X2554" s="141"/>
      <c r="Y2554" s="144"/>
      <c r="Z2554" s="141"/>
      <c r="AA2554" s="141"/>
      <c r="AB2554" s="141"/>
      <c r="AC2554" s="141"/>
      <c r="AD2554" s="141"/>
      <c r="AE2554" s="141"/>
      <c r="AF2554" s="145"/>
      <c r="AG2554" s="419"/>
    </row>
    <row r="2555" spans="1:33" s="139" customFormat="1" ht="12.75" customHeight="1" x14ac:dyDescent="0.2">
      <c r="A2555" s="141"/>
      <c r="B2555" s="141"/>
      <c r="C2555" s="141"/>
      <c r="D2555" s="141"/>
      <c r="E2555" s="1014"/>
      <c r="F2555" s="1014"/>
      <c r="G2555" s="1027"/>
      <c r="H2555" s="1027"/>
      <c r="I2555" s="1174"/>
      <c r="J2555" s="1174"/>
      <c r="K2555" s="1174"/>
      <c r="L2555" s="1172"/>
      <c r="M2555" s="1172"/>
      <c r="N2555" s="1175"/>
      <c r="O2555" s="143"/>
      <c r="P2555" s="1196"/>
      <c r="Q2555" s="141"/>
      <c r="R2555" s="141"/>
      <c r="S2555" s="148"/>
      <c r="T2555" s="419"/>
      <c r="U2555" s="559"/>
      <c r="V2555" s="141"/>
      <c r="W2555" s="141"/>
      <c r="X2555" s="141"/>
      <c r="Y2555" s="144"/>
      <c r="Z2555" s="141"/>
      <c r="AA2555" s="141"/>
      <c r="AB2555" s="141"/>
      <c r="AC2555" s="141"/>
      <c r="AD2555" s="141"/>
      <c r="AE2555" s="141"/>
      <c r="AF2555" s="145"/>
      <c r="AG2555" s="419"/>
    </row>
    <row r="2556" spans="1:33" s="139" customFormat="1" ht="12.75" customHeight="1" x14ac:dyDescent="0.2">
      <c r="A2556" s="141"/>
      <c r="B2556" s="141"/>
      <c r="C2556" s="141"/>
      <c r="D2556" s="141"/>
      <c r="E2556" s="1014"/>
      <c r="F2556" s="1014"/>
      <c r="G2556" s="1027"/>
      <c r="H2556" s="1027"/>
      <c r="I2556" s="1174"/>
      <c r="J2556" s="1174"/>
      <c r="K2556" s="1174"/>
      <c r="L2556" s="1172"/>
      <c r="M2556" s="1172"/>
      <c r="N2556" s="1175"/>
      <c r="O2556" s="143"/>
      <c r="P2556" s="1196"/>
      <c r="Q2556" s="141"/>
      <c r="R2556" s="141"/>
      <c r="S2556" s="148"/>
      <c r="T2556" s="419"/>
      <c r="U2556" s="559"/>
      <c r="V2556" s="141"/>
      <c r="W2556" s="141"/>
      <c r="X2556" s="141"/>
      <c r="Y2556" s="144"/>
      <c r="Z2556" s="141"/>
      <c r="AA2556" s="141"/>
      <c r="AB2556" s="141"/>
      <c r="AC2556" s="141"/>
      <c r="AD2556" s="141"/>
      <c r="AE2556" s="141"/>
      <c r="AF2556" s="145"/>
      <c r="AG2556" s="419"/>
    </row>
    <row r="2557" spans="1:33" s="139" customFormat="1" ht="12.75" customHeight="1" x14ac:dyDescent="0.2">
      <c r="A2557" s="141"/>
      <c r="B2557" s="141"/>
      <c r="C2557" s="141"/>
      <c r="D2557" s="141"/>
      <c r="E2557" s="1014"/>
      <c r="F2557" s="1014"/>
      <c r="G2557" s="1027"/>
      <c r="H2557" s="1027"/>
      <c r="I2557" s="1174"/>
      <c r="J2557" s="1174"/>
      <c r="K2557" s="1174"/>
      <c r="L2557" s="1172"/>
      <c r="M2557" s="1172"/>
      <c r="N2557" s="1175"/>
      <c r="O2557" s="143"/>
      <c r="P2557" s="1196"/>
      <c r="Q2557" s="141"/>
      <c r="R2557" s="141"/>
      <c r="S2557" s="148"/>
      <c r="T2557" s="419"/>
      <c r="U2557" s="559"/>
      <c r="V2557" s="141"/>
      <c r="W2557" s="141"/>
      <c r="X2557" s="141"/>
      <c r="Y2557" s="144"/>
      <c r="Z2557" s="141"/>
      <c r="AA2557" s="141"/>
      <c r="AB2557" s="141"/>
      <c r="AC2557" s="141"/>
      <c r="AD2557" s="141"/>
      <c r="AE2557" s="141"/>
      <c r="AF2557" s="145"/>
      <c r="AG2557" s="419"/>
    </row>
    <row r="2558" spans="1:33" s="139" customFormat="1" ht="12.75" customHeight="1" x14ac:dyDescent="0.2">
      <c r="A2558" s="141"/>
      <c r="B2558" s="141"/>
      <c r="C2558" s="141"/>
      <c r="D2558" s="141"/>
      <c r="E2558" s="1014"/>
      <c r="F2558" s="1014"/>
      <c r="G2558" s="1027"/>
      <c r="H2558" s="1027"/>
      <c r="I2558" s="1174"/>
      <c r="J2558" s="1174"/>
      <c r="K2558" s="1174"/>
      <c r="L2558" s="1172"/>
      <c r="M2558" s="1172"/>
      <c r="N2558" s="1175"/>
      <c r="O2558" s="143"/>
      <c r="P2558" s="1196"/>
      <c r="Q2558" s="141"/>
      <c r="R2558" s="141"/>
      <c r="S2558" s="148"/>
      <c r="T2558" s="419"/>
      <c r="U2558" s="559"/>
      <c r="V2558" s="141"/>
      <c r="W2558" s="141"/>
      <c r="X2558" s="141"/>
      <c r="Y2558" s="144"/>
      <c r="Z2558" s="141"/>
      <c r="AA2558" s="141"/>
      <c r="AB2558" s="141"/>
      <c r="AC2558" s="141"/>
      <c r="AD2558" s="141"/>
      <c r="AE2558" s="141"/>
      <c r="AF2558" s="145"/>
      <c r="AG2558" s="419"/>
    </row>
    <row r="2559" spans="1:33" s="139" customFormat="1" ht="12.75" customHeight="1" x14ac:dyDescent="0.2">
      <c r="A2559" s="141"/>
      <c r="B2559" s="141"/>
      <c r="C2559" s="141"/>
      <c r="D2559" s="141"/>
      <c r="E2559" s="1014"/>
      <c r="F2559" s="1014"/>
      <c r="G2559" s="1027"/>
      <c r="H2559" s="1027"/>
      <c r="I2559" s="1174"/>
      <c r="J2559" s="1174"/>
      <c r="K2559" s="1174"/>
      <c r="L2559" s="1172"/>
      <c r="M2559" s="1172"/>
      <c r="N2559" s="1175"/>
      <c r="O2559" s="143"/>
      <c r="P2559" s="1196"/>
      <c r="Q2559" s="141"/>
      <c r="R2559" s="141"/>
      <c r="S2559" s="148"/>
      <c r="T2559" s="419"/>
      <c r="U2559" s="559"/>
      <c r="V2559" s="141"/>
      <c r="W2559" s="141"/>
      <c r="X2559" s="141"/>
      <c r="Y2559" s="144"/>
      <c r="Z2559" s="141"/>
      <c r="AA2559" s="141"/>
      <c r="AB2559" s="141"/>
      <c r="AC2559" s="141"/>
      <c r="AD2559" s="141"/>
      <c r="AE2559" s="141"/>
      <c r="AF2559" s="145"/>
      <c r="AG2559" s="419"/>
    </row>
    <row r="2560" spans="1:33" s="139" customFormat="1" ht="12.75" customHeight="1" x14ac:dyDescent="0.2">
      <c r="A2560" s="141"/>
      <c r="B2560" s="141"/>
      <c r="C2560" s="141"/>
      <c r="D2560" s="141"/>
      <c r="E2560" s="1014"/>
      <c r="F2560" s="1014"/>
      <c r="G2560" s="1027"/>
      <c r="H2560" s="1027"/>
      <c r="I2560" s="1174"/>
      <c r="J2560" s="1174"/>
      <c r="K2560" s="1174"/>
      <c r="L2560" s="1172"/>
      <c r="M2560" s="1172"/>
      <c r="N2560" s="1175"/>
      <c r="O2560" s="143"/>
      <c r="P2560" s="1196"/>
      <c r="Q2560" s="141"/>
      <c r="R2560" s="141"/>
      <c r="S2560" s="148"/>
      <c r="T2560" s="419"/>
      <c r="U2560" s="559"/>
      <c r="V2560" s="141"/>
      <c r="W2560" s="141"/>
      <c r="X2560" s="141"/>
      <c r="Y2560" s="144"/>
      <c r="Z2560" s="141"/>
      <c r="AA2560" s="141"/>
      <c r="AB2560" s="141"/>
      <c r="AC2560" s="141"/>
      <c r="AD2560" s="141"/>
      <c r="AE2560" s="141"/>
      <c r="AF2560" s="145"/>
      <c r="AG2560" s="419"/>
    </row>
    <row r="2561" spans="1:33" s="139" customFormat="1" ht="12.75" customHeight="1" x14ac:dyDescent="0.2">
      <c r="A2561" s="141"/>
      <c r="B2561" s="141"/>
      <c r="C2561" s="141"/>
      <c r="D2561" s="141"/>
      <c r="E2561" s="1014"/>
      <c r="F2561" s="1014"/>
      <c r="G2561" s="1027"/>
      <c r="H2561" s="1027"/>
      <c r="I2561" s="1174"/>
      <c r="J2561" s="1174"/>
      <c r="K2561" s="1174"/>
      <c r="L2561" s="1172"/>
      <c r="M2561" s="1172"/>
      <c r="N2561" s="1175"/>
      <c r="O2561" s="143"/>
      <c r="P2561" s="1196"/>
      <c r="Q2561" s="141"/>
      <c r="R2561" s="141"/>
      <c r="S2561" s="148"/>
      <c r="T2561" s="419"/>
      <c r="U2561" s="559"/>
      <c r="V2561" s="141"/>
      <c r="W2561" s="141"/>
      <c r="X2561" s="141"/>
      <c r="Y2561" s="144"/>
      <c r="Z2561" s="141"/>
      <c r="AA2561" s="141"/>
      <c r="AB2561" s="141"/>
      <c r="AC2561" s="141"/>
      <c r="AD2561" s="141"/>
      <c r="AE2561" s="141"/>
      <c r="AF2561" s="145"/>
      <c r="AG2561" s="419"/>
    </row>
    <row r="2562" spans="1:33" s="139" customFormat="1" ht="12.75" customHeight="1" x14ac:dyDescent="0.2">
      <c r="A2562" s="141"/>
      <c r="B2562" s="141"/>
      <c r="C2562" s="141"/>
      <c r="D2562" s="141"/>
      <c r="E2562" s="1014"/>
      <c r="F2562" s="1014"/>
      <c r="G2562" s="1027"/>
      <c r="H2562" s="1027"/>
      <c r="I2562" s="1174"/>
      <c r="J2562" s="1174"/>
      <c r="K2562" s="1174"/>
      <c r="L2562" s="1172"/>
      <c r="M2562" s="1172"/>
      <c r="N2562" s="1175"/>
      <c r="O2562" s="143"/>
      <c r="P2562" s="1196"/>
      <c r="Q2562" s="141"/>
      <c r="R2562" s="141"/>
      <c r="S2562" s="148"/>
      <c r="T2562" s="419"/>
      <c r="U2562" s="559"/>
      <c r="V2562" s="141"/>
      <c r="W2562" s="141"/>
      <c r="X2562" s="141"/>
      <c r="Y2562" s="144"/>
      <c r="Z2562" s="141"/>
      <c r="AA2562" s="141"/>
      <c r="AB2562" s="141"/>
      <c r="AC2562" s="141"/>
      <c r="AD2562" s="141"/>
      <c r="AE2562" s="141"/>
      <c r="AF2562" s="145"/>
      <c r="AG2562" s="419"/>
    </row>
    <row r="2563" spans="1:33" s="139" customFormat="1" ht="12.75" customHeight="1" x14ac:dyDescent="0.2">
      <c r="A2563" s="141"/>
      <c r="B2563" s="141"/>
      <c r="C2563" s="141"/>
      <c r="D2563" s="141"/>
      <c r="E2563" s="1014"/>
      <c r="F2563" s="1014"/>
      <c r="G2563" s="1027"/>
      <c r="H2563" s="1027"/>
      <c r="I2563" s="1174"/>
      <c r="J2563" s="1174"/>
      <c r="K2563" s="1174"/>
      <c r="L2563" s="1172"/>
      <c r="M2563" s="1172"/>
      <c r="N2563" s="1175"/>
      <c r="O2563" s="143"/>
      <c r="P2563" s="1196"/>
      <c r="Q2563" s="141"/>
      <c r="R2563" s="141"/>
      <c r="S2563" s="148"/>
      <c r="T2563" s="419"/>
      <c r="U2563" s="559"/>
      <c r="V2563" s="141"/>
      <c r="W2563" s="141"/>
      <c r="X2563" s="141"/>
      <c r="Y2563" s="144"/>
      <c r="Z2563" s="141"/>
      <c r="AA2563" s="141"/>
      <c r="AB2563" s="141"/>
      <c r="AC2563" s="141"/>
      <c r="AD2563" s="141"/>
      <c r="AE2563" s="141"/>
      <c r="AF2563" s="145"/>
      <c r="AG2563" s="419"/>
    </row>
    <row r="2564" spans="1:33" s="139" customFormat="1" ht="12.75" customHeight="1" x14ac:dyDescent="0.2">
      <c r="A2564" s="141"/>
      <c r="B2564" s="141"/>
      <c r="C2564" s="141"/>
      <c r="D2564" s="141"/>
      <c r="E2564" s="1014"/>
      <c r="F2564" s="1014"/>
      <c r="G2564" s="1027"/>
      <c r="H2564" s="1027"/>
      <c r="I2564" s="1174"/>
      <c r="J2564" s="1174"/>
      <c r="K2564" s="1174"/>
      <c r="L2564" s="1172"/>
      <c r="M2564" s="1172"/>
      <c r="N2564" s="1175"/>
      <c r="O2564" s="143"/>
      <c r="P2564" s="1196"/>
      <c r="Q2564" s="141"/>
      <c r="R2564" s="141"/>
      <c r="S2564" s="148"/>
      <c r="T2564" s="419"/>
      <c r="U2564" s="559"/>
      <c r="V2564" s="141"/>
      <c r="W2564" s="141"/>
      <c r="X2564" s="141"/>
      <c r="Y2564" s="144"/>
      <c r="Z2564" s="141"/>
      <c r="AA2564" s="141"/>
      <c r="AB2564" s="141"/>
      <c r="AC2564" s="141"/>
      <c r="AD2564" s="141"/>
      <c r="AE2564" s="141"/>
      <c r="AF2564" s="145"/>
      <c r="AG2564" s="419"/>
    </row>
    <row r="2565" spans="1:33" s="139" customFormat="1" ht="12.75" customHeight="1" x14ac:dyDescent="0.2">
      <c r="A2565" s="141"/>
      <c r="B2565" s="141"/>
      <c r="C2565" s="141"/>
      <c r="D2565" s="141"/>
      <c r="E2565" s="1014"/>
      <c r="F2565" s="1014"/>
      <c r="G2565" s="1027"/>
      <c r="H2565" s="1027"/>
      <c r="I2565" s="1174"/>
      <c r="J2565" s="1174"/>
      <c r="K2565" s="1174"/>
      <c r="L2565" s="1172"/>
      <c r="M2565" s="1172"/>
      <c r="N2565" s="1175"/>
      <c r="O2565" s="143"/>
      <c r="P2565" s="1196"/>
      <c r="Q2565" s="141"/>
      <c r="R2565" s="141"/>
      <c r="S2565" s="148"/>
      <c r="T2565" s="419"/>
      <c r="U2565" s="559"/>
      <c r="V2565" s="141"/>
      <c r="W2565" s="141"/>
      <c r="X2565" s="141"/>
      <c r="Y2565" s="144"/>
      <c r="Z2565" s="141"/>
      <c r="AA2565" s="141"/>
      <c r="AB2565" s="141"/>
      <c r="AC2565" s="141"/>
      <c r="AD2565" s="141"/>
      <c r="AE2565" s="141"/>
      <c r="AF2565" s="145"/>
      <c r="AG2565" s="419"/>
    </row>
    <row r="2566" spans="1:33" s="139" customFormat="1" ht="12.75" customHeight="1" x14ac:dyDescent="0.2">
      <c r="A2566" s="141"/>
      <c r="B2566" s="141"/>
      <c r="C2566" s="141"/>
      <c r="D2566" s="141"/>
      <c r="E2566" s="1014"/>
      <c r="F2566" s="1014"/>
      <c r="G2566" s="1027"/>
      <c r="H2566" s="1027"/>
      <c r="I2566" s="1174"/>
      <c r="J2566" s="1174"/>
      <c r="K2566" s="1174"/>
      <c r="L2566" s="1172"/>
      <c r="M2566" s="1172"/>
      <c r="N2566" s="1175"/>
      <c r="O2566" s="143"/>
      <c r="P2566" s="1196"/>
      <c r="Q2566" s="141"/>
      <c r="R2566" s="141"/>
      <c r="S2566" s="148"/>
      <c r="T2566" s="419"/>
      <c r="U2566" s="559"/>
      <c r="V2566" s="141"/>
      <c r="W2566" s="141"/>
      <c r="X2566" s="141"/>
      <c r="Y2566" s="144"/>
      <c r="Z2566" s="141"/>
      <c r="AA2566" s="141"/>
      <c r="AB2566" s="141"/>
      <c r="AC2566" s="141"/>
      <c r="AD2566" s="141"/>
      <c r="AE2566" s="141"/>
      <c r="AF2566" s="145"/>
      <c r="AG2566" s="419"/>
    </row>
    <row r="2567" spans="1:33" s="139" customFormat="1" ht="12.75" customHeight="1" x14ac:dyDescent="0.2">
      <c r="A2567" s="141"/>
      <c r="B2567" s="141"/>
      <c r="C2567" s="141"/>
      <c r="D2567" s="141"/>
      <c r="E2567" s="1014"/>
      <c r="F2567" s="1014"/>
      <c r="G2567" s="1027"/>
      <c r="H2567" s="1027"/>
      <c r="I2567" s="1174"/>
      <c r="J2567" s="1174"/>
      <c r="K2567" s="1174"/>
      <c r="L2567" s="1172"/>
      <c r="M2567" s="1172"/>
      <c r="N2567" s="1175"/>
      <c r="O2567" s="143"/>
      <c r="P2567" s="1196"/>
      <c r="Q2567" s="141"/>
      <c r="R2567" s="141"/>
      <c r="S2567" s="148"/>
      <c r="T2567" s="419"/>
      <c r="U2567" s="559"/>
      <c r="V2567" s="141"/>
      <c r="W2567" s="141"/>
      <c r="X2567" s="141"/>
      <c r="Y2567" s="144"/>
      <c r="Z2567" s="141"/>
      <c r="AA2567" s="141"/>
      <c r="AB2567" s="141"/>
      <c r="AC2567" s="141"/>
      <c r="AD2567" s="141"/>
      <c r="AE2567" s="141"/>
      <c r="AF2567" s="145"/>
      <c r="AG2567" s="419"/>
    </row>
    <row r="2568" spans="1:33" s="139" customFormat="1" ht="12.75" customHeight="1" x14ac:dyDescent="0.2">
      <c r="A2568" s="141"/>
      <c r="B2568" s="141"/>
      <c r="C2568" s="141"/>
      <c r="D2568" s="141"/>
      <c r="E2568" s="1014"/>
      <c r="F2568" s="1014"/>
      <c r="G2568" s="1027"/>
      <c r="H2568" s="1027"/>
      <c r="I2568" s="1174"/>
      <c r="J2568" s="1174"/>
      <c r="K2568" s="1174"/>
      <c r="L2568" s="1172"/>
      <c r="M2568" s="1172"/>
      <c r="N2568" s="1175"/>
      <c r="O2568" s="143"/>
      <c r="P2568" s="1196"/>
      <c r="Q2568" s="141"/>
      <c r="R2568" s="141"/>
      <c r="S2568" s="148"/>
      <c r="T2568" s="419"/>
      <c r="U2568" s="559"/>
      <c r="V2568" s="141"/>
      <c r="W2568" s="141"/>
      <c r="X2568" s="141"/>
      <c r="Y2568" s="144"/>
      <c r="Z2568" s="141"/>
      <c r="AA2568" s="141"/>
      <c r="AB2568" s="141"/>
      <c r="AC2568" s="141"/>
      <c r="AD2568" s="141"/>
      <c r="AE2568" s="141"/>
      <c r="AF2568" s="145"/>
      <c r="AG2568" s="419"/>
    </row>
    <row r="2569" spans="1:33" s="139" customFormat="1" ht="12.75" customHeight="1" x14ac:dyDescent="0.2">
      <c r="A2569" s="141"/>
      <c r="B2569" s="141"/>
      <c r="C2569" s="141"/>
      <c r="D2569" s="141"/>
      <c r="E2569" s="1014"/>
      <c r="F2569" s="1014"/>
      <c r="G2569" s="1027"/>
      <c r="H2569" s="1027"/>
      <c r="I2569" s="1174"/>
      <c r="J2569" s="1174"/>
      <c r="K2569" s="1174"/>
      <c r="L2569" s="1172"/>
      <c r="M2569" s="1172"/>
      <c r="N2569" s="1175"/>
      <c r="O2569" s="143"/>
      <c r="P2569" s="1196"/>
      <c r="Q2569" s="141"/>
      <c r="R2569" s="141"/>
      <c r="S2569" s="148"/>
      <c r="T2569" s="419"/>
      <c r="U2569" s="559"/>
      <c r="V2569" s="141"/>
      <c r="W2569" s="141"/>
      <c r="X2569" s="141"/>
      <c r="Y2569" s="144"/>
      <c r="Z2569" s="141"/>
      <c r="AA2569" s="141"/>
      <c r="AB2569" s="141"/>
      <c r="AC2569" s="141"/>
      <c r="AD2569" s="141"/>
      <c r="AE2569" s="141"/>
      <c r="AF2569" s="145"/>
      <c r="AG2569" s="419"/>
    </row>
    <row r="2570" spans="1:33" s="139" customFormat="1" ht="12.75" customHeight="1" x14ac:dyDescent="0.2">
      <c r="A2570" s="141"/>
      <c r="B2570" s="141"/>
      <c r="C2570" s="141"/>
      <c r="D2570" s="141"/>
      <c r="E2570" s="1014"/>
      <c r="F2570" s="1014"/>
      <c r="G2570" s="1027"/>
      <c r="H2570" s="1027"/>
      <c r="I2570" s="1174"/>
      <c r="J2570" s="1174"/>
      <c r="K2570" s="1174"/>
      <c r="L2570" s="1172"/>
      <c r="M2570" s="1172"/>
      <c r="N2570" s="1175"/>
      <c r="O2570" s="143"/>
      <c r="P2570" s="1196"/>
      <c r="Q2570" s="141"/>
      <c r="R2570" s="141"/>
      <c r="S2570" s="148"/>
      <c r="T2570" s="419"/>
      <c r="U2570" s="559"/>
      <c r="V2570" s="141"/>
      <c r="W2570" s="141"/>
      <c r="X2570" s="141"/>
      <c r="Y2570" s="144"/>
      <c r="Z2570" s="141"/>
      <c r="AA2570" s="141"/>
      <c r="AB2570" s="141"/>
      <c r="AC2570" s="141"/>
      <c r="AD2570" s="141"/>
      <c r="AE2570" s="141"/>
      <c r="AF2570" s="145"/>
      <c r="AG2570" s="419"/>
    </row>
    <row r="2571" spans="1:33" s="139" customFormat="1" ht="12.75" customHeight="1" x14ac:dyDescent="0.2">
      <c r="A2571" s="141"/>
      <c r="B2571" s="141"/>
      <c r="C2571" s="141"/>
      <c r="D2571" s="141"/>
      <c r="E2571" s="1014"/>
      <c r="F2571" s="1014"/>
      <c r="G2571" s="1027"/>
      <c r="H2571" s="1027"/>
      <c r="I2571" s="1174"/>
      <c r="J2571" s="1174"/>
      <c r="K2571" s="1174"/>
      <c r="L2571" s="1172"/>
      <c r="M2571" s="1172"/>
      <c r="N2571" s="1175"/>
      <c r="O2571" s="143"/>
      <c r="P2571" s="1196"/>
      <c r="Q2571" s="141"/>
      <c r="R2571" s="141"/>
      <c r="S2571" s="148"/>
      <c r="T2571" s="419"/>
      <c r="U2571" s="559"/>
      <c r="V2571" s="141"/>
      <c r="W2571" s="141"/>
      <c r="X2571" s="141"/>
      <c r="Y2571" s="144"/>
      <c r="Z2571" s="141"/>
      <c r="AA2571" s="141"/>
      <c r="AB2571" s="141"/>
      <c r="AC2571" s="141"/>
      <c r="AD2571" s="141"/>
      <c r="AE2571" s="141"/>
      <c r="AF2571" s="145"/>
      <c r="AG2571" s="419"/>
    </row>
    <row r="2572" spans="1:33" s="139" customFormat="1" ht="12.75" customHeight="1" x14ac:dyDescent="0.2">
      <c r="A2572" s="141"/>
      <c r="B2572" s="141"/>
      <c r="C2572" s="141"/>
      <c r="D2572" s="141"/>
      <c r="E2572" s="1014"/>
      <c r="F2572" s="1014"/>
      <c r="G2572" s="1027"/>
      <c r="H2572" s="1027"/>
      <c r="I2572" s="1174"/>
      <c r="J2572" s="1174"/>
      <c r="K2572" s="1174"/>
      <c r="L2572" s="1172"/>
      <c r="M2572" s="1172"/>
      <c r="N2572" s="1175"/>
      <c r="O2572" s="143"/>
      <c r="P2572" s="1196"/>
      <c r="Q2572" s="141"/>
      <c r="R2572" s="141"/>
      <c r="S2572" s="148"/>
      <c r="T2572" s="419"/>
      <c r="U2572" s="559"/>
      <c r="V2572" s="141"/>
      <c r="W2572" s="141"/>
      <c r="X2572" s="141"/>
      <c r="Y2572" s="144"/>
      <c r="Z2572" s="141"/>
      <c r="AA2572" s="141"/>
      <c r="AB2572" s="141"/>
      <c r="AC2572" s="141"/>
      <c r="AD2572" s="141"/>
      <c r="AE2572" s="141"/>
      <c r="AF2572" s="145"/>
      <c r="AG2572" s="419"/>
    </row>
    <row r="2573" spans="1:33" s="139" customFormat="1" ht="12.75" customHeight="1" x14ac:dyDescent="0.2">
      <c r="A2573" s="141"/>
      <c r="B2573" s="141"/>
      <c r="C2573" s="141"/>
      <c r="D2573" s="141"/>
      <c r="E2573" s="1014"/>
      <c r="F2573" s="1014"/>
      <c r="G2573" s="1027"/>
      <c r="H2573" s="1027"/>
      <c r="I2573" s="1174"/>
      <c r="J2573" s="1174"/>
      <c r="K2573" s="1174"/>
      <c r="L2573" s="1172"/>
      <c r="M2573" s="1172"/>
      <c r="N2573" s="1175"/>
      <c r="O2573" s="143"/>
      <c r="P2573" s="1196"/>
      <c r="Q2573" s="141"/>
      <c r="R2573" s="141"/>
      <c r="S2573" s="148"/>
      <c r="T2573" s="419"/>
      <c r="U2573" s="559"/>
      <c r="V2573" s="141"/>
      <c r="W2573" s="141"/>
      <c r="X2573" s="141"/>
      <c r="Y2573" s="144"/>
      <c r="Z2573" s="141"/>
      <c r="AA2573" s="141"/>
      <c r="AB2573" s="141"/>
      <c r="AC2573" s="141"/>
      <c r="AD2573" s="141"/>
      <c r="AE2573" s="141"/>
      <c r="AF2573" s="145"/>
      <c r="AG2573" s="419"/>
    </row>
    <row r="2574" spans="1:33" s="139" customFormat="1" ht="12.75" customHeight="1" x14ac:dyDescent="0.2">
      <c r="A2574" s="141"/>
      <c r="B2574" s="141"/>
      <c r="C2574" s="141"/>
      <c r="D2574" s="141"/>
      <c r="E2574" s="1014"/>
      <c r="F2574" s="1014"/>
      <c r="G2574" s="1027"/>
      <c r="H2574" s="1027"/>
      <c r="I2574" s="1174"/>
      <c r="J2574" s="1174"/>
      <c r="K2574" s="1174"/>
      <c r="L2574" s="1172"/>
      <c r="M2574" s="1172"/>
      <c r="N2574" s="1175"/>
      <c r="O2574" s="143"/>
      <c r="P2574" s="1196"/>
      <c r="Q2574" s="141"/>
      <c r="R2574" s="141"/>
      <c r="S2574" s="148"/>
      <c r="T2574" s="419"/>
      <c r="U2574" s="559"/>
      <c r="V2574" s="141"/>
      <c r="W2574" s="141"/>
      <c r="X2574" s="141"/>
      <c r="Y2574" s="144"/>
      <c r="Z2574" s="141"/>
      <c r="AA2574" s="141"/>
      <c r="AB2574" s="141"/>
      <c r="AC2574" s="141"/>
      <c r="AD2574" s="141"/>
      <c r="AE2574" s="141"/>
      <c r="AF2574" s="145"/>
      <c r="AG2574" s="419"/>
    </row>
    <row r="2575" spans="1:33" s="139" customFormat="1" ht="12.75" customHeight="1" x14ac:dyDescent="0.2">
      <c r="A2575" s="141"/>
      <c r="B2575" s="141"/>
      <c r="C2575" s="141"/>
      <c r="D2575" s="141"/>
      <c r="E2575" s="1014"/>
      <c r="F2575" s="1014"/>
      <c r="G2575" s="1027"/>
      <c r="H2575" s="1027"/>
      <c r="I2575" s="1174"/>
      <c r="J2575" s="1174"/>
      <c r="K2575" s="1174"/>
      <c r="L2575" s="1172"/>
      <c r="M2575" s="1172"/>
      <c r="N2575" s="1175"/>
      <c r="O2575" s="143"/>
      <c r="P2575" s="1196"/>
      <c r="Q2575" s="141"/>
      <c r="R2575" s="141"/>
      <c r="S2575" s="148"/>
      <c r="T2575" s="419"/>
      <c r="U2575" s="559"/>
      <c r="V2575" s="141"/>
      <c r="W2575" s="141"/>
      <c r="X2575" s="141"/>
      <c r="Y2575" s="144"/>
      <c r="Z2575" s="141"/>
      <c r="AA2575" s="141"/>
      <c r="AB2575" s="141"/>
      <c r="AC2575" s="141"/>
      <c r="AD2575" s="141"/>
      <c r="AE2575" s="141"/>
      <c r="AF2575" s="145"/>
      <c r="AG2575" s="419"/>
    </row>
    <row r="2576" spans="1:33" s="139" customFormat="1" ht="12.75" customHeight="1" x14ac:dyDescent="0.2">
      <c r="A2576" s="141"/>
      <c r="B2576" s="141"/>
      <c r="C2576" s="141"/>
      <c r="D2576" s="141"/>
      <c r="E2576" s="1014"/>
      <c r="F2576" s="1014"/>
      <c r="G2576" s="1027"/>
      <c r="H2576" s="1027"/>
      <c r="I2576" s="1174"/>
      <c r="J2576" s="1174"/>
      <c r="K2576" s="1174"/>
      <c r="L2576" s="1172"/>
      <c r="M2576" s="1172"/>
      <c r="N2576" s="1175"/>
      <c r="O2576" s="143"/>
      <c r="P2576" s="1196"/>
      <c r="Q2576" s="141"/>
      <c r="R2576" s="141"/>
      <c r="S2576" s="148"/>
      <c r="T2576" s="419"/>
      <c r="U2576" s="559"/>
      <c r="V2576" s="141"/>
      <c r="W2576" s="141"/>
      <c r="X2576" s="141"/>
      <c r="Y2576" s="144"/>
      <c r="Z2576" s="141"/>
      <c r="AA2576" s="141"/>
      <c r="AB2576" s="141"/>
      <c r="AC2576" s="141"/>
      <c r="AD2576" s="141"/>
      <c r="AE2576" s="141"/>
      <c r="AF2576" s="145"/>
      <c r="AG2576" s="419"/>
    </row>
    <row r="2577" spans="1:33" s="139" customFormat="1" ht="12.75" customHeight="1" x14ac:dyDescent="0.2">
      <c r="A2577" s="141"/>
      <c r="B2577" s="141"/>
      <c r="C2577" s="141"/>
      <c r="D2577" s="141"/>
      <c r="E2577" s="1014"/>
      <c r="F2577" s="1014"/>
      <c r="G2577" s="1027"/>
      <c r="H2577" s="1027"/>
      <c r="I2577" s="1174"/>
      <c r="J2577" s="1174"/>
      <c r="K2577" s="1174"/>
      <c r="L2577" s="1172"/>
      <c r="M2577" s="1172"/>
      <c r="N2577" s="1175"/>
      <c r="O2577" s="143"/>
      <c r="P2577" s="1196"/>
      <c r="Q2577" s="141"/>
      <c r="R2577" s="141"/>
      <c r="S2577" s="148"/>
      <c r="T2577" s="419"/>
      <c r="U2577" s="559"/>
      <c r="V2577" s="141"/>
      <c r="W2577" s="141"/>
      <c r="X2577" s="141"/>
      <c r="Y2577" s="144"/>
      <c r="Z2577" s="141"/>
      <c r="AA2577" s="141"/>
      <c r="AB2577" s="141"/>
      <c r="AC2577" s="141"/>
      <c r="AD2577" s="141"/>
      <c r="AE2577" s="141"/>
      <c r="AF2577" s="145"/>
      <c r="AG2577" s="419"/>
    </row>
    <row r="2578" spans="1:33" s="139" customFormat="1" ht="12.75" customHeight="1" x14ac:dyDescent="0.2">
      <c r="A2578" s="141"/>
      <c r="B2578" s="141"/>
      <c r="C2578" s="141"/>
      <c r="D2578" s="141"/>
      <c r="E2578" s="1014"/>
      <c r="F2578" s="1014"/>
      <c r="G2578" s="1027"/>
      <c r="H2578" s="1027"/>
      <c r="I2578" s="1174"/>
      <c r="J2578" s="1174"/>
      <c r="K2578" s="1174"/>
      <c r="L2578" s="1172"/>
      <c r="M2578" s="1172"/>
      <c r="N2578" s="1175"/>
      <c r="O2578" s="143"/>
      <c r="P2578" s="1196"/>
      <c r="Q2578" s="141"/>
      <c r="R2578" s="141"/>
      <c r="S2578" s="148"/>
      <c r="T2578" s="419"/>
      <c r="U2578" s="559"/>
      <c r="V2578" s="141"/>
      <c r="W2578" s="141"/>
      <c r="X2578" s="141"/>
      <c r="Y2578" s="144"/>
      <c r="Z2578" s="141"/>
      <c r="AA2578" s="141"/>
      <c r="AB2578" s="141"/>
      <c r="AC2578" s="141"/>
      <c r="AD2578" s="141"/>
      <c r="AE2578" s="141"/>
      <c r="AF2578" s="145"/>
      <c r="AG2578" s="419"/>
    </row>
    <row r="2579" spans="1:33" s="139" customFormat="1" ht="12.75" customHeight="1" x14ac:dyDescent="0.2">
      <c r="A2579" s="141"/>
      <c r="B2579" s="141"/>
      <c r="C2579" s="141"/>
      <c r="D2579" s="141"/>
      <c r="E2579" s="1014"/>
      <c r="F2579" s="1014"/>
      <c r="G2579" s="1027"/>
      <c r="H2579" s="1027"/>
      <c r="I2579" s="1174"/>
      <c r="J2579" s="1174"/>
      <c r="K2579" s="1174"/>
      <c r="L2579" s="1172"/>
      <c r="M2579" s="1172"/>
      <c r="N2579" s="1175"/>
      <c r="O2579" s="143"/>
      <c r="P2579" s="1196"/>
      <c r="Q2579" s="141"/>
      <c r="R2579" s="141"/>
      <c r="S2579" s="148"/>
      <c r="T2579" s="419"/>
      <c r="U2579" s="559"/>
      <c r="V2579" s="141"/>
      <c r="W2579" s="141"/>
      <c r="X2579" s="141"/>
      <c r="Y2579" s="144"/>
      <c r="Z2579" s="141"/>
      <c r="AA2579" s="141"/>
      <c r="AB2579" s="141"/>
      <c r="AC2579" s="141"/>
      <c r="AD2579" s="141"/>
      <c r="AE2579" s="141"/>
      <c r="AF2579" s="145"/>
      <c r="AG2579" s="419"/>
    </row>
    <row r="2580" spans="1:33" s="139" customFormat="1" ht="12.75" customHeight="1" x14ac:dyDescent="0.2">
      <c r="A2580" s="141"/>
      <c r="B2580" s="141"/>
      <c r="C2580" s="141"/>
      <c r="D2580" s="141"/>
      <c r="E2580" s="1014"/>
      <c r="F2580" s="1014"/>
      <c r="G2580" s="1027"/>
      <c r="H2580" s="1027"/>
      <c r="I2580" s="1174"/>
      <c r="J2580" s="1174"/>
      <c r="K2580" s="1174"/>
      <c r="L2580" s="1172"/>
      <c r="M2580" s="1172"/>
      <c r="N2580" s="1175"/>
      <c r="O2580" s="143"/>
      <c r="P2580" s="1196"/>
      <c r="Q2580" s="141"/>
      <c r="R2580" s="141"/>
      <c r="S2580" s="148"/>
      <c r="T2580" s="419"/>
      <c r="U2580" s="559"/>
      <c r="V2580" s="141"/>
      <c r="W2580" s="141"/>
      <c r="X2580" s="141"/>
      <c r="Y2580" s="144"/>
      <c r="Z2580" s="141"/>
      <c r="AA2580" s="141"/>
      <c r="AB2580" s="141"/>
      <c r="AC2580" s="141"/>
      <c r="AD2580" s="141"/>
      <c r="AE2580" s="141"/>
      <c r="AF2580" s="145"/>
      <c r="AG2580" s="419"/>
    </row>
    <row r="2581" spans="1:33" s="139" customFormat="1" ht="12.75" customHeight="1" x14ac:dyDescent="0.2">
      <c r="A2581" s="141"/>
      <c r="B2581" s="141"/>
      <c r="C2581" s="141"/>
      <c r="D2581" s="141"/>
      <c r="E2581" s="1014"/>
      <c r="F2581" s="1014"/>
      <c r="G2581" s="1027"/>
      <c r="H2581" s="1027"/>
      <c r="I2581" s="1174"/>
      <c r="J2581" s="1174"/>
      <c r="K2581" s="1174"/>
      <c r="L2581" s="1172"/>
      <c r="M2581" s="1172"/>
      <c r="N2581" s="1175"/>
      <c r="O2581" s="143"/>
      <c r="P2581" s="1196"/>
      <c r="Q2581" s="141"/>
      <c r="R2581" s="141"/>
      <c r="S2581" s="148"/>
      <c r="T2581" s="419"/>
      <c r="U2581" s="559"/>
      <c r="V2581" s="141"/>
      <c r="W2581" s="141"/>
      <c r="X2581" s="141"/>
      <c r="Y2581" s="144"/>
      <c r="Z2581" s="141"/>
      <c r="AA2581" s="141"/>
      <c r="AB2581" s="141"/>
      <c r="AC2581" s="141"/>
      <c r="AD2581" s="141"/>
      <c r="AE2581" s="141"/>
      <c r="AF2581" s="145"/>
      <c r="AG2581" s="419"/>
    </row>
    <row r="2582" spans="1:33" s="139" customFormat="1" ht="12.75" customHeight="1" x14ac:dyDescent="0.2">
      <c r="A2582" s="141"/>
      <c r="B2582" s="141"/>
      <c r="C2582" s="141"/>
      <c r="D2582" s="141"/>
      <c r="E2582" s="1014"/>
      <c r="F2582" s="1014"/>
      <c r="G2582" s="1027"/>
      <c r="H2582" s="1027"/>
      <c r="I2582" s="1174"/>
      <c r="J2582" s="1174"/>
      <c r="K2582" s="1174"/>
      <c r="L2582" s="1172"/>
      <c r="M2582" s="1172"/>
      <c r="N2582" s="1175"/>
      <c r="O2582" s="143"/>
      <c r="P2582" s="1196"/>
      <c r="Q2582" s="141"/>
      <c r="R2582" s="141"/>
      <c r="S2582" s="148"/>
      <c r="T2582" s="419"/>
      <c r="U2582" s="559"/>
      <c r="V2582" s="141"/>
      <c r="W2582" s="141"/>
      <c r="X2582" s="141"/>
      <c r="Y2582" s="144"/>
      <c r="Z2582" s="141"/>
      <c r="AA2582" s="141"/>
      <c r="AB2582" s="141"/>
      <c r="AC2582" s="141"/>
      <c r="AD2582" s="141"/>
      <c r="AE2582" s="141"/>
      <c r="AF2582" s="145"/>
      <c r="AG2582" s="419"/>
    </row>
    <row r="2583" spans="1:33" s="139" customFormat="1" ht="12.75" customHeight="1" x14ac:dyDescent="0.2">
      <c r="A2583" s="141"/>
      <c r="B2583" s="141"/>
      <c r="C2583" s="141"/>
      <c r="D2583" s="141"/>
      <c r="E2583" s="1014"/>
      <c r="F2583" s="1014"/>
      <c r="G2583" s="1027"/>
      <c r="H2583" s="1027"/>
      <c r="I2583" s="1174"/>
      <c r="J2583" s="1174"/>
      <c r="K2583" s="1174"/>
      <c r="L2583" s="1172"/>
      <c r="M2583" s="1172"/>
      <c r="N2583" s="1175"/>
      <c r="O2583" s="143"/>
      <c r="P2583" s="1196"/>
      <c r="Q2583" s="141"/>
      <c r="R2583" s="141"/>
      <c r="S2583" s="148"/>
      <c r="T2583" s="419"/>
      <c r="U2583" s="559"/>
      <c r="V2583" s="141"/>
      <c r="W2583" s="141"/>
      <c r="X2583" s="141"/>
      <c r="Y2583" s="144"/>
      <c r="Z2583" s="141"/>
      <c r="AA2583" s="141"/>
      <c r="AB2583" s="141"/>
      <c r="AC2583" s="141"/>
      <c r="AD2583" s="141"/>
      <c r="AE2583" s="141"/>
      <c r="AF2583" s="145"/>
      <c r="AG2583" s="419"/>
    </row>
    <row r="2584" spans="1:33" s="139" customFormat="1" ht="12.75" customHeight="1" x14ac:dyDescent="0.2">
      <c r="A2584" s="141"/>
      <c r="B2584" s="141"/>
      <c r="C2584" s="141"/>
      <c r="D2584" s="141"/>
      <c r="E2584" s="1014"/>
      <c r="F2584" s="1014"/>
      <c r="G2584" s="1027"/>
      <c r="H2584" s="1027"/>
      <c r="I2584" s="1174"/>
      <c r="J2584" s="1174"/>
      <c r="K2584" s="1174"/>
      <c r="L2584" s="1172"/>
      <c r="M2584" s="1172"/>
      <c r="N2584" s="1175"/>
      <c r="O2584" s="143"/>
      <c r="P2584" s="1196"/>
      <c r="Q2584" s="141"/>
      <c r="R2584" s="141"/>
      <c r="S2584" s="148"/>
      <c r="T2584" s="419"/>
      <c r="U2584" s="559"/>
      <c r="V2584" s="141"/>
      <c r="W2584" s="141"/>
      <c r="X2584" s="141"/>
      <c r="Y2584" s="144"/>
      <c r="Z2584" s="141"/>
      <c r="AA2584" s="141"/>
      <c r="AB2584" s="141"/>
      <c r="AC2584" s="141"/>
      <c r="AD2584" s="141"/>
      <c r="AE2584" s="141"/>
      <c r="AF2584" s="145"/>
      <c r="AG2584" s="419"/>
    </row>
    <row r="2585" spans="1:33" s="139" customFormat="1" ht="12.75" customHeight="1" x14ac:dyDescent="0.2">
      <c r="A2585" s="141"/>
      <c r="B2585" s="141"/>
      <c r="C2585" s="141"/>
      <c r="D2585" s="141"/>
      <c r="E2585" s="1014"/>
      <c r="F2585" s="1014"/>
      <c r="G2585" s="1027"/>
      <c r="H2585" s="1027"/>
      <c r="I2585" s="1174"/>
      <c r="J2585" s="1174"/>
      <c r="K2585" s="1174"/>
      <c r="L2585" s="1172"/>
      <c r="M2585" s="1172"/>
      <c r="N2585" s="1175"/>
      <c r="O2585" s="143"/>
      <c r="P2585" s="1196"/>
      <c r="Q2585" s="141"/>
      <c r="R2585" s="141"/>
      <c r="S2585" s="148"/>
      <c r="T2585" s="419"/>
      <c r="U2585" s="559"/>
      <c r="V2585" s="141"/>
      <c r="W2585" s="141"/>
      <c r="X2585" s="141"/>
      <c r="Y2585" s="144"/>
      <c r="Z2585" s="141"/>
      <c r="AA2585" s="141"/>
      <c r="AB2585" s="141"/>
      <c r="AC2585" s="141"/>
      <c r="AD2585" s="141"/>
      <c r="AE2585" s="141"/>
      <c r="AF2585" s="145"/>
      <c r="AG2585" s="419"/>
    </row>
    <row r="2586" spans="1:33" s="139" customFormat="1" ht="12.75" customHeight="1" x14ac:dyDescent="0.2">
      <c r="A2586" s="141"/>
      <c r="B2586" s="141"/>
      <c r="C2586" s="141"/>
      <c r="D2586" s="141"/>
      <c r="E2586" s="1014"/>
      <c r="F2586" s="1014"/>
      <c r="G2586" s="1027"/>
      <c r="H2586" s="1027"/>
      <c r="I2586" s="1174"/>
      <c r="J2586" s="1174"/>
      <c r="K2586" s="1174"/>
      <c r="L2586" s="1172"/>
      <c r="M2586" s="1172"/>
      <c r="N2586" s="1175"/>
      <c r="O2586" s="143"/>
      <c r="P2586" s="1196"/>
      <c r="Q2586" s="141"/>
      <c r="R2586" s="141"/>
      <c r="S2586" s="148"/>
      <c r="T2586" s="419"/>
      <c r="U2586" s="559"/>
      <c r="V2586" s="141"/>
      <c r="W2586" s="141"/>
      <c r="X2586" s="141"/>
      <c r="Y2586" s="144"/>
      <c r="Z2586" s="141"/>
      <c r="AA2586" s="141"/>
      <c r="AB2586" s="141"/>
      <c r="AC2586" s="141"/>
      <c r="AD2586" s="141"/>
      <c r="AE2586" s="141"/>
      <c r="AF2586" s="145"/>
      <c r="AG2586" s="419"/>
    </row>
    <row r="2587" spans="1:33" s="139" customFormat="1" ht="12.75" customHeight="1" x14ac:dyDescent="0.2">
      <c r="A2587" s="141"/>
      <c r="B2587" s="141"/>
      <c r="C2587" s="141"/>
      <c r="D2587" s="141"/>
      <c r="E2587" s="1014"/>
      <c r="F2587" s="1014"/>
      <c r="G2587" s="1027"/>
      <c r="H2587" s="1027"/>
      <c r="I2587" s="1174"/>
      <c r="J2587" s="1174"/>
      <c r="K2587" s="1174"/>
      <c r="L2587" s="1172"/>
      <c r="M2587" s="1172"/>
      <c r="N2587" s="1175"/>
      <c r="O2587" s="143"/>
      <c r="P2587" s="1196"/>
      <c r="Q2587" s="141"/>
      <c r="R2587" s="141"/>
      <c r="S2587" s="148"/>
      <c r="T2587" s="419"/>
      <c r="U2587" s="559"/>
      <c r="V2587" s="141"/>
      <c r="W2587" s="141"/>
      <c r="X2587" s="141"/>
      <c r="Y2587" s="144"/>
      <c r="Z2587" s="141"/>
      <c r="AA2587" s="141"/>
      <c r="AB2587" s="141"/>
      <c r="AC2587" s="141"/>
      <c r="AD2587" s="141"/>
      <c r="AE2587" s="141"/>
      <c r="AF2587" s="145"/>
      <c r="AG2587" s="419"/>
    </row>
    <row r="2588" spans="1:33" s="139" customFormat="1" ht="12.75" customHeight="1" x14ac:dyDescent="0.2">
      <c r="A2588" s="141"/>
      <c r="B2588" s="141"/>
      <c r="C2588" s="141"/>
      <c r="D2588" s="141"/>
      <c r="E2588" s="1014"/>
      <c r="F2588" s="1014"/>
      <c r="G2588" s="1027"/>
      <c r="H2588" s="1027"/>
      <c r="I2588" s="1174"/>
      <c r="J2588" s="1174"/>
      <c r="K2588" s="1174"/>
      <c r="L2588" s="1172"/>
      <c r="M2588" s="1172"/>
      <c r="N2588" s="1175"/>
      <c r="O2588" s="143"/>
      <c r="P2588" s="1196"/>
      <c r="Q2588" s="141"/>
      <c r="R2588" s="141"/>
      <c r="S2588" s="148"/>
      <c r="T2588" s="419"/>
      <c r="U2588" s="559"/>
      <c r="V2588" s="141"/>
      <c r="W2588" s="141"/>
      <c r="X2588" s="141"/>
      <c r="Y2588" s="144"/>
      <c r="Z2588" s="141"/>
      <c r="AA2588" s="141"/>
      <c r="AB2588" s="141"/>
      <c r="AC2588" s="141"/>
      <c r="AD2588" s="141"/>
      <c r="AE2588" s="141"/>
      <c r="AF2588" s="145"/>
      <c r="AG2588" s="419"/>
    </row>
    <row r="2589" spans="1:33" s="139" customFormat="1" ht="12.75" customHeight="1" x14ac:dyDescent="0.2">
      <c r="A2589" s="141"/>
      <c r="B2589" s="141"/>
      <c r="C2589" s="141"/>
      <c r="D2589" s="141"/>
      <c r="E2589" s="1014"/>
      <c r="F2589" s="1014"/>
      <c r="G2589" s="1027"/>
      <c r="H2589" s="1027"/>
      <c r="I2589" s="1174"/>
      <c r="J2589" s="1174"/>
      <c r="K2589" s="1174"/>
      <c r="L2589" s="1172"/>
      <c r="M2589" s="1172"/>
      <c r="N2589" s="1175"/>
      <c r="O2589" s="143"/>
      <c r="P2589" s="1196"/>
      <c r="Q2589" s="141"/>
      <c r="R2589" s="141"/>
      <c r="S2589" s="148"/>
      <c r="T2589" s="419"/>
      <c r="U2589" s="559"/>
      <c r="V2589" s="141"/>
      <c r="W2589" s="141"/>
      <c r="X2589" s="141"/>
      <c r="Y2589" s="144"/>
      <c r="Z2589" s="141"/>
      <c r="AA2589" s="141"/>
      <c r="AB2589" s="141"/>
      <c r="AC2589" s="141"/>
      <c r="AD2589" s="141"/>
      <c r="AE2589" s="141"/>
      <c r="AF2589" s="145"/>
      <c r="AG2589" s="419"/>
    </row>
    <row r="2590" spans="1:33" s="139" customFormat="1" ht="12.75" customHeight="1" x14ac:dyDescent="0.2">
      <c r="A2590" s="141"/>
      <c r="B2590" s="141"/>
      <c r="C2590" s="141"/>
      <c r="D2590" s="141"/>
      <c r="E2590" s="1014"/>
      <c r="F2590" s="1014"/>
      <c r="G2590" s="1027"/>
      <c r="H2590" s="1027"/>
      <c r="I2590" s="1174"/>
      <c r="J2590" s="1174"/>
      <c r="K2590" s="1174"/>
      <c r="L2590" s="1172"/>
      <c r="M2590" s="1172"/>
      <c r="N2590" s="1175"/>
      <c r="O2590" s="143"/>
      <c r="P2590" s="1196"/>
      <c r="Q2590" s="141"/>
      <c r="R2590" s="141"/>
      <c r="S2590" s="148"/>
      <c r="T2590" s="419"/>
      <c r="U2590" s="559"/>
      <c r="V2590" s="141"/>
      <c r="W2590" s="141"/>
      <c r="X2590" s="141"/>
      <c r="Y2590" s="144"/>
      <c r="Z2590" s="141"/>
      <c r="AA2590" s="141"/>
      <c r="AB2590" s="141"/>
      <c r="AC2590" s="141"/>
      <c r="AD2590" s="141"/>
      <c r="AE2590" s="141"/>
      <c r="AF2590" s="145"/>
      <c r="AG2590" s="419"/>
    </row>
    <row r="2591" spans="1:33" s="139" customFormat="1" ht="12.75" customHeight="1" x14ac:dyDescent="0.2">
      <c r="A2591" s="141"/>
      <c r="B2591" s="141"/>
      <c r="C2591" s="141"/>
      <c r="D2591" s="141"/>
      <c r="E2591" s="1014"/>
      <c r="F2591" s="1014"/>
      <c r="G2591" s="1027"/>
      <c r="H2591" s="1027"/>
      <c r="I2591" s="1174"/>
      <c r="J2591" s="1174"/>
      <c r="K2591" s="1174"/>
      <c r="L2591" s="1172"/>
      <c r="M2591" s="1172"/>
      <c r="N2591" s="1175"/>
      <c r="O2591" s="143"/>
      <c r="P2591" s="1196"/>
      <c r="Q2591" s="141"/>
      <c r="R2591" s="141"/>
      <c r="S2591" s="148"/>
      <c r="T2591" s="419"/>
      <c r="U2591" s="559"/>
      <c r="V2591" s="141"/>
      <c r="W2591" s="141"/>
      <c r="X2591" s="141"/>
      <c r="Y2591" s="144"/>
      <c r="Z2591" s="141"/>
      <c r="AA2591" s="141"/>
      <c r="AB2591" s="141"/>
      <c r="AC2591" s="141"/>
      <c r="AD2591" s="141"/>
      <c r="AE2591" s="141"/>
      <c r="AF2591" s="145"/>
      <c r="AG2591" s="419"/>
    </row>
    <row r="2592" spans="1:33" s="139" customFormat="1" ht="12.75" customHeight="1" x14ac:dyDescent="0.2">
      <c r="A2592" s="141"/>
      <c r="B2592" s="141"/>
      <c r="C2592" s="141"/>
      <c r="D2592" s="141"/>
      <c r="E2592" s="1014"/>
      <c r="F2592" s="1014"/>
      <c r="G2592" s="1027"/>
      <c r="H2592" s="1027"/>
      <c r="I2592" s="1174"/>
      <c r="J2592" s="1174"/>
      <c r="K2592" s="1174"/>
      <c r="L2592" s="1172"/>
      <c r="M2592" s="1172"/>
      <c r="N2592" s="1175"/>
      <c r="O2592" s="143"/>
      <c r="P2592" s="1196"/>
      <c r="Q2592" s="141"/>
      <c r="R2592" s="141"/>
      <c r="S2592" s="148"/>
      <c r="T2592" s="419"/>
      <c r="U2592" s="559"/>
      <c r="V2592" s="141"/>
      <c r="W2592" s="141"/>
      <c r="X2592" s="141"/>
      <c r="Y2592" s="144"/>
      <c r="Z2592" s="141"/>
      <c r="AA2592" s="141"/>
      <c r="AB2592" s="141"/>
      <c r="AC2592" s="141"/>
      <c r="AD2592" s="141"/>
      <c r="AE2592" s="141"/>
      <c r="AF2592" s="145"/>
      <c r="AG2592" s="419"/>
    </row>
    <row r="2593" spans="1:33" s="139" customFormat="1" ht="12.75" customHeight="1" x14ac:dyDescent="0.2">
      <c r="A2593" s="141"/>
      <c r="B2593" s="141"/>
      <c r="C2593" s="141"/>
      <c r="D2593" s="141"/>
      <c r="E2593" s="1014"/>
      <c r="F2593" s="1014"/>
      <c r="G2593" s="1027"/>
      <c r="H2593" s="1027"/>
      <c r="I2593" s="1174"/>
      <c r="J2593" s="1174"/>
      <c r="K2593" s="1174"/>
      <c r="L2593" s="1172"/>
      <c r="M2593" s="1172"/>
      <c r="N2593" s="1175"/>
      <c r="O2593" s="143"/>
      <c r="P2593" s="1196"/>
      <c r="Q2593" s="141"/>
      <c r="R2593" s="141"/>
      <c r="S2593" s="148"/>
      <c r="T2593" s="419"/>
      <c r="U2593" s="559"/>
      <c r="V2593" s="141"/>
      <c r="W2593" s="141"/>
      <c r="X2593" s="141"/>
      <c r="Y2593" s="144"/>
      <c r="Z2593" s="141"/>
      <c r="AA2593" s="141"/>
      <c r="AB2593" s="141"/>
      <c r="AC2593" s="141"/>
      <c r="AD2593" s="141"/>
      <c r="AE2593" s="141"/>
      <c r="AF2593" s="145"/>
      <c r="AG2593" s="419"/>
    </row>
    <row r="2594" spans="1:33" s="139" customFormat="1" ht="12.75" customHeight="1" x14ac:dyDescent="0.2">
      <c r="A2594" s="141"/>
      <c r="B2594" s="141"/>
      <c r="C2594" s="141"/>
      <c r="D2594" s="141"/>
      <c r="E2594" s="1014"/>
      <c r="F2594" s="1014"/>
      <c r="G2594" s="1027"/>
      <c r="H2594" s="1027"/>
      <c r="I2594" s="1174"/>
      <c r="J2594" s="1174"/>
      <c r="K2594" s="1174"/>
      <c r="L2594" s="1172"/>
      <c r="M2594" s="1172"/>
      <c r="N2594" s="1175"/>
      <c r="O2594" s="143"/>
      <c r="P2594" s="1196"/>
      <c r="Q2594" s="141"/>
      <c r="R2594" s="141"/>
      <c r="S2594" s="148"/>
      <c r="T2594" s="419"/>
      <c r="U2594" s="559"/>
      <c r="V2594" s="141"/>
      <c r="W2594" s="141"/>
      <c r="X2594" s="141"/>
      <c r="Y2594" s="144"/>
      <c r="Z2594" s="141"/>
      <c r="AA2594" s="141"/>
      <c r="AB2594" s="141"/>
      <c r="AC2594" s="141"/>
      <c r="AD2594" s="141"/>
      <c r="AE2594" s="141"/>
      <c r="AF2594" s="145"/>
      <c r="AG2594" s="419"/>
    </row>
    <row r="2595" spans="1:33" s="139" customFormat="1" ht="12.75" customHeight="1" x14ac:dyDescent="0.2">
      <c r="A2595" s="141"/>
      <c r="B2595" s="141"/>
      <c r="C2595" s="141"/>
      <c r="D2595" s="141"/>
      <c r="E2595" s="1014"/>
      <c r="F2595" s="1014"/>
      <c r="G2595" s="1027"/>
      <c r="H2595" s="1027"/>
      <c r="I2595" s="1174"/>
      <c r="J2595" s="1174"/>
      <c r="K2595" s="1174"/>
      <c r="L2595" s="1172"/>
      <c r="M2595" s="1172"/>
      <c r="N2595" s="1175"/>
      <c r="O2595" s="143"/>
      <c r="P2595" s="1196"/>
      <c r="Q2595" s="141"/>
      <c r="R2595" s="141"/>
      <c r="S2595" s="148"/>
      <c r="T2595" s="419"/>
      <c r="U2595" s="559"/>
      <c r="V2595" s="141"/>
      <c r="W2595" s="141"/>
      <c r="X2595" s="141"/>
      <c r="Y2595" s="144"/>
      <c r="Z2595" s="141"/>
      <c r="AA2595" s="141"/>
      <c r="AB2595" s="141"/>
      <c r="AC2595" s="141"/>
      <c r="AD2595" s="141"/>
      <c r="AE2595" s="141"/>
      <c r="AF2595" s="145"/>
      <c r="AG2595" s="419"/>
    </row>
    <row r="2596" spans="1:33" s="139" customFormat="1" ht="12.75" customHeight="1" x14ac:dyDescent="0.2">
      <c r="A2596" s="141"/>
      <c r="B2596" s="141"/>
      <c r="C2596" s="141"/>
      <c r="D2596" s="141"/>
      <c r="E2596" s="1014"/>
      <c r="F2596" s="1014"/>
      <c r="G2596" s="1027"/>
      <c r="H2596" s="1027"/>
      <c r="I2596" s="1174"/>
      <c r="J2596" s="1174"/>
      <c r="K2596" s="1174"/>
      <c r="L2596" s="1172"/>
      <c r="M2596" s="1172"/>
      <c r="N2596" s="1175"/>
      <c r="O2596" s="143"/>
      <c r="P2596" s="1196"/>
      <c r="Q2596" s="141"/>
      <c r="R2596" s="141"/>
      <c r="S2596" s="148"/>
      <c r="T2596" s="419"/>
      <c r="U2596" s="559"/>
      <c r="V2596" s="141"/>
      <c r="W2596" s="141"/>
      <c r="X2596" s="141"/>
      <c r="Y2596" s="144"/>
      <c r="Z2596" s="141"/>
      <c r="AA2596" s="141"/>
      <c r="AB2596" s="141"/>
      <c r="AC2596" s="141"/>
      <c r="AD2596" s="141"/>
      <c r="AE2596" s="141"/>
      <c r="AF2596" s="145"/>
      <c r="AG2596" s="419"/>
    </row>
    <row r="2597" spans="1:33" s="139" customFormat="1" ht="12.75" customHeight="1" x14ac:dyDescent="0.2">
      <c r="A2597" s="141"/>
      <c r="B2597" s="141"/>
      <c r="C2597" s="141"/>
      <c r="D2597" s="141"/>
      <c r="E2597" s="1014"/>
      <c r="F2597" s="1014"/>
      <c r="G2597" s="1027"/>
      <c r="H2597" s="1027"/>
      <c r="I2597" s="1174"/>
      <c r="J2597" s="1174"/>
      <c r="K2597" s="1174"/>
      <c r="L2597" s="1172"/>
      <c r="M2597" s="1172"/>
      <c r="N2597" s="1175"/>
      <c r="O2597" s="143"/>
      <c r="P2597" s="1196"/>
      <c r="Q2597" s="141"/>
      <c r="R2597" s="141"/>
      <c r="S2597" s="148"/>
      <c r="T2597" s="419"/>
      <c r="U2597" s="559"/>
      <c r="V2597" s="141"/>
      <c r="W2597" s="141"/>
      <c r="X2597" s="141"/>
      <c r="Y2597" s="144"/>
      <c r="Z2597" s="141"/>
      <c r="AA2597" s="141"/>
      <c r="AB2597" s="141"/>
      <c r="AC2597" s="141"/>
      <c r="AD2597" s="141"/>
      <c r="AE2597" s="141"/>
      <c r="AF2597" s="145"/>
      <c r="AG2597" s="419"/>
    </row>
    <row r="2598" spans="1:33" s="139" customFormat="1" ht="12.75" customHeight="1" x14ac:dyDescent="0.2">
      <c r="A2598" s="141"/>
      <c r="B2598" s="141"/>
      <c r="C2598" s="141"/>
      <c r="D2598" s="141"/>
      <c r="E2598" s="1014"/>
      <c r="F2598" s="1014"/>
      <c r="G2598" s="1027"/>
      <c r="H2598" s="1027"/>
      <c r="I2598" s="1174"/>
      <c r="J2598" s="1174"/>
      <c r="K2598" s="1174"/>
      <c r="L2598" s="1172"/>
      <c r="M2598" s="1172"/>
      <c r="N2598" s="1175"/>
      <c r="O2598" s="143"/>
      <c r="P2598" s="1196"/>
      <c r="Q2598" s="141"/>
      <c r="R2598" s="141"/>
      <c r="S2598" s="148"/>
      <c r="T2598" s="419"/>
      <c r="U2598" s="559"/>
      <c r="V2598" s="141"/>
      <c r="W2598" s="141"/>
      <c r="X2598" s="141"/>
      <c r="Y2598" s="144"/>
      <c r="Z2598" s="141"/>
      <c r="AA2598" s="141"/>
      <c r="AB2598" s="141"/>
      <c r="AC2598" s="141"/>
      <c r="AD2598" s="141"/>
      <c r="AE2598" s="141"/>
      <c r="AF2598" s="145"/>
      <c r="AG2598" s="419"/>
    </row>
    <row r="2599" spans="1:33" s="139" customFormat="1" ht="12.75" customHeight="1" x14ac:dyDescent="0.2">
      <c r="A2599" s="141"/>
      <c r="B2599" s="141"/>
      <c r="C2599" s="141"/>
      <c r="D2599" s="141"/>
      <c r="E2599" s="1014"/>
      <c r="F2599" s="1014"/>
      <c r="G2599" s="1027"/>
      <c r="H2599" s="1027"/>
      <c r="I2599" s="1174"/>
      <c r="J2599" s="1174"/>
      <c r="K2599" s="1174"/>
      <c r="L2599" s="1172"/>
      <c r="M2599" s="1172"/>
      <c r="N2599" s="1175"/>
      <c r="O2599" s="143"/>
      <c r="P2599" s="1196"/>
      <c r="Q2599" s="141"/>
      <c r="R2599" s="141"/>
      <c r="S2599" s="148"/>
      <c r="T2599" s="419"/>
      <c r="U2599" s="559"/>
      <c r="V2599" s="141"/>
      <c r="W2599" s="141"/>
      <c r="X2599" s="141"/>
      <c r="Y2599" s="144"/>
      <c r="Z2599" s="141"/>
      <c r="AA2599" s="141"/>
      <c r="AB2599" s="141"/>
      <c r="AC2599" s="141"/>
      <c r="AD2599" s="141"/>
      <c r="AE2599" s="141"/>
      <c r="AF2599" s="145"/>
      <c r="AG2599" s="419"/>
    </row>
    <row r="2600" spans="1:33" s="139" customFormat="1" ht="12.75" customHeight="1" x14ac:dyDescent="0.2">
      <c r="A2600" s="141"/>
      <c r="B2600" s="141"/>
      <c r="C2600" s="141"/>
      <c r="D2600" s="141"/>
      <c r="E2600" s="1014"/>
      <c r="F2600" s="1014"/>
      <c r="G2600" s="1027"/>
      <c r="H2600" s="1027"/>
      <c r="I2600" s="1174"/>
      <c r="J2600" s="1174"/>
      <c r="K2600" s="1174"/>
      <c r="L2600" s="1172"/>
      <c r="M2600" s="1172"/>
      <c r="N2600" s="1175"/>
      <c r="O2600" s="143"/>
      <c r="P2600" s="1196"/>
      <c r="Q2600" s="141"/>
      <c r="R2600" s="141"/>
      <c r="S2600" s="148"/>
      <c r="T2600" s="419"/>
      <c r="U2600" s="559"/>
      <c r="V2600" s="141"/>
      <c r="W2600" s="141"/>
      <c r="X2600" s="141"/>
      <c r="Y2600" s="144"/>
      <c r="Z2600" s="141"/>
      <c r="AA2600" s="141"/>
      <c r="AB2600" s="141"/>
      <c r="AC2600" s="141"/>
      <c r="AD2600" s="141"/>
      <c r="AE2600" s="141"/>
      <c r="AF2600" s="145"/>
      <c r="AG2600" s="419"/>
    </row>
    <row r="2601" spans="1:33" s="139" customFormat="1" ht="12.75" customHeight="1" x14ac:dyDescent="0.2">
      <c r="A2601" s="141"/>
      <c r="B2601" s="141"/>
      <c r="C2601" s="141"/>
      <c r="D2601" s="141"/>
      <c r="E2601" s="1014"/>
      <c r="F2601" s="1014"/>
      <c r="G2601" s="1027"/>
      <c r="H2601" s="1027"/>
      <c r="I2601" s="1174"/>
      <c r="J2601" s="1174"/>
      <c r="K2601" s="1174"/>
      <c r="L2601" s="1172"/>
      <c r="M2601" s="1172"/>
      <c r="N2601" s="1175"/>
      <c r="O2601" s="143"/>
      <c r="P2601" s="1196"/>
      <c r="Q2601" s="141"/>
      <c r="R2601" s="141"/>
      <c r="S2601" s="148"/>
      <c r="T2601" s="419"/>
      <c r="U2601" s="559"/>
      <c r="V2601" s="141"/>
      <c r="W2601" s="141"/>
      <c r="X2601" s="141"/>
      <c r="Y2601" s="144"/>
      <c r="Z2601" s="141"/>
      <c r="AA2601" s="141"/>
      <c r="AB2601" s="141"/>
      <c r="AC2601" s="141"/>
      <c r="AD2601" s="141"/>
      <c r="AE2601" s="141"/>
      <c r="AF2601" s="145"/>
      <c r="AG2601" s="419"/>
    </row>
    <row r="2602" spans="1:33" s="139" customFormat="1" ht="12.75" customHeight="1" x14ac:dyDescent="0.2">
      <c r="A2602" s="141"/>
      <c r="B2602" s="141"/>
      <c r="C2602" s="141"/>
      <c r="D2602" s="141"/>
      <c r="E2602" s="1014"/>
      <c r="F2602" s="1014"/>
      <c r="G2602" s="1027"/>
      <c r="H2602" s="1027"/>
      <c r="I2602" s="1174"/>
      <c r="J2602" s="1174"/>
      <c r="K2602" s="1174"/>
      <c r="L2602" s="1172"/>
      <c r="M2602" s="1172"/>
      <c r="N2602" s="1175"/>
      <c r="O2602" s="143"/>
      <c r="P2602" s="1196"/>
      <c r="Q2602" s="141"/>
      <c r="R2602" s="141"/>
      <c r="S2602" s="148"/>
      <c r="T2602" s="419"/>
      <c r="U2602" s="559"/>
      <c r="V2602" s="141"/>
      <c r="W2602" s="141"/>
      <c r="X2602" s="141"/>
      <c r="Y2602" s="144"/>
      <c r="Z2602" s="141"/>
      <c r="AA2602" s="141"/>
      <c r="AB2602" s="141"/>
      <c r="AC2602" s="141"/>
      <c r="AD2602" s="141"/>
      <c r="AE2602" s="141"/>
      <c r="AF2602" s="145"/>
      <c r="AG2602" s="419"/>
    </row>
    <row r="2603" spans="1:33" s="139" customFormat="1" ht="12.75" customHeight="1" x14ac:dyDescent="0.2">
      <c r="A2603" s="141"/>
      <c r="B2603" s="141"/>
      <c r="C2603" s="141"/>
      <c r="D2603" s="141"/>
      <c r="E2603" s="1014"/>
      <c r="F2603" s="1014"/>
      <c r="G2603" s="1027"/>
      <c r="H2603" s="1027"/>
      <c r="I2603" s="1174"/>
      <c r="J2603" s="1174"/>
      <c r="K2603" s="1174"/>
      <c r="L2603" s="1172"/>
      <c r="M2603" s="1172"/>
      <c r="N2603" s="1175"/>
      <c r="O2603" s="143"/>
      <c r="P2603" s="1196"/>
      <c r="Q2603" s="141"/>
      <c r="R2603" s="141"/>
      <c r="S2603" s="148"/>
      <c r="T2603" s="419"/>
      <c r="U2603" s="559"/>
      <c r="V2603" s="141"/>
      <c r="W2603" s="141"/>
      <c r="X2603" s="141"/>
      <c r="Y2603" s="144"/>
      <c r="Z2603" s="141"/>
      <c r="AA2603" s="141"/>
      <c r="AB2603" s="141"/>
      <c r="AC2603" s="141"/>
      <c r="AD2603" s="141"/>
      <c r="AE2603" s="141"/>
      <c r="AF2603" s="145"/>
      <c r="AG2603" s="419"/>
    </row>
    <row r="2604" spans="1:33" s="139" customFormat="1" ht="12.75" customHeight="1" x14ac:dyDescent="0.2">
      <c r="A2604" s="141"/>
      <c r="B2604" s="141"/>
      <c r="C2604" s="141"/>
      <c r="D2604" s="141"/>
      <c r="E2604" s="1014"/>
      <c r="F2604" s="1014"/>
      <c r="G2604" s="1027"/>
      <c r="H2604" s="1027"/>
      <c r="I2604" s="1174"/>
      <c r="J2604" s="1174"/>
      <c r="K2604" s="1174"/>
      <c r="L2604" s="1172"/>
      <c r="M2604" s="1172"/>
      <c r="N2604" s="1175"/>
      <c r="O2604" s="143"/>
      <c r="P2604" s="1196"/>
      <c r="Q2604" s="141"/>
      <c r="R2604" s="141"/>
      <c r="S2604" s="148"/>
      <c r="T2604" s="419"/>
      <c r="U2604" s="559"/>
      <c r="V2604" s="141"/>
      <c r="W2604" s="141"/>
      <c r="X2604" s="141"/>
      <c r="Y2604" s="144"/>
      <c r="Z2604" s="141"/>
      <c r="AA2604" s="141"/>
      <c r="AB2604" s="141"/>
      <c r="AC2604" s="141"/>
      <c r="AD2604" s="141"/>
      <c r="AE2604" s="141"/>
      <c r="AF2604" s="145"/>
      <c r="AG2604" s="419"/>
    </row>
    <row r="2605" spans="1:33" s="139" customFormat="1" ht="12.75" customHeight="1" x14ac:dyDescent="0.2">
      <c r="A2605" s="141"/>
      <c r="B2605" s="141"/>
      <c r="C2605" s="141"/>
      <c r="D2605" s="141"/>
      <c r="E2605" s="1014"/>
      <c r="F2605" s="1014"/>
      <c r="G2605" s="1027"/>
      <c r="H2605" s="1027"/>
      <c r="I2605" s="1174"/>
      <c r="J2605" s="1174"/>
      <c r="K2605" s="1174"/>
      <c r="L2605" s="1172"/>
      <c r="M2605" s="1172"/>
      <c r="N2605" s="1175"/>
      <c r="O2605" s="143"/>
      <c r="P2605" s="1196"/>
      <c r="Q2605" s="141"/>
      <c r="R2605" s="141"/>
      <c r="S2605" s="148"/>
      <c r="T2605" s="419"/>
      <c r="U2605" s="559"/>
      <c r="V2605" s="141"/>
      <c r="W2605" s="141"/>
      <c r="X2605" s="141"/>
      <c r="Y2605" s="144"/>
      <c r="Z2605" s="141"/>
      <c r="AA2605" s="141"/>
      <c r="AB2605" s="141"/>
      <c r="AC2605" s="141"/>
      <c r="AD2605" s="141"/>
      <c r="AE2605" s="141"/>
      <c r="AF2605" s="145"/>
      <c r="AG2605" s="419"/>
    </row>
    <row r="2606" spans="1:33" s="139" customFormat="1" ht="12.75" customHeight="1" x14ac:dyDescent="0.2">
      <c r="A2606" s="141"/>
      <c r="B2606" s="141"/>
      <c r="C2606" s="141"/>
      <c r="D2606" s="141"/>
      <c r="E2606" s="1014"/>
      <c r="F2606" s="1014"/>
      <c r="G2606" s="1027"/>
      <c r="H2606" s="1027"/>
      <c r="I2606" s="1174"/>
      <c r="J2606" s="1174"/>
      <c r="K2606" s="1174"/>
      <c r="L2606" s="1172"/>
      <c r="M2606" s="1172"/>
      <c r="N2606" s="1175"/>
      <c r="O2606" s="143"/>
      <c r="P2606" s="1196"/>
      <c r="Q2606" s="141"/>
      <c r="R2606" s="141"/>
      <c r="S2606" s="148"/>
      <c r="T2606" s="419"/>
      <c r="U2606" s="559"/>
      <c r="V2606" s="141"/>
      <c r="W2606" s="141"/>
      <c r="X2606" s="141"/>
      <c r="Y2606" s="144"/>
      <c r="Z2606" s="141"/>
      <c r="AA2606" s="141"/>
      <c r="AB2606" s="141"/>
      <c r="AC2606" s="141"/>
      <c r="AD2606" s="141"/>
      <c r="AE2606" s="141"/>
      <c r="AF2606" s="145"/>
      <c r="AG2606" s="419"/>
    </row>
    <row r="2607" spans="1:33" s="139" customFormat="1" ht="12.75" customHeight="1" x14ac:dyDescent="0.2">
      <c r="A2607" s="141"/>
      <c r="B2607" s="141"/>
      <c r="C2607" s="141"/>
      <c r="D2607" s="141"/>
      <c r="E2607" s="1014"/>
      <c r="F2607" s="1014"/>
      <c r="G2607" s="1027"/>
      <c r="H2607" s="1027"/>
      <c r="I2607" s="1174"/>
      <c r="J2607" s="1174"/>
      <c r="K2607" s="1174"/>
      <c r="L2607" s="1172"/>
      <c r="M2607" s="1172"/>
      <c r="N2607" s="1175"/>
      <c r="O2607" s="143"/>
      <c r="P2607" s="1196"/>
      <c r="Q2607" s="141"/>
      <c r="R2607" s="141"/>
      <c r="S2607" s="148"/>
      <c r="T2607" s="419"/>
      <c r="U2607" s="559"/>
      <c r="V2607" s="141"/>
      <c r="W2607" s="141"/>
      <c r="X2607" s="141"/>
      <c r="Y2607" s="144"/>
      <c r="Z2607" s="141"/>
      <c r="AA2607" s="141"/>
      <c r="AB2607" s="141"/>
      <c r="AC2607" s="141"/>
      <c r="AD2607" s="141"/>
      <c r="AE2607" s="141"/>
      <c r="AF2607" s="145"/>
      <c r="AG2607" s="419"/>
    </row>
    <row r="2608" spans="1:33" s="139" customFormat="1" ht="12.75" customHeight="1" x14ac:dyDescent="0.2">
      <c r="A2608" s="141"/>
      <c r="B2608" s="141"/>
      <c r="C2608" s="141"/>
      <c r="D2608" s="141"/>
      <c r="E2608" s="1014"/>
      <c r="F2608" s="1014"/>
      <c r="G2608" s="1027"/>
      <c r="H2608" s="1027"/>
      <c r="I2608" s="1174"/>
      <c r="J2608" s="1174"/>
      <c r="K2608" s="1174"/>
      <c r="L2608" s="1172"/>
      <c r="M2608" s="1172"/>
      <c r="N2608" s="1175"/>
      <c r="O2608" s="143"/>
      <c r="P2608" s="1196"/>
      <c r="Q2608" s="141"/>
      <c r="R2608" s="141"/>
      <c r="S2608" s="148"/>
      <c r="T2608" s="419"/>
      <c r="U2608" s="559"/>
      <c r="V2608" s="141"/>
      <c r="W2608" s="141"/>
      <c r="X2608" s="141"/>
      <c r="Y2608" s="144"/>
      <c r="Z2608" s="141"/>
      <c r="AA2608" s="141"/>
      <c r="AB2608" s="141"/>
      <c r="AC2608" s="141"/>
      <c r="AD2608" s="141"/>
      <c r="AE2608" s="141"/>
      <c r="AF2608" s="145"/>
      <c r="AG2608" s="419"/>
    </row>
    <row r="2609" spans="1:33" s="139" customFormat="1" ht="12.75" customHeight="1" x14ac:dyDescent="0.2">
      <c r="A2609" s="141"/>
      <c r="B2609" s="141"/>
      <c r="C2609" s="141"/>
      <c r="D2609" s="141"/>
      <c r="E2609" s="1014"/>
      <c r="F2609" s="1014"/>
      <c r="G2609" s="1027"/>
      <c r="H2609" s="1027"/>
      <c r="I2609" s="1174"/>
      <c r="J2609" s="1174"/>
      <c r="K2609" s="1174"/>
      <c r="L2609" s="1172"/>
      <c r="M2609" s="1172"/>
      <c r="N2609" s="1175"/>
      <c r="O2609" s="143"/>
      <c r="P2609" s="1196"/>
      <c r="Q2609" s="141"/>
      <c r="R2609" s="141"/>
      <c r="S2609" s="148"/>
      <c r="T2609" s="419"/>
      <c r="U2609" s="559"/>
      <c r="V2609" s="141"/>
      <c r="W2609" s="141"/>
      <c r="X2609" s="141"/>
      <c r="Y2609" s="144"/>
      <c r="Z2609" s="141"/>
      <c r="AA2609" s="141"/>
      <c r="AB2609" s="141"/>
      <c r="AC2609" s="141"/>
      <c r="AD2609" s="141"/>
      <c r="AE2609" s="141"/>
      <c r="AF2609" s="145"/>
      <c r="AG2609" s="419"/>
    </row>
    <row r="2610" spans="1:33" s="139" customFormat="1" ht="12.75" customHeight="1" x14ac:dyDescent="0.2">
      <c r="A2610" s="141"/>
      <c r="B2610" s="141"/>
      <c r="C2610" s="141"/>
      <c r="D2610" s="141"/>
      <c r="E2610" s="1014"/>
      <c r="F2610" s="1014"/>
      <c r="G2610" s="1027"/>
      <c r="H2610" s="1027"/>
      <c r="I2610" s="1174"/>
      <c r="J2610" s="1174"/>
      <c r="K2610" s="1174"/>
      <c r="L2610" s="1172"/>
      <c r="M2610" s="1172"/>
      <c r="N2610" s="1175"/>
      <c r="O2610" s="143"/>
      <c r="P2610" s="1196"/>
      <c r="Q2610" s="141"/>
      <c r="R2610" s="141"/>
      <c r="S2610" s="148"/>
      <c r="T2610" s="419"/>
      <c r="U2610" s="559"/>
      <c r="V2610" s="141"/>
      <c r="W2610" s="141"/>
      <c r="X2610" s="141"/>
      <c r="Y2610" s="144"/>
      <c r="Z2610" s="141"/>
      <c r="AA2610" s="141"/>
      <c r="AB2610" s="141"/>
      <c r="AC2610" s="141"/>
      <c r="AD2610" s="141"/>
      <c r="AE2610" s="141"/>
      <c r="AF2610" s="145"/>
      <c r="AG2610" s="419"/>
    </row>
    <row r="2611" spans="1:33" s="139" customFormat="1" ht="12.75" customHeight="1" x14ac:dyDescent="0.2">
      <c r="A2611" s="141"/>
      <c r="B2611" s="141"/>
      <c r="C2611" s="141"/>
      <c r="D2611" s="141"/>
      <c r="E2611" s="1014"/>
      <c r="F2611" s="1014"/>
      <c r="G2611" s="1027"/>
      <c r="H2611" s="1027"/>
      <c r="I2611" s="1174"/>
      <c r="J2611" s="1174"/>
      <c r="K2611" s="1174"/>
      <c r="L2611" s="1172"/>
      <c r="M2611" s="1172"/>
      <c r="N2611" s="1175"/>
      <c r="O2611" s="143"/>
      <c r="P2611" s="1196"/>
      <c r="Q2611" s="141"/>
      <c r="R2611" s="141"/>
      <c r="S2611" s="148"/>
      <c r="T2611" s="419"/>
      <c r="U2611" s="559"/>
      <c r="V2611" s="141"/>
      <c r="W2611" s="141"/>
      <c r="X2611" s="141"/>
      <c r="Y2611" s="144"/>
      <c r="Z2611" s="141"/>
      <c r="AA2611" s="141"/>
      <c r="AB2611" s="141"/>
      <c r="AC2611" s="141"/>
      <c r="AD2611" s="141"/>
      <c r="AE2611" s="141"/>
      <c r="AF2611" s="145"/>
      <c r="AG2611" s="419"/>
    </row>
    <row r="2612" spans="1:33" s="139" customFormat="1" ht="12.75" customHeight="1" x14ac:dyDescent="0.2">
      <c r="A2612" s="141"/>
      <c r="B2612" s="141"/>
      <c r="C2612" s="141"/>
      <c r="D2612" s="141"/>
      <c r="E2612" s="1014"/>
      <c r="F2612" s="1014"/>
      <c r="G2612" s="1027"/>
      <c r="H2612" s="1027"/>
      <c r="I2612" s="1174"/>
      <c r="J2612" s="1174"/>
      <c r="K2612" s="1174"/>
      <c r="L2612" s="1172"/>
      <c r="M2612" s="1172"/>
      <c r="N2612" s="1175"/>
      <c r="O2612" s="143"/>
      <c r="P2612" s="1196"/>
      <c r="Q2612" s="141"/>
      <c r="R2612" s="141"/>
      <c r="S2612" s="148"/>
      <c r="T2612" s="419"/>
      <c r="U2612" s="559"/>
      <c r="V2612" s="141"/>
      <c r="W2612" s="141"/>
      <c r="X2612" s="141"/>
      <c r="Y2612" s="144"/>
      <c r="Z2612" s="141"/>
      <c r="AA2612" s="141"/>
      <c r="AB2612" s="141"/>
      <c r="AC2612" s="141"/>
      <c r="AD2612" s="141"/>
      <c r="AE2612" s="141"/>
      <c r="AF2612" s="145"/>
      <c r="AG2612" s="419"/>
    </row>
    <row r="2613" spans="1:33" s="139" customFormat="1" ht="12.75" customHeight="1" x14ac:dyDescent="0.2">
      <c r="A2613" s="141"/>
      <c r="B2613" s="141"/>
      <c r="C2613" s="141"/>
      <c r="D2613" s="141"/>
      <c r="E2613" s="1014"/>
      <c r="F2613" s="1014"/>
      <c r="G2613" s="1027"/>
      <c r="H2613" s="1027"/>
      <c r="I2613" s="1174"/>
      <c r="J2613" s="1174"/>
      <c r="K2613" s="1174"/>
      <c r="L2613" s="1172"/>
      <c r="M2613" s="1172"/>
      <c r="N2613" s="1175"/>
      <c r="O2613" s="143"/>
      <c r="P2613" s="1196"/>
      <c r="Q2613" s="141"/>
      <c r="R2613" s="141"/>
      <c r="S2613" s="148"/>
      <c r="T2613" s="419"/>
      <c r="U2613" s="559"/>
      <c r="V2613" s="141"/>
      <c r="W2613" s="141"/>
      <c r="X2613" s="141"/>
      <c r="Y2613" s="144"/>
      <c r="Z2613" s="141"/>
      <c r="AA2613" s="141"/>
      <c r="AB2613" s="141"/>
      <c r="AC2613" s="141"/>
      <c r="AD2613" s="141"/>
      <c r="AE2613" s="141"/>
      <c r="AF2613" s="145"/>
      <c r="AG2613" s="419"/>
    </row>
    <row r="2614" spans="1:33" s="139" customFormat="1" ht="12.75" customHeight="1" x14ac:dyDescent="0.2">
      <c r="A2614" s="141"/>
      <c r="B2614" s="141"/>
      <c r="C2614" s="141"/>
      <c r="D2614" s="141"/>
      <c r="E2614" s="1014"/>
      <c r="F2614" s="1014"/>
      <c r="G2614" s="1027"/>
      <c r="H2614" s="1027"/>
      <c r="I2614" s="1174"/>
      <c r="J2614" s="1174"/>
      <c r="K2614" s="1174"/>
      <c r="L2614" s="1172"/>
      <c r="M2614" s="1172"/>
      <c r="N2614" s="1175"/>
      <c r="O2614" s="143"/>
      <c r="P2614" s="1196"/>
      <c r="Q2614" s="141"/>
      <c r="R2614" s="141"/>
      <c r="S2614" s="148"/>
      <c r="T2614" s="419"/>
      <c r="U2614" s="559"/>
      <c r="V2614" s="141"/>
      <c r="W2614" s="141"/>
      <c r="X2614" s="141"/>
      <c r="Y2614" s="144"/>
      <c r="Z2614" s="141"/>
      <c r="AA2614" s="141"/>
      <c r="AB2614" s="141"/>
      <c r="AC2614" s="141"/>
      <c r="AD2614" s="141"/>
      <c r="AE2614" s="141"/>
      <c r="AF2614" s="145"/>
      <c r="AG2614" s="419"/>
    </row>
    <row r="2615" spans="1:33" s="139" customFormat="1" ht="12.75" customHeight="1" x14ac:dyDescent="0.2">
      <c r="A2615" s="141"/>
      <c r="B2615" s="141"/>
      <c r="C2615" s="141"/>
      <c r="D2615" s="141"/>
      <c r="E2615" s="1014"/>
      <c r="F2615" s="1014"/>
      <c r="G2615" s="1027"/>
      <c r="H2615" s="1027"/>
      <c r="I2615" s="1174"/>
      <c r="J2615" s="1174"/>
      <c r="K2615" s="1174"/>
      <c r="L2615" s="1172"/>
      <c r="M2615" s="1172"/>
      <c r="N2615" s="1175"/>
      <c r="O2615" s="143"/>
      <c r="P2615" s="1196"/>
      <c r="Q2615" s="141"/>
      <c r="R2615" s="141"/>
      <c r="S2615" s="148"/>
      <c r="T2615" s="419"/>
      <c r="U2615" s="559"/>
      <c r="V2615" s="141"/>
      <c r="W2615" s="141"/>
      <c r="X2615" s="141"/>
      <c r="Y2615" s="144"/>
      <c r="Z2615" s="141"/>
      <c r="AA2615" s="141"/>
      <c r="AB2615" s="141"/>
      <c r="AC2615" s="141"/>
      <c r="AD2615" s="141"/>
      <c r="AE2615" s="141"/>
      <c r="AF2615" s="145"/>
      <c r="AG2615" s="419"/>
    </row>
    <row r="2616" spans="1:33" s="139" customFormat="1" ht="12.75" customHeight="1" x14ac:dyDescent="0.2">
      <c r="A2616" s="141"/>
      <c r="B2616" s="141"/>
      <c r="C2616" s="141"/>
      <c r="D2616" s="141"/>
      <c r="E2616" s="1014"/>
      <c r="F2616" s="1014"/>
      <c r="G2616" s="1027"/>
      <c r="H2616" s="1027"/>
      <c r="I2616" s="1174"/>
      <c r="J2616" s="1174"/>
      <c r="K2616" s="1174"/>
      <c r="L2616" s="1172"/>
      <c r="M2616" s="1172"/>
      <c r="N2616" s="1175"/>
      <c r="O2616" s="143"/>
      <c r="P2616" s="1196"/>
      <c r="Q2616" s="141"/>
      <c r="R2616" s="141"/>
      <c r="S2616" s="148"/>
      <c r="T2616" s="419"/>
      <c r="U2616" s="559"/>
      <c r="V2616" s="141"/>
      <c r="W2616" s="141"/>
      <c r="X2616" s="141"/>
      <c r="Y2616" s="144"/>
      <c r="Z2616" s="141"/>
      <c r="AA2616" s="141"/>
      <c r="AB2616" s="141"/>
      <c r="AC2616" s="141"/>
      <c r="AD2616" s="141"/>
      <c r="AE2616" s="141"/>
      <c r="AF2616" s="145"/>
      <c r="AG2616" s="419"/>
    </row>
    <row r="2617" spans="1:33" s="139" customFormat="1" ht="12.75" customHeight="1" x14ac:dyDescent="0.2">
      <c r="A2617" s="141"/>
      <c r="B2617" s="141"/>
      <c r="C2617" s="141"/>
      <c r="D2617" s="141"/>
      <c r="E2617" s="1014"/>
      <c r="F2617" s="1014"/>
      <c r="G2617" s="1027"/>
      <c r="H2617" s="1027"/>
      <c r="I2617" s="1174"/>
      <c r="J2617" s="1174"/>
      <c r="K2617" s="1174"/>
      <c r="L2617" s="1172"/>
      <c r="M2617" s="1172"/>
      <c r="N2617" s="1175"/>
      <c r="O2617" s="143"/>
      <c r="P2617" s="1196"/>
      <c r="Q2617" s="141"/>
      <c r="R2617" s="141"/>
      <c r="S2617" s="148"/>
      <c r="T2617" s="419"/>
      <c r="U2617" s="559"/>
      <c r="V2617" s="141"/>
      <c r="W2617" s="141"/>
      <c r="X2617" s="141"/>
      <c r="Y2617" s="144"/>
      <c r="Z2617" s="141"/>
      <c r="AA2617" s="141"/>
      <c r="AB2617" s="141"/>
      <c r="AC2617" s="141"/>
      <c r="AD2617" s="141"/>
      <c r="AE2617" s="141"/>
      <c r="AF2617" s="145"/>
      <c r="AG2617" s="419"/>
    </row>
    <row r="2618" spans="1:33" s="139" customFormat="1" ht="12.75" customHeight="1" x14ac:dyDescent="0.2">
      <c r="A2618" s="141"/>
      <c r="B2618" s="141"/>
      <c r="C2618" s="141"/>
      <c r="D2618" s="141"/>
      <c r="E2618" s="1014"/>
      <c r="F2618" s="1014"/>
      <c r="G2618" s="1027"/>
      <c r="H2618" s="1027"/>
      <c r="I2618" s="1174"/>
      <c r="J2618" s="1174"/>
      <c r="K2618" s="1174"/>
      <c r="L2618" s="1172"/>
      <c r="M2618" s="1172"/>
      <c r="N2618" s="1175"/>
      <c r="O2618" s="143"/>
      <c r="P2618" s="1196"/>
      <c r="Q2618" s="141"/>
      <c r="R2618" s="141"/>
      <c r="S2618" s="148"/>
      <c r="T2618" s="419"/>
      <c r="U2618" s="559"/>
      <c r="V2618" s="141"/>
      <c r="W2618" s="141"/>
      <c r="X2618" s="141"/>
      <c r="Y2618" s="144"/>
      <c r="Z2618" s="141"/>
      <c r="AA2618" s="141"/>
      <c r="AB2618" s="141"/>
      <c r="AC2618" s="141"/>
      <c r="AD2618" s="141"/>
      <c r="AE2618" s="141"/>
      <c r="AF2618" s="145"/>
      <c r="AG2618" s="419"/>
    </row>
    <row r="2619" spans="1:33" s="139" customFormat="1" ht="12.75" customHeight="1" x14ac:dyDescent="0.2">
      <c r="A2619" s="141"/>
      <c r="B2619" s="141"/>
      <c r="C2619" s="141"/>
      <c r="D2619" s="141"/>
      <c r="E2619" s="1014"/>
      <c r="F2619" s="1014"/>
      <c r="G2619" s="1027"/>
      <c r="H2619" s="1027"/>
      <c r="I2619" s="1174"/>
      <c r="J2619" s="1174"/>
      <c r="K2619" s="1174"/>
      <c r="L2619" s="1172"/>
      <c r="M2619" s="1172"/>
      <c r="N2619" s="1175"/>
      <c r="O2619" s="143"/>
      <c r="P2619" s="1196"/>
      <c r="Q2619" s="141"/>
      <c r="R2619" s="141"/>
      <c r="S2619" s="148"/>
      <c r="T2619" s="419"/>
      <c r="U2619" s="559"/>
      <c r="V2619" s="141"/>
      <c r="W2619" s="141"/>
      <c r="X2619" s="141"/>
      <c r="Y2619" s="144"/>
      <c r="Z2619" s="141"/>
      <c r="AA2619" s="141"/>
      <c r="AB2619" s="141"/>
      <c r="AC2619" s="141"/>
      <c r="AD2619" s="141"/>
      <c r="AE2619" s="141"/>
      <c r="AF2619" s="145"/>
      <c r="AG2619" s="419"/>
    </row>
    <row r="2620" spans="1:33" s="139" customFormat="1" ht="12.75" customHeight="1" x14ac:dyDescent="0.2">
      <c r="A2620" s="141"/>
      <c r="B2620" s="141"/>
      <c r="C2620" s="141"/>
      <c r="D2620" s="141"/>
      <c r="E2620" s="1014"/>
      <c r="F2620" s="1014"/>
      <c r="G2620" s="1027"/>
      <c r="H2620" s="1027"/>
      <c r="I2620" s="1174"/>
      <c r="J2620" s="1174"/>
      <c r="K2620" s="1174"/>
      <c r="L2620" s="1172"/>
      <c r="M2620" s="1172"/>
      <c r="N2620" s="1175"/>
      <c r="O2620" s="143"/>
      <c r="P2620" s="1196"/>
      <c r="Q2620" s="141"/>
      <c r="R2620" s="141"/>
      <c r="S2620" s="148"/>
      <c r="T2620" s="419"/>
      <c r="U2620" s="559"/>
      <c r="V2620" s="141"/>
      <c r="W2620" s="141"/>
      <c r="X2620" s="141"/>
      <c r="Y2620" s="144"/>
      <c r="Z2620" s="141"/>
      <c r="AA2620" s="141"/>
      <c r="AB2620" s="141"/>
      <c r="AC2620" s="141"/>
      <c r="AD2620" s="141"/>
      <c r="AE2620" s="141"/>
      <c r="AF2620" s="145"/>
      <c r="AG2620" s="419"/>
    </row>
    <row r="2621" spans="1:33" s="139" customFormat="1" ht="12.75" customHeight="1" x14ac:dyDescent="0.2">
      <c r="A2621" s="141"/>
      <c r="B2621" s="141"/>
      <c r="C2621" s="141"/>
      <c r="D2621" s="141"/>
      <c r="E2621" s="1014"/>
      <c r="F2621" s="1014"/>
      <c r="G2621" s="1027"/>
      <c r="H2621" s="1027"/>
      <c r="I2621" s="1174"/>
      <c r="J2621" s="1174"/>
      <c r="K2621" s="1174"/>
      <c r="L2621" s="1172"/>
      <c r="M2621" s="1172"/>
      <c r="N2621" s="1175"/>
      <c r="O2621" s="143"/>
      <c r="P2621" s="1196"/>
      <c r="Q2621" s="141"/>
      <c r="R2621" s="141"/>
      <c r="S2621" s="148"/>
      <c r="T2621" s="419"/>
      <c r="U2621" s="559"/>
      <c r="V2621" s="141"/>
      <c r="W2621" s="141"/>
      <c r="X2621" s="141"/>
      <c r="Y2621" s="144"/>
      <c r="Z2621" s="141"/>
      <c r="AA2621" s="141"/>
      <c r="AB2621" s="141"/>
      <c r="AC2621" s="141"/>
      <c r="AD2621" s="141"/>
      <c r="AE2621" s="141"/>
      <c r="AF2621" s="145"/>
      <c r="AG2621" s="419"/>
    </row>
    <row r="2622" spans="1:33" s="139" customFormat="1" ht="12.75" customHeight="1" x14ac:dyDescent="0.2">
      <c r="A2622" s="141"/>
      <c r="B2622" s="141"/>
      <c r="C2622" s="141"/>
      <c r="D2622" s="141"/>
      <c r="E2622" s="1014"/>
      <c r="F2622" s="1014"/>
      <c r="G2622" s="1027"/>
      <c r="H2622" s="1027"/>
      <c r="I2622" s="1174"/>
      <c r="J2622" s="1174"/>
      <c r="K2622" s="1174"/>
      <c r="L2622" s="1172"/>
      <c r="M2622" s="1172"/>
      <c r="N2622" s="1175"/>
      <c r="O2622" s="143"/>
      <c r="P2622" s="1196"/>
      <c r="Q2622" s="141"/>
      <c r="R2622" s="141"/>
      <c r="S2622" s="148"/>
      <c r="T2622" s="419"/>
      <c r="U2622" s="559"/>
      <c r="V2622" s="141"/>
      <c r="W2622" s="141"/>
      <c r="X2622" s="141"/>
      <c r="Y2622" s="144"/>
      <c r="Z2622" s="141"/>
      <c r="AA2622" s="141"/>
      <c r="AB2622" s="141"/>
      <c r="AC2622" s="141"/>
      <c r="AD2622" s="141"/>
      <c r="AE2622" s="141"/>
      <c r="AF2622" s="145"/>
      <c r="AG2622" s="419"/>
    </row>
    <row r="2623" spans="1:33" s="139" customFormat="1" ht="12.75" customHeight="1" x14ac:dyDescent="0.2">
      <c r="A2623" s="141"/>
      <c r="B2623" s="141"/>
      <c r="C2623" s="141"/>
      <c r="D2623" s="141"/>
      <c r="E2623" s="1014"/>
      <c r="F2623" s="1014"/>
      <c r="G2623" s="1027"/>
      <c r="H2623" s="1027"/>
      <c r="I2623" s="1174"/>
      <c r="J2623" s="1174"/>
      <c r="K2623" s="1174"/>
      <c r="L2623" s="1172"/>
      <c r="M2623" s="1172"/>
      <c r="N2623" s="1175"/>
      <c r="O2623" s="143"/>
      <c r="P2623" s="1196"/>
      <c r="Q2623" s="141"/>
      <c r="R2623" s="141"/>
      <c r="S2623" s="148"/>
      <c r="T2623" s="419"/>
      <c r="U2623" s="559"/>
      <c r="V2623" s="141"/>
      <c r="W2623" s="141"/>
      <c r="X2623" s="141"/>
      <c r="Y2623" s="144"/>
      <c r="Z2623" s="141"/>
      <c r="AA2623" s="141"/>
      <c r="AB2623" s="141"/>
      <c r="AC2623" s="141"/>
      <c r="AD2623" s="141"/>
      <c r="AE2623" s="141"/>
      <c r="AF2623" s="145"/>
      <c r="AG2623" s="419"/>
    </row>
    <row r="2624" spans="1:33" s="139" customFormat="1" ht="12.75" customHeight="1" x14ac:dyDescent="0.2">
      <c r="A2624" s="141"/>
      <c r="B2624" s="141"/>
      <c r="C2624" s="141"/>
      <c r="D2624" s="141"/>
      <c r="E2624" s="1014"/>
      <c r="F2624" s="1014"/>
      <c r="G2624" s="1027"/>
      <c r="H2624" s="1027"/>
      <c r="I2624" s="1174"/>
      <c r="J2624" s="1174"/>
      <c r="K2624" s="1174"/>
      <c r="L2624" s="1172"/>
      <c r="M2624" s="1172"/>
      <c r="N2624" s="1175"/>
      <c r="O2624" s="143"/>
      <c r="P2624" s="1196"/>
      <c r="Q2624" s="141"/>
      <c r="R2624" s="141"/>
      <c r="S2624" s="148"/>
      <c r="T2624" s="419"/>
      <c r="U2624" s="559"/>
      <c r="V2624" s="141"/>
      <c r="W2624" s="141"/>
      <c r="X2624" s="141"/>
      <c r="Y2624" s="144"/>
      <c r="Z2624" s="141"/>
      <c r="AA2624" s="141"/>
      <c r="AB2624" s="141"/>
      <c r="AC2624" s="141"/>
      <c r="AD2624" s="141"/>
      <c r="AE2624" s="141"/>
      <c r="AF2624" s="145"/>
      <c r="AG2624" s="419"/>
    </row>
    <row r="2625" spans="1:33" s="139" customFormat="1" ht="12.75" customHeight="1" x14ac:dyDescent="0.2">
      <c r="A2625" s="141"/>
      <c r="B2625" s="141"/>
      <c r="C2625" s="141"/>
      <c r="D2625" s="141"/>
      <c r="E2625" s="1014"/>
      <c r="F2625" s="1014"/>
      <c r="G2625" s="1027"/>
      <c r="H2625" s="1027"/>
      <c r="I2625" s="1174"/>
      <c r="J2625" s="1174"/>
      <c r="K2625" s="1174"/>
      <c r="L2625" s="1172"/>
      <c r="M2625" s="1172"/>
      <c r="N2625" s="1175"/>
      <c r="O2625" s="143"/>
      <c r="P2625" s="1196"/>
      <c r="Q2625" s="141"/>
      <c r="R2625" s="141"/>
      <c r="S2625" s="148"/>
      <c r="T2625" s="419"/>
      <c r="U2625" s="559"/>
      <c r="V2625" s="141"/>
      <c r="W2625" s="141"/>
      <c r="X2625" s="141"/>
      <c r="Y2625" s="144"/>
      <c r="Z2625" s="141"/>
      <c r="AA2625" s="141"/>
      <c r="AB2625" s="141"/>
      <c r="AC2625" s="141"/>
      <c r="AD2625" s="141"/>
      <c r="AE2625" s="141"/>
      <c r="AF2625" s="145"/>
      <c r="AG2625" s="419"/>
    </row>
    <row r="2626" spans="1:33" s="139" customFormat="1" ht="12.75" customHeight="1" x14ac:dyDescent="0.2">
      <c r="A2626" s="141"/>
      <c r="B2626" s="141"/>
      <c r="C2626" s="141"/>
      <c r="D2626" s="141"/>
      <c r="E2626" s="1014"/>
      <c r="F2626" s="1014"/>
      <c r="G2626" s="1027"/>
      <c r="H2626" s="1027"/>
      <c r="I2626" s="1174"/>
      <c r="J2626" s="1174"/>
      <c r="K2626" s="1174"/>
      <c r="L2626" s="1172"/>
      <c r="M2626" s="1172"/>
      <c r="N2626" s="1175"/>
      <c r="O2626" s="143"/>
      <c r="P2626" s="1196"/>
      <c r="Q2626" s="141"/>
      <c r="R2626" s="141"/>
      <c r="S2626" s="148"/>
      <c r="T2626" s="419"/>
      <c r="U2626" s="559"/>
      <c r="V2626" s="141"/>
      <c r="W2626" s="141"/>
      <c r="X2626" s="141"/>
      <c r="Y2626" s="144"/>
      <c r="Z2626" s="141"/>
      <c r="AA2626" s="141"/>
      <c r="AB2626" s="141"/>
      <c r="AC2626" s="141"/>
      <c r="AD2626" s="141"/>
      <c r="AE2626" s="141"/>
      <c r="AF2626" s="145"/>
      <c r="AG2626" s="419"/>
    </row>
    <row r="2627" spans="1:33" s="139" customFormat="1" ht="12.75" customHeight="1" x14ac:dyDescent="0.2">
      <c r="A2627" s="141"/>
      <c r="B2627" s="141"/>
      <c r="C2627" s="141"/>
      <c r="D2627" s="141"/>
      <c r="E2627" s="1014"/>
      <c r="F2627" s="1014"/>
      <c r="G2627" s="1027"/>
      <c r="H2627" s="1027"/>
      <c r="I2627" s="1174"/>
      <c r="J2627" s="1174"/>
      <c r="K2627" s="1174"/>
      <c r="L2627" s="1172"/>
      <c r="M2627" s="1172"/>
      <c r="N2627" s="1175"/>
      <c r="O2627" s="143"/>
      <c r="P2627" s="1196"/>
      <c r="Q2627" s="141"/>
      <c r="R2627" s="141"/>
      <c r="S2627" s="148"/>
      <c r="T2627" s="419"/>
      <c r="U2627" s="559"/>
      <c r="V2627" s="141"/>
      <c r="W2627" s="141"/>
      <c r="X2627" s="141"/>
      <c r="Y2627" s="144"/>
      <c r="Z2627" s="141"/>
      <c r="AA2627" s="141"/>
      <c r="AB2627" s="141"/>
      <c r="AC2627" s="141"/>
      <c r="AD2627" s="141"/>
      <c r="AE2627" s="141"/>
      <c r="AF2627" s="145"/>
      <c r="AG2627" s="419"/>
    </row>
    <row r="2628" spans="1:33" s="139" customFormat="1" ht="12.75" customHeight="1" x14ac:dyDescent="0.2">
      <c r="A2628" s="141"/>
      <c r="B2628" s="141"/>
      <c r="C2628" s="141"/>
      <c r="D2628" s="141"/>
      <c r="E2628" s="1014"/>
      <c r="F2628" s="1014"/>
      <c r="G2628" s="1027"/>
      <c r="H2628" s="1027"/>
      <c r="I2628" s="1174"/>
      <c r="J2628" s="1174"/>
      <c r="K2628" s="1174"/>
      <c r="L2628" s="1172"/>
      <c r="M2628" s="1172"/>
      <c r="N2628" s="1175"/>
      <c r="O2628" s="143"/>
      <c r="P2628" s="1196"/>
      <c r="Q2628" s="141"/>
      <c r="R2628" s="141"/>
      <c r="S2628" s="148"/>
      <c r="T2628" s="419"/>
      <c r="U2628" s="559"/>
      <c r="V2628" s="141"/>
      <c r="W2628" s="141"/>
      <c r="X2628" s="141"/>
      <c r="Y2628" s="144"/>
      <c r="Z2628" s="141"/>
      <c r="AA2628" s="141"/>
      <c r="AB2628" s="141"/>
      <c r="AC2628" s="141"/>
      <c r="AD2628" s="141"/>
      <c r="AE2628" s="141"/>
      <c r="AF2628" s="145"/>
      <c r="AG2628" s="419"/>
    </row>
    <row r="2629" spans="1:33" s="139" customFormat="1" ht="12.75" customHeight="1" x14ac:dyDescent="0.2">
      <c r="A2629" s="141"/>
      <c r="B2629" s="141"/>
      <c r="C2629" s="141"/>
      <c r="D2629" s="141"/>
      <c r="E2629" s="1014"/>
      <c r="F2629" s="1014"/>
      <c r="G2629" s="1027"/>
      <c r="H2629" s="1027"/>
      <c r="I2629" s="1174"/>
      <c r="J2629" s="1174"/>
      <c r="K2629" s="1174"/>
      <c r="L2629" s="1172"/>
      <c r="M2629" s="1172"/>
      <c r="N2629" s="1175"/>
      <c r="O2629" s="143"/>
      <c r="P2629" s="1196"/>
      <c r="Q2629" s="141"/>
      <c r="R2629" s="141"/>
      <c r="S2629" s="148"/>
      <c r="T2629" s="419"/>
      <c r="U2629" s="559"/>
      <c r="V2629" s="141"/>
      <c r="W2629" s="141"/>
      <c r="X2629" s="141"/>
      <c r="Y2629" s="144"/>
      <c r="Z2629" s="141"/>
      <c r="AA2629" s="141"/>
      <c r="AB2629" s="141"/>
      <c r="AC2629" s="141"/>
      <c r="AD2629" s="141"/>
      <c r="AE2629" s="141"/>
      <c r="AF2629" s="145"/>
      <c r="AG2629" s="419"/>
    </row>
    <row r="2630" spans="1:33" s="139" customFormat="1" ht="12.75" customHeight="1" x14ac:dyDescent="0.2">
      <c r="A2630" s="141"/>
      <c r="B2630" s="141"/>
      <c r="C2630" s="141"/>
      <c r="D2630" s="141"/>
      <c r="E2630" s="1014"/>
      <c r="F2630" s="1014"/>
      <c r="G2630" s="1027"/>
      <c r="H2630" s="1027"/>
      <c r="I2630" s="1174"/>
      <c r="J2630" s="1174"/>
      <c r="K2630" s="1174"/>
      <c r="L2630" s="1172"/>
      <c r="M2630" s="1172"/>
      <c r="N2630" s="1175"/>
      <c r="O2630" s="143"/>
      <c r="P2630" s="1196"/>
      <c r="Q2630" s="141"/>
      <c r="R2630" s="141"/>
      <c r="S2630" s="148"/>
      <c r="T2630" s="419"/>
      <c r="U2630" s="559"/>
      <c r="V2630" s="141"/>
      <c r="W2630" s="141"/>
      <c r="X2630" s="141"/>
      <c r="Y2630" s="144"/>
      <c r="Z2630" s="141"/>
      <c r="AA2630" s="141"/>
      <c r="AB2630" s="141"/>
      <c r="AC2630" s="141"/>
      <c r="AD2630" s="141"/>
      <c r="AE2630" s="141"/>
      <c r="AF2630" s="145"/>
      <c r="AG2630" s="419"/>
    </row>
    <row r="2631" spans="1:33" s="139" customFormat="1" ht="12.75" customHeight="1" x14ac:dyDescent="0.2">
      <c r="A2631" s="141"/>
      <c r="B2631" s="141"/>
      <c r="C2631" s="141"/>
      <c r="D2631" s="141"/>
      <c r="E2631" s="1014"/>
      <c r="F2631" s="1014"/>
      <c r="G2631" s="1027"/>
      <c r="H2631" s="1027"/>
      <c r="I2631" s="1174"/>
      <c r="J2631" s="1174"/>
      <c r="K2631" s="1174"/>
      <c r="L2631" s="1172"/>
      <c r="M2631" s="1172"/>
      <c r="N2631" s="1175"/>
      <c r="O2631" s="143"/>
      <c r="P2631" s="1196"/>
      <c r="Q2631" s="141"/>
      <c r="R2631" s="141"/>
      <c r="S2631" s="148"/>
      <c r="T2631" s="419"/>
      <c r="U2631" s="559"/>
      <c r="V2631" s="141"/>
      <c r="W2631" s="141"/>
      <c r="X2631" s="141"/>
      <c r="Y2631" s="144"/>
      <c r="Z2631" s="141"/>
      <c r="AA2631" s="141"/>
      <c r="AB2631" s="141"/>
      <c r="AC2631" s="141"/>
      <c r="AD2631" s="141"/>
      <c r="AE2631" s="141"/>
      <c r="AF2631" s="145"/>
      <c r="AG2631" s="419"/>
    </row>
    <row r="2632" spans="1:33" s="139" customFormat="1" ht="12.75" customHeight="1" x14ac:dyDescent="0.2">
      <c r="A2632" s="141"/>
      <c r="B2632" s="141"/>
      <c r="C2632" s="141"/>
      <c r="D2632" s="141"/>
      <c r="E2632" s="1014"/>
      <c r="F2632" s="1014"/>
      <c r="G2632" s="1027"/>
      <c r="H2632" s="1027"/>
      <c r="I2632" s="1174"/>
      <c r="J2632" s="1174"/>
      <c r="K2632" s="1174"/>
      <c r="L2632" s="1172"/>
      <c r="M2632" s="1172"/>
      <c r="N2632" s="1175"/>
      <c r="O2632" s="143"/>
      <c r="P2632" s="1196"/>
      <c r="Q2632" s="141"/>
      <c r="R2632" s="141"/>
      <c r="S2632" s="148"/>
      <c r="T2632" s="419"/>
      <c r="U2632" s="559"/>
      <c r="V2632" s="141"/>
      <c r="W2632" s="141"/>
      <c r="X2632" s="141"/>
      <c r="Y2632" s="144"/>
      <c r="Z2632" s="141"/>
      <c r="AA2632" s="141"/>
      <c r="AB2632" s="141"/>
      <c r="AC2632" s="141"/>
      <c r="AD2632" s="141"/>
      <c r="AE2632" s="141"/>
      <c r="AF2632" s="145"/>
      <c r="AG2632" s="419"/>
    </row>
    <row r="2633" spans="1:33" s="139" customFormat="1" ht="12.75" customHeight="1" x14ac:dyDescent="0.2">
      <c r="A2633" s="141"/>
      <c r="B2633" s="141"/>
      <c r="C2633" s="141"/>
      <c r="D2633" s="141"/>
      <c r="E2633" s="1014"/>
      <c r="F2633" s="1014"/>
      <c r="G2633" s="1027"/>
      <c r="H2633" s="1027"/>
      <c r="I2633" s="1174"/>
      <c r="J2633" s="1174"/>
      <c r="K2633" s="1174"/>
      <c r="L2633" s="1172"/>
      <c r="M2633" s="1172"/>
      <c r="N2633" s="1175"/>
      <c r="O2633" s="143"/>
      <c r="P2633" s="1196"/>
      <c r="Q2633" s="141"/>
      <c r="R2633" s="141"/>
      <c r="S2633" s="148"/>
      <c r="T2633" s="419"/>
      <c r="U2633" s="559"/>
      <c r="V2633" s="141"/>
      <c r="W2633" s="141"/>
      <c r="X2633" s="141"/>
      <c r="Y2633" s="144"/>
      <c r="Z2633" s="141"/>
      <c r="AA2633" s="141"/>
      <c r="AB2633" s="141"/>
      <c r="AC2633" s="141"/>
      <c r="AD2633" s="141"/>
      <c r="AE2633" s="141"/>
      <c r="AF2633" s="145"/>
      <c r="AG2633" s="419"/>
    </row>
    <row r="2634" spans="1:33" s="139" customFormat="1" ht="12.75" customHeight="1" x14ac:dyDescent="0.2">
      <c r="A2634" s="141"/>
      <c r="B2634" s="141"/>
      <c r="C2634" s="141"/>
      <c r="D2634" s="141"/>
      <c r="E2634" s="1014"/>
      <c r="F2634" s="1014"/>
      <c r="G2634" s="1027"/>
      <c r="H2634" s="1027"/>
      <c r="I2634" s="1174"/>
      <c r="J2634" s="1174"/>
      <c r="K2634" s="1174"/>
      <c r="L2634" s="1172"/>
      <c r="M2634" s="1172"/>
      <c r="N2634" s="1175"/>
      <c r="O2634" s="143"/>
      <c r="P2634" s="1196"/>
      <c r="Q2634" s="141"/>
      <c r="R2634" s="141"/>
      <c r="S2634" s="148"/>
      <c r="T2634" s="419"/>
      <c r="U2634" s="559"/>
      <c r="V2634" s="141"/>
      <c r="W2634" s="141"/>
      <c r="X2634" s="141"/>
      <c r="Y2634" s="144"/>
      <c r="Z2634" s="141"/>
      <c r="AA2634" s="141"/>
      <c r="AB2634" s="141"/>
      <c r="AC2634" s="141"/>
      <c r="AD2634" s="141"/>
      <c r="AE2634" s="141"/>
      <c r="AF2634" s="145"/>
      <c r="AG2634" s="419"/>
    </row>
    <row r="2635" spans="1:33" s="139" customFormat="1" ht="12.75" customHeight="1" x14ac:dyDescent="0.2">
      <c r="A2635" s="141"/>
      <c r="B2635" s="141"/>
      <c r="C2635" s="141"/>
      <c r="D2635" s="141"/>
      <c r="E2635" s="1014"/>
      <c r="F2635" s="1014"/>
      <c r="G2635" s="1027"/>
      <c r="H2635" s="1027"/>
      <c r="I2635" s="1174"/>
      <c r="J2635" s="1174"/>
      <c r="K2635" s="1174"/>
      <c r="L2635" s="1172"/>
      <c r="M2635" s="1172"/>
      <c r="N2635" s="1175"/>
      <c r="O2635" s="143"/>
      <c r="P2635" s="1196"/>
      <c r="Q2635" s="141"/>
      <c r="R2635" s="141"/>
      <c r="S2635" s="148"/>
      <c r="T2635" s="419"/>
      <c r="U2635" s="559"/>
      <c r="V2635" s="141"/>
      <c r="W2635" s="141"/>
      <c r="X2635" s="141"/>
      <c r="Y2635" s="144"/>
      <c r="Z2635" s="141"/>
      <c r="AA2635" s="141"/>
      <c r="AB2635" s="141"/>
      <c r="AC2635" s="141"/>
      <c r="AD2635" s="141"/>
      <c r="AE2635" s="141"/>
      <c r="AF2635" s="145"/>
      <c r="AG2635" s="419"/>
    </row>
    <row r="2636" spans="1:33" s="139" customFormat="1" ht="12.75" customHeight="1" x14ac:dyDescent="0.2">
      <c r="A2636" s="141"/>
      <c r="B2636" s="141"/>
      <c r="C2636" s="141"/>
      <c r="D2636" s="141"/>
      <c r="E2636" s="1014"/>
      <c r="F2636" s="1014"/>
      <c r="G2636" s="1027"/>
      <c r="H2636" s="1027"/>
      <c r="I2636" s="1174"/>
      <c r="J2636" s="1174"/>
      <c r="K2636" s="1174"/>
      <c r="L2636" s="1172"/>
      <c r="M2636" s="1172"/>
      <c r="N2636" s="1175"/>
      <c r="O2636" s="143"/>
      <c r="P2636" s="1196"/>
      <c r="Q2636" s="141"/>
      <c r="R2636" s="141"/>
      <c r="S2636" s="148"/>
      <c r="T2636" s="419"/>
      <c r="U2636" s="559"/>
      <c r="V2636" s="141"/>
      <c r="W2636" s="141"/>
      <c r="X2636" s="141"/>
      <c r="Y2636" s="144"/>
      <c r="Z2636" s="141"/>
      <c r="AA2636" s="141"/>
      <c r="AB2636" s="141"/>
      <c r="AC2636" s="141"/>
      <c r="AD2636" s="141"/>
      <c r="AE2636" s="141"/>
      <c r="AF2636" s="145"/>
      <c r="AG2636" s="419"/>
    </row>
    <row r="2637" spans="1:33" s="139" customFormat="1" ht="12.75" customHeight="1" x14ac:dyDescent="0.2">
      <c r="A2637" s="141"/>
      <c r="B2637" s="141"/>
      <c r="C2637" s="141"/>
      <c r="D2637" s="141"/>
      <c r="E2637" s="1014"/>
      <c r="F2637" s="1014"/>
      <c r="G2637" s="1027"/>
      <c r="H2637" s="1027"/>
      <c r="I2637" s="1174"/>
      <c r="J2637" s="1174"/>
      <c r="K2637" s="1174"/>
      <c r="L2637" s="1172"/>
      <c r="M2637" s="1172"/>
      <c r="N2637" s="1175"/>
      <c r="O2637" s="143"/>
      <c r="P2637" s="1196"/>
      <c r="Q2637" s="141"/>
      <c r="R2637" s="141"/>
      <c r="S2637" s="148"/>
      <c r="T2637" s="419"/>
      <c r="U2637" s="559"/>
      <c r="V2637" s="141"/>
      <c r="W2637" s="141"/>
      <c r="X2637" s="141"/>
      <c r="Y2637" s="144"/>
      <c r="Z2637" s="141"/>
      <c r="AA2637" s="141"/>
      <c r="AB2637" s="141"/>
      <c r="AC2637" s="141"/>
      <c r="AD2637" s="141"/>
      <c r="AE2637" s="141"/>
      <c r="AF2637" s="145"/>
      <c r="AG2637" s="419"/>
    </row>
    <row r="2638" spans="1:33" s="139" customFormat="1" ht="12.75" customHeight="1" x14ac:dyDescent="0.2">
      <c r="A2638" s="141"/>
      <c r="B2638" s="141"/>
      <c r="C2638" s="141"/>
      <c r="D2638" s="141"/>
      <c r="E2638" s="1014"/>
      <c r="F2638" s="1014"/>
      <c r="G2638" s="1027"/>
      <c r="H2638" s="1027"/>
      <c r="I2638" s="1174"/>
      <c r="J2638" s="1174"/>
      <c r="K2638" s="1174"/>
      <c r="L2638" s="1172"/>
      <c r="M2638" s="1172"/>
      <c r="N2638" s="1175"/>
      <c r="O2638" s="143"/>
      <c r="P2638" s="1196"/>
      <c r="Q2638" s="141"/>
      <c r="R2638" s="141"/>
      <c r="S2638" s="148"/>
      <c r="T2638" s="419"/>
      <c r="U2638" s="559"/>
      <c r="V2638" s="141"/>
      <c r="W2638" s="141"/>
      <c r="X2638" s="141"/>
      <c r="Y2638" s="144"/>
      <c r="Z2638" s="141"/>
      <c r="AA2638" s="141"/>
      <c r="AB2638" s="141"/>
      <c r="AC2638" s="141"/>
      <c r="AD2638" s="141"/>
      <c r="AE2638" s="141"/>
      <c r="AF2638" s="145"/>
      <c r="AG2638" s="419"/>
    </row>
    <row r="2639" spans="1:33" s="139" customFormat="1" ht="12.75" customHeight="1" x14ac:dyDescent="0.2">
      <c r="A2639" s="141"/>
      <c r="B2639" s="141"/>
      <c r="C2639" s="141"/>
      <c r="D2639" s="141"/>
      <c r="E2639" s="1014"/>
      <c r="F2639" s="1014"/>
      <c r="G2639" s="1027"/>
      <c r="H2639" s="1027"/>
      <c r="I2639" s="1174"/>
      <c r="J2639" s="1174"/>
      <c r="K2639" s="1174"/>
      <c r="L2639" s="1172"/>
      <c r="M2639" s="1172"/>
      <c r="N2639" s="1175"/>
      <c r="O2639" s="143"/>
      <c r="P2639" s="1196"/>
      <c r="Q2639" s="141"/>
      <c r="R2639" s="141"/>
      <c r="S2639" s="148"/>
      <c r="T2639" s="419"/>
      <c r="U2639" s="559"/>
      <c r="V2639" s="141"/>
      <c r="W2639" s="141"/>
      <c r="X2639" s="141"/>
      <c r="Y2639" s="144"/>
      <c r="Z2639" s="141"/>
      <c r="AA2639" s="141"/>
      <c r="AB2639" s="141"/>
      <c r="AC2639" s="141"/>
      <c r="AD2639" s="141"/>
      <c r="AE2639" s="141"/>
      <c r="AF2639" s="145"/>
      <c r="AG2639" s="419"/>
    </row>
    <row r="2640" spans="1:33" s="139" customFormat="1" ht="12.75" customHeight="1" x14ac:dyDescent="0.2">
      <c r="A2640" s="141"/>
      <c r="B2640" s="141"/>
      <c r="C2640" s="141"/>
      <c r="D2640" s="141"/>
      <c r="E2640" s="1014"/>
      <c r="F2640" s="1014"/>
      <c r="G2640" s="1027"/>
      <c r="H2640" s="1027"/>
      <c r="I2640" s="1174"/>
      <c r="J2640" s="1174"/>
      <c r="K2640" s="1174"/>
      <c r="L2640" s="1172"/>
      <c r="M2640" s="1172"/>
      <c r="N2640" s="1175"/>
      <c r="O2640" s="143"/>
      <c r="P2640" s="1196"/>
      <c r="Q2640" s="141"/>
      <c r="R2640" s="141"/>
      <c r="S2640" s="148"/>
      <c r="T2640" s="419"/>
      <c r="U2640" s="559"/>
      <c r="V2640" s="141"/>
      <c r="W2640" s="141"/>
      <c r="X2640" s="141"/>
      <c r="Y2640" s="144"/>
      <c r="Z2640" s="141"/>
      <c r="AA2640" s="141"/>
      <c r="AB2640" s="141"/>
      <c r="AC2640" s="141"/>
      <c r="AD2640" s="141"/>
      <c r="AE2640" s="141"/>
      <c r="AF2640" s="145"/>
      <c r="AG2640" s="419"/>
    </row>
    <row r="2641" spans="1:33" s="139" customFormat="1" ht="12.75" customHeight="1" x14ac:dyDescent="0.2">
      <c r="A2641" s="141"/>
      <c r="B2641" s="141"/>
      <c r="C2641" s="141"/>
      <c r="D2641" s="141"/>
      <c r="E2641" s="1014"/>
      <c r="F2641" s="1014"/>
      <c r="G2641" s="1027"/>
      <c r="H2641" s="1027"/>
      <c r="I2641" s="1174"/>
      <c r="J2641" s="1174"/>
      <c r="K2641" s="1174"/>
      <c r="L2641" s="1172"/>
      <c r="M2641" s="1172"/>
      <c r="N2641" s="1175"/>
      <c r="O2641" s="143"/>
      <c r="P2641" s="1196"/>
      <c r="Q2641" s="141"/>
      <c r="R2641" s="141"/>
      <c r="S2641" s="148"/>
      <c r="T2641" s="419"/>
      <c r="U2641" s="559"/>
      <c r="V2641" s="141"/>
      <c r="W2641" s="141"/>
      <c r="X2641" s="141"/>
      <c r="Y2641" s="144"/>
      <c r="Z2641" s="141"/>
      <c r="AA2641" s="141"/>
      <c r="AB2641" s="141"/>
      <c r="AC2641" s="141"/>
      <c r="AD2641" s="141"/>
      <c r="AE2641" s="141"/>
      <c r="AF2641" s="145"/>
      <c r="AG2641" s="419"/>
    </row>
    <row r="2642" spans="1:33" s="139" customFormat="1" ht="12.75" customHeight="1" x14ac:dyDescent="0.2">
      <c r="A2642" s="141"/>
      <c r="B2642" s="141"/>
      <c r="C2642" s="141"/>
      <c r="D2642" s="141"/>
      <c r="E2642" s="1014"/>
      <c r="F2642" s="1014"/>
      <c r="G2642" s="1027"/>
      <c r="H2642" s="1027"/>
      <c r="I2642" s="1174"/>
      <c r="J2642" s="1174"/>
      <c r="K2642" s="1174"/>
      <c r="L2642" s="1172"/>
      <c r="M2642" s="1172"/>
      <c r="N2642" s="1175"/>
      <c r="O2642" s="143"/>
      <c r="P2642" s="1196"/>
      <c r="Q2642" s="141"/>
      <c r="R2642" s="141"/>
      <c r="S2642" s="148"/>
      <c r="T2642" s="419"/>
      <c r="U2642" s="559"/>
      <c r="V2642" s="141"/>
      <c r="W2642" s="141"/>
      <c r="X2642" s="141"/>
      <c r="Y2642" s="144"/>
      <c r="Z2642" s="141"/>
      <c r="AA2642" s="141"/>
      <c r="AB2642" s="141"/>
      <c r="AC2642" s="141"/>
      <c r="AD2642" s="141"/>
      <c r="AE2642" s="141"/>
      <c r="AF2642" s="145"/>
      <c r="AG2642" s="419"/>
    </row>
    <row r="2643" spans="1:33" s="139" customFormat="1" ht="12.75" customHeight="1" x14ac:dyDescent="0.2">
      <c r="A2643" s="141"/>
      <c r="B2643" s="141"/>
      <c r="C2643" s="141"/>
      <c r="D2643" s="141"/>
      <c r="E2643" s="1014"/>
      <c r="F2643" s="1014"/>
      <c r="G2643" s="1027"/>
      <c r="H2643" s="1027"/>
      <c r="I2643" s="1174"/>
      <c r="J2643" s="1174"/>
      <c r="K2643" s="1174"/>
      <c r="L2643" s="1172"/>
      <c r="M2643" s="1172"/>
      <c r="N2643" s="1175"/>
      <c r="O2643" s="143"/>
      <c r="P2643" s="1196"/>
      <c r="Q2643" s="141"/>
      <c r="R2643" s="141"/>
      <c r="S2643" s="148"/>
      <c r="T2643" s="419"/>
      <c r="U2643" s="559"/>
      <c r="V2643" s="141"/>
      <c r="W2643" s="141"/>
      <c r="X2643" s="141"/>
      <c r="Y2643" s="144"/>
      <c r="Z2643" s="141"/>
      <c r="AA2643" s="141"/>
      <c r="AB2643" s="141"/>
      <c r="AC2643" s="141"/>
      <c r="AD2643" s="141"/>
      <c r="AE2643" s="141"/>
      <c r="AF2643" s="145"/>
      <c r="AG2643" s="419"/>
    </row>
    <row r="2644" spans="1:33" s="139" customFormat="1" ht="12.75" customHeight="1" x14ac:dyDescent="0.2">
      <c r="A2644" s="141"/>
      <c r="B2644" s="141"/>
      <c r="C2644" s="141"/>
      <c r="D2644" s="141"/>
      <c r="E2644" s="1014"/>
      <c r="F2644" s="1014"/>
      <c r="G2644" s="1027"/>
      <c r="H2644" s="1027"/>
      <c r="I2644" s="1174"/>
      <c r="J2644" s="1174"/>
      <c r="K2644" s="1174"/>
      <c r="L2644" s="1172"/>
      <c r="M2644" s="1172"/>
      <c r="N2644" s="1175"/>
      <c r="O2644" s="143"/>
      <c r="P2644" s="1196"/>
      <c r="Q2644" s="141"/>
      <c r="R2644" s="141"/>
      <c r="S2644" s="148"/>
      <c r="T2644" s="419"/>
      <c r="U2644" s="559"/>
      <c r="V2644" s="141"/>
      <c r="W2644" s="141"/>
      <c r="X2644" s="141"/>
      <c r="Y2644" s="144"/>
      <c r="Z2644" s="141"/>
      <c r="AA2644" s="141"/>
      <c r="AB2644" s="141"/>
      <c r="AC2644" s="141"/>
      <c r="AD2644" s="141"/>
      <c r="AE2644" s="141"/>
      <c r="AF2644" s="145"/>
      <c r="AG2644" s="419"/>
    </row>
    <row r="2645" spans="1:33" s="139" customFormat="1" ht="12.75" customHeight="1" x14ac:dyDescent="0.2">
      <c r="A2645" s="141"/>
      <c r="B2645" s="141"/>
      <c r="C2645" s="141"/>
      <c r="D2645" s="141"/>
      <c r="E2645" s="1014"/>
      <c r="F2645" s="1014"/>
      <c r="G2645" s="1027"/>
      <c r="H2645" s="1027"/>
      <c r="I2645" s="1174"/>
      <c r="J2645" s="1174"/>
      <c r="K2645" s="1174"/>
      <c r="L2645" s="1172"/>
      <c r="M2645" s="1172"/>
      <c r="N2645" s="1175"/>
      <c r="O2645" s="143"/>
      <c r="P2645" s="1196"/>
      <c r="Q2645" s="141"/>
      <c r="R2645" s="141"/>
      <c r="S2645" s="148"/>
      <c r="T2645" s="419"/>
      <c r="U2645" s="559"/>
      <c r="V2645" s="141"/>
      <c r="W2645" s="141"/>
      <c r="X2645" s="141"/>
      <c r="Y2645" s="144"/>
      <c r="Z2645" s="141"/>
      <c r="AA2645" s="141"/>
      <c r="AB2645" s="141"/>
      <c r="AC2645" s="141"/>
      <c r="AD2645" s="141"/>
      <c r="AE2645" s="141"/>
      <c r="AF2645" s="145"/>
      <c r="AG2645" s="419"/>
    </row>
    <row r="2646" spans="1:33" s="139" customFormat="1" ht="12.75" customHeight="1" x14ac:dyDescent="0.2">
      <c r="A2646" s="141"/>
      <c r="B2646" s="141"/>
      <c r="C2646" s="141"/>
      <c r="D2646" s="141"/>
      <c r="E2646" s="1014"/>
      <c r="F2646" s="1014"/>
      <c r="G2646" s="1027"/>
      <c r="H2646" s="1027"/>
      <c r="I2646" s="1174"/>
      <c r="J2646" s="1174"/>
      <c r="K2646" s="1174"/>
      <c r="L2646" s="1172"/>
      <c r="M2646" s="1172"/>
      <c r="N2646" s="1175"/>
      <c r="O2646" s="143"/>
      <c r="P2646" s="1196"/>
      <c r="Q2646" s="141"/>
      <c r="R2646" s="141"/>
      <c r="S2646" s="148"/>
      <c r="T2646" s="419"/>
      <c r="U2646" s="559"/>
      <c r="V2646" s="141"/>
      <c r="W2646" s="141"/>
      <c r="X2646" s="141"/>
      <c r="Y2646" s="144"/>
      <c r="Z2646" s="141"/>
      <c r="AA2646" s="141"/>
      <c r="AB2646" s="141"/>
      <c r="AC2646" s="141"/>
      <c r="AD2646" s="141"/>
      <c r="AE2646" s="141"/>
      <c r="AF2646" s="145"/>
      <c r="AG2646" s="419"/>
    </row>
    <row r="2647" spans="1:33" s="139" customFormat="1" ht="12.75" customHeight="1" x14ac:dyDescent="0.2">
      <c r="A2647" s="141"/>
      <c r="B2647" s="141"/>
      <c r="C2647" s="141"/>
      <c r="D2647" s="141"/>
      <c r="E2647" s="1014"/>
      <c r="F2647" s="1014"/>
      <c r="G2647" s="1027"/>
      <c r="H2647" s="1027"/>
      <c r="I2647" s="1174"/>
      <c r="J2647" s="1174"/>
      <c r="K2647" s="1174"/>
      <c r="L2647" s="1172"/>
      <c r="M2647" s="1172"/>
      <c r="N2647" s="1175"/>
      <c r="O2647" s="143"/>
      <c r="P2647" s="1196"/>
      <c r="Q2647" s="141"/>
      <c r="R2647" s="141"/>
      <c r="S2647" s="148"/>
      <c r="T2647" s="419"/>
      <c r="U2647" s="559"/>
      <c r="V2647" s="141"/>
      <c r="W2647" s="141"/>
      <c r="X2647" s="141"/>
      <c r="Y2647" s="144"/>
      <c r="Z2647" s="141"/>
      <c r="AA2647" s="141"/>
      <c r="AB2647" s="141"/>
      <c r="AC2647" s="141"/>
      <c r="AD2647" s="141"/>
      <c r="AE2647" s="141"/>
      <c r="AF2647" s="145"/>
      <c r="AG2647" s="419"/>
    </row>
    <row r="2648" spans="1:33" s="139" customFormat="1" ht="12.75" customHeight="1" x14ac:dyDescent="0.2">
      <c r="A2648" s="141"/>
      <c r="B2648" s="141"/>
      <c r="C2648" s="141"/>
      <c r="D2648" s="141"/>
      <c r="E2648" s="1014"/>
      <c r="F2648" s="1014"/>
      <c r="G2648" s="1027"/>
      <c r="H2648" s="1027"/>
      <c r="I2648" s="1174"/>
      <c r="J2648" s="1174"/>
      <c r="K2648" s="1174"/>
      <c r="L2648" s="1172"/>
      <c r="M2648" s="1172"/>
      <c r="N2648" s="1175"/>
      <c r="O2648" s="143"/>
      <c r="P2648" s="1196"/>
      <c r="Q2648" s="141"/>
      <c r="R2648" s="141"/>
      <c r="S2648" s="148"/>
      <c r="T2648" s="419"/>
      <c r="U2648" s="559"/>
      <c r="V2648" s="141"/>
      <c r="W2648" s="141"/>
      <c r="X2648" s="141"/>
      <c r="Y2648" s="144"/>
      <c r="Z2648" s="141"/>
      <c r="AA2648" s="141"/>
      <c r="AB2648" s="141"/>
      <c r="AC2648" s="141"/>
      <c r="AD2648" s="141"/>
      <c r="AE2648" s="141"/>
      <c r="AF2648" s="145"/>
      <c r="AG2648" s="419"/>
    </row>
    <row r="2649" spans="1:33" s="139" customFormat="1" ht="12.75" customHeight="1" x14ac:dyDescent="0.2">
      <c r="A2649" s="141"/>
      <c r="B2649" s="141"/>
      <c r="C2649" s="141"/>
      <c r="D2649" s="141"/>
      <c r="E2649" s="1014"/>
      <c r="F2649" s="1014"/>
      <c r="G2649" s="1027"/>
      <c r="H2649" s="1027"/>
      <c r="I2649" s="1174"/>
      <c r="J2649" s="1174"/>
      <c r="K2649" s="1174"/>
      <c r="L2649" s="1172"/>
      <c r="M2649" s="1172"/>
      <c r="N2649" s="1175"/>
      <c r="O2649" s="143"/>
      <c r="P2649" s="1196"/>
      <c r="Q2649" s="141"/>
      <c r="R2649" s="141"/>
      <c r="S2649" s="148"/>
      <c r="T2649" s="419"/>
      <c r="U2649" s="559"/>
      <c r="V2649" s="141"/>
      <c r="W2649" s="141"/>
      <c r="X2649" s="141"/>
      <c r="Y2649" s="144"/>
      <c r="Z2649" s="141"/>
      <c r="AA2649" s="141"/>
      <c r="AB2649" s="141"/>
      <c r="AC2649" s="141"/>
      <c r="AD2649" s="141"/>
      <c r="AE2649" s="141"/>
      <c r="AF2649" s="145"/>
      <c r="AG2649" s="419"/>
    </row>
    <row r="2650" spans="1:33" s="139" customFormat="1" ht="12.75" customHeight="1" x14ac:dyDescent="0.2">
      <c r="A2650" s="141"/>
      <c r="B2650" s="141"/>
      <c r="C2650" s="141"/>
      <c r="D2650" s="141"/>
      <c r="E2650" s="1014"/>
      <c r="F2650" s="1014"/>
      <c r="G2650" s="1027"/>
      <c r="H2650" s="1027"/>
      <c r="I2650" s="1174"/>
      <c r="J2650" s="1174"/>
      <c r="K2650" s="1174"/>
      <c r="L2650" s="1172"/>
      <c r="M2650" s="1172"/>
      <c r="N2650" s="1175"/>
      <c r="O2650" s="143"/>
      <c r="P2650" s="1196"/>
      <c r="Q2650" s="141"/>
      <c r="R2650" s="141"/>
      <c r="S2650" s="148"/>
      <c r="T2650" s="419"/>
      <c r="U2650" s="559"/>
      <c r="V2650" s="141"/>
      <c r="W2650" s="141"/>
      <c r="X2650" s="141"/>
      <c r="Y2650" s="144"/>
      <c r="Z2650" s="141"/>
      <c r="AA2650" s="141"/>
      <c r="AB2650" s="141"/>
      <c r="AC2650" s="141"/>
      <c r="AD2650" s="141"/>
      <c r="AE2650" s="141"/>
      <c r="AF2650" s="145"/>
      <c r="AG2650" s="419"/>
    </row>
    <row r="2651" spans="1:33" s="139" customFormat="1" ht="12.75" customHeight="1" x14ac:dyDescent="0.2">
      <c r="A2651" s="141"/>
      <c r="B2651" s="141"/>
      <c r="C2651" s="141"/>
      <c r="D2651" s="141"/>
      <c r="E2651" s="1014"/>
      <c r="F2651" s="1014"/>
      <c r="G2651" s="1027"/>
      <c r="H2651" s="1027"/>
      <c r="I2651" s="1174"/>
      <c r="J2651" s="1174"/>
      <c r="K2651" s="1174"/>
      <c r="L2651" s="1172"/>
      <c r="M2651" s="1172"/>
      <c r="N2651" s="1175"/>
      <c r="O2651" s="143"/>
      <c r="P2651" s="1196"/>
      <c r="Q2651" s="141"/>
      <c r="R2651" s="141"/>
      <c r="S2651" s="148"/>
      <c r="T2651" s="419"/>
      <c r="U2651" s="559"/>
      <c r="V2651" s="141"/>
      <c r="W2651" s="141"/>
      <c r="X2651" s="141"/>
      <c r="Y2651" s="144"/>
      <c r="Z2651" s="141"/>
      <c r="AA2651" s="141"/>
      <c r="AB2651" s="141"/>
      <c r="AC2651" s="141"/>
      <c r="AD2651" s="141"/>
      <c r="AE2651" s="141"/>
      <c r="AF2651" s="145"/>
      <c r="AG2651" s="419"/>
    </row>
    <row r="2652" spans="1:33" s="139" customFormat="1" ht="12.75" customHeight="1" x14ac:dyDescent="0.2">
      <c r="A2652" s="141"/>
      <c r="B2652" s="141"/>
      <c r="C2652" s="141"/>
      <c r="D2652" s="141"/>
      <c r="E2652" s="1014"/>
      <c r="F2652" s="1014"/>
      <c r="G2652" s="1027"/>
      <c r="H2652" s="1027"/>
      <c r="I2652" s="1174"/>
      <c r="J2652" s="1174"/>
      <c r="K2652" s="1174"/>
      <c r="L2652" s="1172"/>
      <c r="M2652" s="1172"/>
      <c r="N2652" s="1175"/>
      <c r="O2652" s="143"/>
      <c r="P2652" s="1196"/>
      <c r="Q2652" s="141"/>
      <c r="R2652" s="141"/>
      <c r="S2652" s="148"/>
      <c r="T2652" s="419"/>
      <c r="U2652" s="559"/>
      <c r="V2652" s="141"/>
      <c r="W2652" s="141"/>
      <c r="X2652" s="141"/>
      <c r="Y2652" s="144"/>
      <c r="Z2652" s="141"/>
      <c r="AA2652" s="141"/>
      <c r="AB2652" s="141"/>
      <c r="AC2652" s="141"/>
      <c r="AD2652" s="141"/>
      <c r="AE2652" s="141"/>
      <c r="AF2652" s="145"/>
      <c r="AG2652" s="419"/>
    </row>
    <row r="2653" spans="1:33" s="139" customFormat="1" ht="12.75" customHeight="1" x14ac:dyDescent="0.2">
      <c r="A2653" s="141"/>
      <c r="B2653" s="141"/>
      <c r="C2653" s="141"/>
      <c r="D2653" s="141"/>
      <c r="E2653" s="1014"/>
      <c r="F2653" s="1014"/>
      <c r="G2653" s="1027"/>
      <c r="H2653" s="1027"/>
      <c r="I2653" s="1174"/>
      <c r="J2653" s="1174"/>
      <c r="K2653" s="1174"/>
      <c r="L2653" s="1172"/>
      <c r="M2653" s="1172"/>
      <c r="N2653" s="1175"/>
      <c r="O2653" s="143"/>
      <c r="P2653" s="1196"/>
      <c r="Q2653" s="141"/>
      <c r="R2653" s="141"/>
      <c r="S2653" s="148"/>
      <c r="T2653" s="419"/>
      <c r="U2653" s="559"/>
      <c r="V2653" s="141"/>
      <c r="W2653" s="141"/>
      <c r="X2653" s="141"/>
      <c r="Y2653" s="144"/>
      <c r="Z2653" s="141"/>
      <c r="AA2653" s="141"/>
      <c r="AB2653" s="141"/>
      <c r="AC2653" s="141"/>
      <c r="AD2653" s="141"/>
      <c r="AE2653" s="141"/>
      <c r="AF2653" s="145"/>
      <c r="AG2653" s="419"/>
    </row>
    <row r="2654" spans="1:33" s="139" customFormat="1" ht="12.75" customHeight="1" x14ac:dyDescent="0.2">
      <c r="A2654" s="141"/>
      <c r="B2654" s="141"/>
      <c r="C2654" s="141"/>
      <c r="D2654" s="141"/>
      <c r="E2654" s="1014"/>
      <c r="F2654" s="1014"/>
      <c r="G2654" s="1027"/>
      <c r="H2654" s="1027"/>
      <c r="I2654" s="1174"/>
      <c r="J2654" s="1174"/>
      <c r="K2654" s="1174"/>
      <c r="L2654" s="1172"/>
      <c r="M2654" s="1172"/>
      <c r="N2654" s="1175"/>
      <c r="O2654" s="143"/>
      <c r="P2654" s="1196"/>
      <c r="Q2654" s="141"/>
      <c r="R2654" s="141"/>
      <c r="S2654" s="148"/>
      <c r="T2654" s="419"/>
      <c r="U2654" s="559"/>
      <c r="V2654" s="141"/>
      <c r="W2654" s="141"/>
      <c r="X2654" s="141"/>
      <c r="Y2654" s="144"/>
      <c r="Z2654" s="141"/>
      <c r="AA2654" s="141"/>
      <c r="AB2654" s="141"/>
      <c r="AC2654" s="141"/>
      <c r="AD2654" s="141"/>
      <c r="AE2654" s="141"/>
      <c r="AF2654" s="145"/>
      <c r="AG2654" s="419"/>
    </row>
    <row r="2655" spans="1:33" s="139" customFormat="1" ht="12.75" customHeight="1" x14ac:dyDescent="0.2">
      <c r="A2655" s="141"/>
      <c r="B2655" s="141"/>
      <c r="C2655" s="141"/>
      <c r="D2655" s="141"/>
      <c r="E2655" s="1014"/>
      <c r="F2655" s="1014"/>
      <c r="G2655" s="1027"/>
      <c r="H2655" s="1027"/>
      <c r="I2655" s="1174"/>
      <c r="J2655" s="1174"/>
      <c r="K2655" s="1174"/>
      <c r="L2655" s="1172"/>
      <c r="M2655" s="1172"/>
      <c r="N2655" s="1175"/>
      <c r="O2655" s="143"/>
      <c r="P2655" s="1196"/>
      <c r="Q2655" s="141"/>
      <c r="R2655" s="141"/>
      <c r="S2655" s="148"/>
      <c r="T2655" s="419"/>
      <c r="U2655" s="559"/>
      <c r="V2655" s="141"/>
      <c r="W2655" s="141"/>
      <c r="X2655" s="141"/>
      <c r="Y2655" s="144"/>
      <c r="Z2655" s="141"/>
      <c r="AA2655" s="141"/>
      <c r="AB2655" s="141"/>
      <c r="AC2655" s="141"/>
      <c r="AD2655" s="141"/>
      <c r="AE2655" s="141"/>
      <c r="AF2655" s="145"/>
      <c r="AG2655" s="419"/>
    </row>
    <row r="2656" spans="1:33" s="139" customFormat="1" ht="12.75" customHeight="1" x14ac:dyDescent="0.2">
      <c r="A2656" s="141"/>
      <c r="B2656" s="141"/>
      <c r="C2656" s="141"/>
      <c r="D2656" s="141"/>
      <c r="E2656" s="1014"/>
      <c r="F2656" s="1014"/>
      <c r="G2656" s="1027"/>
      <c r="H2656" s="1027"/>
      <c r="I2656" s="1174"/>
      <c r="J2656" s="1174"/>
      <c r="K2656" s="1174"/>
      <c r="L2656" s="1172"/>
      <c r="M2656" s="1172"/>
      <c r="N2656" s="1175"/>
      <c r="O2656" s="143"/>
      <c r="P2656" s="1196"/>
      <c r="Q2656" s="141"/>
      <c r="R2656" s="141"/>
      <c r="S2656" s="148"/>
      <c r="T2656" s="419"/>
      <c r="U2656" s="559"/>
      <c r="V2656" s="141"/>
      <c r="W2656" s="141"/>
      <c r="X2656" s="141"/>
      <c r="Y2656" s="144"/>
      <c r="Z2656" s="141"/>
      <c r="AA2656" s="141"/>
      <c r="AB2656" s="141"/>
      <c r="AC2656" s="141"/>
      <c r="AD2656" s="141"/>
      <c r="AE2656" s="141"/>
      <c r="AF2656" s="145"/>
      <c r="AG2656" s="419"/>
    </row>
    <row r="2657" spans="1:33" s="139" customFormat="1" ht="12.75" customHeight="1" x14ac:dyDescent="0.2">
      <c r="A2657" s="141"/>
      <c r="B2657" s="141"/>
      <c r="C2657" s="141"/>
      <c r="D2657" s="141"/>
      <c r="E2657" s="1014"/>
      <c r="F2657" s="1014"/>
      <c r="G2657" s="1027"/>
      <c r="H2657" s="1027"/>
      <c r="I2657" s="1174"/>
      <c r="J2657" s="1174"/>
      <c r="K2657" s="1174"/>
      <c r="L2657" s="1172"/>
      <c r="M2657" s="1172"/>
      <c r="N2657" s="1175"/>
      <c r="O2657" s="143"/>
      <c r="P2657" s="1196"/>
      <c r="Q2657" s="141"/>
      <c r="R2657" s="141"/>
      <c r="S2657" s="148"/>
      <c r="T2657" s="419"/>
      <c r="U2657" s="559"/>
      <c r="V2657" s="141"/>
      <c r="W2657" s="141"/>
      <c r="X2657" s="141"/>
      <c r="Y2657" s="144"/>
      <c r="Z2657" s="141"/>
      <c r="AA2657" s="141"/>
      <c r="AB2657" s="141"/>
      <c r="AC2657" s="141"/>
      <c r="AD2657" s="141"/>
      <c r="AE2657" s="141"/>
      <c r="AF2657" s="145"/>
      <c r="AG2657" s="419"/>
    </row>
    <row r="2658" spans="1:33" s="139" customFormat="1" ht="12.75" customHeight="1" x14ac:dyDescent="0.2">
      <c r="A2658" s="141"/>
      <c r="B2658" s="141"/>
      <c r="C2658" s="141"/>
      <c r="D2658" s="141"/>
      <c r="E2658" s="1014"/>
      <c r="F2658" s="1014"/>
      <c r="G2658" s="1027"/>
      <c r="H2658" s="1027"/>
      <c r="I2658" s="1174"/>
      <c r="J2658" s="1174"/>
      <c r="K2658" s="1174"/>
      <c r="L2658" s="1172"/>
      <c r="M2658" s="1172"/>
      <c r="N2658" s="1175"/>
      <c r="O2658" s="143"/>
      <c r="P2658" s="1196"/>
      <c r="Q2658" s="141"/>
      <c r="R2658" s="141"/>
      <c r="S2658" s="148"/>
      <c r="T2658" s="419"/>
      <c r="U2658" s="559"/>
      <c r="V2658" s="141"/>
      <c r="W2658" s="141"/>
      <c r="X2658" s="141"/>
      <c r="Y2658" s="144"/>
      <c r="Z2658" s="141"/>
      <c r="AA2658" s="141"/>
      <c r="AB2658" s="141"/>
      <c r="AC2658" s="141"/>
      <c r="AD2658" s="141"/>
      <c r="AE2658" s="141"/>
      <c r="AF2658" s="145"/>
      <c r="AG2658" s="419"/>
    </row>
    <row r="2659" spans="1:33" s="139" customFormat="1" ht="12.75" customHeight="1" x14ac:dyDescent="0.2">
      <c r="A2659" s="141"/>
      <c r="B2659" s="141"/>
      <c r="C2659" s="141"/>
      <c r="D2659" s="141"/>
      <c r="E2659" s="1014"/>
      <c r="F2659" s="1014"/>
      <c r="G2659" s="1027"/>
      <c r="H2659" s="1027"/>
      <c r="I2659" s="1174"/>
      <c r="J2659" s="1174"/>
      <c r="K2659" s="1174"/>
      <c r="L2659" s="1172"/>
      <c r="M2659" s="1172"/>
      <c r="N2659" s="1175"/>
      <c r="O2659" s="143"/>
      <c r="P2659" s="1196"/>
      <c r="Q2659" s="141"/>
      <c r="R2659" s="141"/>
      <c r="S2659" s="148"/>
      <c r="T2659" s="419"/>
      <c r="U2659" s="559"/>
      <c r="V2659" s="141"/>
      <c r="W2659" s="141"/>
      <c r="X2659" s="141"/>
      <c r="Y2659" s="144"/>
      <c r="Z2659" s="141"/>
      <c r="AA2659" s="141"/>
      <c r="AB2659" s="141"/>
      <c r="AC2659" s="141"/>
      <c r="AD2659" s="141"/>
      <c r="AE2659" s="141"/>
      <c r="AF2659" s="145"/>
      <c r="AG2659" s="419"/>
    </row>
    <row r="2660" spans="1:33" s="139" customFormat="1" ht="12.75" customHeight="1" x14ac:dyDescent="0.2">
      <c r="A2660" s="141"/>
      <c r="B2660" s="141"/>
      <c r="C2660" s="141"/>
      <c r="D2660" s="141"/>
      <c r="E2660" s="1014"/>
      <c r="F2660" s="1014"/>
      <c r="G2660" s="1027"/>
      <c r="H2660" s="1027"/>
      <c r="I2660" s="1174"/>
      <c r="J2660" s="1174"/>
      <c r="K2660" s="1174"/>
      <c r="L2660" s="1172"/>
      <c r="M2660" s="1172"/>
      <c r="N2660" s="1175"/>
      <c r="O2660" s="143"/>
      <c r="P2660" s="1196"/>
      <c r="Q2660" s="141"/>
      <c r="R2660" s="141"/>
      <c r="S2660" s="148"/>
      <c r="T2660" s="419"/>
      <c r="U2660" s="559"/>
      <c r="V2660" s="141"/>
      <c r="W2660" s="141"/>
      <c r="X2660" s="141"/>
      <c r="Y2660" s="144"/>
      <c r="Z2660" s="141"/>
      <c r="AA2660" s="141"/>
      <c r="AB2660" s="141"/>
      <c r="AC2660" s="141"/>
      <c r="AD2660" s="141"/>
      <c r="AE2660" s="141"/>
      <c r="AF2660" s="145"/>
      <c r="AG2660" s="419"/>
    </row>
    <row r="2661" spans="1:33" s="139" customFormat="1" ht="12.75" customHeight="1" x14ac:dyDescent="0.2">
      <c r="A2661" s="141"/>
      <c r="B2661" s="141"/>
      <c r="C2661" s="141"/>
      <c r="D2661" s="141"/>
      <c r="E2661" s="1014"/>
      <c r="F2661" s="1014"/>
      <c r="G2661" s="1027"/>
      <c r="H2661" s="1027"/>
      <c r="I2661" s="1174"/>
      <c r="J2661" s="1174"/>
      <c r="K2661" s="1174"/>
      <c r="L2661" s="1172"/>
      <c r="M2661" s="1172"/>
      <c r="N2661" s="1175"/>
      <c r="O2661" s="143"/>
      <c r="P2661" s="1196"/>
      <c r="Q2661" s="141"/>
      <c r="R2661" s="141"/>
      <c r="S2661" s="148"/>
      <c r="T2661" s="419"/>
      <c r="U2661" s="559"/>
      <c r="V2661" s="141"/>
      <c r="W2661" s="141"/>
      <c r="X2661" s="141"/>
      <c r="Y2661" s="144"/>
      <c r="Z2661" s="141"/>
      <c r="AA2661" s="141"/>
      <c r="AB2661" s="141"/>
      <c r="AC2661" s="141"/>
      <c r="AD2661" s="141"/>
      <c r="AE2661" s="141"/>
      <c r="AF2661" s="145"/>
      <c r="AG2661" s="419"/>
    </row>
    <row r="2662" spans="1:33" s="139" customFormat="1" ht="12.75" customHeight="1" x14ac:dyDescent="0.2">
      <c r="A2662" s="141"/>
      <c r="B2662" s="141"/>
      <c r="C2662" s="141"/>
      <c r="D2662" s="141"/>
      <c r="E2662" s="1014"/>
      <c r="F2662" s="1014"/>
      <c r="G2662" s="1027"/>
      <c r="H2662" s="1027"/>
      <c r="I2662" s="1174"/>
      <c r="J2662" s="1174"/>
      <c r="K2662" s="1174"/>
      <c r="L2662" s="1172"/>
      <c r="M2662" s="1172"/>
      <c r="N2662" s="1175"/>
      <c r="O2662" s="143"/>
      <c r="P2662" s="1196"/>
      <c r="Q2662" s="141"/>
      <c r="R2662" s="141"/>
      <c r="S2662" s="148"/>
      <c r="T2662" s="419"/>
      <c r="U2662" s="559"/>
      <c r="V2662" s="141"/>
      <c r="W2662" s="141"/>
      <c r="X2662" s="141"/>
      <c r="Y2662" s="144"/>
      <c r="Z2662" s="141"/>
      <c r="AA2662" s="141"/>
      <c r="AB2662" s="141"/>
      <c r="AC2662" s="141"/>
      <c r="AD2662" s="141"/>
      <c r="AE2662" s="141"/>
      <c r="AF2662" s="145"/>
      <c r="AG2662" s="419"/>
    </row>
    <row r="2663" spans="1:33" s="139" customFormat="1" ht="12.75" customHeight="1" x14ac:dyDescent="0.2">
      <c r="A2663" s="141"/>
      <c r="B2663" s="141"/>
      <c r="C2663" s="141"/>
      <c r="D2663" s="141"/>
      <c r="E2663" s="1014"/>
      <c r="F2663" s="1014"/>
      <c r="G2663" s="1027"/>
      <c r="H2663" s="1027"/>
      <c r="I2663" s="1174"/>
      <c r="J2663" s="1174"/>
      <c r="K2663" s="1174"/>
      <c r="L2663" s="1172"/>
      <c r="M2663" s="1172"/>
      <c r="N2663" s="1175"/>
      <c r="O2663" s="143"/>
      <c r="P2663" s="1196"/>
      <c r="Q2663" s="141"/>
      <c r="R2663" s="141"/>
      <c r="S2663" s="148"/>
      <c r="T2663" s="419"/>
      <c r="U2663" s="559"/>
      <c r="V2663" s="141"/>
      <c r="W2663" s="141"/>
      <c r="X2663" s="141"/>
      <c r="Y2663" s="144"/>
      <c r="Z2663" s="141"/>
      <c r="AA2663" s="141"/>
      <c r="AB2663" s="141"/>
      <c r="AC2663" s="141"/>
      <c r="AD2663" s="141"/>
      <c r="AE2663" s="141"/>
      <c r="AF2663" s="145"/>
      <c r="AG2663" s="419"/>
    </row>
    <row r="2664" spans="1:33" s="139" customFormat="1" ht="12.75" customHeight="1" x14ac:dyDescent="0.2">
      <c r="A2664" s="141"/>
      <c r="B2664" s="141"/>
      <c r="C2664" s="141"/>
      <c r="D2664" s="141"/>
      <c r="E2664" s="1014"/>
      <c r="F2664" s="1014"/>
      <c r="G2664" s="1027"/>
      <c r="H2664" s="1027"/>
      <c r="I2664" s="1174"/>
      <c r="J2664" s="1174"/>
      <c r="K2664" s="1174"/>
      <c r="L2664" s="1172"/>
      <c r="M2664" s="1172"/>
      <c r="N2664" s="1175"/>
      <c r="O2664" s="143"/>
      <c r="P2664" s="1196"/>
      <c r="Q2664" s="141"/>
      <c r="R2664" s="141"/>
      <c r="S2664" s="148"/>
      <c r="T2664" s="419"/>
      <c r="U2664" s="559"/>
      <c r="V2664" s="141"/>
      <c r="W2664" s="141"/>
      <c r="X2664" s="141"/>
      <c r="Y2664" s="144"/>
      <c r="Z2664" s="141"/>
      <c r="AA2664" s="141"/>
      <c r="AB2664" s="141"/>
      <c r="AC2664" s="141"/>
      <c r="AD2664" s="141"/>
      <c r="AE2664" s="141"/>
      <c r="AF2664" s="145"/>
      <c r="AG2664" s="419"/>
    </row>
    <row r="2665" spans="1:33" s="139" customFormat="1" ht="12.75" customHeight="1" x14ac:dyDescent="0.2">
      <c r="A2665" s="141"/>
      <c r="B2665" s="141"/>
      <c r="C2665" s="141"/>
      <c r="D2665" s="141"/>
      <c r="E2665" s="1014"/>
      <c r="F2665" s="1014"/>
      <c r="G2665" s="1027"/>
      <c r="H2665" s="1027"/>
      <c r="I2665" s="1174"/>
      <c r="J2665" s="1174"/>
      <c r="K2665" s="1174"/>
      <c r="L2665" s="1172"/>
      <c r="M2665" s="1172"/>
      <c r="N2665" s="1175"/>
      <c r="O2665" s="143"/>
      <c r="P2665" s="1196"/>
      <c r="Q2665" s="141"/>
      <c r="R2665" s="141"/>
      <c r="S2665" s="148"/>
      <c r="T2665" s="419"/>
      <c r="U2665" s="559"/>
      <c r="V2665" s="141"/>
      <c r="W2665" s="141"/>
      <c r="X2665" s="141"/>
      <c r="Y2665" s="144"/>
      <c r="Z2665" s="141"/>
      <c r="AA2665" s="141"/>
      <c r="AB2665" s="141"/>
      <c r="AC2665" s="141"/>
      <c r="AD2665" s="141"/>
      <c r="AE2665" s="141"/>
      <c r="AF2665" s="145"/>
      <c r="AG2665" s="419"/>
    </row>
    <row r="2666" spans="1:33" s="139" customFormat="1" ht="12.75" customHeight="1" x14ac:dyDescent="0.2">
      <c r="A2666" s="141"/>
      <c r="B2666" s="141"/>
      <c r="C2666" s="141"/>
      <c r="D2666" s="141"/>
      <c r="E2666" s="1014"/>
      <c r="F2666" s="1014"/>
      <c r="G2666" s="1027"/>
      <c r="H2666" s="1027"/>
      <c r="I2666" s="1174"/>
      <c r="J2666" s="1174"/>
      <c r="K2666" s="1174"/>
      <c r="L2666" s="1172"/>
      <c r="M2666" s="1172"/>
      <c r="N2666" s="1175"/>
      <c r="O2666" s="143"/>
      <c r="P2666" s="1196"/>
      <c r="Q2666" s="141"/>
      <c r="R2666" s="141"/>
      <c r="S2666" s="148"/>
      <c r="T2666" s="419"/>
      <c r="U2666" s="559"/>
      <c r="V2666" s="141"/>
      <c r="W2666" s="141"/>
      <c r="X2666" s="141"/>
      <c r="Y2666" s="144"/>
      <c r="Z2666" s="141"/>
      <c r="AA2666" s="141"/>
      <c r="AB2666" s="141"/>
      <c r="AC2666" s="141"/>
      <c r="AD2666" s="141"/>
      <c r="AE2666" s="141"/>
      <c r="AF2666" s="145"/>
      <c r="AG2666" s="419"/>
    </row>
    <row r="2667" spans="1:33" s="139" customFormat="1" ht="12.75" customHeight="1" x14ac:dyDescent="0.2">
      <c r="A2667" s="141"/>
      <c r="B2667" s="141"/>
      <c r="C2667" s="141"/>
      <c r="D2667" s="141"/>
      <c r="E2667" s="1014"/>
      <c r="F2667" s="1014"/>
      <c r="G2667" s="1027"/>
      <c r="H2667" s="1027"/>
      <c r="I2667" s="1174"/>
      <c r="J2667" s="1174"/>
      <c r="K2667" s="1174"/>
      <c r="L2667" s="1172"/>
      <c r="M2667" s="1172"/>
      <c r="N2667" s="1175"/>
      <c r="O2667" s="143"/>
      <c r="P2667" s="1196"/>
      <c r="Q2667" s="141"/>
      <c r="R2667" s="141"/>
      <c r="S2667" s="148"/>
      <c r="T2667" s="419"/>
      <c r="U2667" s="559"/>
      <c r="V2667" s="141"/>
      <c r="W2667" s="141"/>
      <c r="X2667" s="141"/>
      <c r="Y2667" s="144"/>
      <c r="Z2667" s="141"/>
      <c r="AA2667" s="141"/>
      <c r="AB2667" s="141"/>
      <c r="AC2667" s="141"/>
      <c r="AD2667" s="141"/>
      <c r="AE2667" s="141"/>
      <c r="AF2667" s="145"/>
      <c r="AG2667" s="419"/>
    </row>
    <row r="2668" spans="1:33" s="139" customFormat="1" ht="12.75" customHeight="1" x14ac:dyDescent="0.2">
      <c r="A2668" s="141"/>
      <c r="B2668" s="141"/>
      <c r="C2668" s="141"/>
      <c r="D2668" s="141"/>
      <c r="E2668" s="1014"/>
      <c r="F2668" s="1014"/>
      <c r="G2668" s="1027"/>
      <c r="H2668" s="1027"/>
      <c r="I2668" s="1174"/>
      <c r="J2668" s="1174"/>
      <c r="K2668" s="1174"/>
      <c r="L2668" s="1172"/>
      <c r="M2668" s="1172"/>
      <c r="N2668" s="1175"/>
      <c r="O2668" s="143"/>
      <c r="P2668" s="1196"/>
      <c r="Q2668" s="141"/>
      <c r="R2668" s="141"/>
      <c r="S2668" s="148"/>
      <c r="T2668" s="419"/>
      <c r="U2668" s="559"/>
      <c r="V2668" s="141"/>
      <c r="W2668" s="141"/>
      <c r="X2668" s="141"/>
      <c r="Y2668" s="144"/>
      <c r="Z2668" s="141"/>
      <c r="AA2668" s="141"/>
      <c r="AB2668" s="141"/>
      <c r="AC2668" s="141"/>
      <c r="AD2668" s="141"/>
      <c r="AE2668" s="141"/>
      <c r="AF2668" s="145"/>
      <c r="AG2668" s="419"/>
    </row>
    <row r="2669" spans="1:33" s="139" customFormat="1" ht="12.75" customHeight="1" x14ac:dyDescent="0.2">
      <c r="A2669" s="141"/>
      <c r="B2669" s="141"/>
      <c r="C2669" s="141"/>
      <c r="D2669" s="141"/>
      <c r="E2669" s="1014"/>
      <c r="F2669" s="1014"/>
      <c r="G2669" s="1027"/>
      <c r="H2669" s="1027"/>
      <c r="I2669" s="1174"/>
      <c r="J2669" s="1174"/>
      <c r="K2669" s="1174"/>
      <c r="L2669" s="1172"/>
      <c r="M2669" s="1172"/>
      <c r="N2669" s="1175"/>
      <c r="O2669" s="143"/>
      <c r="P2669" s="1196"/>
      <c r="Q2669" s="141"/>
      <c r="R2669" s="141"/>
      <c r="S2669" s="148"/>
      <c r="T2669" s="419"/>
      <c r="U2669" s="559"/>
      <c r="V2669" s="141"/>
      <c r="W2669" s="141"/>
      <c r="X2669" s="141"/>
      <c r="Y2669" s="144"/>
      <c r="Z2669" s="141"/>
      <c r="AA2669" s="141"/>
      <c r="AB2669" s="141"/>
      <c r="AC2669" s="141"/>
      <c r="AD2669" s="141"/>
      <c r="AE2669" s="141"/>
      <c r="AF2669" s="145"/>
      <c r="AG2669" s="419"/>
    </row>
    <row r="2670" spans="1:33" s="139" customFormat="1" ht="12.75" customHeight="1" x14ac:dyDescent="0.2">
      <c r="A2670" s="141"/>
      <c r="B2670" s="141"/>
      <c r="C2670" s="141"/>
      <c r="D2670" s="141"/>
      <c r="E2670" s="1014"/>
      <c r="F2670" s="1014"/>
      <c r="G2670" s="1027"/>
      <c r="H2670" s="1027"/>
      <c r="I2670" s="1174"/>
      <c r="J2670" s="1174"/>
      <c r="K2670" s="1174"/>
      <c r="L2670" s="1172"/>
      <c r="M2670" s="1172"/>
      <c r="N2670" s="1175"/>
      <c r="O2670" s="143"/>
      <c r="P2670" s="1196"/>
      <c r="Q2670" s="141"/>
      <c r="R2670" s="141"/>
      <c r="S2670" s="148"/>
      <c r="T2670" s="419"/>
      <c r="U2670" s="559"/>
      <c r="V2670" s="141"/>
      <c r="W2670" s="141"/>
      <c r="X2670" s="141"/>
      <c r="Y2670" s="144"/>
      <c r="Z2670" s="141"/>
      <c r="AA2670" s="141"/>
      <c r="AB2670" s="141"/>
      <c r="AC2670" s="141"/>
      <c r="AD2670" s="141"/>
      <c r="AE2670" s="141"/>
      <c r="AF2670" s="145"/>
      <c r="AG2670" s="419"/>
    </row>
    <row r="2671" spans="1:33" s="139" customFormat="1" ht="12.75" customHeight="1" x14ac:dyDescent="0.2">
      <c r="A2671" s="141"/>
      <c r="B2671" s="141"/>
      <c r="C2671" s="141"/>
      <c r="D2671" s="141"/>
      <c r="E2671" s="1014"/>
      <c r="F2671" s="1014"/>
      <c r="G2671" s="1027"/>
      <c r="H2671" s="1027"/>
      <c r="I2671" s="1174"/>
      <c r="J2671" s="1174"/>
      <c r="K2671" s="1174"/>
      <c r="L2671" s="1172"/>
      <c r="M2671" s="1172"/>
      <c r="N2671" s="1175"/>
      <c r="O2671" s="143"/>
      <c r="P2671" s="1196"/>
      <c r="Q2671" s="141"/>
      <c r="R2671" s="141"/>
      <c r="S2671" s="148"/>
      <c r="T2671" s="419"/>
      <c r="U2671" s="559"/>
      <c r="V2671" s="141"/>
      <c r="W2671" s="141"/>
      <c r="X2671" s="141"/>
      <c r="Y2671" s="144"/>
      <c r="Z2671" s="141"/>
      <c r="AA2671" s="141"/>
      <c r="AB2671" s="141"/>
      <c r="AC2671" s="141"/>
      <c r="AD2671" s="141"/>
      <c r="AE2671" s="141"/>
      <c r="AF2671" s="145"/>
      <c r="AG2671" s="419"/>
    </row>
    <row r="2672" spans="1:33" s="139" customFormat="1" ht="12.75" customHeight="1" x14ac:dyDescent="0.2">
      <c r="A2672" s="141"/>
      <c r="B2672" s="141"/>
      <c r="C2672" s="141"/>
      <c r="D2672" s="141"/>
      <c r="E2672" s="1014"/>
      <c r="F2672" s="1014"/>
      <c r="G2672" s="1027"/>
      <c r="H2672" s="1027"/>
      <c r="I2672" s="1174"/>
      <c r="J2672" s="1174"/>
      <c r="K2672" s="1174"/>
      <c r="L2672" s="1172"/>
      <c r="M2672" s="1172"/>
      <c r="N2672" s="1175"/>
      <c r="O2672" s="143"/>
      <c r="P2672" s="1196"/>
      <c r="Q2672" s="141"/>
      <c r="R2672" s="141"/>
      <c r="S2672" s="148"/>
      <c r="T2672" s="419"/>
      <c r="U2672" s="559"/>
      <c r="V2672" s="141"/>
      <c r="W2672" s="141"/>
      <c r="X2672" s="141"/>
      <c r="Y2672" s="144"/>
      <c r="Z2672" s="141"/>
      <c r="AA2672" s="141"/>
      <c r="AB2672" s="141"/>
      <c r="AC2672" s="141"/>
      <c r="AD2672" s="141"/>
      <c r="AE2672" s="141"/>
      <c r="AF2672" s="145"/>
      <c r="AG2672" s="419"/>
    </row>
    <row r="2673" spans="1:33" s="139" customFormat="1" ht="12.75" customHeight="1" x14ac:dyDescent="0.2">
      <c r="A2673" s="141"/>
      <c r="B2673" s="141"/>
      <c r="C2673" s="141"/>
      <c r="D2673" s="141"/>
      <c r="E2673" s="1014"/>
      <c r="F2673" s="1014"/>
      <c r="G2673" s="1027"/>
      <c r="H2673" s="1027"/>
      <c r="I2673" s="1174"/>
      <c r="J2673" s="1174"/>
      <c r="K2673" s="1174"/>
      <c r="L2673" s="1172"/>
      <c r="M2673" s="1172"/>
      <c r="N2673" s="1175"/>
      <c r="O2673" s="143"/>
      <c r="P2673" s="1196"/>
      <c r="Q2673" s="141"/>
      <c r="R2673" s="141"/>
      <c r="S2673" s="148"/>
      <c r="T2673" s="419"/>
      <c r="U2673" s="559"/>
      <c r="V2673" s="141"/>
      <c r="W2673" s="141"/>
      <c r="X2673" s="141"/>
      <c r="Y2673" s="144"/>
      <c r="Z2673" s="141"/>
      <c r="AA2673" s="141"/>
      <c r="AB2673" s="141"/>
      <c r="AC2673" s="141"/>
      <c r="AD2673" s="141"/>
      <c r="AE2673" s="141"/>
      <c r="AF2673" s="145"/>
      <c r="AG2673" s="419"/>
    </row>
    <row r="2674" spans="1:33" s="139" customFormat="1" ht="12.75" customHeight="1" x14ac:dyDescent="0.2">
      <c r="A2674" s="141"/>
      <c r="B2674" s="141"/>
      <c r="C2674" s="141"/>
      <c r="D2674" s="141"/>
      <c r="E2674" s="1014"/>
      <c r="F2674" s="1014"/>
      <c r="G2674" s="1027"/>
      <c r="H2674" s="1027"/>
      <c r="I2674" s="1174"/>
      <c r="J2674" s="1174"/>
      <c r="K2674" s="1174"/>
      <c r="L2674" s="1172"/>
      <c r="M2674" s="1172"/>
      <c r="N2674" s="1175"/>
      <c r="O2674" s="143"/>
      <c r="P2674" s="1196"/>
      <c r="Q2674" s="141"/>
      <c r="R2674" s="141"/>
      <c r="S2674" s="148"/>
      <c r="T2674" s="419"/>
      <c r="U2674" s="559"/>
      <c r="V2674" s="141"/>
      <c r="W2674" s="141"/>
      <c r="X2674" s="141"/>
      <c r="Y2674" s="144"/>
      <c r="Z2674" s="141"/>
      <c r="AA2674" s="141"/>
      <c r="AB2674" s="141"/>
      <c r="AC2674" s="141"/>
      <c r="AD2674" s="141"/>
      <c r="AE2674" s="141"/>
      <c r="AF2674" s="145"/>
      <c r="AG2674" s="419"/>
    </row>
    <row r="2675" spans="1:33" s="139" customFormat="1" ht="12.75" customHeight="1" x14ac:dyDescent="0.2">
      <c r="A2675" s="141"/>
      <c r="B2675" s="141"/>
      <c r="C2675" s="141"/>
      <c r="D2675" s="141"/>
      <c r="E2675" s="1014"/>
      <c r="F2675" s="1014"/>
      <c r="G2675" s="1027"/>
      <c r="H2675" s="1027"/>
      <c r="I2675" s="1174"/>
      <c r="J2675" s="1174"/>
      <c r="K2675" s="1174"/>
      <c r="L2675" s="1172"/>
      <c r="M2675" s="1172"/>
      <c r="N2675" s="1175"/>
      <c r="O2675" s="143"/>
      <c r="P2675" s="1196"/>
      <c r="Q2675" s="141"/>
      <c r="R2675" s="141"/>
      <c r="S2675" s="148"/>
      <c r="T2675" s="419"/>
      <c r="U2675" s="559"/>
      <c r="V2675" s="141"/>
      <c r="W2675" s="141"/>
      <c r="X2675" s="141"/>
      <c r="Y2675" s="144"/>
      <c r="Z2675" s="141"/>
      <c r="AA2675" s="141"/>
      <c r="AB2675" s="141"/>
      <c r="AC2675" s="141"/>
      <c r="AD2675" s="141"/>
      <c r="AE2675" s="141"/>
      <c r="AF2675" s="145"/>
      <c r="AG2675" s="419"/>
    </row>
    <row r="2676" spans="1:33" s="139" customFormat="1" ht="12.75" customHeight="1" x14ac:dyDescent="0.2">
      <c r="A2676" s="141"/>
      <c r="B2676" s="141"/>
      <c r="C2676" s="141"/>
      <c r="D2676" s="141"/>
      <c r="E2676" s="1014"/>
      <c r="F2676" s="1014"/>
      <c r="G2676" s="1027"/>
      <c r="H2676" s="1027"/>
      <c r="I2676" s="1174"/>
      <c r="J2676" s="1174"/>
      <c r="K2676" s="1174"/>
      <c r="L2676" s="1172"/>
      <c r="M2676" s="1172"/>
      <c r="N2676" s="1175"/>
      <c r="O2676" s="143"/>
      <c r="P2676" s="1196"/>
      <c r="Q2676" s="141"/>
      <c r="R2676" s="141"/>
      <c r="S2676" s="148"/>
      <c r="T2676" s="419"/>
      <c r="U2676" s="559"/>
      <c r="V2676" s="141"/>
      <c r="W2676" s="141"/>
      <c r="X2676" s="141"/>
      <c r="Y2676" s="144"/>
      <c r="Z2676" s="141"/>
      <c r="AA2676" s="141"/>
      <c r="AB2676" s="141"/>
      <c r="AC2676" s="141"/>
      <c r="AD2676" s="141"/>
      <c r="AE2676" s="141"/>
      <c r="AF2676" s="145"/>
      <c r="AG2676" s="419"/>
    </row>
    <row r="2677" spans="1:33" s="139" customFormat="1" ht="12.75" customHeight="1" x14ac:dyDescent="0.2">
      <c r="A2677" s="141"/>
      <c r="B2677" s="141"/>
      <c r="C2677" s="141"/>
      <c r="D2677" s="141"/>
      <c r="E2677" s="1014"/>
      <c r="F2677" s="1014"/>
      <c r="G2677" s="1027"/>
      <c r="H2677" s="1027"/>
      <c r="I2677" s="1174"/>
      <c r="J2677" s="1174"/>
      <c r="K2677" s="1174"/>
      <c r="L2677" s="1172"/>
      <c r="M2677" s="1172"/>
      <c r="N2677" s="1175"/>
      <c r="O2677" s="143"/>
      <c r="P2677" s="1196"/>
      <c r="Q2677" s="141"/>
      <c r="R2677" s="141"/>
      <c r="S2677" s="148"/>
      <c r="T2677" s="419"/>
      <c r="U2677" s="559"/>
      <c r="V2677" s="141"/>
      <c r="W2677" s="141"/>
      <c r="X2677" s="141"/>
      <c r="Y2677" s="144"/>
      <c r="Z2677" s="141"/>
      <c r="AA2677" s="141"/>
      <c r="AB2677" s="141"/>
      <c r="AC2677" s="141"/>
      <c r="AD2677" s="141"/>
      <c r="AE2677" s="141"/>
      <c r="AF2677" s="145"/>
      <c r="AG2677" s="419"/>
    </row>
    <row r="2678" spans="1:33" s="139" customFormat="1" ht="12.75" customHeight="1" x14ac:dyDescent="0.2">
      <c r="A2678" s="141"/>
      <c r="B2678" s="141"/>
      <c r="C2678" s="141"/>
      <c r="D2678" s="141"/>
      <c r="E2678" s="1014"/>
      <c r="F2678" s="1014"/>
      <c r="G2678" s="1027"/>
      <c r="H2678" s="1027"/>
      <c r="I2678" s="1174"/>
      <c r="J2678" s="1174"/>
      <c r="K2678" s="1174"/>
      <c r="L2678" s="1172"/>
      <c r="M2678" s="1172"/>
      <c r="N2678" s="1175"/>
      <c r="O2678" s="143"/>
      <c r="P2678" s="1196"/>
      <c r="Q2678" s="141"/>
      <c r="R2678" s="141"/>
      <c r="S2678" s="148"/>
      <c r="T2678" s="419"/>
      <c r="U2678" s="559"/>
      <c r="V2678" s="141"/>
      <c r="W2678" s="141"/>
      <c r="X2678" s="141"/>
      <c r="Y2678" s="144"/>
      <c r="Z2678" s="141"/>
      <c r="AA2678" s="141"/>
      <c r="AB2678" s="141"/>
      <c r="AC2678" s="141"/>
      <c r="AD2678" s="141"/>
      <c r="AE2678" s="141"/>
      <c r="AF2678" s="145"/>
      <c r="AG2678" s="419"/>
    </row>
    <row r="2679" spans="1:33" s="139" customFormat="1" ht="12.75" customHeight="1" x14ac:dyDescent="0.2">
      <c r="A2679" s="141"/>
      <c r="B2679" s="141"/>
      <c r="C2679" s="141"/>
      <c r="D2679" s="141"/>
      <c r="E2679" s="1014"/>
      <c r="F2679" s="1014"/>
      <c r="G2679" s="1027"/>
      <c r="H2679" s="1027"/>
      <c r="I2679" s="1174"/>
      <c r="J2679" s="1174"/>
      <c r="K2679" s="1174"/>
      <c r="L2679" s="1172"/>
      <c r="M2679" s="1172"/>
      <c r="N2679" s="1175"/>
      <c r="O2679" s="143"/>
      <c r="P2679" s="1196"/>
      <c r="Q2679" s="141"/>
      <c r="R2679" s="141"/>
      <c r="S2679" s="148"/>
      <c r="T2679" s="419"/>
      <c r="U2679" s="559"/>
      <c r="V2679" s="141"/>
      <c r="W2679" s="141"/>
      <c r="X2679" s="141"/>
      <c r="Y2679" s="144"/>
      <c r="Z2679" s="141"/>
      <c r="AA2679" s="141"/>
      <c r="AB2679" s="141"/>
      <c r="AC2679" s="141"/>
      <c r="AD2679" s="141"/>
      <c r="AE2679" s="141"/>
      <c r="AF2679" s="145"/>
      <c r="AG2679" s="419"/>
    </row>
    <row r="2680" spans="1:33" s="139" customFormat="1" ht="12.75" customHeight="1" x14ac:dyDescent="0.2">
      <c r="A2680" s="141"/>
      <c r="B2680" s="141"/>
      <c r="C2680" s="141"/>
      <c r="D2680" s="141"/>
      <c r="E2680" s="1014"/>
      <c r="F2680" s="1014"/>
      <c r="G2680" s="1027"/>
      <c r="H2680" s="1027"/>
      <c r="I2680" s="1174"/>
      <c r="J2680" s="1174"/>
      <c r="K2680" s="1174"/>
      <c r="L2680" s="1172"/>
      <c r="M2680" s="1172"/>
      <c r="N2680" s="1175"/>
      <c r="O2680" s="143"/>
      <c r="P2680" s="1196"/>
      <c r="Q2680" s="141"/>
      <c r="R2680" s="141"/>
      <c r="S2680" s="148"/>
      <c r="T2680" s="419"/>
      <c r="U2680" s="559"/>
      <c r="V2680" s="141"/>
      <c r="W2680" s="141"/>
      <c r="X2680" s="141"/>
      <c r="Y2680" s="144"/>
      <c r="Z2680" s="141"/>
      <c r="AA2680" s="141"/>
      <c r="AB2680" s="141"/>
      <c r="AC2680" s="141"/>
      <c r="AD2680" s="141"/>
      <c r="AE2680" s="141"/>
      <c r="AF2680" s="145"/>
      <c r="AG2680" s="419"/>
    </row>
    <row r="2681" spans="1:33" s="139" customFormat="1" ht="12.75" customHeight="1" x14ac:dyDescent="0.2">
      <c r="A2681" s="141"/>
      <c r="B2681" s="141"/>
      <c r="C2681" s="141"/>
      <c r="D2681" s="141"/>
      <c r="E2681" s="1014"/>
      <c r="F2681" s="1014"/>
      <c r="G2681" s="1027"/>
      <c r="H2681" s="1027"/>
      <c r="I2681" s="1174"/>
      <c r="J2681" s="1174"/>
      <c r="K2681" s="1174"/>
      <c r="L2681" s="1172"/>
      <c r="M2681" s="1172"/>
      <c r="N2681" s="1175"/>
      <c r="O2681" s="143"/>
      <c r="P2681" s="1196"/>
      <c r="Q2681" s="141"/>
      <c r="R2681" s="141"/>
      <c r="S2681" s="148"/>
      <c r="T2681" s="419"/>
      <c r="U2681" s="559"/>
      <c r="V2681" s="141"/>
      <c r="W2681" s="141"/>
      <c r="X2681" s="141"/>
      <c r="Y2681" s="144"/>
      <c r="Z2681" s="141"/>
      <c r="AA2681" s="141"/>
      <c r="AB2681" s="141"/>
      <c r="AC2681" s="141"/>
      <c r="AD2681" s="141"/>
      <c r="AE2681" s="141"/>
      <c r="AF2681" s="145"/>
      <c r="AG2681" s="419"/>
    </row>
    <row r="2682" spans="1:33" s="139" customFormat="1" ht="12.75" customHeight="1" x14ac:dyDescent="0.2">
      <c r="A2682" s="141"/>
      <c r="B2682" s="141"/>
      <c r="C2682" s="141"/>
      <c r="D2682" s="141"/>
      <c r="E2682" s="1014"/>
      <c r="F2682" s="1014"/>
      <c r="G2682" s="1027"/>
      <c r="H2682" s="1027"/>
      <c r="I2682" s="1174"/>
      <c r="J2682" s="1174"/>
      <c r="K2682" s="1174"/>
      <c r="L2682" s="1172"/>
      <c r="M2682" s="1172"/>
      <c r="N2682" s="1175"/>
      <c r="O2682" s="143"/>
      <c r="P2682" s="1196"/>
      <c r="Q2682" s="141"/>
      <c r="R2682" s="141"/>
      <c r="S2682" s="148"/>
      <c r="T2682" s="419"/>
      <c r="U2682" s="559"/>
      <c r="V2682" s="141"/>
      <c r="W2682" s="141"/>
      <c r="X2682" s="141"/>
      <c r="Y2682" s="144"/>
      <c r="Z2682" s="141"/>
      <c r="AA2682" s="141"/>
      <c r="AB2682" s="141"/>
      <c r="AC2682" s="141"/>
      <c r="AD2682" s="141"/>
      <c r="AE2682" s="141"/>
      <c r="AF2682" s="145"/>
      <c r="AG2682" s="419"/>
    </row>
    <row r="2683" spans="1:33" s="139" customFormat="1" ht="12.75" customHeight="1" x14ac:dyDescent="0.2">
      <c r="A2683" s="141"/>
      <c r="B2683" s="141"/>
      <c r="C2683" s="141"/>
      <c r="D2683" s="141"/>
      <c r="E2683" s="1014"/>
      <c r="F2683" s="1014"/>
      <c r="G2683" s="1027"/>
      <c r="H2683" s="1027"/>
      <c r="I2683" s="1174"/>
      <c r="J2683" s="1174"/>
      <c r="K2683" s="1174"/>
      <c r="L2683" s="1172"/>
      <c r="M2683" s="1172"/>
      <c r="N2683" s="1175"/>
      <c r="O2683" s="143"/>
      <c r="P2683" s="1196"/>
      <c r="Q2683" s="141"/>
      <c r="R2683" s="141"/>
      <c r="S2683" s="148"/>
      <c r="T2683" s="419"/>
      <c r="U2683" s="559"/>
      <c r="V2683" s="141"/>
      <c r="W2683" s="141"/>
      <c r="X2683" s="141"/>
      <c r="Y2683" s="144"/>
      <c r="Z2683" s="141"/>
      <c r="AA2683" s="141"/>
      <c r="AB2683" s="141"/>
      <c r="AC2683" s="141"/>
      <c r="AD2683" s="141"/>
      <c r="AE2683" s="141"/>
      <c r="AF2683" s="145"/>
      <c r="AG2683" s="419"/>
    </row>
    <row r="2684" spans="1:33" s="139" customFormat="1" ht="12.75" customHeight="1" x14ac:dyDescent="0.2">
      <c r="A2684" s="141"/>
      <c r="B2684" s="141"/>
      <c r="C2684" s="141"/>
      <c r="D2684" s="141"/>
      <c r="E2684" s="1014"/>
      <c r="F2684" s="1014"/>
      <c r="G2684" s="1027"/>
      <c r="H2684" s="1027"/>
      <c r="I2684" s="1174"/>
      <c r="J2684" s="1174"/>
      <c r="K2684" s="1174"/>
      <c r="L2684" s="1172"/>
      <c r="M2684" s="1172"/>
      <c r="N2684" s="1175"/>
      <c r="O2684" s="143"/>
      <c r="P2684" s="1196"/>
      <c r="Q2684" s="141"/>
      <c r="R2684" s="141"/>
      <c r="S2684" s="148"/>
      <c r="T2684" s="419"/>
      <c r="U2684" s="559"/>
      <c r="V2684" s="141"/>
      <c r="W2684" s="141"/>
      <c r="X2684" s="141"/>
      <c r="Y2684" s="144"/>
      <c r="Z2684" s="141"/>
      <c r="AA2684" s="141"/>
      <c r="AB2684" s="141"/>
      <c r="AC2684" s="141"/>
      <c r="AD2684" s="141"/>
      <c r="AE2684" s="141"/>
      <c r="AF2684" s="145"/>
      <c r="AG2684" s="419"/>
    </row>
    <row r="2685" spans="1:33" s="139" customFormat="1" ht="12.75" customHeight="1" x14ac:dyDescent="0.2">
      <c r="A2685" s="141"/>
      <c r="B2685" s="141"/>
      <c r="C2685" s="141"/>
      <c r="D2685" s="141"/>
      <c r="E2685" s="1014"/>
      <c r="F2685" s="1014"/>
      <c r="G2685" s="1027"/>
      <c r="H2685" s="1027"/>
      <c r="I2685" s="1174"/>
      <c r="J2685" s="1174"/>
      <c r="K2685" s="1174"/>
      <c r="L2685" s="1172"/>
      <c r="M2685" s="1172"/>
      <c r="N2685" s="1175"/>
      <c r="O2685" s="143"/>
      <c r="P2685" s="1196"/>
      <c r="Q2685" s="141"/>
      <c r="R2685" s="141"/>
      <c r="S2685" s="148"/>
      <c r="T2685" s="419"/>
      <c r="U2685" s="559"/>
      <c r="V2685" s="141"/>
      <c r="W2685" s="141"/>
      <c r="X2685" s="141"/>
      <c r="Y2685" s="144"/>
      <c r="Z2685" s="141"/>
      <c r="AA2685" s="141"/>
      <c r="AB2685" s="141"/>
      <c r="AC2685" s="141"/>
      <c r="AD2685" s="141"/>
      <c r="AE2685" s="141"/>
      <c r="AF2685" s="145"/>
      <c r="AG2685" s="419"/>
    </row>
    <row r="2686" spans="1:33" s="139" customFormat="1" ht="12.75" customHeight="1" x14ac:dyDescent="0.2">
      <c r="A2686" s="141"/>
      <c r="B2686" s="141"/>
      <c r="C2686" s="141"/>
      <c r="D2686" s="141"/>
      <c r="E2686" s="1014"/>
      <c r="F2686" s="1014"/>
      <c r="G2686" s="1027"/>
      <c r="H2686" s="1027"/>
      <c r="I2686" s="1174"/>
      <c r="J2686" s="1174"/>
      <c r="K2686" s="1174"/>
      <c r="L2686" s="1172"/>
      <c r="M2686" s="1172"/>
      <c r="N2686" s="1175"/>
      <c r="O2686" s="143"/>
      <c r="P2686" s="1196"/>
      <c r="Q2686" s="141"/>
      <c r="R2686" s="141"/>
      <c r="S2686" s="148"/>
      <c r="T2686" s="419"/>
      <c r="U2686" s="559"/>
      <c r="V2686" s="141"/>
      <c r="W2686" s="141"/>
      <c r="X2686" s="141"/>
      <c r="Y2686" s="144"/>
      <c r="Z2686" s="141"/>
      <c r="AA2686" s="141"/>
      <c r="AB2686" s="141"/>
      <c r="AC2686" s="141"/>
      <c r="AD2686" s="141"/>
      <c r="AE2686" s="141"/>
      <c r="AF2686" s="145"/>
      <c r="AG2686" s="419"/>
    </row>
    <row r="2687" spans="1:33" s="139" customFormat="1" ht="12.75" customHeight="1" x14ac:dyDescent="0.2">
      <c r="A2687" s="141"/>
      <c r="B2687" s="141"/>
      <c r="C2687" s="141"/>
      <c r="D2687" s="141"/>
      <c r="E2687" s="1014"/>
      <c r="F2687" s="1014"/>
      <c r="G2687" s="1027"/>
      <c r="H2687" s="1027"/>
      <c r="I2687" s="1174"/>
      <c r="J2687" s="1174"/>
      <c r="K2687" s="1174"/>
      <c r="L2687" s="1172"/>
      <c r="M2687" s="1172"/>
      <c r="N2687" s="1175"/>
      <c r="O2687" s="143"/>
      <c r="P2687" s="1196"/>
      <c r="Q2687" s="141"/>
      <c r="R2687" s="141"/>
      <c r="S2687" s="148"/>
      <c r="T2687" s="419"/>
      <c r="U2687" s="559"/>
      <c r="V2687" s="141"/>
      <c r="W2687" s="141"/>
      <c r="X2687" s="141"/>
      <c r="Y2687" s="144"/>
      <c r="Z2687" s="141"/>
      <c r="AA2687" s="141"/>
      <c r="AB2687" s="141"/>
      <c r="AC2687" s="141"/>
      <c r="AD2687" s="141"/>
      <c r="AE2687" s="141"/>
      <c r="AF2687" s="145"/>
      <c r="AG2687" s="419"/>
    </row>
    <row r="2688" spans="1:33" s="139" customFormat="1" ht="12.75" customHeight="1" x14ac:dyDescent="0.2">
      <c r="A2688" s="141"/>
      <c r="B2688" s="141"/>
      <c r="C2688" s="141"/>
      <c r="D2688" s="141"/>
      <c r="E2688" s="1014"/>
      <c r="F2688" s="1014"/>
      <c r="G2688" s="1027"/>
      <c r="H2688" s="1027"/>
      <c r="I2688" s="1174"/>
      <c r="J2688" s="1174"/>
      <c r="K2688" s="1174"/>
      <c r="L2688" s="1172"/>
      <c r="M2688" s="1172"/>
      <c r="N2688" s="1175"/>
      <c r="O2688" s="143"/>
      <c r="P2688" s="1196"/>
      <c r="Q2688" s="141"/>
      <c r="R2688" s="141"/>
      <c r="S2688" s="148"/>
      <c r="T2688" s="419"/>
      <c r="U2688" s="559"/>
      <c r="V2688" s="141"/>
      <c r="W2688" s="141"/>
      <c r="X2688" s="141"/>
      <c r="Y2688" s="144"/>
      <c r="Z2688" s="141"/>
      <c r="AA2688" s="141"/>
      <c r="AB2688" s="141"/>
      <c r="AC2688" s="141"/>
      <c r="AD2688" s="141"/>
      <c r="AE2688" s="141"/>
      <c r="AF2688" s="145"/>
      <c r="AG2688" s="419"/>
    </row>
    <row r="2689" spans="1:33" s="139" customFormat="1" ht="12.75" customHeight="1" x14ac:dyDescent="0.2">
      <c r="A2689" s="141"/>
      <c r="B2689" s="141"/>
      <c r="C2689" s="141"/>
      <c r="D2689" s="141"/>
      <c r="E2689" s="1014"/>
      <c r="F2689" s="1014"/>
      <c r="G2689" s="1027"/>
      <c r="H2689" s="1027"/>
      <c r="I2689" s="1174"/>
      <c r="J2689" s="1174"/>
      <c r="K2689" s="1174"/>
      <c r="L2689" s="1172"/>
      <c r="M2689" s="1172"/>
      <c r="N2689" s="1175"/>
      <c r="O2689" s="143"/>
      <c r="P2689" s="1196"/>
      <c r="Q2689" s="141"/>
      <c r="R2689" s="141"/>
      <c r="S2689" s="148"/>
      <c r="T2689" s="419"/>
      <c r="U2689" s="559"/>
      <c r="V2689" s="141"/>
      <c r="W2689" s="141"/>
      <c r="X2689" s="141"/>
      <c r="Y2689" s="144"/>
      <c r="Z2689" s="141"/>
      <c r="AA2689" s="141"/>
      <c r="AB2689" s="141"/>
      <c r="AC2689" s="141"/>
      <c r="AD2689" s="141"/>
      <c r="AE2689" s="141"/>
      <c r="AF2689" s="145"/>
      <c r="AG2689" s="419"/>
    </row>
    <row r="2690" spans="1:33" s="139" customFormat="1" ht="12.75" customHeight="1" x14ac:dyDescent="0.2">
      <c r="A2690" s="141"/>
      <c r="B2690" s="141"/>
      <c r="C2690" s="141"/>
      <c r="D2690" s="141"/>
      <c r="E2690" s="1014"/>
      <c r="F2690" s="1014"/>
      <c r="G2690" s="1027"/>
      <c r="H2690" s="1027"/>
      <c r="I2690" s="1174"/>
      <c r="J2690" s="1174"/>
      <c r="K2690" s="1174"/>
      <c r="L2690" s="1172"/>
      <c r="M2690" s="1172"/>
      <c r="N2690" s="1175"/>
      <c r="O2690" s="143"/>
      <c r="P2690" s="1196"/>
      <c r="Q2690" s="141"/>
      <c r="R2690" s="141"/>
      <c r="S2690" s="148"/>
      <c r="T2690" s="419"/>
      <c r="U2690" s="559"/>
      <c r="V2690" s="141"/>
      <c r="W2690" s="141"/>
      <c r="X2690" s="141"/>
      <c r="Y2690" s="144"/>
      <c r="Z2690" s="141"/>
      <c r="AA2690" s="141"/>
      <c r="AB2690" s="141"/>
      <c r="AC2690" s="141"/>
      <c r="AD2690" s="141"/>
      <c r="AE2690" s="141"/>
      <c r="AF2690" s="145"/>
      <c r="AG2690" s="419"/>
    </row>
    <row r="2691" spans="1:33" s="139" customFormat="1" ht="12.75" customHeight="1" x14ac:dyDescent="0.2">
      <c r="A2691" s="141"/>
      <c r="B2691" s="141"/>
      <c r="C2691" s="141"/>
      <c r="D2691" s="141"/>
      <c r="E2691" s="1014"/>
      <c r="F2691" s="1014"/>
      <c r="G2691" s="1027"/>
      <c r="H2691" s="1027"/>
      <c r="I2691" s="1174"/>
      <c r="J2691" s="1174"/>
      <c r="K2691" s="1174"/>
      <c r="L2691" s="1172"/>
      <c r="M2691" s="1172"/>
      <c r="N2691" s="1175"/>
      <c r="O2691" s="143"/>
      <c r="P2691" s="1196"/>
      <c r="Q2691" s="141"/>
      <c r="R2691" s="141"/>
      <c r="S2691" s="148"/>
      <c r="T2691" s="419"/>
      <c r="U2691" s="559"/>
      <c r="V2691" s="141"/>
      <c r="W2691" s="141"/>
      <c r="X2691" s="141"/>
      <c r="Y2691" s="144"/>
      <c r="Z2691" s="141"/>
      <c r="AA2691" s="141"/>
      <c r="AB2691" s="141"/>
      <c r="AC2691" s="141"/>
      <c r="AD2691" s="141"/>
      <c r="AE2691" s="141"/>
      <c r="AF2691" s="145"/>
      <c r="AG2691" s="419"/>
    </row>
    <row r="2692" spans="1:33" s="139" customFormat="1" ht="12.75" customHeight="1" x14ac:dyDescent="0.2">
      <c r="A2692" s="141"/>
      <c r="B2692" s="141"/>
      <c r="C2692" s="141"/>
      <c r="D2692" s="141"/>
      <c r="E2692" s="1014"/>
      <c r="F2692" s="1014"/>
      <c r="G2692" s="1027"/>
      <c r="H2692" s="1027"/>
      <c r="I2692" s="1174"/>
      <c r="J2692" s="1174"/>
      <c r="K2692" s="1174"/>
      <c r="L2692" s="1172"/>
      <c r="M2692" s="1172"/>
      <c r="N2692" s="1175"/>
      <c r="O2692" s="143"/>
      <c r="P2692" s="1196"/>
      <c r="Q2692" s="141"/>
      <c r="R2692" s="141"/>
      <c r="S2692" s="148"/>
      <c r="T2692" s="419"/>
      <c r="U2692" s="559"/>
      <c r="V2692" s="141"/>
      <c r="W2692" s="141"/>
      <c r="X2692" s="141"/>
      <c r="Y2692" s="144"/>
      <c r="Z2692" s="141"/>
      <c r="AA2692" s="141"/>
      <c r="AB2692" s="141"/>
      <c r="AC2692" s="141"/>
      <c r="AD2692" s="141"/>
      <c r="AE2692" s="141"/>
      <c r="AF2692" s="145"/>
      <c r="AG2692" s="419"/>
    </row>
    <row r="2693" spans="1:33" s="139" customFormat="1" ht="12.75" customHeight="1" x14ac:dyDescent="0.2">
      <c r="A2693" s="141"/>
      <c r="B2693" s="141"/>
      <c r="C2693" s="141"/>
      <c r="D2693" s="141"/>
      <c r="E2693" s="1014"/>
      <c r="F2693" s="1014"/>
      <c r="G2693" s="1027"/>
      <c r="H2693" s="1027"/>
      <c r="I2693" s="1174"/>
      <c r="J2693" s="1174"/>
      <c r="K2693" s="1174"/>
      <c r="L2693" s="1172"/>
      <c r="M2693" s="1172"/>
      <c r="N2693" s="1175"/>
      <c r="O2693" s="143"/>
      <c r="P2693" s="1196"/>
      <c r="Q2693" s="141"/>
      <c r="R2693" s="141"/>
      <c r="S2693" s="148"/>
      <c r="T2693" s="419"/>
      <c r="U2693" s="559"/>
      <c r="V2693" s="141"/>
      <c r="W2693" s="141"/>
      <c r="X2693" s="141"/>
      <c r="Y2693" s="144"/>
      <c r="Z2693" s="141"/>
      <c r="AA2693" s="141"/>
      <c r="AB2693" s="141"/>
      <c r="AC2693" s="141"/>
      <c r="AD2693" s="141"/>
      <c r="AE2693" s="141"/>
      <c r="AF2693" s="145"/>
      <c r="AG2693" s="419"/>
    </row>
    <row r="2694" spans="1:33" s="139" customFormat="1" ht="12.75" customHeight="1" x14ac:dyDescent="0.2">
      <c r="A2694" s="141"/>
      <c r="B2694" s="141"/>
      <c r="C2694" s="141"/>
      <c r="D2694" s="141"/>
      <c r="E2694" s="1014"/>
      <c r="F2694" s="1014"/>
      <c r="G2694" s="1027"/>
      <c r="H2694" s="1027"/>
      <c r="I2694" s="1174"/>
      <c r="J2694" s="1174"/>
      <c r="K2694" s="1174"/>
      <c r="L2694" s="1172"/>
      <c r="M2694" s="1172"/>
      <c r="N2694" s="1175"/>
      <c r="O2694" s="143"/>
      <c r="P2694" s="1196"/>
      <c r="Q2694" s="141"/>
      <c r="R2694" s="141"/>
      <c r="S2694" s="148"/>
      <c r="T2694" s="419"/>
      <c r="U2694" s="559"/>
      <c r="V2694" s="141"/>
      <c r="W2694" s="141"/>
      <c r="X2694" s="141"/>
      <c r="Y2694" s="144"/>
      <c r="Z2694" s="141"/>
      <c r="AA2694" s="141"/>
      <c r="AB2694" s="141"/>
      <c r="AC2694" s="141"/>
      <c r="AD2694" s="141"/>
      <c r="AE2694" s="141"/>
      <c r="AF2694" s="145"/>
      <c r="AG2694" s="419"/>
    </row>
    <row r="2695" spans="1:33" s="139" customFormat="1" ht="12.75" customHeight="1" x14ac:dyDescent="0.2">
      <c r="A2695" s="141"/>
      <c r="B2695" s="141"/>
      <c r="C2695" s="141"/>
      <c r="D2695" s="141"/>
      <c r="E2695" s="1014"/>
      <c r="F2695" s="1014"/>
      <c r="G2695" s="1027"/>
      <c r="H2695" s="1027"/>
      <c r="I2695" s="1174"/>
      <c r="J2695" s="1174"/>
      <c r="K2695" s="1174"/>
      <c r="L2695" s="1172"/>
      <c r="M2695" s="1172"/>
      <c r="N2695" s="1175"/>
      <c r="O2695" s="143"/>
      <c r="P2695" s="1196"/>
      <c r="Q2695" s="141"/>
      <c r="R2695" s="141"/>
      <c r="S2695" s="148"/>
      <c r="T2695" s="419"/>
      <c r="U2695" s="559"/>
      <c r="V2695" s="141"/>
      <c r="W2695" s="141"/>
      <c r="X2695" s="141"/>
      <c r="Y2695" s="144"/>
      <c r="Z2695" s="141"/>
      <c r="AA2695" s="141"/>
      <c r="AB2695" s="141"/>
      <c r="AC2695" s="141"/>
      <c r="AD2695" s="141"/>
      <c r="AE2695" s="141"/>
      <c r="AF2695" s="145"/>
      <c r="AG2695" s="419"/>
    </row>
    <row r="2696" spans="1:33" s="139" customFormat="1" ht="12.75" customHeight="1" x14ac:dyDescent="0.2">
      <c r="A2696" s="141"/>
      <c r="B2696" s="141"/>
      <c r="C2696" s="141"/>
      <c r="D2696" s="141"/>
      <c r="E2696" s="1014"/>
      <c r="F2696" s="1014"/>
      <c r="G2696" s="1027"/>
      <c r="H2696" s="1027"/>
      <c r="I2696" s="1174"/>
      <c r="J2696" s="1174"/>
      <c r="K2696" s="1174"/>
      <c r="L2696" s="1172"/>
      <c r="M2696" s="1172"/>
      <c r="N2696" s="1175"/>
      <c r="O2696" s="143"/>
      <c r="P2696" s="1196"/>
      <c r="Q2696" s="141"/>
      <c r="R2696" s="141"/>
      <c r="S2696" s="148"/>
      <c r="T2696" s="419"/>
      <c r="U2696" s="559"/>
      <c r="V2696" s="141"/>
      <c r="W2696" s="141"/>
      <c r="X2696" s="141"/>
      <c r="Y2696" s="144"/>
      <c r="Z2696" s="141"/>
      <c r="AA2696" s="141"/>
      <c r="AB2696" s="141"/>
      <c r="AC2696" s="141"/>
      <c r="AD2696" s="141"/>
      <c r="AE2696" s="141"/>
      <c r="AF2696" s="145"/>
      <c r="AG2696" s="419"/>
    </row>
    <row r="2697" spans="1:33" s="139" customFormat="1" ht="12.75" customHeight="1" x14ac:dyDescent="0.2">
      <c r="A2697" s="141"/>
      <c r="B2697" s="141"/>
      <c r="C2697" s="141"/>
      <c r="D2697" s="141"/>
      <c r="E2697" s="1014"/>
      <c r="F2697" s="1014"/>
      <c r="G2697" s="1027"/>
      <c r="H2697" s="1027"/>
      <c r="I2697" s="1174"/>
      <c r="J2697" s="1174"/>
      <c r="K2697" s="1174"/>
      <c r="L2697" s="1172"/>
      <c r="M2697" s="1172"/>
      <c r="N2697" s="1175"/>
      <c r="O2697" s="143"/>
      <c r="P2697" s="1196"/>
      <c r="Q2697" s="141"/>
      <c r="R2697" s="141"/>
      <c r="S2697" s="148"/>
      <c r="T2697" s="419"/>
      <c r="U2697" s="559"/>
      <c r="V2697" s="141"/>
      <c r="W2697" s="141"/>
      <c r="X2697" s="141"/>
      <c r="Y2697" s="144"/>
      <c r="Z2697" s="141"/>
      <c r="AA2697" s="141"/>
      <c r="AB2697" s="141"/>
      <c r="AC2697" s="141"/>
      <c r="AD2697" s="141"/>
      <c r="AE2697" s="141"/>
      <c r="AF2697" s="145"/>
      <c r="AG2697" s="419"/>
    </row>
    <row r="2698" spans="1:33" s="139" customFormat="1" ht="12.75" customHeight="1" x14ac:dyDescent="0.2">
      <c r="A2698" s="141"/>
      <c r="B2698" s="141"/>
      <c r="C2698" s="141"/>
      <c r="D2698" s="141"/>
      <c r="E2698" s="1014"/>
      <c r="F2698" s="1014"/>
      <c r="G2698" s="1027"/>
      <c r="H2698" s="1027"/>
      <c r="I2698" s="1174"/>
      <c r="J2698" s="1174"/>
      <c r="K2698" s="1174"/>
      <c r="L2698" s="1172"/>
      <c r="M2698" s="1172"/>
      <c r="N2698" s="1175"/>
      <c r="O2698" s="143"/>
      <c r="P2698" s="1196"/>
      <c r="Q2698" s="141"/>
      <c r="R2698" s="141"/>
      <c r="S2698" s="148"/>
      <c r="T2698" s="419"/>
      <c r="U2698" s="559"/>
      <c r="V2698" s="141"/>
      <c r="W2698" s="141"/>
      <c r="X2698" s="141"/>
      <c r="Y2698" s="144"/>
      <c r="Z2698" s="141"/>
      <c r="AA2698" s="141"/>
      <c r="AB2698" s="141"/>
      <c r="AC2698" s="141"/>
      <c r="AD2698" s="141"/>
      <c r="AE2698" s="141"/>
      <c r="AF2698" s="145"/>
      <c r="AG2698" s="419"/>
    </row>
    <row r="2699" spans="1:33" s="139" customFormat="1" ht="12.75" customHeight="1" x14ac:dyDescent="0.2">
      <c r="A2699" s="141"/>
      <c r="B2699" s="141"/>
      <c r="C2699" s="141"/>
      <c r="D2699" s="141"/>
      <c r="E2699" s="1014"/>
      <c r="F2699" s="1014"/>
      <c r="G2699" s="1027"/>
      <c r="H2699" s="1027"/>
      <c r="I2699" s="1174"/>
      <c r="J2699" s="1174"/>
      <c r="K2699" s="1174"/>
      <c r="L2699" s="1172"/>
      <c r="M2699" s="1172"/>
      <c r="N2699" s="1175"/>
      <c r="O2699" s="143"/>
      <c r="P2699" s="1196"/>
      <c r="Q2699" s="141"/>
      <c r="R2699" s="141"/>
      <c r="S2699" s="148"/>
      <c r="T2699" s="419"/>
      <c r="U2699" s="559"/>
      <c r="V2699" s="141"/>
      <c r="W2699" s="141"/>
      <c r="X2699" s="141"/>
      <c r="Y2699" s="144"/>
      <c r="Z2699" s="141"/>
      <c r="AA2699" s="141"/>
      <c r="AB2699" s="141"/>
      <c r="AC2699" s="141"/>
      <c r="AD2699" s="141"/>
      <c r="AE2699" s="141"/>
      <c r="AF2699" s="145"/>
      <c r="AG2699" s="419"/>
    </row>
    <row r="2700" spans="1:33" s="139" customFormat="1" ht="12.75" customHeight="1" x14ac:dyDescent="0.2">
      <c r="A2700" s="141"/>
      <c r="B2700" s="141"/>
      <c r="C2700" s="141"/>
      <c r="D2700" s="141"/>
      <c r="E2700" s="1014"/>
      <c r="F2700" s="1014"/>
      <c r="G2700" s="1027"/>
      <c r="H2700" s="1027"/>
      <c r="I2700" s="1174"/>
      <c r="J2700" s="1174"/>
      <c r="K2700" s="1174"/>
      <c r="L2700" s="1172"/>
      <c r="M2700" s="1172"/>
      <c r="N2700" s="1175"/>
      <c r="O2700" s="143"/>
      <c r="P2700" s="1196"/>
      <c r="Q2700" s="141"/>
      <c r="R2700" s="141"/>
      <c r="S2700" s="148"/>
      <c r="T2700" s="419"/>
      <c r="U2700" s="559"/>
      <c r="V2700" s="141"/>
      <c r="W2700" s="141"/>
      <c r="X2700" s="141"/>
      <c r="Y2700" s="144"/>
      <c r="Z2700" s="141"/>
      <c r="AA2700" s="141"/>
      <c r="AB2700" s="141"/>
      <c r="AC2700" s="141"/>
      <c r="AD2700" s="141"/>
      <c r="AE2700" s="141"/>
      <c r="AF2700" s="145"/>
      <c r="AG2700" s="419"/>
    </row>
    <row r="2701" spans="1:33" s="139" customFormat="1" ht="12.75" customHeight="1" x14ac:dyDescent="0.2">
      <c r="A2701" s="141"/>
      <c r="B2701" s="141"/>
      <c r="C2701" s="141"/>
      <c r="D2701" s="141"/>
      <c r="E2701" s="1014"/>
      <c r="F2701" s="1014"/>
      <c r="G2701" s="1027"/>
      <c r="H2701" s="1027"/>
      <c r="I2701" s="1174"/>
      <c r="J2701" s="1174"/>
      <c r="K2701" s="1174"/>
      <c r="L2701" s="1172"/>
      <c r="M2701" s="1172"/>
      <c r="N2701" s="1175"/>
      <c r="O2701" s="143"/>
      <c r="P2701" s="1196"/>
      <c r="Q2701" s="141"/>
      <c r="R2701" s="141"/>
      <c r="S2701" s="148"/>
      <c r="T2701" s="419"/>
      <c r="U2701" s="559"/>
      <c r="V2701" s="141"/>
      <c r="W2701" s="141"/>
      <c r="X2701" s="141"/>
      <c r="Y2701" s="144"/>
      <c r="Z2701" s="141"/>
      <c r="AA2701" s="141"/>
      <c r="AB2701" s="141"/>
      <c r="AC2701" s="141"/>
      <c r="AD2701" s="141"/>
      <c r="AE2701" s="141"/>
      <c r="AF2701" s="145"/>
      <c r="AG2701" s="419"/>
    </row>
    <row r="2702" spans="1:33" s="139" customFormat="1" ht="12.75" customHeight="1" x14ac:dyDescent="0.2">
      <c r="A2702" s="141"/>
      <c r="B2702" s="141"/>
      <c r="C2702" s="141"/>
      <c r="D2702" s="141"/>
      <c r="E2702" s="1014"/>
      <c r="F2702" s="1014"/>
      <c r="G2702" s="1027"/>
      <c r="H2702" s="1027"/>
      <c r="I2702" s="1174"/>
      <c r="J2702" s="1174"/>
      <c r="K2702" s="1174"/>
      <c r="L2702" s="1172"/>
      <c r="M2702" s="1172"/>
      <c r="N2702" s="1175"/>
      <c r="O2702" s="143"/>
      <c r="P2702" s="1196"/>
      <c r="Q2702" s="141"/>
      <c r="R2702" s="141"/>
      <c r="S2702" s="148"/>
      <c r="T2702" s="419"/>
      <c r="U2702" s="559"/>
      <c r="V2702" s="141"/>
      <c r="W2702" s="141"/>
      <c r="X2702" s="141"/>
      <c r="Y2702" s="144"/>
      <c r="Z2702" s="141"/>
      <c r="AA2702" s="141"/>
      <c r="AB2702" s="141"/>
      <c r="AC2702" s="141"/>
      <c r="AD2702" s="141"/>
      <c r="AE2702" s="141"/>
      <c r="AF2702" s="145"/>
      <c r="AG2702" s="419"/>
    </row>
    <row r="2703" spans="1:33" s="139" customFormat="1" ht="12.75" customHeight="1" x14ac:dyDescent="0.2">
      <c r="A2703" s="141"/>
      <c r="B2703" s="141"/>
      <c r="C2703" s="141"/>
      <c r="D2703" s="141"/>
      <c r="E2703" s="1014"/>
      <c r="F2703" s="1014"/>
      <c r="G2703" s="1027"/>
      <c r="H2703" s="1027"/>
      <c r="I2703" s="1174"/>
      <c r="J2703" s="1174"/>
      <c r="K2703" s="1174"/>
      <c r="L2703" s="1172"/>
      <c r="M2703" s="1172"/>
      <c r="N2703" s="1175"/>
      <c r="O2703" s="143"/>
      <c r="P2703" s="1196"/>
      <c r="Q2703" s="141"/>
      <c r="R2703" s="141"/>
      <c r="S2703" s="148"/>
      <c r="T2703" s="419"/>
      <c r="U2703" s="559"/>
      <c r="V2703" s="141"/>
      <c r="W2703" s="141"/>
      <c r="X2703" s="141"/>
      <c r="Y2703" s="144"/>
      <c r="Z2703" s="141"/>
      <c r="AA2703" s="141"/>
      <c r="AB2703" s="141"/>
      <c r="AC2703" s="141"/>
      <c r="AD2703" s="141"/>
      <c r="AE2703" s="141"/>
      <c r="AF2703" s="145"/>
      <c r="AG2703" s="419"/>
    </row>
    <row r="2704" spans="1:33" s="139" customFormat="1" ht="12.75" customHeight="1" x14ac:dyDescent="0.2">
      <c r="A2704" s="141"/>
      <c r="B2704" s="141"/>
      <c r="C2704" s="141"/>
      <c r="D2704" s="141"/>
      <c r="E2704" s="1014"/>
      <c r="F2704" s="1014"/>
      <c r="G2704" s="1027"/>
      <c r="H2704" s="1027"/>
      <c r="I2704" s="1174"/>
      <c r="J2704" s="1174"/>
      <c r="K2704" s="1174"/>
      <c r="L2704" s="1172"/>
      <c r="M2704" s="1172"/>
      <c r="N2704" s="1175"/>
      <c r="O2704" s="143"/>
      <c r="P2704" s="1196"/>
      <c r="Q2704" s="141"/>
      <c r="R2704" s="141"/>
      <c r="S2704" s="148"/>
      <c r="T2704" s="419"/>
      <c r="U2704" s="559"/>
      <c r="V2704" s="141"/>
      <c r="W2704" s="141"/>
      <c r="X2704" s="141"/>
      <c r="Y2704" s="144"/>
      <c r="Z2704" s="141"/>
      <c r="AA2704" s="141"/>
      <c r="AB2704" s="141"/>
      <c r="AC2704" s="141"/>
      <c r="AD2704" s="141"/>
      <c r="AE2704" s="141"/>
      <c r="AF2704" s="145"/>
      <c r="AG2704" s="419"/>
    </row>
    <row r="2705" spans="1:33" s="139" customFormat="1" ht="12.75" customHeight="1" x14ac:dyDescent="0.2">
      <c r="A2705" s="141"/>
      <c r="B2705" s="141"/>
      <c r="C2705" s="141"/>
      <c r="D2705" s="141"/>
      <c r="E2705" s="1014"/>
      <c r="F2705" s="1014"/>
      <c r="G2705" s="1027"/>
      <c r="H2705" s="1027"/>
      <c r="I2705" s="1174"/>
      <c r="J2705" s="1174"/>
      <c r="K2705" s="1174"/>
      <c r="L2705" s="1172"/>
      <c r="M2705" s="1172"/>
      <c r="N2705" s="1175"/>
      <c r="O2705" s="143"/>
      <c r="P2705" s="1196"/>
      <c r="Q2705" s="141"/>
      <c r="R2705" s="141"/>
      <c r="S2705" s="148"/>
      <c r="T2705" s="419"/>
      <c r="U2705" s="559"/>
      <c r="V2705" s="141"/>
      <c r="W2705" s="141"/>
      <c r="X2705" s="141"/>
      <c r="Y2705" s="144"/>
      <c r="Z2705" s="141"/>
      <c r="AA2705" s="141"/>
      <c r="AB2705" s="141"/>
      <c r="AC2705" s="141"/>
      <c r="AD2705" s="141"/>
      <c r="AE2705" s="141"/>
      <c r="AF2705" s="145"/>
      <c r="AG2705" s="419"/>
    </row>
    <row r="2706" spans="1:33" s="139" customFormat="1" ht="12.75" customHeight="1" x14ac:dyDescent="0.2">
      <c r="A2706" s="141"/>
      <c r="B2706" s="141"/>
      <c r="C2706" s="141"/>
      <c r="D2706" s="141"/>
      <c r="E2706" s="1014"/>
      <c r="F2706" s="1014"/>
      <c r="G2706" s="1027"/>
      <c r="H2706" s="1027"/>
      <c r="I2706" s="1174"/>
      <c r="J2706" s="1174"/>
      <c r="K2706" s="1174"/>
      <c r="L2706" s="1172"/>
      <c r="M2706" s="1172"/>
      <c r="N2706" s="1175"/>
      <c r="O2706" s="143"/>
      <c r="P2706" s="1196"/>
      <c r="Q2706" s="141"/>
      <c r="R2706" s="141"/>
      <c r="S2706" s="148"/>
      <c r="T2706" s="419"/>
      <c r="U2706" s="559"/>
      <c r="V2706" s="141"/>
      <c r="W2706" s="141"/>
      <c r="X2706" s="141"/>
      <c r="Y2706" s="144"/>
      <c r="Z2706" s="141"/>
      <c r="AA2706" s="141"/>
      <c r="AB2706" s="141"/>
      <c r="AC2706" s="141"/>
      <c r="AD2706" s="141"/>
      <c r="AE2706" s="141"/>
      <c r="AF2706" s="145"/>
      <c r="AG2706" s="419"/>
    </row>
    <row r="2707" spans="1:33" s="139" customFormat="1" ht="12.75" customHeight="1" x14ac:dyDescent="0.2">
      <c r="A2707" s="141"/>
      <c r="B2707" s="141"/>
      <c r="C2707" s="141"/>
      <c r="D2707" s="141"/>
      <c r="E2707" s="1014"/>
      <c r="F2707" s="1014"/>
      <c r="G2707" s="1027"/>
      <c r="H2707" s="1027"/>
      <c r="I2707" s="1174"/>
      <c r="J2707" s="1174"/>
      <c r="K2707" s="1174"/>
      <c r="L2707" s="1172"/>
      <c r="M2707" s="1172"/>
      <c r="N2707" s="1175"/>
      <c r="O2707" s="143"/>
      <c r="P2707" s="1196"/>
      <c r="Q2707" s="141"/>
      <c r="R2707" s="141"/>
      <c r="S2707" s="148"/>
      <c r="T2707" s="419"/>
      <c r="U2707" s="559"/>
      <c r="V2707" s="141"/>
      <c r="W2707" s="141"/>
      <c r="X2707" s="141"/>
      <c r="Y2707" s="144"/>
      <c r="Z2707" s="141"/>
      <c r="AA2707" s="141"/>
      <c r="AB2707" s="141"/>
      <c r="AC2707" s="141"/>
      <c r="AD2707" s="141"/>
      <c r="AE2707" s="141"/>
      <c r="AF2707" s="145"/>
      <c r="AG2707" s="419"/>
    </row>
    <row r="2708" spans="1:33" s="139" customFormat="1" ht="12.75" customHeight="1" x14ac:dyDescent="0.2">
      <c r="A2708" s="141"/>
      <c r="B2708" s="141"/>
      <c r="C2708" s="141"/>
      <c r="D2708" s="141"/>
      <c r="E2708" s="1014"/>
      <c r="F2708" s="1014"/>
      <c r="G2708" s="1027"/>
      <c r="H2708" s="1027"/>
      <c r="I2708" s="1174"/>
      <c r="J2708" s="1174"/>
      <c r="K2708" s="1174"/>
      <c r="L2708" s="1172"/>
      <c r="M2708" s="1172"/>
      <c r="N2708" s="1175"/>
      <c r="O2708" s="143"/>
      <c r="P2708" s="1196"/>
      <c r="Q2708" s="141"/>
      <c r="R2708" s="141"/>
      <c r="S2708" s="148"/>
      <c r="T2708" s="419"/>
      <c r="U2708" s="559"/>
      <c r="V2708" s="141"/>
      <c r="W2708" s="141"/>
      <c r="X2708" s="141"/>
      <c r="Y2708" s="144"/>
      <c r="Z2708" s="141"/>
      <c r="AA2708" s="141"/>
      <c r="AB2708" s="141"/>
      <c r="AC2708" s="141"/>
      <c r="AD2708" s="141"/>
      <c r="AE2708" s="141"/>
      <c r="AF2708" s="145"/>
      <c r="AG2708" s="419"/>
    </row>
    <row r="2709" spans="1:33" s="139" customFormat="1" ht="12.75" customHeight="1" x14ac:dyDescent="0.2">
      <c r="A2709" s="141"/>
      <c r="B2709" s="141"/>
      <c r="C2709" s="141"/>
      <c r="D2709" s="141"/>
      <c r="E2709" s="1014"/>
      <c r="F2709" s="1014"/>
      <c r="G2709" s="1027"/>
      <c r="H2709" s="1027"/>
      <c r="I2709" s="1174"/>
      <c r="J2709" s="1174"/>
      <c r="K2709" s="1174"/>
      <c r="L2709" s="1172"/>
      <c r="M2709" s="1172"/>
      <c r="N2709" s="1175"/>
      <c r="O2709" s="143"/>
      <c r="P2709" s="1196"/>
      <c r="Q2709" s="141"/>
      <c r="R2709" s="141"/>
      <c r="S2709" s="148"/>
      <c r="T2709" s="419"/>
      <c r="U2709" s="559"/>
      <c r="V2709" s="141"/>
      <c r="W2709" s="141"/>
      <c r="X2709" s="141"/>
      <c r="Y2709" s="144"/>
      <c r="Z2709" s="141"/>
      <c r="AA2709" s="141"/>
      <c r="AB2709" s="141"/>
      <c r="AC2709" s="141"/>
      <c r="AD2709" s="141"/>
      <c r="AE2709" s="141"/>
      <c r="AF2709" s="145"/>
      <c r="AG2709" s="419"/>
    </row>
    <row r="2710" spans="1:33" s="139" customFormat="1" ht="12.75" customHeight="1" x14ac:dyDescent="0.2">
      <c r="A2710" s="141"/>
      <c r="B2710" s="141"/>
      <c r="C2710" s="141"/>
      <c r="D2710" s="141"/>
      <c r="E2710" s="1014"/>
      <c r="F2710" s="1014"/>
      <c r="G2710" s="1027"/>
      <c r="H2710" s="1027"/>
      <c r="I2710" s="1174"/>
      <c r="J2710" s="1174"/>
      <c r="K2710" s="1174"/>
      <c r="L2710" s="1172"/>
      <c r="M2710" s="1172"/>
      <c r="N2710" s="1175"/>
      <c r="O2710" s="143"/>
      <c r="P2710" s="1196"/>
      <c r="Q2710" s="141"/>
      <c r="R2710" s="141"/>
      <c r="S2710" s="148"/>
      <c r="T2710" s="419"/>
      <c r="U2710" s="559"/>
      <c r="V2710" s="141"/>
      <c r="W2710" s="141"/>
      <c r="X2710" s="141"/>
      <c r="Y2710" s="144"/>
      <c r="Z2710" s="141"/>
      <c r="AA2710" s="141"/>
      <c r="AB2710" s="141"/>
      <c r="AC2710" s="141"/>
      <c r="AD2710" s="141"/>
      <c r="AE2710" s="141"/>
      <c r="AF2710" s="145"/>
      <c r="AG2710" s="419"/>
    </row>
    <row r="2711" spans="1:33" s="139" customFormat="1" ht="12.75" customHeight="1" x14ac:dyDescent="0.2">
      <c r="A2711" s="141"/>
      <c r="B2711" s="141"/>
      <c r="C2711" s="141"/>
      <c r="D2711" s="141"/>
      <c r="E2711" s="1014"/>
      <c r="F2711" s="1014"/>
      <c r="G2711" s="1027"/>
      <c r="H2711" s="1027"/>
      <c r="I2711" s="1174"/>
      <c r="J2711" s="1174"/>
      <c r="K2711" s="1174"/>
      <c r="L2711" s="1172"/>
      <c r="M2711" s="1172"/>
      <c r="N2711" s="1175"/>
      <c r="O2711" s="143"/>
      <c r="P2711" s="1196"/>
      <c r="Q2711" s="141"/>
      <c r="R2711" s="141"/>
      <c r="S2711" s="148"/>
      <c r="T2711" s="419"/>
      <c r="U2711" s="559"/>
      <c r="V2711" s="141"/>
      <c r="W2711" s="141"/>
      <c r="X2711" s="141"/>
      <c r="Y2711" s="144"/>
      <c r="Z2711" s="141"/>
      <c r="AA2711" s="141"/>
      <c r="AB2711" s="141"/>
      <c r="AC2711" s="141"/>
      <c r="AD2711" s="141"/>
      <c r="AE2711" s="141"/>
      <c r="AF2711" s="145"/>
      <c r="AG2711" s="419"/>
    </row>
    <row r="2712" spans="1:33" s="139" customFormat="1" ht="12.75" customHeight="1" x14ac:dyDescent="0.2">
      <c r="A2712" s="141"/>
      <c r="B2712" s="141"/>
      <c r="C2712" s="141"/>
      <c r="D2712" s="141"/>
      <c r="E2712" s="1014"/>
      <c r="F2712" s="1014"/>
      <c r="G2712" s="1027"/>
      <c r="H2712" s="1027"/>
      <c r="I2712" s="1174"/>
      <c r="J2712" s="1174"/>
      <c r="K2712" s="1174"/>
      <c r="L2712" s="1172"/>
      <c r="M2712" s="1172"/>
      <c r="N2712" s="1175"/>
      <c r="O2712" s="143"/>
      <c r="P2712" s="1196"/>
      <c r="Q2712" s="141"/>
      <c r="R2712" s="141"/>
      <c r="S2712" s="148"/>
      <c r="T2712" s="419"/>
      <c r="U2712" s="559"/>
      <c r="V2712" s="141"/>
      <c r="W2712" s="141"/>
      <c r="X2712" s="141"/>
      <c r="Y2712" s="144"/>
      <c r="Z2712" s="141"/>
      <c r="AA2712" s="141"/>
      <c r="AB2712" s="141"/>
      <c r="AC2712" s="141"/>
      <c r="AD2712" s="141"/>
      <c r="AE2712" s="141"/>
      <c r="AF2712" s="145"/>
      <c r="AG2712" s="419"/>
    </row>
    <row r="2713" spans="1:33" s="139" customFormat="1" ht="12.75" customHeight="1" x14ac:dyDescent="0.2">
      <c r="A2713" s="141"/>
      <c r="B2713" s="141"/>
      <c r="C2713" s="141"/>
      <c r="D2713" s="141"/>
      <c r="E2713" s="1014"/>
      <c r="F2713" s="1014"/>
      <c r="G2713" s="1027"/>
      <c r="H2713" s="1027"/>
      <c r="I2713" s="1174"/>
      <c r="J2713" s="1174"/>
      <c r="K2713" s="1174"/>
      <c r="L2713" s="1172"/>
      <c r="M2713" s="1172"/>
      <c r="N2713" s="1175"/>
      <c r="O2713" s="143"/>
      <c r="P2713" s="1196"/>
      <c r="Q2713" s="141"/>
      <c r="R2713" s="141"/>
      <c r="S2713" s="148"/>
      <c r="T2713" s="419"/>
      <c r="U2713" s="559"/>
      <c r="V2713" s="141"/>
      <c r="W2713" s="141"/>
      <c r="X2713" s="141"/>
      <c r="Y2713" s="144"/>
      <c r="Z2713" s="141"/>
      <c r="AA2713" s="141"/>
      <c r="AB2713" s="141"/>
      <c r="AC2713" s="141"/>
      <c r="AD2713" s="141"/>
      <c r="AE2713" s="141"/>
      <c r="AF2713" s="145"/>
      <c r="AG2713" s="419"/>
    </row>
    <row r="2714" spans="1:33" s="139" customFormat="1" ht="12.75" customHeight="1" x14ac:dyDescent="0.2">
      <c r="A2714" s="141"/>
      <c r="B2714" s="141"/>
      <c r="C2714" s="141"/>
      <c r="D2714" s="141"/>
      <c r="E2714" s="1014"/>
      <c r="F2714" s="1014"/>
      <c r="G2714" s="1027"/>
      <c r="H2714" s="1027"/>
      <c r="I2714" s="1174"/>
      <c r="J2714" s="1174"/>
      <c r="K2714" s="1174"/>
      <c r="L2714" s="1172"/>
      <c r="M2714" s="1172"/>
      <c r="N2714" s="1175"/>
      <c r="O2714" s="143"/>
      <c r="P2714" s="1196"/>
      <c r="Q2714" s="141"/>
      <c r="R2714" s="141"/>
      <c r="S2714" s="148"/>
      <c r="T2714" s="419"/>
      <c r="U2714" s="559"/>
      <c r="V2714" s="141"/>
      <c r="W2714" s="141"/>
      <c r="X2714" s="141"/>
      <c r="Y2714" s="144"/>
      <c r="Z2714" s="141"/>
      <c r="AA2714" s="141"/>
      <c r="AB2714" s="141"/>
      <c r="AC2714" s="141"/>
      <c r="AD2714" s="141"/>
      <c r="AE2714" s="141"/>
      <c r="AF2714" s="145"/>
      <c r="AG2714" s="419"/>
    </row>
    <row r="2715" spans="1:33" s="139" customFormat="1" ht="12.75" customHeight="1" x14ac:dyDescent="0.2">
      <c r="A2715" s="141"/>
      <c r="B2715" s="141"/>
      <c r="C2715" s="141"/>
      <c r="D2715" s="141"/>
      <c r="E2715" s="1014"/>
      <c r="F2715" s="1014"/>
      <c r="G2715" s="1027"/>
      <c r="H2715" s="1027"/>
      <c r="I2715" s="1174"/>
      <c r="J2715" s="1174"/>
      <c r="K2715" s="1174"/>
      <c r="L2715" s="1172"/>
      <c r="M2715" s="1172"/>
      <c r="N2715" s="1175"/>
      <c r="O2715" s="143"/>
      <c r="P2715" s="1196"/>
      <c r="Q2715" s="141"/>
      <c r="R2715" s="141"/>
      <c r="S2715" s="148"/>
      <c r="T2715" s="419"/>
      <c r="U2715" s="559"/>
      <c r="V2715" s="141"/>
      <c r="W2715" s="141"/>
      <c r="X2715" s="141"/>
      <c r="Y2715" s="144"/>
      <c r="Z2715" s="141"/>
      <c r="AA2715" s="141"/>
      <c r="AB2715" s="141"/>
      <c r="AC2715" s="141"/>
      <c r="AD2715" s="141"/>
      <c r="AE2715" s="141"/>
      <c r="AF2715" s="145"/>
      <c r="AG2715" s="419"/>
    </row>
    <row r="2716" spans="1:33" s="139" customFormat="1" ht="12.75" customHeight="1" x14ac:dyDescent="0.2">
      <c r="A2716" s="141"/>
      <c r="B2716" s="141"/>
      <c r="C2716" s="141"/>
      <c r="D2716" s="141"/>
      <c r="E2716" s="1014"/>
      <c r="F2716" s="1014"/>
      <c r="G2716" s="1027"/>
      <c r="H2716" s="1027"/>
      <c r="I2716" s="1174"/>
      <c r="J2716" s="1174"/>
      <c r="K2716" s="1174"/>
      <c r="L2716" s="1172"/>
      <c r="M2716" s="1172"/>
      <c r="N2716" s="1175"/>
      <c r="O2716" s="143"/>
      <c r="P2716" s="1196"/>
      <c r="Q2716" s="141"/>
      <c r="R2716" s="141"/>
      <c r="S2716" s="148"/>
      <c r="T2716" s="419"/>
      <c r="U2716" s="559"/>
      <c r="V2716" s="141"/>
      <c r="W2716" s="141"/>
      <c r="X2716" s="141"/>
      <c r="Y2716" s="144"/>
      <c r="Z2716" s="141"/>
      <c r="AA2716" s="141"/>
      <c r="AB2716" s="141"/>
      <c r="AC2716" s="141"/>
      <c r="AD2716" s="141"/>
      <c r="AE2716" s="141"/>
      <c r="AF2716" s="145"/>
      <c r="AG2716" s="419"/>
    </row>
    <row r="2717" spans="1:33" s="139" customFormat="1" ht="12.75" customHeight="1" x14ac:dyDescent="0.2">
      <c r="A2717" s="141"/>
      <c r="B2717" s="141"/>
      <c r="C2717" s="141"/>
      <c r="D2717" s="141"/>
      <c r="E2717" s="1014"/>
      <c r="F2717" s="1014"/>
      <c r="G2717" s="1027"/>
      <c r="H2717" s="1027"/>
      <c r="I2717" s="1174"/>
      <c r="J2717" s="1174"/>
      <c r="K2717" s="1174"/>
      <c r="L2717" s="1172"/>
      <c r="M2717" s="1172"/>
      <c r="N2717" s="1175"/>
      <c r="O2717" s="143"/>
      <c r="P2717" s="1196"/>
      <c r="Q2717" s="141"/>
      <c r="R2717" s="141"/>
      <c r="S2717" s="148"/>
      <c r="T2717" s="419"/>
      <c r="U2717" s="559"/>
      <c r="V2717" s="141"/>
      <c r="W2717" s="141"/>
      <c r="X2717" s="141"/>
      <c r="Y2717" s="144"/>
      <c r="Z2717" s="141"/>
      <c r="AA2717" s="141"/>
      <c r="AB2717" s="141"/>
      <c r="AC2717" s="141"/>
      <c r="AD2717" s="141"/>
      <c r="AE2717" s="141"/>
      <c r="AF2717" s="145"/>
      <c r="AG2717" s="419"/>
    </row>
    <row r="2718" spans="1:33" s="139" customFormat="1" ht="12.75" customHeight="1" x14ac:dyDescent="0.2">
      <c r="A2718" s="141"/>
      <c r="B2718" s="141"/>
      <c r="C2718" s="141"/>
      <c r="D2718" s="141"/>
      <c r="E2718" s="1014"/>
      <c r="F2718" s="1014"/>
      <c r="G2718" s="1027"/>
      <c r="H2718" s="1027"/>
      <c r="I2718" s="1174"/>
      <c r="J2718" s="1174"/>
      <c r="K2718" s="1174"/>
      <c r="L2718" s="1172"/>
      <c r="M2718" s="1172"/>
      <c r="N2718" s="1175"/>
      <c r="O2718" s="143"/>
      <c r="P2718" s="1196"/>
      <c r="Q2718" s="141"/>
      <c r="R2718" s="141"/>
      <c r="S2718" s="148"/>
      <c r="T2718" s="419"/>
      <c r="U2718" s="559"/>
      <c r="V2718" s="141"/>
      <c r="W2718" s="141"/>
      <c r="X2718" s="141"/>
      <c r="Y2718" s="144"/>
      <c r="Z2718" s="141"/>
      <c r="AA2718" s="141"/>
      <c r="AB2718" s="141"/>
      <c r="AC2718" s="141"/>
      <c r="AD2718" s="141"/>
      <c r="AE2718" s="141"/>
      <c r="AF2718" s="145"/>
      <c r="AG2718" s="419"/>
    </row>
    <row r="2719" spans="1:33" s="139" customFormat="1" ht="12.75" customHeight="1" x14ac:dyDescent="0.2">
      <c r="A2719" s="141"/>
      <c r="B2719" s="141"/>
      <c r="C2719" s="141"/>
      <c r="D2719" s="141"/>
      <c r="E2719" s="1014"/>
      <c r="F2719" s="1014"/>
      <c r="G2719" s="1027"/>
      <c r="H2719" s="1027"/>
      <c r="I2719" s="1174"/>
      <c r="J2719" s="1174"/>
      <c r="K2719" s="1174"/>
      <c r="L2719" s="1172"/>
      <c r="M2719" s="1172"/>
      <c r="N2719" s="1175"/>
      <c r="O2719" s="143"/>
      <c r="P2719" s="1196"/>
      <c r="Q2719" s="141"/>
      <c r="R2719" s="141"/>
      <c r="S2719" s="148"/>
      <c r="T2719" s="419"/>
      <c r="U2719" s="559"/>
      <c r="V2719" s="141"/>
      <c r="W2719" s="141"/>
      <c r="X2719" s="141"/>
      <c r="Y2719" s="144"/>
      <c r="Z2719" s="141"/>
      <c r="AA2719" s="141"/>
      <c r="AB2719" s="141"/>
      <c r="AC2719" s="141"/>
      <c r="AD2719" s="141"/>
      <c r="AE2719" s="141"/>
      <c r="AF2719" s="145"/>
      <c r="AG2719" s="419"/>
    </row>
    <row r="2720" spans="1:33" s="139" customFormat="1" ht="12.75" customHeight="1" x14ac:dyDescent="0.2">
      <c r="A2720" s="141"/>
      <c r="B2720" s="141"/>
      <c r="C2720" s="141"/>
      <c r="D2720" s="141"/>
      <c r="E2720" s="1014"/>
      <c r="F2720" s="1014"/>
      <c r="G2720" s="1027"/>
      <c r="H2720" s="1027"/>
      <c r="I2720" s="1174"/>
      <c r="J2720" s="1174"/>
      <c r="K2720" s="1174"/>
      <c r="L2720" s="1172"/>
      <c r="M2720" s="1172"/>
      <c r="N2720" s="1175"/>
      <c r="O2720" s="143"/>
      <c r="P2720" s="1196"/>
      <c r="Q2720" s="141"/>
      <c r="R2720" s="141"/>
      <c r="S2720" s="148"/>
      <c r="T2720" s="419"/>
      <c r="U2720" s="559"/>
      <c r="V2720" s="141"/>
      <c r="W2720" s="141"/>
      <c r="X2720" s="141"/>
      <c r="Y2720" s="144"/>
      <c r="Z2720" s="141"/>
      <c r="AA2720" s="141"/>
      <c r="AB2720" s="141"/>
      <c r="AC2720" s="141"/>
      <c r="AD2720" s="141"/>
      <c r="AE2720" s="141"/>
      <c r="AF2720" s="145"/>
      <c r="AG2720" s="419"/>
    </row>
    <row r="2721" spans="1:33" s="139" customFormat="1" ht="12.75" customHeight="1" x14ac:dyDescent="0.2">
      <c r="A2721" s="141"/>
      <c r="B2721" s="141"/>
      <c r="C2721" s="141"/>
      <c r="D2721" s="141"/>
      <c r="E2721" s="1014"/>
      <c r="F2721" s="1014"/>
      <c r="G2721" s="1027"/>
      <c r="H2721" s="1027"/>
      <c r="I2721" s="1174"/>
      <c r="J2721" s="1174"/>
      <c r="K2721" s="1174"/>
      <c r="L2721" s="1172"/>
      <c r="M2721" s="1172"/>
      <c r="N2721" s="1175"/>
      <c r="O2721" s="143"/>
      <c r="P2721" s="1196"/>
      <c r="Q2721" s="141"/>
      <c r="R2721" s="141"/>
      <c r="S2721" s="148"/>
      <c r="T2721" s="419"/>
      <c r="U2721" s="559"/>
      <c r="V2721" s="141"/>
      <c r="W2721" s="141"/>
      <c r="X2721" s="141"/>
      <c r="Y2721" s="144"/>
      <c r="Z2721" s="141"/>
      <c r="AA2721" s="141"/>
      <c r="AB2721" s="141"/>
      <c r="AC2721" s="141"/>
      <c r="AD2721" s="141"/>
      <c r="AE2721" s="141"/>
      <c r="AF2721" s="145"/>
      <c r="AG2721" s="419"/>
    </row>
    <row r="2722" spans="1:33" s="139" customFormat="1" ht="12.75" customHeight="1" x14ac:dyDescent="0.2">
      <c r="A2722" s="141"/>
      <c r="B2722" s="141"/>
      <c r="C2722" s="141"/>
      <c r="D2722" s="141"/>
      <c r="E2722" s="1014"/>
      <c r="F2722" s="1014"/>
      <c r="G2722" s="1027"/>
      <c r="H2722" s="1027"/>
      <c r="I2722" s="1174"/>
      <c r="J2722" s="1174"/>
      <c r="K2722" s="1174"/>
      <c r="L2722" s="1172"/>
      <c r="M2722" s="1172"/>
      <c r="N2722" s="1175"/>
      <c r="O2722" s="143"/>
      <c r="P2722" s="1196"/>
      <c r="Q2722" s="141"/>
      <c r="R2722" s="141"/>
      <c r="S2722" s="148"/>
      <c r="T2722" s="419"/>
      <c r="U2722" s="559"/>
      <c r="V2722" s="141"/>
      <c r="W2722" s="141"/>
      <c r="X2722" s="141"/>
      <c r="Y2722" s="144"/>
      <c r="Z2722" s="141"/>
      <c r="AA2722" s="141"/>
      <c r="AB2722" s="141"/>
      <c r="AC2722" s="141"/>
      <c r="AD2722" s="141"/>
      <c r="AE2722" s="141"/>
      <c r="AF2722" s="145"/>
      <c r="AG2722" s="419"/>
    </row>
    <row r="2723" spans="1:33" s="139" customFormat="1" ht="12.75" customHeight="1" x14ac:dyDescent="0.2">
      <c r="A2723" s="141"/>
      <c r="B2723" s="141"/>
      <c r="C2723" s="141"/>
      <c r="D2723" s="141"/>
      <c r="E2723" s="1014"/>
      <c r="F2723" s="1014"/>
      <c r="G2723" s="1027"/>
      <c r="H2723" s="1027"/>
      <c r="I2723" s="1174"/>
      <c r="J2723" s="1174"/>
      <c r="K2723" s="1174"/>
      <c r="L2723" s="1172"/>
      <c r="M2723" s="1172"/>
      <c r="N2723" s="1175"/>
      <c r="O2723" s="143"/>
      <c r="P2723" s="1196"/>
      <c r="Q2723" s="141"/>
      <c r="R2723" s="141"/>
      <c r="S2723" s="148"/>
      <c r="T2723" s="419"/>
      <c r="U2723" s="559"/>
      <c r="V2723" s="141"/>
      <c r="W2723" s="141"/>
      <c r="X2723" s="141"/>
      <c r="Y2723" s="144"/>
      <c r="Z2723" s="141"/>
      <c r="AA2723" s="141"/>
      <c r="AB2723" s="141"/>
      <c r="AC2723" s="141"/>
      <c r="AD2723" s="141"/>
      <c r="AE2723" s="141"/>
      <c r="AF2723" s="145"/>
      <c r="AG2723" s="419"/>
    </row>
    <row r="2724" spans="1:33" s="139" customFormat="1" ht="12.75" customHeight="1" x14ac:dyDescent="0.2">
      <c r="A2724" s="141"/>
      <c r="B2724" s="141"/>
      <c r="C2724" s="141"/>
      <c r="D2724" s="141"/>
      <c r="E2724" s="1014"/>
      <c r="F2724" s="1014"/>
      <c r="G2724" s="1027"/>
      <c r="H2724" s="1027"/>
      <c r="I2724" s="1174"/>
      <c r="J2724" s="1174"/>
      <c r="K2724" s="1174"/>
      <c r="L2724" s="1172"/>
      <c r="M2724" s="1172"/>
      <c r="N2724" s="1175"/>
      <c r="O2724" s="143"/>
      <c r="P2724" s="1196"/>
      <c r="Q2724" s="141"/>
      <c r="R2724" s="141"/>
      <c r="S2724" s="148"/>
      <c r="T2724" s="419"/>
      <c r="U2724" s="559"/>
      <c r="V2724" s="141"/>
      <c r="W2724" s="141"/>
      <c r="X2724" s="141"/>
      <c r="Y2724" s="144"/>
      <c r="Z2724" s="141"/>
      <c r="AA2724" s="141"/>
      <c r="AB2724" s="141"/>
      <c r="AC2724" s="141"/>
      <c r="AD2724" s="141"/>
      <c r="AE2724" s="141"/>
      <c r="AF2724" s="145"/>
      <c r="AG2724" s="419"/>
    </row>
    <row r="2725" spans="1:33" s="139" customFormat="1" ht="12.75" customHeight="1" x14ac:dyDescent="0.2">
      <c r="A2725" s="141"/>
      <c r="B2725" s="141"/>
      <c r="C2725" s="141"/>
      <c r="D2725" s="141"/>
      <c r="E2725" s="1014"/>
      <c r="F2725" s="1014"/>
      <c r="G2725" s="1027"/>
      <c r="H2725" s="1027"/>
      <c r="I2725" s="1174"/>
      <c r="J2725" s="1174"/>
      <c r="K2725" s="1174"/>
      <c r="L2725" s="1172"/>
      <c r="M2725" s="1172"/>
      <c r="N2725" s="1175"/>
      <c r="O2725" s="143"/>
      <c r="P2725" s="1196"/>
      <c r="Q2725" s="141"/>
      <c r="R2725" s="141"/>
      <c r="S2725" s="148"/>
      <c r="T2725" s="419"/>
      <c r="U2725" s="559"/>
      <c r="V2725" s="141"/>
      <c r="W2725" s="141"/>
      <c r="X2725" s="141"/>
      <c r="Y2725" s="144"/>
      <c r="Z2725" s="141"/>
      <c r="AA2725" s="141"/>
      <c r="AB2725" s="141"/>
      <c r="AC2725" s="141"/>
      <c r="AD2725" s="141"/>
      <c r="AE2725" s="141"/>
      <c r="AF2725" s="145"/>
      <c r="AG2725" s="419"/>
    </row>
    <row r="2726" spans="1:33" s="139" customFormat="1" ht="12.75" customHeight="1" x14ac:dyDescent="0.2">
      <c r="A2726" s="141"/>
      <c r="B2726" s="141"/>
      <c r="C2726" s="141"/>
      <c r="D2726" s="141"/>
      <c r="E2726" s="1014"/>
      <c r="F2726" s="1014"/>
      <c r="G2726" s="1027"/>
      <c r="H2726" s="1027"/>
      <c r="I2726" s="1174"/>
      <c r="J2726" s="1174"/>
      <c r="K2726" s="1174"/>
      <c r="L2726" s="1172"/>
      <c r="M2726" s="1172"/>
      <c r="N2726" s="1175"/>
      <c r="O2726" s="143"/>
      <c r="P2726" s="1196"/>
      <c r="Q2726" s="141"/>
      <c r="R2726" s="141"/>
      <c r="S2726" s="148"/>
      <c r="T2726" s="419"/>
      <c r="U2726" s="559"/>
      <c r="V2726" s="141"/>
      <c r="W2726" s="141"/>
      <c r="X2726" s="141"/>
      <c r="Y2726" s="144"/>
      <c r="Z2726" s="141"/>
      <c r="AA2726" s="141"/>
      <c r="AB2726" s="141"/>
      <c r="AC2726" s="141"/>
      <c r="AD2726" s="141"/>
      <c r="AE2726" s="141"/>
      <c r="AF2726" s="145"/>
      <c r="AG2726" s="419"/>
    </row>
    <row r="2727" spans="1:33" s="139" customFormat="1" ht="12.75" customHeight="1" x14ac:dyDescent="0.2">
      <c r="A2727" s="141"/>
      <c r="B2727" s="141"/>
      <c r="C2727" s="141"/>
      <c r="D2727" s="141"/>
      <c r="E2727" s="1014"/>
      <c r="F2727" s="1014"/>
      <c r="G2727" s="1027"/>
      <c r="H2727" s="1027"/>
      <c r="I2727" s="1174"/>
      <c r="J2727" s="1174"/>
      <c r="K2727" s="1174"/>
      <c r="L2727" s="1172"/>
      <c r="M2727" s="1172"/>
      <c r="N2727" s="1175"/>
      <c r="O2727" s="143"/>
      <c r="P2727" s="1196"/>
      <c r="Q2727" s="141"/>
      <c r="R2727" s="141"/>
      <c r="S2727" s="148"/>
      <c r="T2727" s="419"/>
      <c r="U2727" s="559"/>
      <c r="V2727" s="141"/>
      <c r="W2727" s="141"/>
      <c r="X2727" s="141"/>
      <c r="Y2727" s="144"/>
      <c r="Z2727" s="141"/>
      <c r="AA2727" s="141"/>
      <c r="AB2727" s="141"/>
      <c r="AC2727" s="141"/>
      <c r="AD2727" s="141"/>
      <c r="AE2727" s="141"/>
      <c r="AF2727" s="145"/>
      <c r="AG2727" s="419"/>
    </row>
    <row r="2728" spans="1:33" s="139" customFormat="1" ht="12.75" customHeight="1" x14ac:dyDescent="0.2">
      <c r="A2728" s="141"/>
      <c r="B2728" s="141"/>
      <c r="C2728" s="141"/>
      <c r="D2728" s="141"/>
      <c r="E2728" s="1014"/>
      <c r="F2728" s="1014"/>
      <c r="G2728" s="1027"/>
      <c r="H2728" s="1027"/>
      <c r="I2728" s="1174"/>
      <c r="J2728" s="1174"/>
      <c r="K2728" s="1174"/>
      <c r="L2728" s="1172"/>
      <c r="M2728" s="1172"/>
      <c r="N2728" s="1175"/>
      <c r="O2728" s="143"/>
      <c r="P2728" s="1196"/>
      <c r="Q2728" s="141"/>
      <c r="R2728" s="141"/>
      <c r="S2728" s="148"/>
      <c r="T2728" s="419"/>
      <c r="U2728" s="559"/>
      <c r="V2728" s="141"/>
      <c r="W2728" s="141"/>
      <c r="X2728" s="141"/>
      <c r="Y2728" s="144"/>
      <c r="Z2728" s="141"/>
      <c r="AA2728" s="141"/>
      <c r="AB2728" s="141"/>
      <c r="AC2728" s="141"/>
      <c r="AD2728" s="141"/>
      <c r="AE2728" s="141"/>
      <c r="AF2728" s="145"/>
      <c r="AG2728" s="419"/>
    </row>
    <row r="2729" spans="1:33" s="139" customFormat="1" ht="12.75" customHeight="1" x14ac:dyDescent="0.2">
      <c r="A2729" s="141"/>
      <c r="B2729" s="141"/>
      <c r="C2729" s="141"/>
      <c r="D2729" s="141"/>
      <c r="E2729" s="1014"/>
      <c r="F2729" s="1014"/>
      <c r="G2729" s="1027"/>
      <c r="H2729" s="1027"/>
      <c r="I2729" s="1174"/>
      <c r="J2729" s="1174"/>
      <c r="K2729" s="1174"/>
      <c r="L2729" s="1172"/>
      <c r="M2729" s="1172"/>
      <c r="N2729" s="1175"/>
      <c r="O2729" s="143"/>
      <c r="P2729" s="1196"/>
      <c r="Q2729" s="141"/>
      <c r="R2729" s="141"/>
      <c r="S2729" s="148"/>
      <c r="T2729" s="419"/>
      <c r="U2729" s="559"/>
      <c r="V2729" s="141"/>
      <c r="W2729" s="141"/>
      <c r="X2729" s="141"/>
      <c r="Y2729" s="144"/>
      <c r="Z2729" s="141"/>
      <c r="AA2729" s="141"/>
      <c r="AB2729" s="141"/>
      <c r="AC2729" s="141"/>
      <c r="AD2729" s="141"/>
      <c r="AE2729" s="141"/>
      <c r="AF2729" s="145"/>
      <c r="AG2729" s="419"/>
    </row>
    <row r="2730" spans="1:33" s="139" customFormat="1" ht="12.75" customHeight="1" x14ac:dyDescent="0.2">
      <c r="A2730" s="141"/>
      <c r="B2730" s="141"/>
      <c r="C2730" s="141"/>
      <c r="D2730" s="141"/>
      <c r="E2730" s="1014"/>
      <c r="F2730" s="1014"/>
      <c r="G2730" s="1027"/>
      <c r="H2730" s="1027"/>
      <c r="I2730" s="1174"/>
      <c r="J2730" s="1174"/>
      <c r="K2730" s="1174"/>
      <c r="L2730" s="1172"/>
      <c r="M2730" s="1172"/>
      <c r="N2730" s="1175"/>
      <c r="O2730" s="143"/>
      <c r="P2730" s="1196"/>
      <c r="Q2730" s="141"/>
      <c r="R2730" s="141"/>
      <c r="S2730" s="148"/>
      <c r="T2730" s="419"/>
      <c r="U2730" s="559"/>
      <c r="V2730" s="141"/>
      <c r="W2730" s="141"/>
      <c r="X2730" s="141"/>
      <c r="Y2730" s="144"/>
      <c r="Z2730" s="141"/>
      <c r="AA2730" s="141"/>
      <c r="AB2730" s="141"/>
      <c r="AC2730" s="141"/>
      <c r="AD2730" s="141"/>
      <c r="AE2730" s="141"/>
      <c r="AF2730" s="145"/>
      <c r="AG2730" s="419"/>
    </row>
    <row r="2731" spans="1:33" s="139" customFormat="1" ht="12.75" customHeight="1" x14ac:dyDescent="0.2">
      <c r="A2731" s="141"/>
      <c r="B2731" s="141"/>
      <c r="C2731" s="141"/>
      <c r="D2731" s="141"/>
      <c r="E2731" s="1014"/>
      <c r="F2731" s="1014"/>
      <c r="G2731" s="1027"/>
      <c r="H2731" s="1027"/>
      <c r="I2731" s="1174"/>
      <c r="J2731" s="1174"/>
      <c r="K2731" s="1174"/>
      <c r="L2731" s="1172"/>
      <c r="M2731" s="1172"/>
      <c r="N2731" s="1175"/>
      <c r="O2731" s="143"/>
      <c r="P2731" s="1196"/>
      <c r="Q2731" s="141"/>
      <c r="R2731" s="141"/>
      <c r="S2731" s="148"/>
      <c r="T2731" s="419"/>
      <c r="U2731" s="559"/>
      <c r="V2731" s="141"/>
      <c r="W2731" s="141"/>
      <c r="X2731" s="141"/>
      <c r="Y2731" s="144"/>
      <c r="Z2731" s="141"/>
      <c r="AA2731" s="141"/>
      <c r="AB2731" s="141"/>
      <c r="AC2731" s="141"/>
      <c r="AD2731" s="141"/>
      <c r="AE2731" s="141"/>
      <c r="AF2731" s="145"/>
      <c r="AG2731" s="419"/>
    </row>
    <row r="2732" spans="1:33" s="139" customFormat="1" ht="12.75" customHeight="1" x14ac:dyDescent="0.2">
      <c r="A2732" s="141"/>
      <c r="B2732" s="141"/>
      <c r="C2732" s="141"/>
      <c r="D2732" s="141"/>
      <c r="E2732" s="1014"/>
      <c r="F2732" s="1014"/>
      <c r="G2732" s="1027"/>
      <c r="H2732" s="1027"/>
      <c r="I2732" s="1174"/>
      <c r="J2732" s="1174"/>
      <c r="K2732" s="1174"/>
      <c r="L2732" s="1172"/>
      <c r="M2732" s="1172"/>
      <c r="N2732" s="1175"/>
      <c r="O2732" s="143"/>
      <c r="P2732" s="1196"/>
      <c r="Q2732" s="141"/>
      <c r="R2732" s="141"/>
      <c r="S2732" s="148"/>
      <c r="T2732" s="419"/>
      <c r="U2732" s="559"/>
      <c r="V2732" s="141"/>
      <c r="W2732" s="141"/>
      <c r="X2732" s="141"/>
      <c r="Y2732" s="144"/>
      <c r="Z2732" s="141"/>
      <c r="AA2732" s="141"/>
      <c r="AB2732" s="141"/>
      <c r="AC2732" s="141"/>
      <c r="AD2732" s="141"/>
      <c r="AE2732" s="141"/>
      <c r="AF2732" s="145"/>
      <c r="AG2732" s="419"/>
    </row>
    <row r="2733" spans="1:33" s="139" customFormat="1" ht="12.75" customHeight="1" x14ac:dyDescent="0.2">
      <c r="A2733" s="141"/>
      <c r="B2733" s="141"/>
      <c r="C2733" s="141"/>
      <c r="D2733" s="141"/>
      <c r="E2733" s="1014"/>
      <c r="F2733" s="1014"/>
      <c r="G2733" s="1027"/>
      <c r="H2733" s="1027"/>
      <c r="I2733" s="1174"/>
      <c r="J2733" s="1174"/>
      <c r="K2733" s="1174"/>
      <c r="L2733" s="1172"/>
      <c r="M2733" s="1172"/>
      <c r="N2733" s="1175"/>
      <c r="O2733" s="143"/>
      <c r="P2733" s="1196"/>
      <c r="Q2733" s="141"/>
      <c r="R2733" s="141"/>
      <c r="S2733" s="148"/>
      <c r="T2733" s="419"/>
      <c r="U2733" s="559"/>
      <c r="V2733" s="141"/>
      <c r="W2733" s="141"/>
      <c r="X2733" s="141"/>
      <c r="Y2733" s="144"/>
      <c r="Z2733" s="141"/>
      <c r="AA2733" s="141"/>
      <c r="AB2733" s="141"/>
      <c r="AC2733" s="141"/>
      <c r="AD2733" s="141"/>
      <c r="AE2733" s="141"/>
      <c r="AF2733" s="145"/>
      <c r="AG2733" s="419"/>
    </row>
    <row r="2734" spans="1:33" s="139" customFormat="1" ht="12.75" customHeight="1" x14ac:dyDescent="0.2">
      <c r="A2734" s="141"/>
      <c r="B2734" s="141"/>
      <c r="C2734" s="141"/>
      <c r="D2734" s="141"/>
      <c r="E2734" s="1014"/>
      <c r="F2734" s="1014"/>
      <c r="G2734" s="1027"/>
      <c r="H2734" s="1027"/>
      <c r="I2734" s="1174"/>
      <c r="J2734" s="1174"/>
      <c r="K2734" s="1174"/>
      <c r="L2734" s="1172"/>
      <c r="M2734" s="1172"/>
      <c r="N2734" s="1175"/>
      <c r="O2734" s="143"/>
      <c r="P2734" s="1196"/>
      <c r="Q2734" s="141"/>
      <c r="R2734" s="141"/>
      <c r="S2734" s="148"/>
      <c r="T2734" s="419"/>
      <c r="U2734" s="559"/>
      <c r="V2734" s="141"/>
      <c r="W2734" s="141"/>
      <c r="X2734" s="141"/>
      <c r="Y2734" s="144"/>
      <c r="Z2734" s="141"/>
      <c r="AA2734" s="141"/>
      <c r="AB2734" s="141"/>
      <c r="AC2734" s="141"/>
      <c r="AD2734" s="141"/>
      <c r="AE2734" s="141"/>
      <c r="AF2734" s="145"/>
      <c r="AG2734" s="419"/>
    </row>
    <row r="2735" spans="1:33" s="139" customFormat="1" ht="12.75" customHeight="1" x14ac:dyDescent="0.2">
      <c r="A2735" s="141"/>
      <c r="B2735" s="141"/>
      <c r="C2735" s="141"/>
      <c r="D2735" s="141"/>
      <c r="E2735" s="1014"/>
      <c r="F2735" s="1014"/>
      <c r="G2735" s="1027"/>
      <c r="H2735" s="1027"/>
      <c r="I2735" s="1174"/>
      <c r="J2735" s="1174"/>
      <c r="K2735" s="1174"/>
      <c r="L2735" s="1172"/>
      <c r="M2735" s="1172"/>
      <c r="N2735" s="1175"/>
      <c r="O2735" s="143"/>
      <c r="P2735" s="1196"/>
      <c r="Q2735" s="141"/>
      <c r="R2735" s="141"/>
      <c r="S2735" s="148"/>
      <c r="T2735" s="419"/>
      <c r="U2735" s="559"/>
      <c r="V2735" s="141"/>
      <c r="W2735" s="141"/>
      <c r="X2735" s="141"/>
      <c r="Y2735" s="144"/>
      <c r="Z2735" s="141"/>
      <c r="AA2735" s="141"/>
      <c r="AB2735" s="141"/>
      <c r="AC2735" s="141"/>
      <c r="AD2735" s="141"/>
      <c r="AE2735" s="141"/>
      <c r="AF2735" s="145"/>
      <c r="AG2735" s="419"/>
    </row>
    <row r="2736" spans="1:33" s="139" customFormat="1" ht="12.75" customHeight="1" x14ac:dyDescent="0.2">
      <c r="A2736" s="141"/>
      <c r="B2736" s="141"/>
      <c r="C2736" s="141"/>
      <c r="D2736" s="141"/>
      <c r="E2736" s="1014"/>
      <c r="F2736" s="1014"/>
      <c r="G2736" s="1027"/>
      <c r="H2736" s="1027"/>
      <c r="I2736" s="1174"/>
      <c r="J2736" s="1174"/>
      <c r="K2736" s="1174"/>
      <c r="L2736" s="1172"/>
      <c r="M2736" s="1172"/>
      <c r="N2736" s="1175"/>
      <c r="O2736" s="143"/>
      <c r="P2736" s="1196"/>
      <c r="Q2736" s="141"/>
      <c r="R2736" s="141"/>
      <c r="S2736" s="148"/>
      <c r="T2736" s="419"/>
      <c r="U2736" s="559"/>
      <c r="V2736" s="141"/>
      <c r="W2736" s="141"/>
      <c r="X2736" s="141"/>
      <c r="Y2736" s="144"/>
      <c r="Z2736" s="141"/>
      <c r="AA2736" s="141"/>
      <c r="AB2736" s="141"/>
      <c r="AC2736" s="141"/>
      <c r="AD2736" s="141"/>
      <c r="AE2736" s="141"/>
      <c r="AF2736" s="145"/>
      <c r="AG2736" s="419"/>
    </row>
    <row r="2737" spans="1:33" s="139" customFormat="1" ht="12.75" customHeight="1" x14ac:dyDescent="0.2">
      <c r="A2737" s="141"/>
      <c r="B2737" s="141"/>
      <c r="C2737" s="141"/>
      <c r="D2737" s="141"/>
      <c r="E2737" s="1014"/>
      <c r="F2737" s="1014"/>
      <c r="G2737" s="1027"/>
      <c r="H2737" s="1027"/>
      <c r="I2737" s="1174"/>
      <c r="J2737" s="1174"/>
      <c r="K2737" s="1174"/>
      <c r="L2737" s="1172"/>
      <c r="M2737" s="1172"/>
      <c r="N2737" s="1175"/>
      <c r="O2737" s="143"/>
      <c r="P2737" s="1196"/>
      <c r="Q2737" s="141"/>
      <c r="R2737" s="141"/>
      <c r="S2737" s="148"/>
      <c r="T2737" s="419"/>
      <c r="U2737" s="559"/>
      <c r="V2737" s="141"/>
      <c r="W2737" s="141"/>
      <c r="X2737" s="141"/>
      <c r="Y2737" s="144"/>
      <c r="Z2737" s="141"/>
      <c r="AA2737" s="141"/>
      <c r="AB2737" s="141"/>
      <c r="AC2737" s="141"/>
      <c r="AD2737" s="141"/>
      <c r="AE2737" s="141"/>
      <c r="AF2737" s="145"/>
      <c r="AG2737" s="419"/>
    </row>
    <row r="2738" spans="1:33" s="139" customFormat="1" ht="12.75" customHeight="1" x14ac:dyDescent="0.2">
      <c r="A2738" s="141"/>
      <c r="B2738" s="141"/>
      <c r="C2738" s="141"/>
      <c r="D2738" s="141"/>
      <c r="E2738" s="1014"/>
      <c r="F2738" s="1014"/>
      <c r="G2738" s="1027"/>
      <c r="H2738" s="1027"/>
      <c r="I2738" s="1174"/>
      <c r="J2738" s="1174"/>
      <c r="K2738" s="1174"/>
      <c r="L2738" s="1172"/>
      <c r="M2738" s="1172"/>
      <c r="N2738" s="1175"/>
      <c r="O2738" s="143"/>
      <c r="P2738" s="1196"/>
      <c r="Q2738" s="141"/>
      <c r="R2738" s="141"/>
      <c r="S2738" s="148"/>
      <c r="T2738" s="419"/>
      <c r="U2738" s="559"/>
      <c r="V2738" s="141"/>
      <c r="W2738" s="141"/>
      <c r="X2738" s="141"/>
      <c r="Y2738" s="144"/>
      <c r="Z2738" s="141"/>
      <c r="AA2738" s="141"/>
      <c r="AB2738" s="141"/>
      <c r="AC2738" s="141"/>
      <c r="AD2738" s="141"/>
      <c r="AE2738" s="141"/>
      <c r="AF2738" s="145"/>
      <c r="AG2738" s="419"/>
    </row>
    <row r="2739" spans="1:33" s="139" customFormat="1" ht="12.75" customHeight="1" x14ac:dyDescent="0.2">
      <c r="A2739" s="141"/>
      <c r="B2739" s="141"/>
      <c r="C2739" s="141"/>
      <c r="D2739" s="141"/>
      <c r="E2739" s="1014"/>
      <c r="F2739" s="1014"/>
      <c r="G2739" s="1027"/>
      <c r="H2739" s="1027"/>
      <c r="I2739" s="1174"/>
      <c r="J2739" s="1174"/>
      <c r="K2739" s="1174"/>
      <c r="L2739" s="1172"/>
      <c r="M2739" s="1172"/>
      <c r="N2739" s="1175"/>
      <c r="O2739" s="143"/>
      <c r="P2739" s="1196"/>
      <c r="Q2739" s="141"/>
      <c r="R2739" s="141"/>
      <c r="S2739" s="148"/>
      <c r="T2739" s="419"/>
      <c r="U2739" s="559"/>
      <c r="V2739" s="141"/>
      <c r="W2739" s="141"/>
      <c r="X2739" s="141"/>
      <c r="Y2739" s="144"/>
      <c r="Z2739" s="141"/>
      <c r="AA2739" s="141"/>
      <c r="AB2739" s="141"/>
      <c r="AC2739" s="141"/>
      <c r="AD2739" s="141"/>
      <c r="AE2739" s="141"/>
      <c r="AF2739" s="145"/>
      <c r="AG2739" s="419"/>
    </row>
    <row r="2740" spans="1:33" s="139" customFormat="1" ht="12.75" customHeight="1" x14ac:dyDescent="0.2">
      <c r="A2740" s="141"/>
      <c r="B2740" s="141"/>
      <c r="C2740" s="141"/>
      <c r="D2740" s="141"/>
      <c r="E2740" s="1014"/>
      <c r="F2740" s="1014"/>
      <c r="G2740" s="1027"/>
      <c r="H2740" s="1027"/>
      <c r="I2740" s="1174"/>
      <c r="J2740" s="1174"/>
      <c r="K2740" s="1174"/>
      <c r="L2740" s="1172"/>
      <c r="M2740" s="1172"/>
      <c r="N2740" s="1175"/>
      <c r="O2740" s="143"/>
      <c r="P2740" s="1196"/>
      <c r="Q2740" s="141"/>
      <c r="R2740" s="141"/>
      <c r="S2740" s="148"/>
      <c r="T2740" s="419"/>
      <c r="U2740" s="559"/>
      <c r="V2740" s="141"/>
      <c r="W2740" s="141"/>
      <c r="X2740" s="141"/>
      <c r="Y2740" s="144"/>
      <c r="Z2740" s="141"/>
      <c r="AA2740" s="141"/>
      <c r="AB2740" s="141"/>
      <c r="AC2740" s="141"/>
      <c r="AD2740" s="141"/>
      <c r="AE2740" s="141"/>
      <c r="AF2740" s="145"/>
      <c r="AG2740" s="419"/>
    </row>
    <row r="2741" spans="1:33" s="139" customFormat="1" ht="12.75" customHeight="1" x14ac:dyDescent="0.2">
      <c r="A2741" s="141"/>
      <c r="B2741" s="141"/>
      <c r="C2741" s="141"/>
      <c r="D2741" s="141"/>
      <c r="E2741" s="1014"/>
      <c r="F2741" s="1014"/>
      <c r="G2741" s="1027"/>
      <c r="H2741" s="1027"/>
      <c r="I2741" s="1174"/>
      <c r="J2741" s="1174"/>
      <c r="K2741" s="1174"/>
      <c r="L2741" s="1172"/>
      <c r="M2741" s="1172"/>
      <c r="N2741" s="1175"/>
      <c r="O2741" s="143"/>
      <c r="P2741" s="1196"/>
      <c r="Q2741" s="141"/>
      <c r="R2741" s="141"/>
      <c r="S2741" s="148"/>
      <c r="T2741" s="419"/>
      <c r="U2741" s="559"/>
      <c r="V2741" s="141"/>
      <c r="W2741" s="141"/>
      <c r="X2741" s="141"/>
      <c r="Y2741" s="144"/>
      <c r="Z2741" s="141"/>
      <c r="AA2741" s="141"/>
      <c r="AB2741" s="141"/>
      <c r="AC2741" s="141"/>
      <c r="AD2741" s="141"/>
      <c r="AE2741" s="141"/>
      <c r="AF2741" s="145"/>
      <c r="AG2741" s="419"/>
    </row>
    <row r="2742" spans="1:33" s="139" customFormat="1" ht="12.75" customHeight="1" x14ac:dyDescent="0.2">
      <c r="A2742" s="141"/>
      <c r="B2742" s="141"/>
      <c r="C2742" s="141"/>
      <c r="D2742" s="141"/>
      <c r="E2742" s="1014"/>
      <c r="F2742" s="1014"/>
      <c r="G2742" s="1027"/>
      <c r="H2742" s="1027"/>
      <c r="I2742" s="1174"/>
      <c r="J2742" s="1174"/>
      <c r="K2742" s="1174"/>
      <c r="L2742" s="1172"/>
      <c r="M2742" s="1172"/>
      <c r="N2742" s="1175"/>
      <c r="O2742" s="143"/>
      <c r="P2742" s="1196"/>
      <c r="Q2742" s="141"/>
      <c r="R2742" s="141"/>
      <c r="S2742" s="148"/>
      <c r="T2742" s="419"/>
      <c r="U2742" s="559"/>
      <c r="V2742" s="141"/>
      <c r="W2742" s="141"/>
      <c r="X2742" s="141"/>
      <c r="Y2742" s="144"/>
      <c r="Z2742" s="141"/>
      <c r="AA2742" s="141"/>
      <c r="AB2742" s="141"/>
      <c r="AC2742" s="141"/>
      <c r="AD2742" s="141"/>
      <c r="AE2742" s="141"/>
      <c r="AF2742" s="145"/>
      <c r="AG2742" s="419"/>
    </row>
    <row r="2743" spans="1:33" s="139" customFormat="1" ht="12.75" customHeight="1" x14ac:dyDescent="0.2">
      <c r="A2743" s="141"/>
      <c r="B2743" s="141"/>
      <c r="C2743" s="141"/>
      <c r="D2743" s="141"/>
      <c r="E2743" s="1014"/>
      <c r="F2743" s="1014"/>
      <c r="G2743" s="1027"/>
      <c r="H2743" s="1027"/>
      <c r="I2743" s="1174"/>
      <c r="J2743" s="1174"/>
      <c r="K2743" s="1174"/>
      <c r="L2743" s="1172"/>
      <c r="M2743" s="1172"/>
      <c r="N2743" s="1175"/>
      <c r="O2743" s="143"/>
      <c r="P2743" s="1196"/>
      <c r="Q2743" s="141"/>
      <c r="R2743" s="141"/>
      <c r="S2743" s="148"/>
      <c r="T2743" s="419"/>
      <c r="U2743" s="559"/>
      <c r="V2743" s="141"/>
      <c r="W2743" s="141"/>
      <c r="X2743" s="141"/>
      <c r="Y2743" s="144"/>
      <c r="Z2743" s="141"/>
      <c r="AA2743" s="141"/>
      <c r="AB2743" s="141"/>
      <c r="AC2743" s="141"/>
      <c r="AD2743" s="141"/>
      <c r="AE2743" s="141"/>
      <c r="AF2743" s="145"/>
      <c r="AG2743" s="419"/>
    </row>
    <row r="2744" spans="1:33" s="139" customFormat="1" ht="12.75" customHeight="1" x14ac:dyDescent="0.2">
      <c r="A2744" s="141"/>
      <c r="B2744" s="141"/>
      <c r="C2744" s="141"/>
      <c r="D2744" s="141"/>
      <c r="E2744" s="1014"/>
      <c r="F2744" s="1014"/>
      <c r="G2744" s="1027"/>
      <c r="H2744" s="1027"/>
      <c r="I2744" s="1174"/>
      <c r="J2744" s="1174"/>
      <c r="K2744" s="1174"/>
      <c r="L2744" s="1172"/>
      <c r="M2744" s="1172"/>
      <c r="N2744" s="1175"/>
      <c r="O2744" s="143"/>
      <c r="P2744" s="1196"/>
      <c r="Q2744" s="141"/>
      <c r="R2744" s="141"/>
      <c r="S2744" s="148"/>
      <c r="T2744" s="419"/>
      <c r="U2744" s="559"/>
      <c r="V2744" s="141"/>
      <c r="W2744" s="141"/>
      <c r="X2744" s="141"/>
      <c r="Y2744" s="144"/>
      <c r="Z2744" s="141"/>
      <c r="AA2744" s="141"/>
      <c r="AB2744" s="141"/>
      <c r="AC2744" s="141"/>
      <c r="AD2744" s="141"/>
      <c r="AE2744" s="141"/>
      <c r="AF2744" s="145"/>
      <c r="AG2744" s="419"/>
    </row>
    <row r="2745" spans="1:33" s="139" customFormat="1" ht="12.75" customHeight="1" x14ac:dyDescent="0.2">
      <c r="A2745" s="141"/>
      <c r="B2745" s="141"/>
      <c r="C2745" s="141"/>
      <c r="D2745" s="141"/>
      <c r="E2745" s="1014"/>
      <c r="F2745" s="1014"/>
      <c r="G2745" s="1027"/>
      <c r="H2745" s="1027"/>
      <c r="I2745" s="1174"/>
      <c r="J2745" s="1174"/>
      <c r="K2745" s="1174"/>
      <c r="L2745" s="1172"/>
      <c r="M2745" s="1172"/>
      <c r="N2745" s="1175"/>
      <c r="O2745" s="143"/>
      <c r="P2745" s="1196"/>
      <c r="Q2745" s="141"/>
      <c r="R2745" s="141"/>
      <c r="S2745" s="148"/>
      <c r="T2745" s="419"/>
      <c r="U2745" s="559"/>
      <c r="V2745" s="141"/>
      <c r="W2745" s="141"/>
      <c r="X2745" s="141"/>
      <c r="Y2745" s="144"/>
      <c r="Z2745" s="141"/>
      <c r="AA2745" s="141"/>
      <c r="AB2745" s="141"/>
      <c r="AC2745" s="141"/>
      <c r="AD2745" s="141"/>
      <c r="AE2745" s="141"/>
      <c r="AF2745" s="145"/>
      <c r="AG2745" s="419"/>
    </row>
    <row r="2746" spans="1:33" s="139" customFormat="1" ht="12.75" customHeight="1" x14ac:dyDescent="0.2">
      <c r="A2746" s="141"/>
      <c r="B2746" s="141"/>
      <c r="C2746" s="141"/>
      <c r="D2746" s="141"/>
      <c r="E2746" s="1014"/>
      <c r="F2746" s="1014"/>
      <c r="G2746" s="1027"/>
      <c r="H2746" s="1027"/>
      <c r="I2746" s="1174"/>
      <c r="J2746" s="1174"/>
      <c r="K2746" s="1174"/>
      <c r="L2746" s="1172"/>
      <c r="M2746" s="1172"/>
      <c r="N2746" s="1175"/>
      <c r="O2746" s="143"/>
      <c r="P2746" s="1196"/>
      <c r="Q2746" s="141"/>
      <c r="R2746" s="141"/>
      <c r="S2746" s="148"/>
      <c r="T2746" s="419"/>
      <c r="U2746" s="559"/>
      <c r="V2746" s="141"/>
      <c r="W2746" s="141"/>
      <c r="X2746" s="141"/>
      <c r="Y2746" s="144"/>
      <c r="Z2746" s="141"/>
      <c r="AA2746" s="141"/>
      <c r="AB2746" s="141"/>
      <c r="AC2746" s="141"/>
      <c r="AD2746" s="141"/>
      <c r="AE2746" s="141"/>
      <c r="AF2746" s="145"/>
      <c r="AG2746" s="419"/>
    </row>
    <row r="2747" spans="1:33" s="139" customFormat="1" ht="12.75" customHeight="1" x14ac:dyDescent="0.2">
      <c r="A2747" s="141"/>
      <c r="B2747" s="141"/>
      <c r="C2747" s="141"/>
      <c r="D2747" s="141"/>
      <c r="E2747" s="1014"/>
      <c r="F2747" s="1014"/>
      <c r="G2747" s="1027"/>
      <c r="H2747" s="1027"/>
      <c r="I2747" s="1174"/>
      <c r="J2747" s="1174"/>
      <c r="K2747" s="1174"/>
      <c r="L2747" s="1172"/>
      <c r="M2747" s="1172"/>
      <c r="N2747" s="1175"/>
      <c r="O2747" s="143"/>
      <c r="P2747" s="1196"/>
      <c r="Q2747" s="141"/>
      <c r="R2747" s="141"/>
      <c r="S2747" s="148"/>
      <c r="T2747" s="419"/>
      <c r="U2747" s="559"/>
      <c r="V2747" s="141"/>
      <c r="W2747" s="141"/>
      <c r="X2747" s="141"/>
      <c r="Y2747" s="144"/>
      <c r="Z2747" s="141"/>
      <c r="AA2747" s="141"/>
      <c r="AB2747" s="141"/>
      <c r="AC2747" s="141"/>
      <c r="AD2747" s="141"/>
      <c r="AE2747" s="141"/>
      <c r="AF2747" s="145"/>
      <c r="AG2747" s="419"/>
    </row>
    <row r="2748" spans="1:33" s="139" customFormat="1" ht="12.75" customHeight="1" x14ac:dyDescent="0.2">
      <c r="A2748" s="141"/>
      <c r="B2748" s="141"/>
      <c r="C2748" s="141"/>
      <c r="D2748" s="141"/>
      <c r="E2748" s="1014"/>
      <c r="F2748" s="1014"/>
      <c r="G2748" s="1027"/>
      <c r="H2748" s="1027"/>
      <c r="I2748" s="1174"/>
      <c r="J2748" s="1174"/>
      <c r="K2748" s="1174"/>
      <c r="L2748" s="1172"/>
      <c r="M2748" s="1172"/>
      <c r="N2748" s="1175"/>
      <c r="O2748" s="143"/>
      <c r="P2748" s="1196"/>
      <c r="Q2748" s="141"/>
      <c r="R2748" s="141"/>
      <c r="S2748" s="148"/>
      <c r="T2748" s="419"/>
      <c r="U2748" s="559"/>
      <c r="V2748" s="141"/>
      <c r="W2748" s="141"/>
      <c r="X2748" s="141"/>
      <c r="Y2748" s="144"/>
      <c r="Z2748" s="141"/>
      <c r="AA2748" s="141"/>
      <c r="AB2748" s="141"/>
      <c r="AC2748" s="141"/>
      <c r="AD2748" s="141"/>
      <c r="AE2748" s="141"/>
      <c r="AF2748" s="145"/>
      <c r="AG2748" s="419"/>
    </row>
    <row r="2749" spans="1:33" s="139" customFormat="1" ht="12.75" customHeight="1" x14ac:dyDescent="0.2">
      <c r="A2749" s="141"/>
      <c r="B2749" s="141"/>
      <c r="C2749" s="141"/>
      <c r="D2749" s="141"/>
      <c r="E2749" s="1014"/>
      <c r="F2749" s="1014"/>
      <c r="G2749" s="1027"/>
      <c r="H2749" s="1027"/>
      <c r="I2749" s="1174"/>
      <c r="J2749" s="1174"/>
      <c r="K2749" s="1174"/>
      <c r="L2749" s="1172"/>
      <c r="M2749" s="1172"/>
      <c r="N2749" s="1175"/>
      <c r="O2749" s="143"/>
      <c r="P2749" s="1196"/>
      <c r="Q2749" s="141"/>
      <c r="R2749" s="141"/>
      <c r="S2749" s="148"/>
      <c r="T2749" s="419"/>
      <c r="U2749" s="559"/>
      <c r="V2749" s="141"/>
      <c r="W2749" s="141"/>
      <c r="X2749" s="141"/>
      <c r="Y2749" s="144"/>
      <c r="Z2749" s="141"/>
      <c r="AA2749" s="141"/>
      <c r="AB2749" s="141"/>
      <c r="AC2749" s="141"/>
      <c r="AD2749" s="141"/>
      <c r="AE2749" s="141"/>
      <c r="AF2749" s="145"/>
      <c r="AG2749" s="419"/>
    </row>
    <row r="2750" spans="1:33" s="139" customFormat="1" ht="12.75" customHeight="1" x14ac:dyDescent="0.2">
      <c r="A2750" s="141"/>
      <c r="B2750" s="141"/>
      <c r="C2750" s="141"/>
      <c r="D2750" s="141"/>
      <c r="E2750" s="1014"/>
      <c r="F2750" s="1014"/>
      <c r="G2750" s="1027"/>
      <c r="H2750" s="1027"/>
      <c r="I2750" s="1174"/>
      <c r="J2750" s="1174"/>
      <c r="K2750" s="1174"/>
      <c r="L2750" s="1172"/>
      <c r="M2750" s="1172"/>
      <c r="N2750" s="1175"/>
      <c r="O2750" s="143"/>
      <c r="P2750" s="1196"/>
      <c r="Q2750" s="141"/>
      <c r="R2750" s="141"/>
      <c r="S2750" s="148"/>
      <c r="T2750" s="419"/>
      <c r="U2750" s="559"/>
      <c r="V2750" s="141"/>
      <c r="W2750" s="141"/>
      <c r="X2750" s="141"/>
      <c r="Y2750" s="144"/>
      <c r="Z2750" s="141"/>
      <c r="AA2750" s="141"/>
      <c r="AB2750" s="141"/>
      <c r="AC2750" s="141"/>
      <c r="AD2750" s="141"/>
      <c r="AE2750" s="141"/>
      <c r="AF2750" s="145"/>
      <c r="AG2750" s="419"/>
    </row>
    <row r="2751" spans="1:33" s="139" customFormat="1" ht="12.75" customHeight="1" x14ac:dyDescent="0.2">
      <c r="A2751" s="141"/>
      <c r="B2751" s="141"/>
      <c r="C2751" s="141"/>
      <c r="D2751" s="141"/>
      <c r="E2751" s="1014"/>
      <c r="F2751" s="1014"/>
      <c r="G2751" s="1027"/>
      <c r="H2751" s="1027"/>
      <c r="I2751" s="1174"/>
      <c r="J2751" s="1174"/>
      <c r="K2751" s="1174"/>
      <c r="L2751" s="1172"/>
      <c r="M2751" s="1172"/>
      <c r="N2751" s="1175"/>
      <c r="O2751" s="143"/>
      <c r="P2751" s="1196"/>
      <c r="Q2751" s="141"/>
      <c r="R2751" s="141"/>
      <c r="S2751" s="148"/>
      <c r="T2751" s="419"/>
      <c r="U2751" s="559"/>
      <c r="V2751" s="141"/>
      <c r="W2751" s="141"/>
      <c r="X2751" s="141"/>
      <c r="Y2751" s="144"/>
      <c r="Z2751" s="141"/>
      <c r="AA2751" s="141"/>
      <c r="AB2751" s="141"/>
      <c r="AC2751" s="141"/>
      <c r="AD2751" s="141"/>
      <c r="AE2751" s="141"/>
      <c r="AF2751" s="145"/>
      <c r="AG2751" s="419"/>
    </row>
    <row r="2752" spans="1:33" s="139" customFormat="1" ht="12.75" customHeight="1" x14ac:dyDescent="0.2">
      <c r="A2752" s="141"/>
      <c r="B2752" s="141"/>
      <c r="C2752" s="141"/>
      <c r="D2752" s="141"/>
      <c r="E2752" s="1014"/>
      <c r="F2752" s="1014"/>
      <c r="G2752" s="1027"/>
      <c r="H2752" s="1027"/>
      <c r="I2752" s="1174"/>
      <c r="J2752" s="1174"/>
      <c r="K2752" s="1174"/>
      <c r="L2752" s="1172"/>
      <c r="M2752" s="1172"/>
      <c r="N2752" s="1175"/>
      <c r="O2752" s="143"/>
      <c r="P2752" s="1196"/>
      <c r="Q2752" s="141"/>
      <c r="R2752" s="141"/>
      <c r="S2752" s="148"/>
      <c r="T2752" s="419"/>
      <c r="U2752" s="559"/>
      <c r="V2752" s="141"/>
      <c r="W2752" s="141"/>
      <c r="X2752" s="141"/>
      <c r="Y2752" s="144"/>
      <c r="Z2752" s="141"/>
      <c r="AA2752" s="141"/>
      <c r="AB2752" s="141"/>
      <c r="AC2752" s="141"/>
      <c r="AD2752" s="141"/>
      <c r="AE2752" s="141"/>
      <c r="AF2752" s="145"/>
      <c r="AG2752" s="419"/>
    </row>
    <row r="2753" spans="1:33" s="139" customFormat="1" ht="12.75" customHeight="1" x14ac:dyDescent="0.2">
      <c r="A2753" s="141"/>
      <c r="B2753" s="141"/>
      <c r="C2753" s="141"/>
      <c r="D2753" s="141"/>
      <c r="E2753" s="1014"/>
      <c r="F2753" s="1014"/>
      <c r="G2753" s="1027"/>
      <c r="H2753" s="1027"/>
      <c r="I2753" s="1174"/>
      <c r="J2753" s="1174"/>
      <c r="K2753" s="1174"/>
      <c r="L2753" s="1172"/>
      <c r="M2753" s="1172"/>
      <c r="N2753" s="1175"/>
      <c r="O2753" s="143"/>
      <c r="P2753" s="1196"/>
      <c r="Q2753" s="141"/>
      <c r="R2753" s="141"/>
      <c r="S2753" s="148"/>
      <c r="T2753" s="419"/>
      <c r="U2753" s="559"/>
      <c r="V2753" s="141"/>
      <c r="W2753" s="141"/>
      <c r="X2753" s="141"/>
      <c r="Y2753" s="144"/>
      <c r="Z2753" s="141"/>
      <c r="AA2753" s="141"/>
      <c r="AB2753" s="141"/>
      <c r="AC2753" s="141"/>
      <c r="AD2753" s="141"/>
      <c r="AE2753" s="141"/>
      <c r="AF2753" s="145"/>
      <c r="AG2753" s="419"/>
    </row>
    <row r="2754" spans="1:33" s="139" customFormat="1" ht="12.75" customHeight="1" x14ac:dyDescent="0.2">
      <c r="A2754" s="141"/>
      <c r="B2754" s="141"/>
      <c r="C2754" s="141"/>
      <c r="D2754" s="141"/>
      <c r="E2754" s="1014"/>
      <c r="F2754" s="1014"/>
      <c r="G2754" s="1027"/>
      <c r="H2754" s="1027"/>
      <c r="I2754" s="1174"/>
      <c r="J2754" s="1174"/>
      <c r="K2754" s="1174"/>
      <c r="L2754" s="1172"/>
      <c r="M2754" s="1172"/>
      <c r="N2754" s="1175"/>
      <c r="O2754" s="143"/>
      <c r="P2754" s="1196"/>
      <c r="Q2754" s="141"/>
      <c r="R2754" s="141"/>
      <c r="S2754" s="148"/>
      <c r="T2754" s="419"/>
      <c r="U2754" s="559"/>
      <c r="V2754" s="141"/>
      <c r="W2754" s="141"/>
      <c r="X2754" s="141"/>
      <c r="Y2754" s="144"/>
      <c r="Z2754" s="141"/>
      <c r="AA2754" s="141"/>
      <c r="AB2754" s="141"/>
      <c r="AC2754" s="141"/>
      <c r="AD2754" s="141"/>
      <c r="AE2754" s="141"/>
      <c r="AF2754" s="145"/>
      <c r="AG2754" s="419"/>
    </row>
    <row r="2755" spans="1:33" s="139" customFormat="1" ht="12.75" customHeight="1" x14ac:dyDescent="0.2">
      <c r="A2755" s="141"/>
      <c r="B2755" s="141"/>
      <c r="C2755" s="141"/>
      <c r="D2755" s="141"/>
      <c r="E2755" s="1014"/>
      <c r="F2755" s="1014"/>
      <c r="G2755" s="1027"/>
      <c r="H2755" s="1027"/>
      <c r="I2755" s="1174"/>
      <c r="J2755" s="1174"/>
      <c r="K2755" s="1174"/>
      <c r="L2755" s="1172"/>
      <c r="M2755" s="1172"/>
      <c r="N2755" s="1175"/>
      <c r="O2755" s="143"/>
      <c r="P2755" s="1196"/>
      <c r="Q2755" s="141"/>
      <c r="R2755" s="141"/>
      <c r="S2755" s="148"/>
      <c r="T2755" s="419"/>
      <c r="U2755" s="559"/>
      <c r="V2755" s="141"/>
      <c r="W2755" s="141"/>
      <c r="X2755" s="141"/>
      <c r="Y2755" s="144"/>
      <c r="Z2755" s="141"/>
      <c r="AA2755" s="141"/>
      <c r="AB2755" s="141"/>
      <c r="AC2755" s="141"/>
      <c r="AD2755" s="141"/>
      <c r="AE2755" s="141"/>
      <c r="AF2755" s="145"/>
      <c r="AG2755" s="419"/>
    </row>
    <row r="2756" spans="1:33" s="139" customFormat="1" ht="12.75" customHeight="1" x14ac:dyDescent="0.2">
      <c r="A2756" s="141"/>
      <c r="B2756" s="141"/>
      <c r="C2756" s="141"/>
      <c r="D2756" s="141"/>
      <c r="E2756" s="1014"/>
      <c r="F2756" s="1014"/>
      <c r="G2756" s="1027"/>
      <c r="H2756" s="1027"/>
      <c r="I2756" s="1174"/>
      <c r="J2756" s="1174"/>
      <c r="K2756" s="1174"/>
      <c r="L2756" s="1172"/>
      <c r="M2756" s="1172"/>
      <c r="N2756" s="1175"/>
      <c r="O2756" s="143"/>
      <c r="P2756" s="1196"/>
      <c r="Q2756" s="141"/>
      <c r="R2756" s="141"/>
      <c r="S2756" s="148"/>
      <c r="T2756" s="419"/>
      <c r="U2756" s="559"/>
      <c r="V2756" s="141"/>
      <c r="W2756" s="141"/>
      <c r="X2756" s="141"/>
      <c r="Y2756" s="144"/>
      <c r="Z2756" s="141"/>
      <c r="AA2756" s="141"/>
      <c r="AB2756" s="141"/>
      <c r="AC2756" s="141"/>
      <c r="AD2756" s="141"/>
      <c r="AE2756" s="141"/>
      <c r="AF2756" s="145"/>
      <c r="AG2756" s="419"/>
    </row>
    <row r="2757" spans="1:33" s="139" customFormat="1" ht="12.75" customHeight="1" x14ac:dyDescent="0.2">
      <c r="A2757" s="141"/>
      <c r="B2757" s="141"/>
      <c r="C2757" s="141"/>
      <c r="D2757" s="141"/>
      <c r="E2757" s="1014"/>
      <c r="F2757" s="1014"/>
      <c r="G2757" s="1027"/>
      <c r="H2757" s="1027"/>
      <c r="I2757" s="1174"/>
      <c r="J2757" s="1174"/>
      <c r="K2757" s="1174"/>
      <c r="L2757" s="1172"/>
      <c r="M2757" s="1172"/>
      <c r="N2757" s="1175"/>
      <c r="O2757" s="143"/>
      <c r="P2757" s="1196"/>
      <c r="Q2757" s="141"/>
      <c r="R2757" s="141"/>
      <c r="S2757" s="148"/>
      <c r="T2757" s="419"/>
      <c r="U2757" s="559"/>
      <c r="V2757" s="141"/>
      <c r="W2757" s="141"/>
      <c r="X2757" s="141"/>
      <c r="Y2757" s="144"/>
      <c r="Z2757" s="141"/>
      <c r="AA2757" s="141"/>
      <c r="AB2757" s="141"/>
      <c r="AC2757" s="141"/>
      <c r="AD2757" s="141"/>
      <c r="AE2757" s="141"/>
      <c r="AF2757" s="145"/>
      <c r="AG2757" s="419"/>
    </row>
    <row r="2758" spans="1:33" s="139" customFormat="1" ht="12.75" customHeight="1" x14ac:dyDescent="0.2">
      <c r="A2758" s="141"/>
      <c r="B2758" s="141"/>
      <c r="C2758" s="141"/>
      <c r="D2758" s="141"/>
      <c r="E2758" s="1014"/>
      <c r="F2758" s="1014"/>
      <c r="G2758" s="1027"/>
      <c r="H2758" s="1027"/>
      <c r="I2758" s="1174"/>
      <c r="J2758" s="1174"/>
      <c r="K2758" s="1174"/>
      <c r="L2758" s="1172"/>
      <c r="M2758" s="1172"/>
      <c r="N2758" s="1175"/>
      <c r="O2758" s="143"/>
      <c r="P2758" s="1196"/>
      <c r="Q2758" s="141"/>
      <c r="R2758" s="141"/>
      <c r="S2758" s="148"/>
      <c r="T2758" s="419"/>
      <c r="U2758" s="559"/>
      <c r="V2758" s="141"/>
      <c r="W2758" s="141"/>
      <c r="X2758" s="141"/>
      <c r="Y2758" s="144"/>
      <c r="Z2758" s="141"/>
      <c r="AA2758" s="141"/>
      <c r="AB2758" s="141"/>
      <c r="AC2758" s="141"/>
      <c r="AD2758" s="141"/>
      <c r="AE2758" s="141"/>
      <c r="AF2758" s="145"/>
      <c r="AG2758" s="419"/>
    </row>
    <row r="2759" spans="1:33" s="139" customFormat="1" ht="12.75" customHeight="1" x14ac:dyDescent="0.2">
      <c r="A2759" s="141"/>
      <c r="B2759" s="141"/>
      <c r="C2759" s="141"/>
      <c r="D2759" s="141"/>
      <c r="E2759" s="1014"/>
      <c r="F2759" s="1014"/>
      <c r="G2759" s="1027"/>
      <c r="H2759" s="1027"/>
      <c r="I2759" s="1174"/>
      <c r="J2759" s="1174"/>
      <c r="K2759" s="1174"/>
      <c r="L2759" s="1172"/>
      <c r="M2759" s="1172"/>
      <c r="N2759" s="1175"/>
      <c r="O2759" s="143"/>
      <c r="P2759" s="1196"/>
      <c r="Q2759" s="141"/>
      <c r="R2759" s="141"/>
      <c r="S2759" s="148"/>
      <c r="T2759" s="419"/>
      <c r="U2759" s="559"/>
      <c r="V2759" s="141"/>
      <c r="W2759" s="141"/>
      <c r="X2759" s="141"/>
      <c r="Y2759" s="144"/>
      <c r="Z2759" s="141"/>
      <c r="AA2759" s="141"/>
      <c r="AB2759" s="141"/>
      <c r="AC2759" s="141"/>
      <c r="AD2759" s="141"/>
      <c r="AE2759" s="141"/>
      <c r="AF2759" s="145"/>
      <c r="AG2759" s="419"/>
    </row>
    <row r="2760" spans="1:33" s="139" customFormat="1" ht="12.75" customHeight="1" x14ac:dyDescent="0.2">
      <c r="A2760" s="141"/>
      <c r="B2760" s="141"/>
      <c r="C2760" s="141"/>
      <c r="D2760" s="141"/>
      <c r="E2760" s="1014"/>
      <c r="F2760" s="1014"/>
      <c r="G2760" s="1027"/>
      <c r="H2760" s="1027"/>
      <c r="I2760" s="1174"/>
      <c r="J2760" s="1174"/>
      <c r="K2760" s="1174"/>
      <c r="L2760" s="1172"/>
      <c r="M2760" s="1172"/>
      <c r="N2760" s="1175"/>
      <c r="O2760" s="143"/>
      <c r="P2760" s="1196"/>
      <c r="Q2760" s="141"/>
      <c r="R2760" s="141"/>
      <c r="S2760" s="148"/>
      <c r="T2760" s="419"/>
      <c r="U2760" s="559"/>
      <c r="V2760" s="141"/>
      <c r="W2760" s="141"/>
      <c r="X2760" s="141"/>
      <c r="Y2760" s="144"/>
      <c r="Z2760" s="141"/>
      <c r="AA2760" s="141"/>
      <c r="AB2760" s="141"/>
      <c r="AC2760" s="141"/>
      <c r="AD2760" s="141"/>
      <c r="AE2760" s="141"/>
      <c r="AF2760" s="145"/>
      <c r="AG2760" s="419"/>
    </row>
    <row r="2761" spans="1:33" s="139" customFormat="1" ht="12.75" customHeight="1" x14ac:dyDescent="0.2">
      <c r="A2761" s="141"/>
      <c r="B2761" s="141"/>
      <c r="C2761" s="141"/>
      <c r="D2761" s="141"/>
      <c r="E2761" s="1014"/>
      <c r="F2761" s="1014"/>
      <c r="G2761" s="1027"/>
      <c r="H2761" s="1027"/>
      <c r="I2761" s="1174"/>
      <c r="J2761" s="1174"/>
      <c r="K2761" s="1174"/>
      <c r="L2761" s="1172"/>
      <c r="M2761" s="1172"/>
      <c r="N2761" s="1175"/>
      <c r="O2761" s="143"/>
      <c r="P2761" s="1196"/>
      <c r="Q2761" s="141"/>
      <c r="R2761" s="141"/>
      <c r="S2761" s="148"/>
      <c r="T2761" s="419"/>
      <c r="U2761" s="559"/>
      <c r="V2761" s="141"/>
      <c r="W2761" s="141"/>
      <c r="X2761" s="141"/>
      <c r="Y2761" s="144"/>
      <c r="Z2761" s="141"/>
      <c r="AA2761" s="141"/>
      <c r="AB2761" s="141"/>
      <c r="AC2761" s="141"/>
      <c r="AD2761" s="141"/>
      <c r="AE2761" s="141"/>
      <c r="AF2761" s="145"/>
      <c r="AG2761" s="419"/>
    </row>
    <row r="2762" spans="1:33" s="139" customFormat="1" ht="12.75" customHeight="1" x14ac:dyDescent="0.2">
      <c r="A2762" s="141"/>
      <c r="B2762" s="141"/>
      <c r="C2762" s="141"/>
      <c r="D2762" s="141"/>
      <c r="E2762" s="1014"/>
      <c r="F2762" s="1014"/>
      <c r="G2762" s="1027"/>
      <c r="H2762" s="1027"/>
      <c r="I2762" s="1174"/>
      <c r="J2762" s="1174"/>
      <c r="K2762" s="1174"/>
      <c r="L2762" s="1172"/>
      <c r="M2762" s="1172"/>
      <c r="N2762" s="1175"/>
      <c r="O2762" s="143"/>
      <c r="P2762" s="1196"/>
      <c r="Q2762" s="141"/>
      <c r="R2762" s="141"/>
      <c r="S2762" s="148"/>
      <c r="T2762" s="419"/>
      <c r="U2762" s="559"/>
      <c r="V2762" s="141"/>
      <c r="W2762" s="141"/>
      <c r="X2762" s="141"/>
      <c r="Y2762" s="144"/>
      <c r="Z2762" s="141"/>
      <c r="AA2762" s="141"/>
      <c r="AB2762" s="141"/>
      <c r="AC2762" s="141"/>
      <c r="AD2762" s="141"/>
      <c r="AE2762" s="141"/>
      <c r="AF2762" s="145"/>
      <c r="AG2762" s="419"/>
    </row>
    <row r="2763" spans="1:33" s="139" customFormat="1" ht="12.75" customHeight="1" x14ac:dyDescent="0.2">
      <c r="A2763" s="141"/>
      <c r="B2763" s="141"/>
      <c r="C2763" s="141"/>
      <c r="D2763" s="141"/>
      <c r="E2763" s="1014"/>
      <c r="F2763" s="1014"/>
      <c r="G2763" s="1027"/>
      <c r="H2763" s="1027"/>
      <c r="I2763" s="1174"/>
      <c r="J2763" s="1174"/>
      <c r="K2763" s="1174"/>
      <c r="L2763" s="1172"/>
      <c r="M2763" s="1172"/>
      <c r="N2763" s="1175"/>
      <c r="O2763" s="143"/>
      <c r="P2763" s="1196"/>
      <c r="Q2763" s="141"/>
      <c r="R2763" s="141"/>
      <c r="S2763" s="148"/>
      <c r="T2763" s="419"/>
      <c r="U2763" s="559"/>
      <c r="V2763" s="141"/>
      <c r="W2763" s="141"/>
      <c r="X2763" s="141"/>
      <c r="Y2763" s="144"/>
      <c r="Z2763" s="141"/>
      <c r="AA2763" s="141"/>
      <c r="AB2763" s="141"/>
      <c r="AC2763" s="141"/>
      <c r="AD2763" s="141"/>
      <c r="AE2763" s="141"/>
      <c r="AF2763" s="145"/>
      <c r="AG2763" s="419"/>
    </row>
    <row r="2764" spans="1:33" s="139" customFormat="1" ht="12.75" customHeight="1" x14ac:dyDescent="0.2">
      <c r="A2764" s="141"/>
      <c r="B2764" s="141"/>
      <c r="C2764" s="141"/>
      <c r="D2764" s="141"/>
      <c r="E2764" s="1014"/>
      <c r="F2764" s="1014"/>
      <c r="G2764" s="1027"/>
      <c r="H2764" s="1027"/>
      <c r="I2764" s="1174"/>
      <c r="J2764" s="1174"/>
      <c r="K2764" s="1174"/>
      <c r="L2764" s="1172"/>
      <c r="M2764" s="1172"/>
      <c r="N2764" s="1175"/>
      <c r="O2764" s="143"/>
      <c r="P2764" s="1196"/>
      <c r="Q2764" s="141"/>
      <c r="R2764" s="141"/>
      <c r="S2764" s="148"/>
      <c r="T2764" s="419"/>
      <c r="U2764" s="559"/>
      <c r="V2764" s="141"/>
      <c r="W2764" s="141"/>
      <c r="X2764" s="141"/>
      <c r="Y2764" s="144"/>
      <c r="Z2764" s="141"/>
      <c r="AA2764" s="141"/>
      <c r="AB2764" s="141"/>
      <c r="AC2764" s="141"/>
      <c r="AD2764" s="141"/>
      <c r="AE2764" s="141"/>
      <c r="AF2764" s="145"/>
      <c r="AG2764" s="419"/>
    </row>
    <row r="2765" spans="1:33" s="139" customFormat="1" ht="12.75" customHeight="1" x14ac:dyDescent="0.2">
      <c r="A2765" s="141"/>
      <c r="B2765" s="141"/>
      <c r="C2765" s="141"/>
      <c r="D2765" s="141"/>
      <c r="E2765" s="1014"/>
      <c r="F2765" s="1014"/>
      <c r="G2765" s="1027"/>
      <c r="H2765" s="1027"/>
      <c r="I2765" s="1174"/>
      <c r="J2765" s="1174"/>
      <c r="K2765" s="1174"/>
      <c r="L2765" s="1172"/>
      <c r="M2765" s="1172"/>
      <c r="N2765" s="1175"/>
      <c r="O2765" s="143"/>
      <c r="P2765" s="1196"/>
      <c r="Q2765" s="141"/>
      <c r="R2765" s="141"/>
      <c r="S2765" s="148"/>
      <c r="T2765" s="419"/>
      <c r="U2765" s="559"/>
      <c r="V2765" s="141"/>
      <c r="W2765" s="141"/>
      <c r="X2765" s="141"/>
      <c r="Y2765" s="144"/>
      <c r="Z2765" s="141"/>
      <c r="AA2765" s="141"/>
      <c r="AB2765" s="141"/>
      <c r="AC2765" s="141"/>
      <c r="AD2765" s="141"/>
      <c r="AE2765" s="141"/>
      <c r="AF2765" s="145"/>
      <c r="AG2765" s="419"/>
    </row>
    <row r="2766" spans="1:33" s="139" customFormat="1" ht="12.75" customHeight="1" x14ac:dyDescent="0.2">
      <c r="A2766" s="141"/>
      <c r="B2766" s="141"/>
      <c r="C2766" s="141"/>
      <c r="D2766" s="141"/>
      <c r="E2766" s="1014"/>
      <c r="F2766" s="1014"/>
      <c r="G2766" s="1027"/>
      <c r="H2766" s="1027"/>
      <c r="I2766" s="1174"/>
      <c r="J2766" s="1174"/>
      <c r="K2766" s="1174"/>
      <c r="L2766" s="1172"/>
      <c r="M2766" s="1172"/>
      <c r="N2766" s="1175"/>
      <c r="O2766" s="143"/>
      <c r="P2766" s="1196"/>
      <c r="Q2766" s="141"/>
      <c r="R2766" s="141"/>
      <c r="S2766" s="148"/>
      <c r="T2766" s="419"/>
      <c r="U2766" s="559"/>
      <c r="V2766" s="141"/>
      <c r="W2766" s="141"/>
      <c r="X2766" s="141"/>
      <c r="Y2766" s="144"/>
      <c r="Z2766" s="141"/>
      <c r="AA2766" s="141"/>
      <c r="AB2766" s="141"/>
      <c r="AC2766" s="141"/>
      <c r="AD2766" s="141"/>
      <c r="AE2766" s="141"/>
      <c r="AF2766" s="145"/>
      <c r="AG2766" s="419"/>
    </row>
    <row r="2767" spans="1:33" s="139" customFormat="1" ht="12.75" customHeight="1" x14ac:dyDescent="0.2">
      <c r="A2767" s="141"/>
      <c r="B2767" s="141"/>
      <c r="C2767" s="141"/>
      <c r="D2767" s="141"/>
      <c r="E2767" s="1014"/>
      <c r="F2767" s="1014"/>
      <c r="G2767" s="1027"/>
      <c r="H2767" s="1027"/>
      <c r="I2767" s="1174"/>
      <c r="J2767" s="1174"/>
      <c r="K2767" s="1174"/>
      <c r="L2767" s="1172"/>
      <c r="M2767" s="1172"/>
      <c r="N2767" s="1175"/>
      <c r="O2767" s="143"/>
      <c r="P2767" s="1196"/>
      <c r="Q2767" s="141"/>
      <c r="R2767" s="141"/>
      <c r="S2767" s="148"/>
      <c r="T2767" s="419"/>
      <c r="U2767" s="559"/>
      <c r="V2767" s="141"/>
      <c r="W2767" s="141"/>
      <c r="X2767" s="141"/>
      <c r="Y2767" s="144"/>
      <c r="Z2767" s="141"/>
      <c r="AA2767" s="141"/>
      <c r="AB2767" s="141"/>
      <c r="AC2767" s="141"/>
      <c r="AD2767" s="141"/>
      <c r="AE2767" s="141"/>
      <c r="AF2767" s="145"/>
      <c r="AG2767" s="419"/>
    </row>
    <row r="2768" spans="1:33" s="139" customFormat="1" ht="12.75" customHeight="1" x14ac:dyDescent="0.2">
      <c r="A2768" s="141"/>
      <c r="B2768" s="141"/>
      <c r="C2768" s="141"/>
      <c r="D2768" s="141"/>
      <c r="E2768" s="1014"/>
      <c r="F2768" s="1014"/>
      <c r="G2768" s="1027"/>
      <c r="H2768" s="1027"/>
      <c r="I2768" s="1174"/>
      <c r="J2768" s="1174"/>
      <c r="K2768" s="1174"/>
      <c r="L2768" s="1172"/>
      <c r="M2768" s="1172"/>
      <c r="N2768" s="1175"/>
      <c r="O2768" s="143"/>
      <c r="P2768" s="1196"/>
      <c r="Q2768" s="141"/>
      <c r="R2768" s="141"/>
      <c r="S2768" s="148"/>
      <c r="T2768" s="419"/>
      <c r="U2768" s="559"/>
      <c r="V2768" s="141"/>
      <c r="W2768" s="141"/>
      <c r="X2768" s="141"/>
      <c r="Y2768" s="144"/>
      <c r="Z2768" s="141"/>
      <c r="AA2768" s="141"/>
      <c r="AB2768" s="141"/>
      <c r="AC2768" s="141"/>
      <c r="AD2768" s="141"/>
      <c r="AE2768" s="141"/>
      <c r="AF2768" s="145"/>
      <c r="AG2768" s="419"/>
    </row>
    <row r="2769" spans="1:33" s="139" customFormat="1" ht="12.75" customHeight="1" x14ac:dyDescent="0.2">
      <c r="A2769" s="141"/>
      <c r="B2769" s="141"/>
      <c r="C2769" s="141"/>
      <c r="D2769" s="141"/>
      <c r="E2769" s="1014"/>
      <c r="F2769" s="1014"/>
      <c r="G2769" s="1027"/>
      <c r="H2769" s="1027"/>
      <c r="I2769" s="1174"/>
      <c r="J2769" s="1174"/>
      <c r="K2769" s="1174"/>
      <c r="L2769" s="1172"/>
      <c r="M2769" s="1172"/>
      <c r="N2769" s="1175"/>
      <c r="O2769" s="143"/>
      <c r="P2769" s="1196"/>
      <c r="Q2769" s="141"/>
      <c r="R2769" s="141"/>
      <c r="S2769" s="148"/>
      <c r="T2769" s="419"/>
      <c r="U2769" s="559"/>
      <c r="V2769" s="141"/>
      <c r="W2769" s="141"/>
      <c r="X2769" s="141"/>
      <c r="Y2769" s="144"/>
      <c r="Z2769" s="141"/>
      <c r="AA2769" s="141"/>
      <c r="AB2769" s="141"/>
      <c r="AC2769" s="141"/>
      <c r="AD2769" s="141"/>
      <c r="AE2769" s="141"/>
      <c r="AF2769" s="145"/>
      <c r="AG2769" s="419"/>
    </row>
    <row r="2770" spans="1:33" s="139" customFormat="1" ht="12.75" customHeight="1" x14ac:dyDescent="0.2">
      <c r="A2770" s="141"/>
      <c r="B2770" s="141"/>
      <c r="C2770" s="141"/>
      <c r="D2770" s="141"/>
      <c r="E2770" s="1014"/>
      <c r="F2770" s="1014"/>
      <c r="G2770" s="1027"/>
      <c r="H2770" s="1027"/>
      <c r="I2770" s="1174"/>
      <c r="J2770" s="1174"/>
      <c r="K2770" s="1174"/>
      <c r="L2770" s="1172"/>
      <c r="M2770" s="1172"/>
      <c r="N2770" s="1175"/>
      <c r="O2770" s="143"/>
      <c r="P2770" s="1196"/>
      <c r="Q2770" s="141"/>
      <c r="R2770" s="141"/>
      <c r="S2770" s="148"/>
      <c r="T2770" s="419"/>
      <c r="U2770" s="559"/>
      <c r="V2770" s="141"/>
      <c r="W2770" s="141"/>
      <c r="X2770" s="141"/>
      <c r="Y2770" s="144"/>
      <c r="Z2770" s="141"/>
      <c r="AA2770" s="141"/>
      <c r="AB2770" s="141"/>
      <c r="AC2770" s="141"/>
      <c r="AD2770" s="141"/>
      <c r="AE2770" s="141"/>
      <c r="AF2770" s="145"/>
      <c r="AG2770" s="419"/>
    </row>
    <row r="2771" spans="1:33" s="139" customFormat="1" ht="12.75" customHeight="1" x14ac:dyDescent="0.2">
      <c r="A2771" s="141"/>
      <c r="B2771" s="141"/>
      <c r="C2771" s="141"/>
      <c r="D2771" s="141"/>
      <c r="E2771" s="1014"/>
      <c r="F2771" s="1014"/>
      <c r="G2771" s="1027"/>
      <c r="H2771" s="1027"/>
      <c r="I2771" s="1174"/>
      <c r="J2771" s="1174"/>
      <c r="K2771" s="1174"/>
      <c r="L2771" s="1172"/>
      <c r="M2771" s="1172"/>
      <c r="N2771" s="1175"/>
      <c r="O2771" s="143"/>
      <c r="P2771" s="1196"/>
      <c r="Q2771" s="141"/>
      <c r="R2771" s="141"/>
      <c r="S2771" s="148"/>
      <c r="T2771" s="419"/>
      <c r="U2771" s="559"/>
      <c r="V2771" s="141"/>
      <c r="W2771" s="141"/>
      <c r="X2771" s="141"/>
      <c r="Y2771" s="144"/>
      <c r="Z2771" s="141"/>
      <c r="AA2771" s="141"/>
      <c r="AB2771" s="141"/>
      <c r="AC2771" s="141"/>
      <c r="AD2771" s="141"/>
      <c r="AE2771" s="141"/>
      <c r="AF2771" s="145"/>
      <c r="AG2771" s="419"/>
    </row>
    <row r="2772" spans="1:33" s="139" customFormat="1" ht="12.75" customHeight="1" x14ac:dyDescent="0.2">
      <c r="A2772" s="141"/>
      <c r="B2772" s="141"/>
      <c r="C2772" s="141"/>
      <c r="D2772" s="141"/>
      <c r="E2772" s="1014"/>
      <c r="F2772" s="1014"/>
      <c r="G2772" s="1027"/>
      <c r="H2772" s="1027"/>
      <c r="I2772" s="1174"/>
      <c r="J2772" s="1174"/>
      <c r="K2772" s="1174"/>
      <c r="L2772" s="1172"/>
      <c r="M2772" s="1172"/>
      <c r="N2772" s="1175"/>
      <c r="O2772" s="143"/>
      <c r="P2772" s="1196"/>
      <c r="Q2772" s="141"/>
      <c r="R2772" s="141"/>
      <c r="S2772" s="148"/>
      <c r="T2772" s="419"/>
      <c r="U2772" s="559"/>
      <c r="V2772" s="141"/>
      <c r="W2772" s="141"/>
      <c r="X2772" s="141"/>
      <c r="Y2772" s="144"/>
      <c r="Z2772" s="141"/>
      <c r="AA2772" s="141"/>
      <c r="AB2772" s="141"/>
      <c r="AC2772" s="141"/>
      <c r="AD2772" s="141"/>
      <c r="AE2772" s="141"/>
      <c r="AF2772" s="145"/>
      <c r="AG2772" s="419"/>
    </row>
    <row r="2773" spans="1:33" s="139" customFormat="1" ht="12.75" customHeight="1" x14ac:dyDescent="0.2">
      <c r="A2773" s="141"/>
      <c r="B2773" s="141"/>
      <c r="C2773" s="141"/>
      <c r="D2773" s="141"/>
      <c r="E2773" s="1014"/>
      <c r="F2773" s="1014"/>
      <c r="G2773" s="1027"/>
      <c r="H2773" s="1027"/>
      <c r="I2773" s="1174"/>
      <c r="J2773" s="1174"/>
      <c r="K2773" s="1174"/>
      <c r="L2773" s="1172"/>
      <c r="M2773" s="1172"/>
      <c r="N2773" s="1175"/>
      <c r="O2773" s="143"/>
      <c r="P2773" s="1196"/>
      <c r="Q2773" s="141"/>
      <c r="R2773" s="141"/>
      <c r="S2773" s="148"/>
      <c r="T2773" s="419"/>
      <c r="U2773" s="559"/>
      <c r="V2773" s="141"/>
      <c r="W2773" s="141"/>
      <c r="X2773" s="141"/>
      <c r="Y2773" s="144"/>
      <c r="Z2773" s="141"/>
      <c r="AA2773" s="141"/>
      <c r="AB2773" s="141"/>
      <c r="AC2773" s="141"/>
      <c r="AD2773" s="141"/>
      <c r="AE2773" s="141"/>
      <c r="AF2773" s="145"/>
      <c r="AG2773" s="419"/>
    </row>
    <row r="2774" spans="1:33" s="139" customFormat="1" ht="12.75" customHeight="1" x14ac:dyDescent="0.2">
      <c r="A2774" s="141"/>
      <c r="B2774" s="141"/>
      <c r="C2774" s="141"/>
      <c r="D2774" s="141"/>
      <c r="E2774" s="1014"/>
      <c r="F2774" s="1014"/>
      <c r="G2774" s="1027"/>
      <c r="H2774" s="1027"/>
      <c r="I2774" s="1174"/>
      <c r="J2774" s="1174"/>
      <c r="K2774" s="1174"/>
      <c r="L2774" s="1172"/>
      <c r="M2774" s="1172"/>
      <c r="N2774" s="1175"/>
      <c r="O2774" s="143"/>
      <c r="P2774" s="1196"/>
      <c r="Q2774" s="141"/>
      <c r="R2774" s="141"/>
      <c r="S2774" s="148"/>
      <c r="T2774" s="419"/>
      <c r="U2774" s="559"/>
      <c r="V2774" s="141"/>
      <c r="W2774" s="141"/>
      <c r="X2774" s="141"/>
      <c r="Y2774" s="144"/>
      <c r="Z2774" s="141"/>
      <c r="AA2774" s="141"/>
      <c r="AB2774" s="141"/>
      <c r="AC2774" s="141"/>
      <c r="AD2774" s="141"/>
      <c r="AE2774" s="141"/>
      <c r="AF2774" s="145"/>
      <c r="AG2774" s="419"/>
    </row>
    <row r="2775" spans="1:33" s="139" customFormat="1" ht="12.75" customHeight="1" x14ac:dyDescent="0.2">
      <c r="A2775" s="141"/>
      <c r="B2775" s="141"/>
      <c r="C2775" s="141"/>
      <c r="D2775" s="141"/>
      <c r="E2775" s="1014"/>
      <c r="F2775" s="1014"/>
      <c r="G2775" s="1027"/>
      <c r="H2775" s="1027"/>
      <c r="I2775" s="1174"/>
      <c r="J2775" s="1174"/>
      <c r="K2775" s="1174"/>
      <c r="L2775" s="1172"/>
      <c r="M2775" s="1172"/>
      <c r="N2775" s="1175"/>
      <c r="O2775" s="143"/>
      <c r="P2775" s="1196"/>
      <c r="Q2775" s="141"/>
      <c r="R2775" s="141"/>
      <c r="S2775" s="148"/>
      <c r="T2775" s="419"/>
      <c r="U2775" s="559"/>
      <c r="V2775" s="141"/>
      <c r="W2775" s="141"/>
      <c r="X2775" s="141"/>
      <c r="Y2775" s="144"/>
      <c r="Z2775" s="141"/>
      <c r="AA2775" s="141"/>
      <c r="AB2775" s="141"/>
      <c r="AC2775" s="141"/>
      <c r="AD2775" s="141"/>
      <c r="AE2775" s="141"/>
      <c r="AF2775" s="145"/>
      <c r="AG2775" s="419"/>
    </row>
    <row r="2776" spans="1:33" s="139" customFormat="1" ht="12.75" customHeight="1" x14ac:dyDescent="0.2">
      <c r="A2776" s="141"/>
      <c r="B2776" s="141"/>
      <c r="C2776" s="141"/>
      <c r="D2776" s="141"/>
      <c r="E2776" s="1014"/>
      <c r="F2776" s="1014"/>
      <c r="G2776" s="1027"/>
      <c r="H2776" s="1027"/>
      <c r="I2776" s="1174"/>
      <c r="J2776" s="1174"/>
      <c r="K2776" s="1174"/>
      <c r="L2776" s="1172"/>
      <c r="M2776" s="1172"/>
      <c r="N2776" s="1175"/>
      <c r="O2776" s="143"/>
      <c r="P2776" s="1196"/>
      <c r="Q2776" s="141"/>
      <c r="R2776" s="141"/>
      <c r="S2776" s="148"/>
      <c r="T2776" s="419"/>
      <c r="U2776" s="559"/>
      <c r="V2776" s="141"/>
      <c r="W2776" s="141"/>
      <c r="X2776" s="141"/>
      <c r="Y2776" s="144"/>
      <c r="Z2776" s="141"/>
      <c r="AA2776" s="141"/>
      <c r="AB2776" s="141"/>
      <c r="AC2776" s="141"/>
      <c r="AD2776" s="141"/>
      <c r="AE2776" s="141"/>
      <c r="AF2776" s="145"/>
      <c r="AG2776" s="419"/>
    </row>
    <row r="2777" spans="1:33" s="139" customFormat="1" ht="12.75" customHeight="1" x14ac:dyDescent="0.2">
      <c r="A2777" s="141"/>
      <c r="B2777" s="141"/>
      <c r="C2777" s="141"/>
      <c r="D2777" s="141"/>
      <c r="E2777" s="1014"/>
      <c r="F2777" s="1014"/>
      <c r="G2777" s="1027"/>
      <c r="H2777" s="1027"/>
      <c r="I2777" s="1174"/>
      <c r="J2777" s="1174"/>
      <c r="K2777" s="1174"/>
      <c r="L2777" s="1172"/>
      <c r="M2777" s="1172"/>
      <c r="N2777" s="1175"/>
      <c r="O2777" s="143"/>
      <c r="P2777" s="1196"/>
      <c r="Q2777" s="141"/>
      <c r="R2777" s="141"/>
      <c r="S2777" s="148"/>
      <c r="T2777" s="419"/>
      <c r="U2777" s="559"/>
      <c r="V2777" s="141"/>
      <c r="W2777" s="141"/>
      <c r="X2777" s="141"/>
      <c r="Y2777" s="144"/>
      <c r="Z2777" s="141"/>
      <c r="AA2777" s="141"/>
      <c r="AB2777" s="141"/>
      <c r="AC2777" s="141"/>
      <c r="AD2777" s="141"/>
      <c r="AE2777" s="141"/>
      <c r="AF2777" s="145"/>
      <c r="AG2777" s="419"/>
    </row>
    <row r="2778" spans="1:33" s="139" customFormat="1" ht="12.75" customHeight="1" x14ac:dyDescent="0.2">
      <c r="A2778" s="141"/>
      <c r="B2778" s="141"/>
      <c r="C2778" s="141"/>
      <c r="D2778" s="141"/>
      <c r="E2778" s="1014"/>
      <c r="F2778" s="1014"/>
      <c r="G2778" s="1027"/>
      <c r="H2778" s="1027"/>
      <c r="I2778" s="1174"/>
      <c r="J2778" s="1174"/>
      <c r="K2778" s="1174"/>
      <c r="L2778" s="1172"/>
      <c r="M2778" s="1172"/>
      <c r="N2778" s="1175"/>
      <c r="O2778" s="143"/>
      <c r="P2778" s="1196"/>
      <c r="Q2778" s="141"/>
      <c r="R2778" s="141"/>
      <c r="S2778" s="148"/>
      <c r="T2778" s="419"/>
      <c r="U2778" s="559"/>
      <c r="V2778" s="141"/>
      <c r="W2778" s="141"/>
      <c r="X2778" s="141"/>
      <c r="Y2778" s="144"/>
      <c r="Z2778" s="141"/>
      <c r="AA2778" s="141"/>
      <c r="AB2778" s="141"/>
      <c r="AC2778" s="141"/>
      <c r="AD2778" s="141"/>
      <c r="AE2778" s="141"/>
      <c r="AF2778" s="145"/>
      <c r="AG2778" s="419"/>
    </row>
    <row r="2779" spans="1:33" s="139" customFormat="1" ht="12.75" customHeight="1" x14ac:dyDescent="0.2">
      <c r="A2779" s="141"/>
      <c r="B2779" s="141"/>
      <c r="C2779" s="141"/>
      <c r="D2779" s="141"/>
      <c r="E2779" s="1014"/>
      <c r="F2779" s="1014"/>
      <c r="G2779" s="1027"/>
      <c r="H2779" s="1027"/>
      <c r="I2779" s="1174"/>
      <c r="J2779" s="1174"/>
      <c r="K2779" s="1174"/>
      <c r="L2779" s="1172"/>
      <c r="M2779" s="1172"/>
      <c r="N2779" s="1175"/>
      <c r="O2779" s="143"/>
      <c r="P2779" s="1196"/>
      <c r="Q2779" s="141"/>
      <c r="R2779" s="141"/>
      <c r="S2779" s="148"/>
      <c r="T2779" s="419"/>
      <c r="U2779" s="559"/>
      <c r="V2779" s="141"/>
      <c r="W2779" s="141"/>
      <c r="X2779" s="141"/>
      <c r="Y2779" s="144"/>
      <c r="Z2779" s="141"/>
      <c r="AA2779" s="141"/>
      <c r="AB2779" s="141"/>
      <c r="AC2779" s="141"/>
      <c r="AD2779" s="141"/>
      <c r="AE2779" s="141"/>
      <c r="AF2779" s="145"/>
      <c r="AG2779" s="419"/>
    </row>
    <row r="2780" spans="1:33" s="139" customFormat="1" ht="12.75" customHeight="1" x14ac:dyDescent="0.2">
      <c r="A2780" s="141"/>
      <c r="B2780" s="141"/>
      <c r="C2780" s="141"/>
      <c r="D2780" s="141"/>
      <c r="E2780" s="1014"/>
      <c r="F2780" s="1014"/>
      <c r="G2780" s="1027"/>
      <c r="H2780" s="1027"/>
      <c r="I2780" s="1174"/>
      <c r="J2780" s="1174"/>
      <c r="K2780" s="1174"/>
      <c r="L2780" s="1172"/>
      <c r="M2780" s="1172"/>
      <c r="N2780" s="1175"/>
      <c r="O2780" s="143"/>
      <c r="P2780" s="1196"/>
      <c r="Q2780" s="141"/>
      <c r="R2780" s="141"/>
      <c r="S2780" s="148"/>
      <c r="T2780" s="419"/>
      <c r="U2780" s="559"/>
      <c r="V2780" s="141"/>
      <c r="W2780" s="141"/>
      <c r="X2780" s="141"/>
      <c r="Y2780" s="144"/>
      <c r="Z2780" s="141"/>
      <c r="AA2780" s="141"/>
      <c r="AB2780" s="141"/>
      <c r="AC2780" s="141"/>
      <c r="AD2780" s="141"/>
      <c r="AE2780" s="141"/>
      <c r="AF2780" s="145"/>
      <c r="AG2780" s="419"/>
    </row>
    <row r="2781" spans="1:33" s="139" customFormat="1" ht="12.75" customHeight="1" x14ac:dyDescent="0.2">
      <c r="A2781" s="141"/>
      <c r="B2781" s="141"/>
      <c r="C2781" s="141"/>
      <c r="D2781" s="141"/>
      <c r="E2781" s="1014"/>
      <c r="F2781" s="1014"/>
      <c r="G2781" s="1027"/>
      <c r="H2781" s="1027"/>
      <c r="I2781" s="1174"/>
      <c r="J2781" s="1174"/>
      <c r="K2781" s="1174"/>
      <c r="L2781" s="1172"/>
      <c r="M2781" s="1172"/>
      <c r="N2781" s="1175"/>
      <c r="O2781" s="143"/>
      <c r="P2781" s="1196"/>
      <c r="Q2781" s="141"/>
      <c r="R2781" s="141"/>
      <c r="S2781" s="148"/>
      <c r="T2781" s="419"/>
      <c r="U2781" s="559"/>
      <c r="V2781" s="141"/>
      <c r="W2781" s="141"/>
      <c r="X2781" s="141"/>
      <c r="Y2781" s="144"/>
      <c r="Z2781" s="141"/>
      <c r="AA2781" s="141"/>
      <c r="AB2781" s="141"/>
      <c r="AC2781" s="141"/>
      <c r="AD2781" s="141"/>
      <c r="AE2781" s="141"/>
      <c r="AF2781" s="145"/>
      <c r="AG2781" s="419"/>
    </row>
    <row r="2782" spans="1:33" s="139" customFormat="1" ht="12.75" customHeight="1" x14ac:dyDescent="0.2">
      <c r="A2782" s="141"/>
      <c r="B2782" s="141"/>
      <c r="C2782" s="141"/>
      <c r="D2782" s="141"/>
      <c r="E2782" s="1014"/>
      <c r="F2782" s="1014"/>
      <c r="G2782" s="1027"/>
      <c r="H2782" s="1027"/>
      <c r="I2782" s="1174"/>
      <c r="J2782" s="1174"/>
      <c r="K2782" s="1174"/>
      <c r="L2782" s="1172"/>
      <c r="M2782" s="1172"/>
      <c r="N2782" s="1175"/>
      <c r="O2782" s="143"/>
      <c r="P2782" s="1196"/>
      <c r="Q2782" s="141"/>
      <c r="R2782" s="141"/>
      <c r="S2782" s="148"/>
      <c r="T2782" s="419"/>
      <c r="U2782" s="559"/>
      <c r="V2782" s="141"/>
      <c r="W2782" s="141"/>
      <c r="X2782" s="141"/>
      <c r="Y2782" s="144"/>
      <c r="Z2782" s="141"/>
      <c r="AA2782" s="141"/>
      <c r="AB2782" s="141"/>
      <c r="AC2782" s="141"/>
      <c r="AD2782" s="141"/>
      <c r="AE2782" s="141"/>
      <c r="AF2782" s="145"/>
      <c r="AG2782" s="419"/>
    </row>
    <row r="2783" spans="1:33" s="139" customFormat="1" ht="12.75" customHeight="1" x14ac:dyDescent="0.2">
      <c r="A2783" s="141"/>
      <c r="B2783" s="141"/>
      <c r="C2783" s="141"/>
      <c r="D2783" s="141"/>
      <c r="E2783" s="1014"/>
      <c r="F2783" s="1014"/>
      <c r="G2783" s="1027"/>
      <c r="H2783" s="1027"/>
      <c r="I2783" s="1174"/>
      <c r="J2783" s="1174"/>
      <c r="K2783" s="1174"/>
      <c r="L2783" s="1172"/>
      <c r="M2783" s="1172"/>
      <c r="N2783" s="1175"/>
      <c r="O2783" s="143"/>
      <c r="P2783" s="1196"/>
      <c r="Q2783" s="141"/>
      <c r="R2783" s="141"/>
      <c r="S2783" s="148"/>
      <c r="T2783" s="419"/>
      <c r="U2783" s="559"/>
      <c r="V2783" s="141"/>
      <c r="W2783" s="141"/>
      <c r="X2783" s="141"/>
      <c r="Y2783" s="144"/>
      <c r="Z2783" s="141"/>
      <c r="AA2783" s="141"/>
      <c r="AB2783" s="141"/>
      <c r="AC2783" s="141"/>
      <c r="AD2783" s="141"/>
      <c r="AE2783" s="141"/>
      <c r="AF2783" s="145"/>
      <c r="AG2783" s="419"/>
    </row>
    <row r="2784" spans="1:33" s="139" customFormat="1" ht="12.75" customHeight="1" x14ac:dyDescent="0.2">
      <c r="A2784" s="141"/>
      <c r="B2784" s="141"/>
      <c r="C2784" s="141"/>
      <c r="D2784" s="141"/>
      <c r="E2784" s="1014"/>
      <c r="F2784" s="1014"/>
      <c r="G2784" s="1027"/>
      <c r="H2784" s="1027"/>
      <c r="I2784" s="1174"/>
      <c r="J2784" s="1174"/>
      <c r="K2784" s="1174"/>
      <c r="L2784" s="1172"/>
      <c r="M2784" s="1172"/>
      <c r="N2784" s="1175"/>
      <c r="O2784" s="143"/>
      <c r="P2784" s="1196"/>
      <c r="Q2784" s="141"/>
      <c r="R2784" s="141"/>
      <c r="S2784" s="148"/>
      <c r="T2784" s="419"/>
      <c r="U2784" s="559"/>
      <c r="V2784" s="141"/>
      <c r="W2784" s="141"/>
      <c r="X2784" s="141"/>
      <c r="Y2784" s="144"/>
      <c r="Z2784" s="141"/>
      <c r="AA2784" s="141"/>
      <c r="AB2784" s="141"/>
      <c r="AC2784" s="141"/>
      <c r="AD2784" s="141"/>
      <c r="AE2784" s="141"/>
      <c r="AF2784" s="145"/>
      <c r="AG2784" s="419"/>
    </row>
    <row r="2785" spans="1:33" s="139" customFormat="1" ht="12.75" customHeight="1" x14ac:dyDescent="0.2">
      <c r="A2785" s="141"/>
      <c r="B2785" s="141"/>
      <c r="C2785" s="141"/>
      <c r="D2785" s="141"/>
      <c r="E2785" s="1014"/>
      <c r="F2785" s="1014"/>
      <c r="G2785" s="1027"/>
      <c r="H2785" s="1027"/>
      <c r="I2785" s="1174"/>
      <c r="J2785" s="1174"/>
      <c r="K2785" s="1174"/>
      <c r="L2785" s="1172"/>
      <c r="M2785" s="1172"/>
      <c r="N2785" s="1175"/>
      <c r="O2785" s="143"/>
      <c r="P2785" s="1196"/>
      <c r="Q2785" s="141"/>
      <c r="R2785" s="141"/>
      <c r="S2785" s="148"/>
      <c r="T2785" s="419"/>
      <c r="U2785" s="559"/>
      <c r="V2785" s="141"/>
      <c r="W2785" s="141"/>
      <c r="X2785" s="141"/>
      <c r="Y2785" s="144"/>
      <c r="Z2785" s="141"/>
      <c r="AA2785" s="141"/>
      <c r="AB2785" s="141"/>
      <c r="AC2785" s="141"/>
      <c r="AD2785" s="141"/>
      <c r="AE2785" s="141"/>
      <c r="AF2785" s="145"/>
      <c r="AG2785" s="419"/>
    </row>
    <row r="2786" spans="1:33" s="139" customFormat="1" ht="12.75" customHeight="1" x14ac:dyDescent="0.2">
      <c r="A2786" s="141"/>
      <c r="B2786" s="141"/>
      <c r="C2786" s="141"/>
      <c r="D2786" s="141"/>
      <c r="E2786" s="1014"/>
      <c r="F2786" s="1014"/>
      <c r="G2786" s="1027"/>
      <c r="H2786" s="1027"/>
      <c r="I2786" s="1174"/>
      <c r="J2786" s="1174"/>
      <c r="K2786" s="1174"/>
      <c r="L2786" s="1172"/>
      <c r="M2786" s="1172"/>
      <c r="N2786" s="1175"/>
      <c r="O2786" s="143"/>
      <c r="P2786" s="1196"/>
      <c r="Q2786" s="141"/>
      <c r="R2786" s="141"/>
      <c r="S2786" s="148"/>
      <c r="T2786" s="419"/>
      <c r="U2786" s="559"/>
      <c r="V2786" s="141"/>
      <c r="W2786" s="141"/>
      <c r="X2786" s="141"/>
      <c r="Y2786" s="144"/>
      <c r="Z2786" s="141"/>
      <c r="AA2786" s="141"/>
      <c r="AB2786" s="141"/>
      <c r="AC2786" s="141"/>
      <c r="AD2786" s="141"/>
      <c r="AE2786" s="141"/>
      <c r="AF2786" s="145"/>
      <c r="AG2786" s="419"/>
    </row>
    <row r="2787" spans="1:33" s="139" customFormat="1" ht="12.75" customHeight="1" x14ac:dyDescent="0.2">
      <c r="A2787" s="141"/>
      <c r="B2787" s="141"/>
      <c r="C2787" s="141"/>
      <c r="D2787" s="141"/>
      <c r="E2787" s="1014"/>
      <c r="F2787" s="1014"/>
      <c r="G2787" s="1027"/>
      <c r="H2787" s="1027"/>
      <c r="I2787" s="1174"/>
      <c r="J2787" s="1174"/>
      <c r="K2787" s="1174"/>
      <c r="L2787" s="1172"/>
      <c r="M2787" s="1172"/>
      <c r="N2787" s="1175"/>
      <c r="O2787" s="143"/>
      <c r="P2787" s="1196"/>
      <c r="Q2787" s="141"/>
      <c r="R2787" s="141"/>
      <c r="S2787" s="148"/>
      <c r="T2787" s="419"/>
      <c r="U2787" s="559"/>
      <c r="V2787" s="141"/>
      <c r="W2787" s="141"/>
      <c r="X2787" s="141"/>
      <c r="Y2787" s="144"/>
      <c r="Z2787" s="141"/>
      <c r="AA2787" s="141"/>
      <c r="AB2787" s="141"/>
      <c r="AC2787" s="141"/>
      <c r="AD2787" s="141"/>
      <c r="AE2787" s="141"/>
      <c r="AF2787" s="145"/>
      <c r="AG2787" s="419"/>
    </row>
    <row r="2788" spans="1:33" s="139" customFormat="1" ht="12.75" customHeight="1" x14ac:dyDescent="0.2">
      <c r="A2788" s="141"/>
      <c r="B2788" s="141"/>
      <c r="C2788" s="141"/>
      <c r="D2788" s="141"/>
      <c r="E2788" s="1014"/>
      <c r="F2788" s="1014"/>
      <c r="G2788" s="1027"/>
      <c r="H2788" s="1027"/>
      <c r="I2788" s="1174"/>
      <c r="J2788" s="1174"/>
      <c r="K2788" s="1174"/>
      <c r="L2788" s="1172"/>
      <c r="M2788" s="1172"/>
      <c r="N2788" s="1175"/>
      <c r="O2788" s="143"/>
      <c r="P2788" s="1196"/>
      <c r="Q2788" s="141"/>
      <c r="R2788" s="141"/>
      <c r="S2788" s="148"/>
      <c r="T2788" s="419"/>
      <c r="U2788" s="559"/>
      <c r="V2788" s="141"/>
      <c r="W2788" s="141"/>
      <c r="X2788" s="141"/>
      <c r="Y2788" s="144"/>
      <c r="Z2788" s="141"/>
      <c r="AA2788" s="141"/>
      <c r="AB2788" s="141"/>
      <c r="AC2788" s="141"/>
      <c r="AD2788" s="141"/>
      <c r="AE2788" s="141"/>
      <c r="AF2788" s="145"/>
      <c r="AG2788" s="419"/>
    </row>
    <row r="2789" spans="1:33" s="139" customFormat="1" ht="12.75" customHeight="1" x14ac:dyDescent="0.2">
      <c r="A2789" s="141"/>
      <c r="B2789" s="141"/>
      <c r="C2789" s="141"/>
      <c r="D2789" s="141"/>
      <c r="E2789" s="1014"/>
      <c r="F2789" s="1014"/>
      <c r="G2789" s="1027"/>
      <c r="H2789" s="1027"/>
      <c r="I2789" s="1174"/>
      <c r="J2789" s="1174"/>
      <c r="K2789" s="1174"/>
      <c r="L2789" s="1172"/>
      <c r="M2789" s="1172"/>
      <c r="N2789" s="1175"/>
      <c r="O2789" s="143"/>
      <c r="P2789" s="1196"/>
      <c r="Q2789" s="141"/>
      <c r="R2789" s="141"/>
      <c r="S2789" s="148"/>
      <c r="T2789" s="419"/>
      <c r="U2789" s="559"/>
      <c r="V2789" s="141"/>
      <c r="W2789" s="141"/>
      <c r="X2789" s="141"/>
      <c r="Y2789" s="144"/>
      <c r="Z2789" s="141"/>
      <c r="AA2789" s="141"/>
      <c r="AB2789" s="141"/>
      <c r="AC2789" s="141"/>
      <c r="AD2789" s="141"/>
      <c r="AE2789" s="141"/>
      <c r="AF2789" s="145"/>
      <c r="AG2789" s="419"/>
    </row>
    <row r="2790" spans="1:33" s="139" customFormat="1" ht="12.75" customHeight="1" x14ac:dyDescent="0.2">
      <c r="A2790" s="141"/>
      <c r="B2790" s="141"/>
      <c r="C2790" s="141"/>
      <c r="D2790" s="141"/>
      <c r="E2790" s="1014"/>
      <c r="F2790" s="1014"/>
      <c r="G2790" s="1027"/>
      <c r="H2790" s="1027"/>
      <c r="I2790" s="1174"/>
      <c r="J2790" s="1174"/>
      <c r="K2790" s="1174"/>
      <c r="L2790" s="1172"/>
      <c r="M2790" s="1172"/>
      <c r="N2790" s="1175"/>
      <c r="O2790" s="143"/>
      <c r="P2790" s="1196"/>
      <c r="Q2790" s="141"/>
      <c r="R2790" s="141"/>
      <c r="S2790" s="148"/>
      <c r="T2790" s="419"/>
      <c r="U2790" s="559"/>
      <c r="V2790" s="141"/>
      <c r="W2790" s="141"/>
      <c r="X2790" s="141"/>
      <c r="Y2790" s="144"/>
      <c r="Z2790" s="141"/>
      <c r="AA2790" s="141"/>
      <c r="AB2790" s="141"/>
      <c r="AC2790" s="141"/>
      <c r="AD2790" s="141"/>
      <c r="AE2790" s="141"/>
      <c r="AF2790" s="145"/>
      <c r="AG2790" s="419"/>
    </row>
    <row r="2791" spans="1:33" s="139" customFormat="1" ht="12.75" customHeight="1" x14ac:dyDescent="0.2">
      <c r="A2791" s="141"/>
      <c r="B2791" s="141"/>
      <c r="C2791" s="141"/>
      <c r="D2791" s="141"/>
      <c r="E2791" s="1014"/>
      <c r="F2791" s="1014"/>
      <c r="G2791" s="1027"/>
      <c r="H2791" s="1027"/>
      <c r="I2791" s="1174"/>
      <c r="J2791" s="1174"/>
      <c r="K2791" s="1174"/>
      <c r="L2791" s="1172"/>
      <c r="M2791" s="1172"/>
      <c r="N2791" s="1175"/>
      <c r="O2791" s="143"/>
      <c r="P2791" s="1196"/>
      <c r="Q2791" s="141"/>
      <c r="R2791" s="141"/>
      <c r="S2791" s="148"/>
      <c r="T2791" s="419"/>
      <c r="U2791" s="559"/>
      <c r="V2791" s="141"/>
      <c r="W2791" s="141"/>
      <c r="X2791" s="141"/>
      <c r="Y2791" s="144"/>
      <c r="Z2791" s="141"/>
      <c r="AA2791" s="141"/>
      <c r="AB2791" s="141"/>
      <c r="AC2791" s="141"/>
      <c r="AD2791" s="141"/>
      <c r="AE2791" s="141"/>
      <c r="AF2791" s="145"/>
      <c r="AG2791" s="419"/>
    </row>
    <row r="2792" spans="1:33" s="139" customFormat="1" ht="12.75" customHeight="1" x14ac:dyDescent="0.2">
      <c r="A2792" s="141"/>
      <c r="B2792" s="141"/>
      <c r="C2792" s="141"/>
      <c r="D2792" s="141"/>
      <c r="E2792" s="1014"/>
      <c r="F2792" s="1014"/>
      <c r="G2792" s="1027"/>
      <c r="H2792" s="1027"/>
      <c r="I2792" s="1174"/>
      <c r="J2792" s="1174"/>
      <c r="K2792" s="1174"/>
      <c r="L2792" s="1172"/>
      <c r="M2792" s="1172"/>
      <c r="N2792" s="1175"/>
      <c r="O2792" s="143"/>
      <c r="P2792" s="1196"/>
      <c r="Q2792" s="141"/>
      <c r="R2792" s="141"/>
      <c r="S2792" s="148"/>
      <c r="T2792" s="419"/>
      <c r="U2792" s="559"/>
      <c r="V2792" s="141"/>
      <c r="W2792" s="141"/>
      <c r="X2792" s="141"/>
      <c r="Y2792" s="144"/>
      <c r="Z2792" s="141"/>
      <c r="AA2792" s="141"/>
      <c r="AB2792" s="141"/>
      <c r="AC2792" s="141"/>
      <c r="AD2792" s="141"/>
      <c r="AE2792" s="141"/>
      <c r="AF2792" s="145"/>
      <c r="AG2792" s="419"/>
    </row>
    <row r="2793" spans="1:33" s="139" customFormat="1" ht="12.75" customHeight="1" x14ac:dyDescent="0.2">
      <c r="A2793" s="141"/>
      <c r="B2793" s="141"/>
      <c r="C2793" s="141"/>
      <c r="D2793" s="141"/>
      <c r="E2793" s="1014"/>
      <c r="F2793" s="1014"/>
      <c r="G2793" s="1027"/>
      <c r="H2793" s="1027"/>
      <c r="I2793" s="1174"/>
      <c r="J2793" s="1174"/>
      <c r="K2793" s="1174"/>
      <c r="L2793" s="1172"/>
      <c r="M2793" s="1172"/>
      <c r="N2793" s="1175"/>
      <c r="O2793" s="143"/>
      <c r="P2793" s="1196"/>
      <c r="Q2793" s="141"/>
      <c r="R2793" s="141"/>
      <c r="S2793" s="148"/>
      <c r="T2793" s="419"/>
      <c r="U2793" s="559"/>
      <c r="V2793" s="141"/>
      <c r="W2793" s="141"/>
      <c r="X2793" s="141"/>
      <c r="Y2793" s="144"/>
      <c r="Z2793" s="141"/>
      <c r="AA2793" s="141"/>
      <c r="AB2793" s="141"/>
      <c r="AC2793" s="141"/>
      <c r="AD2793" s="141"/>
      <c r="AE2793" s="141"/>
      <c r="AF2793" s="145"/>
      <c r="AG2793" s="419"/>
    </row>
    <row r="2794" spans="1:33" s="139" customFormat="1" ht="12.75" customHeight="1" x14ac:dyDescent="0.2">
      <c r="A2794" s="141"/>
      <c r="B2794" s="141"/>
      <c r="C2794" s="141"/>
      <c r="D2794" s="141"/>
      <c r="E2794" s="1014"/>
      <c r="F2794" s="1014"/>
      <c r="G2794" s="1027"/>
      <c r="H2794" s="1027"/>
      <c r="I2794" s="1174"/>
      <c r="J2794" s="1174"/>
      <c r="K2794" s="1174"/>
      <c r="L2794" s="1172"/>
      <c r="M2794" s="1172"/>
      <c r="N2794" s="1175"/>
      <c r="O2794" s="143"/>
      <c r="P2794" s="1196"/>
      <c r="Q2794" s="141"/>
      <c r="R2794" s="141"/>
      <c r="S2794" s="148"/>
      <c r="T2794" s="419"/>
      <c r="U2794" s="559"/>
      <c r="V2794" s="141"/>
      <c r="W2794" s="141"/>
      <c r="X2794" s="141"/>
      <c r="Y2794" s="144"/>
      <c r="Z2794" s="141"/>
      <c r="AA2794" s="141"/>
      <c r="AB2794" s="141"/>
      <c r="AC2794" s="141"/>
      <c r="AD2794" s="141"/>
      <c r="AE2794" s="141"/>
      <c r="AF2794" s="145"/>
      <c r="AG2794" s="419"/>
    </row>
    <row r="2795" spans="1:33" s="139" customFormat="1" ht="12.75" customHeight="1" x14ac:dyDescent="0.2">
      <c r="A2795" s="141"/>
      <c r="B2795" s="141"/>
      <c r="C2795" s="141"/>
      <c r="D2795" s="141"/>
      <c r="E2795" s="1014"/>
      <c r="F2795" s="1014"/>
      <c r="G2795" s="1027"/>
      <c r="H2795" s="1027"/>
      <c r="I2795" s="1174"/>
      <c r="J2795" s="1174"/>
      <c r="K2795" s="1174"/>
      <c r="L2795" s="1172"/>
      <c r="M2795" s="1172"/>
      <c r="N2795" s="1175"/>
      <c r="O2795" s="143"/>
      <c r="P2795" s="1196"/>
      <c r="Q2795" s="141"/>
      <c r="R2795" s="141"/>
      <c r="S2795" s="148"/>
      <c r="T2795" s="419"/>
      <c r="U2795" s="559"/>
      <c r="V2795" s="141"/>
      <c r="W2795" s="141"/>
      <c r="X2795" s="141"/>
      <c r="Y2795" s="144"/>
      <c r="Z2795" s="141"/>
      <c r="AA2795" s="141"/>
      <c r="AB2795" s="141"/>
      <c r="AC2795" s="141"/>
      <c r="AD2795" s="141"/>
      <c r="AE2795" s="141"/>
      <c r="AF2795" s="145"/>
      <c r="AG2795" s="419"/>
    </row>
    <row r="2796" spans="1:33" s="139" customFormat="1" ht="12.75" customHeight="1" x14ac:dyDescent="0.2">
      <c r="A2796" s="141"/>
      <c r="B2796" s="141"/>
      <c r="C2796" s="141"/>
      <c r="D2796" s="141"/>
      <c r="E2796" s="1014"/>
      <c r="F2796" s="1014"/>
      <c r="G2796" s="1027"/>
      <c r="H2796" s="1027"/>
      <c r="I2796" s="1174"/>
      <c r="J2796" s="1174"/>
      <c r="K2796" s="1174"/>
      <c r="L2796" s="1172"/>
      <c r="M2796" s="1172"/>
      <c r="N2796" s="1175"/>
      <c r="O2796" s="143"/>
      <c r="P2796" s="1196"/>
      <c r="Q2796" s="141"/>
      <c r="R2796" s="141"/>
      <c r="S2796" s="148"/>
      <c r="T2796" s="419"/>
      <c r="U2796" s="559"/>
      <c r="V2796" s="141"/>
      <c r="W2796" s="141"/>
      <c r="X2796" s="141"/>
      <c r="Y2796" s="144"/>
      <c r="Z2796" s="141"/>
      <c r="AA2796" s="141"/>
      <c r="AB2796" s="141"/>
      <c r="AC2796" s="141"/>
      <c r="AD2796" s="141"/>
      <c r="AE2796" s="141"/>
      <c r="AF2796" s="145"/>
      <c r="AG2796" s="419"/>
    </row>
    <row r="2797" spans="1:33" s="139" customFormat="1" ht="12.75" customHeight="1" x14ac:dyDescent="0.2">
      <c r="A2797" s="141"/>
      <c r="B2797" s="141"/>
      <c r="C2797" s="141"/>
      <c r="D2797" s="141"/>
      <c r="E2797" s="1014"/>
      <c r="F2797" s="1014"/>
      <c r="G2797" s="1027"/>
      <c r="H2797" s="1027"/>
      <c r="I2797" s="1174"/>
      <c r="J2797" s="1174"/>
      <c r="K2797" s="1174"/>
      <c r="L2797" s="1172"/>
      <c r="M2797" s="1172"/>
      <c r="N2797" s="1175"/>
      <c r="O2797" s="143"/>
      <c r="P2797" s="1196"/>
      <c r="Q2797" s="141"/>
      <c r="R2797" s="141"/>
      <c r="S2797" s="148"/>
      <c r="T2797" s="419"/>
      <c r="U2797" s="559"/>
      <c r="V2797" s="141"/>
      <c r="W2797" s="141"/>
      <c r="X2797" s="141"/>
      <c r="Y2797" s="144"/>
      <c r="Z2797" s="141"/>
      <c r="AA2797" s="141"/>
      <c r="AB2797" s="141"/>
      <c r="AC2797" s="141"/>
      <c r="AD2797" s="141"/>
      <c r="AE2797" s="141"/>
      <c r="AF2797" s="145"/>
      <c r="AG2797" s="419"/>
    </row>
    <row r="2798" spans="1:33" s="139" customFormat="1" ht="12.75" customHeight="1" x14ac:dyDescent="0.2">
      <c r="A2798" s="141"/>
      <c r="B2798" s="141"/>
      <c r="C2798" s="141"/>
      <c r="D2798" s="141"/>
      <c r="E2798" s="1014"/>
      <c r="F2798" s="1014"/>
      <c r="G2798" s="1027"/>
      <c r="H2798" s="1027"/>
      <c r="I2798" s="1174"/>
      <c r="J2798" s="1174"/>
      <c r="K2798" s="1174"/>
      <c r="L2798" s="1172"/>
      <c r="M2798" s="1172"/>
      <c r="N2798" s="1175"/>
      <c r="O2798" s="143"/>
      <c r="P2798" s="1196"/>
      <c r="Q2798" s="141"/>
      <c r="R2798" s="141"/>
      <c r="S2798" s="148"/>
      <c r="T2798" s="419"/>
      <c r="U2798" s="559"/>
      <c r="V2798" s="141"/>
      <c r="W2798" s="141"/>
      <c r="X2798" s="141"/>
      <c r="Y2798" s="144"/>
      <c r="Z2798" s="141"/>
      <c r="AA2798" s="141"/>
      <c r="AB2798" s="141"/>
      <c r="AC2798" s="141"/>
      <c r="AD2798" s="141"/>
      <c r="AE2798" s="141"/>
      <c r="AF2798" s="145"/>
      <c r="AG2798" s="419"/>
    </row>
    <row r="2799" spans="1:33" s="139" customFormat="1" ht="12.75" customHeight="1" x14ac:dyDescent="0.2">
      <c r="A2799" s="141"/>
      <c r="B2799" s="141"/>
      <c r="C2799" s="141"/>
      <c r="D2799" s="141"/>
      <c r="E2799" s="1014"/>
      <c r="F2799" s="1014"/>
      <c r="G2799" s="1027"/>
      <c r="H2799" s="1027"/>
      <c r="I2799" s="1174"/>
      <c r="J2799" s="1174"/>
      <c r="K2799" s="1174"/>
      <c r="L2799" s="1172"/>
      <c r="M2799" s="1172"/>
      <c r="N2799" s="1175"/>
      <c r="O2799" s="143"/>
      <c r="P2799" s="1196"/>
      <c r="Q2799" s="141"/>
      <c r="R2799" s="141"/>
      <c r="S2799" s="148"/>
      <c r="T2799" s="419"/>
      <c r="U2799" s="559"/>
      <c r="V2799" s="141"/>
      <c r="W2799" s="141"/>
      <c r="X2799" s="141"/>
      <c r="Y2799" s="144"/>
      <c r="Z2799" s="141"/>
      <c r="AA2799" s="141"/>
      <c r="AB2799" s="141"/>
      <c r="AC2799" s="141"/>
      <c r="AD2799" s="141"/>
      <c r="AE2799" s="141"/>
      <c r="AF2799" s="145"/>
      <c r="AG2799" s="419"/>
    </row>
    <row r="2800" spans="1:33" s="139" customFormat="1" ht="12.75" customHeight="1" x14ac:dyDescent="0.2">
      <c r="A2800" s="141"/>
      <c r="B2800" s="141"/>
      <c r="C2800" s="141"/>
      <c r="D2800" s="141"/>
      <c r="E2800" s="1014"/>
      <c r="F2800" s="1014"/>
      <c r="G2800" s="1027"/>
      <c r="H2800" s="1027"/>
      <c r="I2800" s="1174"/>
      <c r="J2800" s="1174"/>
      <c r="K2800" s="1174"/>
      <c r="L2800" s="1172"/>
      <c r="M2800" s="1172"/>
      <c r="N2800" s="1175"/>
      <c r="O2800" s="143"/>
      <c r="P2800" s="1196"/>
      <c r="Q2800" s="141"/>
      <c r="R2800" s="141"/>
      <c r="S2800" s="148"/>
      <c r="T2800" s="419"/>
      <c r="U2800" s="559"/>
      <c r="V2800" s="141"/>
      <c r="W2800" s="141"/>
      <c r="X2800" s="141"/>
      <c r="Y2800" s="144"/>
      <c r="Z2800" s="141"/>
      <c r="AA2800" s="141"/>
      <c r="AB2800" s="141"/>
      <c r="AC2800" s="141"/>
      <c r="AD2800" s="141"/>
      <c r="AE2800" s="141"/>
      <c r="AF2800" s="145"/>
      <c r="AG2800" s="419"/>
    </row>
    <row r="2801" spans="1:33" s="139" customFormat="1" ht="12.75" customHeight="1" x14ac:dyDescent="0.2">
      <c r="A2801" s="141"/>
      <c r="B2801" s="141"/>
      <c r="C2801" s="141"/>
      <c r="D2801" s="141"/>
      <c r="E2801" s="1014"/>
      <c r="F2801" s="1014"/>
      <c r="G2801" s="1027"/>
      <c r="H2801" s="1027"/>
      <c r="I2801" s="1174"/>
      <c r="J2801" s="1174"/>
      <c r="K2801" s="1174"/>
      <c r="L2801" s="1172"/>
      <c r="M2801" s="1172"/>
      <c r="N2801" s="1175"/>
      <c r="O2801" s="143"/>
      <c r="P2801" s="1196"/>
      <c r="Q2801" s="141"/>
      <c r="R2801" s="141"/>
      <c r="S2801" s="148"/>
      <c r="T2801" s="419"/>
      <c r="U2801" s="559"/>
      <c r="V2801" s="141"/>
      <c r="W2801" s="141"/>
      <c r="X2801" s="141"/>
      <c r="Y2801" s="144"/>
      <c r="Z2801" s="141"/>
      <c r="AA2801" s="141"/>
      <c r="AB2801" s="141"/>
      <c r="AC2801" s="141"/>
      <c r="AD2801" s="141"/>
      <c r="AE2801" s="141"/>
      <c r="AF2801" s="145"/>
      <c r="AG2801" s="419"/>
    </row>
    <row r="2802" spans="1:33" s="139" customFormat="1" ht="12.75" customHeight="1" x14ac:dyDescent="0.2">
      <c r="A2802" s="141"/>
      <c r="B2802" s="141"/>
      <c r="C2802" s="141"/>
      <c r="D2802" s="141"/>
      <c r="E2802" s="1014"/>
      <c r="F2802" s="1014"/>
      <c r="G2802" s="1027"/>
      <c r="H2802" s="1027"/>
      <c r="I2802" s="1174"/>
      <c r="J2802" s="1174"/>
      <c r="K2802" s="1174"/>
      <c r="L2802" s="1172"/>
      <c r="M2802" s="1172"/>
      <c r="N2802" s="1175"/>
      <c r="O2802" s="143"/>
      <c r="P2802" s="1196"/>
      <c r="Q2802" s="141"/>
      <c r="R2802" s="141"/>
      <c r="S2802" s="148"/>
      <c r="T2802" s="419"/>
      <c r="U2802" s="559"/>
      <c r="V2802" s="141"/>
      <c r="W2802" s="141"/>
      <c r="X2802" s="141"/>
      <c r="Y2802" s="144"/>
      <c r="Z2802" s="141"/>
      <c r="AA2802" s="141"/>
      <c r="AB2802" s="141"/>
      <c r="AC2802" s="141"/>
      <c r="AD2802" s="141"/>
      <c r="AE2802" s="141"/>
      <c r="AF2802" s="145"/>
      <c r="AG2802" s="419"/>
    </row>
    <row r="2803" spans="1:33" s="139" customFormat="1" ht="12.75" customHeight="1" x14ac:dyDescent="0.2">
      <c r="A2803" s="141"/>
      <c r="B2803" s="141"/>
      <c r="C2803" s="141"/>
      <c r="D2803" s="141"/>
      <c r="E2803" s="1014"/>
      <c r="F2803" s="1014"/>
      <c r="G2803" s="1027"/>
      <c r="H2803" s="1027"/>
      <c r="I2803" s="1174"/>
      <c r="J2803" s="1174"/>
      <c r="K2803" s="1174"/>
      <c r="L2803" s="1172"/>
      <c r="M2803" s="1172"/>
      <c r="N2803" s="1175"/>
      <c r="O2803" s="143"/>
      <c r="P2803" s="1196"/>
      <c r="Q2803" s="141"/>
      <c r="R2803" s="141"/>
      <c r="S2803" s="148"/>
      <c r="T2803" s="419"/>
      <c r="U2803" s="559"/>
      <c r="V2803" s="141"/>
      <c r="W2803" s="141"/>
      <c r="X2803" s="141"/>
      <c r="Y2803" s="144"/>
      <c r="Z2803" s="141"/>
      <c r="AA2803" s="141"/>
      <c r="AB2803" s="141"/>
      <c r="AC2803" s="141"/>
      <c r="AD2803" s="141"/>
      <c r="AE2803" s="141"/>
      <c r="AF2803" s="145"/>
      <c r="AG2803" s="419"/>
    </row>
    <row r="2804" spans="1:33" s="139" customFormat="1" ht="12.75" customHeight="1" x14ac:dyDescent="0.2">
      <c r="A2804" s="141"/>
      <c r="B2804" s="141"/>
      <c r="C2804" s="141"/>
      <c r="D2804" s="141"/>
      <c r="E2804" s="1014"/>
      <c r="F2804" s="1014"/>
      <c r="G2804" s="1027"/>
      <c r="H2804" s="1027"/>
      <c r="I2804" s="1174"/>
      <c r="J2804" s="1174"/>
      <c r="K2804" s="1174"/>
      <c r="L2804" s="1172"/>
      <c r="M2804" s="1172"/>
      <c r="N2804" s="1175"/>
      <c r="O2804" s="143"/>
      <c r="P2804" s="1196"/>
      <c r="Q2804" s="141"/>
      <c r="R2804" s="141"/>
      <c r="S2804" s="148"/>
      <c r="T2804" s="419"/>
      <c r="U2804" s="559"/>
      <c r="V2804" s="141"/>
      <c r="W2804" s="141"/>
      <c r="X2804" s="141"/>
      <c r="Y2804" s="144"/>
      <c r="Z2804" s="141"/>
      <c r="AA2804" s="141"/>
      <c r="AB2804" s="141"/>
      <c r="AC2804" s="141"/>
      <c r="AD2804" s="141"/>
      <c r="AE2804" s="141"/>
      <c r="AF2804" s="145"/>
      <c r="AG2804" s="419"/>
    </row>
    <row r="2805" spans="1:33" s="139" customFormat="1" ht="12.75" customHeight="1" x14ac:dyDescent="0.2">
      <c r="A2805" s="141"/>
      <c r="B2805" s="141"/>
      <c r="C2805" s="141"/>
      <c r="D2805" s="141"/>
      <c r="E2805" s="1014"/>
      <c r="F2805" s="1014"/>
      <c r="G2805" s="1027"/>
      <c r="H2805" s="1027"/>
      <c r="I2805" s="1174"/>
      <c r="J2805" s="1174"/>
      <c r="K2805" s="1174"/>
      <c r="L2805" s="1172"/>
      <c r="M2805" s="1172"/>
      <c r="N2805" s="1175"/>
      <c r="O2805" s="143"/>
      <c r="P2805" s="1196"/>
      <c r="Q2805" s="141"/>
      <c r="R2805" s="141"/>
      <c r="S2805" s="148"/>
      <c r="T2805" s="419"/>
      <c r="U2805" s="559"/>
      <c r="V2805" s="141"/>
      <c r="W2805" s="141"/>
      <c r="X2805" s="141"/>
      <c r="Y2805" s="144"/>
      <c r="Z2805" s="141"/>
      <c r="AA2805" s="141"/>
      <c r="AB2805" s="141"/>
      <c r="AC2805" s="141"/>
      <c r="AD2805" s="141"/>
      <c r="AE2805" s="141"/>
      <c r="AF2805" s="145"/>
      <c r="AG2805" s="419"/>
    </row>
    <row r="2806" spans="1:33" s="139" customFormat="1" ht="12.75" customHeight="1" x14ac:dyDescent="0.2">
      <c r="A2806" s="141"/>
      <c r="B2806" s="141"/>
      <c r="C2806" s="141"/>
      <c r="D2806" s="141"/>
      <c r="E2806" s="1014"/>
      <c r="F2806" s="1014"/>
      <c r="G2806" s="1027"/>
      <c r="H2806" s="1027"/>
      <c r="I2806" s="1174"/>
      <c r="J2806" s="1174"/>
      <c r="K2806" s="1174"/>
      <c r="L2806" s="1172"/>
      <c r="M2806" s="1172"/>
      <c r="N2806" s="1175"/>
      <c r="O2806" s="143"/>
      <c r="P2806" s="1196"/>
      <c r="Q2806" s="141"/>
      <c r="R2806" s="141"/>
      <c r="S2806" s="148"/>
      <c r="T2806" s="419"/>
      <c r="U2806" s="559"/>
      <c r="V2806" s="141"/>
      <c r="W2806" s="141"/>
      <c r="X2806" s="141"/>
      <c r="Y2806" s="144"/>
      <c r="Z2806" s="141"/>
      <c r="AA2806" s="141"/>
      <c r="AB2806" s="141"/>
      <c r="AC2806" s="141"/>
      <c r="AD2806" s="141"/>
      <c r="AE2806" s="141"/>
      <c r="AF2806" s="145"/>
      <c r="AG2806" s="419"/>
    </row>
    <row r="2807" spans="1:33" s="139" customFormat="1" ht="12.75" customHeight="1" x14ac:dyDescent="0.2">
      <c r="A2807" s="141"/>
      <c r="B2807" s="141"/>
      <c r="C2807" s="141"/>
      <c r="D2807" s="141"/>
      <c r="E2807" s="1014"/>
      <c r="F2807" s="1014"/>
      <c r="G2807" s="1027"/>
      <c r="H2807" s="1027"/>
      <c r="I2807" s="1174"/>
      <c r="J2807" s="1174"/>
      <c r="K2807" s="1174"/>
      <c r="L2807" s="1172"/>
      <c r="M2807" s="1172"/>
      <c r="N2807" s="1175"/>
      <c r="O2807" s="143"/>
      <c r="P2807" s="1196"/>
      <c r="Q2807" s="141"/>
      <c r="R2807" s="141"/>
      <c r="S2807" s="148"/>
      <c r="T2807" s="419"/>
      <c r="U2807" s="559"/>
      <c r="V2807" s="141"/>
      <c r="W2807" s="141"/>
      <c r="X2807" s="141"/>
      <c r="Y2807" s="144"/>
      <c r="Z2807" s="141"/>
      <c r="AA2807" s="141"/>
      <c r="AB2807" s="141"/>
      <c r="AC2807" s="141"/>
      <c r="AD2807" s="141"/>
      <c r="AE2807" s="141"/>
      <c r="AF2807" s="145"/>
      <c r="AG2807" s="419"/>
    </row>
    <row r="2808" spans="1:33" s="139" customFormat="1" ht="12.75" customHeight="1" x14ac:dyDescent="0.2">
      <c r="A2808" s="141"/>
      <c r="B2808" s="141"/>
      <c r="C2808" s="141"/>
      <c r="D2808" s="141"/>
      <c r="E2808" s="1014"/>
      <c r="F2808" s="1014"/>
      <c r="G2808" s="1027"/>
      <c r="H2808" s="1027"/>
      <c r="I2808" s="1174"/>
      <c r="J2808" s="1174"/>
      <c r="K2808" s="1174"/>
      <c r="L2808" s="1172"/>
      <c r="M2808" s="1172"/>
      <c r="N2808" s="1175"/>
      <c r="O2808" s="143"/>
      <c r="P2808" s="1196"/>
      <c r="Q2808" s="141"/>
      <c r="R2808" s="141"/>
      <c r="S2808" s="148"/>
      <c r="T2808" s="419"/>
      <c r="U2808" s="559"/>
      <c r="V2808" s="141"/>
      <c r="W2808" s="141"/>
      <c r="X2808" s="141"/>
      <c r="Y2808" s="144"/>
      <c r="Z2808" s="141"/>
      <c r="AA2808" s="141"/>
      <c r="AB2808" s="141"/>
      <c r="AC2808" s="141"/>
      <c r="AD2808" s="141"/>
      <c r="AE2808" s="141"/>
      <c r="AF2808" s="145"/>
      <c r="AG2808" s="419"/>
    </row>
    <row r="2809" spans="1:33" s="139" customFormat="1" ht="12.75" customHeight="1" x14ac:dyDescent="0.2">
      <c r="A2809" s="141"/>
      <c r="B2809" s="141"/>
      <c r="C2809" s="141"/>
      <c r="D2809" s="141"/>
      <c r="E2809" s="1014"/>
      <c r="F2809" s="1014"/>
      <c r="G2809" s="1027"/>
      <c r="H2809" s="1027"/>
      <c r="I2809" s="1174"/>
      <c r="J2809" s="1174"/>
      <c r="K2809" s="1174"/>
      <c r="L2809" s="1172"/>
      <c r="M2809" s="1172"/>
      <c r="N2809" s="1175"/>
      <c r="O2809" s="143"/>
      <c r="P2809" s="1196"/>
      <c r="Q2809" s="141"/>
      <c r="R2809" s="141"/>
      <c r="S2809" s="148"/>
      <c r="T2809" s="419"/>
      <c r="U2809" s="559"/>
      <c r="V2809" s="141"/>
      <c r="W2809" s="141"/>
      <c r="X2809" s="141"/>
      <c r="Y2809" s="144"/>
      <c r="Z2809" s="141"/>
      <c r="AA2809" s="141"/>
      <c r="AB2809" s="141"/>
      <c r="AC2809" s="141"/>
      <c r="AD2809" s="141"/>
      <c r="AE2809" s="141"/>
      <c r="AF2809" s="145"/>
      <c r="AG2809" s="419"/>
    </row>
    <row r="2810" spans="1:33" s="139" customFormat="1" ht="12.75" customHeight="1" x14ac:dyDescent="0.2">
      <c r="A2810" s="141"/>
      <c r="B2810" s="141"/>
      <c r="C2810" s="141"/>
      <c r="D2810" s="141"/>
      <c r="E2810" s="1014"/>
      <c r="F2810" s="1014"/>
      <c r="G2810" s="1027"/>
      <c r="H2810" s="1027"/>
      <c r="I2810" s="1174"/>
      <c r="J2810" s="1174"/>
      <c r="K2810" s="1174"/>
      <c r="L2810" s="1172"/>
      <c r="M2810" s="1172"/>
      <c r="N2810" s="1175"/>
      <c r="O2810" s="143"/>
      <c r="P2810" s="1196"/>
      <c r="Q2810" s="141"/>
      <c r="R2810" s="141"/>
      <c r="S2810" s="148"/>
      <c r="T2810" s="419"/>
      <c r="U2810" s="559"/>
      <c r="V2810" s="141"/>
      <c r="W2810" s="141"/>
      <c r="X2810" s="141"/>
      <c r="Y2810" s="144"/>
      <c r="Z2810" s="141"/>
      <c r="AA2810" s="141"/>
      <c r="AB2810" s="141"/>
      <c r="AC2810" s="141"/>
      <c r="AD2810" s="141"/>
      <c r="AE2810" s="141"/>
      <c r="AF2810" s="145"/>
      <c r="AG2810" s="419"/>
    </row>
    <row r="2811" spans="1:33" s="139" customFormat="1" ht="12.75" customHeight="1" x14ac:dyDescent="0.2">
      <c r="A2811" s="141"/>
      <c r="B2811" s="141"/>
      <c r="C2811" s="141"/>
      <c r="D2811" s="141"/>
      <c r="E2811" s="1014"/>
      <c r="F2811" s="1014"/>
      <c r="G2811" s="1027"/>
      <c r="H2811" s="1027"/>
      <c r="I2811" s="1174"/>
      <c r="J2811" s="1174"/>
      <c r="K2811" s="1174"/>
      <c r="L2811" s="1172"/>
      <c r="M2811" s="1172"/>
      <c r="N2811" s="1175"/>
      <c r="O2811" s="143"/>
      <c r="P2811" s="1196"/>
      <c r="Q2811" s="141"/>
      <c r="R2811" s="141"/>
      <c r="S2811" s="148"/>
      <c r="T2811" s="419"/>
      <c r="U2811" s="559"/>
      <c r="V2811" s="141"/>
      <c r="W2811" s="141"/>
      <c r="X2811" s="141"/>
      <c r="Y2811" s="144"/>
      <c r="Z2811" s="141"/>
      <c r="AA2811" s="141"/>
      <c r="AB2811" s="141"/>
      <c r="AC2811" s="141"/>
      <c r="AD2811" s="141"/>
      <c r="AE2811" s="141"/>
      <c r="AF2811" s="145"/>
      <c r="AG2811" s="419"/>
    </row>
    <row r="2812" spans="1:33" s="139" customFormat="1" ht="12.75" customHeight="1" x14ac:dyDescent="0.2">
      <c r="A2812" s="141"/>
      <c r="B2812" s="141"/>
      <c r="C2812" s="141"/>
      <c r="D2812" s="141"/>
      <c r="E2812" s="1014"/>
      <c r="F2812" s="1014"/>
      <c r="G2812" s="1027"/>
      <c r="H2812" s="1027"/>
      <c r="I2812" s="1174"/>
      <c r="J2812" s="1174"/>
      <c r="K2812" s="1174"/>
      <c r="L2812" s="1172"/>
      <c r="M2812" s="1172"/>
      <c r="N2812" s="1175"/>
      <c r="O2812" s="143"/>
      <c r="P2812" s="1196"/>
      <c r="Q2812" s="141"/>
      <c r="R2812" s="141"/>
      <c r="S2812" s="148"/>
      <c r="T2812" s="419"/>
      <c r="U2812" s="559"/>
      <c r="V2812" s="141"/>
      <c r="W2812" s="141"/>
      <c r="X2812" s="141"/>
      <c r="Y2812" s="144"/>
      <c r="Z2812" s="141"/>
      <c r="AA2812" s="141"/>
      <c r="AB2812" s="141"/>
      <c r="AC2812" s="141"/>
      <c r="AD2812" s="141"/>
      <c r="AE2812" s="141"/>
      <c r="AF2812" s="145"/>
      <c r="AG2812" s="419"/>
    </row>
    <row r="2813" spans="1:33" s="139" customFormat="1" ht="12.75" customHeight="1" x14ac:dyDescent="0.2">
      <c r="A2813" s="141"/>
      <c r="B2813" s="141"/>
      <c r="C2813" s="141"/>
      <c r="D2813" s="141"/>
      <c r="E2813" s="1014"/>
      <c r="F2813" s="1014"/>
      <c r="G2813" s="1027"/>
      <c r="H2813" s="1027"/>
      <c r="I2813" s="1174"/>
      <c r="J2813" s="1174"/>
      <c r="K2813" s="1174"/>
      <c r="L2813" s="1172"/>
      <c r="M2813" s="1172"/>
      <c r="N2813" s="1175"/>
      <c r="O2813" s="143"/>
      <c r="P2813" s="1196"/>
      <c r="Q2813" s="141"/>
      <c r="R2813" s="141"/>
      <c r="S2813" s="148"/>
      <c r="T2813" s="419"/>
      <c r="U2813" s="559"/>
      <c r="V2813" s="141"/>
      <c r="W2813" s="141"/>
      <c r="X2813" s="141"/>
      <c r="Y2813" s="144"/>
      <c r="Z2813" s="141"/>
      <c r="AA2813" s="141"/>
      <c r="AB2813" s="141"/>
      <c r="AC2813" s="141"/>
      <c r="AD2813" s="141"/>
      <c r="AE2813" s="141"/>
      <c r="AF2813" s="145"/>
      <c r="AG2813" s="419"/>
    </row>
    <row r="2814" spans="1:33" s="139" customFormat="1" ht="12.75" customHeight="1" x14ac:dyDescent="0.2">
      <c r="A2814" s="141"/>
      <c r="B2814" s="141"/>
      <c r="C2814" s="141"/>
      <c r="D2814" s="141"/>
      <c r="E2814" s="1014"/>
      <c r="F2814" s="1014"/>
      <c r="G2814" s="1027"/>
      <c r="H2814" s="1027"/>
      <c r="I2814" s="1174"/>
      <c r="J2814" s="1174"/>
      <c r="K2814" s="1174"/>
      <c r="L2814" s="1172"/>
      <c r="M2814" s="1172"/>
      <c r="N2814" s="1175"/>
      <c r="O2814" s="143"/>
      <c r="P2814" s="1196"/>
      <c r="Q2814" s="141"/>
      <c r="R2814" s="141"/>
      <c r="S2814" s="148"/>
      <c r="T2814" s="419"/>
      <c r="U2814" s="559"/>
      <c r="V2814" s="141"/>
      <c r="W2814" s="141"/>
      <c r="X2814" s="141"/>
      <c r="Y2814" s="144"/>
      <c r="Z2814" s="141"/>
      <c r="AA2814" s="141"/>
      <c r="AB2814" s="141"/>
      <c r="AC2814" s="141"/>
      <c r="AD2814" s="141"/>
      <c r="AE2814" s="141"/>
      <c r="AF2814" s="145"/>
      <c r="AG2814" s="419"/>
    </row>
    <row r="2815" spans="1:33" s="139" customFormat="1" ht="12.75" customHeight="1" x14ac:dyDescent="0.2">
      <c r="A2815" s="141"/>
      <c r="B2815" s="141"/>
      <c r="C2815" s="141"/>
      <c r="D2815" s="141"/>
      <c r="E2815" s="1014"/>
      <c r="F2815" s="1014"/>
      <c r="G2815" s="1027"/>
      <c r="H2815" s="1027"/>
      <c r="I2815" s="1174"/>
      <c r="J2815" s="1174"/>
      <c r="K2815" s="1174"/>
      <c r="L2815" s="1172"/>
      <c r="M2815" s="1172"/>
      <c r="N2815" s="1175"/>
      <c r="O2815" s="143"/>
      <c r="P2815" s="1196"/>
      <c r="Q2815" s="141"/>
      <c r="R2815" s="141"/>
      <c r="S2815" s="148"/>
      <c r="T2815" s="419"/>
      <c r="U2815" s="559"/>
      <c r="V2815" s="141"/>
      <c r="W2815" s="141"/>
      <c r="X2815" s="141"/>
      <c r="Y2815" s="144"/>
      <c r="Z2815" s="141"/>
      <c r="AA2815" s="141"/>
      <c r="AB2815" s="141"/>
      <c r="AC2815" s="141"/>
      <c r="AD2815" s="141"/>
      <c r="AE2815" s="141"/>
      <c r="AF2815" s="145"/>
      <c r="AG2815" s="419"/>
    </row>
    <row r="2816" spans="1:33" s="139" customFormat="1" ht="12.75" customHeight="1" x14ac:dyDescent="0.2">
      <c r="A2816" s="141"/>
      <c r="B2816" s="141"/>
      <c r="C2816" s="141"/>
      <c r="D2816" s="141"/>
      <c r="E2816" s="1014"/>
      <c r="F2816" s="1014"/>
      <c r="G2816" s="1027"/>
      <c r="H2816" s="1027"/>
      <c r="I2816" s="1174"/>
      <c r="J2816" s="1174"/>
      <c r="K2816" s="1174"/>
      <c r="L2816" s="1172"/>
      <c r="M2816" s="1172"/>
      <c r="N2816" s="1175"/>
      <c r="O2816" s="143"/>
      <c r="P2816" s="1196"/>
      <c r="Q2816" s="141"/>
      <c r="R2816" s="141"/>
      <c r="S2816" s="148"/>
      <c r="T2816" s="419"/>
      <c r="U2816" s="559"/>
      <c r="V2816" s="141"/>
      <c r="W2816" s="141"/>
      <c r="X2816" s="141"/>
      <c r="Y2816" s="144"/>
      <c r="Z2816" s="141"/>
      <c r="AA2816" s="141"/>
      <c r="AB2816" s="141"/>
      <c r="AC2816" s="141"/>
      <c r="AD2816" s="141"/>
      <c r="AE2816" s="141"/>
      <c r="AF2816" s="145"/>
      <c r="AG2816" s="419"/>
    </row>
    <row r="2817" spans="1:33" s="139" customFormat="1" ht="12.75" customHeight="1" x14ac:dyDescent="0.2">
      <c r="A2817" s="141"/>
      <c r="B2817" s="141"/>
      <c r="C2817" s="141"/>
      <c r="D2817" s="141"/>
      <c r="E2817" s="1014"/>
      <c r="F2817" s="1014"/>
      <c r="G2817" s="1027"/>
      <c r="H2817" s="1027"/>
      <c r="I2817" s="1174"/>
      <c r="J2817" s="1174"/>
      <c r="K2817" s="1174"/>
      <c r="L2817" s="1172"/>
      <c r="M2817" s="1172"/>
      <c r="N2817" s="1175"/>
      <c r="O2817" s="143"/>
      <c r="P2817" s="1196"/>
      <c r="Q2817" s="141"/>
      <c r="R2817" s="141"/>
      <c r="S2817" s="148"/>
      <c r="T2817" s="419"/>
      <c r="U2817" s="559"/>
      <c r="V2817" s="141"/>
      <c r="W2817" s="141"/>
      <c r="X2817" s="141"/>
      <c r="Y2817" s="144"/>
      <c r="Z2817" s="141"/>
      <c r="AA2817" s="141"/>
      <c r="AB2817" s="141"/>
      <c r="AC2817" s="141"/>
      <c r="AD2817" s="141"/>
      <c r="AE2817" s="141"/>
      <c r="AF2817" s="145"/>
      <c r="AG2817" s="419"/>
    </row>
    <row r="2818" spans="1:33" s="139" customFormat="1" ht="12.75" customHeight="1" x14ac:dyDescent="0.2">
      <c r="A2818" s="141"/>
      <c r="B2818" s="141"/>
      <c r="C2818" s="141"/>
      <c r="D2818" s="141"/>
      <c r="E2818" s="1014"/>
      <c r="F2818" s="1014"/>
      <c r="G2818" s="1027"/>
      <c r="H2818" s="1027"/>
      <c r="I2818" s="1174"/>
      <c r="J2818" s="1174"/>
      <c r="K2818" s="1174"/>
      <c r="L2818" s="1172"/>
      <c r="M2818" s="1172"/>
      <c r="N2818" s="1175"/>
      <c r="O2818" s="143"/>
      <c r="P2818" s="1196"/>
      <c r="Q2818" s="141"/>
      <c r="R2818" s="141"/>
      <c r="S2818" s="148"/>
      <c r="T2818" s="419"/>
      <c r="U2818" s="559"/>
      <c r="V2818" s="141"/>
      <c r="W2818" s="141"/>
      <c r="X2818" s="141"/>
      <c r="Y2818" s="144"/>
      <c r="Z2818" s="141"/>
      <c r="AA2818" s="141"/>
      <c r="AB2818" s="141"/>
      <c r="AC2818" s="141"/>
      <c r="AD2818" s="141"/>
      <c r="AE2818" s="141"/>
      <c r="AF2818" s="145"/>
      <c r="AG2818" s="419"/>
    </row>
    <row r="2819" spans="1:33" s="139" customFormat="1" ht="12.75" customHeight="1" x14ac:dyDescent="0.2">
      <c r="A2819" s="141"/>
      <c r="B2819" s="141"/>
      <c r="C2819" s="141"/>
      <c r="D2819" s="141"/>
      <c r="E2819" s="1014"/>
      <c r="F2819" s="1014"/>
      <c r="G2819" s="1027"/>
      <c r="H2819" s="1027"/>
      <c r="I2819" s="1174"/>
      <c r="J2819" s="1174"/>
      <c r="K2819" s="1174"/>
      <c r="L2819" s="1172"/>
      <c r="M2819" s="1172"/>
      <c r="N2819" s="1175"/>
      <c r="O2819" s="143"/>
      <c r="P2819" s="1196"/>
      <c r="Q2819" s="141"/>
      <c r="R2819" s="141"/>
      <c r="S2819" s="148"/>
      <c r="T2819" s="419"/>
      <c r="U2819" s="559"/>
      <c r="V2819" s="141"/>
      <c r="W2819" s="141"/>
      <c r="X2819" s="141"/>
      <c r="Y2819" s="144"/>
      <c r="Z2819" s="141"/>
      <c r="AA2819" s="141"/>
      <c r="AB2819" s="141"/>
      <c r="AC2819" s="141"/>
      <c r="AD2819" s="141"/>
      <c r="AE2819" s="141"/>
      <c r="AF2819" s="145"/>
      <c r="AG2819" s="419"/>
    </row>
    <row r="2820" spans="1:33" s="139" customFormat="1" ht="12.75" customHeight="1" x14ac:dyDescent="0.2">
      <c r="A2820" s="141"/>
      <c r="B2820" s="141"/>
      <c r="C2820" s="141"/>
      <c r="D2820" s="141"/>
      <c r="E2820" s="1014"/>
      <c r="F2820" s="1014"/>
      <c r="G2820" s="1027"/>
      <c r="H2820" s="1027"/>
      <c r="I2820" s="1174"/>
      <c r="J2820" s="1174"/>
      <c r="K2820" s="1174"/>
      <c r="L2820" s="1172"/>
      <c r="M2820" s="1172"/>
      <c r="N2820" s="1175"/>
      <c r="O2820" s="143"/>
      <c r="P2820" s="1196"/>
      <c r="Q2820" s="141"/>
      <c r="R2820" s="141"/>
      <c r="S2820" s="148"/>
      <c r="T2820" s="419"/>
      <c r="U2820" s="559"/>
      <c r="V2820" s="141"/>
      <c r="W2820" s="141"/>
      <c r="X2820" s="141"/>
      <c r="Y2820" s="144"/>
      <c r="Z2820" s="141"/>
      <c r="AA2820" s="141"/>
      <c r="AB2820" s="141"/>
      <c r="AC2820" s="141"/>
      <c r="AD2820" s="141"/>
      <c r="AE2820" s="141"/>
      <c r="AF2820" s="145"/>
      <c r="AG2820" s="419"/>
    </row>
    <row r="2821" spans="1:33" s="139" customFormat="1" ht="12.75" customHeight="1" x14ac:dyDescent="0.2">
      <c r="A2821" s="141"/>
      <c r="B2821" s="141"/>
      <c r="C2821" s="141"/>
      <c r="D2821" s="141"/>
      <c r="E2821" s="1014"/>
      <c r="F2821" s="1014"/>
      <c r="G2821" s="1027"/>
      <c r="H2821" s="1027"/>
      <c r="I2821" s="1174"/>
      <c r="J2821" s="1174"/>
      <c r="K2821" s="1174"/>
      <c r="L2821" s="1172"/>
      <c r="M2821" s="1172"/>
      <c r="N2821" s="1175"/>
      <c r="O2821" s="143"/>
      <c r="P2821" s="1196"/>
      <c r="Q2821" s="141"/>
      <c r="R2821" s="141"/>
      <c r="S2821" s="148"/>
      <c r="T2821" s="419"/>
      <c r="U2821" s="559"/>
      <c r="V2821" s="141"/>
      <c r="W2821" s="141"/>
      <c r="X2821" s="141"/>
      <c r="Y2821" s="144"/>
      <c r="Z2821" s="141"/>
      <c r="AA2821" s="141"/>
      <c r="AB2821" s="141"/>
      <c r="AC2821" s="141"/>
      <c r="AD2821" s="141"/>
      <c r="AE2821" s="141"/>
      <c r="AF2821" s="145"/>
      <c r="AG2821" s="419"/>
    </row>
    <row r="2822" spans="1:33" s="139" customFormat="1" ht="12.75" customHeight="1" x14ac:dyDescent="0.2">
      <c r="A2822" s="141"/>
      <c r="B2822" s="141"/>
      <c r="C2822" s="141"/>
      <c r="D2822" s="141"/>
      <c r="E2822" s="1014"/>
      <c r="F2822" s="1014"/>
      <c r="G2822" s="1027"/>
      <c r="H2822" s="1027"/>
      <c r="I2822" s="1174"/>
      <c r="J2822" s="1174"/>
      <c r="K2822" s="1174"/>
      <c r="L2822" s="1172"/>
      <c r="M2822" s="1172"/>
      <c r="N2822" s="1175"/>
      <c r="O2822" s="143"/>
      <c r="P2822" s="1196"/>
      <c r="Q2822" s="141"/>
      <c r="R2822" s="141"/>
      <c r="S2822" s="148"/>
      <c r="T2822" s="419"/>
      <c r="U2822" s="559"/>
      <c r="V2822" s="141"/>
      <c r="W2822" s="141"/>
      <c r="X2822" s="141"/>
      <c r="Y2822" s="144"/>
      <c r="Z2822" s="141"/>
      <c r="AA2822" s="141"/>
      <c r="AB2822" s="141"/>
      <c r="AC2822" s="141"/>
      <c r="AD2822" s="141"/>
      <c r="AE2822" s="141"/>
      <c r="AF2822" s="145"/>
      <c r="AG2822" s="419"/>
    </row>
    <row r="2823" spans="1:33" s="139" customFormat="1" ht="12.75" customHeight="1" x14ac:dyDescent="0.2">
      <c r="A2823" s="141"/>
      <c r="B2823" s="141"/>
      <c r="C2823" s="141"/>
      <c r="D2823" s="141"/>
      <c r="E2823" s="1014"/>
      <c r="F2823" s="1014"/>
      <c r="G2823" s="1027"/>
      <c r="H2823" s="1027"/>
      <c r="I2823" s="1174"/>
      <c r="J2823" s="1174"/>
      <c r="K2823" s="1174"/>
      <c r="L2823" s="1172"/>
      <c r="M2823" s="1172"/>
      <c r="N2823" s="1175"/>
      <c r="O2823" s="143"/>
      <c r="P2823" s="1196"/>
      <c r="Q2823" s="141"/>
      <c r="R2823" s="141"/>
      <c r="S2823" s="148"/>
      <c r="T2823" s="419"/>
      <c r="U2823" s="559"/>
      <c r="V2823" s="141"/>
      <c r="W2823" s="141"/>
      <c r="X2823" s="141"/>
      <c r="Y2823" s="144"/>
      <c r="Z2823" s="141"/>
      <c r="AA2823" s="141"/>
      <c r="AB2823" s="141"/>
      <c r="AC2823" s="141"/>
      <c r="AD2823" s="141"/>
      <c r="AE2823" s="141"/>
      <c r="AF2823" s="145"/>
      <c r="AG2823" s="419"/>
    </row>
    <row r="2824" spans="1:33" s="139" customFormat="1" ht="12.75" customHeight="1" x14ac:dyDescent="0.2">
      <c r="A2824" s="141"/>
      <c r="B2824" s="141"/>
      <c r="C2824" s="141"/>
      <c r="D2824" s="141"/>
      <c r="E2824" s="1014"/>
      <c r="F2824" s="1014"/>
      <c r="G2824" s="1027"/>
      <c r="H2824" s="1027"/>
      <c r="I2824" s="1174"/>
      <c r="J2824" s="1174"/>
      <c r="K2824" s="1174"/>
      <c r="L2824" s="1172"/>
      <c r="M2824" s="1172"/>
      <c r="N2824" s="1175"/>
      <c r="O2824" s="143"/>
      <c r="P2824" s="1196"/>
      <c r="Q2824" s="141"/>
      <c r="R2824" s="141"/>
      <c r="S2824" s="148"/>
      <c r="T2824" s="419"/>
      <c r="U2824" s="559"/>
      <c r="V2824" s="141"/>
      <c r="W2824" s="141"/>
      <c r="X2824" s="141"/>
      <c r="Y2824" s="144"/>
      <c r="Z2824" s="141"/>
      <c r="AA2824" s="141"/>
      <c r="AB2824" s="141"/>
      <c r="AC2824" s="141"/>
      <c r="AD2824" s="141"/>
      <c r="AE2824" s="141"/>
      <c r="AF2824" s="145"/>
      <c r="AG2824" s="419"/>
    </row>
    <row r="2825" spans="1:33" s="139" customFormat="1" ht="12.75" customHeight="1" x14ac:dyDescent="0.2">
      <c r="A2825" s="141"/>
      <c r="B2825" s="141"/>
      <c r="C2825" s="141"/>
      <c r="D2825" s="141"/>
      <c r="E2825" s="1014"/>
      <c r="F2825" s="1014"/>
      <c r="G2825" s="1027"/>
      <c r="H2825" s="1027"/>
      <c r="I2825" s="1174"/>
      <c r="J2825" s="1174"/>
      <c r="K2825" s="1174"/>
      <c r="L2825" s="1172"/>
      <c r="M2825" s="1172"/>
      <c r="N2825" s="1175"/>
      <c r="O2825" s="143"/>
      <c r="P2825" s="1196"/>
      <c r="Q2825" s="141"/>
      <c r="R2825" s="141"/>
      <c r="S2825" s="148"/>
      <c r="T2825" s="419"/>
      <c r="U2825" s="559"/>
      <c r="V2825" s="141"/>
      <c r="W2825" s="141"/>
      <c r="X2825" s="141"/>
      <c r="Y2825" s="144"/>
      <c r="Z2825" s="141"/>
      <c r="AA2825" s="141"/>
      <c r="AB2825" s="141"/>
      <c r="AC2825" s="141"/>
      <c r="AD2825" s="141"/>
      <c r="AE2825" s="141"/>
      <c r="AF2825" s="145"/>
      <c r="AG2825" s="419"/>
    </row>
    <row r="2826" spans="1:33" s="139" customFormat="1" ht="12.75" customHeight="1" x14ac:dyDescent="0.2">
      <c r="A2826" s="141"/>
      <c r="B2826" s="141"/>
      <c r="C2826" s="141"/>
      <c r="D2826" s="141"/>
      <c r="E2826" s="1014"/>
      <c r="F2826" s="1014"/>
      <c r="G2826" s="1027"/>
      <c r="H2826" s="1027"/>
      <c r="I2826" s="1174"/>
      <c r="J2826" s="1174"/>
      <c r="K2826" s="1174"/>
      <c r="L2826" s="1172"/>
      <c r="M2826" s="1172"/>
      <c r="N2826" s="1175"/>
      <c r="O2826" s="143"/>
      <c r="P2826" s="1196"/>
      <c r="Q2826" s="141"/>
      <c r="R2826" s="141"/>
      <c r="S2826" s="148"/>
      <c r="T2826" s="419"/>
      <c r="U2826" s="559"/>
      <c r="V2826" s="141"/>
      <c r="W2826" s="141"/>
      <c r="X2826" s="141"/>
      <c r="Y2826" s="144"/>
      <c r="Z2826" s="141"/>
      <c r="AA2826" s="141"/>
      <c r="AB2826" s="141"/>
      <c r="AC2826" s="141"/>
      <c r="AD2826" s="141"/>
      <c r="AE2826" s="141"/>
      <c r="AF2826" s="145"/>
      <c r="AG2826" s="419"/>
    </row>
    <row r="2827" spans="1:33" s="139" customFormat="1" ht="12.75" customHeight="1" x14ac:dyDescent="0.2">
      <c r="A2827" s="141"/>
      <c r="B2827" s="141"/>
      <c r="C2827" s="141"/>
      <c r="D2827" s="141"/>
      <c r="E2827" s="1014"/>
      <c r="F2827" s="1014"/>
      <c r="G2827" s="1027"/>
      <c r="H2827" s="1027"/>
      <c r="I2827" s="1174"/>
      <c r="J2827" s="1174"/>
      <c r="K2827" s="1174"/>
      <c r="L2827" s="1172"/>
      <c r="M2827" s="1172"/>
      <c r="N2827" s="1175"/>
      <c r="O2827" s="143"/>
      <c r="P2827" s="1196"/>
      <c r="Q2827" s="141"/>
      <c r="R2827" s="141"/>
      <c r="S2827" s="148"/>
      <c r="T2827" s="419"/>
      <c r="U2827" s="559"/>
      <c r="V2827" s="141"/>
      <c r="W2827" s="141"/>
      <c r="X2827" s="141"/>
      <c r="Y2827" s="144"/>
      <c r="Z2827" s="141"/>
      <c r="AA2827" s="141"/>
      <c r="AB2827" s="141"/>
      <c r="AC2827" s="141"/>
      <c r="AD2827" s="141"/>
      <c r="AE2827" s="141"/>
      <c r="AF2827" s="145"/>
      <c r="AG2827" s="419"/>
    </row>
    <row r="2828" spans="1:33" s="139" customFormat="1" ht="12.75" customHeight="1" x14ac:dyDescent="0.2">
      <c r="A2828" s="141"/>
      <c r="B2828" s="141"/>
      <c r="C2828" s="141"/>
      <c r="D2828" s="141"/>
      <c r="E2828" s="1014"/>
      <c r="F2828" s="1014"/>
      <c r="G2828" s="1027"/>
      <c r="H2828" s="1027"/>
      <c r="I2828" s="1174"/>
      <c r="J2828" s="1174"/>
      <c r="K2828" s="1174"/>
      <c r="L2828" s="1172"/>
      <c r="M2828" s="1172"/>
      <c r="N2828" s="1175"/>
      <c r="O2828" s="143"/>
      <c r="P2828" s="1196"/>
      <c r="Q2828" s="141"/>
      <c r="R2828" s="141"/>
      <c r="S2828" s="148"/>
      <c r="T2828" s="419"/>
      <c r="U2828" s="559"/>
      <c r="V2828" s="141"/>
      <c r="W2828" s="141"/>
      <c r="X2828" s="141"/>
      <c r="Y2828" s="144"/>
      <c r="Z2828" s="141"/>
      <c r="AA2828" s="141"/>
      <c r="AB2828" s="141"/>
      <c r="AC2828" s="141"/>
      <c r="AD2828" s="141"/>
      <c r="AE2828" s="141"/>
      <c r="AF2828" s="145"/>
      <c r="AG2828" s="419"/>
    </row>
    <row r="2829" spans="1:33" s="139" customFormat="1" ht="12.75" customHeight="1" x14ac:dyDescent="0.2">
      <c r="A2829" s="141"/>
      <c r="B2829" s="141"/>
      <c r="C2829" s="141"/>
      <c r="D2829" s="141"/>
      <c r="E2829" s="1014"/>
      <c r="F2829" s="1014"/>
      <c r="G2829" s="1027"/>
      <c r="H2829" s="1027"/>
      <c r="I2829" s="1174"/>
      <c r="J2829" s="1174"/>
      <c r="K2829" s="1174"/>
      <c r="L2829" s="1172"/>
      <c r="M2829" s="1172"/>
      <c r="N2829" s="1175"/>
      <c r="O2829" s="143"/>
      <c r="P2829" s="1196"/>
      <c r="Q2829" s="141"/>
      <c r="R2829" s="141"/>
      <c r="S2829" s="148"/>
      <c r="T2829" s="419"/>
      <c r="U2829" s="559"/>
      <c r="V2829" s="141"/>
      <c r="W2829" s="141"/>
      <c r="X2829" s="141"/>
      <c r="Y2829" s="144"/>
      <c r="Z2829" s="141"/>
      <c r="AA2829" s="141"/>
      <c r="AB2829" s="141"/>
      <c r="AC2829" s="141"/>
      <c r="AD2829" s="141"/>
      <c r="AE2829" s="141"/>
      <c r="AF2829" s="145"/>
      <c r="AG2829" s="419"/>
    </row>
    <row r="2830" spans="1:33" s="139" customFormat="1" ht="12.75" customHeight="1" x14ac:dyDescent="0.2">
      <c r="A2830" s="141"/>
      <c r="B2830" s="141"/>
      <c r="C2830" s="141"/>
      <c r="D2830" s="141"/>
      <c r="E2830" s="1014"/>
      <c r="F2830" s="1014"/>
      <c r="G2830" s="1027"/>
      <c r="H2830" s="1027"/>
      <c r="I2830" s="1174"/>
      <c r="J2830" s="1174"/>
      <c r="K2830" s="1174"/>
      <c r="L2830" s="1172"/>
      <c r="M2830" s="1172"/>
      <c r="N2830" s="1175"/>
      <c r="O2830" s="143"/>
      <c r="P2830" s="1196"/>
      <c r="Q2830" s="141"/>
      <c r="R2830" s="141"/>
      <c r="S2830" s="148"/>
      <c r="T2830" s="419"/>
      <c r="U2830" s="559"/>
      <c r="V2830" s="141"/>
      <c r="W2830" s="141"/>
      <c r="X2830" s="141"/>
      <c r="Y2830" s="144"/>
      <c r="Z2830" s="141"/>
      <c r="AA2830" s="141"/>
      <c r="AB2830" s="141"/>
      <c r="AC2830" s="141"/>
      <c r="AD2830" s="141"/>
      <c r="AE2830" s="141"/>
      <c r="AF2830" s="145"/>
      <c r="AG2830" s="419"/>
    </row>
    <row r="2831" spans="1:33" s="139" customFormat="1" ht="12.75" customHeight="1" x14ac:dyDescent="0.2">
      <c r="A2831" s="141"/>
      <c r="B2831" s="141"/>
      <c r="C2831" s="141"/>
      <c r="D2831" s="141"/>
      <c r="E2831" s="1014"/>
      <c r="F2831" s="1014"/>
      <c r="G2831" s="1027"/>
      <c r="H2831" s="1027"/>
      <c r="I2831" s="1174"/>
      <c r="J2831" s="1174"/>
      <c r="K2831" s="1174"/>
      <c r="L2831" s="1172"/>
      <c r="M2831" s="1172"/>
      <c r="N2831" s="1175"/>
      <c r="O2831" s="143"/>
      <c r="P2831" s="1196"/>
      <c r="Q2831" s="141"/>
      <c r="R2831" s="141"/>
      <c r="S2831" s="148"/>
      <c r="T2831" s="419"/>
      <c r="U2831" s="559"/>
      <c r="V2831" s="141"/>
      <c r="W2831" s="141"/>
      <c r="X2831" s="141"/>
      <c r="Y2831" s="144"/>
      <c r="Z2831" s="141"/>
      <c r="AA2831" s="141"/>
      <c r="AB2831" s="141"/>
      <c r="AC2831" s="141"/>
      <c r="AD2831" s="141"/>
      <c r="AE2831" s="141"/>
      <c r="AF2831" s="145"/>
      <c r="AG2831" s="419"/>
    </row>
    <row r="2832" spans="1:33" s="139" customFormat="1" ht="12.75" customHeight="1" x14ac:dyDescent="0.2">
      <c r="A2832" s="141"/>
      <c r="B2832" s="141"/>
      <c r="C2832" s="141"/>
      <c r="D2832" s="141"/>
      <c r="E2832" s="1014"/>
      <c r="F2832" s="1014"/>
      <c r="G2832" s="1027"/>
      <c r="H2832" s="1027"/>
      <c r="I2832" s="1174"/>
      <c r="J2832" s="1174"/>
      <c r="K2832" s="1174"/>
      <c r="L2832" s="1172"/>
      <c r="M2832" s="1172"/>
      <c r="N2832" s="1175"/>
      <c r="O2832" s="143"/>
      <c r="P2832" s="1196"/>
      <c r="Q2832" s="141"/>
      <c r="R2832" s="141"/>
      <c r="S2832" s="148"/>
      <c r="T2832" s="419"/>
      <c r="U2832" s="559"/>
      <c r="V2832" s="141"/>
      <c r="W2832" s="141"/>
      <c r="X2832" s="141"/>
      <c r="Y2832" s="144"/>
      <c r="Z2832" s="141"/>
      <c r="AA2832" s="141"/>
      <c r="AB2832" s="141"/>
      <c r="AC2832" s="141"/>
      <c r="AD2832" s="141"/>
      <c r="AE2832" s="141"/>
      <c r="AF2832" s="145"/>
      <c r="AG2832" s="419"/>
    </row>
    <row r="2833" spans="1:33" s="139" customFormat="1" ht="12.75" customHeight="1" x14ac:dyDescent="0.2">
      <c r="A2833" s="141"/>
      <c r="B2833" s="141"/>
      <c r="C2833" s="141"/>
      <c r="D2833" s="141"/>
      <c r="E2833" s="1014"/>
      <c r="F2833" s="1014"/>
      <c r="G2833" s="1027"/>
      <c r="H2833" s="1027"/>
      <c r="I2833" s="1174"/>
      <c r="J2833" s="1174"/>
      <c r="K2833" s="1174"/>
      <c r="L2833" s="1172"/>
      <c r="M2833" s="1172"/>
      <c r="N2833" s="1175"/>
      <c r="O2833" s="143"/>
      <c r="P2833" s="1196"/>
      <c r="Q2833" s="141"/>
      <c r="R2833" s="141"/>
      <c r="S2833" s="148"/>
      <c r="T2833" s="419"/>
      <c r="U2833" s="559"/>
      <c r="V2833" s="141"/>
      <c r="W2833" s="141"/>
      <c r="X2833" s="141"/>
      <c r="Y2833" s="144"/>
      <c r="Z2833" s="141"/>
      <c r="AA2833" s="141"/>
      <c r="AB2833" s="141"/>
      <c r="AC2833" s="141"/>
      <c r="AD2833" s="141"/>
      <c r="AE2833" s="141"/>
      <c r="AF2833" s="145"/>
      <c r="AG2833" s="419"/>
    </row>
    <row r="2834" spans="1:33" s="139" customFormat="1" ht="12.75" customHeight="1" x14ac:dyDescent="0.2">
      <c r="A2834" s="141"/>
      <c r="B2834" s="141"/>
      <c r="C2834" s="141"/>
      <c r="D2834" s="141"/>
      <c r="E2834" s="1014"/>
      <c r="F2834" s="1014"/>
      <c r="G2834" s="1027"/>
      <c r="H2834" s="1027"/>
      <c r="I2834" s="1174"/>
      <c r="J2834" s="1174"/>
      <c r="K2834" s="1174"/>
      <c r="L2834" s="1172"/>
      <c r="M2834" s="1172"/>
      <c r="N2834" s="1175"/>
      <c r="O2834" s="143"/>
      <c r="P2834" s="1196"/>
      <c r="Q2834" s="141"/>
      <c r="R2834" s="141"/>
      <c r="S2834" s="148"/>
      <c r="T2834" s="419"/>
      <c r="U2834" s="559"/>
      <c r="V2834" s="141"/>
      <c r="W2834" s="141"/>
      <c r="X2834" s="141"/>
      <c r="Y2834" s="144"/>
      <c r="Z2834" s="141"/>
      <c r="AA2834" s="141"/>
      <c r="AB2834" s="141"/>
      <c r="AC2834" s="141"/>
      <c r="AD2834" s="141"/>
      <c r="AE2834" s="141"/>
      <c r="AF2834" s="145"/>
      <c r="AG2834" s="419"/>
    </row>
    <row r="2835" spans="1:33" s="139" customFormat="1" ht="12.75" customHeight="1" x14ac:dyDescent="0.2">
      <c r="A2835" s="141"/>
      <c r="B2835" s="141"/>
      <c r="C2835" s="141"/>
      <c r="D2835" s="141"/>
      <c r="E2835" s="1014"/>
      <c r="F2835" s="1014"/>
      <c r="G2835" s="1027"/>
      <c r="H2835" s="1027"/>
      <c r="I2835" s="1174"/>
      <c r="J2835" s="1174"/>
      <c r="K2835" s="1174"/>
      <c r="L2835" s="1172"/>
      <c r="M2835" s="1172"/>
      <c r="N2835" s="1175"/>
      <c r="O2835" s="143"/>
      <c r="P2835" s="1196"/>
      <c r="Q2835" s="141"/>
      <c r="R2835" s="141"/>
      <c r="S2835" s="148"/>
      <c r="T2835" s="419"/>
      <c r="U2835" s="559"/>
      <c r="V2835" s="141"/>
      <c r="W2835" s="141"/>
      <c r="X2835" s="141"/>
      <c r="Y2835" s="144"/>
      <c r="Z2835" s="141"/>
      <c r="AA2835" s="141"/>
      <c r="AB2835" s="141"/>
      <c r="AC2835" s="141"/>
      <c r="AD2835" s="141"/>
      <c r="AE2835" s="141"/>
      <c r="AF2835" s="145"/>
      <c r="AG2835" s="419"/>
    </row>
    <row r="2836" spans="1:33" s="139" customFormat="1" ht="12.75" customHeight="1" x14ac:dyDescent="0.2">
      <c r="A2836" s="141"/>
      <c r="B2836" s="141"/>
      <c r="C2836" s="141"/>
      <c r="D2836" s="141"/>
      <c r="E2836" s="1014"/>
      <c r="F2836" s="1014"/>
      <c r="G2836" s="1027"/>
      <c r="H2836" s="1027"/>
      <c r="I2836" s="1174"/>
      <c r="J2836" s="1174"/>
      <c r="K2836" s="1174"/>
      <c r="L2836" s="1172"/>
      <c r="M2836" s="1172"/>
      <c r="N2836" s="1175"/>
      <c r="O2836" s="143"/>
      <c r="P2836" s="1196"/>
      <c r="Q2836" s="141"/>
      <c r="R2836" s="141"/>
      <c r="S2836" s="148"/>
      <c r="T2836" s="419"/>
      <c r="U2836" s="559"/>
      <c r="V2836" s="141"/>
      <c r="W2836" s="141"/>
      <c r="X2836" s="141"/>
      <c r="Y2836" s="144"/>
      <c r="Z2836" s="141"/>
      <c r="AA2836" s="141"/>
      <c r="AB2836" s="141"/>
      <c r="AC2836" s="141"/>
      <c r="AD2836" s="141"/>
      <c r="AE2836" s="141"/>
      <c r="AF2836" s="145"/>
      <c r="AG2836" s="419"/>
    </row>
    <row r="2837" spans="1:33" s="139" customFormat="1" ht="12.75" customHeight="1" x14ac:dyDescent="0.2">
      <c r="A2837" s="141"/>
      <c r="B2837" s="141"/>
      <c r="C2837" s="141"/>
      <c r="D2837" s="141"/>
      <c r="E2837" s="1014"/>
      <c r="F2837" s="1014"/>
      <c r="G2837" s="1027"/>
      <c r="H2837" s="1027"/>
      <c r="I2837" s="1174"/>
      <c r="J2837" s="1174"/>
      <c r="K2837" s="1174"/>
      <c r="L2837" s="1172"/>
      <c r="M2837" s="1172"/>
      <c r="N2837" s="1175"/>
      <c r="O2837" s="143"/>
      <c r="P2837" s="1196"/>
      <c r="Q2837" s="141"/>
      <c r="R2837" s="141"/>
      <c r="S2837" s="148"/>
      <c r="T2837" s="419"/>
      <c r="U2837" s="559"/>
      <c r="V2837" s="141"/>
      <c r="W2837" s="141"/>
      <c r="X2837" s="141"/>
      <c r="Y2837" s="144"/>
      <c r="Z2837" s="141"/>
      <c r="AA2837" s="141"/>
      <c r="AB2837" s="141"/>
      <c r="AC2837" s="141"/>
      <c r="AD2837" s="141"/>
      <c r="AE2837" s="141"/>
      <c r="AF2837" s="145"/>
      <c r="AG2837" s="419"/>
    </row>
    <row r="2838" spans="1:33" s="139" customFormat="1" ht="12.75" customHeight="1" x14ac:dyDescent="0.2">
      <c r="A2838" s="141"/>
      <c r="B2838" s="141"/>
      <c r="C2838" s="141"/>
      <c r="D2838" s="141"/>
      <c r="E2838" s="1014"/>
      <c r="F2838" s="1014"/>
      <c r="G2838" s="1027"/>
      <c r="H2838" s="1027"/>
      <c r="I2838" s="1174"/>
      <c r="J2838" s="1174"/>
      <c r="K2838" s="1174"/>
      <c r="L2838" s="1172"/>
      <c r="M2838" s="1172"/>
      <c r="N2838" s="1175"/>
      <c r="O2838" s="143"/>
      <c r="P2838" s="1196"/>
      <c r="Q2838" s="141"/>
      <c r="R2838" s="141"/>
      <c r="S2838" s="148"/>
      <c r="T2838" s="419"/>
      <c r="U2838" s="559"/>
      <c r="V2838" s="141"/>
      <c r="W2838" s="141"/>
      <c r="X2838" s="141"/>
      <c r="Y2838" s="144"/>
      <c r="Z2838" s="141"/>
      <c r="AA2838" s="141"/>
      <c r="AB2838" s="141"/>
      <c r="AC2838" s="141"/>
      <c r="AD2838" s="141"/>
      <c r="AE2838" s="141"/>
      <c r="AF2838" s="145"/>
      <c r="AG2838" s="419"/>
    </row>
    <row r="2839" spans="1:33" s="139" customFormat="1" ht="12.75" customHeight="1" x14ac:dyDescent="0.2">
      <c r="A2839" s="141"/>
      <c r="B2839" s="141"/>
      <c r="C2839" s="141"/>
      <c r="D2839" s="141"/>
      <c r="E2839" s="1014"/>
      <c r="F2839" s="1014"/>
      <c r="G2839" s="1027"/>
      <c r="H2839" s="1027"/>
      <c r="I2839" s="1174"/>
      <c r="J2839" s="1174"/>
      <c r="K2839" s="1174"/>
      <c r="L2839" s="1172"/>
      <c r="M2839" s="1172"/>
      <c r="N2839" s="1175"/>
      <c r="O2839" s="143"/>
      <c r="P2839" s="1196"/>
      <c r="Q2839" s="141"/>
      <c r="R2839" s="141"/>
      <c r="S2839" s="148"/>
      <c r="T2839" s="419"/>
      <c r="U2839" s="559"/>
      <c r="V2839" s="141"/>
      <c r="W2839" s="141"/>
      <c r="X2839" s="141"/>
      <c r="Y2839" s="144"/>
      <c r="Z2839" s="141"/>
      <c r="AA2839" s="141"/>
      <c r="AB2839" s="141"/>
      <c r="AC2839" s="141"/>
      <c r="AD2839" s="141"/>
      <c r="AE2839" s="141"/>
      <c r="AF2839" s="145"/>
      <c r="AG2839" s="419"/>
    </row>
    <row r="2840" spans="1:33" s="139" customFormat="1" ht="12.75" customHeight="1" x14ac:dyDescent="0.2">
      <c r="A2840" s="141"/>
      <c r="B2840" s="141"/>
      <c r="C2840" s="141"/>
      <c r="D2840" s="141"/>
      <c r="E2840" s="1014"/>
      <c r="F2840" s="1014"/>
      <c r="G2840" s="1027"/>
      <c r="H2840" s="1027"/>
      <c r="I2840" s="1174"/>
      <c r="J2840" s="1174"/>
      <c r="K2840" s="1174"/>
      <c r="L2840" s="1172"/>
      <c r="M2840" s="1172"/>
      <c r="N2840" s="1175"/>
      <c r="O2840" s="143"/>
      <c r="P2840" s="1196"/>
      <c r="Q2840" s="141"/>
      <c r="R2840" s="141"/>
      <c r="S2840" s="148"/>
      <c r="T2840" s="419"/>
      <c r="U2840" s="559"/>
      <c r="V2840" s="141"/>
      <c r="W2840" s="141"/>
      <c r="X2840" s="141"/>
      <c r="Y2840" s="144"/>
      <c r="Z2840" s="141"/>
      <c r="AA2840" s="141"/>
      <c r="AB2840" s="141"/>
      <c r="AC2840" s="141"/>
      <c r="AD2840" s="141"/>
      <c r="AE2840" s="141"/>
      <c r="AF2840" s="145"/>
      <c r="AG2840" s="419"/>
    </row>
    <row r="2841" spans="1:33" s="139" customFormat="1" ht="12.75" customHeight="1" x14ac:dyDescent="0.2">
      <c r="A2841" s="141"/>
      <c r="B2841" s="141"/>
      <c r="C2841" s="141"/>
      <c r="D2841" s="141"/>
      <c r="E2841" s="1014"/>
      <c r="F2841" s="1014"/>
      <c r="G2841" s="1027"/>
      <c r="H2841" s="1027"/>
      <c r="I2841" s="1174"/>
      <c r="J2841" s="1174"/>
      <c r="K2841" s="1174"/>
      <c r="L2841" s="1172"/>
      <c r="M2841" s="1172"/>
      <c r="N2841" s="1175"/>
      <c r="O2841" s="143"/>
      <c r="P2841" s="1196"/>
      <c r="Q2841" s="141"/>
      <c r="R2841" s="141"/>
      <c r="S2841" s="148"/>
      <c r="T2841" s="419"/>
      <c r="U2841" s="559"/>
      <c r="V2841" s="141"/>
      <c r="W2841" s="141"/>
      <c r="X2841" s="141"/>
      <c r="Y2841" s="144"/>
      <c r="Z2841" s="141"/>
      <c r="AA2841" s="141"/>
      <c r="AB2841" s="141"/>
      <c r="AC2841" s="141"/>
      <c r="AD2841" s="141"/>
      <c r="AE2841" s="141"/>
      <c r="AF2841" s="145"/>
      <c r="AG2841" s="419"/>
    </row>
    <row r="2842" spans="1:33" s="139" customFormat="1" ht="12.75" customHeight="1" x14ac:dyDescent="0.2">
      <c r="A2842" s="141"/>
      <c r="B2842" s="141"/>
      <c r="C2842" s="141"/>
      <c r="D2842" s="141"/>
      <c r="E2842" s="1014"/>
      <c r="F2842" s="1014"/>
      <c r="G2842" s="1027"/>
      <c r="H2842" s="1027"/>
      <c r="I2842" s="1174"/>
      <c r="J2842" s="1174"/>
      <c r="K2842" s="1174"/>
      <c r="L2842" s="1172"/>
      <c r="M2842" s="1172"/>
      <c r="N2842" s="1175"/>
      <c r="O2842" s="143"/>
      <c r="P2842" s="1196"/>
      <c r="Q2842" s="141"/>
      <c r="R2842" s="141"/>
      <c r="S2842" s="148"/>
      <c r="T2842" s="419"/>
      <c r="U2842" s="559"/>
      <c r="V2842" s="141"/>
      <c r="W2842" s="141"/>
      <c r="X2842" s="141"/>
      <c r="Y2842" s="144"/>
      <c r="Z2842" s="141"/>
      <c r="AA2842" s="141"/>
      <c r="AB2842" s="141"/>
      <c r="AC2842" s="141"/>
      <c r="AD2842" s="141"/>
      <c r="AE2842" s="141"/>
      <c r="AF2842" s="145"/>
      <c r="AG2842" s="419"/>
    </row>
    <row r="2843" spans="1:33" s="139" customFormat="1" ht="12.75" customHeight="1" x14ac:dyDescent="0.2">
      <c r="A2843" s="141"/>
      <c r="B2843" s="141"/>
      <c r="C2843" s="141"/>
      <c r="D2843" s="141"/>
      <c r="E2843" s="1014"/>
      <c r="F2843" s="1014"/>
      <c r="G2843" s="1027"/>
      <c r="H2843" s="1027"/>
      <c r="I2843" s="1174"/>
      <c r="J2843" s="1174"/>
      <c r="K2843" s="1174"/>
      <c r="L2843" s="1172"/>
      <c r="M2843" s="1172"/>
      <c r="N2843" s="1175"/>
      <c r="O2843" s="143"/>
      <c r="P2843" s="1196"/>
      <c r="Q2843" s="141"/>
      <c r="R2843" s="141"/>
      <c r="S2843" s="148"/>
      <c r="T2843" s="419"/>
      <c r="U2843" s="559"/>
      <c r="V2843" s="141"/>
      <c r="W2843" s="141"/>
      <c r="X2843" s="141"/>
      <c r="Y2843" s="144"/>
      <c r="Z2843" s="141"/>
      <c r="AA2843" s="141"/>
      <c r="AB2843" s="141"/>
      <c r="AC2843" s="141"/>
      <c r="AD2843" s="141"/>
      <c r="AE2843" s="141"/>
      <c r="AF2843" s="145"/>
      <c r="AG2843" s="419"/>
    </row>
    <row r="2844" spans="1:33" s="139" customFormat="1" ht="12.75" customHeight="1" x14ac:dyDescent="0.2">
      <c r="A2844" s="141"/>
      <c r="B2844" s="141"/>
      <c r="C2844" s="141"/>
      <c r="D2844" s="141"/>
      <c r="E2844" s="1014"/>
      <c r="F2844" s="1014"/>
      <c r="G2844" s="1027"/>
      <c r="H2844" s="1027"/>
      <c r="I2844" s="1174"/>
      <c r="J2844" s="1174"/>
      <c r="K2844" s="1174"/>
      <c r="L2844" s="1172"/>
      <c r="M2844" s="1172"/>
      <c r="N2844" s="1175"/>
      <c r="O2844" s="143"/>
      <c r="P2844" s="1196"/>
      <c r="Q2844" s="141"/>
      <c r="R2844" s="141"/>
      <c r="S2844" s="148"/>
      <c r="T2844" s="419"/>
      <c r="U2844" s="559"/>
      <c r="V2844" s="141"/>
      <c r="W2844" s="141"/>
      <c r="X2844" s="141"/>
      <c r="Y2844" s="144"/>
      <c r="Z2844" s="141"/>
      <c r="AA2844" s="141"/>
      <c r="AB2844" s="141"/>
      <c r="AC2844" s="141"/>
      <c r="AD2844" s="141"/>
      <c r="AE2844" s="141"/>
      <c r="AF2844" s="145"/>
      <c r="AG2844" s="419"/>
    </row>
    <row r="2845" spans="1:33" s="139" customFormat="1" ht="12.75" customHeight="1" x14ac:dyDescent="0.2">
      <c r="A2845" s="141"/>
      <c r="B2845" s="141"/>
      <c r="C2845" s="141"/>
      <c r="D2845" s="141"/>
      <c r="E2845" s="1014"/>
      <c r="F2845" s="1014"/>
      <c r="G2845" s="1027"/>
      <c r="H2845" s="1027"/>
      <c r="I2845" s="1174"/>
      <c r="J2845" s="1174"/>
      <c r="K2845" s="1174"/>
      <c r="L2845" s="1172"/>
      <c r="M2845" s="1172"/>
      <c r="N2845" s="1175"/>
      <c r="O2845" s="143"/>
      <c r="P2845" s="1196"/>
      <c r="Q2845" s="141"/>
      <c r="R2845" s="141"/>
      <c r="S2845" s="148"/>
      <c r="T2845" s="419"/>
      <c r="U2845" s="559"/>
      <c r="V2845" s="141"/>
      <c r="W2845" s="141"/>
      <c r="X2845" s="141"/>
      <c r="Y2845" s="144"/>
      <c r="Z2845" s="141"/>
      <c r="AA2845" s="141"/>
      <c r="AB2845" s="141"/>
      <c r="AC2845" s="141"/>
      <c r="AD2845" s="141"/>
      <c r="AE2845" s="141"/>
      <c r="AF2845" s="145"/>
      <c r="AG2845" s="419"/>
    </row>
    <row r="2846" spans="1:33" s="139" customFormat="1" ht="12.75" customHeight="1" x14ac:dyDescent="0.2">
      <c r="A2846" s="141"/>
      <c r="B2846" s="141"/>
      <c r="C2846" s="141"/>
      <c r="D2846" s="141"/>
      <c r="E2846" s="1014"/>
      <c r="F2846" s="1014"/>
      <c r="G2846" s="1027"/>
      <c r="H2846" s="1027"/>
      <c r="I2846" s="1174"/>
      <c r="J2846" s="1174"/>
      <c r="K2846" s="1174"/>
      <c r="L2846" s="1172"/>
      <c r="M2846" s="1172"/>
      <c r="N2846" s="1175"/>
      <c r="O2846" s="143"/>
      <c r="P2846" s="1196"/>
      <c r="Q2846" s="141"/>
      <c r="R2846" s="141"/>
      <c r="S2846" s="148"/>
      <c r="T2846" s="419"/>
      <c r="U2846" s="559"/>
      <c r="V2846" s="141"/>
      <c r="W2846" s="141"/>
      <c r="X2846" s="141"/>
      <c r="Y2846" s="144"/>
      <c r="Z2846" s="141"/>
      <c r="AA2846" s="141"/>
      <c r="AB2846" s="141"/>
      <c r="AC2846" s="141"/>
      <c r="AD2846" s="141"/>
      <c r="AE2846" s="141"/>
      <c r="AF2846" s="145"/>
      <c r="AG2846" s="419"/>
    </row>
    <row r="2847" spans="1:33" s="139" customFormat="1" ht="12.75" customHeight="1" x14ac:dyDescent="0.2">
      <c r="A2847" s="141"/>
      <c r="B2847" s="141"/>
      <c r="C2847" s="141"/>
      <c r="D2847" s="141"/>
      <c r="E2847" s="1014"/>
      <c r="F2847" s="1014"/>
      <c r="G2847" s="1027"/>
      <c r="H2847" s="1027"/>
      <c r="I2847" s="1174"/>
      <c r="J2847" s="1174"/>
      <c r="K2847" s="1174"/>
      <c r="L2847" s="1172"/>
      <c r="M2847" s="1172"/>
      <c r="N2847" s="1175"/>
      <c r="O2847" s="143"/>
      <c r="P2847" s="1196"/>
      <c r="Q2847" s="141"/>
      <c r="R2847" s="141"/>
      <c r="S2847" s="148"/>
      <c r="T2847" s="419"/>
      <c r="U2847" s="559"/>
      <c r="V2847" s="141"/>
      <c r="W2847" s="141"/>
      <c r="X2847" s="141"/>
      <c r="Y2847" s="144"/>
      <c r="Z2847" s="141"/>
      <c r="AA2847" s="141"/>
      <c r="AB2847" s="141"/>
      <c r="AC2847" s="141"/>
      <c r="AD2847" s="141"/>
      <c r="AE2847" s="141"/>
      <c r="AF2847" s="145"/>
      <c r="AG2847" s="419"/>
    </row>
    <row r="2848" spans="1:33" s="139" customFormat="1" ht="12.75" customHeight="1" x14ac:dyDescent="0.2">
      <c r="A2848" s="141"/>
      <c r="B2848" s="141"/>
      <c r="C2848" s="141"/>
      <c r="D2848" s="141"/>
      <c r="E2848" s="1014"/>
      <c r="F2848" s="1014"/>
      <c r="G2848" s="1027"/>
      <c r="H2848" s="1027"/>
      <c r="I2848" s="1174"/>
      <c r="J2848" s="1174"/>
      <c r="K2848" s="1174"/>
      <c r="L2848" s="1172"/>
      <c r="M2848" s="1172"/>
      <c r="N2848" s="1175"/>
      <c r="O2848" s="143"/>
      <c r="P2848" s="1196"/>
      <c r="Q2848" s="141"/>
      <c r="R2848" s="141"/>
      <c r="S2848" s="148"/>
      <c r="T2848" s="419"/>
      <c r="U2848" s="559"/>
      <c r="V2848" s="141"/>
      <c r="W2848" s="141"/>
      <c r="X2848" s="141"/>
      <c r="Y2848" s="144"/>
      <c r="Z2848" s="141"/>
      <c r="AA2848" s="141"/>
      <c r="AB2848" s="141"/>
      <c r="AC2848" s="141"/>
      <c r="AD2848" s="141"/>
      <c r="AE2848" s="141"/>
      <c r="AF2848" s="145"/>
      <c r="AG2848" s="419"/>
    </row>
    <row r="2849" spans="1:33" s="139" customFormat="1" ht="12.75" customHeight="1" x14ac:dyDescent="0.2">
      <c r="A2849" s="141"/>
      <c r="B2849" s="141"/>
      <c r="C2849" s="141"/>
      <c r="D2849" s="141"/>
      <c r="E2849" s="1014"/>
      <c r="F2849" s="1014"/>
      <c r="G2849" s="1027"/>
      <c r="H2849" s="1027"/>
      <c r="I2849" s="1174"/>
      <c r="J2849" s="1174"/>
      <c r="K2849" s="1174"/>
      <c r="L2849" s="1172"/>
      <c r="M2849" s="1172"/>
      <c r="N2849" s="1175"/>
      <c r="O2849" s="143"/>
      <c r="P2849" s="1196"/>
      <c r="Q2849" s="141"/>
      <c r="R2849" s="141"/>
      <c r="S2849" s="148"/>
      <c r="T2849" s="419"/>
      <c r="U2849" s="559"/>
      <c r="V2849" s="141"/>
      <c r="W2849" s="141"/>
      <c r="X2849" s="141"/>
      <c r="Y2849" s="144"/>
      <c r="Z2849" s="141"/>
      <c r="AA2849" s="141"/>
      <c r="AB2849" s="141"/>
      <c r="AC2849" s="141"/>
      <c r="AD2849" s="141"/>
      <c r="AE2849" s="141"/>
      <c r="AF2849" s="145"/>
      <c r="AG2849" s="419"/>
    </row>
    <row r="2850" spans="1:33" s="139" customFormat="1" ht="12.75" customHeight="1" x14ac:dyDescent="0.2">
      <c r="A2850" s="141"/>
      <c r="B2850" s="141"/>
      <c r="C2850" s="141"/>
      <c r="D2850" s="141"/>
      <c r="E2850" s="1014"/>
      <c r="F2850" s="1014"/>
      <c r="G2850" s="1027"/>
      <c r="H2850" s="1027"/>
      <c r="I2850" s="1174"/>
      <c r="J2850" s="1174"/>
      <c r="K2850" s="1174"/>
      <c r="L2850" s="1172"/>
      <c r="M2850" s="1172"/>
      <c r="N2850" s="1175"/>
      <c r="O2850" s="143"/>
      <c r="P2850" s="1196"/>
      <c r="Q2850" s="141"/>
      <c r="R2850" s="141"/>
      <c r="S2850" s="148"/>
      <c r="T2850" s="419"/>
      <c r="U2850" s="559"/>
      <c r="V2850" s="141"/>
      <c r="W2850" s="141"/>
      <c r="X2850" s="141"/>
      <c r="Y2850" s="144"/>
      <c r="Z2850" s="141"/>
      <c r="AA2850" s="141"/>
      <c r="AB2850" s="141"/>
      <c r="AC2850" s="141"/>
      <c r="AD2850" s="141"/>
      <c r="AE2850" s="141"/>
      <c r="AF2850" s="145"/>
      <c r="AG2850" s="419"/>
    </row>
    <row r="2851" spans="1:33" s="139" customFormat="1" ht="12.75" customHeight="1" x14ac:dyDescent="0.2">
      <c r="A2851" s="141"/>
      <c r="B2851" s="141"/>
      <c r="C2851" s="141"/>
      <c r="D2851" s="141"/>
      <c r="E2851" s="1014"/>
      <c r="F2851" s="1014"/>
      <c r="G2851" s="1027"/>
      <c r="H2851" s="1027"/>
      <c r="I2851" s="1174"/>
      <c r="J2851" s="1174"/>
      <c r="K2851" s="1174"/>
      <c r="L2851" s="1172"/>
      <c r="M2851" s="1172"/>
      <c r="N2851" s="1175"/>
      <c r="O2851" s="143"/>
      <c r="P2851" s="1196"/>
      <c r="Q2851" s="141"/>
      <c r="R2851" s="141"/>
      <c r="S2851" s="148"/>
      <c r="T2851" s="419"/>
      <c r="U2851" s="559"/>
      <c r="V2851" s="141"/>
      <c r="W2851" s="141"/>
      <c r="X2851" s="141"/>
      <c r="Y2851" s="144"/>
      <c r="Z2851" s="141"/>
      <c r="AA2851" s="141"/>
      <c r="AB2851" s="141"/>
      <c r="AC2851" s="141"/>
      <c r="AD2851" s="141"/>
      <c r="AE2851" s="141"/>
      <c r="AF2851" s="145"/>
      <c r="AG2851" s="419"/>
    </row>
    <row r="2852" spans="1:33" s="139" customFormat="1" ht="12.75" customHeight="1" x14ac:dyDescent="0.2">
      <c r="A2852" s="141"/>
      <c r="B2852" s="141"/>
      <c r="C2852" s="141"/>
      <c r="D2852" s="141"/>
      <c r="E2852" s="1014"/>
      <c r="F2852" s="1014"/>
      <c r="G2852" s="1027"/>
      <c r="H2852" s="1027"/>
      <c r="I2852" s="1174"/>
      <c r="J2852" s="1174"/>
      <c r="K2852" s="1174"/>
      <c r="L2852" s="1172"/>
      <c r="M2852" s="1172"/>
      <c r="N2852" s="1175"/>
      <c r="O2852" s="143"/>
      <c r="P2852" s="1196"/>
      <c r="Q2852" s="141"/>
      <c r="R2852" s="141"/>
      <c r="S2852" s="148"/>
      <c r="T2852" s="419"/>
      <c r="U2852" s="559"/>
      <c r="V2852" s="141"/>
      <c r="W2852" s="141"/>
      <c r="X2852" s="141"/>
      <c r="Y2852" s="144"/>
      <c r="Z2852" s="141"/>
      <c r="AA2852" s="141"/>
      <c r="AB2852" s="141"/>
      <c r="AC2852" s="141"/>
      <c r="AD2852" s="141"/>
      <c r="AE2852" s="141"/>
      <c r="AF2852" s="145"/>
      <c r="AG2852" s="419"/>
    </row>
    <row r="2853" spans="1:33" s="139" customFormat="1" ht="12.75" customHeight="1" x14ac:dyDescent="0.2">
      <c r="A2853" s="141"/>
      <c r="B2853" s="141"/>
      <c r="C2853" s="141"/>
      <c r="D2853" s="141"/>
      <c r="E2853" s="1014"/>
      <c r="F2853" s="1014"/>
      <c r="G2853" s="1027"/>
      <c r="H2853" s="1027"/>
      <c r="I2853" s="1174"/>
      <c r="J2853" s="1174"/>
      <c r="K2853" s="1174"/>
      <c r="L2853" s="1172"/>
      <c r="M2853" s="1172"/>
      <c r="N2853" s="1175"/>
      <c r="O2853" s="143"/>
      <c r="P2853" s="1196"/>
      <c r="Q2853" s="141"/>
      <c r="R2853" s="141"/>
      <c r="S2853" s="148"/>
      <c r="T2853" s="419"/>
      <c r="U2853" s="559"/>
      <c r="V2853" s="141"/>
      <c r="W2853" s="141"/>
      <c r="X2853" s="141"/>
      <c r="Y2853" s="144"/>
      <c r="Z2853" s="141"/>
      <c r="AA2853" s="141"/>
      <c r="AB2853" s="141"/>
      <c r="AC2853" s="141"/>
      <c r="AD2853" s="141"/>
      <c r="AE2853" s="141"/>
      <c r="AF2853" s="145"/>
      <c r="AG2853" s="419"/>
    </row>
    <row r="2854" spans="1:33" s="139" customFormat="1" ht="12.75" customHeight="1" x14ac:dyDescent="0.2">
      <c r="A2854" s="141"/>
      <c r="B2854" s="141"/>
      <c r="C2854" s="141"/>
      <c r="D2854" s="141"/>
      <c r="E2854" s="1014"/>
      <c r="F2854" s="1014"/>
      <c r="G2854" s="1027"/>
      <c r="H2854" s="1027"/>
      <c r="I2854" s="1174"/>
      <c r="J2854" s="1174"/>
      <c r="K2854" s="1174"/>
      <c r="L2854" s="1172"/>
      <c r="M2854" s="1172"/>
      <c r="N2854" s="1175"/>
      <c r="O2854" s="143"/>
      <c r="P2854" s="1196"/>
      <c r="Q2854" s="141"/>
      <c r="R2854" s="141"/>
      <c r="S2854" s="148"/>
      <c r="T2854" s="419"/>
      <c r="U2854" s="559"/>
      <c r="V2854" s="141"/>
      <c r="W2854" s="141"/>
      <c r="X2854" s="141"/>
      <c r="Y2854" s="144"/>
      <c r="Z2854" s="141"/>
      <c r="AA2854" s="141"/>
      <c r="AB2854" s="141"/>
      <c r="AC2854" s="141"/>
      <c r="AD2854" s="141"/>
      <c r="AE2854" s="141"/>
      <c r="AF2854" s="145"/>
      <c r="AG2854" s="419"/>
    </row>
    <row r="2855" spans="1:33" s="139" customFormat="1" ht="12.75" customHeight="1" x14ac:dyDescent="0.2">
      <c r="A2855" s="141"/>
      <c r="B2855" s="141"/>
      <c r="C2855" s="141"/>
      <c r="D2855" s="141"/>
      <c r="E2855" s="1014"/>
      <c r="F2855" s="1014"/>
      <c r="G2855" s="1027"/>
      <c r="H2855" s="1027"/>
      <c r="I2855" s="1174"/>
      <c r="J2855" s="1174"/>
      <c r="K2855" s="1174"/>
      <c r="L2855" s="1172"/>
      <c r="M2855" s="1172"/>
      <c r="N2855" s="1175"/>
      <c r="O2855" s="143"/>
      <c r="P2855" s="1196"/>
      <c r="Q2855" s="141"/>
      <c r="R2855" s="141"/>
      <c r="S2855" s="148"/>
      <c r="T2855" s="419"/>
      <c r="U2855" s="559"/>
      <c r="V2855" s="141"/>
      <c r="W2855" s="141"/>
      <c r="X2855" s="141"/>
      <c r="Y2855" s="144"/>
      <c r="Z2855" s="141"/>
      <c r="AA2855" s="141"/>
      <c r="AB2855" s="141"/>
      <c r="AC2855" s="141"/>
      <c r="AD2855" s="141"/>
      <c r="AE2855" s="141"/>
      <c r="AF2855" s="145"/>
      <c r="AG2855" s="419"/>
    </row>
    <row r="2856" spans="1:33" s="139" customFormat="1" ht="12.75" customHeight="1" x14ac:dyDescent="0.2">
      <c r="A2856" s="141"/>
      <c r="B2856" s="141"/>
      <c r="C2856" s="141"/>
      <c r="D2856" s="141"/>
      <c r="E2856" s="1014"/>
      <c r="F2856" s="1014"/>
      <c r="G2856" s="1027"/>
      <c r="H2856" s="1027"/>
      <c r="I2856" s="1174"/>
      <c r="J2856" s="1174"/>
      <c r="K2856" s="1174"/>
      <c r="L2856" s="1172"/>
      <c r="M2856" s="1172"/>
      <c r="N2856" s="1175"/>
      <c r="O2856" s="143"/>
      <c r="P2856" s="1196"/>
      <c r="Q2856" s="141"/>
      <c r="R2856" s="141"/>
      <c r="S2856" s="148"/>
      <c r="T2856" s="419"/>
      <c r="U2856" s="559"/>
      <c r="V2856" s="141"/>
      <c r="W2856" s="141"/>
      <c r="X2856" s="141"/>
      <c r="Y2856" s="144"/>
      <c r="Z2856" s="141"/>
      <c r="AA2856" s="141"/>
      <c r="AB2856" s="141"/>
      <c r="AC2856" s="141"/>
      <c r="AD2856" s="141"/>
      <c r="AE2856" s="141"/>
      <c r="AF2856" s="145"/>
      <c r="AG2856" s="419"/>
    </row>
    <row r="2857" spans="1:33" s="139" customFormat="1" ht="12.75" customHeight="1" x14ac:dyDescent="0.2">
      <c r="A2857" s="141"/>
      <c r="B2857" s="141"/>
      <c r="C2857" s="141"/>
      <c r="D2857" s="141"/>
      <c r="E2857" s="1014"/>
      <c r="F2857" s="1014"/>
      <c r="G2857" s="1027"/>
      <c r="H2857" s="1027"/>
      <c r="I2857" s="1174"/>
      <c r="J2857" s="1174"/>
      <c r="K2857" s="1174"/>
      <c r="L2857" s="1172"/>
      <c r="M2857" s="1172"/>
      <c r="N2857" s="1175"/>
      <c r="O2857" s="143"/>
      <c r="P2857" s="1196"/>
      <c r="Q2857" s="141"/>
      <c r="R2857" s="141"/>
      <c r="S2857" s="148"/>
      <c r="T2857" s="419"/>
      <c r="U2857" s="559"/>
      <c r="V2857" s="141"/>
      <c r="W2857" s="141"/>
      <c r="X2857" s="141"/>
      <c r="Y2857" s="144"/>
      <c r="Z2857" s="141"/>
      <c r="AA2857" s="141"/>
      <c r="AB2857" s="141"/>
      <c r="AC2857" s="141"/>
      <c r="AD2857" s="141"/>
      <c r="AE2857" s="141"/>
      <c r="AF2857" s="145"/>
      <c r="AG2857" s="419"/>
    </row>
    <row r="2858" spans="1:33" s="139" customFormat="1" ht="12.75" customHeight="1" x14ac:dyDescent="0.2">
      <c r="A2858" s="141"/>
      <c r="B2858" s="141"/>
      <c r="C2858" s="141"/>
      <c r="D2858" s="141"/>
      <c r="E2858" s="1014"/>
      <c r="F2858" s="1014"/>
      <c r="G2858" s="1027"/>
      <c r="H2858" s="1027"/>
      <c r="I2858" s="1174"/>
      <c r="J2858" s="1174"/>
      <c r="K2858" s="1174"/>
      <c r="L2858" s="1172"/>
      <c r="M2858" s="1172"/>
      <c r="N2858" s="1175"/>
      <c r="O2858" s="143"/>
      <c r="P2858" s="1196"/>
      <c r="Q2858" s="141"/>
      <c r="R2858" s="141"/>
      <c r="S2858" s="148"/>
      <c r="T2858" s="419"/>
      <c r="U2858" s="559"/>
      <c r="V2858" s="141"/>
      <c r="W2858" s="141"/>
      <c r="X2858" s="141"/>
      <c r="Y2858" s="144"/>
      <c r="Z2858" s="141"/>
      <c r="AA2858" s="141"/>
      <c r="AB2858" s="141"/>
      <c r="AC2858" s="141"/>
      <c r="AD2858" s="141"/>
      <c r="AE2858" s="141"/>
      <c r="AF2858" s="145"/>
      <c r="AG2858" s="419"/>
    </row>
    <row r="2859" spans="1:33" s="139" customFormat="1" ht="12.75" customHeight="1" x14ac:dyDescent="0.2">
      <c r="A2859" s="141"/>
      <c r="B2859" s="141"/>
      <c r="C2859" s="141"/>
      <c r="D2859" s="141"/>
      <c r="E2859" s="1014"/>
      <c r="F2859" s="1014"/>
      <c r="G2859" s="1027"/>
      <c r="H2859" s="1027"/>
      <c r="I2859" s="1174"/>
      <c r="J2859" s="1174"/>
      <c r="K2859" s="1174"/>
      <c r="L2859" s="1172"/>
      <c r="M2859" s="1172"/>
      <c r="N2859" s="1175"/>
      <c r="O2859" s="143"/>
      <c r="P2859" s="1196"/>
      <c r="Q2859" s="141"/>
      <c r="R2859" s="141"/>
      <c r="S2859" s="148"/>
      <c r="T2859" s="419"/>
      <c r="U2859" s="559"/>
      <c r="V2859" s="141"/>
      <c r="W2859" s="141"/>
      <c r="X2859" s="141"/>
      <c r="Y2859" s="144"/>
      <c r="Z2859" s="141"/>
      <c r="AA2859" s="141"/>
      <c r="AB2859" s="141"/>
      <c r="AC2859" s="141"/>
      <c r="AD2859" s="141"/>
      <c r="AE2859" s="141"/>
      <c r="AF2859" s="145"/>
      <c r="AG2859" s="419"/>
    </row>
    <row r="2860" spans="1:33" s="139" customFormat="1" ht="12.75" customHeight="1" x14ac:dyDescent="0.2">
      <c r="A2860" s="141"/>
      <c r="B2860" s="141"/>
      <c r="C2860" s="141"/>
      <c r="D2860" s="141"/>
      <c r="E2860" s="1014"/>
      <c r="F2860" s="1014"/>
      <c r="G2860" s="1027"/>
      <c r="H2860" s="1027"/>
      <c r="I2860" s="1174"/>
      <c r="J2860" s="1174"/>
      <c r="K2860" s="1174"/>
      <c r="L2860" s="1172"/>
      <c r="M2860" s="1172"/>
      <c r="N2860" s="1175"/>
      <c r="O2860" s="143"/>
      <c r="P2860" s="1196"/>
      <c r="Q2860" s="141"/>
      <c r="R2860" s="141"/>
      <c r="S2860" s="148"/>
      <c r="T2860" s="419"/>
      <c r="U2860" s="559"/>
      <c r="V2860" s="141"/>
      <c r="W2860" s="141"/>
      <c r="X2860" s="141"/>
      <c r="Y2860" s="144"/>
      <c r="Z2860" s="141"/>
      <c r="AA2860" s="141"/>
      <c r="AB2860" s="141"/>
      <c r="AC2860" s="141"/>
      <c r="AD2860" s="141"/>
      <c r="AE2860" s="141"/>
      <c r="AF2860" s="145"/>
      <c r="AG2860" s="419"/>
    </row>
    <row r="2861" spans="1:33" s="139" customFormat="1" ht="12.75" customHeight="1" x14ac:dyDescent="0.2">
      <c r="A2861" s="141"/>
      <c r="B2861" s="141"/>
      <c r="C2861" s="141"/>
      <c r="D2861" s="141"/>
      <c r="E2861" s="1014"/>
      <c r="F2861" s="1014"/>
      <c r="G2861" s="1027"/>
      <c r="H2861" s="1027"/>
      <c r="I2861" s="1174"/>
      <c r="J2861" s="1174"/>
      <c r="K2861" s="1174"/>
      <c r="L2861" s="1172"/>
      <c r="M2861" s="1172"/>
      <c r="N2861" s="1175"/>
      <c r="O2861" s="143"/>
      <c r="P2861" s="1196"/>
      <c r="Q2861" s="141"/>
      <c r="R2861" s="141"/>
      <c r="S2861" s="148"/>
      <c r="T2861" s="419"/>
      <c r="U2861" s="559"/>
      <c r="V2861" s="141"/>
      <c r="W2861" s="141"/>
      <c r="X2861" s="141"/>
      <c r="Y2861" s="144"/>
      <c r="Z2861" s="141"/>
      <c r="AA2861" s="141"/>
      <c r="AB2861" s="141"/>
      <c r="AC2861" s="141"/>
      <c r="AD2861" s="141"/>
      <c r="AE2861" s="141"/>
      <c r="AF2861" s="145"/>
      <c r="AG2861" s="419"/>
    </row>
    <row r="2862" spans="1:33" s="139" customFormat="1" ht="12.75" customHeight="1" x14ac:dyDescent="0.2">
      <c r="A2862" s="141"/>
      <c r="B2862" s="141"/>
      <c r="C2862" s="141"/>
      <c r="D2862" s="141"/>
      <c r="E2862" s="1014"/>
      <c r="F2862" s="1014"/>
      <c r="G2862" s="1027"/>
      <c r="H2862" s="1027"/>
      <c r="I2862" s="1174"/>
      <c r="J2862" s="1174"/>
      <c r="K2862" s="1174"/>
      <c r="L2862" s="1172"/>
      <c r="M2862" s="1172"/>
      <c r="N2862" s="1175"/>
      <c r="O2862" s="143"/>
      <c r="P2862" s="1196"/>
      <c r="Q2862" s="141"/>
      <c r="R2862" s="141"/>
      <c r="S2862" s="148"/>
      <c r="T2862" s="419"/>
      <c r="U2862" s="559"/>
      <c r="V2862" s="141"/>
      <c r="W2862" s="141"/>
      <c r="X2862" s="141"/>
      <c r="Y2862" s="144"/>
      <c r="Z2862" s="141"/>
      <c r="AA2862" s="141"/>
      <c r="AB2862" s="141"/>
      <c r="AC2862" s="141"/>
      <c r="AD2862" s="141"/>
      <c r="AE2862" s="141"/>
      <c r="AF2862" s="145"/>
      <c r="AG2862" s="419"/>
    </row>
    <row r="2863" spans="1:33" s="139" customFormat="1" ht="12.75" customHeight="1" x14ac:dyDescent="0.2">
      <c r="A2863" s="141"/>
      <c r="B2863" s="141"/>
      <c r="C2863" s="141"/>
      <c r="D2863" s="141"/>
      <c r="E2863" s="1014"/>
      <c r="F2863" s="1014"/>
      <c r="G2863" s="1027"/>
      <c r="H2863" s="1027"/>
      <c r="I2863" s="1174"/>
      <c r="J2863" s="1174"/>
      <c r="K2863" s="1174"/>
      <c r="L2863" s="1172"/>
      <c r="M2863" s="1172"/>
      <c r="N2863" s="1175"/>
      <c r="O2863" s="143"/>
      <c r="P2863" s="1196"/>
      <c r="Q2863" s="141"/>
      <c r="R2863" s="141"/>
      <c r="S2863" s="148"/>
      <c r="T2863" s="419"/>
      <c r="U2863" s="559"/>
      <c r="V2863" s="141"/>
      <c r="W2863" s="141"/>
      <c r="X2863" s="141"/>
      <c r="Y2863" s="144"/>
      <c r="Z2863" s="141"/>
      <c r="AA2863" s="141"/>
      <c r="AB2863" s="141"/>
      <c r="AC2863" s="141"/>
      <c r="AD2863" s="141"/>
      <c r="AE2863" s="141"/>
      <c r="AF2863" s="145"/>
      <c r="AG2863" s="419"/>
    </row>
    <row r="2864" spans="1:33" s="139" customFormat="1" ht="12.75" customHeight="1" x14ac:dyDescent="0.2">
      <c r="A2864" s="141"/>
      <c r="B2864" s="141"/>
      <c r="C2864" s="141"/>
      <c r="D2864" s="141"/>
      <c r="E2864" s="1014"/>
      <c r="F2864" s="1014"/>
      <c r="G2864" s="1027"/>
      <c r="H2864" s="1027"/>
      <c r="I2864" s="1174"/>
      <c r="J2864" s="1174"/>
      <c r="K2864" s="1174"/>
      <c r="L2864" s="1172"/>
      <c r="M2864" s="1172"/>
      <c r="N2864" s="1175"/>
      <c r="O2864" s="143"/>
      <c r="P2864" s="1196"/>
      <c r="Q2864" s="141"/>
      <c r="R2864" s="141"/>
      <c r="S2864" s="148"/>
      <c r="T2864" s="419"/>
      <c r="U2864" s="559"/>
      <c r="V2864" s="141"/>
      <c r="W2864" s="141"/>
      <c r="X2864" s="141"/>
      <c r="Y2864" s="144"/>
      <c r="Z2864" s="141"/>
      <c r="AA2864" s="141"/>
      <c r="AB2864" s="141"/>
      <c r="AC2864" s="141"/>
      <c r="AD2864" s="141"/>
      <c r="AE2864" s="141"/>
      <c r="AF2864" s="145"/>
      <c r="AG2864" s="419"/>
    </row>
    <row r="2865" spans="1:33" s="139" customFormat="1" ht="12.75" customHeight="1" x14ac:dyDescent="0.2">
      <c r="A2865" s="141"/>
      <c r="B2865" s="141"/>
      <c r="C2865" s="141"/>
      <c r="D2865" s="141"/>
      <c r="E2865" s="1014"/>
      <c r="F2865" s="1014"/>
      <c r="G2865" s="1027"/>
      <c r="H2865" s="1027"/>
      <c r="I2865" s="1174"/>
      <c r="J2865" s="1174"/>
      <c r="K2865" s="1174"/>
      <c r="L2865" s="1172"/>
      <c r="M2865" s="1172"/>
      <c r="N2865" s="1175"/>
      <c r="O2865" s="143"/>
      <c r="P2865" s="1196"/>
      <c r="Q2865" s="141"/>
      <c r="R2865" s="141"/>
      <c r="S2865" s="148"/>
      <c r="T2865" s="419"/>
      <c r="U2865" s="559"/>
      <c r="V2865" s="141"/>
      <c r="W2865" s="141"/>
      <c r="X2865" s="141"/>
      <c r="Y2865" s="144"/>
      <c r="Z2865" s="141"/>
      <c r="AA2865" s="141"/>
      <c r="AB2865" s="141"/>
      <c r="AC2865" s="141"/>
      <c r="AD2865" s="141"/>
      <c r="AE2865" s="141"/>
      <c r="AF2865" s="145"/>
      <c r="AG2865" s="419"/>
    </row>
    <row r="2866" spans="1:33" s="139" customFormat="1" ht="12.75" customHeight="1" x14ac:dyDescent="0.2">
      <c r="A2866" s="141"/>
      <c r="B2866" s="141"/>
      <c r="C2866" s="141"/>
      <c r="D2866" s="141"/>
      <c r="E2866" s="1014"/>
      <c r="F2866" s="1014"/>
      <c r="G2866" s="1027"/>
      <c r="H2866" s="1027"/>
      <c r="I2866" s="1174"/>
      <c r="J2866" s="1174"/>
      <c r="K2866" s="1174"/>
      <c r="L2866" s="1172"/>
      <c r="M2866" s="1172"/>
      <c r="N2866" s="1175"/>
      <c r="O2866" s="143"/>
      <c r="P2866" s="1196"/>
      <c r="Q2866" s="141"/>
      <c r="R2866" s="141"/>
      <c r="S2866" s="148"/>
      <c r="T2866" s="419"/>
      <c r="U2866" s="559"/>
      <c r="V2866" s="141"/>
      <c r="W2866" s="141"/>
      <c r="X2866" s="141"/>
      <c r="Y2866" s="144"/>
      <c r="Z2866" s="141"/>
      <c r="AA2866" s="141"/>
      <c r="AB2866" s="141"/>
      <c r="AC2866" s="141"/>
      <c r="AD2866" s="141"/>
      <c r="AE2866" s="141"/>
      <c r="AF2866" s="145"/>
      <c r="AG2866" s="419"/>
    </row>
    <row r="2867" spans="1:33" s="139" customFormat="1" ht="12.75" customHeight="1" x14ac:dyDescent="0.2">
      <c r="A2867" s="141"/>
      <c r="B2867" s="141"/>
      <c r="C2867" s="141"/>
      <c r="D2867" s="141"/>
      <c r="E2867" s="1014"/>
      <c r="F2867" s="1014"/>
      <c r="G2867" s="1027"/>
      <c r="H2867" s="1027"/>
      <c r="I2867" s="1174"/>
      <c r="J2867" s="1174"/>
      <c r="K2867" s="1174"/>
      <c r="L2867" s="1172"/>
      <c r="M2867" s="1172"/>
      <c r="N2867" s="1175"/>
      <c r="O2867" s="143"/>
      <c r="P2867" s="1196"/>
      <c r="Q2867" s="141"/>
      <c r="R2867" s="141"/>
      <c r="S2867" s="148"/>
      <c r="T2867" s="419"/>
      <c r="U2867" s="559"/>
      <c r="V2867" s="141"/>
      <c r="W2867" s="141"/>
      <c r="X2867" s="141"/>
      <c r="Y2867" s="144"/>
      <c r="Z2867" s="141"/>
      <c r="AA2867" s="141"/>
      <c r="AB2867" s="141"/>
      <c r="AC2867" s="141"/>
      <c r="AD2867" s="141"/>
      <c r="AE2867" s="141"/>
      <c r="AF2867" s="145"/>
      <c r="AG2867" s="419"/>
    </row>
    <row r="2868" spans="1:33" s="139" customFormat="1" ht="12.75" customHeight="1" x14ac:dyDescent="0.2">
      <c r="A2868" s="141"/>
      <c r="B2868" s="141"/>
      <c r="C2868" s="141"/>
      <c r="D2868" s="141"/>
      <c r="E2868" s="1014"/>
      <c r="F2868" s="1014"/>
      <c r="G2868" s="1027"/>
      <c r="H2868" s="1027"/>
      <c r="I2868" s="1174"/>
      <c r="J2868" s="1174"/>
      <c r="K2868" s="1174"/>
      <c r="L2868" s="1172"/>
      <c r="M2868" s="1172"/>
      <c r="N2868" s="1175"/>
      <c r="O2868" s="143"/>
      <c r="P2868" s="1196"/>
      <c r="Q2868" s="141"/>
      <c r="R2868" s="141"/>
      <c r="S2868" s="148"/>
      <c r="T2868" s="419"/>
      <c r="U2868" s="559"/>
      <c r="V2868" s="141"/>
      <c r="W2868" s="141"/>
      <c r="X2868" s="141"/>
      <c r="Y2868" s="144"/>
      <c r="Z2868" s="141"/>
      <c r="AA2868" s="141"/>
      <c r="AB2868" s="141"/>
      <c r="AC2868" s="141"/>
      <c r="AD2868" s="141"/>
      <c r="AE2868" s="141"/>
      <c r="AF2868" s="145"/>
      <c r="AG2868" s="419"/>
    </row>
    <row r="2869" spans="1:33" s="139" customFormat="1" ht="12.75" customHeight="1" x14ac:dyDescent="0.2">
      <c r="A2869" s="141"/>
      <c r="B2869" s="141"/>
      <c r="C2869" s="141"/>
      <c r="D2869" s="141"/>
      <c r="E2869" s="1014"/>
      <c r="F2869" s="1014"/>
      <c r="G2869" s="1027"/>
      <c r="H2869" s="1027"/>
      <c r="I2869" s="1174"/>
      <c r="J2869" s="1174"/>
      <c r="K2869" s="1174"/>
      <c r="L2869" s="1172"/>
      <c r="M2869" s="1172"/>
      <c r="N2869" s="1175"/>
      <c r="O2869" s="143"/>
      <c r="P2869" s="1196"/>
      <c r="Q2869" s="141"/>
      <c r="R2869" s="141"/>
      <c r="S2869" s="148"/>
      <c r="T2869" s="419"/>
      <c r="U2869" s="559"/>
      <c r="V2869" s="141"/>
      <c r="W2869" s="141"/>
      <c r="X2869" s="141"/>
      <c r="Y2869" s="144"/>
      <c r="Z2869" s="141"/>
      <c r="AA2869" s="141"/>
      <c r="AB2869" s="141"/>
      <c r="AC2869" s="141"/>
      <c r="AD2869" s="141"/>
      <c r="AE2869" s="141"/>
      <c r="AF2869" s="145"/>
      <c r="AG2869" s="419"/>
    </row>
    <row r="2870" spans="1:33" s="139" customFormat="1" ht="12.75" customHeight="1" x14ac:dyDescent="0.2">
      <c r="A2870" s="141"/>
      <c r="B2870" s="141"/>
      <c r="C2870" s="141"/>
      <c r="D2870" s="141"/>
      <c r="E2870" s="1014"/>
      <c r="F2870" s="1014"/>
      <c r="G2870" s="1027"/>
      <c r="H2870" s="1027"/>
      <c r="I2870" s="1174"/>
      <c r="J2870" s="1174"/>
      <c r="K2870" s="1174"/>
      <c r="L2870" s="1172"/>
      <c r="M2870" s="1172"/>
      <c r="N2870" s="1175"/>
      <c r="O2870" s="143"/>
      <c r="P2870" s="1196"/>
      <c r="Q2870" s="141"/>
      <c r="R2870" s="141"/>
      <c r="S2870" s="148"/>
      <c r="T2870" s="419"/>
      <c r="U2870" s="559"/>
      <c r="V2870" s="141"/>
      <c r="W2870" s="141"/>
      <c r="X2870" s="141"/>
      <c r="Y2870" s="144"/>
      <c r="Z2870" s="141"/>
      <c r="AA2870" s="141"/>
      <c r="AB2870" s="141"/>
      <c r="AC2870" s="141"/>
      <c r="AD2870" s="141"/>
      <c r="AE2870" s="141"/>
      <c r="AF2870" s="145"/>
      <c r="AG2870" s="419"/>
    </row>
    <row r="2871" spans="1:33" s="139" customFormat="1" ht="12.75" customHeight="1" x14ac:dyDescent="0.2">
      <c r="A2871" s="141"/>
      <c r="B2871" s="141"/>
      <c r="C2871" s="141"/>
      <c r="D2871" s="141"/>
      <c r="E2871" s="1014"/>
      <c r="F2871" s="1014"/>
      <c r="G2871" s="1027"/>
      <c r="H2871" s="1027"/>
      <c r="I2871" s="1174"/>
      <c r="J2871" s="1174"/>
      <c r="K2871" s="1174"/>
      <c r="L2871" s="1172"/>
      <c r="M2871" s="1172"/>
      <c r="N2871" s="1175"/>
      <c r="O2871" s="143"/>
      <c r="P2871" s="1196"/>
      <c r="Q2871" s="141"/>
      <c r="R2871" s="141"/>
      <c r="S2871" s="148"/>
      <c r="T2871" s="419"/>
      <c r="U2871" s="559"/>
      <c r="V2871" s="141"/>
      <c r="W2871" s="141"/>
      <c r="X2871" s="141"/>
      <c r="Y2871" s="144"/>
      <c r="Z2871" s="141"/>
      <c r="AA2871" s="141"/>
      <c r="AB2871" s="141"/>
      <c r="AC2871" s="141"/>
      <c r="AD2871" s="141"/>
      <c r="AE2871" s="141"/>
      <c r="AF2871" s="145"/>
      <c r="AG2871" s="419"/>
    </row>
    <row r="2872" spans="1:33" s="139" customFormat="1" ht="12.75" customHeight="1" x14ac:dyDescent="0.2">
      <c r="A2872" s="141"/>
      <c r="B2872" s="141"/>
      <c r="C2872" s="141"/>
      <c r="D2872" s="141"/>
      <c r="E2872" s="1014"/>
      <c r="F2872" s="1014"/>
      <c r="G2872" s="1027"/>
      <c r="H2872" s="1027"/>
      <c r="I2872" s="1174"/>
      <c r="J2872" s="1174"/>
      <c r="K2872" s="1174"/>
      <c r="L2872" s="1172"/>
      <c r="M2872" s="1172"/>
      <c r="N2872" s="1175"/>
      <c r="O2872" s="143"/>
      <c r="P2872" s="1196"/>
      <c r="Q2872" s="141"/>
      <c r="R2872" s="141"/>
      <c r="S2872" s="148"/>
      <c r="T2872" s="419"/>
      <c r="U2872" s="559"/>
      <c r="V2872" s="141"/>
      <c r="W2872" s="141"/>
      <c r="X2872" s="141"/>
      <c r="Y2872" s="144"/>
      <c r="Z2872" s="141"/>
      <c r="AA2872" s="141"/>
      <c r="AB2872" s="141"/>
      <c r="AC2872" s="141"/>
      <c r="AD2872" s="141"/>
      <c r="AE2872" s="141"/>
      <c r="AF2872" s="145"/>
      <c r="AG2872" s="419"/>
    </row>
    <row r="2873" spans="1:33" s="139" customFormat="1" ht="12.75" customHeight="1" x14ac:dyDescent="0.2">
      <c r="A2873" s="141"/>
      <c r="B2873" s="141"/>
      <c r="C2873" s="141"/>
      <c r="D2873" s="141"/>
      <c r="E2873" s="1014"/>
      <c r="F2873" s="1014"/>
      <c r="G2873" s="1027"/>
      <c r="H2873" s="1027"/>
      <c r="I2873" s="1174"/>
      <c r="J2873" s="1174"/>
      <c r="K2873" s="1174"/>
      <c r="L2873" s="1172"/>
      <c r="M2873" s="1172"/>
      <c r="N2873" s="1175"/>
      <c r="O2873" s="143"/>
      <c r="P2873" s="1196"/>
      <c r="Q2873" s="141"/>
      <c r="R2873" s="141"/>
      <c r="S2873" s="148"/>
      <c r="T2873" s="419"/>
      <c r="U2873" s="559"/>
      <c r="V2873" s="141"/>
      <c r="W2873" s="141"/>
      <c r="X2873" s="141"/>
      <c r="Y2873" s="144"/>
      <c r="Z2873" s="141"/>
      <c r="AA2873" s="141"/>
      <c r="AB2873" s="141"/>
      <c r="AC2873" s="141"/>
      <c r="AD2873" s="141"/>
      <c r="AE2873" s="141"/>
      <c r="AF2873" s="145"/>
      <c r="AG2873" s="419"/>
    </row>
    <row r="2874" spans="1:33" s="139" customFormat="1" ht="12.75" customHeight="1" x14ac:dyDescent="0.2">
      <c r="A2874" s="141"/>
      <c r="B2874" s="141"/>
      <c r="C2874" s="141"/>
      <c r="D2874" s="141"/>
      <c r="E2874" s="1014"/>
      <c r="F2874" s="1014"/>
      <c r="G2874" s="1027"/>
      <c r="H2874" s="1027"/>
      <c r="I2874" s="1174"/>
      <c r="J2874" s="1174"/>
      <c r="K2874" s="1174"/>
      <c r="L2874" s="1172"/>
      <c r="M2874" s="1172"/>
      <c r="N2874" s="1175"/>
      <c r="O2874" s="143"/>
      <c r="P2874" s="1196"/>
      <c r="Q2874" s="141"/>
      <c r="R2874" s="141"/>
      <c r="S2874" s="148"/>
      <c r="T2874" s="419"/>
      <c r="U2874" s="559"/>
      <c r="V2874" s="141"/>
      <c r="W2874" s="141"/>
      <c r="X2874" s="141"/>
      <c r="Y2874" s="144"/>
      <c r="Z2874" s="141"/>
      <c r="AA2874" s="141"/>
      <c r="AB2874" s="141"/>
      <c r="AC2874" s="141"/>
      <c r="AD2874" s="141"/>
      <c r="AE2874" s="141"/>
      <c r="AF2874" s="145"/>
      <c r="AG2874" s="419"/>
    </row>
    <row r="2875" spans="1:33" s="139" customFormat="1" ht="12.75" customHeight="1" x14ac:dyDescent="0.2">
      <c r="A2875" s="141"/>
      <c r="B2875" s="141"/>
      <c r="C2875" s="141"/>
      <c r="D2875" s="141"/>
      <c r="E2875" s="1014"/>
      <c r="F2875" s="1014"/>
      <c r="G2875" s="1027"/>
      <c r="H2875" s="1027"/>
      <c r="I2875" s="1174"/>
      <c r="J2875" s="1174"/>
      <c r="K2875" s="1174"/>
      <c r="L2875" s="1172"/>
      <c r="M2875" s="1172"/>
      <c r="N2875" s="1175"/>
      <c r="O2875" s="143"/>
      <c r="P2875" s="1196"/>
      <c r="Q2875" s="141"/>
      <c r="R2875" s="141"/>
      <c r="S2875" s="148"/>
      <c r="T2875" s="419"/>
      <c r="U2875" s="559"/>
      <c r="V2875" s="141"/>
      <c r="W2875" s="141"/>
      <c r="X2875" s="141"/>
      <c r="Y2875" s="144"/>
      <c r="Z2875" s="141"/>
      <c r="AA2875" s="141"/>
      <c r="AB2875" s="141"/>
      <c r="AC2875" s="141"/>
      <c r="AD2875" s="141"/>
      <c r="AE2875" s="141"/>
      <c r="AF2875" s="145"/>
      <c r="AG2875" s="419"/>
    </row>
    <row r="2876" spans="1:33" s="139" customFormat="1" ht="12.75" customHeight="1" x14ac:dyDescent="0.2">
      <c r="A2876" s="141"/>
      <c r="B2876" s="141"/>
      <c r="C2876" s="141"/>
      <c r="D2876" s="141"/>
      <c r="E2876" s="1014"/>
      <c r="F2876" s="1014"/>
      <c r="G2876" s="1027"/>
      <c r="H2876" s="1027"/>
      <c r="I2876" s="1174"/>
      <c r="J2876" s="1174"/>
      <c r="K2876" s="1174"/>
      <c r="L2876" s="1172"/>
      <c r="M2876" s="1172"/>
      <c r="N2876" s="1175"/>
      <c r="O2876" s="143"/>
      <c r="P2876" s="1196"/>
      <c r="Q2876" s="141"/>
      <c r="R2876" s="141"/>
      <c r="S2876" s="148"/>
      <c r="T2876" s="419"/>
      <c r="U2876" s="559"/>
      <c r="V2876" s="141"/>
      <c r="W2876" s="141"/>
      <c r="X2876" s="141"/>
      <c r="Y2876" s="144"/>
      <c r="Z2876" s="141"/>
      <c r="AA2876" s="141"/>
      <c r="AB2876" s="141"/>
      <c r="AC2876" s="141"/>
      <c r="AD2876" s="141"/>
      <c r="AE2876" s="141"/>
      <c r="AF2876" s="145"/>
      <c r="AG2876" s="419"/>
    </row>
    <row r="2877" spans="1:33" s="139" customFormat="1" ht="12.75" customHeight="1" x14ac:dyDescent="0.2">
      <c r="A2877" s="141"/>
      <c r="B2877" s="141"/>
      <c r="C2877" s="141"/>
      <c r="D2877" s="141"/>
      <c r="E2877" s="1014"/>
      <c r="F2877" s="1014"/>
      <c r="G2877" s="1027"/>
      <c r="H2877" s="1027"/>
      <c r="I2877" s="1174"/>
      <c r="J2877" s="1174"/>
      <c r="K2877" s="1174"/>
      <c r="L2877" s="1172"/>
      <c r="M2877" s="1172"/>
      <c r="N2877" s="1175"/>
      <c r="O2877" s="143"/>
      <c r="P2877" s="1196"/>
      <c r="Q2877" s="141"/>
      <c r="R2877" s="141"/>
      <c r="S2877" s="148"/>
      <c r="T2877" s="419"/>
      <c r="U2877" s="559"/>
      <c r="V2877" s="141"/>
      <c r="W2877" s="141"/>
      <c r="X2877" s="141"/>
      <c r="Y2877" s="144"/>
      <c r="Z2877" s="141"/>
      <c r="AA2877" s="141"/>
      <c r="AB2877" s="141"/>
      <c r="AC2877" s="141"/>
      <c r="AD2877" s="141"/>
      <c r="AE2877" s="141"/>
      <c r="AF2877" s="145"/>
      <c r="AG2877" s="419"/>
    </row>
    <row r="2878" spans="1:33" s="139" customFormat="1" ht="12.75" customHeight="1" x14ac:dyDescent="0.2">
      <c r="A2878" s="141"/>
      <c r="B2878" s="141"/>
      <c r="C2878" s="141"/>
      <c r="D2878" s="141"/>
      <c r="E2878" s="1014"/>
      <c r="F2878" s="1014"/>
      <c r="G2878" s="1027"/>
      <c r="H2878" s="1027"/>
      <c r="I2878" s="1174"/>
      <c r="J2878" s="1174"/>
      <c r="K2878" s="1174"/>
      <c r="L2878" s="1172"/>
      <c r="M2878" s="1172"/>
      <c r="N2878" s="1175"/>
      <c r="O2878" s="143"/>
      <c r="P2878" s="1196"/>
      <c r="Q2878" s="141"/>
      <c r="R2878" s="141"/>
      <c r="S2878" s="148"/>
      <c r="T2878" s="419"/>
      <c r="U2878" s="559"/>
      <c r="V2878" s="141"/>
      <c r="W2878" s="141"/>
      <c r="X2878" s="141"/>
      <c r="Y2878" s="144"/>
      <c r="Z2878" s="141"/>
      <c r="AA2878" s="141"/>
      <c r="AB2878" s="141"/>
      <c r="AC2878" s="141"/>
      <c r="AD2878" s="141"/>
      <c r="AE2878" s="141"/>
      <c r="AF2878" s="145"/>
      <c r="AG2878" s="419"/>
    </row>
    <row r="2879" spans="1:33" s="139" customFormat="1" ht="12.75" customHeight="1" x14ac:dyDescent="0.2">
      <c r="A2879" s="141"/>
      <c r="B2879" s="141"/>
      <c r="C2879" s="141"/>
      <c r="D2879" s="141"/>
      <c r="E2879" s="1014"/>
      <c r="F2879" s="1014"/>
      <c r="G2879" s="1027"/>
      <c r="H2879" s="1027"/>
      <c r="I2879" s="1174"/>
      <c r="J2879" s="1174"/>
      <c r="K2879" s="1174"/>
      <c r="L2879" s="1172"/>
      <c r="M2879" s="1172"/>
      <c r="N2879" s="1175"/>
      <c r="O2879" s="143"/>
      <c r="P2879" s="1196"/>
      <c r="Q2879" s="141"/>
      <c r="R2879" s="141"/>
      <c r="S2879" s="148"/>
      <c r="T2879" s="419"/>
      <c r="U2879" s="559"/>
      <c r="V2879" s="141"/>
      <c r="W2879" s="141"/>
      <c r="X2879" s="141"/>
      <c r="Y2879" s="144"/>
      <c r="Z2879" s="141"/>
      <c r="AA2879" s="141"/>
      <c r="AB2879" s="141"/>
      <c r="AC2879" s="141"/>
      <c r="AD2879" s="141"/>
      <c r="AE2879" s="141"/>
      <c r="AF2879" s="145"/>
      <c r="AG2879" s="419"/>
    </row>
    <row r="2880" spans="1:33" s="139" customFormat="1" ht="12.75" customHeight="1" x14ac:dyDescent="0.2">
      <c r="A2880" s="141"/>
      <c r="B2880" s="141"/>
      <c r="C2880" s="141"/>
      <c r="D2880" s="141"/>
      <c r="E2880" s="1014"/>
      <c r="F2880" s="1014"/>
      <c r="G2880" s="1027"/>
      <c r="H2880" s="1027"/>
      <c r="I2880" s="1174"/>
      <c r="J2880" s="1174"/>
      <c r="K2880" s="1174"/>
      <c r="L2880" s="1172"/>
      <c r="M2880" s="1172"/>
      <c r="N2880" s="1175"/>
      <c r="O2880" s="143"/>
      <c r="P2880" s="1196"/>
      <c r="Q2880" s="141"/>
      <c r="R2880" s="141"/>
      <c r="S2880" s="148"/>
      <c r="T2880" s="419"/>
      <c r="U2880" s="559"/>
      <c r="V2880" s="141"/>
      <c r="W2880" s="141"/>
      <c r="X2880" s="141"/>
      <c r="Y2880" s="144"/>
      <c r="Z2880" s="141"/>
      <c r="AA2880" s="141"/>
      <c r="AB2880" s="141"/>
      <c r="AC2880" s="141"/>
      <c r="AD2880" s="141"/>
      <c r="AE2880" s="141"/>
      <c r="AF2880" s="145"/>
      <c r="AG2880" s="419"/>
    </row>
    <row r="2881" spans="1:33" s="139" customFormat="1" ht="12.75" customHeight="1" x14ac:dyDescent="0.2">
      <c r="A2881" s="141"/>
      <c r="B2881" s="141"/>
      <c r="C2881" s="141"/>
      <c r="D2881" s="141"/>
      <c r="E2881" s="1014"/>
      <c r="F2881" s="1014"/>
      <c r="G2881" s="1027"/>
      <c r="H2881" s="1027"/>
      <c r="I2881" s="1174"/>
      <c r="J2881" s="1174"/>
      <c r="K2881" s="1174"/>
      <c r="L2881" s="1172"/>
      <c r="M2881" s="1172"/>
      <c r="N2881" s="1175"/>
      <c r="O2881" s="143"/>
      <c r="P2881" s="1196"/>
      <c r="Q2881" s="141"/>
      <c r="R2881" s="141"/>
      <c r="S2881" s="148"/>
      <c r="T2881" s="419"/>
      <c r="U2881" s="559"/>
      <c r="V2881" s="141"/>
      <c r="W2881" s="141"/>
      <c r="X2881" s="141"/>
      <c r="Y2881" s="144"/>
      <c r="Z2881" s="141"/>
      <c r="AA2881" s="141"/>
      <c r="AB2881" s="141"/>
      <c r="AC2881" s="141"/>
      <c r="AD2881" s="141"/>
      <c r="AE2881" s="141"/>
      <c r="AF2881" s="145"/>
      <c r="AG2881" s="419"/>
    </row>
    <row r="2882" spans="1:33" s="139" customFormat="1" ht="12.75" customHeight="1" x14ac:dyDescent="0.2">
      <c r="A2882" s="141"/>
      <c r="B2882" s="141"/>
      <c r="C2882" s="141"/>
      <c r="D2882" s="141"/>
      <c r="E2882" s="1014"/>
      <c r="F2882" s="1014"/>
      <c r="G2882" s="1027"/>
      <c r="H2882" s="1027"/>
      <c r="I2882" s="1174"/>
      <c r="J2882" s="1174"/>
      <c r="K2882" s="1174"/>
      <c r="L2882" s="1172"/>
      <c r="M2882" s="1172"/>
      <c r="N2882" s="1175"/>
      <c r="O2882" s="143"/>
      <c r="P2882" s="1196"/>
      <c r="Q2882" s="141"/>
      <c r="R2882" s="141"/>
      <c r="S2882" s="148"/>
      <c r="T2882" s="419"/>
      <c r="U2882" s="559"/>
      <c r="V2882" s="141"/>
      <c r="W2882" s="141"/>
      <c r="X2882" s="141"/>
      <c r="Y2882" s="144"/>
      <c r="Z2882" s="141"/>
      <c r="AA2882" s="141"/>
      <c r="AB2882" s="141"/>
      <c r="AC2882" s="141"/>
      <c r="AD2882" s="141"/>
      <c r="AE2882" s="141"/>
      <c r="AF2882" s="145"/>
      <c r="AG2882" s="419"/>
    </row>
    <row r="2883" spans="1:33" s="139" customFormat="1" ht="12.75" customHeight="1" x14ac:dyDescent="0.2">
      <c r="A2883" s="141"/>
      <c r="B2883" s="141"/>
      <c r="C2883" s="141"/>
      <c r="D2883" s="141"/>
      <c r="E2883" s="1014"/>
      <c r="F2883" s="1014"/>
      <c r="G2883" s="1027"/>
      <c r="H2883" s="1027"/>
      <c r="I2883" s="1174"/>
      <c r="J2883" s="1174"/>
      <c r="K2883" s="1174"/>
      <c r="L2883" s="1172"/>
      <c r="M2883" s="1172"/>
      <c r="N2883" s="1175"/>
      <c r="O2883" s="143"/>
      <c r="P2883" s="1196"/>
      <c r="Q2883" s="141"/>
      <c r="R2883" s="141"/>
      <c r="S2883" s="148"/>
      <c r="T2883" s="419"/>
      <c r="U2883" s="559"/>
      <c r="V2883" s="141"/>
      <c r="W2883" s="141"/>
      <c r="X2883" s="141"/>
      <c r="Y2883" s="144"/>
      <c r="Z2883" s="141"/>
      <c r="AA2883" s="141"/>
      <c r="AB2883" s="141"/>
      <c r="AC2883" s="141"/>
      <c r="AD2883" s="141"/>
      <c r="AE2883" s="141"/>
      <c r="AF2883" s="145"/>
      <c r="AG2883" s="419"/>
    </row>
    <row r="2884" spans="1:33" s="139" customFormat="1" ht="12.75" customHeight="1" x14ac:dyDescent="0.2">
      <c r="A2884" s="141"/>
      <c r="B2884" s="141"/>
      <c r="C2884" s="141"/>
      <c r="D2884" s="141"/>
      <c r="E2884" s="1014"/>
      <c r="F2884" s="1014"/>
      <c r="G2884" s="1027"/>
      <c r="H2884" s="1027"/>
      <c r="I2884" s="1174"/>
      <c r="J2884" s="1174"/>
      <c r="K2884" s="1174"/>
      <c r="L2884" s="1172"/>
      <c r="M2884" s="1172"/>
      <c r="N2884" s="1175"/>
      <c r="O2884" s="143"/>
      <c r="P2884" s="1196"/>
      <c r="Q2884" s="141"/>
      <c r="R2884" s="141"/>
      <c r="S2884" s="148"/>
      <c r="T2884" s="419"/>
      <c r="U2884" s="559"/>
      <c r="V2884" s="141"/>
      <c r="W2884" s="141"/>
      <c r="X2884" s="141"/>
      <c r="Y2884" s="144"/>
      <c r="Z2884" s="141"/>
      <c r="AA2884" s="141"/>
      <c r="AB2884" s="141"/>
      <c r="AC2884" s="141"/>
      <c r="AD2884" s="141"/>
      <c r="AE2884" s="141"/>
      <c r="AF2884" s="145"/>
      <c r="AG2884" s="419"/>
    </row>
    <row r="2885" spans="1:33" s="139" customFormat="1" ht="12.75" customHeight="1" x14ac:dyDescent="0.2">
      <c r="A2885" s="141"/>
      <c r="B2885" s="141"/>
      <c r="C2885" s="141"/>
      <c r="D2885" s="141"/>
      <c r="E2885" s="1014"/>
      <c r="F2885" s="1014"/>
      <c r="G2885" s="1027"/>
      <c r="H2885" s="1027"/>
      <c r="I2885" s="1174"/>
      <c r="J2885" s="1174"/>
      <c r="K2885" s="1174"/>
      <c r="L2885" s="1172"/>
      <c r="M2885" s="1172"/>
      <c r="N2885" s="1175"/>
      <c r="O2885" s="143"/>
      <c r="P2885" s="1196"/>
      <c r="Q2885" s="141"/>
      <c r="R2885" s="141"/>
      <c r="S2885" s="148"/>
      <c r="T2885" s="419"/>
      <c r="U2885" s="559"/>
      <c r="V2885" s="141"/>
      <c r="W2885" s="141"/>
      <c r="X2885" s="141"/>
      <c r="Y2885" s="144"/>
      <c r="Z2885" s="141"/>
      <c r="AA2885" s="141"/>
      <c r="AB2885" s="141"/>
      <c r="AC2885" s="141"/>
      <c r="AD2885" s="141"/>
      <c r="AE2885" s="141"/>
      <c r="AF2885" s="145"/>
      <c r="AG2885" s="419"/>
    </row>
    <row r="2886" spans="1:33" s="139" customFormat="1" ht="12.75" customHeight="1" x14ac:dyDescent="0.2">
      <c r="A2886" s="141"/>
      <c r="B2886" s="141"/>
      <c r="C2886" s="141"/>
      <c r="D2886" s="141"/>
      <c r="E2886" s="1014"/>
      <c r="F2886" s="1014"/>
      <c r="G2886" s="1027"/>
      <c r="H2886" s="1027"/>
      <c r="I2886" s="1174"/>
      <c r="J2886" s="1174"/>
      <c r="K2886" s="1174"/>
      <c r="L2886" s="1172"/>
      <c r="M2886" s="1172"/>
      <c r="N2886" s="1175"/>
      <c r="O2886" s="143"/>
      <c r="P2886" s="1196"/>
      <c r="Q2886" s="141"/>
      <c r="R2886" s="141"/>
      <c r="S2886" s="148"/>
      <c r="T2886" s="419"/>
      <c r="U2886" s="559"/>
      <c r="V2886" s="141"/>
      <c r="W2886" s="141"/>
      <c r="X2886" s="141"/>
      <c r="Y2886" s="144"/>
      <c r="Z2886" s="141"/>
      <c r="AA2886" s="141"/>
      <c r="AB2886" s="141"/>
      <c r="AC2886" s="141"/>
      <c r="AD2886" s="141"/>
      <c r="AE2886" s="141"/>
      <c r="AF2886" s="145"/>
      <c r="AG2886" s="419"/>
    </row>
    <row r="2887" spans="1:33" s="139" customFormat="1" ht="12.75" customHeight="1" x14ac:dyDescent="0.2">
      <c r="A2887" s="141"/>
      <c r="B2887" s="141"/>
      <c r="C2887" s="141"/>
      <c r="D2887" s="141"/>
      <c r="E2887" s="1014"/>
      <c r="F2887" s="1014"/>
      <c r="G2887" s="1027"/>
      <c r="H2887" s="1027"/>
      <c r="I2887" s="1174"/>
      <c r="J2887" s="1174"/>
      <c r="K2887" s="1174"/>
      <c r="L2887" s="1172"/>
      <c r="M2887" s="1172"/>
      <c r="N2887" s="1175"/>
      <c r="O2887" s="143"/>
      <c r="P2887" s="1196"/>
      <c r="Q2887" s="141"/>
      <c r="R2887" s="141"/>
      <c r="S2887" s="148"/>
      <c r="T2887" s="419"/>
      <c r="U2887" s="559"/>
      <c r="V2887" s="141"/>
      <c r="W2887" s="141"/>
      <c r="X2887" s="141"/>
      <c r="Y2887" s="144"/>
      <c r="Z2887" s="141"/>
      <c r="AA2887" s="141"/>
      <c r="AB2887" s="141"/>
      <c r="AC2887" s="141"/>
      <c r="AD2887" s="141"/>
      <c r="AE2887" s="141"/>
      <c r="AF2887" s="145"/>
      <c r="AG2887" s="419"/>
    </row>
    <row r="2888" spans="1:33" s="139" customFormat="1" ht="12.75" customHeight="1" x14ac:dyDescent="0.2">
      <c r="A2888" s="141"/>
      <c r="B2888" s="141"/>
      <c r="C2888" s="141"/>
      <c r="D2888" s="141"/>
      <c r="E2888" s="1014"/>
      <c r="F2888" s="1014"/>
      <c r="G2888" s="1027"/>
      <c r="H2888" s="1027"/>
      <c r="I2888" s="1174"/>
      <c r="J2888" s="1174"/>
      <c r="K2888" s="1174"/>
      <c r="L2888" s="1172"/>
      <c r="M2888" s="1172"/>
      <c r="N2888" s="1175"/>
      <c r="O2888" s="143"/>
      <c r="P2888" s="1196"/>
      <c r="Q2888" s="141"/>
      <c r="R2888" s="141"/>
      <c r="S2888" s="148"/>
      <c r="T2888" s="419"/>
      <c r="U2888" s="559"/>
      <c r="V2888" s="141"/>
      <c r="W2888" s="141"/>
      <c r="X2888" s="141"/>
      <c r="Y2888" s="144"/>
      <c r="Z2888" s="141"/>
      <c r="AA2888" s="141"/>
      <c r="AB2888" s="141"/>
      <c r="AC2888" s="141"/>
      <c r="AD2888" s="141"/>
      <c r="AE2888" s="141"/>
      <c r="AF2888" s="145"/>
      <c r="AG2888" s="419"/>
    </row>
    <row r="2889" spans="1:33" s="139" customFormat="1" ht="12.75" customHeight="1" x14ac:dyDescent="0.2">
      <c r="A2889" s="141"/>
      <c r="B2889" s="141"/>
      <c r="C2889" s="141"/>
      <c r="D2889" s="141"/>
      <c r="E2889" s="1014"/>
      <c r="F2889" s="1014"/>
      <c r="G2889" s="1027"/>
      <c r="H2889" s="1027"/>
      <c r="I2889" s="1174"/>
      <c r="J2889" s="1174"/>
      <c r="K2889" s="1174"/>
      <c r="L2889" s="1172"/>
      <c r="M2889" s="1172"/>
      <c r="N2889" s="1175"/>
      <c r="O2889" s="143"/>
      <c r="P2889" s="1196"/>
      <c r="Q2889" s="141"/>
      <c r="R2889" s="141"/>
      <c r="S2889" s="148"/>
      <c r="T2889" s="419"/>
      <c r="U2889" s="559"/>
      <c r="V2889" s="141"/>
      <c r="W2889" s="141"/>
      <c r="X2889" s="141"/>
      <c r="Y2889" s="144"/>
      <c r="Z2889" s="141"/>
      <c r="AA2889" s="141"/>
      <c r="AB2889" s="141"/>
      <c r="AC2889" s="141"/>
      <c r="AD2889" s="141"/>
      <c r="AE2889" s="141"/>
      <c r="AF2889" s="145"/>
      <c r="AG2889" s="419"/>
    </row>
    <row r="2890" spans="1:33" s="139" customFormat="1" ht="12.75" customHeight="1" x14ac:dyDescent="0.2">
      <c r="A2890" s="141"/>
      <c r="B2890" s="141"/>
      <c r="C2890" s="141"/>
      <c r="D2890" s="141"/>
      <c r="E2890" s="1014"/>
      <c r="F2890" s="1014"/>
      <c r="G2890" s="1027"/>
      <c r="H2890" s="1027"/>
      <c r="I2890" s="1174"/>
      <c r="J2890" s="1174"/>
      <c r="K2890" s="1174"/>
      <c r="L2890" s="1172"/>
      <c r="M2890" s="1172"/>
      <c r="N2890" s="1175"/>
      <c r="O2890" s="143"/>
      <c r="P2890" s="1196"/>
      <c r="Q2890" s="141"/>
      <c r="R2890" s="141"/>
      <c r="S2890" s="148"/>
      <c r="T2890" s="419"/>
      <c r="U2890" s="559"/>
      <c r="V2890" s="141"/>
      <c r="W2890" s="141"/>
      <c r="X2890" s="141"/>
      <c r="Y2890" s="144"/>
      <c r="Z2890" s="141"/>
      <c r="AA2890" s="141"/>
      <c r="AB2890" s="141"/>
      <c r="AC2890" s="141"/>
      <c r="AD2890" s="141"/>
      <c r="AE2890" s="141"/>
      <c r="AF2890" s="145"/>
      <c r="AG2890" s="419"/>
    </row>
    <row r="2891" spans="1:33" s="139" customFormat="1" ht="12.75" customHeight="1" x14ac:dyDescent="0.2">
      <c r="A2891" s="141"/>
      <c r="B2891" s="141"/>
      <c r="C2891" s="141"/>
      <c r="D2891" s="141"/>
      <c r="E2891" s="1014"/>
      <c r="F2891" s="1014"/>
      <c r="G2891" s="1027"/>
      <c r="H2891" s="1027"/>
      <c r="I2891" s="1174"/>
      <c r="J2891" s="1174"/>
      <c r="K2891" s="1174"/>
      <c r="L2891" s="1172"/>
      <c r="M2891" s="1172"/>
      <c r="N2891" s="1175"/>
      <c r="O2891" s="143"/>
      <c r="P2891" s="1196"/>
      <c r="Q2891" s="141"/>
      <c r="R2891" s="141"/>
      <c r="S2891" s="148"/>
      <c r="T2891" s="419"/>
      <c r="U2891" s="559"/>
      <c r="V2891" s="141"/>
      <c r="W2891" s="141"/>
      <c r="X2891" s="141"/>
      <c r="Y2891" s="144"/>
      <c r="Z2891" s="141"/>
      <c r="AA2891" s="141"/>
      <c r="AB2891" s="141"/>
      <c r="AC2891" s="141"/>
      <c r="AD2891" s="141"/>
      <c r="AE2891" s="141"/>
      <c r="AF2891" s="145"/>
      <c r="AG2891" s="419"/>
    </row>
    <row r="2892" spans="1:33" s="139" customFormat="1" ht="12.75" customHeight="1" x14ac:dyDescent="0.2">
      <c r="A2892" s="141"/>
      <c r="B2892" s="141"/>
      <c r="C2892" s="141"/>
      <c r="D2892" s="141"/>
      <c r="E2892" s="1014"/>
      <c r="F2892" s="1014"/>
      <c r="G2892" s="1027"/>
      <c r="H2892" s="1027"/>
      <c r="I2892" s="1174"/>
      <c r="J2892" s="1174"/>
      <c r="K2892" s="1174"/>
      <c r="L2892" s="1172"/>
      <c r="M2892" s="1172"/>
      <c r="N2892" s="1175"/>
      <c r="O2892" s="143"/>
      <c r="P2892" s="1196"/>
      <c r="Q2892" s="141"/>
      <c r="R2892" s="141"/>
      <c r="S2892" s="148"/>
      <c r="T2892" s="419"/>
      <c r="U2892" s="559"/>
      <c r="V2892" s="141"/>
      <c r="W2892" s="141"/>
      <c r="X2892" s="141"/>
      <c r="Y2892" s="144"/>
      <c r="Z2892" s="141"/>
      <c r="AA2892" s="141"/>
      <c r="AB2892" s="141"/>
      <c r="AC2892" s="141"/>
      <c r="AD2892" s="141"/>
      <c r="AE2892" s="141"/>
      <c r="AF2892" s="145"/>
      <c r="AG2892" s="419"/>
    </row>
    <row r="2893" spans="1:33" s="139" customFormat="1" ht="12.75" customHeight="1" x14ac:dyDescent="0.2">
      <c r="A2893" s="141"/>
      <c r="B2893" s="141"/>
      <c r="C2893" s="141"/>
      <c r="D2893" s="141"/>
      <c r="E2893" s="1014"/>
      <c r="F2893" s="1014"/>
      <c r="G2893" s="1027"/>
      <c r="H2893" s="1027"/>
      <c r="I2893" s="1174"/>
      <c r="J2893" s="1174"/>
      <c r="K2893" s="1174"/>
      <c r="L2893" s="1172"/>
      <c r="M2893" s="1172"/>
      <c r="N2893" s="1175"/>
      <c r="O2893" s="143"/>
      <c r="P2893" s="1196"/>
      <c r="Q2893" s="141"/>
      <c r="R2893" s="141"/>
      <c r="S2893" s="148"/>
      <c r="T2893" s="419"/>
      <c r="U2893" s="559"/>
      <c r="V2893" s="141"/>
      <c r="W2893" s="141"/>
      <c r="X2893" s="141"/>
      <c r="Y2893" s="144"/>
      <c r="Z2893" s="141"/>
      <c r="AA2893" s="141"/>
      <c r="AB2893" s="141"/>
      <c r="AC2893" s="141"/>
      <c r="AD2893" s="141"/>
      <c r="AE2893" s="141"/>
      <c r="AF2893" s="145"/>
      <c r="AG2893" s="419"/>
    </row>
    <row r="2894" spans="1:33" s="139" customFormat="1" ht="12.75" customHeight="1" x14ac:dyDescent="0.2">
      <c r="A2894" s="141"/>
      <c r="B2894" s="141"/>
      <c r="C2894" s="141"/>
      <c r="D2894" s="141"/>
      <c r="E2894" s="1014"/>
      <c r="F2894" s="1014"/>
      <c r="G2894" s="1027"/>
      <c r="H2894" s="1027"/>
      <c r="I2894" s="1174"/>
      <c r="J2894" s="1174"/>
      <c r="K2894" s="1174"/>
      <c r="L2894" s="1172"/>
      <c r="M2894" s="1172"/>
      <c r="N2894" s="1175"/>
      <c r="O2894" s="143"/>
      <c r="P2894" s="1196"/>
      <c r="Q2894" s="141"/>
      <c r="R2894" s="141"/>
      <c r="S2894" s="148"/>
      <c r="T2894" s="419"/>
      <c r="U2894" s="559"/>
      <c r="V2894" s="141"/>
      <c r="W2894" s="141"/>
      <c r="X2894" s="141"/>
      <c r="Y2894" s="144"/>
      <c r="Z2894" s="141"/>
      <c r="AA2894" s="141"/>
      <c r="AB2894" s="141"/>
      <c r="AC2894" s="141"/>
      <c r="AD2894" s="141"/>
      <c r="AE2894" s="141"/>
      <c r="AF2894" s="145"/>
      <c r="AG2894" s="419"/>
    </row>
    <row r="2895" spans="1:33" s="139" customFormat="1" ht="12.75" customHeight="1" x14ac:dyDescent="0.2">
      <c r="A2895" s="141"/>
      <c r="B2895" s="141"/>
      <c r="C2895" s="141"/>
      <c r="D2895" s="141"/>
      <c r="E2895" s="1014"/>
      <c r="F2895" s="1014"/>
      <c r="G2895" s="1027"/>
      <c r="H2895" s="1027"/>
      <c r="I2895" s="1174"/>
      <c r="J2895" s="1174"/>
      <c r="K2895" s="1174"/>
      <c r="L2895" s="1172"/>
      <c r="M2895" s="1172"/>
      <c r="N2895" s="1175"/>
      <c r="O2895" s="143"/>
      <c r="P2895" s="1196"/>
      <c r="Q2895" s="141"/>
      <c r="R2895" s="141"/>
      <c r="S2895" s="148"/>
      <c r="T2895" s="419"/>
      <c r="U2895" s="559"/>
      <c r="V2895" s="141"/>
      <c r="W2895" s="141"/>
      <c r="X2895" s="141"/>
      <c r="Y2895" s="144"/>
      <c r="Z2895" s="141"/>
      <c r="AA2895" s="141"/>
      <c r="AB2895" s="141"/>
      <c r="AC2895" s="141"/>
      <c r="AD2895" s="141"/>
      <c r="AE2895" s="141"/>
      <c r="AF2895" s="145"/>
      <c r="AG2895" s="419"/>
    </row>
    <row r="2896" spans="1:33" s="139" customFormat="1" ht="12.75" customHeight="1" x14ac:dyDescent="0.2">
      <c r="A2896" s="141"/>
      <c r="B2896" s="141"/>
      <c r="C2896" s="141"/>
      <c r="D2896" s="141"/>
      <c r="E2896" s="1014"/>
      <c r="F2896" s="1014"/>
      <c r="G2896" s="1027"/>
      <c r="H2896" s="1027"/>
      <c r="I2896" s="1174"/>
      <c r="J2896" s="1174"/>
      <c r="K2896" s="1174"/>
      <c r="L2896" s="1172"/>
      <c r="M2896" s="1172"/>
      <c r="N2896" s="1175"/>
      <c r="O2896" s="143"/>
      <c r="P2896" s="1196"/>
      <c r="Q2896" s="141"/>
      <c r="R2896" s="141"/>
      <c r="S2896" s="148"/>
      <c r="T2896" s="419"/>
      <c r="U2896" s="559"/>
      <c r="V2896" s="141"/>
      <c r="W2896" s="141"/>
      <c r="X2896" s="141"/>
      <c r="Y2896" s="144"/>
      <c r="Z2896" s="141"/>
      <c r="AA2896" s="141"/>
      <c r="AB2896" s="141"/>
      <c r="AC2896" s="141"/>
      <c r="AD2896" s="141"/>
      <c r="AE2896" s="141"/>
      <c r="AF2896" s="145"/>
      <c r="AG2896" s="419"/>
    </row>
    <row r="2897" spans="1:33" s="139" customFormat="1" ht="12.75" customHeight="1" x14ac:dyDescent="0.2">
      <c r="A2897" s="141"/>
      <c r="B2897" s="141"/>
      <c r="C2897" s="141"/>
      <c r="D2897" s="141"/>
      <c r="E2897" s="1014"/>
      <c r="F2897" s="1014"/>
      <c r="G2897" s="1027"/>
      <c r="H2897" s="1027"/>
      <c r="I2897" s="1174"/>
      <c r="J2897" s="1174"/>
      <c r="K2897" s="1174"/>
      <c r="L2897" s="1172"/>
      <c r="M2897" s="1172"/>
      <c r="N2897" s="1175"/>
      <c r="O2897" s="143"/>
      <c r="P2897" s="1196"/>
      <c r="Q2897" s="141"/>
      <c r="R2897" s="141"/>
      <c r="S2897" s="148"/>
      <c r="T2897" s="419"/>
      <c r="U2897" s="559"/>
      <c r="V2897" s="141"/>
      <c r="W2897" s="141"/>
      <c r="X2897" s="141"/>
      <c r="Y2897" s="144"/>
      <c r="Z2897" s="141"/>
      <c r="AA2897" s="141"/>
      <c r="AB2897" s="141"/>
      <c r="AC2897" s="141"/>
      <c r="AD2897" s="141"/>
      <c r="AE2897" s="141"/>
      <c r="AF2897" s="145"/>
      <c r="AG2897" s="419"/>
    </row>
    <row r="2898" spans="1:33" s="139" customFormat="1" ht="12.75" customHeight="1" x14ac:dyDescent="0.2">
      <c r="A2898" s="141"/>
      <c r="B2898" s="141"/>
      <c r="C2898" s="141"/>
      <c r="D2898" s="141"/>
      <c r="E2898" s="1014"/>
      <c r="F2898" s="1014"/>
      <c r="G2898" s="1027"/>
      <c r="H2898" s="1027"/>
      <c r="I2898" s="1174"/>
      <c r="J2898" s="1174"/>
      <c r="K2898" s="1174"/>
      <c r="L2898" s="1172"/>
      <c r="M2898" s="1172"/>
      <c r="N2898" s="1175"/>
      <c r="O2898" s="143"/>
      <c r="P2898" s="1196"/>
      <c r="Q2898" s="141"/>
      <c r="R2898" s="141"/>
      <c r="S2898" s="148"/>
      <c r="T2898" s="419"/>
      <c r="U2898" s="559"/>
      <c r="V2898" s="141"/>
      <c r="W2898" s="141"/>
      <c r="X2898" s="141"/>
      <c r="Y2898" s="144"/>
      <c r="Z2898" s="141"/>
      <c r="AA2898" s="141"/>
      <c r="AB2898" s="141"/>
      <c r="AC2898" s="141"/>
      <c r="AD2898" s="141"/>
      <c r="AE2898" s="141"/>
      <c r="AF2898" s="145"/>
      <c r="AG2898" s="419"/>
    </row>
    <row r="2899" spans="1:33" s="139" customFormat="1" ht="12.75" customHeight="1" x14ac:dyDescent="0.2">
      <c r="A2899" s="141"/>
      <c r="B2899" s="141"/>
      <c r="C2899" s="141"/>
      <c r="D2899" s="141"/>
      <c r="E2899" s="1014"/>
      <c r="F2899" s="1014"/>
      <c r="G2899" s="1027"/>
      <c r="H2899" s="1027"/>
      <c r="I2899" s="1174"/>
      <c r="J2899" s="1174"/>
      <c r="K2899" s="1174"/>
      <c r="L2899" s="1172"/>
      <c r="M2899" s="1172"/>
      <c r="N2899" s="1175"/>
      <c r="O2899" s="143"/>
      <c r="P2899" s="1196"/>
      <c r="Q2899" s="141"/>
      <c r="R2899" s="141"/>
      <c r="S2899" s="148"/>
      <c r="T2899" s="419"/>
      <c r="U2899" s="559"/>
      <c r="V2899" s="141"/>
      <c r="W2899" s="141"/>
      <c r="X2899" s="141"/>
      <c r="Y2899" s="144"/>
      <c r="Z2899" s="141"/>
      <c r="AA2899" s="141"/>
      <c r="AB2899" s="141"/>
      <c r="AC2899" s="141"/>
      <c r="AD2899" s="141"/>
      <c r="AE2899" s="141"/>
      <c r="AF2899" s="145"/>
      <c r="AG2899" s="419"/>
    </row>
    <row r="2900" spans="1:33" s="139" customFormat="1" ht="12.75" customHeight="1" x14ac:dyDescent="0.2">
      <c r="A2900" s="141"/>
      <c r="B2900" s="141"/>
      <c r="C2900" s="141"/>
      <c r="D2900" s="141"/>
      <c r="E2900" s="1014"/>
      <c r="F2900" s="1014"/>
      <c r="G2900" s="1027"/>
      <c r="H2900" s="1027"/>
      <c r="I2900" s="1174"/>
      <c r="J2900" s="1174"/>
      <c r="K2900" s="1174"/>
      <c r="L2900" s="1172"/>
      <c r="M2900" s="1172"/>
      <c r="N2900" s="1175"/>
      <c r="O2900" s="143"/>
      <c r="P2900" s="1196"/>
      <c r="Q2900" s="141"/>
      <c r="R2900" s="141"/>
      <c r="S2900" s="148"/>
      <c r="T2900" s="419"/>
      <c r="U2900" s="559"/>
      <c r="V2900" s="141"/>
      <c r="W2900" s="141"/>
      <c r="X2900" s="141"/>
      <c r="Y2900" s="144"/>
      <c r="Z2900" s="141"/>
      <c r="AA2900" s="141"/>
      <c r="AB2900" s="141"/>
      <c r="AC2900" s="141"/>
      <c r="AD2900" s="141"/>
      <c r="AE2900" s="141"/>
      <c r="AF2900" s="145"/>
      <c r="AG2900" s="419"/>
    </row>
    <row r="2901" spans="1:33" s="139" customFormat="1" ht="12.75" customHeight="1" x14ac:dyDescent="0.2">
      <c r="A2901" s="141"/>
      <c r="B2901" s="141"/>
      <c r="C2901" s="141"/>
      <c r="D2901" s="141"/>
      <c r="E2901" s="1014"/>
      <c r="F2901" s="1014"/>
      <c r="G2901" s="1027"/>
      <c r="H2901" s="1027"/>
      <c r="I2901" s="1174"/>
      <c r="J2901" s="1174"/>
      <c r="K2901" s="1174"/>
      <c r="L2901" s="1172"/>
      <c r="M2901" s="1172"/>
      <c r="N2901" s="1175"/>
      <c r="O2901" s="143"/>
      <c r="P2901" s="1196"/>
      <c r="Q2901" s="141"/>
      <c r="R2901" s="141"/>
      <c r="S2901" s="148"/>
      <c r="T2901" s="419"/>
      <c r="U2901" s="559"/>
      <c r="V2901" s="141"/>
      <c r="W2901" s="141"/>
      <c r="X2901" s="141"/>
      <c r="Y2901" s="144"/>
      <c r="Z2901" s="141"/>
      <c r="AA2901" s="141"/>
      <c r="AB2901" s="141"/>
      <c r="AC2901" s="141"/>
      <c r="AD2901" s="141"/>
      <c r="AE2901" s="141"/>
      <c r="AF2901" s="145"/>
      <c r="AG2901" s="419"/>
    </row>
    <row r="2902" spans="1:33" s="139" customFormat="1" ht="12.75" customHeight="1" x14ac:dyDescent="0.2">
      <c r="A2902" s="141"/>
      <c r="B2902" s="141"/>
      <c r="C2902" s="141"/>
      <c r="D2902" s="141"/>
      <c r="E2902" s="1014"/>
      <c r="F2902" s="1014"/>
      <c r="G2902" s="1027"/>
      <c r="H2902" s="1027"/>
      <c r="I2902" s="1174"/>
      <c r="J2902" s="1174"/>
      <c r="K2902" s="1174"/>
      <c r="L2902" s="1172"/>
      <c r="M2902" s="1172"/>
      <c r="N2902" s="1175"/>
      <c r="O2902" s="143"/>
      <c r="P2902" s="1196"/>
      <c r="Q2902" s="141"/>
      <c r="R2902" s="141"/>
      <c r="S2902" s="148"/>
      <c r="T2902" s="419"/>
      <c r="U2902" s="559"/>
      <c r="V2902" s="141"/>
      <c r="W2902" s="141"/>
      <c r="X2902" s="141"/>
      <c r="Y2902" s="144"/>
      <c r="Z2902" s="141"/>
      <c r="AA2902" s="141"/>
      <c r="AB2902" s="141"/>
      <c r="AC2902" s="141"/>
      <c r="AD2902" s="141"/>
      <c r="AE2902" s="141"/>
      <c r="AF2902" s="145"/>
      <c r="AG2902" s="419"/>
    </row>
    <row r="2903" spans="1:33" s="139" customFormat="1" ht="12.75" customHeight="1" x14ac:dyDescent="0.2">
      <c r="A2903" s="141"/>
      <c r="B2903" s="141"/>
      <c r="C2903" s="141"/>
      <c r="D2903" s="141"/>
      <c r="E2903" s="1014"/>
      <c r="F2903" s="1014"/>
      <c r="G2903" s="1027"/>
      <c r="H2903" s="1027"/>
      <c r="I2903" s="1174"/>
      <c r="J2903" s="1174"/>
      <c r="K2903" s="1174"/>
      <c r="L2903" s="1172"/>
      <c r="M2903" s="1172"/>
      <c r="N2903" s="1175"/>
      <c r="O2903" s="143"/>
      <c r="P2903" s="1196"/>
      <c r="Q2903" s="141"/>
      <c r="R2903" s="141"/>
      <c r="S2903" s="148"/>
      <c r="T2903" s="419"/>
      <c r="U2903" s="559"/>
      <c r="V2903" s="141"/>
      <c r="W2903" s="141"/>
      <c r="X2903" s="141"/>
      <c r="Y2903" s="144"/>
      <c r="Z2903" s="141"/>
      <c r="AA2903" s="141"/>
      <c r="AB2903" s="141"/>
      <c r="AC2903" s="141"/>
      <c r="AD2903" s="141"/>
      <c r="AE2903" s="141"/>
      <c r="AF2903" s="145"/>
      <c r="AG2903" s="419"/>
    </row>
    <row r="2904" spans="1:33" s="139" customFormat="1" ht="12.75" customHeight="1" x14ac:dyDescent="0.2">
      <c r="A2904" s="141"/>
      <c r="B2904" s="141"/>
      <c r="C2904" s="141"/>
      <c r="D2904" s="141"/>
      <c r="E2904" s="1014"/>
      <c r="F2904" s="1014"/>
      <c r="G2904" s="1027"/>
      <c r="H2904" s="1027"/>
      <c r="I2904" s="1174"/>
      <c r="J2904" s="1174"/>
      <c r="K2904" s="1174"/>
      <c r="L2904" s="1172"/>
      <c r="M2904" s="1172"/>
      <c r="N2904" s="1175"/>
      <c r="O2904" s="143"/>
      <c r="P2904" s="1196"/>
      <c r="Q2904" s="141"/>
      <c r="R2904" s="141"/>
      <c r="S2904" s="148"/>
      <c r="T2904" s="419"/>
      <c r="U2904" s="559"/>
      <c r="V2904" s="141"/>
      <c r="W2904" s="141"/>
      <c r="X2904" s="141"/>
      <c r="Y2904" s="144"/>
      <c r="Z2904" s="141"/>
      <c r="AA2904" s="141"/>
      <c r="AB2904" s="141"/>
      <c r="AC2904" s="141"/>
      <c r="AD2904" s="141"/>
      <c r="AE2904" s="141"/>
      <c r="AF2904" s="145"/>
      <c r="AG2904" s="419"/>
    </row>
    <row r="2905" spans="1:33" s="139" customFormat="1" ht="12.75" customHeight="1" x14ac:dyDescent="0.2">
      <c r="A2905" s="141"/>
      <c r="B2905" s="141"/>
      <c r="C2905" s="141"/>
      <c r="D2905" s="141"/>
      <c r="E2905" s="1014"/>
      <c r="F2905" s="1014"/>
      <c r="G2905" s="1027"/>
      <c r="H2905" s="1027"/>
      <c r="I2905" s="1174"/>
      <c r="J2905" s="1174"/>
      <c r="K2905" s="1174"/>
      <c r="L2905" s="1172"/>
      <c r="M2905" s="1172"/>
      <c r="N2905" s="1175"/>
      <c r="O2905" s="143"/>
      <c r="P2905" s="1196"/>
      <c r="Q2905" s="141"/>
      <c r="R2905" s="141"/>
      <c r="S2905" s="148"/>
      <c r="T2905" s="419"/>
      <c r="U2905" s="559"/>
      <c r="V2905" s="141"/>
      <c r="W2905" s="141"/>
      <c r="X2905" s="141"/>
      <c r="Y2905" s="144"/>
      <c r="Z2905" s="141"/>
      <c r="AA2905" s="141"/>
      <c r="AB2905" s="141"/>
      <c r="AC2905" s="141"/>
      <c r="AD2905" s="141"/>
      <c r="AE2905" s="141"/>
      <c r="AF2905" s="145"/>
      <c r="AG2905" s="419"/>
    </row>
    <row r="2906" spans="1:33" s="139" customFormat="1" ht="12.75" customHeight="1" x14ac:dyDescent="0.2">
      <c r="A2906" s="141"/>
      <c r="B2906" s="141"/>
      <c r="C2906" s="141"/>
      <c r="D2906" s="141"/>
      <c r="E2906" s="1014"/>
      <c r="F2906" s="1014"/>
      <c r="G2906" s="1027"/>
      <c r="H2906" s="1027"/>
      <c r="I2906" s="1174"/>
      <c r="J2906" s="1174"/>
      <c r="K2906" s="1174"/>
      <c r="L2906" s="1172"/>
      <c r="M2906" s="1172"/>
      <c r="N2906" s="1175"/>
      <c r="O2906" s="143"/>
      <c r="P2906" s="1196"/>
      <c r="Q2906" s="141"/>
      <c r="R2906" s="141"/>
      <c r="S2906" s="148"/>
      <c r="T2906" s="419"/>
      <c r="U2906" s="559"/>
      <c r="V2906" s="141"/>
      <c r="W2906" s="141"/>
      <c r="X2906" s="141"/>
      <c r="Y2906" s="144"/>
      <c r="Z2906" s="141"/>
      <c r="AA2906" s="141"/>
      <c r="AB2906" s="141"/>
      <c r="AC2906" s="141"/>
      <c r="AD2906" s="141"/>
      <c r="AE2906" s="141"/>
      <c r="AF2906" s="145"/>
      <c r="AG2906" s="419"/>
    </row>
    <row r="2907" spans="1:33" s="139" customFormat="1" ht="12.75" customHeight="1" x14ac:dyDescent="0.2">
      <c r="A2907" s="141"/>
      <c r="B2907" s="141"/>
      <c r="C2907" s="141"/>
      <c r="D2907" s="141"/>
      <c r="E2907" s="1014"/>
      <c r="F2907" s="1014"/>
      <c r="G2907" s="1027"/>
      <c r="H2907" s="1027"/>
      <c r="I2907" s="1174"/>
      <c r="J2907" s="1174"/>
      <c r="K2907" s="1174"/>
      <c r="L2907" s="1172"/>
      <c r="M2907" s="1172"/>
      <c r="N2907" s="1175"/>
      <c r="O2907" s="143"/>
      <c r="P2907" s="1196"/>
      <c r="Q2907" s="141"/>
      <c r="R2907" s="141"/>
      <c r="S2907" s="148"/>
      <c r="T2907" s="419"/>
      <c r="U2907" s="559"/>
      <c r="V2907" s="141"/>
      <c r="W2907" s="141"/>
      <c r="X2907" s="141"/>
      <c r="Y2907" s="144"/>
      <c r="Z2907" s="141"/>
      <c r="AA2907" s="141"/>
      <c r="AB2907" s="141"/>
      <c r="AC2907" s="141"/>
      <c r="AD2907" s="141"/>
      <c r="AE2907" s="141"/>
      <c r="AF2907" s="145"/>
      <c r="AG2907" s="419"/>
    </row>
    <row r="2908" spans="1:33" s="139" customFormat="1" ht="12.75" customHeight="1" x14ac:dyDescent="0.2">
      <c r="A2908" s="141"/>
      <c r="B2908" s="141"/>
      <c r="C2908" s="141"/>
      <c r="D2908" s="141"/>
      <c r="E2908" s="1014"/>
      <c r="F2908" s="1014"/>
      <c r="G2908" s="1027"/>
      <c r="H2908" s="1027"/>
      <c r="I2908" s="1174"/>
      <c r="J2908" s="1174"/>
      <c r="K2908" s="1174"/>
      <c r="L2908" s="1172"/>
      <c r="M2908" s="1172"/>
      <c r="N2908" s="1175"/>
      <c r="O2908" s="143"/>
      <c r="P2908" s="1196"/>
      <c r="Q2908" s="141"/>
      <c r="R2908" s="141"/>
      <c r="S2908" s="148"/>
      <c r="T2908" s="419"/>
      <c r="U2908" s="559"/>
      <c r="V2908" s="141"/>
      <c r="W2908" s="141"/>
      <c r="X2908" s="141"/>
      <c r="Y2908" s="144"/>
      <c r="Z2908" s="141"/>
      <c r="AA2908" s="141"/>
      <c r="AB2908" s="141"/>
      <c r="AC2908" s="141"/>
      <c r="AD2908" s="141"/>
      <c r="AE2908" s="141"/>
      <c r="AF2908" s="145"/>
      <c r="AG2908" s="419"/>
    </row>
    <row r="2909" spans="1:33" s="139" customFormat="1" ht="12.75" customHeight="1" x14ac:dyDescent="0.2">
      <c r="A2909" s="141"/>
      <c r="B2909" s="141"/>
      <c r="C2909" s="141"/>
      <c r="D2909" s="141"/>
      <c r="E2909" s="1014"/>
      <c r="F2909" s="1014"/>
      <c r="G2909" s="1027"/>
      <c r="H2909" s="1027"/>
      <c r="I2909" s="1174"/>
      <c r="J2909" s="1174"/>
      <c r="K2909" s="1174"/>
      <c r="L2909" s="1172"/>
      <c r="M2909" s="1172"/>
      <c r="N2909" s="1175"/>
      <c r="O2909" s="143"/>
      <c r="P2909" s="1196"/>
      <c r="Q2909" s="141"/>
      <c r="R2909" s="141"/>
      <c r="S2909" s="148"/>
      <c r="T2909" s="419"/>
      <c r="U2909" s="559"/>
      <c r="V2909" s="141"/>
      <c r="W2909" s="141"/>
      <c r="X2909" s="141"/>
      <c r="Y2909" s="144"/>
      <c r="Z2909" s="141"/>
      <c r="AA2909" s="141"/>
      <c r="AB2909" s="141"/>
      <c r="AC2909" s="141"/>
      <c r="AD2909" s="141"/>
      <c r="AE2909" s="141"/>
      <c r="AF2909" s="145"/>
      <c r="AG2909" s="419"/>
    </row>
    <row r="2910" spans="1:33" s="139" customFormat="1" ht="12.75" customHeight="1" x14ac:dyDescent="0.2">
      <c r="A2910" s="141"/>
      <c r="B2910" s="141"/>
      <c r="C2910" s="141"/>
      <c r="D2910" s="141"/>
      <c r="E2910" s="1014"/>
      <c r="F2910" s="1014"/>
      <c r="G2910" s="1027"/>
      <c r="H2910" s="1027"/>
      <c r="I2910" s="1174"/>
      <c r="J2910" s="1174"/>
      <c r="K2910" s="1174"/>
      <c r="L2910" s="1172"/>
      <c r="M2910" s="1172"/>
      <c r="N2910" s="1175"/>
      <c r="O2910" s="143"/>
      <c r="P2910" s="1196"/>
      <c r="Q2910" s="141"/>
      <c r="R2910" s="141"/>
      <c r="S2910" s="148"/>
      <c r="T2910" s="419"/>
      <c r="U2910" s="559"/>
      <c r="V2910" s="141"/>
      <c r="W2910" s="141"/>
      <c r="X2910" s="141"/>
      <c r="Y2910" s="144"/>
      <c r="Z2910" s="141"/>
      <c r="AA2910" s="141"/>
      <c r="AB2910" s="141"/>
      <c r="AC2910" s="141"/>
      <c r="AD2910" s="141"/>
      <c r="AE2910" s="141"/>
      <c r="AF2910" s="145"/>
      <c r="AG2910" s="419"/>
    </row>
    <row r="2911" spans="1:33" s="139" customFormat="1" ht="12.75" customHeight="1" x14ac:dyDescent="0.2">
      <c r="A2911" s="141"/>
      <c r="B2911" s="141"/>
      <c r="C2911" s="141"/>
      <c r="D2911" s="141"/>
      <c r="E2911" s="1014"/>
      <c r="F2911" s="1014"/>
      <c r="G2911" s="1027"/>
      <c r="H2911" s="1027"/>
      <c r="I2911" s="1174"/>
      <c r="J2911" s="1174"/>
      <c r="K2911" s="1174"/>
      <c r="L2911" s="1172"/>
      <c r="M2911" s="1172"/>
      <c r="N2911" s="1175"/>
      <c r="O2911" s="143"/>
      <c r="P2911" s="1196"/>
      <c r="Q2911" s="141"/>
      <c r="R2911" s="141"/>
      <c r="S2911" s="148"/>
      <c r="T2911" s="419"/>
      <c r="U2911" s="559"/>
      <c r="V2911" s="141"/>
      <c r="W2911" s="141"/>
      <c r="X2911" s="141"/>
      <c r="Y2911" s="144"/>
      <c r="Z2911" s="141"/>
      <c r="AA2911" s="141"/>
      <c r="AB2911" s="141"/>
      <c r="AC2911" s="141"/>
      <c r="AD2911" s="141"/>
      <c r="AE2911" s="141"/>
      <c r="AF2911" s="145"/>
      <c r="AG2911" s="419"/>
    </row>
    <row r="2912" spans="1:33" s="139" customFormat="1" ht="12.75" customHeight="1" x14ac:dyDescent="0.2">
      <c r="A2912" s="141"/>
      <c r="B2912" s="141"/>
      <c r="C2912" s="141"/>
      <c r="D2912" s="141"/>
      <c r="E2912" s="1014"/>
      <c r="F2912" s="1014"/>
      <c r="G2912" s="1027"/>
      <c r="H2912" s="1027"/>
      <c r="I2912" s="1174"/>
      <c r="J2912" s="1174"/>
      <c r="K2912" s="1174"/>
      <c r="L2912" s="1172"/>
      <c r="M2912" s="1172"/>
      <c r="N2912" s="1175"/>
      <c r="O2912" s="143"/>
      <c r="P2912" s="1196"/>
      <c r="Q2912" s="141"/>
      <c r="R2912" s="141"/>
      <c r="S2912" s="148"/>
      <c r="T2912" s="419"/>
      <c r="U2912" s="559"/>
      <c r="V2912" s="141"/>
      <c r="W2912" s="141"/>
      <c r="X2912" s="141"/>
      <c r="Y2912" s="144"/>
      <c r="Z2912" s="141"/>
      <c r="AA2912" s="141"/>
      <c r="AB2912" s="141"/>
      <c r="AC2912" s="141"/>
      <c r="AD2912" s="141"/>
      <c r="AE2912" s="141"/>
      <c r="AF2912" s="145"/>
      <c r="AG2912" s="419"/>
    </row>
    <row r="2913" spans="1:33" s="139" customFormat="1" ht="12.75" customHeight="1" x14ac:dyDescent="0.2">
      <c r="A2913" s="141"/>
      <c r="B2913" s="141"/>
      <c r="C2913" s="141"/>
      <c r="D2913" s="141"/>
      <c r="E2913" s="1014"/>
      <c r="F2913" s="1014"/>
      <c r="G2913" s="1027"/>
      <c r="H2913" s="1027"/>
      <c r="I2913" s="1174"/>
      <c r="J2913" s="1174"/>
      <c r="K2913" s="1174"/>
      <c r="L2913" s="1172"/>
      <c r="M2913" s="1172"/>
      <c r="N2913" s="1175"/>
      <c r="O2913" s="143"/>
      <c r="P2913" s="1196"/>
      <c r="Q2913" s="141"/>
      <c r="R2913" s="141"/>
      <c r="S2913" s="148"/>
      <c r="T2913" s="419"/>
      <c r="U2913" s="559"/>
      <c r="V2913" s="141"/>
      <c r="W2913" s="141"/>
      <c r="X2913" s="141"/>
      <c r="Y2913" s="144"/>
      <c r="Z2913" s="141"/>
      <c r="AA2913" s="141"/>
      <c r="AB2913" s="141"/>
      <c r="AC2913" s="141"/>
      <c r="AD2913" s="141"/>
      <c r="AE2913" s="141"/>
      <c r="AF2913" s="145"/>
      <c r="AG2913" s="419"/>
    </row>
    <row r="2914" spans="1:33" s="139" customFormat="1" ht="12.75" customHeight="1" x14ac:dyDescent="0.2">
      <c r="A2914" s="141"/>
      <c r="B2914" s="141"/>
      <c r="C2914" s="141"/>
      <c r="D2914" s="141"/>
      <c r="E2914" s="1014"/>
      <c r="F2914" s="1014"/>
      <c r="G2914" s="1027"/>
      <c r="H2914" s="1027"/>
      <c r="I2914" s="1174"/>
      <c r="J2914" s="1174"/>
      <c r="K2914" s="1174"/>
      <c r="L2914" s="1172"/>
      <c r="M2914" s="1172"/>
      <c r="N2914" s="1175"/>
      <c r="O2914" s="143"/>
      <c r="P2914" s="1196"/>
      <c r="Q2914" s="141"/>
      <c r="R2914" s="141"/>
      <c r="S2914" s="148"/>
      <c r="T2914" s="419"/>
      <c r="U2914" s="559"/>
      <c r="V2914" s="141"/>
      <c r="W2914" s="141"/>
      <c r="X2914" s="141"/>
      <c r="Y2914" s="144"/>
      <c r="Z2914" s="141"/>
      <c r="AA2914" s="141"/>
      <c r="AB2914" s="141"/>
      <c r="AC2914" s="141"/>
      <c r="AD2914" s="141"/>
      <c r="AE2914" s="141"/>
      <c r="AF2914" s="145"/>
      <c r="AG2914" s="419"/>
    </row>
    <row r="2915" spans="1:33" s="139" customFormat="1" ht="12.75" customHeight="1" x14ac:dyDescent="0.2">
      <c r="A2915" s="141"/>
      <c r="B2915" s="141"/>
      <c r="C2915" s="141"/>
      <c r="D2915" s="141"/>
      <c r="E2915" s="1014"/>
      <c r="F2915" s="1014"/>
      <c r="G2915" s="1027"/>
      <c r="H2915" s="1027"/>
      <c r="I2915" s="1174"/>
      <c r="J2915" s="1174"/>
      <c r="K2915" s="1174"/>
      <c r="L2915" s="1172"/>
      <c r="M2915" s="1172"/>
      <c r="N2915" s="1175"/>
      <c r="O2915" s="143"/>
      <c r="P2915" s="1196"/>
      <c r="Q2915" s="141"/>
      <c r="R2915" s="141"/>
      <c r="S2915" s="148"/>
      <c r="T2915" s="419"/>
      <c r="U2915" s="559"/>
      <c r="V2915" s="141"/>
      <c r="W2915" s="141"/>
      <c r="X2915" s="141"/>
      <c r="Y2915" s="144"/>
      <c r="Z2915" s="141"/>
      <c r="AA2915" s="141"/>
      <c r="AB2915" s="141"/>
      <c r="AC2915" s="141"/>
      <c r="AD2915" s="141"/>
      <c r="AE2915" s="141"/>
      <c r="AF2915" s="145"/>
      <c r="AG2915" s="419"/>
    </row>
    <row r="2916" spans="1:33" s="139" customFormat="1" ht="12.75" customHeight="1" x14ac:dyDescent="0.2">
      <c r="A2916" s="141"/>
      <c r="B2916" s="141"/>
      <c r="C2916" s="141"/>
      <c r="D2916" s="141"/>
      <c r="E2916" s="1014"/>
      <c r="F2916" s="1014"/>
      <c r="G2916" s="1027"/>
      <c r="H2916" s="1027"/>
      <c r="I2916" s="1174"/>
      <c r="J2916" s="1174"/>
      <c r="K2916" s="1174"/>
      <c r="L2916" s="1172"/>
      <c r="M2916" s="1172"/>
      <c r="N2916" s="1175"/>
      <c r="O2916" s="143"/>
      <c r="P2916" s="1196"/>
      <c r="Q2916" s="141"/>
      <c r="R2916" s="141"/>
      <c r="S2916" s="148"/>
      <c r="T2916" s="419"/>
      <c r="U2916" s="559"/>
      <c r="V2916" s="141"/>
      <c r="W2916" s="141"/>
      <c r="X2916" s="141"/>
      <c r="Y2916" s="144"/>
      <c r="Z2916" s="141"/>
      <c r="AA2916" s="141"/>
      <c r="AB2916" s="141"/>
      <c r="AC2916" s="141"/>
      <c r="AD2916" s="141"/>
      <c r="AE2916" s="141"/>
      <c r="AF2916" s="145"/>
      <c r="AG2916" s="419"/>
    </row>
    <row r="2917" spans="1:33" s="139" customFormat="1" ht="12.75" customHeight="1" x14ac:dyDescent="0.2">
      <c r="A2917" s="141"/>
      <c r="B2917" s="141"/>
      <c r="C2917" s="141"/>
      <c r="D2917" s="141"/>
      <c r="E2917" s="1014"/>
      <c r="F2917" s="1014"/>
      <c r="G2917" s="1027"/>
      <c r="H2917" s="1027"/>
      <c r="I2917" s="1174"/>
      <c r="J2917" s="1174"/>
      <c r="K2917" s="1174"/>
      <c r="L2917" s="1172"/>
      <c r="M2917" s="1172"/>
      <c r="N2917" s="1175"/>
      <c r="O2917" s="143"/>
      <c r="P2917" s="1196"/>
      <c r="Q2917" s="141"/>
      <c r="R2917" s="141"/>
      <c r="S2917" s="148"/>
      <c r="T2917" s="419"/>
      <c r="U2917" s="559"/>
      <c r="V2917" s="141"/>
      <c r="W2917" s="141"/>
      <c r="X2917" s="141"/>
      <c r="Y2917" s="144"/>
      <c r="Z2917" s="141"/>
      <c r="AA2917" s="141"/>
      <c r="AB2917" s="141"/>
      <c r="AC2917" s="141"/>
      <c r="AD2917" s="141"/>
      <c r="AE2917" s="141"/>
      <c r="AF2917" s="145"/>
      <c r="AG2917" s="419"/>
    </row>
    <row r="2918" spans="1:33" s="139" customFormat="1" ht="12.75" customHeight="1" x14ac:dyDescent="0.2">
      <c r="A2918" s="141"/>
      <c r="B2918" s="141"/>
      <c r="C2918" s="141"/>
      <c r="D2918" s="141"/>
      <c r="E2918" s="1014"/>
      <c r="F2918" s="1014"/>
      <c r="G2918" s="1027"/>
      <c r="H2918" s="1027"/>
      <c r="I2918" s="1174"/>
      <c r="J2918" s="1174"/>
      <c r="K2918" s="1174"/>
      <c r="L2918" s="1172"/>
      <c r="M2918" s="1172"/>
      <c r="N2918" s="1175"/>
      <c r="O2918" s="143"/>
      <c r="P2918" s="1196"/>
      <c r="Q2918" s="141"/>
      <c r="R2918" s="141"/>
      <c r="S2918" s="148"/>
      <c r="T2918" s="419"/>
      <c r="U2918" s="559"/>
      <c r="V2918" s="141"/>
      <c r="W2918" s="141"/>
      <c r="X2918" s="141"/>
      <c r="Y2918" s="144"/>
      <c r="Z2918" s="141"/>
      <c r="AA2918" s="141"/>
      <c r="AB2918" s="141"/>
      <c r="AC2918" s="141"/>
      <c r="AD2918" s="141"/>
      <c r="AE2918" s="141"/>
      <c r="AF2918" s="145"/>
      <c r="AG2918" s="419"/>
    </row>
    <row r="2919" spans="1:33" s="139" customFormat="1" ht="12.75" customHeight="1" x14ac:dyDescent="0.2">
      <c r="A2919" s="141"/>
      <c r="B2919" s="141"/>
      <c r="C2919" s="141"/>
      <c r="D2919" s="141"/>
      <c r="E2919" s="1014"/>
      <c r="F2919" s="1014"/>
      <c r="G2919" s="1027"/>
      <c r="H2919" s="1027"/>
      <c r="I2919" s="1174"/>
      <c r="J2919" s="1174"/>
      <c r="K2919" s="1174"/>
      <c r="L2919" s="1172"/>
      <c r="M2919" s="1172"/>
      <c r="N2919" s="1175"/>
      <c r="O2919" s="143"/>
      <c r="P2919" s="1196"/>
      <c r="Q2919" s="141"/>
      <c r="R2919" s="141"/>
      <c r="S2919" s="148"/>
      <c r="T2919" s="419"/>
      <c r="U2919" s="559"/>
      <c r="V2919" s="141"/>
      <c r="W2919" s="141"/>
      <c r="X2919" s="141"/>
      <c r="Y2919" s="144"/>
      <c r="Z2919" s="141"/>
      <c r="AA2919" s="141"/>
      <c r="AB2919" s="141"/>
      <c r="AC2919" s="141"/>
      <c r="AD2919" s="141"/>
      <c r="AE2919" s="141"/>
      <c r="AF2919" s="145"/>
      <c r="AG2919" s="419"/>
    </row>
    <row r="2920" spans="1:33" s="139" customFormat="1" ht="12.75" customHeight="1" x14ac:dyDescent="0.2">
      <c r="A2920" s="141"/>
      <c r="B2920" s="141"/>
      <c r="C2920" s="141"/>
      <c r="D2920" s="141"/>
      <c r="E2920" s="1014"/>
      <c r="F2920" s="1014"/>
      <c r="G2920" s="1027"/>
      <c r="H2920" s="1027"/>
      <c r="I2920" s="1174"/>
      <c r="J2920" s="1174"/>
      <c r="K2920" s="1174"/>
      <c r="L2920" s="1172"/>
      <c r="M2920" s="1172"/>
      <c r="N2920" s="1175"/>
      <c r="O2920" s="143"/>
      <c r="P2920" s="1196"/>
      <c r="Q2920" s="141"/>
      <c r="R2920" s="141"/>
      <c r="S2920" s="148"/>
      <c r="T2920" s="419"/>
      <c r="U2920" s="559"/>
      <c r="V2920" s="141"/>
      <c r="W2920" s="141"/>
      <c r="X2920" s="141"/>
      <c r="Y2920" s="144"/>
      <c r="Z2920" s="141"/>
      <c r="AA2920" s="141"/>
      <c r="AB2920" s="141"/>
      <c r="AC2920" s="141"/>
      <c r="AD2920" s="141"/>
      <c r="AE2920" s="141"/>
      <c r="AF2920" s="145"/>
      <c r="AG2920" s="419"/>
    </row>
    <row r="2921" spans="1:33" s="139" customFormat="1" ht="12.75" customHeight="1" x14ac:dyDescent="0.2">
      <c r="A2921" s="141"/>
      <c r="B2921" s="141"/>
      <c r="C2921" s="141"/>
      <c r="D2921" s="141"/>
      <c r="E2921" s="1014"/>
      <c r="F2921" s="1014"/>
      <c r="G2921" s="1027"/>
      <c r="H2921" s="1027"/>
      <c r="I2921" s="1174"/>
      <c r="J2921" s="1174"/>
      <c r="K2921" s="1174"/>
      <c r="L2921" s="1172"/>
      <c r="M2921" s="1172"/>
      <c r="N2921" s="1175"/>
      <c r="O2921" s="143"/>
      <c r="P2921" s="1196"/>
      <c r="Q2921" s="141"/>
      <c r="R2921" s="141"/>
      <c r="S2921" s="148"/>
      <c r="T2921" s="419"/>
      <c r="U2921" s="559"/>
      <c r="V2921" s="141"/>
      <c r="W2921" s="141"/>
      <c r="X2921" s="141"/>
      <c r="Y2921" s="144"/>
      <c r="Z2921" s="141"/>
      <c r="AA2921" s="141"/>
      <c r="AB2921" s="141"/>
      <c r="AC2921" s="141"/>
      <c r="AD2921" s="141"/>
      <c r="AE2921" s="141"/>
      <c r="AF2921" s="145"/>
      <c r="AG2921" s="419"/>
    </row>
    <row r="2922" spans="1:33" s="139" customFormat="1" ht="12.75" customHeight="1" x14ac:dyDescent="0.2">
      <c r="A2922" s="141"/>
      <c r="B2922" s="141"/>
      <c r="C2922" s="141"/>
      <c r="D2922" s="141"/>
      <c r="E2922" s="1014"/>
      <c r="F2922" s="1014"/>
      <c r="G2922" s="1027"/>
      <c r="H2922" s="1027"/>
      <c r="I2922" s="1174"/>
      <c r="J2922" s="1174"/>
      <c r="K2922" s="1174"/>
      <c r="L2922" s="1172"/>
      <c r="M2922" s="1172"/>
      <c r="N2922" s="1175"/>
      <c r="O2922" s="143"/>
      <c r="P2922" s="1196"/>
      <c r="Q2922" s="141"/>
      <c r="R2922" s="141"/>
      <c r="S2922" s="148"/>
      <c r="T2922" s="419"/>
      <c r="U2922" s="559"/>
      <c r="V2922" s="141"/>
      <c r="W2922" s="141"/>
      <c r="X2922" s="141"/>
      <c r="Y2922" s="144"/>
      <c r="Z2922" s="141"/>
      <c r="AA2922" s="141"/>
      <c r="AB2922" s="141"/>
      <c r="AC2922" s="141"/>
      <c r="AD2922" s="141"/>
      <c r="AE2922" s="141"/>
      <c r="AF2922" s="145"/>
      <c r="AG2922" s="419"/>
    </row>
    <row r="2923" spans="1:33" s="139" customFormat="1" ht="12.75" customHeight="1" x14ac:dyDescent="0.2">
      <c r="A2923" s="141"/>
      <c r="B2923" s="141"/>
      <c r="C2923" s="141"/>
      <c r="D2923" s="141"/>
      <c r="E2923" s="1014"/>
      <c r="F2923" s="1014"/>
      <c r="G2923" s="1027"/>
      <c r="H2923" s="1027"/>
      <c r="I2923" s="1174"/>
      <c r="J2923" s="1174"/>
      <c r="K2923" s="1174"/>
      <c r="L2923" s="1172"/>
      <c r="M2923" s="1172"/>
      <c r="N2923" s="1175"/>
      <c r="O2923" s="143"/>
      <c r="P2923" s="1196"/>
      <c r="Q2923" s="141"/>
      <c r="R2923" s="141"/>
      <c r="S2923" s="148"/>
      <c r="T2923" s="419"/>
      <c r="U2923" s="559"/>
      <c r="V2923" s="141"/>
      <c r="W2923" s="141"/>
      <c r="X2923" s="141"/>
      <c r="Y2923" s="144"/>
      <c r="Z2923" s="141"/>
      <c r="AA2923" s="141"/>
      <c r="AB2923" s="141"/>
      <c r="AC2923" s="141"/>
      <c r="AD2923" s="141"/>
      <c r="AE2923" s="141"/>
      <c r="AF2923" s="145"/>
      <c r="AG2923" s="419"/>
    </row>
    <row r="2924" spans="1:33" s="139" customFormat="1" ht="12.75" customHeight="1" x14ac:dyDescent="0.2">
      <c r="A2924" s="141"/>
      <c r="B2924" s="141"/>
      <c r="C2924" s="141"/>
      <c r="D2924" s="141"/>
      <c r="E2924" s="1014"/>
      <c r="F2924" s="1014"/>
      <c r="G2924" s="1027"/>
      <c r="H2924" s="1027"/>
      <c r="I2924" s="1174"/>
      <c r="J2924" s="1174"/>
      <c r="K2924" s="1174"/>
      <c r="L2924" s="1172"/>
      <c r="M2924" s="1172"/>
      <c r="N2924" s="1175"/>
      <c r="O2924" s="143"/>
      <c r="P2924" s="1196"/>
      <c r="Q2924" s="141"/>
      <c r="R2924" s="141"/>
      <c r="S2924" s="148"/>
      <c r="T2924" s="419"/>
      <c r="U2924" s="559"/>
      <c r="V2924" s="141"/>
      <c r="W2924" s="141"/>
      <c r="X2924" s="141"/>
      <c r="Y2924" s="144"/>
      <c r="Z2924" s="141"/>
      <c r="AA2924" s="141"/>
      <c r="AB2924" s="141"/>
      <c r="AC2924" s="141"/>
      <c r="AD2924" s="141"/>
      <c r="AE2924" s="141"/>
      <c r="AF2924" s="145"/>
      <c r="AG2924" s="419"/>
    </row>
    <row r="2925" spans="1:33" s="139" customFormat="1" ht="12.75" customHeight="1" x14ac:dyDescent="0.2">
      <c r="A2925" s="141"/>
      <c r="B2925" s="141"/>
      <c r="C2925" s="141"/>
      <c r="D2925" s="141"/>
      <c r="E2925" s="1014"/>
      <c r="F2925" s="1014"/>
      <c r="G2925" s="1027"/>
      <c r="H2925" s="1027"/>
      <c r="I2925" s="1174"/>
      <c r="J2925" s="1174"/>
      <c r="K2925" s="1174"/>
      <c r="L2925" s="1172"/>
      <c r="M2925" s="1172"/>
      <c r="N2925" s="1175"/>
      <c r="O2925" s="143"/>
      <c r="P2925" s="1196"/>
      <c r="Q2925" s="141"/>
      <c r="R2925" s="141"/>
      <c r="S2925" s="148"/>
      <c r="T2925" s="419"/>
      <c r="U2925" s="559"/>
      <c r="V2925" s="141"/>
      <c r="W2925" s="141"/>
      <c r="X2925" s="141"/>
      <c r="Y2925" s="144"/>
      <c r="Z2925" s="141"/>
      <c r="AA2925" s="141"/>
      <c r="AB2925" s="141"/>
      <c r="AC2925" s="141"/>
      <c r="AD2925" s="141"/>
      <c r="AE2925" s="141"/>
      <c r="AF2925" s="145"/>
      <c r="AG2925" s="419"/>
    </row>
    <row r="2926" spans="1:33" s="139" customFormat="1" ht="12.75" customHeight="1" x14ac:dyDescent="0.2">
      <c r="A2926" s="141"/>
      <c r="B2926" s="141"/>
      <c r="C2926" s="141"/>
      <c r="D2926" s="141"/>
      <c r="E2926" s="1014"/>
      <c r="F2926" s="1014"/>
      <c r="G2926" s="1027"/>
      <c r="H2926" s="1027"/>
      <c r="I2926" s="1174"/>
      <c r="J2926" s="1174"/>
      <c r="K2926" s="1174"/>
      <c r="L2926" s="1172"/>
      <c r="M2926" s="1172"/>
      <c r="N2926" s="1175"/>
      <c r="O2926" s="143"/>
      <c r="P2926" s="1196"/>
      <c r="Q2926" s="141"/>
      <c r="R2926" s="141"/>
      <c r="S2926" s="148"/>
      <c r="T2926" s="419"/>
      <c r="U2926" s="559"/>
      <c r="V2926" s="141"/>
      <c r="W2926" s="141"/>
      <c r="X2926" s="141"/>
      <c r="Y2926" s="144"/>
      <c r="Z2926" s="141"/>
      <c r="AA2926" s="141"/>
      <c r="AB2926" s="141"/>
      <c r="AC2926" s="141"/>
      <c r="AD2926" s="141"/>
      <c r="AE2926" s="141"/>
      <c r="AF2926" s="145"/>
      <c r="AG2926" s="419"/>
    </row>
    <row r="2927" spans="1:33" s="139" customFormat="1" ht="12.75" customHeight="1" x14ac:dyDescent="0.2">
      <c r="A2927" s="141"/>
      <c r="B2927" s="141"/>
      <c r="C2927" s="141"/>
      <c r="D2927" s="141"/>
      <c r="E2927" s="1014"/>
      <c r="F2927" s="1014"/>
      <c r="G2927" s="1027"/>
      <c r="H2927" s="1027"/>
      <c r="I2927" s="1174"/>
      <c r="J2927" s="1174"/>
      <c r="K2927" s="1174"/>
      <c r="L2927" s="1172"/>
      <c r="M2927" s="1172"/>
      <c r="N2927" s="1175"/>
      <c r="O2927" s="143"/>
      <c r="P2927" s="1196"/>
      <c r="Q2927" s="141"/>
      <c r="R2927" s="141"/>
      <c r="S2927" s="148"/>
      <c r="T2927" s="419"/>
      <c r="U2927" s="559"/>
      <c r="V2927" s="141"/>
      <c r="W2927" s="141"/>
      <c r="X2927" s="141"/>
      <c r="Y2927" s="144"/>
      <c r="Z2927" s="141"/>
      <c r="AA2927" s="141"/>
      <c r="AB2927" s="141"/>
      <c r="AC2927" s="141"/>
      <c r="AD2927" s="141"/>
      <c r="AE2927" s="141"/>
      <c r="AF2927" s="145"/>
      <c r="AG2927" s="419"/>
    </row>
    <row r="2928" spans="1:33" s="139" customFormat="1" ht="12.75" customHeight="1" x14ac:dyDescent="0.2">
      <c r="A2928" s="141"/>
      <c r="B2928" s="141"/>
      <c r="C2928" s="141"/>
      <c r="D2928" s="141"/>
      <c r="E2928" s="1014"/>
      <c r="F2928" s="1014"/>
      <c r="G2928" s="1027"/>
      <c r="H2928" s="1027"/>
      <c r="I2928" s="1174"/>
      <c r="J2928" s="1174"/>
      <c r="K2928" s="1174"/>
      <c r="L2928" s="1172"/>
      <c r="M2928" s="1172"/>
      <c r="N2928" s="1175"/>
      <c r="O2928" s="143"/>
      <c r="P2928" s="1196"/>
      <c r="Q2928" s="141"/>
      <c r="R2928" s="141"/>
      <c r="S2928" s="148"/>
      <c r="T2928" s="419"/>
      <c r="U2928" s="559"/>
      <c r="V2928" s="141"/>
      <c r="W2928" s="141"/>
      <c r="X2928" s="141"/>
      <c r="Y2928" s="144"/>
      <c r="Z2928" s="141"/>
      <c r="AA2928" s="141"/>
      <c r="AB2928" s="141"/>
      <c r="AC2928" s="141"/>
      <c r="AD2928" s="141"/>
      <c r="AE2928" s="141"/>
      <c r="AF2928" s="145"/>
      <c r="AG2928" s="419"/>
    </row>
    <row r="2929" spans="1:33" s="139" customFormat="1" ht="12.75" customHeight="1" x14ac:dyDescent="0.2">
      <c r="A2929" s="141"/>
      <c r="B2929" s="141"/>
      <c r="C2929" s="141"/>
      <c r="D2929" s="141"/>
      <c r="E2929" s="1014"/>
      <c r="F2929" s="1014"/>
      <c r="G2929" s="1027"/>
      <c r="H2929" s="1027"/>
      <c r="I2929" s="1174"/>
      <c r="J2929" s="1174"/>
      <c r="K2929" s="1174"/>
      <c r="L2929" s="1172"/>
      <c r="M2929" s="1172"/>
      <c r="N2929" s="1175"/>
      <c r="O2929" s="143"/>
      <c r="P2929" s="1196"/>
      <c r="Q2929" s="141"/>
      <c r="R2929" s="141"/>
      <c r="S2929" s="148"/>
      <c r="T2929" s="419"/>
      <c r="U2929" s="559"/>
      <c r="V2929" s="141"/>
      <c r="W2929" s="141"/>
      <c r="X2929" s="141"/>
      <c r="Y2929" s="144"/>
      <c r="Z2929" s="141"/>
      <c r="AA2929" s="141"/>
      <c r="AB2929" s="141"/>
      <c r="AC2929" s="141"/>
      <c r="AD2929" s="141"/>
      <c r="AE2929" s="141"/>
      <c r="AF2929" s="145"/>
      <c r="AG2929" s="419"/>
    </row>
    <row r="2930" spans="1:33" s="139" customFormat="1" ht="12.75" customHeight="1" x14ac:dyDescent="0.2">
      <c r="A2930" s="141"/>
      <c r="B2930" s="141"/>
      <c r="C2930" s="141"/>
      <c r="D2930" s="141"/>
      <c r="E2930" s="1014"/>
      <c r="F2930" s="1014"/>
      <c r="G2930" s="1027"/>
      <c r="H2930" s="1027"/>
      <c r="I2930" s="1174"/>
      <c r="J2930" s="1174"/>
      <c r="K2930" s="1174"/>
      <c r="L2930" s="1172"/>
      <c r="M2930" s="1172"/>
      <c r="N2930" s="1175"/>
      <c r="O2930" s="143"/>
      <c r="P2930" s="1196"/>
      <c r="Q2930" s="141"/>
      <c r="R2930" s="141"/>
      <c r="S2930" s="148"/>
      <c r="T2930" s="419"/>
      <c r="U2930" s="559"/>
      <c r="V2930" s="141"/>
      <c r="W2930" s="141"/>
      <c r="X2930" s="141"/>
      <c r="Y2930" s="144"/>
      <c r="Z2930" s="141"/>
      <c r="AA2930" s="141"/>
      <c r="AB2930" s="141"/>
      <c r="AC2930" s="141"/>
      <c r="AD2930" s="141"/>
      <c r="AE2930" s="141"/>
      <c r="AF2930" s="145"/>
      <c r="AG2930" s="419"/>
    </row>
    <row r="2931" spans="1:33" s="139" customFormat="1" ht="12.75" customHeight="1" x14ac:dyDescent="0.2">
      <c r="A2931" s="141"/>
      <c r="B2931" s="141"/>
      <c r="C2931" s="141"/>
      <c r="D2931" s="141"/>
      <c r="E2931" s="1014"/>
      <c r="F2931" s="1014"/>
      <c r="G2931" s="1027"/>
      <c r="H2931" s="1027"/>
      <c r="I2931" s="1174"/>
      <c r="J2931" s="1174"/>
      <c r="K2931" s="1174"/>
      <c r="L2931" s="1172"/>
      <c r="M2931" s="1172"/>
      <c r="N2931" s="1175"/>
      <c r="O2931" s="143"/>
      <c r="P2931" s="1196"/>
      <c r="Q2931" s="141"/>
      <c r="R2931" s="141"/>
      <c r="S2931" s="148"/>
      <c r="T2931" s="419"/>
      <c r="U2931" s="559"/>
      <c r="V2931" s="141"/>
      <c r="W2931" s="141"/>
      <c r="X2931" s="141"/>
      <c r="Y2931" s="144"/>
      <c r="Z2931" s="141"/>
      <c r="AA2931" s="141"/>
      <c r="AB2931" s="141"/>
      <c r="AC2931" s="141"/>
      <c r="AD2931" s="141"/>
      <c r="AE2931" s="141"/>
      <c r="AF2931" s="145"/>
      <c r="AG2931" s="419"/>
    </row>
    <row r="2932" spans="1:33" s="139" customFormat="1" ht="12.75" customHeight="1" x14ac:dyDescent="0.2">
      <c r="A2932" s="141"/>
      <c r="B2932" s="141"/>
      <c r="C2932" s="141"/>
      <c r="D2932" s="141"/>
      <c r="E2932" s="1014"/>
      <c r="F2932" s="1014"/>
      <c r="G2932" s="1027"/>
      <c r="H2932" s="1027"/>
      <c r="I2932" s="1174"/>
      <c r="J2932" s="1174"/>
      <c r="K2932" s="1174"/>
      <c r="L2932" s="1172"/>
      <c r="M2932" s="1172"/>
      <c r="N2932" s="1175"/>
      <c r="O2932" s="143"/>
      <c r="P2932" s="1196"/>
      <c r="Q2932" s="141"/>
      <c r="R2932" s="141"/>
      <c r="S2932" s="148"/>
      <c r="T2932" s="419"/>
      <c r="U2932" s="559"/>
      <c r="V2932" s="141"/>
      <c r="W2932" s="141"/>
      <c r="X2932" s="141"/>
      <c r="Y2932" s="144"/>
      <c r="Z2932" s="141"/>
      <c r="AA2932" s="141"/>
      <c r="AB2932" s="141"/>
      <c r="AC2932" s="141"/>
      <c r="AD2932" s="141"/>
      <c r="AE2932" s="141"/>
      <c r="AF2932" s="145"/>
      <c r="AG2932" s="419"/>
    </row>
    <row r="2933" spans="1:33" s="139" customFormat="1" ht="12.75" customHeight="1" x14ac:dyDescent="0.2">
      <c r="A2933" s="141"/>
      <c r="B2933" s="141"/>
      <c r="C2933" s="141"/>
      <c r="D2933" s="141"/>
      <c r="E2933" s="1014"/>
      <c r="F2933" s="1014"/>
      <c r="G2933" s="1027"/>
      <c r="H2933" s="1027"/>
      <c r="I2933" s="1174"/>
      <c r="J2933" s="1174"/>
      <c r="K2933" s="1174"/>
      <c r="L2933" s="1172"/>
      <c r="M2933" s="1172"/>
      <c r="N2933" s="1175"/>
      <c r="O2933" s="143"/>
      <c r="P2933" s="1196"/>
      <c r="Q2933" s="141"/>
      <c r="R2933" s="141"/>
      <c r="S2933" s="148"/>
      <c r="T2933" s="419"/>
      <c r="U2933" s="559"/>
      <c r="V2933" s="141"/>
      <c r="W2933" s="141"/>
      <c r="X2933" s="141"/>
      <c r="Y2933" s="144"/>
      <c r="Z2933" s="141"/>
      <c r="AA2933" s="141"/>
      <c r="AB2933" s="141"/>
      <c r="AC2933" s="141"/>
      <c r="AD2933" s="141"/>
      <c r="AE2933" s="141"/>
      <c r="AF2933" s="145"/>
      <c r="AG2933" s="419"/>
    </row>
    <row r="2934" spans="1:33" s="139" customFormat="1" ht="12.75" customHeight="1" x14ac:dyDescent="0.2">
      <c r="A2934" s="141"/>
      <c r="B2934" s="141"/>
      <c r="C2934" s="141"/>
      <c r="D2934" s="141"/>
      <c r="E2934" s="1014"/>
      <c r="F2934" s="1014"/>
      <c r="G2934" s="1027"/>
      <c r="H2934" s="1027"/>
      <c r="I2934" s="1174"/>
      <c r="J2934" s="1174"/>
      <c r="K2934" s="1174"/>
      <c r="L2934" s="1172"/>
      <c r="M2934" s="1172"/>
      <c r="N2934" s="1175"/>
      <c r="O2934" s="143"/>
      <c r="P2934" s="1196"/>
      <c r="Q2934" s="141"/>
      <c r="R2934" s="141"/>
      <c r="S2934" s="148"/>
      <c r="T2934" s="419"/>
      <c r="U2934" s="559"/>
      <c r="V2934" s="141"/>
      <c r="W2934" s="141"/>
      <c r="X2934" s="141"/>
      <c r="Y2934" s="144"/>
      <c r="Z2934" s="141"/>
      <c r="AA2934" s="141"/>
      <c r="AB2934" s="141"/>
      <c r="AC2934" s="141"/>
      <c r="AD2934" s="141"/>
      <c r="AE2934" s="141"/>
      <c r="AF2934" s="145"/>
      <c r="AG2934" s="419"/>
    </row>
    <row r="2935" spans="1:33" s="139" customFormat="1" ht="12.75" customHeight="1" x14ac:dyDescent="0.2">
      <c r="A2935" s="141"/>
      <c r="B2935" s="141"/>
      <c r="C2935" s="141"/>
      <c r="D2935" s="141"/>
      <c r="E2935" s="1014"/>
      <c r="F2935" s="1014"/>
      <c r="G2935" s="1027"/>
      <c r="H2935" s="1027"/>
      <c r="I2935" s="1174"/>
      <c r="J2935" s="1174"/>
      <c r="K2935" s="1174"/>
      <c r="L2935" s="1172"/>
      <c r="M2935" s="1172"/>
      <c r="N2935" s="1175"/>
      <c r="O2935" s="143"/>
      <c r="P2935" s="1196"/>
      <c r="Q2935" s="141"/>
      <c r="R2935" s="141"/>
      <c r="S2935" s="148"/>
      <c r="T2935" s="419"/>
      <c r="U2935" s="559"/>
      <c r="V2935" s="141"/>
      <c r="W2935" s="141"/>
      <c r="X2935" s="141"/>
      <c r="Y2935" s="144"/>
      <c r="Z2935" s="141"/>
      <c r="AA2935" s="141"/>
      <c r="AB2935" s="141"/>
      <c r="AC2935" s="141"/>
      <c r="AD2935" s="141"/>
      <c r="AE2935" s="141"/>
      <c r="AF2935" s="145"/>
      <c r="AG2935" s="419"/>
    </row>
    <row r="2936" spans="1:33" s="139" customFormat="1" ht="12.75" customHeight="1" x14ac:dyDescent="0.2">
      <c r="A2936" s="141"/>
      <c r="B2936" s="141"/>
      <c r="C2936" s="141"/>
      <c r="D2936" s="141"/>
      <c r="E2936" s="1014"/>
      <c r="F2936" s="1014"/>
      <c r="G2936" s="1027"/>
      <c r="H2936" s="1027"/>
      <c r="I2936" s="1174"/>
      <c r="J2936" s="1174"/>
      <c r="K2936" s="1174"/>
      <c r="L2936" s="1172"/>
      <c r="M2936" s="1172"/>
      <c r="N2936" s="1175"/>
      <c r="O2936" s="143"/>
      <c r="P2936" s="1196"/>
      <c r="Q2936" s="141"/>
      <c r="R2936" s="141"/>
      <c r="S2936" s="148"/>
      <c r="T2936" s="419"/>
      <c r="U2936" s="559"/>
      <c r="V2936" s="141"/>
      <c r="W2936" s="141"/>
      <c r="X2936" s="141"/>
      <c r="Y2936" s="144"/>
      <c r="Z2936" s="141"/>
      <c r="AA2936" s="141"/>
      <c r="AB2936" s="141"/>
      <c r="AC2936" s="141"/>
      <c r="AD2936" s="141"/>
      <c r="AE2936" s="141"/>
      <c r="AF2936" s="145"/>
      <c r="AG2936" s="419"/>
    </row>
    <row r="2937" spans="1:33" s="139" customFormat="1" ht="12.75" customHeight="1" x14ac:dyDescent="0.2">
      <c r="A2937" s="141"/>
      <c r="B2937" s="141"/>
      <c r="C2937" s="141"/>
      <c r="D2937" s="141"/>
      <c r="E2937" s="1014"/>
      <c r="F2937" s="1014"/>
      <c r="G2937" s="1027"/>
      <c r="H2937" s="1027"/>
      <c r="I2937" s="1174"/>
      <c r="J2937" s="1174"/>
      <c r="K2937" s="1174"/>
      <c r="L2937" s="1172"/>
      <c r="M2937" s="1172"/>
      <c r="N2937" s="1175"/>
      <c r="O2937" s="143"/>
      <c r="P2937" s="1196"/>
      <c r="Q2937" s="141"/>
      <c r="R2937" s="141"/>
      <c r="S2937" s="148"/>
      <c r="T2937" s="419"/>
      <c r="U2937" s="559"/>
      <c r="V2937" s="141"/>
      <c r="W2937" s="141"/>
      <c r="X2937" s="141"/>
      <c r="Y2937" s="144"/>
      <c r="Z2937" s="141"/>
      <c r="AA2937" s="141"/>
      <c r="AB2937" s="141"/>
      <c r="AC2937" s="141"/>
      <c r="AD2937" s="141"/>
      <c r="AE2937" s="141"/>
      <c r="AF2937" s="145"/>
      <c r="AG2937" s="419"/>
    </row>
    <row r="2938" spans="1:33" s="139" customFormat="1" ht="12.75" customHeight="1" x14ac:dyDescent="0.2">
      <c r="A2938" s="141"/>
      <c r="B2938" s="141"/>
      <c r="C2938" s="141"/>
      <c r="D2938" s="141"/>
      <c r="E2938" s="1014"/>
      <c r="F2938" s="1014"/>
      <c r="G2938" s="1027"/>
      <c r="H2938" s="1027"/>
      <c r="I2938" s="1174"/>
      <c r="J2938" s="1174"/>
      <c r="K2938" s="1174"/>
      <c r="L2938" s="1172"/>
      <c r="M2938" s="1172"/>
      <c r="N2938" s="1175"/>
      <c r="O2938" s="143"/>
      <c r="P2938" s="1196"/>
      <c r="Q2938" s="141"/>
      <c r="R2938" s="141"/>
      <c r="S2938" s="148"/>
      <c r="T2938" s="419"/>
      <c r="U2938" s="559"/>
      <c r="V2938" s="141"/>
      <c r="W2938" s="141"/>
      <c r="X2938" s="141"/>
      <c r="Y2938" s="144"/>
      <c r="Z2938" s="141"/>
      <c r="AA2938" s="141"/>
      <c r="AB2938" s="141"/>
      <c r="AC2938" s="141"/>
      <c r="AD2938" s="141"/>
      <c r="AE2938" s="141"/>
      <c r="AF2938" s="145"/>
      <c r="AG2938" s="419"/>
    </row>
    <row r="2939" spans="1:33" s="139" customFormat="1" ht="12.75" customHeight="1" x14ac:dyDescent="0.2">
      <c r="A2939" s="141"/>
      <c r="B2939" s="141"/>
      <c r="C2939" s="141"/>
      <c r="D2939" s="141"/>
      <c r="E2939" s="1014"/>
      <c r="F2939" s="1014"/>
      <c r="G2939" s="1027"/>
      <c r="H2939" s="1027"/>
      <c r="I2939" s="1174"/>
      <c r="J2939" s="1174"/>
      <c r="K2939" s="1174"/>
      <c r="L2939" s="1172"/>
      <c r="M2939" s="1172"/>
      <c r="N2939" s="1175"/>
      <c r="O2939" s="143"/>
      <c r="P2939" s="1196"/>
      <c r="Q2939" s="141"/>
      <c r="R2939" s="141"/>
      <c r="S2939" s="148"/>
      <c r="T2939" s="419"/>
      <c r="U2939" s="559"/>
      <c r="V2939" s="141"/>
      <c r="W2939" s="141"/>
      <c r="X2939" s="141"/>
      <c r="Y2939" s="144"/>
      <c r="Z2939" s="141"/>
      <c r="AA2939" s="141"/>
      <c r="AB2939" s="141"/>
      <c r="AC2939" s="141"/>
      <c r="AD2939" s="141"/>
      <c r="AE2939" s="141"/>
      <c r="AF2939" s="145"/>
      <c r="AG2939" s="419"/>
    </row>
    <row r="2940" spans="1:33" s="139" customFormat="1" ht="12.75" customHeight="1" x14ac:dyDescent="0.2">
      <c r="A2940" s="141"/>
      <c r="B2940" s="141"/>
      <c r="C2940" s="141"/>
      <c r="D2940" s="141"/>
      <c r="E2940" s="1014"/>
      <c r="F2940" s="1014"/>
      <c r="G2940" s="1027"/>
      <c r="H2940" s="1027"/>
      <c r="I2940" s="1174"/>
      <c r="J2940" s="1174"/>
      <c r="K2940" s="1174"/>
      <c r="L2940" s="1172"/>
      <c r="M2940" s="1172"/>
      <c r="N2940" s="1175"/>
      <c r="O2940" s="143"/>
      <c r="P2940" s="1196"/>
      <c r="Q2940" s="141"/>
      <c r="R2940" s="141"/>
      <c r="S2940" s="148"/>
      <c r="T2940" s="419"/>
      <c r="U2940" s="559"/>
      <c r="V2940" s="141"/>
      <c r="W2940" s="141"/>
      <c r="X2940" s="141"/>
      <c r="Y2940" s="144"/>
      <c r="Z2940" s="141"/>
      <c r="AA2940" s="141"/>
      <c r="AB2940" s="141"/>
      <c r="AC2940" s="141"/>
      <c r="AD2940" s="141"/>
      <c r="AE2940" s="141"/>
      <c r="AF2940" s="145"/>
      <c r="AG2940" s="419"/>
    </row>
    <row r="2941" spans="1:33" s="139" customFormat="1" ht="12.75" customHeight="1" x14ac:dyDescent="0.2">
      <c r="A2941" s="141"/>
      <c r="B2941" s="141"/>
      <c r="C2941" s="141"/>
      <c r="D2941" s="141"/>
      <c r="E2941" s="1014"/>
      <c r="F2941" s="1014"/>
      <c r="G2941" s="1027"/>
      <c r="H2941" s="1027"/>
      <c r="I2941" s="1174"/>
      <c r="J2941" s="1174"/>
      <c r="K2941" s="1174"/>
      <c r="L2941" s="1172"/>
      <c r="M2941" s="1172"/>
      <c r="N2941" s="1175"/>
      <c r="O2941" s="143"/>
      <c r="P2941" s="1196"/>
      <c r="Q2941" s="141"/>
      <c r="R2941" s="141"/>
      <c r="S2941" s="148"/>
      <c r="T2941" s="419"/>
      <c r="U2941" s="559"/>
      <c r="V2941" s="141"/>
      <c r="W2941" s="141"/>
      <c r="X2941" s="141"/>
      <c r="Y2941" s="144"/>
      <c r="Z2941" s="141"/>
      <c r="AA2941" s="141"/>
      <c r="AB2941" s="141"/>
      <c r="AC2941" s="141"/>
      <c r="AD2941" s="141"/>
      <c r="AE2941" s="141"/>
      <c r="AF2941" s="145"/>
      <c r="AG2941" s="419"/>
    </row>
    <row r="2942" spans="1:33" s="139" customFormat="1" ht="12.75" customHeight="1" x14ac:dyDescent="0.2">
      <c r="A2942" s="141"/>
      <c r="B2942" s="141"/>
      <c r="C2942" s="141"/>
      <c r="D2942" s="141"/>
      <c r="E2942" s="1014"/>
      <c r="F2942" s="1014"/>
      <c r="G2942" s="1027"/>
      <c r="H2942" s="1027"/>
      <c r="I2942" s="1174"/>
      <c r="J2942" s="1174"/>
      <c r="K2942" s="1174"/>
      <c r="L2942" s="1172"/>
      <c r="M2942" s="1172"/>
      <c r="N2942" s="1175"/>
      <c r="O2942" s="143"/>
      <c r="P2942" s="1196"/>
      <c r="Q2942" s="141"/>
      <c r="R2942" s="141"/>
      <c r="S2942" s="148"/>
      <c r="T2942" s="419"/>
      <c r="U2942" s="559"/>
      <c r="V2942" s="141"/>
      <c r="W2942" s="141"/>
      <c r="X2942" s="141"/>
      <c r="Y2942" s="144"/>
      <c r="Z2942" s="141"/>
      <c r="AA2942" s="141"/>
      <c r="AB2942" s="141"/>
      <c r="AC2942" s="141"/>
      <c r="AD2942" s="141"/>
      <c r="AE2942" s="141"/>
      <c r="AF2942" s="145"/>
      <c r="AG2942" s="419"/>
    </row>
    <row r="2943" spans="1:33" s="139" customFormat="1" ht="12.75" customHeight="1" x14ac:dyDescent="0.2">
      <c r="A2943" s="141"/>
      <c r="B2943" s="141"/>
      <c r="C2943" s="141"/>
      <c r="D2943" s="141"/>
      <c r="E2943" s="1014"/>
      <c r="F2943" s="1014"/>
      <c r="G2943" s="1027"/>
      <c r="H2943" s="1027"/>
      <c r="I2943" s="1174"/>
      <c r="J2943" s="1174"/>
      <c r="K2943" s="1174"/>
      <c r="L2943" s="1172"/>
      <c r="M2943" s="1172"/>
      <c r="N2943" s="1175"/>
      <c r="O2943" s="143"/>
      <c r="P2943" s="1196"/>
      <c r="Q2943" s="141"/>
      <c r="R2943" s="141"/>
      <c r="S2943" s="148"/>
      <c r="T2943" s="419"/>
      <c r="U2943" s="559"/>
      <c r="V2943" s="141"/>
      <c r="W2943" s="141"/>
      <c r="X2943" s="141"/>
      <c r="Y2943" s="144"/>
      <c r="Z2943" s="141"/>
      <c r="AA2943" s="141"/>
      <c r="AB2943" s="141"/>
      <c r="AC2943" s="141"/>
      <c r="AD2943" s="141"/>
      <c r="AE2943" s="141"/>
      <c r="AF2943" s="145"/>
      <c r="AG2943" s="419"/>
    </row>
    <row r="2944" spans="1:33" s="139" customFormat="1" ht="12.75" customHeight="1" x14ac:dyDescent="0.2">
      <c r="A2944" s="141"/>
      <c r="B2944" s="141"/>
      <c r="C2944" s="141"/>
      <c r="D2944" s="141"/>
      <c r="E2944" s="1014"/>
      <c r="F2944" s="1014"/>
      <c r="G2944" s="1027"/>
      <c r="H2944" s="1027"/>
      <c r="I2944" s="1174"/>
      <c r="J2944" s="1174"/>
      <c r="K2944" s="1174"/>
      <c r="L2944" s="1172"/>
      <c r="M2944" s="1172"/>
      <c r="N2944" s="1175"/>
      <c r="O2944" s="143"/>
      <c r="P2944" s="1196"/>
      <c r="Q2944" s="141"/>
      <c r="R2944" s="141"/>
      <c r="S2944" s="148"/>
      <c r="T2944" s="419"/>
      <c r="U2944" s="559"/>
      <c r="V2944" s="141"/>
      <c r="W2944" s="141"/>
      <c r="X2944" s="141"/>
      <c r="Y2944" s="144"/>
      <c r="Z2944" s="141"/>
      <c r="AA2944" s="141"/>
      <c r="AB2944" s="141"/>
      <c r="AC2944" s="141"/>
      <c r="AD2944" s="141"/>
      <c r="AE2944" s="141"/>
      <c r="AF2944" s="145"/>
      <c r="AG2944" s="419"/>
    </row>
    <row r="2945" spans="1:33" s="139" customFormat="1" ht="12.75" customHeight="1" x14ac:dyDescent="0.2">
      <c r="A2945" s="141"/>
      <c r="B2945" s="141"/>
      <c r="C2945" s="141"/>
      <c r="D2945" s="141"/>
      <c r="E2945" s="1014"/>
      <c r="F2945" s="1014"/>
      <c r="G2945" s="1027"/>
      <c r="H2945" s="1027"/>
      <c r="I2945" s="1174"/>
      <c r="J2945" s="1174"/>
      <c r="K2945" s="1174"/>
      <c r="L2945" s="1172"/>
      <c r="M2945" s="1172"/>
      <c r="N2945" s="1175"/>
      <c r="O2945" s="143"/>
      <c r="P2945" s="1196"/>
      <c r="Q2945" s="141"/>
      <c r="R2945" s="141"/>
      <c r="S2945" s="148"/>
      <c r="T2945" s="419"/>
      <c r="U2945" s="559"/>
      <c r="V2945" s="141"/>
      <c r="W2945" s="141"/>
      <c r="X2945" s="141"/>
      <c r="Y2945" s="144"/>
      <c r="Z2945" s="141"/>
      <c r="AA2945" s="141"/>
      <c r="AB2945" s="141"/>
      <c r="AC2945" s="141"/>
      <c r="AD2945" s="141"/>
      <c r="AE2945" s="141"/>
      <c r="AF2945" s="145"/>
      <c r="AG2945" s="419"/>
    </row>
    <row r="2946" spans="1:33" s="139" customFormat="1" ht="12.75" customHeight="1" x14ac:dyDescent="0.2">
      <c r="A2946" s="141"/>
      <c r="B2946" s="141"/>
      <c r="C2946" s="141"/>
      <c r="D2946" s="141"/>
      <c r="E2946" s="1014"/>
      <c r="F2946" s="1014"/>
      <c r="G2946" s="1027"/>
      <c r="H2946" s="1027"/>
      <c r="I2946" s="1174"/>
      <c r="J2946" s="1174"/>
      <c r="K2946" s="1174"/>
      <c r="L2946" s="1172"/>
      <c r="M2946" s="1172"/>
      <c r="N2946" s="1175"/>
      <c r="O2946" s="143"/>
      <c r="P2946" s="1196"/>
      <c r="Q2946" s="141"/>
      <c r="R2946" s="141"/>
      <c r="S2946" s="148"/>
      <c r="T2946" s="419"/>
      <c r="U2946" s="559"/>
      <c r="V2946" s="141"/>
      <c r="W2946" s="141"/>
      <c r="X2946" s="141"/>
      <c r="Y2946" s="144"/>
      <c r="Z2946" s="141"/>
      <c r="AA2946" s="141"/>
      <c r="AB2946" s="141"/>
      <c r="AC2946" s="141"/>
      <c r="AD2946" s="141"/>
      <c r="AE2946" s="141"/>
      <c r="AF2946" s="145"/>
      <c r="AG2946" s="419"/>
    </row>
    <row r="2947" spans="1:33" s="139" customFormat="1" ht="12.75" customHeight="1" x14ac:dyDescent="0.2">
      <c r="A2947" s="141"/>
      <c r="B2947" s="141"/>
      <c r="C2947" s="141"/>
      <c r="D2947" s="141"/>
      <c r="E2947" s="1014"/>
      <c r="F2947" s="1014"/>
      <c r="G2947" s="1027"/>
      <c r="H2947" s="1027"/>
      <c r="I2947" s="1174"/>
      <c r="J2947" s="1174"/>
      <c r="K2947" s="1174"/>
      <c r="L2947" s="1172"/>
      <c r="M2947" s="1172"/>
      <c r="N2947" s="1175"/>
      <c r="O2947" s="143"/>
      <c r="P2947" s="1196"/>
      <c r="Q2947" s="141"/>
      <c r="R2947" s="141"/>
      <c r="S2947" s="148"/>
      <c r="T2947" s="419"/>
      <c r="U2947" s="559"/>
      <c r="V2947" s="141"/>
      <c r="W2947" s="141"/>
      <c r="X2947" s="141"/>
      <c r="Y2947" s="144"/>
      <c r="Z2947" s="141"/>
      <c r="AA2947" s="141"/>
      <c r="AB2947" s="141"/>
      <c r="AC2947" s="141"/>
      <c r="AD2947" s="141"/>
      <c r="AE2947" s="141"/>
      <c r="AF2947" s="145"/>
      <c r="AG2947" s="419"/>
    </row>
    <row r="2948" spans="1:33" s="139" customFormat="1" ht="12.75" customHeight="1" x14ac:dyDescent="0.2">
      <c r="A2948" s="141"/>
      <c r="B2948" s="141"/>
      <c r="C2948" s="141"/>
      <c r="D2948" s="141"/>
      <c r="E2948" s="1014"/>
      <c r="F2948" s="1014"/>
      <c r="G2948" s="1027"/>
      <c r="H2948" s="1027"/>
      <c r="I2948" s="1174"/>
      <c r="J2948" s="1174"/>
      <c r="K2948" s="1174"/>
      <c r="L2948" s="1172"/>
      <c r="M2948" s="1172"/>
      <c r="N2948" s="1175"/>
      <c r="O2948" s="143"/>
      <c r="P2948" s="1196"/>
      <c r="Q2948" s="141"/>
      <c r="R2948" s="141"/>
      <c r="S2948" s="148"/>
      <c r="T2948" s="419"/>
      <c r="U2948" s="559"/>
      <c r="V2948" s="141"/>
      <c r="W2948" s="141"/>
      <c r="X2948" s="141"/>
      <c r="Y2948" s="144"/>
      <c r="Z2948" s="141"/>
      <c r="AA2948" s="141"/>
      <c r="AB2948" s="141"/>
      <c r="AC2948" s="141"/>
      <c r="AD2948" s="141"/>
      <c r="AE2948" s="141"/>
      <c r="AF2948" s="145"/>
      <c r="AG2948" s="419"/>
    </row>
    <row r="2949" spans="1:33" s="139" customFormat="1" ht="12.75" customHeight="1" x14ac:dyDescent="0.2">
      <c r="A2949" s="141"/>
      <c r="B2949" s="141"/>
      <c r="C2949" s="141"/>
      <c r="D2949" s="141"/>
      <c r="E2949" s="1014"/>
      <c r="F2949" s="1014"/>
      <c r="G2949" s="1027"/>
      <c r="H2949" s="1027"/>
      <c r="I2949" s="1174"/>
      <c r="J2949" s="1174"/>
      <c r="K2949" s="1174"/>
      <c r="L2949" s="1172"/>
      <c r="M2949" s="1172"/>
      <c r="N2949" s="1175"/>
      <c r="O2949" s="143"/>
      <c r="P2949" s="1196"/>
      <c r="Q2949" s="141"/>
      <c r="R2949" s="141"/>
      <c r="S2949" s="148"/>
      <c r="T2949" s="419"/>
      <c r="U2949" s="559"/>
      <c r="V2949" s="141"/>
      <c r="W2949" s="141"/>
      <c r="X2949" s="141"/>
      <c r="Y2949" s="144"/>
      <c r="Z2949" s="141"/>
      <c r="AA2949" s="141"/>
      <c r="AB2949" s="141"/>
      <c r="AC2949" s="141"/>
      <c r="AD2949" s="141"/>
      <c r="AE2949" s="141"/>
      <c r="AF2949" s="145"/>
      <c r="AG2949" s="419"/>
    </row>
    <row r="2950" spans="1:33" s="139" customFormat="1" ht="12.75" customHeight="1" x14ac:dyDescent="0.2">
      <c r="A2950" s="141"/>
      <c r="B2950" s="141"/>
      <c r="C2950" s="141"/>
      <c r="D2950" s="141"/>
      <c r="E2950" s="1014"/>
      <c r="F2950" s="1014"/>
      <c r="G2950" s="1027"/>
      <c r="H2950" s="1027"/>
      <c r="I2950" s="1174"/>
      <c r="J2950" s="1174"/>
      <c r="K2950" s="1174"/>
      <c r="L2950" s="1172"/>
      <c r="M2950" s="1172"/>
      <c r="N2950" s="1175"/>
      <c r="O2950" s="143"/>
      <c r="P2950" s="1196"/>
      <c r="Q2950" s="141"/>
      <c r="R2950" s="141"/>
      <c r="S2950" s="148"/>
      <c r="T2950" s="419"/>
      <c r="U2950" s="559"/>
      <c r="V2950" s="141"/>
      <c r="W2950" s="141"/>
      <c r="X2950" s="141"/>
      <c r="Y2950" s="144"/>
      <c r="Z2950" s="141"/>
      <c r="AA2950" s="141"/>
      <c r="AB2950" s="141"/>
      <c r="AC2950" s="141"/>
      <c r="AD2950" s="141"/>
      <c r="AE2950" s="141"/>
      <c r="AF2950" s="145"/>
      <c r="AG2950" s="419"/>
    </row>
    <row r="2951" spans="1:33" s="139" customFormat="1" ht="12.75" customHeight="1" x14ac:dyDescent="0.2">
      <c r="A2951" s="141"/>
      <c r="B2951" s="141"/>
      <c r="C2951" s="141"/>
      <c r="D2951" s="141"/>
      <c r="E2951" s="1014"/>
      <c r="F2951" s="1014"/>
      <c r="G2951" s="1027"/>
      <c r="H2951" s="1027"/>
      <c r="I2951" s="1174"/>
      <c r="J2951" s="1174"/>
      <c r="K2951" s="1174"/>
      <c r="L2951" s="1172"/>
      <c r="M2951" s="1172"/>
      <c r="N2951" s="1175"/>
      <c r="O2951" s="143"/>
      <c r="P2951" s="1196"/>
      <c r="Q2951" s="141"/>
      <c r="R2951" s="141"/>
      <c r="S2951" s="148"/>
      <c r="T2951" s="419"/>
      <c r="U2951" s="559"/>
      <c r="V2951" s="141"/>
      <c r="W2951" s="141"/>
      <c r="X2951" s="141"/>
      <c r="Y2951" s="144"/>
      <c r="Z2951" s="141"/>
      <c r="AA2951" s="141"/>
      <c r="AB2951" s="141"/>
      <c r="AC2951" s="141"/>
      <c r="AD2951" s="141"/>
      <c r="AE2951" s="141"/>
      <c r="AF2951" s="145"/>
      <c r="AG2951" s="419"/>
    </row>
    <row r="2952" spans="1:33" s="139" customFormat="1" ht="12.75" customHeight="1" x14ac:dyDescent="0.2">
      <c r="A2952" s="141"/>
      <c r="B2952" s="141"/>
      <c r="C2952" s="141"/>
      <c r="D2952" s="141"/>
      <c r="E2952" s="1014"/>
      <c r="F2952" s="1014"/>
      <c r="G2952" s="1027"/>
      <c r="H2952" s="1027"/>
      <c r="I2952" s="1174"/>
      <c r="J2952" s="1174"/>
      <c r="K2952" s="1174"/>
      <c r="L2952" s="1172"/>
      <c r="M2952" s="1172"/>
      <c r="N2952" s="1175"/>
      <c r="O2952" s="143"/>
      <c r="P2952" s="1196"/>
      <c r="Q2952" s="141"/>
      <c r="R2952" s="141"/>
      <c r="S2952" s="148"/>
      <c r="T2952" s="419"/>
      <c r="U2952" s="559"/>
      <c r="V2952" s="141"/>
      <c r="W2952" s="141"/>
      <c r="X2952" s="141"/>
      <c r="Y2952" s="144"/>
      <c r="Z2952" s="141"/>
      <c r="AA2952" s="141"/>
      <c r="AB2952" s="141"/>
      <c r="AC2952" s="141"/>
      <c r="AD2952" s="141"/>
      <c r="AE2952" s="141"/>
      <c r="AF2952" s="145"/>
      <c r="AG2952" s="419"/>
    </row>
    <row r="2953" spans="1:33" s="139" customFormat="1" ht="12.75" customHeight="1" x14ac:dyDescent="0.2">
      <c r="A2953" s="141"/>
      <c r="B2953" s="141"/>
      <c r="C2953" s="141"/>
      <c r="D2953" s="141"/>
      <c r="E2953" s="1014"/>
      <c r="F2953" s="1014"/>
      <c r="G2953" s="1027"/>
      <c r="H2953" s="1027"/>
      <c r="I2953" s="1174"/>
      <c r="J2953" s="1174"/>
      <c r="K2953" s="1174"/>
      <c r="L2953" s="1172"/>
      <c r="M2953" s="1172"/>
      <c r="N2953" s="1175"/>
      <c r="O2953" s="143"/>
      <c r="P2953" s="1196"/>
      <c r="Q2953" s="141"/>
      <c r="R2953" s="141"/>
      <c r="S2953" s="148"/>
      <c r="T2953" s="419"/>
      <c r="U2953" s="559"/>
      <c r="V2953" s="141"/>
      <c r="W2953" s="141"/>
      <c r="X2953" s="141"/>
      <c r="Y2953" s="144"/>
      <c r="Z2953" s="141"/>
      <c r="AA2953" s="141"/>
      <c r="AB2953" s="141"/>
      <c r="AC2953" s="141"/>
      <c r="AD2953" s="141"/>
      <c r="AE2953" s="141"/>
      <c r="AF2953" s="145"/>
      <c r="AG2953" s="419"/>
    </row>
    <row r="2954" spans="1:33" s="139" customFormat="1" ht="12.75" customHeight="1" x14ac:dyDescent="0.2">
      <c r="A2954" s="141"/>
      <c r="B2954" s="141"/>
      <c r="C2954" s="141"/>
      <c r="D2954" s="141"/>
      <c r="E2954" s="1014"/>
      <c r="F2954" s="1014"/>
      <c r="G2954" s="1027"/>
      <c r="H2954" s="1027"/>
      <c r="I2954" s="1174"/>
      <c r="J2954" s="1174"/>
      <c r="K2954" s="1174"/>
      <c r="L2954" s="1172"/>
      <c r="M2954" s="1172"/>
      <c r="N2954" s="1175"/>
      <c r="O2954" s="143"/>
      <c r="P2954" s="1196"/>
      <c r="Q2954" s="141"/>
      <c r="R2954" s="141"/>
      <c r="S2954" s="148"/>
      <c r="T2954" s="419"/>
      <c r="U2954" s="559"/>
      <c r="V2954" s="141"/>
      <c r="W2954" s="141"/>
      <c r="X2954" s="141"/>
      <c r="Y2954" s="144"/>
      <c r="Z2954" s="141"/>
      <c r="AA2954" s="141"/>
      <c r="AB2954" s="141"/>
      <c r="AC2954" s="141"/>
      <c r="AD2954" s="141"/>
      <c r="AE2954" s="141"/>
      <c r="AF2954" s="145"/>
      <c r="AG2954" s="419"/>
    </row>
    <row r="2955" spans="1:33" s="139" customFormat="1" ht="12.75" customHeight="1" x14ac:dyDescent="0.2">
      <c r="A2955" s="141"/>
      <c r="B2955" s="141"/>
      <c r="C2955" s="141"/>
      <c r="D2955" s="141"/>
      <c r="E2955" s="1014"/>
      <c r="F2955" s="1014"/>
      <c r="G2955" s="1027"/>
      <c r="H2955" s="1027"/>
      <c r="I2955" s="1174"/>
      <c r="J2955" s="1174"/>
      <c r="K2955" s="1174"/>
      <c r="L2955" s="1172"/>
      <c r="M2955" s="1172"/>
      <c r="N2955" s="1175"/>
      <c r="O2955" s="143"/>
      <c r="P2955" s="1196"/>
      <c r="Q2955" s="141"/>
      <c r="R2955" s="141"/>
      <c r="S2955" s="148"/>
      <c r="T2955" s="419"/>
      <c r="U2955" s="559"/>
      <c r="V2955" s="141"/>
      <c r="W2955" s="141"/>
      <c r="X2955" s="141"/>
      <c r="Y2955" s="144"/>
      <c r="Z2955" s="141"/>
      <c r="AA2955" s="141"/>
      <c r="AB2955" s="141"/>
      <c r="AC2955" s="141"/>
      <c r="AD2955" s="141"/>
      <c r="AE2955" s="141"/>
      <c r="AF2955" s="145"/>
      <c r="AG2955" s="419"/>
    </row>
    <row r="2956" spans="1:33" s="139" customFormat="1" ht="12.75" customHeight="1" x14ac:dyDescent="0.2">
      <c r="A2956" s="141"/>
      <c r="B2956" s="141"/>
      <c r="C2956" s="141"/>
      <c r="D2956" s="141"/>
      <c r="E2956" s="1014"/>
      <c r="F2956" s="1014"/>
      <c r="G2956" s="1027"/>
      <c r="H2956" s="1027"/>
      <c r="I2956" s="1174"/>
      <c r="J2956" s="1174"/>
      <c r="K2956" s="1174"/>
      <c r="L2956" s="1172"/>
      <c r="M2956" s="1172"/>
      <c r="N2956" s="1175"/>
      <c r="O2956" s="143"/>
      <c r="P2956" s="1196"/>
      <c r="Q2956" s="141"/>
      <c r="R2956" s="141"/>
      <c r="S2956" s="148"/>
      <c r="T2956" s="419"/>
      <c r="U2956" s="559"/>
      <c r="V2956" s="141"/>
      <c r="W2956" s="141"/>
      <c r="X2956" s="141"/>
      <c r="Y2956" s="144"/>
      <c r="Z2956" s="141"/>
      <c r="AA2956" s="141"/>
      <c r="AB2956" s="141"/>
      <c r="AC2956" s="141"/>
      <c r="AD2956" s="141"/>
      <c r="AE2956" s="141"/>
      <c r="AF2956" s="145"/>
      <c r="AG2956" s="419"/>
    </row>
    <row r="2957" spans="1:33" s="139" customFormat="1" ht="12.75" customHeight="1" x14ac:dyDescent="0.2">
      <c r="A2957" s="141"/>
      <c r="B2957" s="141"/>
      <c r="C2957" s="141"/>
      <c r="D2957" s="141"/>
      <c r="E2957" s="1014"/>
      <c r="F2957" s="1014"/>
      <c r="G2957" s="1027"/>
      <c r="H2957" s="1027"/>
      <c r="I2957" s="1174"/>
      <c r="J2957" s="1174"/>
      <c r="K2957" s="1174"/>
      <c r="L2957" s="1172"/>
      <c r="M2957" s="1172"/>
      <c r="N2957" s="1175"/>
      <c r="O2957" s="143"/>
      <c r="P2957" s="1196"/>
      <c r="Q2957" s="141"/>
      <c r="R2957" s="141"/>
      <c r="S2957" s="148"/>
      <c r="T2957" s="419"/>
      <c r="U2957" s="559"/>
      <c r="V2957" s="141"/>
      <c r="W2957" s="141"/>
      <c r="X2957" s="141"/>
      <c r="Y2957" s="144"/>
      <c r="Z2957" s="141"/>
      <c r="AA2957" s="141"/>
      <c r="AB2957" s="141"/>
      <c r="AC2957" s="141"/>
      <c r="AD2957" s="141"/>
      <c r="AE2957" s="141"/>
      <c r="AF2957" s="145"/>
      <c r="AG2957" s="419"/>
    </row>
    <row r="2958" spans="1:33" s="139" customFormat="1" ht="12.75" customHeight="1" x14ac:dyDescent="0.2">
      <c r="A2958" s="141"/>
      <c r="B2958" s="141"/>
      <c r="C2958" s="141"/>
      <c r="D2958" s="141"/>
      <c r="E2958" s="1014"/>
      <c r="F2958" s="1014"/>
      <c r="G2958" s="1027"/>
      <c r="H2958" s="1027"/>
      <c r="I2958" s="1174"/>
      <c r="J2958" s="1174"/>
      <c r="K2958" s="1174"/>
      <c r="L2958" s="1172"/>
      <c r="M2958" s="1172"/>
      <c r="N2958" s="1175"/>
      <c r="O2958" s="143"/>
      <c r="P2958" s="1196"/>
      <c r="Q2958" s="141"/>
      <c r="R2958" s="141"/>
      <c r="S2958" s="148"/>
      <c r="T2958" s="419"/>
      <c r="U2958" s="559"/>
      <c r="V2958" s="141"/>
      <c r="W2958" s="141"/>
      <c r="X2958" s="141"/>
      <c r="Y2958" s="144"/>
      <c r="Z2958" s="141"/>
      <c r="AA2958" s="141"/>
      <c r="AB2958" s="141"/>
      <c r="AC2958" s="141"/>
      <c r="AD2958" s="141"/>
      <c r="AE2958" s="141"/>
      <c r="AF2958" s="145"/>
      <c r="AG2958" s="419"/>
    </row>
    <row r="2959" spans="1:33" s="139" customFormat="1" ht="12.75" customHeight="1" x14ac:dyDescent="0.2">
      <c r="A2959" s="141"/>
      <c r="B2959" s="141"/>
      <c r="C2959" s="141"/>
      <c r="D2959" s="141"/>
      <c r="E2959" s="1014"/>
      <c r="F2959" s="1014"/>
      <c r="G2959" s="1027"/>
      <c r="H2959" s="1027"/>
      <c r="I2959" s="1174"/>
      <c r="J2959" s="1174"/>
      <c r="K2959" s="1174"/>
      <c r="L2959" s="1172"/>
      <c r="M2959" s="1172"/>
      <c r="N2959" s="1175"/>
      <c r="O2959" s="143"/>
      <c r="P2959" s="1196"/>
      <c r="Q2959" s="141"/>
      <c r="R2959" s="141"/>
      <c r="S2959" s="148"/>
      <c r="T2959" s="419"/>
      <c r="U2959" s="559"/>
      <c r="V2959" s="141"/>
      <c r="W2959" s="141"/>
      <c r="X2959" s="141"/>
      <c r="Y2959" s="144"/>
      <c r="Z2959" s="141"/>
      <c r="AA2959" s="141"/>
      <c r="AB2959" s="141"/>
      <c r="AC2959" s="141"/>
      <c r="AD2959" s="141"/>
      <c r="AE2959" s="141"/>
      <c r="AF2959" s="145"/>
      <c r="AG2959" s="419"/>
    </row>
    <row r="2960" spans="1:33" s="139" customFormat="1" ht="12.75" customHeight="1" x14ac:dyDescent="0.2">
      <c r="A2960" s="141"/>
      <c r="B2960" s="141"/>
      <c r="C2960" s="141"/>
      <c r="D2960" s="141"/>
      <c r="E2960" s="1014"/>
      <c r="F2960" s="1014"/>
      <c r="G2960" s="1027"/>
      <c r="H2960" s="1027"/>
      <c r="I2960" s="1174"/>
      <c r="J2960" s="1174"/>
      <c r="K2960" s="1174"/>
      <c r="L2960" s="1172"/>
      <c r="M2960" s="1172"/>
      <c r="N2960" s="1175"/>
      <c r="O2960" s="143"/>
      <c r="P2960" s="1196"/>
      <c r="Q2960" s="141"/>
      <c r="R2960" s="141"/>
      <c r="S2960" s="148"/>
      <c r="T2960" s="419"/>
      <c r="U2960" s="559"/>
      <c r="V2960" s="141"/>
      <c r="W2960" s="141"/>
      <c r="X2960" s="141"/>
      <c r="Y2960" s="144"/>
      <c r="Z2960" s="141"/>
      <c r="AA2960" s="141"/>
      <c r="AB2960" s="141"/>
      <c r="AC2960" s="141"/>
      <c r="AD2960" s="141"/>
      <c r="AE2960" s="141"/>
      <c r="AF2960" s="145"/>
      <c r="AG2960" s="419"/>
    </row>
    <row r="2961" spans="1:33" s="139" customFormat="1" ht="12.75" customHeight="1" x14ac:dyDescent="0.2">
      <c r="A2961" s="141"/>
      <c r="B2961" s="141"/>
      <c r="C2961" s="141"/>
      <c r="D2961" s="141"/>
      <c r="E2961" s="1014"/>
      <c r="F2961" s="1014"/>
      <c r="G2961" s="1027"/>
      <c r="H2961" s="1027"/>
      <c r="I2961" s="1174"/>
      <c r="J2961" s="1174"/>
      <c r="K2961" s="1174"/>
      <c r="L2961" s="1172"/>
      <c r="M2961" s="1172"/>
      <c r="N2961" s="1175"/>
      <c r="O2961" s="143"/>
      <c r="P2961" s="1196"/>
      <c r="Q2961" s="141"/>
      <c r="R2961" s="141"/>
      <c r="S2961" s="148"/>
      <c r="T2961" s="419"/>
      <c r="U2961" s="559"/>
      <c r="V2961" s="141"/>
      <c r="W2961" s="141"/>
      <c r="X2961" s="141"/>
      <c r="Y2961" s="144"/>
      <c r="Z2961" s="141"/>
      <c r="AA2961" s="141"/>
      <c r="AB2961" s="141"/>
      <c r="AC2961" s="141"/>
      <c r="AD2961" s="141"/>
      <c r="AE2961" s="141"/>
      <c r="AF2961" s="145"/>
      <c r="AG2961" s="419"/>
    </row>
    <row r="2962" spans="1:33" s="139" customFormat="1" ht="12.75" customHeight="1" x14ac:dyDescent="0.2">
      <c r="A2962" s="141"/>
      <c r="B2962" s="141"/>
      <c r="C2962" s="141"/>
      <c r="D2962" s="141"/>
      <c r="E2962" s="1014"/>
      <c r="F2962" s="1014"/>
      <c r="G2962" s="1027"/>
      <c r="H2962" s="1027"/>
      <c r="I2962" s="1174"/>
      <c r="J2962" s="1174"/>
      <c r="K2962" s="1174"/>
      <c r="L2962" s="1172"/>
      <c r="M2962" s="1172"/>
      <c r="N2962" s="1175"/>
      <c r="O2962" s="143"/>
      <c r="P2962" s="1196"/>
      <c r="Q2962" s="141"/>
      <c r="R2962" s="141"/>
      <c r="S2962" s="148"/>
      <c r="T2962" s="419"/>
      <c r="U2962" s="559"/>
      <c r="V2962" s="141"/>
      <c r="W2962" s="141"/>
      <c r="X2962" s="141"/>
      <c r="Y2962" s="144"/>
      <c r="Z2962" s="141"/>
      <c r="AA2962" s="141"/>
      <c r="AB2962" s="141"/>
      <c r="AC2962" s="141"/>
      <c r="AD2962" s="141"/>
      <c r="AE2962" s="141"/>
      <c r="AF2962" s="145"/>
      <c r="AG2962" s="419"/>
    </row>
    <row r="2963" spans="1:33" s="139" customFormat="1" ht="12.75" customHeight="1" x14ac:dyDescent="0.2">
      <c r="A2963" s="141"/>
      <c r="B2963" s="141"/>
      <c r="C2963" s="141"/>
      <c r="D2963" s="141"/>
      <c r="E2963" s="1014"/>
      <c r="F2963" s="1014"/>
      <c r="G2963" s="1027"/>
      <c r="H2963" s="1027"/>
      <c r="I2963" s="1174"/>
      <c r="J2963" s="1174"/>
      <c r="K2963" s="1174"/>
      <c r="L2963" s="1172"/>
      <c r="M2963" s="1172"/>
      <c r="N2963" s="1175"/>
      <c r="O2963" s="143"/>
      <c r="P2963" s="1196"/>
      <c r="Q2963" s="141"/>
      <c r="R2963" s="141"/>
      <c r="S2963" s="148"/>
      <c r="T2963" s="419"/>
      <c r="U2963" s="559"/>
      <c r="V2963" s="141"/>
      <c r="W2963" s="141"/>
      <c r="X2963" s="141"/>
      <c r="Y2963" s="144"/>
      <c r="Z2963" s="141"/>
      <c r="AA2963" s="141"/>
      <c r="AB2963" s="141"/>
      <c r="AC2963" s="141"/>
      <c r="AD2963" s="141"/>
      <c r="AE2963" s="141"/>
      <c r="AF2963" s="145"/>
      <c r="AG2963" s="419"/>
    </row>
    <row r="2964" spans="1:33" s="139" customFormat="1" ht="12.75" customHeight="1" x14ac:dyDescent="0.2">
      <c r="A2964" s="141"/>
      <c r="B2964" s="141"/>
      <c r="C2964" s="141"/>
      <c r="D2964" s="141"/>
      <c r="E2964" s="1014"/>
      <c r="F2964" s="1014"/>
      <c r="G2964" s="1027"/>
      <c r="H2964" s="1027"/>
      <c r="I2964" s="1174"/>
      <c r="J2964" s="1174"/>
      <c r="K2964" s="1174"/>
      <c r="L2964" s="1172"/>
      <c r="M2964" s="1172"/>
      <c r="N2964" s="1175"/>
      <c r="O2964" s="143"/>
      <c r="P2964" s="1196"/>
      <c r="Q2964" s="141"/>
      <c r="R2964" s="141"/>
      <c r="S2964" s="148"/>
      <c r="T2964" s="419"/>
      <c r="U2964" s="559"/>
      <c r="V2964" s="141"/>
      <c r="W2964" s="141"/>
      <c r="X2964" s="141"/>
      <c r="Y2964" s="144"/>
      <c r="Z2964" s="141"/>
      <c r="AA2964" s="141"/>
      <c r="AB2964" s="141"/>
      <c r="AC2964" s="141"/>
      <c r="AD2964" s="141"/>
      <c r="AE2964" s="141"/>
      <c r="AF2964" s="145"/>
      <c r="AG2964" s="419"/>
    </row>
    <row r="2965" spans="1:33" s="139" customFormat="1" ht="12.75" customHeight="1" x14ac:dyDescent="0.2">
      <c r="A2965" s="141"/>
      <c r="B2965" s="141"/>
      <c r="C2965" s="141"/>
      <c r="D2965" s="141"/>
      <c r="E2965" s="1014"/>
      <c r="F2965" s="1014"/>
      <c r="G2965" s="1027"/>
      <c r="H2965" s="1027"/>
      <c r="I2965" s="1174"/>
      <c r="J2965" s="1174"/>
      <c r="K2965" s="1174"/>
      <c r="L2965" s="1172"/>
      <c r="M2965" s="1172"/>
      <c r="N2965" s="1175"/>
      <c r="O2965" s="143"/>
      <c r="P2965" s="1196"/>
      <c r="Q2965" s="141"/>
      <c r="R2965" s="141"/>
      <c r="S2965" s="148"/>
      <c r="T2965" s="419"/>
      <c r="U2965" s="559"/>
      <c r="V2965" s="141"/>
      <c r="W2965" s="141"/>
      <c r="X2965" s="141"/>
      <c r="Y2965" s="144"/>
      <c r="Z2965" s="141"/>
      <c r="AA2965" s="141"/>
      <c r="AB2965" s="141"/>
      <c r="AC2965" s="141"/>
      <c r="AD2965" s="141"/>
      <c r="AE2965" s="141"/>
      <c r="AF2965" s="145"/>
      <c r="AG2965" s="419"/>
    </row>
    <row r="2966" spans="1:33" s="139" customFormat="1" ht="12.75" customHeight="1" x14ac:dyDescent="0.2">
      <c r="A2966" s="141"/>
      <c r="B2966" s="141"/>
      <c r="C2966" s="141"/>
      <c r="D2966" s="141"/>
      <c r="E2966" s="1014"/>
      <c r="F2966" s="1014"/>
      <c r="G2966" s="1027"/>
      <c r="H2966" s="1027"/>
      <c r="I2966" s="1174"/>
      <c r="J2966" s="1174"/>
      <c r="K2966" s="1174"/>
      <c r="L2966" s="1172"/>
      <c r="M2966" s="1172"/>
      <c r="N2966" s="1175"/>
      <c r="O2966" s="143"/>
      <c r="P2966" s="1196"/>
      <c r="Q2966" s="141"/>
      <c r="R2966" s="141"/>
      <c r="S2966" s="148"/>
      <c r="T2966" s="419"/>
      <c r="U2966" s="559"/>
      <c r="V2966" s="141"/>
      <c r="W2966" s="141"/>
      <c r="X2966" s="141"/>
      <c r="Y2966" s="144"/>
      <c r="Z2966" s="141"/>
      <c r="AA2966" s="141"/>
      <c r="AB2966" s="141"/>
      <c r="AC2966" s="141"/>
      <c r="AD2966" s="141"/>
      <c r="AE2966" s="141"/>
      <c r="AF2966" s="145"/>
      <c r="AG2966" s="419"/>
    </row>
    <row r="2967" spans="1:33" s="139" customFormat="1" ht="12.75" customHeight="1" x14ac:dyDescent="0.2">
      <c r="A2967" s="141"/>
      <c r="B2967" s="141"/>
      <c r="C2967" s="141"/>
      <c r="D2967" s="141"/>
      <c r="E2967" s="1014"/>
      <c r="F2967" s="1014"/>
      <c r="G2967" s="1027"/>
      <c r="H2967" s="1027"/>
      <c r="I2967" s="1174"/>
      <c r="J2967" s="1174"/>
      <c r="K2967" s="1174"/>
      <c r="L2967" s="1172"/>
      <c r="M2967" s="1172"/>
      <c r="N2967" s="1175"/>
      <c r="O2967" s="143"/>
      <c r="P2967" s="1196"/>
      <c r="Q2967" s="141"/>
      <c r="R2967" s="141"/>
      <c r="S2967" s="148"/>
      <c r="T2967" s="419"/>
      <c r="U2967" s="559"/>
      <c r="V2967" s="141"/>
      <c r="W2967" s="141"/>
      <c r="X2967" s="141"/>
      <c r="Y2967" s="144"/>
      <c r="Z2967" s="141"/>
      <c r="AA2967" s="141"/>
      <c r="AB2967" s="141"/>
      <c r="AC2967" s="141"/>
      <c r="AD2967" s="141"/>
      <c r="AE2967" s="141"/>
      <c r="AF2967" s="145"/>
      <c r="AG2967" s="419"/>
    </row>
    <row r="2968" spans="1:33" s="139" customFormat="1" ht="12.75" customHeight="1" x14ac:dyDescent="0.2">
      <c r="A2968" s="141"/>
      <c r="B2968" s="141"/>
      <c r="C2968" s="141"/>
      <c r="D2968" s="141"/>
      <c r="E2968" s="1014"/>
      <c r="F2968" s="1014"/>
      <c r="G2968" s="1027"/>
      <c r="H2968" s="1027"/>
      <c r="I2968" s="1174"/>
      <c r="J2968" s="1174"/>
      <c r="K2968" s="1174"/>
      <c r="L2968" s="1172"/>
      <c r="M2968" s="1172"/>
      <c r="N2968" s="1175"/>
      <c r="O2968" s="143"/>
      <c r="P2968" s="1196"/>
      <c r="Q2968" s="141"/>
      <c r="R2968" s="141"/>
      <c r="S2968" s="148"/>
      <c r="T2968" s="419"/>
      <c r="U2968" s="559"/>
      <c r="V2968" s="141"/>
      <c r="W2968" s="141"/>
      <c r="X2968" s="141"/>
      <c r="Y2968" s="144"/>
      <c r="Z2968" s="141"/>
      <c r="AA2968" s="141"/>
      <c r="AB2968" s="141"/>
      <c r="AC2968" s="141"/>
      <c r="AD2968" s="141"/>
      <c r="AE2968" s="141"/>
      <c r="AF2968" s="145"/>
      <c r="AG2968" s="419"/>
    </row>
    <row r="2969" spans="1:33" s="139" customFormat="1" ht="12.75" customHeight="1" x14ac:dyDescent="0.2">
      <c r="A2969" s="141"/>
      <c r="B2969" s="141"/>
      <c r="C2969" s="141"/>
      <c r="D2969" s="141"/>
      <c r="E2969" s="1014"/>
      <c r="F2969" s="1014"/>
      <c r="G2969" s="1027"/>
      <c r="H2969" s="1027"/>
      <c r="I2969" s="1174"/>
      <c r="J2969" s="1174"/>
      <c r="K2969" s="1174"/>
      <c r="L2969" s="1172"/>
      <c r="M2969" s="1172"/>
      <c r="N2969" s="1175"/>
      <c r="O2969" s="143"/>
      <c r="P2969" s="1196"/>
      <c r="Q2969" s="141"/>
      <c r="R2969" s="141"/>
      <c r="S2969" s="148"/>
      <c r="T2969" s="419"/>
      <c r="U2969" s="559"/>
      <c r="V2969" s="141"/>
      <c r="W2969" s="141"/>
      <c r="X2969" s="141"/>
      <c r="Y2969" s="144"/>
      <c r="Z2969" s="141"/>
      <c r="AA2969" s="141"/>
      <c r="AB2969" s="141"/>
      <c r="AC2969" s="141"/>
      <c r="AD2969" s="141"/>
      <c r="AE2969" s="141"/>
      <c r="AF2969" s="145"/>
      <c r="AG2969" s="419"/>
    </row>
    <row r="2970" spans="1:33" s="139" customFormat="1" ht="12.75" customHeight="1" x14ac:dyDescent="0.2">
      <c r="A2970" s="141"/>
      <c r="B2970" s="141"/>
      <c r="C2970" s="141"/>
      <c r="D2970" s="141"/>
      <c r="E2970" s="1014"/>
      <c r="F2970" s="1014"/>
      <c r="G2970" s="1027"/>
      <c r="H2970" s="1027"/>
      <c r="I2970" s="1174"/>
      <c r="J2970" s="1174"/>
      <c r="K2970" s="1174"/>
      <c r="L2970" s="1172"/>
      <c r="M2970" s="1172"/>
      <c r="N2970" s="1175"/>
      <c r="O2970" s="143"/>
      <c r="P2970" s="1196"/>
      <c r="Q2970" s="141"/>
      <c r="R2970" s="141"/>
      <c r="S2970" s="148"/>
      <c r="T2970" s="419"/>
      <c r="U2970" s="559"/>
      <c r="V2970" s="141"/>
      <c r="W2970" s="141"/>
      <c r="X2970" s="141"/>
      <c r="Y2970" s="144"/>
      <c r="Z2970" s="141"/>
      <c r="AA2970" s="141"/>
      <c r="AB2970" s="141"/>
      <c r="AC2970" s="141"/>
      <c r="AD2970" s="141"/>
      <c r="AE2970" s="141"/>
      <c r="AF2970" s="145"/>
      <c r="AG2970" s="419"/>
    </row>
    <row r="2971" spans="1:33" s="139" customFormat="1" ht="12.75" customHeight="1" x14ac:dyDescent="0.2">
      <c r="A2971" s="141"/>
      <c r="B2971" s="141"/>
      <c r="C2971" s="141"/>
      <c r="D2971" s="141"/>
      <c r="E2971" s="1014"/>
      <c r="F2971" s="1014"/>
      <c r="G2971" s="1027"/>
      <c r="H2971" s="1027"/>
      <c r="I2971" s="1174"/>
      <c r="J2971" s="1174"/>
      <c r="K2971" s="1174"/>
      <c r="L2971" s="1172"/>
      <c r="M2971" s="1172"/>
      <c r="N2971" s="1175"/>
      <c r="O2971" s="143"/>
      <c r="P2971" s="1196"/>
      <c r="Q2971" s="141"/>
      <c r="R2971" s="141"/>
      <c r="S2971" s="148"/>
      <c r="T2971" s="419"/>
      <c r="U2971" s="559"/>
      <c r="V2971" s="141"/>
      <c r="W2971" s="141"/>
      <c r="X2971" s="141"/>
      <c r="Y2971" s="144"/>
      <c r="Z2971" s="141"/>
      <c r="AA2971" s="141"/>
      <c r="AB2971" s="141"/>
      <c r="AC2971" s="141"/>
      <c r="AD2971" s="141"/>
      <c r="AE2971" s="141"/>
      <c r="AF2971" s="145"/>
      <c r="AG2971" s="419"/>
    </row>
    <row r="2972" spans="1:33" s="139" customFormat="1" ht="12.75" customHeight="1" x14ac:dyDescent="0.2">
      <c r="A2972" s="141"/>
      <c r="B2972" s="141"/>
      <c r="C2972" s="141"/>
      <c r="D2972" s="141"/>
      <c r="E2972" s="1014"/>
      <c r="F2972" s="1014"/>
      <c r="G2972" s="1027"/>
      <c r="H2972" s="1027"/>
      <c r="I2972" s="1174"/>
      <c r="J2972" s="1174"/>
      <c r="K2972" s="1174"/>
      <c r="L2972" s="1172"/>
      <c r="M2972" s="1172"/>
      <c r="N2972" s="1175"/>
      <c r="O2972" s="143"/>
      <c r="P2972" s="1196"/>
      <c r="Q2972" s="141"/>
      <c r="R2972" s="141"/>
      <c r="S2972" s="148"/>
      <c r="T2972" s="419"/>
      <c r="U2972" s="559"/>
      <c r="V2972" s="141"/>
      <c r="W2972" s="141"/>
      <c r="X2972" s="141"/>
      <c r="Y2972" s="144"/>
      <c r="Z2972" s="141"/>
      <c r="AA2972" s="141"/>
      <c r="AB2972" s="141"/>
      <c r="AC2972" s="141"/>
      <c r="AD2972" s="141"/>
      <c r="AE2972" s="141"/>
      <c r="AF2972" s="145"/>
      <c r="AG2972" s="419"/>
    </row>
    <row r="2973" spans="1:33" s="139" customFormat="1" ht="12.75" customHeight="1" x14ac:dyDescent="0.2">
      <c r="A2973" s="141"/>
      <c r="B2973" s="141"/>
      <c r="C2973" s="141"/>
      <c r="D2973" s="141"/>
      <c r="E2973" s="1014"/>
      <c r="F2973" s="1014"/>
      <c r="G2973" s="1027"/>
      <c r="H2973" s="1027"/>
      <c r="I2973" s="1174"/>
      <c r="J2973" s="1174"/>
      <c r="K2973" s="1174"/>
      <c r="L2973" s="1172"/>
      <c r="M2973" s="1172"/>
      <c r="N2973" s="1175"/>
      <c r="O2973" s="143"/>
      <c r="P2973" s="1196"/>
      <c r="Q2973" s="141"/>
      <c r="R2973" s="141"/>
      <c r="S2973" s="148"/>
      <c r="T2973" s="419"/>
      <c r="U2973" s="559"/>
      <c r="V2973" s="141"/>
      <c r="W2973" s="141"/>
      <c r="X2973" s="141"/>
      <c r="Y2973" s="144"/>
      <c r="Z2973" s="141"/>
      <c r="AA2973" s="141"/>
      <c r="AB2973" s="141"/>
      <c r="AC2973" s="141"/>
      <c r="AD2973" s="141"/>
      <c r="AE2973" s="141"/>
      <c r="AF2973" s="145"/>
      <c r="AG2973" s="419"/>
    </row>
    <row r="2974" spans="1:33" s="139" customFormat="1" ht="12.75" customHeight="1" x14ac:dyDescent="0.2">
      <c r="A2974" s="141"/>
      <c r="B2974" s="141"/>
      <c r="C2974" s="141"/>
      <c r="D2974" s="141"/>
      <c r="E2974" s="1014"/>
      <c r="F2974" s="1014"/>
      <c r="G2974" s="1027"/>
      <c r="H2974" s="1027"/>
      <c r="I2974" s="1174"/>
      <c r="J2974" s="1174"/>
      <c r="K2974" s="1174"/>
      <c r="L2974" s="1172"/>
      <c r="M2974" s="1172"/>
      <c r="N2974" s="1175"/>
      <c r="O2974" s="143"/>
      <c r="P2974" s="1196"/>
      <c r="Q2974" s="141"/>
      <c r="R2974" s="141"/>
      <c r="S2974" s="148"/>
      <c r="T2974" s="419"/>
      <c r="U2974" s="559"/>
      <c r="V2974" s="141"/>
      <c r="W2974" s="141"/>
      <c r="X2974" s="141"/>
      <c r="Y2974" s="144"/>
      <c r="Z2974" s="141"/>
      <c r="AA2974" s="141"/>
      <c r="AB2974" s="141"/>
      <c r="AC2974" s="141"/>
      <c r="AD2974" s="141"/>
      <c r="AE2974" s="141"/>
      <c r="AF2974" s="145"/>
      <c r="AG2974" s="419"/>
    </row>
    <row r="2975" spans="1:33" s="139" customFormat="1" ht="12.75" customHeight="1" x14ac:dyDescent="0.2">
      <c r="A2975" s="141"/>
      <c r="B2975" s="141"/>
      <c r="C2975" s="141"/>
      <c r="D2975" s="141"/>
      <c r="E2975" s="1014"/>
      <c r="F2975" s="1014"/>
      <c r="G2975" s="1027"/>
      <c r="H2975" s="1027"/>
      <c r="I2975" s="1174"/>
      <c r="J2975" s="1174"/>
      <c r="K2975" s="1174"/>
      <c r="L2975" s="1172"/>
      <c r="M2975" s="1172"/>
      <c r="N2975" s="1175"/>
      <c r="O2975" s="143"/>
      <c r="P2975" s="1196"/>
      <c r="Q2975" s="141"/>
      <c r="R2975" s="141"/>
      <c r="S2975" s="148"/>
      <c r="T2975" s="419"/>
      <c r="U2975" s="559"/>
      <c r="V2975" s="141"/>
      <c r="W2975" s="141"/>
      <c r="X2975" s="141"/>
      <c r="Y2975" s="144"/>
      <c r="Z2975" s="141"/>
      <c r="AA2975" s="141"/>
      <c r="AB2975" s="141"/>
      <c r="AC2975" s="141"/>
      <c r="AD2975" s="141"/>
      <c r="AE2975" s="141"/>
      <c r="AF2975" s="145"/>
      <c r="AG2975" s="419"/>
    </row>
    <row r="2976" spans="1:33" s="139" customFormat="1" ht="12.75" customHeight="1" x14ac:dyDescent="0.2">
      <c r="A2976" s="141"/>
      <c r="B2976" s="141"/>
      <c r="C2976" s="141"/>
      <c r="D2976" s="141"/>
      <c r="E2976" s="1014"/>
      <c r="F2976" s="1014"/>
      <c r="G2976" s="1027"/>
      <c r="H2976" s="1027"/>
      <c r="I2976" s="1174"/>
      <c r="J2976" s="1174"/>
      <c r="K2976" s="1174"/>
      <c r="L2976" s="1172"/>
      <c r="M2976" s="1172"/>
      <c r="N2976" s="1175"/>
      <c r="O2976" s="143"/>
      <c r="P2976" s="1196"/>
      <c r="Q2976" s="141"/>
      <c r="R2976" s="141"/>
      <c r="S2976" s="148"/>
      <c r="T2976" s="419"/>
      <c r="U2976" s="559"/>
      <c r="V2976" s="141"/>
      <c r="W2976" s="141"/>
      <c r="X2976" s="141"/>
      <c r="Y2976" s="144"/>
      <c r="Z2976" s="141"/>
      <c r="AA2976" s="141"/>
      <c r="AB2976" s="141"/>
      <c r="AC2976" s="141"/>
      <c r="AD2976" s="141"/>
      <c r="AE2976" s="141"/>
      <c r="AF2976" s="145"/>
      <c r="AG2976" s="419"/>
    </row>
    <row r="2977" spans="1:33" s="139" customFormat="1" ht="12.75" customHeight="1" x14ac:dyDescent="0.2">
      <c r="A2977" s="141"/>
      <c r="B2977" s="141"/>
      <c r="C2977" s="141"/>
      <c r="D2977" s="141"/>
      <c r="E2977" s="1014"/>
      <c r="F2977" s="1014"/>
      <c r="G2977" s="1027"/>
      <c r="H2977" s="1027"/>
      <c r="I2977" s="1174"/>
      <c r="J2977" s="1174"/>
      <c r="K2977" s="1174"/>
      <c r="L2977" s="1172"/>
      <c r="M2977" s="1172"/>
      <c r="N2977" s="1175"/>
      <c r="O2977" s="143"/>
      <c r="P2977" s="1196"/>
      <c r="Q2977" s="141"/>
      <c r="R2977" s="141"/>
      <c r="S2977" s="148"/>
      <c r="T2977" s="419"/>
      <c r="U2977" s="559"/>
      <c r="V2977" s="141"/>
      <c r="W2977" s="141"/>
      <c r="X2977" s="141"/>
      <c r="Y2977" s="144"/>
      <c r="Z2977" s="141"/>
      <c r="AA2977" s="141"/>
      <c r="AB2977" s="141"/>
      <c r="AC2977" s="141"/>
      <c r="AD2977" s="141"/>
      <c r="AE2977" s="141"/>
      <c r="AF2977" s="145"/>
      <c r="AG2977" s="419"/>
    </row>
    <row r="2978" spans="1:33" s="139" customFormat="1" ht="12.75" customHeight="1" x14ac:dyDescent="0.2">
      <c r="A2978" s="141"/>
      <c r="B2978" s="141"/>
      <c r="C2978" s="141"/>
      <c r="D2978" s="141"/>
      <c r="E2978" s="1014"/>
      <c r="F2978" s="1014"/>
      <c r="G2978" s="1027"/>
      <c r="H2978" s="1027"/>
      <c r="I2978" s="1174"/>
      <c r="J2978" s="1174"/>
      <c r="K2978" s="1174"/>
      <c r="L2978" s="1172"/>
      <c r="M2978" s="1172"/>
      <c r="N2978" s="1175"/>
      <c r="O2978" s="143"/>
      <c r="P2978" s="1196"/>
      <c r="Q2978" s="141"/>
      <c r="R2978" s="141"/>
      <c r="S2978" s="148"/>
      <c r="T2978" s="419"/>
      <c r="U2978" s="559"/>
      <c r="V2978" s="141"/>
      <c r="W2978" s="141"/>
      <c r="X2978" s="141"/>
      <c r="Y2978" s="144"/>
      <c r="Z2978" s="141"/>
      <c r="AA2978" s="141"/>
      <c r="AB2978" s="141"/>
      <c r="AC2978" s="141"/>
      <c r="AD2978" s="141"/>
      <c r="AE2978" s="141"/>
      <c r="AF2978" s="145"/>
      <c r="AG2978" s="419"/>
    </row>
    <row r="2979" spans="1:33" s="139" customFormat="1" ht="12.75" customHeight="1" x14ac:dyDescent="0.2">
      <c r="A2979" s="141"/>
      <c r="B2979" s="141"/>
      <c r="C2979" s="141"/>
      <c r="D2979" s="141"/>
      <c r="E2979" s="1014"/>
      <c r="F2979" s="1014"/>
      <c r="G2979" s="1027"/>
      <c r="H2979" s="1027"/>
      <c r="I2979" s="1174"/>
      <c r="J2979" s="1174"/>
      <c r="K2979" s="1174"/>
      <c r="L2979" s="1172"/>
      <c r="M2979" s="1172"/>
      <c r="N2979" s="1175"/>
      <c r="O2979" s="143"/>
      <c r="P2979" s="1196"/>
      <c r="Q2979" s="141"/>
      <c r="R2979" s="141"/>
      <c r="S2979" s="148"/>
      <c r="T2979" s="419"/>
      <c r="U2979" s="559"/>
      <c r="V2979" s="141"/>
      <c r="W2979" s="141"/>
      <c r="X2979" s="141"/>
      <c r="Y2979" s="144"/>
      <c r="Z2979" s="141"/>
      <c r="AA2979" s="141"/>
      <c r="AB2979" s="141"/>
      <c r="AC2979" s="141"/>
      <c r="AD2979" s="141"/>
      <c r="AE2979" s="141"/>
      <c r="AF2979" s="145"/>
      <c r="AG2979" s="419"/>
    </row>
    <row r="2980" spans="1:33" s="139" customFormat="1" ht="12.75" customHeight="1" x14ac:dyDescent="0.2">
      <c r="A2980" s="141"/>
      <c r="B2980" s="141"/>
      <c r="C2980" s="141"/>
      <c r="D2980" s="141"/>
      <c r="E2980" s="1014"/>
      <c r="F2980" s="1014"/>
      <c r="G2980" s="1027"/>
      <c r="H2980" s="1027"/>
      <c r="I2980" s="1174"/>
      <c r="J2980" s="1174"/>
      <c r="K2980" s="1174"/>
      <c r="L2980" s="1172"/>
      <c r="M2980" s="1172"/>
      <c r="N2980" s="1175"/>
      <c r="O2980" s="143"/>
      <c r="P2980" s="1196"/>
      <c r="Q2980" s="141"/>
      <c r="R2980" s="141"/>
      <c r="S2980" s="148"/>
      <c r="T2980" s="419"/>
      <c r="U2980" s="559"/>
      <c r="V2980" s="141"/>
      <c r="W2980" s="141"/>
      <c r="X2980" s="141"/>
      <c r="Y2980" s="144"/>
      <c r="Z2980" s="141"/>
      <c r="AA2980" s="141"/>
      <c r="AB2980" s="141"/>
      <c r="AC2980" s="141"/>
      <c r="AD2980" s="141"/>
      <c r="AE2980" s="141"/>
      <c r="AF2980" s="145"/>
      <c r="AG2980" s="419"/>
    </row>
    <row r="2981" spans="1:33" s="139" customFormat="1" ht="12.75" customHeight="1" x14ac:dyDescent="0.2">
      <c r="A2981" s="141"/>
      <c r="B2981" s="141"/>
      <c r="C2981" s="141"/>
      <c r="D2981" s="141"/>
      <c r="E2981" s="1014"/>
      <c r="F2981" s="1014"/>
      <c r="G2981" s="1027"/>
      <c r="H2981" s="1027"/>
      <c r="I2981" s="1174"/>
      <c r="J2981" s="1174"/>
      <c r="K2981" s="1174"/>
      <c r="L2981" s="1172"/>
      <c r="M2981" s="1172"/>
      <c r="N2981" s="1175"/>
      <c r="O2981" s="143"/>
      <c r="P2981" s="1196"/>
      <c r="Q2981" s="141"/>
      <c r="R2981" s="141"/>
      <c r="S2981" s="148"/>
      <c r="T2981" s="419"/>
      <c r="U2981" s="559"/>
      <c r="V2981" s="141"/>
      <c r="W2981" s="141"/>
      <c r="X2981" s="141"/>
      <c r="Y2981" s="144"/>
      <c r="Z2981" s="141"/>
      <c r="AA2981" s="141"/>
      <c r="AB2981" s="141"/>
      <c r="AC2981" s="141"/>
      <c r="AD2981" s="141"/>
      <c r="AE2981" s="141"/>
      <c r="AF2981" s="145"/>
      <c r="AG2981" s="419"/>
    </row>
    <row r="2982" spans="1:33" s="139" customFormat="1" ht="12.75" customHeight="1" x14ac:dyDescent="0.2">
      <c r="A2982" s="141"/>
      <c r="B2982" s="141"/>
      <c r="C2982" s="141"/>
      <c r="D2982" s="141"/>
      <c r="E2982" s="1014"/>
      <c r="F2982" s="1014"/>
      <c r="G2982" s="1027"/>
      <c r="H2982" s="1027"/>
      <c r="I2982" s="1174"/>
      <c r="J2982" s="1174"/>
      <c r="K2982" s="1174"/>
      <c r="L2982" s="1172"/>
      <c r="M2982" s="1172"/>
      <c r="N2982" s="1175"/>
      <c r="O2982" s="143"/>
      <c r="P2982" s="1196"/>
      <c r="Q2982" s="141"/>
      <c r="R2982" s="141"/>
      <c r="S2982" s="148"/>
      <c r="T2982" s="419"/>
      <c r="U2982" s="559"/>
      <c r="V2982" s="141"/>
      <c r="W2982" s="141"/>
      <c r="X2982" s="141"/>
      <c r="Y2982" s="144"/>
      <c r="Z2982" s="141"/>
      <c r="AA2982" s="141"/>
      <c r="AB2982" s="141"/>
      <c r="AC2982" s="141"/>
      <c r="AD2982" s="141"/>
      <c r="AE2982" s="141"/>
      <c r="AF2982" s="145"/>
      <c r="AG2982" s="419"/>
    </row>
    <row r="2983" spans="1:33" s="139" customFormat="1" ht="12.75" customHeight="1" x14ac:dyDescent="0.2">
      <c r="A2983" s="141"/>
      <c r="B2983" s="141"/>
      <c r="C2983" s="141"/>
      <c r="D2983" s="141"/>
      <c r="E2983" s="1014"/>
      <c r="F2983" s="1014"/>
      <c r="G2983" s="1027"/>
      <c r="H2983" s="1027"/>
      <c r="I2983" s="1174"/>
      <c r="J2983" s="1174"/>
      <c r="K2983" s="1174"/>
      <c r="L2983" s="1172"/>
      <c r="M2983" s="1172"/>
      <c r="N2983" s="1175"/>
      <c r="O2983" s="143"/>
      <c r="P2983" s="1196"/>
      <c r="Q2983" s="141"/>
      <c r="R2983" s="141"/>
      <c r="S2983" s="148"/>
      <c r="T2983" s="419"/>
      <c r="U2983" s="559"/>
      <c r="V2983" s="141"/>
      <c r="W2983" s="141"/>
      <c r="X2983" s="141"/>
      <c r="Y2983" s="144"/>
      <c r="Z2983" s="141"/>
      <c r="AA2983" s="141"/>
      <c r="AB2983" s="141"/>
      <c r="AC2983" s="141"/>
      <c r="AD2983" s="141"/>
      <c r="AE2983" s="141"/>
      <c r="AF2983" s="145"/>
      <c r="AG2983" s="419"/>
    </row>
    <row r="2984" spans="1:33" s="139" customFormat="1" ht="12.75" customHeight="1" x14ac:dyDescent="0.2">
      <c r="A2984" s="141"/>
      <c r="B2984" s="141"/>
      <c r="C2984" s="141"/>
      <c r="D2984" s="141"/>
      <c r="E2984" s="1014"/>
      <c r="F2984" s="1014"/>
      <c r="G2984" s="1027"/>
      <c r="H2984" s="1027"/>
      <c r="I2984" s="1174"/>
      <c r="J2984" s="1174"/>
      <c r="K2984" s="1174"/>
      <c r="L2984" s="1172"/>
      <c r="M2984" s="1172"/>
      <c r="N2984" s="1175"/>
      <c r="O2984" s="143"/>
      <c r="P2984" s="1196"/>
      <c r="Q2984" s="141"/>
      <c r="R2984" s="141"/>
      <c r="S2984" s="148"/>
      <c r="T2984" s="419"/>
      <c r="U2984" s="559"/>
      <c r="V2984" s="141"/>
      <c r="W2984" s="141"/>
      <c r="X2984" s="141"/>
      <c r="Y2984" s="144"/>
      <c r="Z2984" s="141"/>
      <c r="AA2984" s="141"/>
      <c r="AB2984" s="141"/>
      <c r="AC2984" s="141"/>
      <c r="AD2984" s="141"/>
      <c r="AE2984" s="141"/>
      <c r="AF2984" s="145"/>
      <c r="AG2984" s="419"/>
    </row>
    <row r="2985" spans="1:33" s="139" customFormat="1" ht="12.75" customHeight="1" x14ac:dyDescent="0.2">
      <c r="A2985" s="141"/>
      <c r="B2985" s="141"/>
      <c r="C2985" s="141"/>
      <c r="D2985" s="141"/>
      <c r="E2985" s="1014"/>
      <c r="F2985" s="1014"/>
      <c r="G2985" s="1027"/>
      <c r="H2985" s="1027"/>
      <c r="I2985" s="1174"/>
      <c r="J2985" s="1174"/>
      <c r="K2985" s="1174"/>
      <c r="L2985" s="1172"/>
      <c r="M2985" s="1172"/>
      <c r="N2985" s="1175"/>
      <c r="O2985" s="143"/>
      <c r="P2985" s="1196"/>
      <c r="Q2985" s="141"/>
      <c r="R2985" s="141"/>
      <c r="S2985" s="148"/>
      <c r="T2985" s="419"/>
      <c r="U2985" s="559"/>
      <c r="V2985" s="141"/>
      <c r="W2985" s="141"/>
      <c r="X2985" s="141"/>
      <c r="Y2985" s="144"/>
      <c r="Z2985" s="141"/>
      <c r="AA2985" s="141"/>
      <c r="AB2985" s="141"/>
      <c r="AC2985" s="141"/>
      <c r="AD2985" s="141"/>
      <c r="AE2985" s="141"/>
      <c r="AF2985" s="145"/>
      <c r="AG2985" s="419"/>
    </row>
    <row r="2986" spans="1:33" s="139" customFormat="1" ht="12.75" customHeight="1" x14ac:dyDescent="0.2">
      <c r="A2986" s="141"/>
      <c r="B2986" s="141"/>
      <c r="C2986" s="141"/>
      <c r="D2986" s="141"/>
      <c r="E2986" s="1014"/>
      <c r="F2986" s="1014"/>
      <c r="G2986" s="1027"/>
      <c r="H2986" s="1027"/>
      <c r="I2986" s="1174"/>
      <c r="J2986" s="1174"/>
      <c r="K2986" s="1174"/>
      <c r="L2986" s="1172"/>
      <c r="M2986" s="1172"/>
      <c r="N2986" s="1175"/>
      <c r="O2986" s="143"/>
      <c r="P2986" s="1196"/>
      <c r="Q2986" s="141"/>
      <c r="R2986" s="141"/>
      <c r="S2986" s="148"/>
      <c r="T2986" s="419"/>
      <c r="U2986" s="559"/>
      <c r="V2986" s="141"/>
      <c r="W2986" s="141"/>
      <c r="X2986" s="141"/>
      <c r="Y2986" s="144"/>
      <c r="Z2986" s="141"/>
      <c r="AA2986" s="141"/>
      <c r="AB2986" s="141"/>
      <c r="AC2986" s="141"/>
      <c r="AD2986" s="141"/>
      <c r="AE2986" s="141"/>
      <c r="AF2986" s="145"/>
      <c r="AG2986" s="419"/>
    </row>
    <row r="2987" spans="1:33" s="139" customFormat="1" ht="12.75" customHeight="1" x14ac:dyDescent="0.2">
      <c r="A2987" s="141"/>
      <c r="B2987" s="141"/>
      <c r="C2987" s="141"/>
      <c r="D2987" s="141"/>
      <c r="E2987" s="1014"/>
      <c r="F2987" s="1014"/>
      <c r="G2987" s="1027"/>
      <c r="H2987" s="1027"/>
      <c r="I2987" s="1174"/>
      <c r="J2987" s="1174"/>
      <c r="K2987" s="1174"/>
      <c r="L2987" s="1172"/>
      <c r="M2987" s="1172"/>
      <c r="N2987" s="1175"/>
      <c r="O2987" s="143"/>
      <c r="P2987" s="1196"/>
      <c r="Q2987" s="141"/>
      <c r="R2987" s="141"/>
      <c r="S2987" s="148"/>
      <c r="T2987" s="419"/>
      <c r="U2987" s="559"/>
      <c r="V2987" s="141"/>
      <c r="W2987" s="141"/>
      <c r="X2987" s="141"/>
      <c r="Y2987" s="144"/>
      <c r="Z2987" s="141"/>
      <c r="AA2987" s="141"/>
      <c r="AB2987" s="141"/>
      <c r="AC2987" s="141"/>
      <c r="AD2987" s="141"/>
      <c r="AE2987" s="141"/>
      <c r="AF2987" s="145"/>
      <c r="AG2987" s="419"/>
    </row>
    <row r="2988" spans="1:33" s="139" customFormat="1" ht="12.75" customHeight="1" x14ac:dyDescent="0.2">
      <c r="A2988" s="141"/>
      <c r="B2988" s="141"/>
      <c r="C2988" s="141"/>
      <c r="D2988" s="141"/>
      <c r="E2988" s="1014"/>
      <c r="F2988" s="1014"/>
      <c r="G2988" s="1027"/>
      <c r="H2988" s="1027"/>
      <c r="I2988" s="1174"/>
      <c r="J2988" s="1174"/>
      <c r="K2988" s="1174"/>
      <c r="L2988" s="1172"/>
      <c r="M2988" s="1172"/>
      <c r="N2988" s="1175"/>
      <c r="O2988" s="143"/>
      <c r="P2988" s="1196"/>
      <c r="Q2988" s="141"/>
      <c r="R2988" s="141"/>
      <c r="S2988" s="148"/>
      <c r="T2988" s="419"/>
      <c r="U2988" s="559"/>
      <c r="V2988" s="141"/>
      <c r="W2988" s="141"/>
      <c r="X2988" s="141"/>
      <c r="Y2988" s="144"/>
      <c r="Z2988" s="141"/>
      <c r="AA2988" s="141"/>
      <c r="AB2988" s="141"/>
      <c r="AC2988" s="141"/>
      <c r="AD2988" s="141"/>
      <c r="AE2988" s="141"/>
      <c r="AF2988" s="145"/>
      <c r="AG2988" s="419"/>
    </row>
    <row r="2989" spans="1:33" s="139" customFormat="1" ht="12.75" customHeight="1" x14ac:dyDescent="0.2">
      <c r="A2989" s="141"/>
      <c r="B2989" s="141"/>
      <c r="C2989" s="141"/>
      <c r="D2989" s="141"/>
      <c r="E2989" s="1014"/>
      <c r="F2989" s="1014"/>
      <c r="G2989" s="1027"/>
      <c r="H2989" s="1027"/>
      <c r="I2989" s="1174"/>
      <c r="J2989" s="1174"/>
      <c r="K2989" s="1174"/>
      <c r="L2989" s="1172"/>
      <c r="M2989" s="1172"/>
      <c r="N2989" s="1175"/>
      <c r="O2989" s="143"/>
      <c r="P2989" s="1196"/>
      <c r="Q2989" s="141"/>
      <c r="R2989" s="141"/>
      <c r="S2989" s="148"/>
      <c r="T2989" s="419"/>
      <c r="U2989" s="559"/>
      <c r="V2989" s="141"/>
      <c r="W2989" s="141"/>
      <c r="X2989" s="141"/>
      <c r="Y2989" s="144"/>
      <c r="Z2989" s="141"/>
      <c r="AA2989" s="141"/>
      <c r="AB2989" s="141"/>
      <c r="AC2989" s="141"/>
      <c r="AD2989" s="141"/>
      <c r="AE2989" s="141"/>
      <c r="AF2989" s="145"/>
      <c r="AG2989" s="419"/>
    </row>
    <row r="2990" spans="1:33" s="139" customFormat="1" ht="12.75" customHeight="1" x14ac:dyDescent="0.2">
      <c r="A2990" s="141"/>
      <c r="B2990" s="141"/>
      <c r="C2990" s="141"/>
      <c r="D2990" s="141"/>
      <c r="E2990" s="1014"/>
      <c r="F2990" s="1014"/>
      <c r="G2990" s="1027"/>
      <c r="H2990" s="1027"/>
      <c r="I2990" s="1174"/>
      <c r="J2990" s="1174"/>
      <c r="K2990" s="1174"/>
      <c r="L2990" s="1172"/>
      <c r="M2990" s="1172"/>
      <c r="N2990" s="1175"/>
      <c r="O2990" s="143"/>
      <c r="P2990" s="1196"/>
      <c r="Q2990" s="141"/>
      <c r="R2990" s="141"/>
      <c r="S2990" s="148"/>
      <c r="T2990" s="419"/>
      <c r="U2990" s="559"/>
      <c r="V2990" s="141"/>
      <c r="W2990" s="141"/>
      <c r="X2990" s="141"/>
      <c r="Y2990" s="144"/>
      <c r="Z2990" s="141"/>
      <c r="AA2990" s="141"/>
      <c r="AB2990" s="141"/>
      <c r="AC2990" s="141"/>
      <c r="AD2990" s="141"/>
      <c r="AE2990" s="141"/>
      <c r="AF2990" s="145"/>
      <c r="AG2990" s="419"/>
    </row>
    <row r="2991" spans="1:33" s="139" customFormat="1" ht="12.75" customHeight="1" x14ac:dyDescent="0.2">
      <c r="A2991" s="141"/>
      <c r="B2991" s="141"/>
      <c r="C2991" s="141"/>
      <c r="D2991" s="141"/>
      <c r="E2991" s="1014"/>
      <c r="F2991" s="1014"/>
      <c r="G2991" s="1027"/>
      <c r="H2991" s="1027"/>
      <c r="I2991" s="1174"/>
      <c r="J2991" s="1174"/>
      <c r="K2991" s="1174"/>
      <c r="L2991" s="1172"/>
      <c r="M2991" s="1172"/>
      <c r="N2991" s="1175"/>
      <c r="O2991" s="143"/>
      <c r="P2991" s="1196"/>
      <c r="Q2991" s="141"/>
      <c r="R2991" s="141"/>
      <c r="S2991" s="148"/>
      <c r="T2991" s="419"/>
      <c r="U2991" s="559"/>
      <c r="V2991" s="141"/>
      <c r="W2991" s="141"/>
      <c r="X2991" s="141"/>
      <c r="Y2991" s="144"/>
      <c r="Z2991" s="141"/>
      <c r="AA2991" s="141"/>
      <c r="AB2991" s="141"/>
      <c r="AC2991" s="141"/>
      <c r="AD2991" s="141"/>
      <c r="AE2991" s="141"/>
      <c r="AF2991" s="145"/>
      <c r="AG2991" s="419"/>
    </row>
    <row r="2992" spans="1:33" s="139" customFormat="1" ht="12.75" customHeight="1" x14ac:dyDescent="0.2">
      <c r="A2992" s="141"/>
      <c r="B2992" s="141"/>
      <c r="C2992" s="141"/>
      <c r="D2992" s="141"/>
      <c r="E2992" s="1014"/>
      <c r="F2992" s="1014"/>
      <c r="G2992" s="1027"/>
      <c r="H2992" s="1027"/>
      <c r="I2992" s="1174"/>
      <c r="J2992" s="1174"/>
      <c r="K2992" s="1174"/>
      <c r="L2992" s="1172"/>
      <c r="M2992" s="1172"/>
      <c r="N2992" s="1175"/>
      <c r="O2992" s="143"/>
      <c r="P2992" s="1196"/>
      <c r="Q2992" s="141"/>
      <c r="R2992" s="141"/>
      <c r="S2992" s="148"/>
      <c r="T2992" s="419"/>
      <c r="U2992" s="559"/>
      <c r="V2992" s="141"/>
      <c r="W2992" s="141"/>
      <c r="X2992" s="141"/>
      <c r="Y2992" s="144"/>
      <c r="Z2992" s="141"/>
      <c r="AA2992" s="141"/>
      <c r="AB2992" s="141"/>
      <c r="AC2992" s="141"/>
      <c r="AD2992" s="141"/>
      <c r="AE2992" s="141"/>
      <c r="AF2992" s="145"/>
      <c r="AG2992" s="419"/>
    </row>
    <row r="2993" spans="1:33" s="139" customFormat="1" ht="12.75" customHeight="1" x14ac:dyDescent="0.2">
      <c r="A2993" s="141"/>
      <c r="B2993" s="141"/>
      <c r="C2993" s="141"/>
      <c r="D2993" s="141"/>
      <c r="E2993" s="1014"/>
      <c r="F2993" s="1014"/>
      <c r="G2993" s="1027"/>
      <c r="H2993" s="1027"/>
      <c r="I2993" s="1174"/>
      <c r="J2993" s="1174"/>
      <c r="K2993" s="1174"/>
      <c r="L2993" s="1172"/>
      <c r="M2993" s="1172"/>
      <c r="N2993" s="1175"/>
      <c r="O2993" s="143"/>
      <c r="P2993" s="1196"/>
      <c r="Q2993" s="141"/>
      <c r="R2993" s="141"/>
      <c r="S2993" s="148"/>
      <c r="T2993" s="419"/>
      <c r="U2993" s="559"/>
      <c r="V2993" s="141"/>
      <c r="W2993" s="141"/>
      <c r="X2993" s="141"/>
      <c r="Y2993" s="144"/>
      <c r="Z2993" s="141"/>
      <c r="AA2993" s="141"/>
      <c r="AB2993" s="141"/>
      <c r="AC2993" s="141"/>
      <c r="AD2993" s="141"/>
      <c r="AE2993" s="141"/>
      <c r="AF2993" s="145"/>
      <c r="AG2993" s="419"/>
    </row>
    <row r="2994" spans="1:33" s="139" customFormat="1" ht="12.75" customHeight="1" x14ac:dyDescent="0.2">
      <c r="A2994" s="141"/>
      <c r="B2994" s="141"/>
      <c r="C2994" s="141"/>
      <c r="D2994" s="141"/>
      <c r="E2994" s="1014"/>
      <c r="F2994" s="1014"/>
      <c r="G2994" s="1027"/>
      <c r="H2994" s="1027"/>
      <c r="I2994" s="1174"/>
      <c r="J2994" s="1174"/>
      <c r="K2994" s="1174"/>
      <c r="L2994" s="1172"/>
      <c r="M2994" s="1172"/>
      <c r="N2994" s="1175"/>
      <c r="O2994" s="143"/>
      <c r="P2994" s="1196"/>
      <c r="Q2994" s="141"/>
      <c r="R2994" s="141"/>
      <c r="S2994" s="148"/>
      <c r="T2994" s="419"/>
      <c r="U2994" s="559"/>
      <c r="V2994" s="141"/>
      <c r="W2994" s="141"/>
      <c r="X2994" s="141"/>
      <c r="Y2994" s="144"/>
      <c r="Z2994" s="141"/>
      <c r="AA2994" s="141"/>
      <c r="AB2994" s="141"/>
      <c r="AC2994" s="141"/>
      <c r="AD2994" s="141"/>
      <c r="AE2994" s="141"/>
      <c r="AF2994" s="145"/>
      <c r="AG2994" s="419"/>
    </row>
    <row r="2995" spans="1:33" s="139" customFormat="1" ht="12.75" customHeight="1" x14ac:dyDescent="0.2">
      <c r="A2995" s="141"/>
      <c r="B2995" s="141"/>
      <c r="C2995" s="141"/>
      <c r="D2995" s="141"/>
      <c r="E2995" s="1014"/>
      <c r="F2995" s="1014"/>
      <c r="G2995" s="1027"/>
      <c r="H2995" s="1027"/>
      <c r="I2995" s="1174"/>
      <c r="J2995" s="1174"/>
      <c r="K2995" s="1174"/>
      <c r="L2995" s="1172"/>
      <c r="M2995" s="1172"/>
      <c r="N2995" s="1175"/>
      <c r="O2995" s="143"/>
      <c r="P2995" s="1196"/>
      <c r="Q2995" s="141"/>
      <c r="R2995" s="141"/>
      <c r="S2995" s="148"/>
      <c r="T2995" s="419"/>
      <c r="U2995" s="559"/>
      <c r="V2995" s="141"/>
      <c r="W2995" s="141"/>
      <c r="X2995" s="141"/>
      <c r="Y2995" s="144"/>
      <c r="Z2995" s="141"/>
      <c r="AA2995" s="141"/>
      <c r="AB2995" s="141"/>
      <c r="AC2995" s="141"/>
      <c r="AD2995" s="141"/>
      <c r="AE2995" s="141"/>
      <c r="AF2995" s="145"/>
      <c r="AG2995" s="419"/>
    </row>
    <row r="2996" spans="1:33" s="139" customFormat="1" ht="12.75" customHeight="1" x14ac:dyDescent="0.2">
      <c r="A2996" s="141"/>
      <c r="B2996" s="141"/>
      <c r="C2996" s="141"/>
      <c r="D2996" s="141"/>
      <c r="E2996" s="1014"/>
      <c r="F2996" s="1014"/>
      <c r="G2996" s="1027"/>
      <c r="H2996" s="1027"/>
      <c r="I2996" s="1174"/>
      <c r="J2996" s="1174"/>
      <c r="K2996" s="1174"/>
      <c r="L2996" s="1172"/>
      <c r="M2996" s="1172"/>
      <c r="N2996" s="1175"/>
      <c r="O2996" s="143"/>
      <c r="P2996" s="1196"/>
      <c r="Q2996" s="141"/>
      <c r="R2996" s="141"/>
      <c r="S2996" s="148"/>
      <c r="T2996" s="419"/>
      <c r="U2996" s="559"/>
      <c r="V2996" s="141"/>
      <c r="W2996" s="141"/>
      <c r="X2996" s="141"/>
      <c r="Y2996" s="144"/>
      <c r="Z2996" s="141"/>
      <c r="AA2996" s="141"/>
      <c r="AB2996" s="141"/>
      <c r="AC2996" s="141"/>
      <c r="AD2996" s="141"/>
      <c r="AE2996" s="141"/>
      <c r="AF2996" s="145"/>
      <c r="AG2996" s="419"/>
    </row>
    <row r="2997" spans="1:33" s="139" customFormat="1" ht="12.75" customHeight="1" x14ac:dyDescent="0.2">
      <c r="A2997" s="141"/>
      <c r="B2997" s="141"/>
      <c r="C2997" s="141"/>
      <c r="D2997" s="141"/>
      <c r="E2997" s="1014"/>
      <c r="F2997" s="1014"/>
      <c r="G2997" s="1027"/>
      <c r="H2997" s="1027"/>
      <c r="I2997" s="1174"/>
      <c r="J2997" s="1174"/>
      <c r="K2997" s="1174"/>
      <c r="L2997" s="1172"/>
      <c r="M2997" s="1172"/>
      <c r="N2997" s="1175"/>
      <c r="O2997" s="143"/>
      <c r="P2997" s="1196"/>
      <c r="Q2997" s="141"/>
      <c r="R2997" s="141"/>
      <c r="S2997" s="148"/>
      <c r="T2997" s="419"/>
      <c r="U2997" s="559"/>
      <c r="V2997" s="141"/>
      <c r="W2997" s="141"/>
      <c r="X2997" s="141"/>
      <c r="Y2997" s="144"/>
      <c r="Z2997" s="141"/>
      <c r="AA2997" s="141"/>
      <c r="AB2997" s="141"/>
      <c r="AC2997" s="141"/>
      <c r="AD2997" s="141"/>
      <c r="AE2997" s="141"/>
      <c r="AF2997" s="145"/>
      <c r="AG2997" s="419"/>
    </row>
    <row r="2998" spans="1:33" s="139" customFormat="1" ht="12.75" customHeight="1" x14ac:dyDescent="0.2">
      <c r="A2998" s="141"/>
      <c r="B2998" s="141"/>
      <c r="C2998" s="141"/>
      <c r="D2998" s="141"/>
      <c r="E2998" s="1014"/>
      <c r="F2998" s="1014"/>
      <c r="G2998" s="1027"/>
      <c r="H2998" s="1027"/>
      <c r="I2998" s="1174"/>
      <c r="J2998" s="1174"/>
      <c r="K2998" s="1174"/>
      <c r="L2998" s="1172"/>
      <c r="M2998" s="1172"/>
      <c r="N2998" s="1175"/>
      <c r="O2998" s="143"/>
      <c r="P2998" s="1196"/>
      <c r="Q2998" s="141"/>
      <c r="R2998" s="141"/>
      <c r="S2998" s="148"/>
      <c r="T2998" s="419"/>
      <c r="U2998" s="559"/>
      <c r="V2998" s="141"/>
      <c r="W2998" s="141"/>
      <c r="X2998" s="141"/>
      <c r="Y2998" s="144"/>
      <c r="Z2998" s="141"/>
      <c r="AA2998" s="141"/>
      <c r="AB2998" s="141"/>
      <c r="AC2998" s="141"/>
      <c r="AD2998" s="141"/>
      <c r="AE2998" s="141"/>
      <c r="AF2998" s="145"/>
      <c r="AG2998" s="419"/>
    </row>
    <row r="2999" spans="1:33" s="139" customFormat="1" ht="12.75" customHeight="1" x14ac:dyDescent="0.2">
      <c r="A2999" s="141"/>
      <c r="B2999" s="141"/>
      <c r="C2999" s="141"/>
      <c r="D2999" s="141"/>
      <c r="E2999" s="1014"/>
      <c r="F2999" s="1014"/>
      <c r="G2999" s="1027"/>
      <c r="H2999" s="1027"/>
      <c r="I2999" s="1174"/>
      <c r="J2999" s="1174"/>
      <c r="K2999" s="1174"/>
      <c r="L2999" s="1172"/>
      <c r="M2999" s="1172"/>
      <c r="N2999" s="1175"/>
      <c r="O2999" s="143"/>
      <c r="P2999" s="1196"/>
      <c r="Q2999" s="141"/>
      <c r="R2999" s="141"/>
      <c r="S2999" s="148"/>
      <c r="T2999" s="419"/>
      <c r="U2999" s="559"/>
      <c r="V2999" s="141"/>
      <c r="W2999" s="141"/>
      <c r="X2999" s="141"/>
      <c r="Y2999" s="144"/>
      <c r="Z2999" s="141"/>
      <c r="AA2999" s="141"/>
      <c r="AB2999" s="141"/>
      <c r="AC2999" s="141"/>
      <c r="AD2999" s="141"/>
      <c r="AE2999" s="141"/>
      <c r="AF2999" s="145"/>
      <c r="AG2999" s="419"/>
    </row>
    <row r="3000" spans="1:33" s="139" customFormat="1" ht="12.75" customHeight="1" x14ac:dyDescent="0.2">
      <c r="A3000" s="141"/>
      <c r="B3000" s="141"/>
      <c r="C3000" s="141"/>
      <c r="D3000" s="141"/>
      <c r="E3000" s="1014"/>
      <c r="F3000" s="1014"/>
      <c r="G3000" s="1027"/>
      <c r="H3000" s="1027"/>
      <c r="I3000" s="1174"/>
      <c r="J3000" s="1174"/>
      <c r="K3000" s="1174"/>
      <c r="L3000" s="1172"/>
      <c r="M3000" s="1172"/>
      <c r="N3000" s="1175"/>
      <c r="O3000" s="143"/>
      <c r="P3000" s="1196"/>
      <c r="Q3000" s="141"/>
      <c r="R3000" s="141"/>
      <c r="S3000" s="148"/>
      <c r="T3000" s="419"/>
      <c r="U3000" s="559"/>
      <c r="V3000" s="141"/>
      <c r="W3000" s="141"/>
      <c r="X3000" s="141"/>
      <c r="Y3000" s="144"/>
      <c r="Z3000" s="141"/>
      <c r="AA3000" s="141"/>
      <c r="AB3000" s="141"/>
      <c r="AC3000" s="141"/>
      <c r="AD3000" s="141"/>
      <c r="AE3000" s="141"/>
      <c r="AF3000" s="145"/>
      <c r="AG3000" s="419"/>
    </row>
    <row r="3001" spans="1:33" s="139" customFormat="1" ht="12.75" customHeight="1" x14ac:dyDescent="0.2">
      <c r="A3001" s="141"/>
      <c r="B3001" s="141"/>
      <c r="C3001" s="141"/>
      <c r="D3001" s="141"/>
      <c r="E3001" s="1014"/>
      <c r="F3001" s="1014"/>
      <c r="G3001" s="1027"/>
      <c r="H3001" s="1027"/>
      <c r="I3001" s="1174"/>
      <c r="J3001" s="1174"/>
      <c r="K3001" s="1174"/>
      <c r="L3001" s="1172"/>
      <c r="M3001" s="1172"/>
      <c r="N3001" s="1175"/>
      <c r="O3001" s="143"/>
      <c r="P3001" s="1196"/>
      <c r="Q3001" s="141"/>
      <c r="R3001" s="141"/>
      <c r="S3001" s="148"/>
      <c r="T3001" s="419"/>
      <c r="U3001" s="559"/>
      <c r="V3001" s="141"/>
      <c r="W3001" s="141"/>
      <c r="X3001" s="141"/>
      <c r="Y3001" s="144"/>
      <c r="Z3001" s="141"/>
      <c r="AA3001" s="141"/>
      <c r="AB3001" s="141"/>
      <c r="AC3001" s="141"/>
      <c r="AD3001" s="141"/>
      <c r="AE3001" s="141"/>
      <c r="AF3001" s="145"/>
      <c r="AG3001" s="419"/>
    </row>
    <row r="3002" spans="1:33" s="139" customFormat="1" ht="12.75" customHeight="1" x14ac:dyDescent="0.2">
      <c r="A3002" s="141"/>
      <c r="B3002" s="141"/>
      <c r="C3002" s="141"/>
      <c r="D3002" s="141"/>
      <c r="E3002" s="1014"/>
      <c r="F3002" s="1014"/>
      <c r="G3002" s="1027"/>
      <c r="H3002" s="1027"/>
      <c r="I3002" s="1174"/>
      <c r="J3002" s="1174"/>
      <c r="K3002" s="1174"/>
      <c r="L3002" s="1172"/>
      <c r="M3002" s="1172"/>
      <c r="N3002" s="1175"/>
      <c r="O3002" s="143"/>
      <c r="P3002" s="1196"/>
      <c r="Q3002" s="141"/>
      <c r="R3002" s="141"/>
      <c r="S3002" s="148"/>
      <c r="T3002" s="419"/>
      <c r="U3002" s="559"/>
      <c r="V3002" s="141"/>
      <c r="W3002" s="141"/>
      <c r="X3002" s="141"/>
      <c r="Y3002" s="144"/>
      <c r="Z3002" s="141"/>
      <c r="AA3002" s="141"/>
      <c r="AB3002" s="141"/>
      <c r="AC3002" s="141"/>
      <c r="AD3002" s="141"/>
      <c r="AE3002" s="141"/>
      <c r="AF3002" s="145"/>
      <c r="AG3002" s="419"/>
    </row>
    <row r="3003" spans="1:33" s="139" customFormat="1" ht="12.75" customHeight="1" x14ac:dyDescent="0.2">
      <c r="A3003" s="141"/>
      <c r="B3003" s="141"/>
      <c r="C3003" s="141"/>
      <c r="D3003" s="141"/>
      <c r="E3003" s="1014"/>
      <c r="F3003" s="1014"/>
      <c r="G3003" s="1027"/>
      <c r="H3003" s="1027"/>
      <c r="I3003" s="1174"/>
      <c r="J3003" s="1174"/>
      <c r="K3003" s="1174"/>
      <c r="L3003" s="1172"/>
      <c r="M3003" s="1172"/>
      <c r="N3003" s="1175"/>
      <c r="O3003" s="143"/>
      <c r="P3003" s="1196"/>
      <c r="Q3003" s="141"/>
      <c r="R3003" s="141"/>
      <c r="S3003" s="148"/>
      <c r="T3003" s="419"/>
      <c r="U3003" s="559"/>
      <c r="V3003" s="141"/>
      <c r="W3003" s="141"/>
      <c r="X3003" s="141"/>
      <c r="Y3003" s="144"/>
      <c r="Z3003" s="141"/>
      <c r="AA3003" s="141"/>
      <c r="AB3003" s="141"/>
      <c r="AC3003" s="141"/>
      <c r="AD3003" s="141"/>
      <c r="AE3003" s="141"/>
      <c r="AF3003" s="145"/>
      <c r="AG3003" s="419"/>
    </row>
  </sheetData>
  <sheetProtection password="CC3C" sheet="1" objects="1" scenarios="1" formatCells="0" formatColumns="0" selectLockedCells="1" sort="0" autoFilter="0"/>
  <sortState ref="A9:CB65">
    <sortCondition ref="A9"/>
  </sortState>
  <mergeCells count="35">
    <mergeCell ref="AB7:AB8"/>
    <mergeCell ref="AC7:AC8"/>
    <mergeCell ref="X6:X8"/>
    <mergeCell ref="T6:T8"/>
    <mergeCell ref="S7:S8"/>
    <mergeCell ref="G6:G8"/>
    <mergeCell ref="I6:M6"/>
    <mergeCell ref="A2:A5"/>
    <mergeCell ref="A6:A8"/>
    <mergeCell ref="B6:B8"/>
    <mergeCell ref="D6:D8"/>
    <mergeCell ref="E6:F7"/>
    <mergeCell ref="C6:C8"/>
    <mergeCell ref="H6:H8"/>
    <mergeCell ref="N6:N8"/>
    <mergeCell ref="I7:J8"/>
    <mergeCell ref="K7:K8"/>
    <mergeCell ref="L7:L8"/>
    <mergeCell ref="M7:M8"/>
    <mergeCell ref="AG6:AG8"/>
    <mergeCell ref="O7:O8"/>
    <mergeCell ref="P7:P8"/>
    <mergeCell ref="Q7:Q8"/>
    <mergeCell ref="R7:R8"/>
    <mergeCell ref="V6:V8"/>
    <mergeCell ref="AF6:AF8"/>
    <mergeCell ref="Y6:Y8"/>
    <mergeCell ref="Z6:AA6"/>
    <mergeCell ref="AB6:AE6"/>
    <mergeCell ref="AA7:AA8"/>
    <mergeCell ref="O6:S6"/>
    <mergeCell ref="AD7:AD8"/>
    <mergeCell ref="AE7:AE8"/>
    <mergeCell ref="Z7:Z8"/>
    <mergeCell ref="W6:W8"/>
  </mergeCells>
  <phoneticPr fontId="118" type="noConversion"/>
  <conditionalFormatting sqref="J9:J3003">
    <cfRule type="expression" dxfId="190" priority="11" stopIfTrue="1">
      <formula>LEFT(A9,2)&lt;&gt;"RF"</formula>
    </cfRule>
  </conditionalFormatting>
  <conditionalFormatting sqref="K9:K3003">
    <cfRule type="expression" dxfId="189" priority="10" stopIfTrue="1">
      <formula>LEFT(A9,2)&lt;&gt;"RF"</formula>
    </cfRule>
  </conditionalFormatting>
  <conditionalFormatting sqref="L9:L3003">
    <cfRule type="expression" dxfId="188" priority="9" stopIfTrue="1">
      <formula>LEFT(A9,2)&lt;&gt;"RF"</formula>
    </cfRule>
  </conditionalFormatting>
  <conditionalFormatting sqref="M9:M3003">
    <cfRule type="expression" dxfId="187" priority="8" stopIfTrue="1">
      <formula>LEFT(A9,2)&lt;&gt;"RF"</formula>
    </cfRule>
  </conditionalFormatting>
  <conditionalFormatting sqref="E1:F1">
    <cfRule type="cellIs" dxfId="186" priority="7" stopIfTrue="1" operator="equal">
      <formula>"Wafer Side"</formula>
    </cfRule>
  </conditionalFormatting>
  <conditionalFormatting sqref="P9:P3003">
    <cfRule type="expression" dxfId="185" priority="5" stopIfTrue="1">
      <formula>AND(ISTEXT(O9),ISBLANK(P9))</formula>
    </cfRule>
  </conditionalFormatting>
  <conditionalFormatting sqref="T9:T3003">
    <cfRule type="expression" dxfId="184" priority="4" stopIfTrue="1">
      <formula>AND(ISTEXT(O9),ISBLANK(T9))</formula>
    </cfRule>
  </conditionalFormatting>
  <conditionalFormatting sqref="I9:I3003">
    <cfRule type="expression" dxfId="183" priority="12" stopIfTrue="1">
      <formula>LEFT(A9,2)&lt;&gt;"RF"</formula>
    </cfRule>
    <cfRule type="expression" dxfId="182" priority="13" stopIfTrue="1">
      <formula>(ISBLANK(O9)+ISBLANK(P9)+ISBLANK(R9))&lt;&gt;3</formula>
    </cfRule>
  </conditionalFormatting>
  <dataValidations count="15">
    <dataValidation type="whole" allowBlank="1" showInputMessage="1" showErrorMessage="1" errorTitle="Range Exceeded!" error="This DesCap has a limit of 49 linetype entries for power &amp; ground (combined)." sqref="C3">
      <formula1>0</formula1>
      <formula2>BL3</formula2>
    </dataValidation>
    <dataValidation type="whole" allowBlank="1" showInputMessage="1" showErrorMessage="1" errorTitle="Range Exceeded!" error="This DesCap has a limit of 49 linetype entries for power &amp; ground (combined)._x000a_" sqref="B3">
      <formula1>0</formula1>
      <formula2>BJ3</formula2>
    </dataValidation>
    <dataValidation type="decimal" allowBlank="1" showInputMessage="1" showErrorMessage="1" errorTitle="Input Error!" error="Input must be numeric &amp; Line type must = RF" sqref="I9:I3003">
      <formula1>0</formula1>
      <formula2>200</formula2>
    </dataValidation>
    <dataValidation type="list" allowBlank="1" showInputMessage="1" showErrorMessage="1" errorTitle="Input Error!" error="Please select from list" sqref="N9:N3003">
      <formula1>$BJ$2:$BN$2</formula1>
    </dataValidation>
    <dataValidation type="list" allowBlank="1" showInputMessage="1" showErrorMessage="1" errorTitle="Input Error!" error="Please select from list" sqref="O9:O3003">
      <formula1>"F,T,P"</formula1>
    </dataValidation>
    <dataValidation type="list" allowBlank="1" showInputMessage="1" showErrorMessage="1" errorTitle="Unknown Type!" error="Please select from drop down list - you may need to adjust the Pin Group counts above." sqref="A9:A3003">
      <formula1>DD_List</formula1>
    </dataValidation>
    <dataValidation type="list" allowBlank="1" showInputMessage="1" showErrorMessage="1" errorTitle="Input Error!" error="Please select from list" sqref="X9:X3003">
      <formula1>$BJ$1:$BQ$1</formula1>
    </dataValidation>
    <dataValidation type="list" allowBlank="1" showInputMessage="1" showErrorMessage="1" sqref="L9:L3003">
      <formula1>"SE,DIFF"</formula1>
    </dataValidation>
    <dataValidation type="list" allowBlank="1" showInputMessage="1" showErrorMessage="1" sqref="M9:M3003">
      <formula1>"&lt;36,36-40"</formula1>
    </dataValidation>
    <dataValidation type="list" allowBlank="1" showInputMessage="1" showErrorMessage="1" errorTitle="Input Error!" error="Please select from list" sqref="Y9:Y3003">
      <formula1>$BK$2:$BQ$2</formula1>
    </dataValidation>
    <dataValidation type="whole" allowBlank="1" showInputMessage="1" showErrorMessage="1" errorTitle="Input error!" error="Requires numeric input &gt;= 25 and &lt;=200" sqref="K10:K3003">
      <formula1>2</formula1>
      <formula2>120</formula2>
    </dataValidation>
    <dataValidation type="list" allowBlank="1" showDropDown="1" showInputMessage="1" showErrorMessage="1" errorTitle="Input Error!" error="Enter S for Sense indicator" sqref="C9:C3003">
      <formula1>"S,s"</formula1>
    </dataValidation>
    <dataValidation type="list" allowBlank="1" showDropDown="1" showInputMessage="1" showErrorMessage="1" errorTitle="Input Error!" error="The only valid entry for this column is O for Origin Pin (Pin 1, A1, etc indicator)" sqref="B9:B3003">
      <formula1>"O,o"</formula1>
    </dataValidation>
    <dataValidation type="list" allowBlank="1" showInputMessage="1" showErrorMessage="1" errorTitle="Input Error!" error="Please choose Ghz or PS" sqref="J9:J3003">
      <formula1>"GHz,ps"</formula1>
    </dataValidation>
    <dataValidation type="whole" allowBlank="1" showInputMessage="1" showErrorMessage="1" errorTitle="Input error!" error="Requires numeric input &gt;= 2 and &lt;=120" sqref="K9">
      <formula1>2</formula1>
      <formula2>120</formula2>
    </dataValidation>
  </dataValidations>
  <pageMargins left="0.75" right="0.75" top="1" bottom="1" header="0.5" footer="0.5"/>
  <pageSetup scale="48" orientation="portrait" horizontalDpi="4294967292" r:id="rId1"/>
  <headerFooter alignWithMargins="0">
    <oddFooter>&amp;L&amp;8CQS# 730-02-0001
Rev C&amp;C&amp;8&amp;F&amp;R&amp;8Print Date: &amp;D
Time: &amp;T</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Z3003"/>
  <sheetViews>
    <sheetView showGridLines="0" showRowColHeaders="0" zoomScaleNormal="100" workbookViewId="0">
      <selection activeCell="O12" sqref="O12"/>
    </sheetView>
  </sheetViews>
  <sheetFormatPr defaultRowHeight="12.75" x14ac:dyDescent="0.2"/>
  <cols>
    <col min="1" max="1" width="2.7109375" customWidth="1"/>
    <col min="8" max="8" width="2.7109375" customWidth="1"/>
    <col min="12" max="12" width="2.7109375" customWidth="1"/>
    <col min="13" max="16" width="10.28515625" customWidth="1"/>
    <col min="52" max="52" width="9.140625" customWidth="1"/>
    <col min="53" max="58" width="9.140625" style="5" hidden="1" customWidth="1"/>
    <col min="59" max="60" width="9.140625" style="1275" hidden="1" customWidth="1"/>
    <col min="61" max="61" width="9.140625" style="5" hidden="1" customWidth="1"/>
    <col min="62" max="62" width="10.42578125" style="5" hidden="1" customWidth="1"/>
    <col min="63" max="96" width="9.140625" style="5" hidden="1" customWidth="1"/>
    <col min="97" max="97" width="10.7109375" style="5" hidden="1" customWidth="1"/>
    <col min="98" max="104" width="9.140625" style="5" hidden="1" customWidth="1"/>
    <col min="105" max="130" width="9.140625" hidden="1" customWidth="1"/>
    <col min="131" max="158" width="9.140625" customWidth="1"/>
  </cols>
  <sheetData>
    <row r="1" spans="1:107" ht="16.5" thickBot="1" x14ac:dyDescent="0.3">
      <c r="A1" s="149"/>
      <c r="B1" s="149"/>
      <c r="C1" s="149"/>
      <c r="D1" s="149"/>
      <c r="E1" s="149"/>
      <c r="F1" s="1086" t="s">
        <v>844</v>
      </c>
      <c r="G1" s="149"/>
      <c r="H1" s="149"/>
      <c r="I1" s="149"/>
      <c r="J1" s="149"/>
      <c r="K1" s="149"/>
      <c r="L1" s="149"/>
      <c r="M1" s="149"/>
      <c r="N1" s="149"/>
      <c r="O1" s="149"/>
      <c r="P1" s="149"/>
      <c r="BA1" s="1576" t="s">
        <v>169</v>
      </c>
      <c r="BB1" s="1607"/>
      <c r="BC1" s="1607"/>
      <c r="BD1" s="1607"/>
      <c r="BE1" s="1607"/>
      <c r="BF1" s="1608"/>
      <c r="BG1" s="1297"/>
      <c r="BH1" s="1297"/>
      <c r="BI1" s="178"/>
      <c r="BJ1" s="178"/>
      <c r="BK1" s="178"/>
      <c r="BL1" s="178"/>
      <c r="BM1" s="1609" t="s">
        <v>170</v>
      </c>
      <c r="BN1" s="1610"/>
      <c r="BO1" s="1611"/>
      <c r="BP1" s="178"/>
      <c r="BQ1" s="1612" t="s">
        <v>171</v>
      </c>
      <c r="BR1" s="1613"/>
      <c r="BS1" s="1613"/>
      <c r="BT1" s="1613"/>
      <c r="BU1" s="1613"/>
      <c r="BV1" s="1614"/>
      <c r="BW1" s="178"/>
      <c r="BX1" s="1576" t="s">
        <v>172</v>
      </c>
      <c r="BY1" s="1615"/>
      <c r="BZ1" s="1615"/>
      <c r="CA1" s="1616"/>
      <c r="CB1" s="178"/>
      <c r="CC1" s="1576" t="s">
        <v>173</v>
      </c>
      <c r="CD1" s="1577"/>
      <c r="CE1" s="1578"/>
      <c r="CF1" s="178"/>
      <c r="CG1" s="513"/>
      <c r="CH1" s="514"/>
      <c r="CI1" s="514"/>
      <c r="CJ1" s="514"/>
      <c r="CK1" s="1094" t="s">
        <v>174</v>
      </c>
      <c r="CL1" s="1102"/>
      <c r="CM1" s="1102"/>
      <c r="CN1" s="515"/>
      <c r="CO1" s="178"/>
      <c r="CP1" s="178"/>
      <c r="CQ1" s="178"/>
      <c r="CR1" s="178"/>
      <c r="CS1" s="178"/>
      <c r="CT1" s="1088"/>
      <c r="CU1" s="178"/>
      <c r="CV1" s="178"/>
      <c r="CW1" s="178"/>
      <c r="CX1" s="178"/>
    </row>
    <row r="2" spans="1:107" ht="26.25" customHeight="1" thickBot="1" x14ac:dyDescent="0.25">
      <c r="A2" s="149"/>
      <c r="B2" s="149"/>
      <c r="C2" s="149"/>
      <c r="D2" s="149"/>
      <c r="E2" s="149"/>
      <c r="F2" s="149"/>
      <c r="G2" s="149"/>
      <c r="H2" s="149"/>
      <c r="I2" s="149"/>
      <c r="J2" s="149"/>
      <c r="K2" s="149"/>
      <c r="L2" s="149"/>
      <c r="M2" s="149"/>
      <c r="N2" s="149"/>
      <c r="O2" s="149"/>
      <c r="P2" s="149"/>
      <c r="BA2" s="151" t="s">
        <v>175</v>
      </c>
      <c r="BB2" s="152" t="s">
        <v>176</v>
      </c>
      <c r="BC2" s="152" t="s">
        <v>177</v>
      </c>
      <c r="BD2" s="153" t="s">
        <v>178</v>
      </c>
      <c r="BE2" s="154" t="s">
        <v>179</v>
      </c>
      <c r="BF2" s="155" t="s">
        <v>180</v>
      </c>
      <c r="BG2" s="1096"/>
      <c r="BH2" s="1096"/>
      <c r="BI2" s="1148" t="s">
        <v>829</v>
      </c>
      <c r="BJ2" s="154" t="s">
        <v>162</v>
      </c>
      <c r="BK2" s="155" t="s">
        <v>163</v>
      </c>
      <c r="BL2" s="178"/>
      <c r="BM2" s="516" t="s">
        <v>181</v>
      </c>
      <c r="BN2" s="517" t="s">
        <v>160</v>
      </c>
      <c r="BO2" s="157" t="s">
        <v>182</v>
      </c>
      <c r="BP2" s="178"/>
      <c r="BQ2" s="158" t="s">
        <v>183</v>
      </c>
      <c r="BR2" s="159" t="s">
        <v>160</v>
      </c>
      <c r="BS2" s="159" t="s">
        <v>184</v>
      </c>
      <c r="BT2" s="160" t="s">
        <v>185</v>
      </c>
      <c r="BU2" s="152" t="s">
        <v>186</v>
      </c>
      <c r="BV2" s="157" t="s">
        <v>187</v>
      </c>
      <c r="BW2" s="161"/>
      <c r="BX2" s="151" t="s">
        <v>175</v>
      </c>
      <c r="BY2" s="152" t="s">
        <v>188</v>
      </c>
      <c r="BZ2" s="152" t="s">
        <v>189</v>
      </c>
      <c r="CA2" s="157" t="s">
        <v>190</v>
      </c>
      <c r="CB2" s="161"/>
      <c r="CC2" s="196" t="e">
        <f ca="1">MATCH("O",OFFSET(Pinlist!$B$2,CC5,0,$BM$23-CC5,1),0)+CC5</f>
        <v>#N/A</v>
      </c>
      <c r="CD2" s="191" t="e">
        <f ca="1">(OFFSET(Pinlist!$E$1,CC2,0)-$BN$16)*$BN$19</f>
        <v>#N/A</v>
      </c>
      <c r="CE2" s="192" t="e">
        <f ca="1">(OFFSET(Pinlist!$F$1,CC2,0)-$BO$16)*$BO$19</f>
        <v>#N/A</v>
      </c>
      <c r="CF2" s="178"/>
      <c r="CG2" s="162" t="s">
        <v>823</v>
      </c>
      <c r="CH2" s="163" t="s">
        <v>824</v>
      </c>
      <c r="CI2" s="163" t="s">
        <v>191</v>
      </c>
      <c r="CJ2" s="163" t="s">
        <v>192</v>
      </c>
      <c r="CK2" s="163" t="s">
        <v>193</v>
      </c>
      <c r="CL2" s="164" t="s">
        <v>194</v>
      </c>
      <c r="CM2" s="164" t="s">
        <v>195</v>
      </c>
      <c r="CN2" s="165" t="s">
        <v>196</v>
      </c>
      <c r="CO2" s="166" t="s">
        <v>197</v>
      </c>
      <c r="CP2" s="178"/>
      <c r="CQ2" s="510" t="s">
        <v>162</v>
      </c>
      <c r="CR2" s="510" t="s">
        <v>163</v>
      </c>
      <c r="CS2" s="510" t="s">
        <v>198</v>
      </c>
      <c r="CT2" s="510" t="s">
        <v>199</v>
      </c>
      <c r="CU2" s="510" t="s">
        <v>200</v>
      </c>
      <c r="CV2" s="510" t="s">
        <v>201</v>
      </c>
      <c r="CW2" s="178"/>
      <c r="CX2" s="178"/>
    </row>
    <row r="3" spans="1:107" ht="13.5" thickBot="1" x14ac:dyDescent="0.25">
      <c r="A3" s="149"/>
      <c r="B3" s="149"/>
      <c r="C3" s="149"/>
      <c r="D3" s="149"/>
      <c r="E3" s="149"/>
      <c r="F3" s="149"/>
      <c r="G3" s="149"/>
      <c r="H3" s="149"/>
      <c r="I3" s="149"/>
      <c r="J3" s="149"/>
      <c r="K3" s="149"/>
      <c r="L3" s="149"/>
      <c r="M3" s="480"/>
      <c r="O3" s="149"/>
      <c r="P3" s="149"/>
      <c r="BA3" s="518"/>
      <c r="BB3" s="174">
        <v>0</v>
      </c>
      <c r="BC3" s="174">
        <v>0</v>
      </c>
      <c r="BD3" s="167"/>
      <c r="BE3" s="191"/>
      <c r="BF3" s="192"/>
      <c r="BG3" s="1098"/>
      <c r="BH3" s="1098"/>
      <c r="BI3" s="168" t="s">
        <v>202</v>
      </c>
      <c r="BJ3" s="169" t="e">
        <f ca="1">MIN(OFFSET(BE4,0,0,$BM$26,1))</f>
        <v>#REF!</v>
      </c>
      <c r="BK3" s="170" t="e">
        <f ca="1">MIN(OFFSET(BF4,0,0,$BM$26,1))</f>
        <v>#REF!</v>
      </c>
      <c r="BL3" s="178"/>
      <c r="BM3" s="519"/>
      <c r="BN3" s="520"/>
      <c r="BO3" s="521"/>
      <c r="BP3" s="132"/>
      <c r="BQ3" s="522"/>
      <c r="BR3" s="243"/>
      <c r="BS3" s="243"/>
      <c r="BT3" s="523"/>
      <c r="BU3" s="174"/>
      <c r="BV3" s="524"/>
      <c r="BW3" s="178"/>
      <c r="BX3" s="518">
        <v>0</v>
      </c>
      <c r="BY3" s="174"/>
      <c r="BZ3" s="174"/>
      <c r="CA3" s="524"/>
      <c r="CB3" s="178"/>
      <c r="CC3" s="1576" t="s">
        <v>203</v>
      </c>
      <c r="CD3" s="1577"/>
      <c r="CE3" s="1578"/>
      <c r="CF3" s="178"/>
      <c r="CG3" s="518">
        <v>0</v>
      </c>
      <c r="CH3" s="174">
        <f>IF($CQ$40,1,0)</f>
        <v>0</v>
      </c>
      <c r="CI3" s="1098" t="e">
        <f ca="1">$CH$3*(DUT!$G$11/2+CQ29-CQ23)</f>
        <v>#REF!</v>
      </c>
      <c r="CJ3" s="1098" t="e">
        <f ca="1">$CH$3*(DUT!$J$11/2+CR29-CR23)</f>
        <v>#REF!</v>
      </c>
      <c r="CK3" s="1098">
        <f ca="1">$CH$3*($BJ$5/2)</f>
        <v>0</v>
      </c>
      <c r="CL3" s="1098">
        <f ca="1">$CH$3*($BK$5/2)</f>
        <v>0</v>
      </c>
      <c r="CM3" s="1098" t="e">
        <f ca="1">CH3*(CD2-$CQ$23)</f>
        <v>#N/A</v>
      </c>
      <c r="CN3" s="192" t="e">
        <f ca="1">CH3*(CE2-$CR$23)</f>
        <v>#N/A</v>
      </c>
      <c r="CO3" s="1140" t="s">
        <v>204</v>
      </c>
      <c r="CP3" s="1102"/>
      <c r="CQ3" s="1093" t="e">
        <f ca="1">OFFSET($CK$2,$CV$36+($CQ$25-1)*5,0)+0.000001</f>
        <v>#REF!</v>
      </c>
      <c r="CR3" s="1093" t="e">
        <f ca="1">OFFSET($CL$2,$CV$36+($CQ$25-1)*5,0)</f>
        <v>#REF!</v>
      </c>
      <c r="CS3" s="1093" t="e">
        <f ca="1">SQRT(CQ3^2+CR3^2)</f>
        <v>#REF!</v>
      </c>
      <c r="CT3" s="1092" t="e">
        <f ca="1">ATAN2(CQ3,CR3)</f>
        <v>#REF!</v>
      </c>
      <c r="CU3" s="1093" t="e">
        <f ca="1">CS3*COS(CT3-$CU$17)</f>
        <v>#REF!</v>
      </c>
      <c r="CV3" s="1091" t="e">
        <f ca="1">CS3*SIN(CT3-$CU$17)</f>
        <v>#REF!</v>
      </c>
      <c r="CW3" s="1138" t="s">
        <v>819</v>
      </c>
      <c r="CX3" s="1089"/>
      <c r="CY3" s="203"/>
      <c r="CZ3" s="1130"/>
      <c r="DA3" s="1126" t="s">
        <v>833</v>
      </c>
      <c r="DB3" s="1134"/>
      <c r="DC3" s="1090"/>
    </row>
    <row r="4" spans="1:107" ht="12.75" customHeight="1" thickBot="1" x14ac:dyDescent="0.25">
      <c r="A4" s="149"/>
      <c r="B4" s="149"/>
      <c r="C4" s="149"/>
      <c r="D4" s="149"/>
      <c r="E4" s="149"/>
      <c r="F4" s="149"/>
      <c r="G4" s="149"/>
      <c r="H4" s="149"/>
      <c r="I4" s="149"/>
      <c r="J4" s="149"/>
      <c r="K4" s="149"/>
      <c r="M4" s="481"/>
      <c r="N4" s="1021" t="s">
        <v>793</v>
      </c>
      <c r="O4" s="149"/>
      <c r="P4" s="149"/>
      <c r="BA4" s="518">
        <f t="shared" ref="BA4:BA67" ca="1" si="0">BA3+(BB3=OFFSET($BZ$3,BA3,0))</f>
        <v>1</v>
      </c>
      <c r="BB4" s="174">
        <f t="shared" ref="BB4:BB67" ca="1" si="1">IF(BA4=BA3,BB3+1,1)</f>
        <v>1</v>
      </c>
      <c r="BC4" s="525" t="e">
        <f ca="1">MATCH(BD4,OFFSET(Pinlist!$A$2,BC3*(BA4=BA3),0,$BM$23,1),0)+BC3*(BA4=BA3)</f>
        <v>#N/A</v>
      </c>
      <c r="BD4" s="167" t="str">
        <f t="shared" ref="BD4:BD67" ca="1" si="2">OFFSET($BY$3,BA4,0)</f>
        <v/>
      </c>
      <c r="BE4" s="191" t="e">
        <f ca="1">(OFFSET(Pinlist!$E$1,BC4,0)-$BN$16)*$BN$19</f>
        <v>#N/A</v>
      </c>
      <c r="BF4" s="192" t="e">
        <f ca="1">(OFFSET(Pinlist!$F$1,BC4,0)-$BO$16)*$BO$19</f>
        <v>#N/A</v>
      </c>
      <c r="BG4" s="1098" t="str">
        <f ca="1">IF(LEFT(BD4,2)="RF",OFFSET(Pinlist!$D$1,Chart!BC4,0)&amp;"_"&amp;OFFSET(Pinlist!$G$1,Chart!BC4,0),"")</f>
        <v/>
      </c>
      <c r="BH4" s="1098"/>
      <c r="BI4" s="175" t="s">
        <v>205</v>
      </c>
      <c r="BJ4" s="176" t="e">
        <f ca="1">MAX(OFFSET(BE4,0,0,$BM$26,1))</f>
        <v>#REF!</v>
      </c>
      <c r="BK4" s="177" t="e">
        <f ca="1">MAX(OFFSET(BF4,0,0,$BM$26,1))</f>
        <v>#REF!</v>
      </c>
      <c r="BL4" s="178"/>
      <c r="BM4" s="526">
        <v>1</v>
      </c>
      <c r="BN4" s="527" t="s">
        <v>165</v>
      </c>
      <c r="BO4" s="528">
        <v>1</v>
      </c>
      <c r="BP4" s="529"/>
      <c r="BQ4" s="530">
        <f ca="1">IF(BS3=OFFSET($BO$3,BQ3,0),MATCH(1,OFFSET($BM$4,BQ3,0):$BM$13,0)+BQ3,BQ3)</f>
        <v>1</v>
      </c>
      <c r="BR4" s="531" t="str">
        <f ca="1">IF(OFFSET($BN$3,BQ4,0)&lt;&gt;"P",OFFSET($BN$3,BQ4,0),IF(AND(BS4&lt;10,Pinlist!$B$3&gt;9),"P0","P"))</f>
        <v>N/C</v>
      </c>
      <c r="BS4" s="531">
        <f t="shared" ref="BS4:BS35" ca="1" si="3">IF(BQ4=BQ3,BS3+1,1)</f>
        <v>1</v>
      </c>
      <c r="BT4" s="531" t="str">
        <f t="shared" ref="BT4:BT35" ca="1" si="4">IF(OFFSET($BO$3,BQ4,0)=1,BR4,BR4&amp;BS4)</f>
        <v>N/C</v>
      </c>
      <c r="BU4" s="174">
        <f t="shared" ref="BU4:BU35" ca="1" si="5">(BV4&gt;0)+0</f>
        <v>0</v>
      </c>
      <c r="BV4" s="524">
        <f ca="1">COUNTIF(OFFSET(Pinlist!$A$2,0,0,$BM$23),BT4)</f>
        <v>0</v>
      </c>
      <c r="BW4" s="178"/>
      <c r="BX4" s="518" t="e">
        <f ca="1">MATCH(1,OFFSET($BU$4,BX3,0):$BU$63,0)+BX3</f>
        <v>#N/A</v>
      </c>
      <c r="BY4" s="174" t="str">
        <f t="shared" ref="BY4:BY35" ca="1" si="6">IF(ISNUMBER(BX4),OFFSET($BT$3,BX4,0),"")</f>
        <v/>
      </c>
      <c r="BZ4" s="174">
        <f t="shared" ref="BZ4:BZ35" ca="1" si="7">IF(ISNUMBER(BX4),OFFSET($BV$3,BX4,0),1)</f>
        <v>1</v>
      </c>
      <c r="CA4" s="524">
        <f t="shared" ref="CA4" si="8">CA3+BZ3</f>
        <v>0</v>
      </c>
      <c r="CB4" s="178"/>
      <c r="CC4" s="151" t="s">
        <v>206</v>
      </c>
      <c r="CD4" s="154" t="s">
        <v>179</v>
      </c>
      <c r="CE4" s="155" t="s">
        <v>180</v>
      </c>
      <c r="CF4" s="178"/>
      <c r="CG4" s="518"/>
      <c r="CH4" s="174"/>
      <c r="CI4" s="1098" t="e">
        <f ca="1">CH3*(CI3-DUT!$G$11)</f>
        <v>#REF!</v>
      </c>
      <c r="CJ4" s="1098" t="e">
        <f ca="1">CJ3</f>
        <v>#REF!</v>
      </c>
      <c r="CK4" s="1098">
        <f ca="1">CH3*(CK3-$BJ$5)</f>
        <v>0</v>
      </c>
      <c r="CL4" s="1098">
        <f ca="1">CL3</f>
        <v>0</v>
      </c>
      <c r="CM4" s="183"/>
      <c r="CN4" s="184"/>
      <c r="CO4" s="1141" t="s">
        <v>834</v>
      </c>
      <c r="CP4" s="1104"/>
      <c r="CQ4" s="1135" t="e">
        <f ca="1">OFFSET($CK$2,$CV$37,0)+0.000001</f>
        <v>#REF!</v>
      </c>
      <c r="CR4" s="1135" t="e">
        <f ca="1">OFFSET($CL$2,$CV$37,0)</f>
        <v>#REF!</v>
      </c>
      <c r="CS4" s="1109" t="e">
        <f ca="1">SQRT(CQ4^2+CR4^2)</f>
        <v>#REF!</v>
      </c>
      <c r="CT4" s="1110" t="e">
        <f ca="1">ATAN2(CQ4,CR4)</f>
        <v>#REF!</v>
      </c>
      <c r="CU4" s="1109" t="e">
        <f ca="1">CS4*COS(CT4-$CU$17)</f>
        <v>#REF!</v>
      </c>
      <c r="CV4" s="1111" t="e">
        <f ca="1">CS4*SIN(CT4-$CU$17)</f>
        <v>#REF!</v>
      </c>
      <c r="CW4" s="1138" t="s">
        <v>820</v>
      </c>
      <c r="CX4" s="1089"/>
      <c r="CY4" s="203"/>
      <c r="CZ4" s="1127" t="s">
        <v>162</v>
      </c>
      <c r="DA4" s="1128" t="s">
        <v>163</v>
      </c>
      <c r="DB4" s="1129" t="s">
        <v>199</v>
      </c>
      <c r="DC4" s="1090"/>
    </row>
    <row r="5" spans="1:107" ht="13.5" thickBot="1" x14ac:dyDescent="0.25">
      <c r="A5" s="149"/>
      <c r="B5" s="149"/>
      <c r="C5" s="149"/>
      <c r="D5" s="149"/>
      <c r="E5" s="149"/>
      <c r="F5" s="149"/>
      <c r="G5" s="149"/>
      <c r="H5" s="149"/>
      <c r="I5" s="149"/>
      <c r="J5" s="149"/>
      <c r="K5" s="149"/>
      <c r="N5" s="149"/>
      <c r="O5" s="149"/>
      <c r="P5" s="149"/>
      <c r="BA5" s="518">
        <f t="shared" ca="1" si="0"/>
        <v>2</v>
      </c>
      <c r="BB5" s="174">
        <f t="shared" ca="1" si="1"/>
        <v>1</v>
      </c>
      <c r="BC5" s="525" t="e">
        <f ca="1">MATCH(BD5,OFFSET(Pinlist!$A$2,BC4*(BA5=BA4),0,$BM$23,1),0)+BC4*(BA5=BA4)</f>
        <v>#N/A</v>
      </c>
      <c r="BD5" s="167" t="str">
        <f t="shared" ca="1" si="2"/>
        <v/>
      </c>
      <c r="BE5" s="191" t="e">
        <f ca="1">(OFFSET(Pinlist!$E$1,BC5,0)-$BN$16)*$BN$19</f>
        <v>#N/A</v>
      </c>
      <c r="BF5" s="192" t="e">
        <f ca="1">(OFFSET(Pinlist!$F$1,BC5,0)-$BO$16)*$BO$19</f>
        <v>#N/A</v>
      </c>
      <c r="BG5" s="1098" t="str">
        <f ca="1">IF(LEFT(BD5,2)="RF",OFFSET(Pinlist!$D$1,Chart!BC5,0)&amp;"_"&amp;OFFSET(Pinlist!$G$1,Chart!BC5,0),"")</f>
        <v/>
      </c>
      <c r="BH5" s="1098"/>
      <c r="BI5" s="178" t="s">
        <v>563</v>
      </c>
      <c r="BJ5" s="1180">
        <f ca="1">IF(ISNUMBER(BJ3),ABS(BJ3-BJ4),0)</f>
        <v>0</v>
      </c>
      <c r="BK5" s="1180">
        <f ca="1">IF(ISNUMBER(BK3),ABS(BK3-BK4),0)</f>
        <v>0</v>
      </c>
      <c r="BL5" s="178"/>
      <c r="BM5" s="526">
        <v>1</v>
      </c>
      <c r="BN5" s="527" t="s">
        <v>208</v>
      </c>
      <c r="BO5" s="528">
        <v>1</v>
      </c>
      <c r="BP5" s="529"/>
      <c r="BQ5" s="530">
        <f ca="1">IF(BS4=OFFSET($BO$3,BQ4,0),MATCH(1,OFFSET($BM$4,BQ4,0):$BM$13,0)+BQ4,BQ4)</f>
        <v>2</v>
      </c>
      <c r="BR5" s="531" t="str">
        <f ca="1">IF(OFFSET($BN$3,BQ5,0)&lt;&gt;"P",OFFSET($BN$3,BQ5,0),IF(AND(BS5&lt;10,Pinlist!$B$3&gt;9),"P0","P"))</f>
        <v>DC</v>
      </c>
      <c r="BS5" s="531">
        <f t="shared" ca="1" si="3"/>
        <v>1</v>
      </c>
      <c r="BT5" s="531" t="str">
        <f t="shared" ca="1" si="4"/>
        <v>DC</v>
      </c>
      <c r="BU5" s="174">
        <f t="shared" ca="1" si="5"/>
        <v>0</v>
      </c>
      <c r="BV5" s="524">
        <f ca="1">COUNTIF(OFFSET(Pinlist!$A$2,0,0,$BM$23),BT5)</f>
        <v>0</v>
      </c>
      <c r="BW5" s="178"/>
      <c r="BX5" s="518" t="e">
        <f ca="1">MATCH(1,OFFSET($BU$4,BX4,0):$BU$63,0)+BX4</f>
        <v>#N/A</v>
      </c>
      <c r="BY5" s="174" t="str">
        <f t="shared" ca="1" si="6"/>
        <v/>
      </c>
      <c r="BZ5" s="174">
        <f t="shared" ca="1" si="7"/>
        <v>1</v>
      </c>
      <c r="CA5" s="524">
        <f t="shared" ref="CA5:CA36" ca="1" si="9">CA4+BZ4</f>
        <v>1</v>
      </c>
      <c r="CB5" s="178"/>
      <c r="CC5" s="518">
        <v>0</v>
      </c>
      <c r="CD5" s="179" t="str">
        <f>IF(COUNTIF(Pinlist!C:C,"S")&gt;0,"Sense","")</f>
        <v/>
      </c>
      <c r="CE5" s="180">
        <f>COUNTIF(Pinlist!C:C,"S")+(CD5="")</f>
        <v>1</v>
      </c>
      <c r="CF5" s="178"/>
      <c r="CG5" s="518"/>
      <c r="CH5" s="174"/>
      <c r="CI5" s="1098" t="e">
        <f ca="1">CI4</f>
        <v>#REF!</v>
      </c>
      <c r="CJ5" s="1098" t="e">
        <f ca="1">CH3*(CJ4-DUT!$J$11)</f>
        <v>#REF!</v>
      </c>
      <c r="CK5" s="1098">
        <f ca="1">CK4</f>
        <v>0</v>
      </c>
      <c r="CL5" s="1098">
        <f ca="1">CH3*(CL4-$BK$5)</f>
        <v>0</v>
      </c>
      <c r="CM5" s="183"/>
      <c r="CN5" s="184"/>
      <c r="CO5" s="1142" t="s">
        <v>835</v>
      </c>
      <c r="CP5" s="1104"/>
      <c r="CQ5" s="1109" t="e">
        <f ca="1">OFFSET($CK$2,$CV$38,0)+0.000001</f>
        <v>#REF!</v>
      </c>
      <c r="CR5" s="1109" t="e">
        <f ca="1">OFFSET($CL$2,$CV$38,0)</f>
        <v>#REF!</v>
      </c>
      <c r="CS5" s="1109" t="e">
        <f ca="1">SQRT(CQ5^2+CR5^2)</f>
        <v>#REF!</v>
      </c>
      <c r="CT5" s="1110" t="e">
        <f ca="1">ATAN2(CQ5,CR5)</f>
        <v>#REF!</v>
      </c>
      <c r="CU5" s="1109" t="e">
        <f ca="1">CS5*COS(CT5-$CU$17)</f>
        <v>#REF!</v>
      </c>
      <c r="CV5" s="1111" t="e">
        <f ca="1">CS5*SIN(CT5-$CU$17)</f>
        <v>#REF!</v>
      </c>
      <c r="CW5" s="1138" t="s">
        <v>810</v>
      </c>
      <c r="CX5" s="1089"/>
      <c r="CY5" s="203"/>
      <c r="CZ5" s="1132">
        <f ca="1">CK8-($BJ$5/2)</f>
        <v>0</v>
      </c>
      <c r="DA5" s="1171">
        <f ca="1">CL8-($BK$5/2)+0.000001</f>
        <v>9.9999999999999995E-7</v>
      </c>
      <c r="DB5" s="1152" t="e">
        <f ca="1">IF($CQ$25&gt;2,ATAN2(CZ5,DA5),$DB$11)</f>
        <v>#REF!</v>
      </c>
      <c r="DC5" s="1090"/>
    </row>
    <row r="6" spans="1:107" ht="13.5" thickBot="1" x14ac:dyDescent="0.25">
      <c r="A6" s="149"/>
      <c r="B6" s="149"/>
      <c r="C6" s="149"/>
      <c r="D6" s="149"/>
      <c r="E6" s="149"/>
      <c r="F6" s="149"/>
      <c r="G6" s="149"/>
      <c r="H6" s="149"/>
      <c r="I6" s="149"/>
      <c r="J6" s="149"/>
      <c r="K6" s="149"/>
      <c r="L6" s="149"/>
      <c r="M6" s="149"/>
      <c r="N6" s="149"/>
      <c r="O6" s="149"/>
      <c r="P6" s="149"/>
      <c r="BA6" s="518">
        <f t="shared" ca="1" si="0"/>
        <v>3</v>
      </c>
      <c r="BB6" s="174">
        <f t="shared" ca="1" si="1"/>
        <v>1</v>
      </c>
      <c r="BC6" s="525" t="e">
        <f ca="1">MATCH(BD6,OFFSET(Pinlist!$A$2,BC5*(BA6=BA5),0,$BM$23,1),0)+BC5*(BA6=BA5)</f>
        <v>#N/A</v>
      </c>
      <c r="BD6" s="167" t="str">
        <f t="shared" ca="1" si="2"/>
        <v/>
      </c>
      <c r="BE6" s="191" t="e">
        <f ca="1">(OFFSET(Pinlist!$E$1,BC6,0)-$BN$16)*$BN$19</f>
        <v>#N/A</v>
      </c>
      <c r="BF6" s="192" t="e">
        <f ca="1">(OFFSET(Pinlist!$F$1,BC6,0)-$BO$16)*$BO$19</f>
        <v>#N/A</v>
      </c>
      <c r="BG6" s="1098" t="str">
        <f ca="1">IF(LEFT(BD6,2)="RF",OFFSET(Pinlist!$D$1,Chart!BC6,0)&amp;"_"&amp;OFFSET(Pinlist!$G$1,Chart!BC6,0),"")</f>
        <v/>
      </c>
      <c r="BH6" s="1098"/>
      <c r="BI6" s="203" t="s">
        <v>562</v>
      </c>
      <c r="BJ6" s="1194">
        <f ca="1">BJ5/1000</f>
        <v>0</v>
      </c>
      <c r="BK6" s="1195">
        <f ca="1">BK5/1000</f>
        <v>0</v>
      </c>
      <c r="BL6" s="178"/>
      <c r="BM6" s="526">
        <v>1</v>
      </c>
      <c r="BN6" s="527" t="s">
        <v>164</v>
      </c>
      <c r="BO6" s="528">
        <v>1</v>
      </c>
      <c r="BP6" s="529"/>
      <c r="BQ6" s="530">
        <f ca="1">IF(BS5=OFFSET($BO$3,BQ5,0),MATCH(1,OFFSET($BM$4,BQ5,0):$BM$13,0)+BQ5,BQ5)</f>
        <v>3</v>
      </c>
      <c r="BR6" s="531" t="str">
        <f ca="1">IF(OFFSET($BN$3,BQ6,0)&lt;&gt;"P",OFFSET($BN$3,BQ6,0),IF(AND(BS6&lt;10,Pinlist!$B$3&gt;9),"P0","P"))</f>
        <v>AC</v>
      </c>
      <c r="BS6" s="531">
        <f t="shared" ca="1" si="3"/>
        <v>1</v>
      </c>
      <c r="BT6" s="531" t="str">
        <f t="shared" ca="1" si="4"/>
        <v>AC</v>
      </c>
      <c r="BU6" s="174">
        <f t="shared" ca="1" si="5"/>
        <v>0</v>
      </c>
      <c r="BV6" s="524">
        <f ca="1">COUNTIF(OFFSET(Pinlist!$A$2,0,0,$BM$23),BT6)</f>
        <v>0</v>
      </c>
      <c r="BW6" s="178"/>
      <c r="BX6" s="518" t="e">
        <f ca="1">MATCH(1,OFFSET($BU$4,BX5,0):$BU$63,0)+BX5</f>
        <v>#N/A</v>
      </c>
      <c r="BY6" s="174" t="str">
        <f t="shared" ca="1" si="6"/>
        <v/>
      </c>
      <c r="BZ6" s="174">
        <f t="shared" ca="1" si="7"/>
        <v>1</v>
      </c>
      <c r="CA6" s="524">
        <f t="shared" ca="1" si="9"/>
        <v>2</v>
      </c>
      <c r="CB6" s="178"/>
      <c r="CC6" s="533" t="e">
        <f ca="1">MATCH("S",OFFSET(Pinlist!$C$2,CC5,0,$BM$23-CC5,1),0)+CC5</f>
        <v>#N/A</v>
      </c>
      <c r="CD6" s="191" t="e">
        <f ca="1">(OFFSET(Pinlist!$E$1,CC6,0)-$BN$16)*$BN$19</f>
        <v>#N/A</v>
      </c>
      <c r="CE6" s="192" t="e">
        <f ca="1">(OFFSET(Pinlist!$F$1,CC6,0)-$BO$16)*$BO$19</f>
        <v>#N/A</v>
      </c>
      <c r="CF6" s="178"/>
      <c r="CG6" s="518"/>
      <c r="CH6" s="174"/>
      <c r="CI6" s="1098" t="e">
        <f ca="1">CI3</f>
        <v>#REF!</v>
      </c>
      <c r="CJ6" s="1098" t="e">
        <f ca="1">CJ5</f>
        <v>#REF!</v>
      </c>
      <c r="CK6" s="1098">
        <f ca="1">CK3</f>
        <v>0</v>
      </c>
      <c r="CL6" s="1098">
        <f ca="1">CL5</f>
        <v>0</v>
      </c>
      <c r="CM6" s="183"/>
      <c r="CN6" s="184"/>
      <c r="CO6" s="1143" t="s">
        <v>836</v>
      </c>
      <c r="CP6" s="1112"/>
      <c r="CQ6" s="1136" t="e">
        <f ca="1">OFFSET($CK$2,$CV$39,0)+0.000001</f>
        <v>#REF!</v>
      </c>
      <c r="CR6" s="1136" t="e">
        <f ca="1">OFFSET($CL$2,$CV$39,0)</f>
        <v>#REF!</v>
      </c>
      <c r="CS6" s="1113" t="e">
        <f ca="1">SQRT(CQ6^2+CR6^2)</f>
        <v>#REF!</v>
      </c>
      <c r="CT6" s="1114" t="e">
        <f ca="1">ATAN2(CQ6,CR6)</f>
        <v>#REF!</v>
      </c>
      <c r="CU6" s="1113" t="e">
        <f ca="1">CS6*COS(CT6-$CU$17)</f>
        <v>#REF!</v>
      </c>
      <c r="CV6" s="1115" t="e">
        <f ca="1">CS6*SIN(CT6-$CU$17)</f>
        <v>#REF!</v>
      </c>
      <c r="CW6" s="1138" t="s">
        <v>811</v>
      </c>
      <c r="CX6" s="1089"/>
      <c r="CY6" s="203"/>
      <c r="CZ6" s="1130"/>
      <c r="DA6" s="1126" t="s">
        <v>814</v>
      </c>
      <c r="DB6" s="1134"/>
      <c r="DC6" s="1090"/>
    </row>
    <row r="7" spans="1:107" x14ac:dyDescent="0.2">
      <c r="A7" s="149"/>
      <c r="B7" s="149"/>
      <c r="C7" s="149"/>
      <c r="D7" s="149"/>
      <c r="E7" s="149"/>
      <c r="F7" s="149"/>
      <c r="G7" s="149"/>
      <c r="H7" s="149"/>
      <c r="I7" s="149"/>
      <c r="J7" s="149"/>
      <c r="K7" s="149"/>
      <c r="L7" s="149"/>
      <c r="M7" s="149"/>
      <c r="N7" s="149"/>
      <c r="O7" s="149"/>
      <c r="P7" s="149"/>
      <c r="BA7" s="518">
        <f t="shared" ca="1" si="0"/>
        <v>4</v>
      </c>
      <c r="BB7" s="174">
        <f t="shared" ca="1" si="1"/>
        <v>1</v>
      </c>
      <c r="BC7" s="525" t="e">
        <f ca="1">MATCH(BD7,OFFSET(Pinlist!$A$2,BC6*(BA7=BA6),0,$BM$23,1),0)+BC6*(BA7=BA6)</f>
        <v>#N/A</v>
      </c>
      <c r="BD7" s="167" t="str">
        <f t="shared" ca="1" si="2"/>
        <v/>
      </c>
      <c r="BE7" s="191" t="e">
        <f ca="1">(OFFSET(Pinlist!$E$1,BC7,0)-$BN$16)*$BN$19</f>
        <v>#N/A</v>
      </c>
      <c r="BF7" s="192" t="e">
        <f ca="1">(OFFSET(Pinlist!$F$1,BC7,0)-$BO$16)*$BO$19</f>
        <v>#N/A</v>
      </c>
      <c r="BG7" s="1098" t="str">
        <f ca="1">IF(LEFT(BD7,2)="RF",OFFSET(Pinlist!$D$1,Chart!BC7,0)&amp;"_"&amp;OFFSET(Pinlist!$G$1,Chart!BC7,0),"")</f>
        <v/>
      </c>
      <c r="BH7" s="1098"/>
      <c r="BI7" s="178"/>
      <c r="BJ7" s="178"/>
      <c r="BK7" s="178"/>
      <c r="BL7" s="197"/>
      <c r="BM7" s="526">
        <v>1</v>
      </c>
      <c r="BN7" s="534" t="s">
        <v>166</v>
      </c>
      <c r="BO7" s="528">
        <v>1</v>
      </c>
      <c r="BP7" s="536"/>
      <c r="BQ7" s="530">
        <f ca="1">IF(BS6=OFFSET($BO$3,BQ6,0),MATCH(1,OFFSET($BM$4,BQ6,0):$BM$13,0)+BQ6,BQ6)</f>
        <v>4</v>
      </c>
      <c r="BR7" s="531" t="str">
        <f ca="1">IF(OFFSET($BN$3,BQ7,0)&lt;&gt;"P",OFFSET($BN$3,BQ7,0),IF(AND(BS7&lt;10,Pinlist!$B$3&gt;9),"P0","P"))</f>
        <v>RF</v>
      </c>
      <c r="BS7" s="531">
        <f t="shared" ca="1" si="3"/>
        <v>1</v>
      </c>
      <c r="BT7" s="531" t="str">
        <f t="shared" ca="1" si="4"/>
        <v>RF</v>
      </c>
      <c r="BU7" s="174">
        <f t="shared" ca="1" si="5"/>
        <v>0</v>
      </c>
      <c r="BV7" s="524">
        <f ca="1">COUNTIF(OFFSET(Pinlist!$A$2,0,0,$BM$23),BT7)</f>
        <v>0</v>
      </c>
      <c r="BW7" s="178"/>
      <c r="BX7" s="518" t="e">
        <f ca="1">MATCH(1,OFFSET($BU$4,BX6,0):$BU$63,0)+BX6</f>
        <v>#N/A</v>
      </c>
      <c r="BY7" s="174" t="str">
        <f t="shared" ca="1" si="6"/>
        <v/>
      </c>
      <c r="BZ7" s="174">
        <f t="shared" ca="1" si="7"/>
        <v>1</v>
      </c>
      <c r="CA7" s="524">
        <f t="shared" ca="1" si="9"/>
        <v>3</v>
      </c>
      <c r="CB7" s="178"/>
      <c r="CC7" s="533" t="e">
        <f ca="1">MATCH("S",OFFSET(Pinlist!$C$2,CC6,0,$BM$23-CC6,1),0)+CC6</f>
        <v>#N/A</v>
      </c>
      <c r="CD7" s="191" t="e">
        <f ca="1">(OFFSET(Pinlist!$E$1,CC7,0)-$BN$16)*$BN$19</f>
        <v>#N/A</v>
      </c>
      <c r="CE7" s="192" t="e">
        <f ca="1">(OFFSET(Pinlist!$F$1,CC7,0)-$BO$16)*$BO$19</f>
        <v>#N/A</v>
      </c>
      <c r="CF7" s="178"/>
      <c r="CG7" s="518"/>
      <c r="CH7" s="174"/>
      <c r="CI7" s="1098" t="e">
        <f ca="1">CI3</f>
        <v>#REF!</v>
      </c>
      <c r="CJ7" s="1098" t="e">
        <f ca="1">CJ3</f>
        <v>#REF!</v>
      </c>
      <c r="CK7" s="1098">
        <f ca="1">CK3</f>
        <v>0</v>
      </c>
      <c r="CL7" s="1098">
        <f ca="1">CL3</f>
        <v>0</v>
      </c>
      <c r="CM7" s="183"/>
      <c r="CN7" s="184"/>
      <c r="CO7" s="1137" t="s">
        <v>818</v>
      </c>
      <c r="CP7" s="178"/>
      <c r="CQ7" s="182"/>
      <c r="CR7" s="182"/>
      <c r="CS7" s="178"/>
      <c r="CT7" s="178"/>
      <c r="CU7" s="178"/>
      <c r="CV7" s="178"/>
      <c r="CW7" s="178"/>
      <c r="CX7" s="178"/>
      <c r="CZ7" s="1127" t="s">
        <v>162</v>
      </c>
      <c r="DA7" s="1128" t="s">
        <v>163</v>
      </c>
      <c r="DB7" s="1129" t="s">
        <v>199</v>
      </c>
      <c r="DC7" s="1090"/>
    </row>
    <row r="8" spans="1:107" ht="13.5" thickBot="1" x14ac:dyDescent="0.25">
      <c r="A8" s="149"/>
      <c r="B8" s="149"/>
      <c r="C8" s="149"/>
      <c r="D8" s="149"/>
      <c r="E8" s="149"/>
      <c r="F8" s="149"/>
      <c r="G8" s="149"/>
      <c r="H8" s="149"/>
      <c r="I8" s="149"/>
      <c r="J8" s="149"/>
      <c r="K8" s="149"/>
      <c r="L8" s="149"/>
      <c r="M8" s="149"/>
      <c r="O8" s="149"/>
      <c r="P8" s="149"/>
      <c r="BA8" s="518">
        <f t="shared" ca="1" si="0"/>
        <v>5</v>
      </c>
      <c r="BB8" s="174">
        <f t="shared" ca="1" si="1"/>
        <v>1</v>
      </c>
      <c r="BC8" s="525" t="e">
        <f ca="1">MATCH(BD8,OFFSET(Pinlist!$A$2,BC7*(BA8=BA7),0,$BM$23,1),0)+BC7*(BA8=BA7)</f>
        <v>#N/A</v>
      </c>
      <c r="BD8" s="167" t="str">
        <f t="shared" ca="1" si="2"/>
        <v/>
      </c>
      <c r="BE8" s="191" t="e">
        <f ca="1">(OFFSET(Pinlist!$E$1,BC8,0)-$BN$16)*$BN$19</f>
        <v>#N/A</v>
      </c>
      <c r="BF8" s="192" t="e">
        <f ca="1">(OFFSET(Pinlist!$F$1,BC8,0)-$BO$16)*$BO$19</f>
        <v>#N/A</v>
      </c>
      <c r="BG8" s="1098" t="str">
        <f ca="1">IF(LEFT(BD8,2)="RF",OFFSET(Pinlist!$D$1,Chart!BC8,0)&amp;"_"&amp;OFFSET(Pinlist!$G$1,Chart!BC8,0),"")</f>
        <v/>
      </c>
      <c r="BH8" s="1098"/>
      <c r="BI8" s="775"/>
      <c r="BJ8" s="775" t="s">
        <v>677</v>
      </c>
      <c r="BK8" s="775"/>
      <c r="BL8" s="776"/>
      <c r="BM8" s="526">
        <v>1</v>
      </c>
      <c r="BN8" s="534" t="s">
        <v>167</v>
      </c>
      <c r="BO8" s="528">
        <v>1</v>
      </c>
      <c r="BP8" s="536"/>
      <c r="BQ8" s="530">
        <f ca="1">IF(BS7=OFFSET($BO$3,BQ7,0),MATCH(1,OFFSET($BM$4,BQ7,0):$BM$13,0)+BQ7,BQ7)</f>
        <v>5</v>
      </c>
      <c r="BR8" s="531" t="str">
        <f ca="1">IF(OFFSET($BN$3,BQ8,0)&lt;&gt;"P",OFFSET($BN$3,BQ8,0),IF(AND(BS8&lt;10,Pinlist!$B$3&gt;9),"P0","P"))</f>
        <v>RF2</v>
      </c>
      <c r="BS8" s="531">
        <f t="shared" ca="1" si="3"/>
        <v>1</v>
      </c>
      <c r="BT8" s="531" t="str">
        <f t="shared" ca="1" si="4"/>
        <v>RF2</v>
      </c>
      <c r="BU8" s="174">
        <f t="shared" ca="1" si="5"/>
        <v>0</v>
      </c>
      <c r="BV8" s="524">
        <f ca="1">COUNTIF(OFFSET(Pinlist!$A$2,0,0,$BM$23),BT8)</f>
        <v>0</v>
      </c>
      <c r="BW8" s="178"/>
      <c r="BX8" s="518" t="e">
        <f ca="1">MATCH(1,OFFSET($BU$4,BX7,0):$BU$63,0)+BX7</f>
        <v>#N/A</v>
      </c>
      <c r="BY8" s="174" t="str">
        <f t="shared" ca="1" si="6"/>
        <v/>
      </c>
      <c r="BZ8" s="174">
        <f t="shared" ca="1" si="7"/>
        <v>1</v>
      </c>
      <c r="CA8" s="524">
        <f t="shared" ca="1" si="9"/>
        <v>4</v>
      </c>
      <c r="CB8" s="178"/>
      <c r="CC8" s="533" t="e">
        <f ca="1">MATCH("S",OFFSET(Pinlist!$C$2,CC7,0,$BM$23-CC7,1),0)+CC7</f>
        <v>#N/A</v>
      </c>
      <c r="CD8" s="191" t="e">
        <f ca="1">(OFFSET(Pinlist!$E$1,CC8,0)-$BN$16)*$BN$19</f>
        <v>#N/A</v>
      </c>
      <c r="CE8" s="192" t="e">
        <f ca="1">(OFFSET(Pinlist!$F$1,CC8,0)-$BO$16)*$BO$19</f>
        <v>#N/A</v>
      </c>
      <c r="CF8" s="178"/>
      <c r="CG8" s="518">
        <f>CG3+1</f>
        <v>1</v>
      </c>
      <c r="CH8" s="174">
        <f>(CG8&lt;$CQ$25)*$CQ$40</f>
        <v>0</v>
      </c>
      <c r="CI8" s="1149" t="e">
        <f ca="1">$CH8*(CI3+$CQ$27+IF($CQ$19,$CQ$20,$CQ$26))</f>
        <v>#REF!</v>
      </c>
      <c r="CJ8" s="1149" t="e">
        <f ca="1">$CH8*(CJ3+$CR$27+IF($CQ$19,$CR$20,$CR$26))</f>
        <v>#REF!</v>
      </c>
      <c r="CK8" s="1149">
        <f ca="1">$CH8*(CK3+$CQ$27+IF($CQ$19,$CQ$20,$CQ$26))</f>
        <v>0</v>
      </c>
      <c r="CL8" s="1149">
        <f ca="1">$CH8*(CL3+$CR$27+IF($CQ$19,$CR$20,$CR$26))</f>
        <v>0</v>
      </c>
      <c r="CM8" s="1149" t="e">
        <f ca="1">IF(CH8,CM3+$CQ$27+IF($CQ$19,$CQ$20,$CQ$26),$CM$3)</f>
        <v>#N/A</v>
      </c>
      <c r="CN8" s="1244" t="e">
        <f ca="1">IF(CH8,CN3+$CR$27+IF($CQ$19,$CR$20,$CR$26),$CN$3)</f>
        <v>#N/A</v>
      </c>
      <c r="CO8" s="178"/>
      <c r="CP8" s="178"/>
      <c r="CQ8" s="178"/>
      <c r="CR8" s="178"/>
      <c r="CS8" s="1095"/>
      <c r="CT8" s="1095"/>
      <c r="CU8" s="178"/>
      <c r="CV8" s="178"/>
      <c r="CW8" s="178"/>
      <c r="CX8" s="178"/>
      <c r="CZ8" s="1132">
        <f ca="1">CK13-($BJ$5/2)</f>
        <v>0</v>
      </c>
      <c r="DA8" s="1171">
        <f ca="1">CL13-($BK$5/2)+0.000001</f>
        <v>9.9999999999999995E-7</v>
      </c>
      <c r="DB8" s="1152" t="e">
        <f ca="1">IF($CQ$25&gt;2,ATAN2(CZ8,DA8),$DB$11)</f>
        <v>#REF!</v>
      </c>
      <c r="DC8" s="1090"/>
    </row>
    <row r="9" spans="1:107" x14ac:dyDescent="0.2">
      <c r="A9" s="149"/>
      <c r="B9" s="149"/>
      <c r="C9" s="149"/>
      <c r="D9" s="149"/>
      <c r="E9" s="149"/>
      <c r="F9" s="149"/>
      <c r="G9" s="149"/>
      <c r="H9" s="149"/>
      <c r="I9" s="149"/>
      <c r="J9" s="149"/>
      <c r="K9" s="149"/>
      <c r="M9" s="149"/>
      <c r="N9" s="149"/>
      <c r="O9" s="149"/>
      <c r="P9" s="149"/>
      <c r="BA9" s="518">
        <f t="shared" ca="1" si="0"/>
        <v>6</v>
      </c>
      <c r="BB9" s="174">
        <f t="shared" ca="1" si="1"/>
        <v>1</v>
      </c>
      <c r="BC9" s="525" t="e">
        <f ca="1">MATCH(BD9,OFFSET(Pinlist!$A$2,BC8*(BA9=BA8),0,$BM$23,1),0)+BC8*(BA9=BA8)</f>
        <v>#N/A</v>
      </c>
      <c r="BD9" s="167" t="str">
        <f t="shared" ca="1" si="2"/>
        <v/>
      </c>
      <c r="BE9" s="191" t="e">
        <f ca="1">(OFFSET(Pinlist!$E$1,BC9,0)-$BN$16)*$BN$19</f>
        <v>#N/A</v>
      </c>
      <c r="BF9" s="192" t="e">
        <f ca="1">(OFFSET(Pinlist!$F$1,BC9,0)-$BO$16)*$BO$19</f>
        <v>#N/A</v>
      </c>
      <c r="BG9" s="1098" t="str">
        <f ca="1">IF(LEFT(BD9,2)="RF",OFFSET(Pinlist!$D$1,Chart!BC9,0)&amp;"_"&amp;OFFSET(Pinlist!$G$1,Chart!BC9,0),"")</f>
        <v/>
      </c>
      <c r="BH9" s="1098"/>
      <c r="BI9" s="513"/>
      <c r="BJ9" s="777" t="s">
        <v>202</v>
      </c>
      <c r="BK9" s="207" t="s">
        <v>205</v>
      </c>
      <c r="BL9" s="778" t="s">
        <v>50</v>
      </c>
      <c r="BM9" s="526">
        <v>1</v>
      </c>
      <c r="BN9" s="534" t="s">
        <v>168</v>
      </c>
      <c r="BO9" s="528">
        <v>1</v>
      </c>
      <c r="BP9" s="536"/>
      <c r="BQ9" s="530">
        <f ca="1">IF(BS8=OFFSET($BO$3,BQ8,0),MATCH(1,OFFSET($BM$4,BQ8,0):$BM$13,0)+BQ8,BQ8)</f>
        <v>6</v>
      </c>
      <c r="BR9" s="531" t="str">
        <f ca="1">IF(OFFSET($BN$3,BQ9,0)&lt;&gt;"P",OFFSET($BN$3,BQ9,0),IF(AND(BS9&lt;10,Pinlist!$B$3&gt;9),"P0","P"))</f>
        <v>RF3</v>
      </c>
      <c r="BS9" s="531">
        <f t="shared" ca="1" si="3"/>
        <v>1</v>
      </c>
      <c r="BT9" s="531" t="str">
        <f t="shared" ca="1" si="4"/>
        <v>RF3</v>
      </c>
      <c r="BU9" s="174">
        <f t="shared" ca="1" si="5"/>
        <v>0</v>
      </c>
      <c r="BV9" s="524">
        <f ca="1">COUNTIF(OFFSET(Pinlist!$A$2,0,0,$BM$23),BT9)</f>
        <v>0</v>
      </c>
      <c r="BW9" s="178"/>
      <c r="BX9" s="518" t="e">
        <f ca="1">MATCH(1,OFFSET($BU$4,BX8,0):$BU$63,0)+BX8</f>
        <v>#N/A</v>
      </c>
      <c r="BY9" s="174" t="str">
        <f t="shared" ca="1" si="6"/>
        <v/>
      </c>
      <c r="BZ9" s="174">
        <f t="shared" ca="1" si="7"/>
        <v>1</v>
      </c>
      <c r="CA9" s="524">
        <f t="shared" ca="1" si="9"/>
        <v>5</v>
      </c>
      <c r="CB9" s="178"/>
      <c r="CC9" s="533" t="e">
        <f ca="1">MATCH("S",OFFSET(Pinlist!$C$2,CC8,0,$BM$23-CC8,1),0)+CC8</f>
        <v>#N/A</v>
      </c>
      <c r="CD9" s="191" t="e">
        <f ca="1">(OFFSET(Pinlist!$E$1,CC9,0)-$BN$16)*$BN$19</f>
        <v>#N/A</v>
      </c>
      <c r="CE9" s="192" t="e">
        <f ca="1">(OFFSET(Pinlist!$F$1,CC9,0)-$BO$16)*$BO$19</f>
        <v>#N/A</v>
      </c>
      <c r="CF9" s="178"/>
      <c r="CG9" s="518"/>
      <c r="CH9" s="174"/>
      <c r="CI9" s="1098" t="e">
        <f ca="1">CH8*(CI8-DUT!$G$11)</f>
        <v>#REF!</v>
      </c>
      <c r="CJ9" s="1098" t="e">
        <f ca="1">CJ8</f>
        <v>#REF!</v>
      </c>
      <c r="CK9" s="1098">
        <f ca="1">CH8*(CK8-$BJ$5)</f>
        <v>0</v>
      </c>
      <c r="CL9" s="1098">
        <f ca="1">CL8</f>
        <v>0</v>
      </c>
      <c r="CM9" s="183"/>
      <c r="CN9" s="192"/>
      <c r="CO9" s="178"/>
      <c r="CP9" s="532"/>
      <c r="CQ9" s="202"/>
      <c r="CR9" s="178"/>
      <c r="CS9" s="1095"/>
      <c r="CT9" s="1095"/>
      <c r="CU9" s="178"/>
      <c r="CV9" s="178"/>
      <c r="CW9" s="178"/>
      <c r="CX9" s="178"/>
      <c r="CZ9" s="1130"/>
      <c r="DA9" s="1126" t="s">
        <v>813</v>
      </c>
      <c r="DB9" s="1134"/>
    </row>
    <row r="10" spans="1:107" ht="13.5" thickBot="1" x14ac:dyDescent="0.25">
      <c r="A10" s="149"/>
      <c r="B10" s="149"/>
      <c r="C10" s="149"/>
      <c r="D10" s="149"/>
      <c r="E10" s="149"/>
      <c r="F10" s="149"/>
      <c r="G10" s="149"/>
      <c r="H10" s="149"/>
      <c r="I10" s="149"/>
      <c r="J10" s="149"/>
      <c r="K10" s="149"/>
      <c r="L10" s="149"/>
      <c r="M10" s="149"/>
      <c r="N10" s="149"/>
      <c r="O10" s="149"/>
      <c r="P10" s="149"/>
      <c r="BA10" s="518">
        <f t="shared" ca="1" si="0"/>
        <v>7</v>
      </c>
      <c r="BB10" s="174">
        <f t="shared" ca="1" si="1"/>
        <v>1</v>
      </c>
      <c r="BC10" s="525" t="e">
        <f ca="1">MATCH(BD10,OFFSET(Pinlist!$A$2,BC9*(BA10=BA9),0,$BM$23,1),0)+BC9*(BA10=BA9)</f>
        <v>#N/A</v>
      </c>
      <c r="BD10" s="167" t="str">
        <f t="shared" ca="1" si="2"/>
        <v/>
      </c>
      <c r="BE10" s="191" t="e">
        <f ca="1">(OFFSET(Pinlist!$E$1,BC10,0)-$BN$16)*$BN$19</f>
        <v>#N/A</v>
      </c>
      <c r="BF10" s="192" t="e">
        <f ca="1">(OFFSET(Pinlist!$F$1,BC10,0)-$BO$16)*$BO$19</f>
        <v>#N/A</v>
      </c>
      <c r="BG10" s="1098" t="str">
        <f ca="1">IF(LEFT(BD10,2)="RF",OFFSET(Pinlist!$D$1,Chart!BC10,0)&amp;"_"&amp;OFFSET(Pinlist!$G$1,Chart!BC10,0),"")</f>
        <v/>
      </c>
      <c r="BH10" s="1098"/>
      <c r="BI10" s="779" t="s">
        <v>678</v>
      </c>
      <c r="BJ10" s="567">
        <f ca="1">MIN(Core!BL20:BM20)</f>
        <v>5.3360000000000003</v>
      </c>
      <c r="BK10" s="780">
        <f ca="1">MAX(Core!BL20:BM20)</f>
        <v>5.3360000000000003</v>
      </c>
      <c r="BL10" s="524"/>
      <c r="BM10" s="1139">
        <v>1</v>
      </c>
      <c r="BN10" s="534" t="s">
        <v>821</v>
      </c>
      <c r="BO10" s="528">
        <v>1</v>
      </c>
      <c r="BP10" s="536"/>
      <c r="BQ10" s="530">
        <f ca="1">IF(BS9=OFFSET($BO$3,BQ9,0),MATCH(1,OFFSET($BM$4,BQ9,0):$BM$13,0)+BQ9,BQ9)</f>
        <v>7</v>
      </c>
      <c r="BR10" s="531" t="str">
        <f ca="1">IF(OFFSET($BN$3,BQ10,0)&lt;&gt;"P",OFFSET($BN$3,BQ10,0),IF(AND(BS10&lt;10,Pinlist!$B$3&gt;9),"P0","P"))</f>
        <v>RF4</v>
      </c>
      <c r="BS10" s="531">
        <f t="shared" ca="1" si="3"/>
        <v>1</v>
      </c>
      <c r="BT10" s="531" t="str">
        <f t="shared" ca="1" si="4"/>
        <v>RF4</v>
      </c>
      <c r="BU10" s="174">
        <f t="shared" ca="1" si="5"/>
        <v>0</v>
      </c>
      <c r="BV10" s="524">
        <f ca="1">COUNTIF(OFFSET(Pinlist!$A$2,0,0,$BM$23),BT10)</f>
        <v>0</v>
      </c>
      <c r="BW10" s="178"/>
      <c r="BX10" s="518" t="e">
        <f ca="1">MATCH(1,OFFSET($BU$4,BX9,0):$BU$63,0)+BX9</f>
        <v>#N/A</v>
      </c>
      <c r="BY10" s="174" t="str">
        <f t="shared" ca="1" si="6"/>
        <v/>
      </c>
      <c r="BZ10" s="174">
        <f t="shared" ca="1" si="7"/>
        <v>1</v>
      </c>
      <c r="CA10" s="524">
        <f t="shared" ca="1" si="9"/>
        <v>6</v>
      </c>
      <c r="CB10" s="178"/>
      <c r="CC10" s="533" t="e">
        <f ca="1">MATCH("S",OFFSET(Pinlist!$C$2,CC9,0,$BM$23-CC9,1),0)+CC9</f>
        <v>#N/A</v>
      </c>
      <c r="CD10" s="191" t="e">
        <f ca="1">(OFFSET(Pinlist!$E$1,CC10,0)-$BN$16)*$BN$19</f>
        <v>#N/A</v>
      </c>
      <c r="CE10" s="192" t="e">
        <f ca="1">(OFFSET(Pinlist!$F$1,CC10,0)-$BO$16)*$BO$19</f>
        <v>#N/A</v>
      </c>
      <c r="CF10" s="178"/>
      <c r="CG10" s="518"/>
      <c r="CH10" s="174"/>
      <c r="CI10" s="1098" t="e">
        <f ca="1">CI9</f>
        <v>#REF!</v>
      </c>
      <c r="CJ10" s="1098" t="e">
        <f ca="1">CH8*(CJ9-DUT!$J$11)</f>
        <v>#REF!</v>
      </c>
      <c r="CK10" s="1098">
        <f ca="1">CK9</f>
        <v>0</v>
      </c>
      <c r="CL10" s="1098">
        <f ca="1">CH8*(CL9-$BK$5)</f>
        <v>0</v>
      </c>
      <c r="CM10" s="183"/>
      <c r="CN10" s="192"/>
      <c r="CO10" s="178"/>
      <c r="CP10" s="178"/>
      <c r="CQ10" s="1101" t="s">
        <v>162</v>
      </c>
      <c r="CR10" s="1101" t="s">
        <v>163</v>
      </c>
      <c r="CS10" s="1101" t="s">
        <v>198</v>
      </c>
      <c r="CT10" s="1101" t="s">
        <v>199</v>
      </c>
      <c r="CU10" s="1575" t="s">
        <v>689</v>
      </c>
      <c r="CV10" s="1575"/>
      <c r="CW10" s="1575" t="s">
        <v>690</v>
      </c>
      <c r="CX10" s="1575"/>
      <c r="CZ10" s="1127" t="s">
        <v>162</v>
      </c>
      <c r="DA10" s="1128" t="s">
        <v>163</v>
      </c>
      <c r="DB10" s="1129" t="s">
        <v>199</v>
      </c>
    </row>
    <row r="11" spans="1:107" ht="13.5" thickBot="1" x14ac:dyDescent="0.25">
      <c r="A11" s="149"/>
      <c r="B11" s="149"/>
      <c r="C11" s="149"/>
      <c r="D11" s="149"/>
      <c r="E11" s="149"/>
      <c r="F11" s="149"/>
      <c r="G11" s="149"/>
      <c r="H11" s="149"/>
      <c r="I11" s="149"/>
      <c r="J11" s="149"/>
      <c r="K11" s="149"/>
      <c r="L11" s="1582" t="s">
        <v>209</v>
      </c>
      <c r="M11" s="1583"/>
      <c r="N11" s="1583"/>
      <c r="O11" s="1583"/>
      <c r="P11" s="149"/>
      <c r="BA11" s="518">
        <f t="shared" ca="1" si="0"/>
        <v>8</v>
      </c>
      <c r="BB11" s="174">
        <f t="shared" ca="1" si="1"/>
        <v>1</v>
      </c>
      <c r="BC11" s="525" t="e">
        <f ca="1">MATCH(BD11,OFFSET(Pinlist!$A$2,BC10*(BA11=BA10),0,$BM$23,1),0)+BC10*(BA11=BA10)</f>
        <v>#N/A</v>
      </c>
      <c r="BD11" s="167" t="str">
        <f t="shared" ca="1" si="2"/>
        <v/>
      </c>
      <c r="BE11" s="191" t="e">
        <f ca="1">(OFFSET(Pinlist!$E$1,BC11,0)-$BN$16)*$BN$19</f>
        <v>#N/A</v>
      </c>
      <c r="BF11" s="192" t="e">
        <f ca="1">(OFFSET(Pinlist!$F$1,BC11,0)-$BO$16)*$BO$19</f>
        <v>#N/A</v>
      </c>
      <c r="BG11" s="1098" t="str">
        <f ca="1">IF(LEFT(BD11,2)="RF",OFFSET(Pinlist!$D$1,Chart!BC11,0)&amp;"_"&amp;OFFSET(Pinlist!$G$1,Chart!BC11,0),"")</f>
        <v/>
      </c>
      <c r="BH11" s="1098"/>
      <c r="BI11" s="779" t="s">
        <v>679</v>
      </c>
      <c r="BJ11" s="781">
        <f ca="1">MIN(BJ6:BK6)</f>
        <v>0</v>
      </c>
      <c r="BK11" s="781">
        <f ca="1">MAX(BJ6:BK6)</f>
        <v>0</v>
      </c>
      <c r="BL11" s="524">
        <f ca="1">(OR(BJ11&gt;$BJ$10,BK11&gt;$BK$10))*(Multiplyer=1)</f>
        <v>0</v>
      </c>
      <c r="BM11" s="537">
        <f>IF(BO11&gt;0,1,0)</f>
        <v>1</v>
      </c>
      <c r="BN11" s="534" t="s">
        <v>609</v>
      </c>
      <c r="BO11" s="535">
        <f>HLOOKUP(BN11,Pinlist!B$2:$F$3,2,0)</f>
        <v>1</v>
      </c>
      <c r="BP11" s="536"/>
      <c r="BQ11" s="530">
        <f ca="1">IF(BS10=OFFSET($BO$3,BQ10,0),MATCH(1,OFFSET($BM$4,BQ10,0):$BM$13,0)+BQ10,BQ10)</f>
        <v>8</v>
      </c>
      <c r="BR11" s="531" t="str">
        <f ca="1">IF(OFFSET($BN$3,BQ11,0)&lt;&gt;"P",OFFSET($BN$3,BQ11,0),IF(AND(BS11&lt;10,Pinlist!$B$3&gt;9),"P0","P"))</f>
        <v>GND</v>
      </c>
      <c r="BS11" s="531">
        <f t="shared" ca="1" si="3"/>
        <v>1</v>
      </c>
      <c r="BT11" s="531" t="str">
        <f t="shared" ca="1" si="4"/>
        <v>GND</v>
      </c>
      <c r="BU11" s="174">
        <f t="shared" ca="1" si="5"/>
        <v>0</v>
      </c>
      <c r="BV11" s="524">
        <f ca="1">COUNTIF(OFFSET(Pinlist!$A$2,0,0,$BM$23),BT11)</f>
        <v>0</v>
      </c>
      <c r="BW11" s="178"/>
      <c r="BX11" s="518" t="e">
        <f ca="1">MATCH(1,OFFSET($BU$4,BX10,0):$BU$63,0)+BX10</f>
        <v>#N/A</v>
      </c>
      <c r="BY11" s="174" t="str">
        <f t="shared" ca="1" si="6"/>
        <v/>
      </c>
      <c r="BZ11" s="174">
        <f t="shared" ca="1" si="7"/>
        <v>1</v>
      </c>
      <c r="CA11" s="524">
        <f t="shared" ca="1" si="9"/>
        <v>7</v>
      </c>
      <c r="CB11" s="178"/>
      <c r="CC11" s="533" t="e">
        <f ca="1">MATCH("S",OFFSET(Pinlist!$C$2,CC10,0,$BM$23-CC10,1),0)+CC10</f>
        <v>#N/A</v>
      </c>
      <c r="CD11" s="191" t="e">
        <f ca="1">(OFFSET(Pinlist!$E$1,CC11,0)-$BN$16)*$BN$19</f>
        <v>#N/A</v>
      </c>
      <c r="CE11" s="192" t="e">
        <f ca="1">(OFFSET(Pinlist!$F$1,CC11,0)-$BO$16)*$BO$19</f>
        <v>#N/A</v>
      </c>
      <c r="CF11" s="178"/>
      <c r="CG11" s="518"/>
      <c r="CH11" s="174"/>
      <c r="CI11" s="1098" t="e">
        <f ca="1">CI8</f>
        <v>#REF!</v>
      </c>
      <c r="CJ11" s="1098" t="e">
        <f ca="1">CJ10</f>
        <v>#REF!</v>
      </c>
      <c r="CK11" s="1098">
        <f ca="1">CK8</f>
        <v>0</v>
      </c>
      <c r="CL11" s="1098">
        <f ca="1">CL10</f>
        <v>0</v>
      </c>
      <c r="CM11" s="183"/>
      <c r="CN11" s="192"/>
      <c r="CO11" s="1144" t="s">
        <v>806</v>
      </c>
      <c r="CP11" s="1102"/>
      <c r="CQ11" s="1116" t="e">
        <f ca="1">MAX(CU3:CU6)</f>
        <v>#REF!</v>
      </c>
      <c r="CR11" s="1116" t="e">
        <f ca="1">MAX(CV3:CV6)</f>
        <v>#REF!</v>
      </c>
      <c r="CS11" s="1096" t="e">
        <f ca="1">SQRT(CQ11^2+CR11^2)</f>
        <v>#REF!</v>
      </c>
      <c r="CT11" s="1117" t="e">
        <f ca="1">ATAN2(CQ11,CR11)</f>
        <v>#REF!</v>
      </c>
      <c r="CU11" s="1122" t="e">
        <f ca="1">CS11*COS(CT11+$CU$17)*$CQ$30</f>
        <v>#REF!</v>
      </c>
      <c r="CV11" s="539" t="e">
        <f ca="1">CS11*SIN(CT11+$CU$17)*$CQ$30</f>
        <v>#REF!</v>
      </c>
      <c r="CW11" s="538">
        <f ca="1">MAX(CK3:CK162)</f>
        <v>0</v>
      </c>
      <c r="CX11" s="539">
        <f ca="1">MAX(CL3:CL162)</f>
        <v>0</v>
      </c>
      <c r="CZ11" s="1131" t="e">
        <f ca="1">OFFSET($CK$3,($CQ$25-1)*5,0)-($BJ$5/2)</f>
        <v>#REF!</v>
      </c>
      <c r="DA11" s="1171" t="e">
        <f ca="1">OFFSET($CL$3,($CQ$25-1)*5,0)-($BK$5/2)+0.000001</f>
        <v>#REF!</v>
      </c>
      <c r="DB11" s="1152" t="e">
        <f ca="1">ATAN2(CZ11,DA11)</f>
        <v>#REF!</v>
      </c>
    </row>
    <row r="12" spans="1:107" x14ac:dyDescent="0.2">
      <c r="A12" s="149"/>
      <c r="B12" s="149"/>
      <c r="C12" s="149"/>
      <c r="D12" s="149"/>
      <c r="E12" s="149"/>
      <c r="F12" s="149"/>
      <c r="G12" s="149"/>
      <c r="H12" s="149"/>
      <c r="I12" s="149"/>
      <c r="J12" s="149"/>
      <c r="K12" s="149"/>
      <c r="L12" s="185"/>
      <c r="M12" s="186"/>
      <c r="N12" s="186" t="s">
        <v>768</v>
      </c>
      <c r="O12" s="187" t="s">
        <v>884</v>
      </c>
      <c r="P12" s="149"/>
      <c r="BA12" s="518">
        <f t="shared" ca="1" si="0"/>
        <v>9</v>
      </c>
      <c r="BB12" s="174">
        <f t="shared" ca="1" si="1"/>
        <v>1</v>
      </c>
      <c r="BC12" s="525" t="e">
        <f ca="1">MATCH(BD12,OFFSET(Pinlist!$A$2,BC11*(BA12=BA11),0,$BM$23,1),0)+BC11*(BA12=BA11)</f>
        <v>#N/A</v>
      </c>
      <c r="BD12" s="167" t="str">
        <f t="shared" ca="1" si="2"/>
        <v/>
      </c>
      <c r="BE12" s="191" t="e">
        <f ca="1">(OFFSET(Pinlist!$E$1,BC12,0)-$BN$16)*$BN$19</f>
        <v>#N/A</v>
      </c>
      <c r="BF12" s="192" t="e">
        <f ca="1">(OFFSET(Pinlist!$F$1,BC12,0)-$BO$16)*$BO$19</f>
        <v>#N/A</v>
      </c>
      <c r="BG12" s="1098" t="str">
        <f ca="1">IF(LEFT(BD12,2)="RF",OFFSET(Pinlist!$D$1,Chart!BC12,0)&amp;"_"&amp;OFFSET(Pinlist!$G$1,Chart!BC12,0),"")</f>
        <v/>
      </c>
      <c r="BH12" s="1098"/>
      <c r="BI12" s="779" t="s">
        <v>680</v>
      </c>
      <c r="BJ12" s="782" t="e">
        <f ca="1">MIN(CW16:CX16)</f>
        <v>#REF!</v>
      </c>
      <c r="BK12" s="174" t="e">
        <f ca="1">MAX(CW16:CX16)</f>
        <v>#REF!</v>
      </c>
      <c r="BL12" s="524" t="b">
        <f ca="1">IF(ISNUMBER(BK12),(OR(BJ12&gt;$BJ$10,BK12&gt;$BK$10))*(Multiplyer&lt;&gt;1))</f>
        <v>0</v>
      </c>
      <c r="BM12" s="537">
        <f>IF(BO12&gt;0,1,0)</f>
        <v>1</v>
      </c>
      <c r="BN12" s="534" t="s">
        <v>133</v>
      </c>
      <c r="BO12" s="535">
        <f>HLOOKUP(BN12,Pinlist!B$2:$F$3,2,0)</f>
        <v>48</v>
      </c>
      <c r="BP12" s="132"/>
      <c r="BQ12" s="530">
        <f ca="1">IF(BS11=OFFSET($BO$3,BQ11,0),MATCH(1,OFFSET($BM$4,BQ11,0):$BM$13,0)+BQ11,BQ11)</f>
        <v>9</v>
      </c>
      <c r="BR12" s="531" t="str">
        <f ca="1">IF(OFFSET($BN$3,BQ12,0)&lt;&gt;"P",OFFSET($BN$3,BQ12,0),IF(AND(BS12&lt;10,Pinlist!$B$3&gt;9),"P0","P"))</f>
        <v>P0</v>
      </c>
      <c r="BS12" s="531">
        <f t="shared" ca="1" si="3"/>
        <v>1</v>
      </c>
      <c r="BT12" s="531" t="str">
        <f t="shared" ca="1" si="4"/>
        <v>P01</v>
      </c>
      <c r="BU12" s="174">
        <f t="shared" ca="1" si="5"/>
        <v>0</v>
      </c>
      <c r="BV12" s="524">
        <f ca="1">COUNTIF(OFFSET(Pinlist!$A$2,0,0,$BM$23),BT12)</f>
        <v>0</v>
      </c>
      <c r="BW12" s="178"/>
      <c r="BX12" s="518" t="e">
        <f ca="1">MATCH(1,OFFSET($BU$4,BX11,0):$BU$63,0)+BX11</f>
        <v>#N/A</v>
      </c>
      <c r="BY12" s="174" t="str">
        <f t="shared" ca="1" si="6"/>
        <v/>
      </c>
      <c r="BZ12" s="174">
        <f t="shared" ca="1" si="7"/>
        <v>1</v>
      </c>
      <c r="CA12" s="524">
        <f t="shared" ca="1" si="9"/>
        <v>8</v>
      </c>
      <c r="CB12" s="178"/>
      <c r="CC12" s="533" t="e">
        <f ca="1">MATCH("S",OFFSET(Pinlist!$C$2,CC11,0,$BM$23-CC11,1),0)+CC11</f>
        <v>#N/A</v>
      </c>
      <c r="CD12" s="191" t="e">
        <f ca="1">(OFFSET(Pinlist!$E$1,CC12,0)-$BN$16)*$BN$19</f>
        <v>#N/A</v>
      </c>
      <c r="CE12" s="192" t="e">
        <f ca="1">(OFFSET(Pinlist!$F$1,CC12,0)-$BO$16)*$BO$19</f>
        <v>#N/A</v>
      </c>
      <c r="CF12" s="178"/>
      <c r="CG12" s="518"/>
      <c r="CH12" s="174"/>
      <c r="CI12" s="1098" t="e">
        <f ca="1">CI8</f>
        <v>#REF!</v>
      </c>
      <c r="CJ12" s="1098" t="e">
        <f ca="1">CJ8</f>
        <v>#REF!</v>
      </c>
      <c r="CK12" s="1098">
        <f ca="1">CK8</f>
        <v>0</v>
      </c>
      <c r="CL12" s="1098">
        <f ca="1">CL8</f>
        <v>0</v>
      </c>
      <c r="CM12" s="183"/>
      <c r="CN12" s="192"/>
      <c r="CO12" s="1145" t="s">
        <v>807</v>
      </c>
      <c r="CP12" s="1104"/>
      <c r="CQ12" s="1098" t="e">
        <f ca="1">CQ11</f>
        <v>#REF!</v>
      </c>
      <c r="CR12" s="1098" t="e">
        <f ca="1">MIN(CV3:CV6)</f>
        <v>#REF!</v>
      </c>
      <c r="CS12" s="1105" t="e">
        <f ca="1">SQRT(CQ12^2+CR12^2)</f>
        <v>#REF!</v>
      </c>
      <c r="CT12" s="1118" t="e">
        <f ca="1">ATAN2(CQ12,CR12)</f>
        <v>#REF!</v>
      </c>
      <c r="CU12" s="1123" t="e">
        <f ca="1">CS12*COS(CT12+$CU$17)*$CQ$30</f>
        <v>#REF!</v>
      </c>
      <c r="CV12" s="544" t="e">
        <f ca="1">CS12*SIN(CT12+$CU$17)*$CQ$30</f>
        <v>#REF!</v>
      </c>
      <c r="CW12" s="543">
        <f ca="1">CW11</f>
        <v>0</v>
      </c>
      <c r="CX12" s="544">
        <f ca="1">MIN(CL3:CL162)</f>
        <v>0</v>
      </c>
    </row>
    <row r="13" spans="1:107" ht="13.5" thickBot="1" x14ac:dyDescent="0.25">
      <c r="A13" s="149"/>
      <c r="B13" s="149"/>
      <c r="C13" s="149"/>
      <c r="D13" s="149"/>
      <c r="E13" s="149"/>
      <c r="F13" s="149"/>
      <c r="G13" s="149"/>
      <c r="H13" s="149"/>
      <c r="I13" s="149"/>
      <c r="J13" s="149"/>
      <c r="K13" s="149"/>
      <c r="L13" s="188"/>
      <c r="M13" s="189"/>
      <c r="N13" s="189" t="s">
        <v>211</v>
      </c>
      <c r="O13" s="190" t="s">
        <v>31</v>
      </c>
      <c r="P13" s="149"/>
      <c r="BA13" s="518">
        <f t="shared" ca="1" si="0"/>
        <v>10</v>
      </c>
      <c r="BB13" s="174">
        <f t="shared" ca="1" si="1"/>
        <v>1</v>
      </c>
      <c r="BC13" s="525" t="e">
        <f ca="1">MATCH(BD13,OFFSET(Pinlist!$A$2,BC12*(BA13=BA12),0,$BM$23,1),0)+BC12*(BA13=BA12)</f>
        <v>#N/A</v>
      </c>
      <c r="BD13" s="167" t="str">
        <f t="shared" ca="1" si="2"/>
        <v/>
      </c>
      <c r="BE13" s="191" t="e">
        <f ca="1">(OFFSET(Pinlist!$E$1,BC13,0)-$BN$16)*$BN$19</f>
        <v>#N/A</v>
      </c>
      <c r="BF13" s="192" t="e">
        <f ca="1">(OFFSET(Pinlist!$F$1,BC13,0)-$BO$16)*$BO$19</f>
        <v>#N/A</v>
      </c>
      <c r="BG13" s="1098" t="str">
        <f ca="1">IF(LEFT(BD13,2)="RF",OFFSET(Pinlist!$D$1,Chart!BC13,0)&amp;"_"&amp;OFFSET(Pinlist!$G$1,Chart!BC13,0),"")</f>
        <v/>
      </c>
      <c r="BH13" s="1098"/>
      <c r="BI13" s="783" t="s">
        <v>681</v>
      </c>
      <c r="BJ13" s="784" t="e">
        <f ca="1">MIN(CU16:CV16)</f>
        <v>#REF!</v>
      </c>
      <c r="BK13" s="554" t="e">
        <f ca="1">MAX(CU16:CV16)</f>
        <v>#REF!</v>
      </c>
      <c r="BL13" s="785" t="e">
        <f ca="1">IF(CQ30,(OR(BJ13&gt;$BJ$10,BK13&gt;$BK$10))*(Multiplyer&lt;&gt;1),0)</f>
        <v>#REF!</v>
      </c>
      <c r="BM13" s="540"/>
      <c r="BN13" s="541" t="s">
        <v>210</v>
      </c>
      <c r="BO13" s="542">
        <f ca="1">IF(Core!BJ20="P",2,SUM(BO4:BO12))</f>
        <v>56</v>
      </c>
      <c r="BP13" s="132"/>
      <c r="BQ13" s="530">
        <f ca="1">IF(BS12=OFFSET($BO$3,BQ12,0),MATCH(1,OFFSET($BM$4,BQ12,0):$BM$13,0)+BQ12,BQ12)</f>
        <v>9</v>
      </c>
      <c r="BR13" s="531" t="str">
        <f ca="1">IF(OFFSET($BN$3,BQ13,0)&lt;&gt;"P",OFFSET($BN$3,BQ13,0),IF(AND(BS13&lt;10,Pinlist!$B$3&gt;9),"P0","P"))</f>
        <v>P0</v>
      </c>
      <c r="BS13" s="531">
        <f t="shared" ca="1" si="3"/>
        <v>2</v>
      </c>
      <c r="BT13" s="531" t="str">
        <f t="shared" ca="1" si="4"/>
        <v>P02</v>
      </c>
      <c r="BU13" s="174">
        <f t="shared" ca="1" si="5"/>
        <v>0</v>
      </c>
      <c r="BV13" s="524">
        <f ca="1">COUNTIF(OFFSET(Pinlist!$A$2,0,0,$BM$23),BT13)</f>
        <v>0</v>
      </c>
      <c r="BW13" s="178"/>
      <c r="BX13" s="518" t="e">
        <f ca="1">MATCH(1,OFFSET($BU$4,BX12,0):$BU$63,0)+BX12</f>
        <v>#N/A</v>
      </c>
      <c r="BY13" s="174" t="str">
        <f t="shared" ca="1" si="6"/>
        <v/>
      </c>
      <c r="BZ13" s="174">
        <f t="shared" ca="1" si="7"/>
        <v>1</v>
      </c>
      <c r="CA13" s="524">
        <f t="shared" ca="1" si="9"/>
        <v>9</v>
      </c>
      <c r="CB13" s="178"/>
      <c r="CC13" s="533" t="e">
        <f ca="1">MATCH("S",OFFSET(Pinlist!$C$2,CC12,0,$BM$23-CC12,1),0)+CC12</f>
        <v>#N/A</v>
      </c>
      <c r="CD13" s="191" t="e">
        <f ca="1">(OFFSET(Pinlist!$E$1,CC13,0)-$BN$16)*$BN$19</f>
        <v>#N/A</v>
      </c>
      <c r="CE13" s="192" t="e">
        <f ca="1">(OFFSET(Pinlist!$F$1,CC13,0)-$BO$16)*$BO$19</f>
        <v>#N/A</v>
      </c>
      <c r="CF13" s="178"/>
      <c r="CG13" s="518">
        <f>CG8+1</f>
        <v>2</v>
      </c>
      <c r="CH13" s="174">
        <f>(CG13&lt;$CQ$25)*$CQ$40</f>
        <v>0</v>
      </c>
      <c r="CI13" s="1150" t="e">
        <f ca="1">$CH13*IF($CQ$19,CI3+$CQ$26,CI8-$CQ$27+$CQ$26)</f>
        <v>#REF!</v>
      </c>
      <c r="CJ13" s="1150" t="e">
        <f ca="1">$CH13*IF($CQ$19,CJ3+$CR$26,CJ8-$CR$27+$CR$26)</f>
        <v>#REF!</v>
      </c>
      <c r="CK13" s="1150">
        <f ca="1">$CH13*IF($CQ$19,CK3+$CQ$26,CK8-$CQ$27+$CQ$26)</f>
        <v>0</v>
      </c>
      <c r="CL13" s="1150">
        <f ca="1">$CH13*IF($CQ$19,CL3+$CR$26,CL8-$CR$27+$CR$26)</f>
        <v>0</v>
      </c>
      <c r="CM13" s="1150" t="e">
        <f ca="1">IF(CH13,IF($CQ$19,CM3+$CQ$26,CM8-$CQ$27+$CQ$26),$CM$3)</f>
        <v>#N/A</v>
      </c>
      <c r="CN13" s="1245" t="e">
        <f ca="1">IF(CH13,IF($CQ$19,CN3+$CR$26,CN8-$CR$27+$CR$26),$CN$3)</f>
        <v>#N/A</v>
      </c>
      <c r="CO13" s="1145" t="s">
        <v>808</v>
      </c>
      <c r="CP13" s="1104"/>
      <c r="CQ13" s="1098" t="e">
        <f ca="1">MIN(CU3:CU6)</f>
        <v>#REF!</v>
      </c>
      <c r="CR13" s="1098" t="e">
        <f ca="1">CR12</f>
        <v>#REF!</v>
      </c>
      <c r="CS13" s="1105" t="e">
        <f ca="1">SQRT(CQ13^2+CR13^2)</f>
        <v>#REF!</v>
      </c>
      <c r="CT13" s="1118" t="e">
        <f ca="1">ATAN2(CQ13,CR13)</f>
        <v>#REF!</v>
      </c>
      <c r="CU13" s="1123" t="e">
        <f ca="1">CS13*COS(CT13+$CU$17)*$CQ$30</f>
        <v>#REF!</v>
      </c>
      <c r="CV13" s="544" t="e">
        <f ca="1">CS13*SIN(CT13+$CU$17)*$CQ$30</f>
        <v>#REF!</v>
      </c>
      <c r="CW13" s="543">
        <f ca="1">MIN(CK3:CK162)</f>
        <v>0</v>
      </c>
      <c r="CX13" s="544">
        <f ca="1">CX12</f>
        <v>0</v>
      </c>
    </row>
    <row r="14" spans="1:107" x14ac:dyDescent="0.2">
      <c r="A14" s="149"/>
      <c r="B14" s="149"/>
      <c r="C14" s="149"/>
      <c r="D14" s="149"/>
      <c r="E14" s="149"/>
      <c r="F14" s="149"/>
      <c r="G14" s="149"/>
      <c r="H14" s="149"/>
      <c r="I14" s="149"/>
      <c r="J14" s="149"/>
      <c r="K14" s="149"/>
      <c r="P14" s="149"/>
      <c r="BA14" s="518">
        <f t="shared" ca="1" si="0"/>
        <v>11</v>
      </c>
      <c r="BB14" s="174">
        <f t="shared" ca="1" si="1"/>
        <v>1</v>
      </c>
      <c r="BC14" s="525" t="e">
        <f ca="1">MATCH(BD14,OFFSET(Pinlist!$A$2,BC13*(BA14=BA13),0,$BM$23,1),0)+BC13*(BA14=BA13)</f>
        <v>#N/A</v>
      </c>
      <c r="BD14" s="167" t="str">
        <f t="shared" ca="1" si="2"/>
        <v/>
      </c>
      <c r="BE14" s="191" t="e">
        <f ca="1">(OFFSET(Pinlist!$E$1,BC14,0)-$BN$16)*$BN$19</f>
        <v>#N/A</v>
      </c>
      <c r="BF14" s="192" t="e">
        <f ca="1">(OFFSET(Pinlist!$F$1,BC14,0)-$BO$16)*$BO$19</f>
        <v>#N/A</v>
      </c>
      <c r="BG14" s="1098" t="str">
        <f ca="1">IF(LEFT(BD14,2)="RF",OFFSET(Pinlist!$D$1,Chart!BC14,0)&amp;"_"&amp;OFFSET(Pinlist!$G$1,Chart!BC14,0),"")</f>
        <v/>
      </c>
      <c r="BH14" s="1098"/>
      <c r="BI14" s="178"/>
      <c r="BJ14" s="178"/>
      <c r="BK14" s="178"/>
      <c r="BL14" s="178"/>
      <c r="BM14" s="132"/>
      <c r="BN14" s="1584" t="s">
        <v>212</v>
      </c>
      <c r="BO14" s="1584"/>
      <c r="BP14" s="132"/>
      <c r="BQ14" s="530">
        <f ca="1">IF(BS13=OFFSET($BO$3,BQ13,0),MATCH(1,OFFSET($BM$4,BQ13,0):$BM$13,0)+BQ13,BQ13)</f>
        <v>9</v>
      </c>
      <c r="BR14" s="531" t="str">
        <f ca="1">IF(OFFSET($BN$3,BQ14,0)&lt;&gt;"P",OFFSET($BN$3,BQ14,0),IF(AND(BS14&lt;10,Pinlist!$B$3&gt;9),"P0","P"))</f>
        <v>P0</v>
      </c>
      <c r="BS14" s="531">
        <f t="shared" ca="1" si="3"/>
        <v>3</v>
      </c>
      <c r="BT14" s="531" t="str">
        <f t="shared" ca="1" si="4"/>
        <v>P03</v>
      </c>
      <c r="BU14" s="174">
        <f t="shared" ca="1" si="5"/>
        <v>0</v>
      </c>
      <c r="BV14" s="524">
        <f ca="1">COUNTIF(OFFSET(Pinlist!$A$2,0,0,$BM$23),BT14)</f>
        <v>0</v>
      </c>
      <c r="BW14" s="178"/>
      <c r="BX14" s="518" t="e">
        <f ca="1">MATCH(1,OFFSET($BU$4,BX13,0):$BU$63,0)+BX13</f>
        <v>#N/A</v>
      </c>
      <c r="BY14" s="174" t="str">
        <f t="shared" ca="1" si="6"/>
        <v/>
      </c>
      <c r="BZ14" s="174">
        <f t="shared" ca="1" si="7"/>
        <v>1</v>
      </c>
      <c r="CA14" s="524">
        <f t="shared" ca="1" si="9"/>
        <v>10</v>
      </c>
      <c r="CB14" s="178"/>
      <c r="CC14" s="533" t="e">
        <f ca="1">MATCH("S",OFFSET(Pinlist!$C$2,CC13,0,$BM$23-CC13,1),0)+CC13</f>
        <v>#N/A</v>
      </c>
      <c r="CD14" s="191" t="e">
        <f ca="1">(OFFSET(Pinlist!$E$1,CC14,0)-$BN$16)*$BN$19</f>
        <v>#N/A</v>
      </c>
      <c r="CE14" s="192" t="e">
        <f ca="1">(OFFSET(Pinlist!$F$1,CC14,0)-$BO$16)*$BO$19</f>
        <v>#N/A</v>
      </c>
      <c r="CF14" s="178"/>
      <c r="CG14" s="518"/>
      <c r="CH14" s="174"/>
      <c r="CI14" s="1098" t="e">
        <f ca="1">CH13*(CI13-DUT!$G$11)</f>
        <v>#REF!</v>
      </c>
      <c r="CJ14" s="1098" t="e">
        <f ca="1">CJ13</f>
        <v>#REF!</v>
      </c>
      <c r="CK14" s="1098">
        <f ca="1">CH13*(CK13-$BJ$5)</f>
        <v>0</v>
      </c>
      <c r="CL14" s="1098">
        <f ca="1">CL13</f>
        <v>0</v>
      </c>
      <c r="CM14" s="183"/>
      <c r="CN14" s="184"/>
      <c r="CO14" s="1145" t="s">
        <v>809</v>
      </c>
      <c r="CP14" s="1104"/>
      <c r="CQ14" s="1098" t="e">
        <f ca="1">CQ13</f>
        <v>#REF!</v>
      </c>
      <c r="CR14" s="1098" t="e">
        <f ca="1">CR11</f>
        <v>#REF!</v>
      </c>
      <c r="CS14" s="1105" t="e">
        <f ca="1">SQRT(CQ14^2+CR14^2)</f>
        <v>#REF!</v>
      </c>
      <c r="CT14" s="1118" t="e">
        <f ca="1">ATAN2(CQ14,CR14)</f>
        <v>#REF!</v>
      </c>
      <c r="CU14" s="1123" t="e">
        <f ca="1">CS14*COS(CT14+$CU$17)*$CQ$30</f>
        <v>#REF!</v>
      </c>
      <c r="CV14" s="544" t="e">
        <f ca="1">CS14*SIN(CT14+$CU$17)*$CQ$30</f>
        <v>#REF!</v>
      </c>
      <c r="CW14" s="543">
        <f ca="1">CW13</f>
        <v>0</v>
      </c>
      <c r="CX14" s="544">
        <f ca="1">CX11</f>
        <v>0</v>
      </c>
    </row>
    <row r="15" spans="1:107" ht="13.5" thickBot="1" x14ac:dyDescent="0.25">
      <c r="A15" s="149"/>
      <c r="B15" s="149"/>
      <c r="C15" s="149"/>
      <c r="D15" s="149"/>
      <c r="E15" s="149"/>
      <c r="F15" s="149"/>
      <c r="G15" s="149"/>
      <c r="H15" s="149"/>
      <c r="I15" s="149"/>
      <c r="J15" s="149"/>
      <c r="K15" s="193"/>
      <c r="L15" s="28" t="str">
        <f ca="1">"Displayed Probe area is "&amp;FIXED($BJ$6)&amp;" x "&amp;FIXED($BK$6)&amp;" mm"</f>
        <v>Displayed Probe area is 0.00 x 0.00 mm</v>
      </c>
      <c r="M15" s="149"/>
      <c r="N15" s="149"/>
      <c r="O15" s="149"/>
      <c r="P15" s="149"/>
      <c r="BA15" s="518">
        <f t="shared" ca="1" si="0"/>
        <v>12</v>
      </c>
      <c r="BB15" s="174">
        <f t="shared" ca="1" si="1"/>
        <v>1</v>
      </c>
      <c r="BC15" s="525" t="e">
        <f ca="1">MATCH(BD15,OFFSET(Pinlist!$A$2,BC14*(BA15=BA14),0,$BM$23,1),0)+BC14*(BA15=BA14)</f>
        <v>#N/A</v>
      </c>
      <c r="BD15" s="167" t="str">
        <f t="shared" ca="1" si="2"/>
        <v/>
      </c>
      <c r="BE15" s="191" t="e">
        <f ca="1">(OFFSET(Pinlist!$E$1,BC15,0)-$BN$16)*$BN$19</f>
        <v>#N/A</v>
      </c>
      <c r="BF15" s="192" t="e">
        <f ca="1">(OFFSET(Pinlist!$F$1,BC15,0)-$BO$16)*$BO$19</f>
        <v>#N/A</v>
      </c>
      <c r="BG15" s="1098" t="str">
        <f ca="1">IF(LEFT(BD15,2)="RF",OFFSET(Pinlist!$D$1,Chart!BC15,0)&amp;"_"&amp;OFFSET(Pinlist!$G$1,Chart!BC15,0),"")</f>
        <v/>
      </c>
      <c r="BH15" s="1098"/>
      <c r="BI15" s="178"/>
      <c r="BJ15" s="166" t="s">
        <v>802</v>
      </c>
      <c r="BK15" s="178"/>
      <c r="BL15" s="195"/>
      <c r="BM15" s="536" t="s">
        <v>213</v>
      </c>
      <c r="BN15" s="536" t="s">
        <v>162</v>
      </c>
      <c r="BO15" s="536" t="s">
        <v>163</v>
      </c>
      <c r="BP15" s="132"/>
      <c r="BQ15" s="530">
        <f ca="1">IF(BS14=OFFSET($BO$3,BQ14,0),MATCH(1,OFFSET($BM$4,BQ14,0):$BM$13,0)+BQ14,BQ14)</f>
        <v>9</v>
      </c>
      <c r="BR15" s="531" t="str">
        <f ca="1">IF(OFFSET($BN$3,BQ15,0)&lt;&gt;"P",OFFSET($BN$3,BQ15,0),IF(AND(BS15&lt;10,Pinlist!$B$3&gt;9),"P0","P"))</f>
        <v>P0</v>
      </c>
      <c r="BS15" s="531">
        <f t="shared" ca="1" si="3"/>
        <v>4</v>
      </c>
      <c r="BT15" s="531" t="str">
        <f t="shared" ca="1" si="4"/>
        <v>P04</v>
      </c>
      <c r="BU15" s="174">
        <f t="shared" ca="1" si="5"/>
        <v>0</v>
      </c>
      <c r="BV15" s="524">
        <f ca="1">COUNTIF(OFFSET(Pinlist!$A$2,0,0,$BM$23),BT15)</f>
        <v>0</v>
      </c>
      <c r="BW15" s="178"/>
      <c r="BX15" s="518" t="e">
        <f ca="1">MATCH(1,OFFSET($BU$4,BX14,0):$BU$63,0)+BX14</f>
        <v>#N/A</v>
      </c>
      <c r="BY15" s="174" t="str">
        <f t="shared" ca="1" si="6"/>
        <v/>
      </c>
      <c r="BZ15" s="174">
        <f t="shared" ca="1" si="7"/>
        <v>1</v>
      </c>
      <c r="CA15" s="524">
        <f t="shared" ca="1" si="9"/>
        <v>11</v>
      </c>
      <c r="CB15" s="178"/>
      <c r="CC15" s="533" t="e">
        <f ca="1">MATCH("S",OFFSET(Pinlist!$C$2,CC14,0,$BM$23-CC14,1),0)+CC14</f>
        <v>#N/A</v>
      </c>
      <c r="CD15" s="191" t="e">
        <f ca="1">(OFFSET(Pinlist!$E$1,CC15,0)-$BN$16)*$BN$19</f>
        <v>#N/A</v>
      </c>
      <c r="CE15" s="192" t="e">
        <f ca="1">(OFFSET(Pinlist!$F$1,CC15,0)-$BO$16)*$BO$19</f>
        <v>#N/A</v>
      </c>
      <c r="CF15" s="178"/>
      <c r="CG15" s="518"/>
      <c r="CH15" s="174"/>
      <c r="CI15" s="1098" t="e">
        <f ca="1">CI14</f>
        <v>#REF!</v>
      </c>
      <c r="CJ15" s="1098" t="e">
        <f ca="1">CH13*(CJ14-DUT!$J$11)</f>
        <v>#REF!</v>
      </c>
      <c r="CK15" s="1098">
        <f ca="1">CK14</f>
        <v>0</v>
      </c>
      <c r="CL15" s="1098">
        <f ca="1">CH13*(CL14-$BK$5)</f>
        <v>0</v>
      </c>
      <c r="CM15" s="183"/>
      <c r="CN15" s="184"/>
      <c r="CO15" s="1146"/>
      <c r="CP15" s="1112"/>
      <c r="CQ15" s="1103"/>
      <c r="CR15" s="1103"/>
      <c r="CS15" s="1106"/>
      <c r="CT15" s="1119"/>
      <c r="CU15" s="1124" t="e">
        <f ca="1">CU11</f>
        <v>#REF!</v>
      </c>
      <c r="CV15" s="546" t="e">
        <f ca="1">CV11</f>
        <v>#REF!</v>
      </c>
      <c r="CW15" s="545">
        <f ca="1">CW12</f>
        <v>0</v>
      </c>
      <c r="CX15" s="546">
        <f ca="1">CX11</f>
        <v>0</v>
      </c>
    </row>
    <row r="16" spans="1:107" ht="13.5" thickBot="1" x14ac:dyDescent="0.25">
      <c r="A16" s="149"/>
      <c r="B16" s="149"/>
      <c r="C16" s="149"/>
      <c r="D16" s="149"/>
      <c r="E16" s="149"/>
      <c r="F16" s="149"/>
      <c r="G16" s="149"/>
      <c r="H16" s="149"/>
      <c r="I16" s="149"/>
      <c r="J16" s="149"/>
      <c r="K16" s="193"/>
      <c r="L16" s="774" t="str">
        <f ca="1">IF($BL$11,"*** Core max probe area exceeded***","")</f>
        <v/>
      </c>
      <c r="M16" s="149"/>
      <c r="N16" s="193"/>
      <c r="O16" s="194"/>
      <c r="P16" s="149"/>
      <c r="BA16" s="518">
        <f t="shared" ca="1" si="0"/>
        <v>13</v>
      </c>
      <c r="BB16" s="174">
        <f t="shared" ca="1" si="1"/>
        <v>1</v>
      </c>
      <c r="BC16" s="525" t="e">
        <f ca="1">MATCH(BD16,OFFSET(Pinlist!$A$2,BC15*(BA16=BA15),0,$BM$23,1),0)+BC15*(BA16=BA15)</f>
        <v>#N/A</v>
      </c>
      <c r="BD16" s="167" t="str">
        <f t="shared" ca="1" si="2"/>
        <v/>
      </c>
      <c r="BE16" s="191" t="e">
        <f ca="1">(OFFSET(Pinlist!$E$1,BC16,0)-$BN$16)*$BN$19</f>
        <v>#N/A</v>
      </c>
      <c r="BF16" s="192" t="e">
        <f ca="1">(OFFSET(Pinlist!$F$1,BC16,0)-$BO$16)*$BO$19</f>
        <v>#N/A</v>
      </c>
      <c r="BG16" s="1098" t="str">
        <f ca="1">IF(LEFT(BD16,2)="RF",OFFSET(Pinlist!$D$1,Chart!BC16,0)&amp;"_"&amp;OFFSET(Pinlist!$G$1,Chart!BC16,0),"")</f>
        <v/>
      </c>
      <c r="BH16" s="1098"/>
      <c r="BI16" s="178"/>
      <c r="BJ16" s="1080" t="s">
        <v>803</v>
      </c>
      <c r="BK16" s="1081" t="e">
        <f ca="1">AVERAGE(BJ3:BJ4)-(MAX($BJ$5:$BK$5)/2)-1</f>
        <v>#REF!</v>
      </c>
      <c r="BL16" s="1082" t="e">
        <f ca="1">AVERAGE(BK3:BK4)-(MAX($BJ$5:$BK$5)/2)-1</f>
        <v>#REF!</v>
      </c>
      <c r="BM16" s="196">
        <f>IF(O13="Yes",1,0)</f>
        <v>0</v>
      </c>
      <c r="BN16" s="197" t="e">
        <f ca="1">AVERAGE(OFFSET(Pinlist!$E$8,0,0,$BM$23,1))*BM16</f>
        <v>#DIV/0!</v>
      </c>
      <c r="BO16" s="197" t="e">
        <f ca="1">AVERAGE(OFFSET(Pinlist!$F$8,0,0,$BM$23,1))*BM16</f>
        <v>#DIV/0!</v>
      </c>
      <c r="BP16" s="132"/>
      <c r="BQ16" s="530">
        <f ca="1">IF(BS15=OFFSET($BO$3,BQ15,0),MATCH(1,OFFSET($BM$4,BQ15,0):$BM$13,0)+BQ15,BQ15)</f>
        <v>9</v>
      </c>
      <c r="BR16" s="531" t="str">
        <f ca="1">IF(OFFSET($BN$3,BQ16,0)&lt;&gt;"P",OFFSET($BN$3,BQ16,0),IF(AND(BS16&lt;10,Pinlist!$B$3&gt;9),"P0","P"))</f>
        <v>P0</v>
      </c>
      <c r="BS16" s="531">
        <f t="shared" ca="1" si="3"/>
        <v>5</v>
      </c>
      <c r="BT16" s="531" t="str">
        <f t="shared" ca="1" si="4"/>
        <v>P05</v>
      </c>
      <c r="BU16" s="174">
        <f t="shared" ca="1" si="5"/>
        <v>0</v>
      </c>
      <c r="BV16" s="524">
        <f ca="1">COUNTIF(OFFSET(Pinlist!$A$2,0,0,$BM$23),BT16)</f>
        <v>0</v>
      </c>
      <c r="BW16" s="178"/>
      <c r="BX16" s="518" t="e">
        <f ca="1">MATCH(1,OFFSET($BU$4,BX15,0):$BU$63,0)+BX15</f>
        <v>#N/A</v>
      </c>
      <c r="BY16" s="174" t="str">
        <f t="shared" ca="1" si="6"/>
        <v/>
      </c>
      <c r="BZ16" s="174">
        <f t="shared" ca="1" si="7"/>
        <v>1</v>
      </c>
      <c r="CA16" s="524">
        <f t="shared" ca="1" si="9"/>
        <v>12</v>
      </c>
      <c r="CB16" s="178"/>
      <c r="CC16" s="533" t="e">
        <f ca="1">MATCH("S",OFFSET(Pinlist!$C$2,CC15,0,$BM$23-CC15,1),0)+CC15</f>
        <v>#N/A</v>
      </c>
      <c r="CD16" s="191" t="e">
        <f ca="1">(OFFSET(Pinlist!$E$1,CC16,0)-$BN$16)*$BN$19</f>
        <v>#N/A</v>
      </c>
      <c r="CE16" s="192" t="e">
        <f ca="1">(OFFSET(Pinlist!$F$1,CC16,0)-$BO$16)*$BO$19</f>
        <v>#N/A</v>
      </c>
      <c r="CF16" s="178"/>
      <c r="CG16" s="518"/>
      <c r="CH16" s="174"/>
      <c r="CI16" s="1098" t="e">
        <f ca="1">CI13</f>
        <v>#REF!</v>
      </c>
      <c r="CJ16" s="1098" t="e">
        <f ca="1">CJ15</f>
        <v>#REF!</v>
      </c>
      <c r="CK16" s="1098">
        <f ca="1">CK13</f>
        <v>0</v>
      </c>
      <c r="CL16" s="1098">
        <f ca="1">CL15</f>
        <v>0</v>
      </c>
      <c r="CM16" s="183"/>
      <c r="CN16" s="184"/>
      <c r="CO16" s="198"/>
      <c r="CP16" s="178"/>
      <c r="CQ16" s="178"/>
      <c r="CR16" s="178"/>
      <c r="CS16" s="178"/>
      <c r="CT16" s="825" t="s">
        <v>816</v>
      </c>
      <c r="CU16" s="1120" t="e">
        <f ca="1">(MAX(CU3:CU6)-MIN(CU3:CU6))/1000</f>
        <v>#REF!</v>
      </c>
      <c r="CV16" s="1121" t="e">
        <f ca="1">(MAX(CV3:CV6)-MIN(CV3:CV6))/1000</f>
        <v>#REF!</v>
      </c>
      <c r="CW16" s="786" t="e">
        <f ca="1">ABS(CQ3-CQ5)/1000</f>
        <v>#REF!</v>
      </c>
      <c r="CX16" s="787" t="e">
        <f ca="1">ABS(CR3-CR5)/1000</f>
        <v>#REF!</v>
      </c>
    </row>
    <row r="17" spans="1:105" ht="13.5" thickBot="1" x14ac:dyDescent="0.25">
      <c r="A17" s="149"/>
      <c r="B17" s="149"/>
      <c r="C17" s="149"/>
      <c r="D17" s="149"/>
      <c r="E17" s="149"/>
      <c r="F17" s="149"/>
      <c r="G17" s="149"/>
      <c r="H17" s="149"/>
      <c r="I17" s="149"/>
      <c r="J17" s="149"/>
      <c r="K17" s="149"/>
      <c r="P17" s="149"/>
      <c r="BA17" s="518">
        <f t="shared" ca="1" si="0"/>
        <v>14</v>
      </c>
      <c r="BB17" s="174">
        <f t="shared" ca="1" si="1"/>
        <v>1</v>
      </c>
      <c r="BC17" s="525" t="e">
        <f ca="1">MATCH(BD17,OFFSET(Pinlist!$A$2,BC16*(BA17=BA16),0,$BM$23,1),0)+BC16*(BA17=BA16)</f>
        <v>#N/A</v>
      </c>
      <c r="BD17" s="167" t="str">
        <f t="shared" ca="1" si="2"/>
        <v/>
      </c>
      <c r="BE17" s="191" t="e">
        <f ca="1">(OFFSET(Pinlist!$E$1,BC17,0)-$BN$16)*$BN$19</f>
        <v>#N/A</v>
      </c>
      <c r="BF17" s="192" t="e">
        <f ca="1">(OFFSET(Pinlist!$F$1,BC17,0)-$BO$16)*$BO$19</f>
        <v>#N/A</v>
      </c>
      <c r="BG17" s="1098" t="str">
        <f ca="1">IF(LEFT(BD17,2)="RF",OFFSET(Pinlist!$D$1,Chart!BC17,0)&amp;"_"&amp;OFFSET(Pinlist!$G$1,Chart!BC17,0),"")</f>
        <v/>
      </c>
      <c r="BH17" s="1098"/>
      <c r="BI17" s="178"/>
      <c r="BJ17" s="1083" t="s">
        <v>804</v>
      </c>
      <c r="BK17" s="1084" t="e">
        <f ca="1">AVERAGE(BJ3:BJ4)+(MAX($BJ$5:$BK$5)/2)+1</f>
        <v>#REF!</v>
      </c>
      <c r="BL17" s="1085" t="e">
        <f ca="1">AVERAGE(BK3:BK4)+(MAX($BJ$5:$BK$5)/2)+1</f>
        <v>#REF!</v>
      </c>
      <c r="BM17" s="132"/>
      <c r="BN17" s="1585" t="s">
        <v>214</v>
      </c>
      <c r="BO17" s="1585"/>
      <c r="BP17" s="132"/>
      <c r="BQ17" s="530">
        <f ca="1">IF(BS16=OFFSET($BO$3,BQ16,0),MATCH(1,OFFSET($BM$4,BQ16,0):$BM$13,0)+BQ16,BQ16)</f>
        <v>9</v>
      </c>
      <c r="BR17" s="531" t="str">
        <f ca="1">IF(OFFSET($BN$3,BQ17,0)&lt;&gt;"P",OFFSET($BN$3,BQ17,0),IF(AND(BS17&lt;10,Pinlist!$B$3&gt;9),"P0","P"))</f>
        <v>P0</v>
      </c>
      <c r="BS17" s="531">
        <f t="shared" ca="1" si="3"/>
        <v>6</v>
      </c>
      <c r="BT17" s="531" t="str">
        <f t="shared" ca="1" si="4"/>
        <v>P06</v>
      </c>
      <c r="BU17" s="174">
        <f t="shared" ca="1" si="5"/>
        <v>0</v>
      </c>
      <c r="BV17" s="524">
        <f ca="1">COUNTIF(OFFSET(Pinlist!$A$2,0,0,$BM$23),BT17)</f>
        <v>0</v>
      </c>
      <c r="BW17" s="178"/>
      <c r="BX17" s="518" t="e">
        <f ca="1">MATCH(1,OFFSET($BU$4,BX16,0):$BU$63,0)+BX16</f>
        <v>#N/A</v>
      </c>
      <c r="BY17" s="174" t="str">
        <f t="shared" ca="1" si="6"/>
        <v/>
      </c>
      <c r="BZ17" s="174">
        <f t="shared" ca="1" si="7"/>
        <v>1</v>
      </c>
      <c r="CA17" s="524">
        <f t="shared" ca="1" si="9"/>
        <v>13</v>
      </c>
      <c r="CB17" s="178"/>
      <c r="CC17" s="533" t="e">
        <f ca="1">MATCH("S",OFFSET(Pinlist!$C$2,CC16,0,$BM$23-CC16,1),0)+CC16</f>
        <v>#N/A</v>
      </c>
      <c r="CD17" s="191" t="e">
        <f ca="1">(OFFSET(Pinlist!$E$1,CC17,0)-$BN$16)*$BN$19</f>
        <v>#N/A</v>
      </c>
      <c r="CE17" s="192" t="e">
        <f ca="1">(OFFSET(Pinlist!$F$1,CC17,0)-$BO$16)*$BO$19</f>
        <v>#N/A</v>
      </c>
      <c r="CF17" s="178"/>
      <c r="CG17" s="518"/>
      <c r="CH17" s="174"/>
      <c r="CI17" s="1098" t="e">
        <f ca="1">CI13</f>
        <v>#REF!</v>
      </c>
      <c r="CJ17" s="1098" t="e">
        <f ca="1">CJ13</f>
        <v>#REF!</v>
      </c>
      <c r="CK17" s="1098">
        <f ca="1">CK13</f>
        <v>0</v>
      </c>
      <c r="CL17" s="1098">
        <f ca="1">CL13</f>
        <v>0</v>
      </c>
      <c r="CM17" s="183"/>
      <c r="CN17" s="184"/>
      <c r="CO17" s="198"/>
      <c r="CP17" s="178"/>
      <c r="CT17" s="1107" t="s">
        <v>817</v>
      </c>
      <c r="CU17" s="1133" t="e">
        <f ca="1">IF(AND(CQ25&gt;2,DB11&lt;&gt;DB8),DB8,DB11)</f>
        <v>#REF!</v>
      </c>
      <c r="CV17" s="1125" t="e">
        <f ca="1">ROUND(CU17*$CQ$24,2)</f>
        <v>#REF!</v>
      </c>
      <c r="CW17" s="1099"/>
      <c r="CX17" s="1099"/>
    </row>
    <row r="18" spans="1:105" x14ac:dyDescent="0.2">
      <c r="A18" s="149"/>
      <c r="B18" s="149"/>
      <c r="C18" s="149"/>
      <c r="D18" s="149"/>
      <c r="E18" s="149"/>
      <c r="F18" s="149"/>
      <c r="G18" s="149"/>
      <c r="H18" s="149"/>
      <c r="I18" s="149"/>
      <c r="J18" s="149"/>
      <c r="K18" s="149"/>
      <c r="L18" s="503" t="str">
        <f ca="1">IF(Pinlist_Err,"Warning: Not all X Y coordinates are displayed,","")</f>
        <v/>
      </c>
      <c r="P18" s="149"/>
      <c r="U18" s="1024"/>
      <c r="V18" s="1024"/>
      <c r="W18" s="346"/>
      <c r="BA18" s="518">
        <f t="shared" ca="1" si="0"/>
        <v>15</v>
      </c>
      <c r="BB18" s="174">
        <f t="shared" ca="1" si="1"/>
        <v>1</v>
      </c>
      <c r="BC18" s="525" t="e">
        <f ca="1">MATCH(BD18,OFFSET(Pinlist!$A$2,BC17*(BA18=BA17),0,$BM$23,1),0)+BC17*(BA18=BA17)</f>
        <v>#N/A</v>
      </c>
      <c r="BD18" s="167" t="str">
        <f t="shared" ca="1" si="2"/>
        <v/>
      </c>
      <c r="BE18" s="191" t="e">
        <f ca="1">(OFFSET(Pinlist!$E$1,BC18,0)-$BN$16)*$BN$19</f>
        <v>#N/A</v>
      </c>
      <c r="BF18" s="192" t="e">
        <f ca="1">(OFFSET(Pinlist!$F$1,BC18,0)-$BO$16)*$BO$19</f>
        <v>#N/A</v>
      </c>
      <c r="BG18" s="1098" t="str">
        <f ca="1">IF(LEFT(BD18,2)="RF",OFFSET(Pinlist!$D$1,Chart!BC18,0)&amp;"_"&amp;OFFSET(Pinlist!$G$1,Chart!BC18,0),"")</f>
        <v/>
      </c>
      <c r="BH18" s="1098"/>
      <c r="BI18" s="178"/>
      <c r="BJ18" s="1104"/>
      <c r="BK18" s="1105"/>
      <c r="BL18" s="1105"/>
      <c r="BM18" s="536"/>
      <c r="BN18" s="536" t="s">
        <v>162</v>
      </c>
      <c r="BO18" s="536" t="s">
        <v>163</v>
      </c>
      <c r="BP18" s="132"/>
      <c r="BQ18" s="530">
        <f ca="1">IF(BS17=OFFSET($BO$3,BQ17,0),MATCH(1,OFFSET($BM$4,BQ17,0):$BM$13,0)+BQ17,BQ17)</f>
        <v>9</v>
      </c>
      <c r="BR18" s="531" t="str">
        <f ca="1">IF(OFFSET($BN$3,BQ18,0)&lt;&gt;"P",OFFSET($BN$3,BQ18,0),IF(AND(BS18&lt;10,Pinlist!$B$3&gt;9),"P0","P"))</f>
        <v>P0</v>
      </c>
      <c r="BS18" s="531">
        <f t="shared" ca="1" si="3"/>
        <v>7</v>
      </c>
      <c r="BT18" s="531" t="str">
        <f t="shared" ca="1" si="4"/>
        <v>P07</v>
      </c>
      <c r="BU18" s="174">
        <f t="shared" ca="1" si="5"/>
        <v>0</v>
      </c>
      <c r="BV18" s="524">
        <f ca="1">COUNTIF(OFFSET(Pinlist!$A$2,0,0,$BM$23),BT18)</f>
        <v>0</v>
      </c>
      <c r="BW18" s="178"/>
      <c r="BX18" s="518" t="e">
        <f ca="1">MATCH(1,OFFSET($BU$4,BX17,0):$BU$63,0)+BX17</f>
        <v>#N/A</v>
      </c>
      <c r="BY18" s="174" t="str">
        <f t="shared" ca="1" si="6"/>
        <v/>
      </c>
      <c r="BZ18" s="174">
        <f t="shared" ca="1" si="7"/>
        <v>1</v>
      </c>
      <c r="CA18" s="524">
        <f t="shared" ca="1" si="9"/>
        <v>14</v>
      </c>
      <c r="CB18" s="178"/>
      <c r="CC18" s="533" t="e">
        <f ca="1">MATCH("S",OFFSET(Pinlist!$C$2,CC17,0,$BM$23-CC17,1),0)+CC17</f>
        <v>#N/A</v>
      </c>
      <c r="CD18" s="191" t="e">
        <f ca="1">(OFFSET(Pinlist!$E$1,CC18,0)-$BN$16)*$BN$19</f>
        <v>#N/A</v>
      </c>
      <c r="CE18" s="192" t="e">
        <f ca="1">(OFFSET(Pinlist!$F$1,CC18,0)-$BO$16)*$BO$19</f>
        <v>#N/A</v>
      </c>
      <c r="CF18" s="178"/>
      <c r="CG18" s="518">
        <f>CG13+1</f>
        <v>3</v>
      </c>
      <c r="CH18" s="174">
        <f>(CG18&lt;$CQ$25)*$CQ$40</f>
        <v>0</v>
      </c>
      <c r="CI18" s="1149" t="e">
        <f ca="1">$CH18*(CI13+$CQ$27+IF($CQ$19,$CQ$20,$CQ$26))</f>
        <v>#REF!</v>
      </c>
      <c r="CJ18" s="1149" t="e">
        <f ca="1">$CH18*(CJ13+$CR$27+IF($CQ$19,$CR$20,$CR$26))</f>
        <v>#REF!</v>
      </c>
      <c r="CK18" s="1149">
        <f ca="1">$CH18*(CK13+$CQ$27+IF($CQ$19,$CQ$20,$CQ$26))</f>
        <v>0</v>
      </c>
      <c r="CL18" s="1149">
        <f ca="1">$CH18*(CL13+$CR$27+IF($CQ$19,$CR$20,$CR$26))</f>
        <v>0</v>
      </c>
      <c r="CM18" s="1149" t="e">
        <f ca="1">IF(CH18,CM13+$CQ$27+IF($CQ$19,$CQ$20,$CQ$26),$CM$3)</f>
        <v>#N/A</v>
      </c>
      <c r="CN18" s="1244" t="e">
        <f ca="1">IF(CH18,CN13+$CR$27+IF($CQ$19,$CR$20,$CR$26),$CN$3)</f>
        <v>#N/A</v>
      </c>
      <c r="CO18" s="198"/>
      <c r="CP18" s="178"/>
      <c r="CQ18" s="199"/>
      <c r="CR18" s="178"/>
      <c r="CS18" s="178"/>
      <c r="CT18" s="178"/>
      <c r="CU18" s="178"/>
      <c r="CV18" s="178"/>
      <c r="CW18" s="178"/>
      <c r="CX18" s="202"/>
    </row>
    <row r="19" spans="1:105" x14ac:dyDescent="0.2">
      <c r="A19" s="149"/>
      <c r="B19" s="149"/>
      <c r="C19" s="149"/>
      <c r="D19" s="149"/>
      <c r="E19" s="149"/>
      <c r="F19" s="149"/>
      <c r="G19" s="149"/>
      <c r="H19" s="149"/>
      <c r="I19" s="149"/>
      <c r="J19" s="149"/>
      <c r="K19" s="149"/>
      <c r="L19" s="503" t="str">
        <f ca="1">IF(Pinlist_Err,"invalid or missing linetypes detected on Pinlist page!","")</f>
        <v/>
      </c>
      <c r="P19" s="149"/>
      <c r="BA19" s="518">
        <f t="shared" ca="1" si="0"/>
        <v>16</v>
      </c>
      <c r="BB19" s="174">
        <f t="shared" ca="1" si="1"/>
        <v>1</v>
      </c>
      <c r="BC19" s="525" t="e">
        <f ca="1">MATCH(BD19,OFFSET(Pinlist!$A$2,BC18*(BA19=BA18),0,$BM$23,1),0)+BC18*(BA19=BA18)</f>
        <v>#N/A</v>
      </c>
      <c r="BD19" s="167" t="str">
        <f t="shared" ca="1" si="2"/>
        <v/>
      </c>
      <c r="BE19" s="191" t="e">
        <f ca="1">(OFFSET(Pinlist!$E$1,BC19,0)-$BN$16)*$BN$19</f>
        <v>#N/A</v>
      </c>
      <c r="BF19" s="192" t="e">
        <f ca="1">(OFFSET(Pinlist!$F$1,BC19,0)-$BO$16)*$BO$19</f>
        <v>#N/A</v>
      </c>
      <c r="BG19" s="1098" t="str">
        <f ca="1">IF(LEFT(BD19,2)="RF",OFFSET(Pinlist!$D$1,Chart!BC19,0)&amp;"_"&amp;OFFSET(Pinlist!$G$1,Chart!BC19,0),"")</f>
        <v/>
      </c>
      <c r="BH19" s="1098"/>
      <c r="BI19" s="178"/>
      <c r="BJ19" s="178"/>
      <c r="BK19" s="178"/>
      <c r="BL19" s="178"/>
      <c r="BM19" s="536"/>
      <c r="BN19" s="196">
        <f>IF(O12="Wafer Side",-1,1)</f>
        <v>1</v>
      </c>
      <c r="BO19" s="196">
        <f>IF(BM21="Y",-1,1)</f>
        <v>1</v>
      </c>
      <c r="BP19" s="132"/>
      <c r="BQ19" s="530">
        <f ca="1">IF(BS18=OFFSET($BO$3,BQ18,0),MATCH(1,OFFSET($BM$4,BQ18,0):$BM$13,0)+BQ18,BQ18)</f>
        <v>9</v>
      </c>
      <c r="BR19" s="531" t="str">
        <f ca="1">IF(OFFSET($BN$3,BQ19,0)&lt;&gt;"P",OFFSET($BN$3,BQ19,0),IF(AND(BS19&lt;10,Pinlist!$B$3&gt;9),"P0","P"))</f>
        <v>P0</v>
      </c>
      <c r="BS19" s="531">
        <f t="shared" ca="1" si="3"/>
        <v>8</v>
      </c>
      <c r="BT19" s="531" t="str">
        <f t="shared" ca="1" si="4"/>
        <v>P08</v>
      </c>
      <c r="BU19" s="174">
        <f t="shared" ca="1" si="5"/>
        <v>0</v>
      </c>
      <c r="BV19" s="524">
        <f ca="1">COUNTIF(OFFSET(Pinlist!$A$2,0,0,$BM$23),BT19)</f>
        <v>0</v>
      </c>
      <c r="BW19" s="178"/>
      <c r="BX19" s="518" t="e">
        <f ca="1">MATCH(1,OFFSET($BU$4,BX18,0):$BU$63,0)+BX18</f>
        <v>#N/A</v>
      </c>
      <c r="BY19" s="174" t="str">
        <f t="shared" ca="1" si="6"/>
        <v/>
      </c>
      <c r="BZ19" s="174">
        <f t="shared" ca="1" si="7"/>
        <v>1</v>
      </c>
      <c r="CA19" s="524">
        <f t="shared" ca="1" si="9"/>
        <v>15</v>
      </c>
      <c r="CB19" s="178"/>
      <c r="CC19" s="533" t="e">
        <f ca="1">MATCH("S",OFFSET(Pinlist!$C$2,CC18,0,$BM$23-CC18,1),0)+CC18</f>
        <v>#N/A</v>
      </c>
      <c r="CD19" s="191" t="e">
        <f ca="1">(OFFSET(Pinlist!$E$1,CC19,0)-$BN$16)*$BN$19</f>
        <v>#N/A</v>
      </c>
      <c r="CE19" s="192" t="e">
        <f ca="1">(OFFSET(Pinlist!$F$1,CC19,0)-$BO$16)*$BO$19</f>
        <v>#N/A</v>
      </c>
      <c r="CF19" s="178"/>
      <c r="CG19" s="518"/>
      <c r="CH19" s="174"/>
      <c r="CI19" s="1098" t="e">
        <f ca="1">CH18*(CI18-DUT!$G$11)</f>
        <v>#REF!</v>
      </c>
      <c r="CJ19" s="1098" t="e">
        <f ca="1">CJ18</f>
        <v>#REF!</v>
      </c>
      <c r="CK19" s="1098">
        <f ca="1">CH18*(CK18-$BJ$5)</f>
        <v>0</v>
      </c>
      <c r="CL19" s="1098">
        <f ca="1">CL18</f>
        <v>0</v>
      </c>
      <c r="CM19" s="183"/>
      <c r="CN19" s="192"/>
      <c r="CO19" s="198"/>
      <c r="CP19" s="1100" t="s">
        <v>830</v>
      </c>
      <c r="CQ19" s="178" t="b">
        <f>AND($CQ$27&lt;&gt;0,$CR$27&lt;&gt;0)</f>
        <v>0</v>
      </c>
      <c r="CR19" s="178"/>
      <c r="CS19" s="178"/>
      <c r="CT19" s="178"/>
      <c r="CU19" s="178"/>
      <c r="CV19" s="178"/>
      <c r="CW19" s="178"/>
      <c r="CX19" s="178"/>
    </row>
    <row r="20" spans="1:105" x14ac:dyDescent="0.2">
      <c r="A20" s="149"/>
      <c r="B20" s="149"/>
      <c r="C20" s="149"/>
      <c r="D20" s="149"/>
      <c r="E20" s="149"/>
      <c r="F20" s="149"/>
      <c r="G20" s="149"/>
      <c r="H20" s="149"/>
      <c r="I20" s="149"/>
      <c r="J20" s="149"/>
      <c r="K20" s="149"/>
      <c r="P20" s="149"/>
      <c r="W20" s="1022"/>
      <c r="BA20" s="518">
        <f t="shared" ca="1" si="0"/>
        <v>17</v>
      </c>
      <c r="BB20" s="174">
        <f t="shared" ca="1" si="1"/>
        <v>1</v>
      </c>
      <c r="BC20" s="525" t="e">
        <f ca="1">MATCH(BD20,OFFSET(Pinlist!$A$2,BC19*(BA20=BA19),0,$BM$23,1),0)+BC19*(BA20=BA19)</f>
        <v>#N/A</v>
      </c>
      <c r="BD20" s="167" t="str">
        <f t="shared" ca="1" si="2"/>
        <v/>
      </c>
      <c r="BE20" s="191" t="e">
        <f ca="1">(OFFSET(Pinlist!$E$1,BC20,0)-$BN$16)*$BN$19</f>
        <v>#N/A</v>
      </c>
      <c r="BF20" s="192" t="e">
        <f ca="1">(OFFSET(Pinlist!$F$1,BC20,0)-$BO$16)*$BO$19</f>
        <v>#N/A</v>
      </c>
      <c r="BG20" s="1098" t="str">
        <f ca="1">IF(LEFT(BD20,2)="RF",OFFSET(Pinlist!$D$1,Chart!BC20,0)&amp;"_"&amp;OFFSET(Pinlist!$G$1,Chart!BC20,0),"")</f>
        <v/>
      </c>
      <c r="BH20" s="1098"/>
      <c r="BI20" s="178"/>
      <c r="BJ20" s="178"/>
      <c r="BK20" s="178"/>
      <c r="BL20" s="178" t="s">
        <v>215</v>
      </c>
      <c r="BM20" s="196" t="s">
        <v>216</v>
      </c>
      <c r="BN20" s="536"/>
      <c r="BO20" s="536"/>
      <c r="BP20" s="132"/>
      <c r="BQ20" s="530">
        <f ca="1">IF(BS19=OFFSET($BO$3,BQ19,0),MATCH(1,OFFSET($BM$4,BQ19,0):$BM$13,0)+BQ19,BQ19)</f>
        <v>9</v>
      </c>
      <c r="BR20" s="531" t="str">
        <f ca="1">IF(OFFSET($BN$3,BQ20,0)&lt;&gt;"P",OFFSET($BN$3,BQ20,0),IF(AND(BS20&lt;10,Pinlist!$B$3&gt;9),"P0","P"))</f>
        <v>P0</v>
      </c>
      <c r="BS20" s="531">
        <f t="shared" ca="1" si="3"/>
        <v>9</v>
      </c>
      <c r="BT20" s="531" t="str">
        <f t="shared" ca="1" si="4"/>
        <v>P09</v>
      </c>
      <c r="BU20" s="174">
        <f t="shared" ca="1" si="5"/>
        <v>0</v>
      </c>
      <c r="BV20" s="524">
        <f ca="1">COUNTIF(OFFSET(Pinlist!$A$2,0,0,$BM$23),BT20)</f>
        <v>0</v>
      </c>
      <c r="BW20" s="178"/>
      <c r="BX20" s="518" t="e">
        <f ca="1">MATCH(1,OFFSET($BU$4,BX19,0):$BU$63,0)+BX19</f>
        <v>#N/A</v>
      </c>
      <c r="BY20" s="174" t="str">
        <f t="shared" ca="1" si="6"/>
        <v/>
      </c>
      <c r="BZ20" s="174">
        <f t="shared" ca="1" si="7"/>
        <v>1</v>
      </c>
      <c r="CA20" s="524">
        <f t="shared" ca="1" si="9"/>
        <v>16</v>
      </c>
      <c r="CB20" s="178"/>
      <c r="CC20" s="533" t="e">
        <f ca="1">MATCH("S",OFFSET(Pinlist!$C$2,CC19,0,$BM$23-CC19,1),0)+CC19</f>
        <v>#N/A</v>
      </c>
      <c r="CD20" s="191" t="e">
        <f ca="1">(OFFSET(Pinlist!$E$1,CC20,0)-$BN$16)*$BN$19</f>
        <v>#N/A</v>
      </c>
      <c r="CE20" s="192" t="e">
        <f ca="1">(OFFSET(Pinlist!$F$1,CC20,0)-$BO$16)*$BO$19</f>
        <v>#N/A</v>
      </c>
      <c r="CF20" s="178"/>
      <c r="CG20" s="518"/>
      <c r="CH20" s="174"/>
      <c r="CI20" s="1098" t="e">
        <f ca="1">CI19</f>
        <v>#REF!</v>
      </c>
      <c r="CJ20" s="1098" t="e">
        <f ca="1">CH18*(CJ19-DUT!$J$11)</f>
        <v>#REF!</v>
      </c>
      <c r="CK20" s="1098">
        <f ca="1">CK19</f>
        <v>0</v>
      </c>
      <c r="CL20" s="1098">
        <f ca="1">CH18*(CL19-$BK$5)</f>
        <v>0</v>
      </c>
      <c r="CM20" s="183"/>
      <c r="CN20" s="192"/>
      <c r="CO20" s="200"/>
      <c r="CP20" s="1100" t="s">
        <v>831</v>
      </c>
      <c r="CQ20" s="1099">
        <f>IF($O$49&lt;&gt;0,$CQ$26/ABS($O$49),0)</f>
        <v>0</v>
      </c>
      <c r="CR20" s="1099">
        <f>IF($O$50&lt;&gt;0,$CR$26/ABS($O$50),0)</f>
        <v>0</v>
      </c>
      <c r="CS20" s="178"/>
      <c r="CT20" s="178"/>
      <c r="CU20" s="195"/>
      <c r="CV20" s="178"/>
      <c r="CW20" s="178"/>
      <c r="CX20" s="178"/>
      <c r="CY20" s="178"/>
    </row>
    <row r="21" spans="1:105" x14ac:dyDescent="0.2">
      <c r="A21" s="149"/>
      <c r="B21" s="149"/>
      <c r="C21" s="149"/>
      <c r="D21" s="149"/>
      <c r="E21" s="149"/>
      <c r="F21" s="149"/>
      <c r="G21" s="149"/>
      <c r="H21" s="149"/>
      <c r="I21" s="149"/>
      <c r="J21" s="149"/>
      <c r="K21" s="149"/>
      <c r="L21" s="149"/>
      <c r="P21" s="149"/>
      <c r="W21" s="1023"/>
      <c r="BA21" s="518">
        <f t="shared" ca="1" si="0"/>
        <v>18</v>
      </c>
      <c r="BB21" s="174">
        <f t="shared" ca="1" si="1"/>
        <v>1</v>
      </c>
      <c r="BC21" s="525" t="e">
        <f ca="1">MATCH(BD21,OFFSET(Pinlist!$A$2,BC20*(BA21=BA20),0,$BM$23,1),0)+BC20*(BA21=BA20)</f>
        <v>#N/A</v>
      </c>
      <c r="BD21" s="167" t="str">
        <f t="shared" ca="1" si="2"/>
        <v/>
      </c>
      <c r="BE21" s="191" t="e">
        <f ca="1">(OFFSET(Pinlist!$E$1,BC21,0)-$BN$16)*$BN$19</f>
        <v>#N/A</v>
      </c>
      <c r="BF21" s="192" t="e">
        <f ca="1">(OFFSET(Pinlist!$F$1,BC21,0)-$BO$16)*$BO$19</f>
        <v>#N/A</v>
      </c>
      <c r="BG21" s="1098" t="str">
        <f ca="1">IF(LEFT(BD21,2)="RF",OFFSET(Pinlist!$D$1,Chart!BC21,0)&amp;"_"&amp;OFFSET(Pinlist!$G$1,Chart!BC21,0),"")</f>
        <v/>
      </c>
      <c r="BH21" s="1098"/>
      <c r="BI21" s="178"/>
      <c r="BJ21" s="178"/>
      <c r="BK21" s="178"/>
      <c r="BL21" s="178" t="s">
        <v>217</v>
      </c>
      <c r="BM21" s="196" t="s">
        <v>216</v>
      </c>
      <c r="BN21" s="536"/>
      <c r="BO21" s="536"/>
      <c r="BP21" s="132"/>
      <c r="BQ21" s="530">
        <f ca="1">IF(BS20=OFFSET($BO$3,BQ20,0),MATCH(1,OFFSET($BM$4,BQ20,0):$BM$13,0)+BQ20,BQ20)</f>
        <v>9</v>
      </c>
      <c r="BR21" s="531" t="str">
        <f ca="1">IF(OFFSET($BN$3,BQ21,0)&lt;&gt;"P",OFFSET($BN$3,BQ21,0),IF(AND(BS21&lt;10,Pinlist!$B$3&gt;9),"P0","P"))</f>
        <v>P</v>
      </c>
      <c r="BS21" s="531">
        <f t="shared" ca="1" si="3"/>
        <v>10</v>
      </c>
      <c r="BT21" s="531" t="str">
        <f t="shared" ca="1" si="4"/>
        <v>P10</v>
      </c>
      <c r="BU21" s="174">
        <f t="shared" ca="1" si="5"/>
        <v>0</v>
      </c>
      <c r="BV21" s="524">
        <f ca="1">COUNTIF(OFFSET(Pinlist!$A$2,0,0,$BM$23),BT21)</f>
        <v>0</v>
      </c>
      <c r="BW21" s="178"/>
      <c r="BX21" s="518" t="e">
        <f ca="1">MATCH(1,OFFSET($BU$4,BX20,0):$BU$63,0)+BX20</f>
        <v>#N/A</v>
      </c>
      <c r="BY21" s="174" t="str">
        <f t="shared" ca="1" si="6"/>
        <v/>
      </c>
      <c r="BZ21" s="174">
        <f t="shared" ca="1" si="7"/>
        <v>1</v>
      </c>
      <c r="CA21" s="524">
        <f t="shared" ca="1" si="9"/>
        <v>17</v>
      </c>
      <c r="CB21" s="178"/>
      <c r="CC21" s="533" t="e">
        <f ca="1">MATCH("S",OFFSET(Pinlist!$C$2,CC20,0,$BM$23-CC20,1),0)+CC20</f>
        <v>#N/A</v>
      </c>
      <c r="CD21" s="191" t="e">
        <f ca="1">(OFFSET(Pinlist!$E$1,CC21,0)-$BN$16)*$BN$19</f>
        <v>#N/A</v>
      </c>
      <c r="CE21" s="192" t="e">
        <f ca="1">(OFFSET(Pinlist!$F$1,CC21,0)-$BO$16)*$BO$19</f>
        <v>#N/A</v>
      </c>
      <c r="CF21" s="178"/>
      <c r="CG21" s="518"/>
      <c r="CH21" s="174"/>
      <c r="CI21" s="1098" t="e">
        <f ca="1">CI18</f>
        <v>#REF!</v>
      </c>
      <c r="CJ21" s="1098" t="e">
        <f ca="1">CJ20</f>
        <v>#REF!</v>
      </c>
      <c r="CK21" s="1098">
        <f ca="1">CK18</f>
        <v>0</v>
      </c>
      <c r="CL21" s="1098">
        <f ca="1">CL20</f>
        <v>0</v>
      </c>
      <c r="CM21" s="183"/>
      <c r="CN21" s="192"/>
      <c r="CO21" s="200"/>
      <c r="CP21" s="178"/>
      <c r="CQ21" s="178"/>
      <c r="CR21" s="178"/>
      <c r="CS21" s="178"/>
      <c r="CT21" s="178"/>
      <c r="CU21" s="178"/>
      <c r="CV21" s="178"/>
      <c r="CW21" s="178"/>
      <c r="CX21" s="178"/>
      <c r="CY21" s="178"/>
      <c r="CZ21" s="178"/>
      <c r="DA21" s="150"/>
    </row>
    <row r="22" spans="1:105" x14ac:dyDescent="0.2">
      <c r="A22" s="149"/>
      <c r="B22" s="149"/>
      <c r="C22" s="149"/>
      <c r="D22" s="149"/>
      <c r="E22" s="149"/>
      <c r="F22" s="149"/>
      <c r="G22" s="149"/>
      <c r="H22" s="149"/>
      <c r="I22" s="149"/>
      <c r="J22" s="149"/>
      <c r="K22" s="149"/>
      <c r="L22" s="149"/>
      <c r="P22" s="149"/>
      <c r="BA22" s="518">
        <f t="shared" ca="1" si="0"/>
        <v>19</v>
      </c>
      <c r="BB22" s="174">
        <f t="shared" ca="1" si="1"/>
        <v>1</v>
      </c>
      <c r="BC22" s="525" t="e">
        <f ca="1">MATCH(BD22,OFFSET(Pinlist!$A$2,BC21*(BA22=BA21),0,$BM$23,1),0)+BC21*(BA22=BA21)</f>
        <v>#N/A</v>
      </c>
      <c r="BD22" s="167" t="str">
        <f t="shared" ca="1" si="2"/>
        <v/>
      </c>
      <c r="BE22" s="191" t="e">
        <f ca="1">(OFFSET(Pinlist!$E$1,BC22,0)-$BN$16)*$BN$19</f>
        <v>#N/A</v>
      </c>
      <c r="BF22" s="192" t="e">
        <f ca="1">(OFFSET(Pinlist!$F$1,BC22,0)-$BO$16)*$BO$19</f>
        <v>#N/A</v>
      </c>
      <c r="BG22" s="1098" t="str">
        <f ca="1">IF(LEFT(BD22,2)="RF",OFFSET(Pinlist!$D$1,Chart!BC22,0)&amp;"_"&amp;OFFSET(Pinlist!$G$1,Chart!BC22,0),"")</f>
        <v/>
      </c>
      <c r="BH22" s="1098"/>
      <c r="BI22" s="178"/>
      <c r="BJ22" s="178"/>
      <c r="BK22" s="178"/>
      <c r="BL22" s="178"/>
      <c r="BM22" s="132"/>
      <c r="BN22" s="132"/>
      <c r="BO22" s="132"/>
      <c r="BP22" s="132"/>
      <c r="BQ22" s="530">
        <f ca="1">IF(BS21=OFFSET($BO$3,BQ21,0),MATCH(1,OFFSET($BM$4,BQ21,0):$BM$13,0)+BQ21,BQ21)</f>
        <v>9</v>
      </c>
      <c r="BR22" s="531" t="str">
        <f ca="1">IF(OFFSET($BN$3,BQ22,0)&lt;&gt;"P",OFFSET($BN$3,BQ22,0),IF(AND(BS22&lt;10,Pinlist!$B$3&gt;9),"P0","P"))</f>
        <v>P</v>
      </c>
      <c r="BS22" s="531">
        <f t="shared" ca="1" si="3"/>
        <v>11</v>
      </c>
      <c r="BT22" s="531" t="str">
        <f t="shared" ca="1" si="4"/>
        <v>P11</v>
      </c>
      <c r="BU22" s="174">
        <f t="shared" ca="1" si="5"/>
        <v>0</v>
      </c>
      <c r="BV22" s="524">
        <f ca="1">COUNTIF(OFFSET(Pinlist!$A$2,0,0,$BM$23),BT22)</f>
        <v>0</v>
      </c>
      <c r="BW22" s="178"/>
      <c r="BX22" s="518" t="e">
        <f ca="1">MATCH(1,OFFSET($BU$4,BX21,0):$BU$63,0)+BX21</f>
        <v>#N/A</v>
      </c>
      <c r="BY22" s="174" t="str">
        <f t="shared" ca="1" si="6"/>
        <v/>
      </c>
      <c r="BZ22" s="174">
        <f t="shared" ca="1" si="7"/>
        <v>1</v>
      </c>
      <c r="CA22" s="524">
        <f t="shared" ca="1" si="9"/>
        <v>18</v>
      </c>
      <c r="CB22" s="178"/>
      <c r="CC22" s="533" t="e">
        <f ca="1">MATCH("S",OFFSET(Pinlist!$C$2,CC21,0,$BM$23-CC21,1),0)+CC21</f>
        <v>#N/A</v>
      </c>
      <c r="CD22" s="191" t="e">
        <f ca="1">(OFFSET(Pinlist!$E$1,CC22,0)-$BN$16)*$BN$19</f>
        <v>#N/A</v>
      </c>
      <c r="CE22" s="192" t="e">
        <f ca="1">(OFFSET(Pinlist!$F$1,CC22,0)-$BO$16)*$BO$19</f>
        <v>#N/A</v>
      </c>
      <c r="CF22" s="178"/>
      <c r="CG22" s="518"/>
      <c r="CH22" s="174"/>
      <c r="CI22" s="1098" t="e">
        <f ca="1">CI18</f>
        <v>#REF!</v>
      </c>
      <c r="CJ22" s="1098" t="e">
        <f ca="1">CJ18</f>
        <v>#REF!</v>
      </c>
      <c r="CK22" s="1098">
        <f ca="1">CK18</f>
        <v>0</v>
      </c>
      <c r="CL22" s="1098">
        <f ca="1">CL18</f>
        <v>0</v>
      </c>
      <c r="CM22" s="183"/>
      <c r="CN22" s="192"/>
      <c r="CO22" s="200"/>
      <c r="CP22" s="178"/>
      <c r="CQ22" s="1147" t="s">
        <v>162</v>
      </c>
      <c r="CR22" s="1147" t="s">
        <v>163</v>
      </c>
      <c r="CS22" s="178"/>
      <c r="CT22" s="178"/>
      <c r="CU22" s="178"/>
      <c r="CV22" s="178"/>
      <c r="CW22" s="178"/>
      <c r="CX22" s="178"/>
    </row>
    <row r="23" spans="1:105" x14ac:dyDescent="0.2">
      <c r="A23" s="149"/>
      <c r="B23" s="149"/>
      <c r="C23" s="149"/>
      <c r="D23" s="149"/>
      <c r="E23" s="149"/>
      <c r="F23" s="149"/>
      <c r="G23" s="149"/>
      <c r="H23" s="149"/>
      <c r="I23" s="149"/>
      <c r="J23" s="149"/>
      <c r="K23" s="149"/>
      <c r="L23" s="149"/>
      <c r="M23" s="149"/>
      <c r="N23" s="149"/>
      <c r="O23" s="149"/>
      <c r="P23" s="149"/>
      <c r="BA23" s="518">
        <f t="shared" ca="1" si="0"/>
        <v>20</v>
      </c>
      <c r="BB23" s="174">
        <f t="shared" ca="1" si="1"/>
        <v>1</v>
      </c>
      <c r="BC23" s="525" t="e">
        <f ca="1">MATCH(BD23,OFFSET(Pinlist!$A$2,BC22*(BA23=BA22),0,$BM$23,1),0)+BC22*(BA23=BA22)</f>
        <v>#N/A</v>
      </c>
      <c r="BD23" s="167" t="str">
        <f t="shared" ca="1" si="2"/>
        <v/>
      </c>
      <c r="BE23" s="191" t="e">
        <f ca="1">(OFFSET(Pinlist!$E$1,BC23,0)-$BN$16)*$BN$19</f>
        <v>#N/A</v>
      </c>
      <c r="BF23" s="192" t="e">
        <f ca="1">(OFFSET(Pinlist!$F$1,BC23,0)-$BO$16)*$BO$19</f>
        <v>#N/A</v>
      </c>
      <c r="BG23" s="1098" t="str">
        <f ca="1">IF(LEFT(BD23,2)="RF",OFFSET(Pinlist!$D$1,Chart!BC23,0)&amp;"_"&amp;OFFSET(Pinlist!$G$1,Chart!BC23,0),"")</f>
        <v/>
      </c>
      <c r="BH23" s="1098"/>
      <c r="BI23" s="178"/>
      <c r="BJ23" s="178"/>
      <c r="BK23" s="178"/>
      <c r="BL23" s="195" t="s">
        <v>218</v>
      </c>
      <c r="BM23" s="178">
        <v>3000</v>
      </c>
      <c r="BN23" s="132"/>
      <c r="BO23" s="132"/>
      <c r="BP23" s="132"/>
      <c r="BQ23" s="530">
        <f ca="1">IF(BS22=OFFSET($BO$3,BQ22,0),MATCH(1,OFFSET($BM$4,BQ22,0):$BM$13,0)+BQ22,BQ22)</f>
        <v>9</v>
      </c>
      <c r="BR23" s="531" t="str">
        <f ca="1">IF(OFFSET($BN$3,BQ23,0)&lt;&gt;"P",OFFSET($BN$3,BQ23,0),IF(AND(BS23&lt;10,Pinlist!$B$3&gt;9),"P0","P"))</f>
        <v>P</v>
      </c>
      <c r="BS23" s="531">
        <f t="shared" ca="1" si="3"/>
        <v>12</v>
      </c>
      <c r="BT23" s="531" t="str">
        <f t="shared" ca="1" si="4"/>
        <v>P12</v>
      </c>
      <c r="BU23" s="174">
        <f t="shared" ca="1" si="5"/>
        <v>0</v>
      </c>
      <c r="BV23" s="524">
        <f ca="1">COUNTIF(OFFSET(Pinlist!$A$2,0,0,$BM$23),BT23)</f>
        <v>0</v>
      </c>
      <c r="BW23" s="178"/>
      <c r="BX23" s="518" t="e">
        <f ca="1">MATCH(1,OFFSET($BU$4,BX22,0):$BU$63,0)+BX22</f>
        <v>#N/A</v>
      </c>
      <c r="BY23" s="174" t="str">
        <f t="shared" ca="1" si="6"/>
        <v/>
      </c>
      <c r="BZ23" s="174">
        <f t="shared" ca="1" si="7"/>
        <v>1</v>
      </c>
      <c r="CA23" s="524">
        <f t="shared" ca="1" si="9"/>
        <v>19</v>
      </c>
      <c r="CB23" s="178"/>
      <c r="CC23" s="533" t="e">
        <f ca="1">MATCH("S",OFFSET(Pinlist!$C$2,CC22,0,$BM$23-CC22,1),0)+CC22</f>
        <v>#N/A</v>
      </c>
      <c r="CD23" s="191" t="e">
        <f ca="1">(OFFSET(Pinlist!$E$1,CC23,0)-$BN$16)*$BN$19</f>
        <v>#N/A</v>
      </c>
      <c r="CE23" s="192" t="e">
        <f ca="1">(OFFSET(Pinlist!$F$1,CC23,0)-$BO$16)*$BO$19</f>
        <v>#N/A</v>
      </c>
      <c r="CF23" s="178"/>
      <c r="CG23" s="518">
        <f>CG18+1</f>
        <v>4</v>
      </c>
      <c r="CH23" s="174">
        <f>(CG23&lt;$CQ$25)*$CQ$40</f>
        <v>0</v>
      </c>
      <c r="CI23" s="1150" t="e">
        <f ca="1">$CH23*IF($CQ$19,CI13+$CQ$26,CI18-$CQ$27+$CQ$26)</f>
        <v>#REF!</v>
      </c>
      <c r="CJ23" s="1150" t="e">
        <f ca="1">$CH23*IF($CQ$19,CJ13+$CR$26,CJ18-$CR$27+$CR$26)</f>
        <v>#REF!</v>
      </c>
      <c r="CK23" s="1150">
        <f ca="1">$CH23*IF($CQ$19,CK13+$CQ$26,CK18-$CQ$27+$CQ$26)</f>
        <v>0</v>
      </c>
      <c r="CL23" s="1150">
        <f ca="1">$CH23*IF($CQ$19,CL13+$CR$26,CL18-$CR$27+$CR$26)</f>
        <v>0</v>
      </c>
      <c r="CM23" s="1150" t="e">
        <f ca="1">IF(CH23,IF($CQ$19,CM13+$CQ$26,CM18-$CQ$27+$CQ$26),$CM$3)</f>
        <v>#N/A</v>
      </c>
      <c r="CN23" s="1245" t="e">
        <f ca="1">IF(CH23,IF($CQ$19,CN13+$CR$26,CN18-$CR$27+$CR$26),$CN$3)</f>
        <v>#N/A</v>
      </c>
      <c r="CO23" s="200"/>
      <c r="CP23" s="201" t="s">
        <v>688</v>
      </c>
      <c r="CQ23" s="178" t="e">
        <f ca="1">BJ3+(0.5*BJ5)</f>
        <v>#REF!</v>
      </c>
      <c r="CR23" s="178" t="e">
        <f ca="1">BK3+(0.5*BK5)</f>
        <v>#REF!</v>
      </c>
      <c r="CS23" s="178"/>
      <c r="CT23" s="178"/>
      <c r="CU23" s="178"/>
      <c r="CV23" s="178"/>
      <c r="CW23" s="178"/>
      <c r="CX23" s="178"/>
    </row>
    <row r="24" spans="1:105" x14ac:dyDescent="0.2">
      <c r="A24" s="149"/>
      <c r="B24" s="149"/>
      <c r="C24" s="149"/>
      <c r="D24" s="149"/>
      <c r="E24" s="149"/>
      <c r="F24" s="149"/>
      <c r="G24" s="149"/>
      <c r="H24" s="149"/>
      <c r="I24" s="149"/>
      <c r="J24" s="149"/>
      <c r="K24" s="149"/>
      <c r="L24" s="149"/>
      <c r="M24" s="149"/>
      <c r="N24" s="149"/>
      <c r="O24" s="149"/>
      <c r="P24" s="149"/>
      <c r="BA24" s="518">
        <f t="shared" ca="1" si="0"/>
        <v>21</v>
      </c>
      <c r="BB24" s="174">
        <f t="shared" ca="1" si="1"/>
        <v>1</v>
      </c>
      <c r="BC24" s="525" t="e">
        <f ca="1">MATCH(BD24,OFFSET(Pinlist!$A$2,BC23*(BA24=BA23),0,$BM$23,1),0)+BC23*(BA24=BA23)</f>
        <v>#N/A</v>
      </c>
      <c r="BD24" s="167" t="str">
        <f t="shared" ca="1" si="2"/>
        <v/>
      </c>
      <c r="BE24" s="191" t="e">
        <f ca="1">(OFFSET(Pinlist!$E$1,BC24,0)-$BN$16)*$BN$19</f>
        <v>#N/A</v>
      </c>
      <c r="BF24" s="192" t="e">
        <f ca="1">(OFFSET(Pinlist!$F$1,BC24,0)-$BO$16)*$BO$19</f>
        <v>#N/A</v>
      </c>
      <c r="BG24" s="1098" t="str">
        <f ca="1">IF(LEFT(BD24,2)="RF",OFFSET(Pinlist!$D$1,Chart!BC24,0)&amp;"_"&amp;OFFSET(Pinlist!$G$1,Chart!BC24,0),"")</f>
        <v/>
      </c>
      <c r="BH24" s="1098"/>
      <c r="BI24" s="178"/>
      <c r="BJ24" s="178"/>
      <c r="BK24" s="178"/>
      <c r="BL24" s="178"/>
      <c r="BM24" s="132"/>
      <c r="BN24" s="132"/>
      <c r="BO24" s="132"/>
      <c r="BP24" s="132"/>
      <c r="BQ24" s="530">
        <f ca="1">IF(BS23=OFFSET($BO$3,BQ23,0),MATCH(1,OFFSET($BM$4,BQ23,0):$BM$13,0)+BQ23,BQ23)</f>
        <v>9</v>
      </c>
      <c r="BR24" s="531" t="str">
        <f ca="1">IF(OFFSET($BN$3,BQ24,0)&lt;&gt;"P",OFFSET($BN$3,BQ24,0),IF(AND(BS24&lt;10,Pinlist!$B$3&gt;9),"P0","P"))</f>
        <v>P</v>
      </c>
      <c r="BS24" s="531">
        <f t="shared" ca="1" si="3"/>
        <v>13</v>
      </c>
      <c r="BT24" s="531" t="str">
        <f t="shared" ca="1" si="4"/>
        <v>P13</v>
      </c>
      <c r="BU24" s="174">
        <f t="shared" ca="1" si="5"/>
        <v>0</v>
      </c>
      <c r="BV24" s="524">
        <f ca="1">COUNTIF(OFFSET(Pinlist!$A$2,0,0,$BM$23),BT24)</f>
        <v>0</v>
      </c>
      <c r="BW24" s="178"/>
      <c r="BX24" s="518" t="e">
        <f ca="1">MATCH(1,OFFSET($BU$4,BX23,0):$BU$63,0)+BX23</f>
        <v>#N/A</v>
      </c>
      <c r="BY24" s="174" t="str">
        <f t="shared" ca="1" si="6"/>
        <v/>
      </c>
      <c r="BZ24" s="174">
        <f t="shared" ca="1" si="7"/>
        <v>1</v>
      </c>
      <c r="CA24" s="524">
        <f t="shared" ca="1" si="9"/>
        <v>20</v>
      </c>
      <c r="CB24" s="178"/>
      <c r="CC24" s="533" t="e">
        <f ca="1">MATCH("S",OFFSET(Pinlist!$C$2,CC23,0,$BM$23-CC23,1),0)+CC23</f>
        <v>#N/A</v>
      </c>
      <c r="CD24" s="191" t="e">
        <f ca="1">(OFFSET(Pinlist!$E$1,CC24,0)-$BN$16)*$BN$19</f>
        <v>#N/A</v>
      </c>
      <c r="CE24" s="192" t="e">
        <f ca="1">(OFFSET(Pinlist!$F$1,CC24,0)-$BO$16)*$BO$19</f>
        <v>#N/A</v>
      </c>
      <c r="CF24" s="178"/>
      <c r="CG24" s="518"/>
      <c r="CH24" s="174"/>
      <c r="CI24" s="1098" t="e">
        <f ca="1">CH23*(CI23-DUT!$G$11)</f>
        <v>#REF!</v>
      </c>
      <c r="CJ24" s="1098" t="e">
        <f ca="1">CJ23</f>
        <v>#REF!</v>
      </c>
      <c r="CK24" s="1098">
        <f ca="1">CH23*(CK23-$BJ$5)</f>
        <v>0</v>
      </c>
      <c r="CL24" s="1098">
        <f ca="1">CL23</f>
        <v>0</v>
      </c>
      <c r="CM24" s="183"/>
      <c r="CN24" s="184"/>
      <c r="CO24" s="200"/>
      <c r="CP24" s="201" t="s">
        <v>219</v>
      </c>
      <c r="CQ24" s="178">
        <f>(180/PI())</f>
        <v>57.295779513082323</v>
      </c>
      <c r="CR24" s="178"/>
      <c r="CS24" s="178"/>
      <c r="CT24" s="178"/>
      <c r="CU24" s="178"/>
      <c r="CV24" s="178"/>
      <c r="CW24" s="178"/>
      <c r="CX24" s="178"/>
    </row>
    <row r="25" spans="1:105" x14ac:dyDescent="0.2">
      <c r="A25" s="149"/>
      <c r="B25" s="149"/>
      <c r="C25" s="149"/>
      <c r="D25" s="149"/>
      <c r="E25" s="149"/>
      <c r="F25" s="149"/>
      <c r="G25" s="149"/>
      <c r="H25" s="149"/>
      <c r="I25" s="149"/>
      <c r="J25" s="149"/>
      <c r="K25" s="149"/>
      <c r="L25" s="149"/>
      <c r="M25" s="149"/>
      <c r="N25" s="149"/>
      <c r="O25" s="149"/>
      <c r="P25" s="149"/>
      <c r="BA25" s="518">
        <f t="shared" ca="1" si="0"/>
        <v>22</v>
      </c>
      <c r="BB25" s="174">
        <f t="shared" ca="1" si="1"/>
        <v>1</v>
      </c>
      <c r="BC25" s="525" t="e">
        <f ca="1">MATCH(BD25,OFFSET(Pinlist!$A$2,BC24*(BA25=BA24),0,$BM$23,1),0)+BC24*(BA25=BA24)</f>
        <v>#N/A</v>
      </c>
      <c r="BD25" s="167" t="str">
        <f t="shared" ca="1" si="2"/>
        <v/>
      </c>
      <c r="BE25" s="191" t="e">
        <f ca="1">(OFFSET(Pinlist!$E$1,BC25,0)-$BN$16)*$BN$19</f>
        <v>#N/A</v>
      </c>
      <c r="BF25" s="192" t="e">
        <f ca="1">(OFFSET(Pinlist!$F$1,BC25,0)-$BO$16)*$BO$19</f>
        <v>#N/A</v>
      </c>
      <c r="BG25" s="1098" t="str">
        <f ca="1">IF(LEFT(BD25,2)="RF",OFFSET(Pinlist!$D$1,Chart!BC25,0)&amp;"_"&amp;OFFSET(Pinlist!$G$1,Chart!BC25,0),"")</f>
        <v/>
      </c>
      <c r="BH25" s="1098"/>
      <c r="BI25" s="178"/>
      <c r="BJ25" s="178"/>
      <c r="BK25" s="178"/>
      <c r="BL25" s="195" t="s">
        <v>220</v>
      </c>
      <c r="BM25" s="131">
        <f>IF(Pinlist!E1=Chart!W20,Chart!W21,Chart!W20)</f>
        <v>0</v>
      </c>
      <c r="BN25" s="132"/>
      <c r="BO25" s="566" t="s">
        <v>585</v>
      </c>
      <c r="BP25" s="132"/>
      <c r="BQ25" s="530">
        <f ca="1">IF(BS24=OFFSET($BO$3,BQ24,0),MATCH(1,OFFSET($BM$4,BQ24,0):$BM$13,0)+BQ24,BQ24)</f>
        <v>9</v>
      </c>
      <c r="BR25" s="531" t="str">
        <f ca="1">IF(OFFSET($BN$3,BQ25,0)&lt;&gt;"P",OFFSET($BN$3,BQ25,0),IF(AND(BS25&lt;10,Pinlist!$B$3&gt;9),"P0","P"))</f>
        <v>P</v>
      </c>
      <c r="BS25" s="531">
        <f t="shared" ca="1" si="3"/>
        <v>14</v>
      </c>
      <c r="BT25" s="531" t="str">
        <f t="shared" ca="1" si="4"/>
        <v>P14</v>
      </c>
      <c r="BU25" s="174">
        <f t="shared" ca="1" si="5"/>
        <v>0</v>
      </c>
      <c r="BV25" s="524">
        <f ca="1">COUNTIF(OFFSET(Pinlist!$A$2,0,0,$BM$23),BT25)</f>
        <v>0</v>
      </c>
      <c r="BW25" s="178"/>
      <c r="BX25" s="518" t="e">
        <f ca="1">MATCH(1,OFFSET($BU$4,BX24,0):$BU$63,0)+BX24</f>
        <v>#N/A</v>
      </c>
      <c r="BY25" s="174" t="str">
        <f t="shared" ca="1" si="6"/>
        <v/>
      </c>
      <c r="BZ25" s="174">
        <f t="shared" ca="1" si="7"/>
        <v>1</v>
      </c>
      <c r="CA25" s="524">
        <f t="shared" ca="1" si="9"/>
        <v>21</v>
      </c>
      <c r="CB25" s="178"/>
      <c r="CC25" s="533" t="e">
        <f ca="1">MATCH("S",OFFSET(Pinlist!$C$2,CC24,0,$BM$23-CC24,1),0)+CC24</f>
        <v>#N/A</v>
      </c>
      <c r="CD25" s="191" t="e">
        <f ca="1">(OFFSET(Pinlist!$E$1,CC25,0)-$BN$16)*$BN$19</f>
        <v>#N/A</v>
      </c>
      <c r="CE25" s="192" t="e">
        <f ca="1">(OFFSET(Pinlist!$F$1,CC25,0)-$BO$16)*$BO$19</f>
        <v>#N/A</v>
      </c>
      <c r="CF25" s="178"/>
      <c r="CG25" s="518"/>
      <c r="CH25" s="174"/>
      <c r="CI25" s="1098" t="e">
        <f ca="1">CI24</f>
        <v>#REF!</v>
      </c>
      <c r="CJ25" s="1098" t="e">
        <f ca="1">CH23*(CJ24-DUT!$J$11)</f>
        <v>#REF!</v>
      </c>
      <c r="CK25" s="1098">
        <f ca="1">CK24</f>
        <v>0</v>
      </c>
      <c r="CL25" s="1098">
        <f ca="1">CH23*(CL24-$BK$5)</f>
        <v>0</v>
      </c>
      <c r="CM25" s="183"/>
      <c r="CN25" s="184"/>
      <c r="CO25" s="202"/>
      <c r="CP25" s="201" t="s">
        <v>221</v>
      </c>
      <c r="CQ25" s="178">
        <f>DUT!L18*(DUT!G18="Yes")</f>
        <v>0</v>
      </c>
      <c r="CR25" s="178"/>
      <c r="CS25" s="178"/>
      <c r="CT25" s="178"/>
      <c r="CU25" s="178"/>
      <c r="CV25" s="178"/>
      <c r="CW25" s="178"/>
      <c r="CX25" s="178"/>
    </row>
    <row r="26" spans="1:105" x14ac:dyDescent="0.2">
      <c r="A26" s="149"/>
      <c r="B26" s="149"/>
      <c r="C26" s="149"/>
      <c r="D26" s="149"/>
      <c r="E26" s="149"/>
      <c r="F26" s="149"/>
      <c r="G26" s="149"/>
      <c r="H26" s="149"/>
      <c r="I26" s="149"/>
      <c r="J26" s="149"/>
      <c r="K26" s="149"/>
      <c r="M26" s="149"/>
      <c r="N26" s="149"/>
      <c r="O26" s="149"/>
      <c r="P26" s="149"/>
      <c r="BA26" s="518">
        <f t="shared" ca="1" si="0"/>
        <v>23</v>
      </c>
      <c r="BB26" s="174">
        <f t="shared" ca="1" si="1"/>
        <v>1</v>
      </c>
      <c r="BC26" s="525" t="e">
        <f ca="1">MATCH(BD26,OFFSET(Pinlist!$A$2,BC25*(BA26=BA25),0,$BM$23,1),0)+BC25*(BA26=BA25)</f>
        <v>#N/A</v>
      </c>
      <c r="BD26" s="167" t="str">
        <f t="shared" ca="1" si="2"/>
        <v/>
      </c>
      <c r="BE26" s="191" t="e">
        <f ca="1">(OFFSET(Pinlist!$E$1,BC26,0)-$BN$16)*$BN$19</f>
        <v>#N/A</v>
      </c>
      <c r="BF26" s="192" t="e">
        <f ca="1">(OFFSET(Pinlist!$F$1,BC26,0)-$BO$16)*$BO$19</f>
        <v>#N/A</v>
      </c>
      <c r="BG26" s="1098" t="str">
        <f ca="1">IF(LEFT(BD26,2)="RF",OFFSET(Pinlist!$D$1,Chart!BC26,0)&amp;"_"&amp;OFFSET(Pinlist!$G$1,Chart!BC26,0),"")</f>
        <v/>
      </c>
      <c r="BH26" s="1098"/>
      <c r="BI26" s="178"/>
      <c r="BJ26" s="178"/>
      <c r="BK26" s="178"/>
      <c r="BL26" s="195" t="s">
        <v>222</v>
      </c>
      <c r="BM26" s="536">
        <f ca="1">IF(Core!BJ20="P",SUM(BV4:BV5),SUM(BV4:BV63))</f>
        <v>0</v>
      </c>
      <c r="BN26" s="511">
        <f>Pinlist!E5</f>
        <v>0</v>
      </c>
      <c r="BO26" s="566" t="b">
        <f ca="1">BM26&lt;&gt;BN26</f>
        <v>0</v>
      </c>
      <c r="BP26" s="132"/>
      <c r="BQ26" s="530">
        <f ca="1">IF(BS25=OFFSET($BO$3,BQ25,0),MATCH(1,OFFSET($BM$4,BQ25,0):$BM$13,0)+BQ25,BQ25)</f>
        <v>9</v>
      </c>
      <c r="BR26" s="531" t="str">
        <f ca="1">IF(OFFSET($BN$3,BQ26,0)&lt;&gt;"P",OFFSET($BN$3,BQ26,0),IF(AND(BS26&lt;10,Pinlist!$B$3&gt;9),"P0","P"))</f>
        <v>P</v>
      </c>
      <c r="BS26" s="531">
        <f t="shared" ca="1" si="3"/>
        <v>15</v>
      </c>
      <c r="BT26" s="531" t="str">
        <f t="shared" ca="1" si="4"/>
        <v>P15</v>
      </c>
      <c r="BU26" s="174">
        <f t="shared" ca="1" si="5"/>
        <v>0</v>
      </c>
      <c r="BV26" s="524">
        <f ca="1">COUNTIF(OFFSET(Pinlist!$A$2,0,0,$BM$23),BT26)</f>
        <v>0</v>
      </c>
      <c r="BW26" s="178"/>
      <c r="BX26" s="518" t="e">
        <f ca="1">MATCH(1,OFFSET($BU$4,BX25,0):$BU$63,0)+BX25</f>
        <v>#N/A</v>
      </c>
      <c r="BY26" s="174" t="str">
        <f t="shared" ca="1" si="6"/>
        <v/>
      </c>
      <c r="BZ26" s="174">
        <f t="shared" ca="1" si="7"/>
        <v>1</v>
      </c>
      <c r="CA26" s="524">
        <f t="shared" ca="1" si="9"/>
        <v>22</v>
      </c>
      <c r="CB26" s="178"/>
      <c r="CC26" s="533" t="e">
        <f ca="1">MATCH("S",OFFSET(Pinlist!$C$2,CC25,0,$BM$23-CC25,1),0)+CC25</f>
        <v>#N/A</v>
      </c>
      <c r="CD26" s="191" t="e">
        <f ca="1">(OFFSET(Pinlist!$E$1,CC26,0)-$BN$16)*$BN$19</f>
        <v>#N/A</v>
      </c>
      <c r="CE26" s="192" t="e">
        <f ca="1">(OFFSET(Pinlist!$F$1,CC26,0)-$BO$16)*$BO$19</f>
        <v>#N/A</v>
      </c>
      <c r="CF26" s="178"/>
      <c r="CG26" s="518"/>
      <c r="CH26" s="174"/>
      <c r="CI26" s="1098" t="e">
        <f ca="1">CI23</f>
        <v>#REF!</v>
      </c>
      <c r="CJ26" s="1098" t="e">
        <f ca="1">CJ25</f>
        <v>#REF!</v>
      </c>
      <c r="CK26" s="1098">
        <f ca="1">CK23</f>
        <v>0</v>
      </c>
      <c r="CL26" s="1098">
        <f ca="1">CL25</f>
        <v>0</v>
      </c>
      <c r="CM26" s="183"/>
      <c r="CN26" s="184"/>
      <c r="CO26" s="202"/>
      <c r="CP26" s="201" t="s">
        <v>826</v>
      </c>
      <c r="CQ26" s="178">
        <f>O49*DUT!S18</f>
        <v>0</v>
      </c>
      <c r="CR26" s="178">
        <f>O50*DUT!V18</f>
        <v>0</v>
      </c>
      <c r="CS26" s="178"/>
      <c r="CT26" s="178"/>
      <c r="CU26" s="178"/>
      <c r="CV26" s="178"/>
      <c r="CW26" s="178"/>
      <c r="CX26" s="178"/>
    </row>
    <row r="27" spans="1:105" x14ac:dyDescent="0.2">
      <c r="A27" s="149"/>
      <c r="B27" s="149"/>
      <c r="C27" s="149"/>
      <c r="D27" s="149"/>
      <c r="E27" s="149"/>
      <c r="F27" s="149"/>
      <c r="G27" s="149"/>
      <c r="H27" s="149"/>
      <c r="I27" s="149"/>
      <c r="J27" s="149"/>
      <c r="K27" s="149"/>
      <c r="M27" s="149"/>
      <c r="O27" s="149"/>
      <c r="P27" s="149"/>
      <c r="BA27" s="518">
        <f t="shared" ca="1" si="0"/>
        <v>24</v>
      </c>
      <c r="BB27" s="174">
        <f t="shared" ca="1" si="1"/>
        <v>1</v>
      </c>
      <c r="BC27" s="525" t="e">
        <f ca="1">MATCH(BD27,OFFSET(Pinlist!$A$2,BC26*(BA27=BA26),0,$BM$23,1),0)+BC26*(BA27=BA26)</f>
        <v>#N/A</v>
      </c>
      <c r="BD27" s="167" t="str">
        <f t="shared" ca="1" si="2"/>
        <v/>
      </c>
      <c r="BE27" s="191" t="e">
        <f ca="1">(OFFSET(Pinlist!$E$1,BC27,0)-$BN$16)*$BN$19</f>
        <v>#N/A</v>
      </c>
      <c r="BF27" s="192" t="e">
        <f ca="1">(OFFSET(Pinlist!$F$1,BC27,0)-$BO$16)*$BO$19</f>
        <v>#N/A</v>
      </c>
      <c r="BG27" s="1098" t="str">
        <f ca="1">IF(LEFT(BD27,2)="RF",OFFSET(Pinlist!$D$1,Chart!BC27,0)&amp;"_"&amp;OFFSET(Pinlist!$G$1,Chart!BC27,0),"")</f>
        <v/>
      </c>
      <c r="BH27" s="1098"/>
      <c r="BI27" s="178"/>
      <c r="BJ27" s="178"/>
      <c r="BK27" s="178"/>
      <c r="BL27" s="195" t="s">
        <v>573</v>
      </c>
      <c r="BM27" s="536">
        <f ca="1">(BM26-BV4)*Multiplyer</f>
        <v>0</v>
      </c>
      <c r="BN27" s="132"/>
      <c r="BO27" s="132"/>
      <c r="BP27" s="132"/>
      <c r="BQ27" s="530">
        <f ca="1">IF(BS26=OFFSET($BO$3,BQ26,0),MATCH(1,OFFSET($BM$4,BQ26,0):$BM$13,0)+BQ26,BQ26)</f>
        <v>9</v>
      </c>
      <c r="BR27" s="531" t="str">
        <f ca="1">IF(OFFSET($BN$3,BQ27,0)&lt;&gt;"P",OFFSET($BN$3,BQ27,0),IF(AND(BS27&lt;10,Pinlist!$B$3&gt;9),"P0","P"))</f>
        <v>P</v>
      </c>
      <c r="BS27" s="531">
        <f t="shared" ca="1" si="3"/>
        <v>16</v>
      </c>
      <c r="BT27" s="531" t="str">
        <f t="shared" ca="1" si="4"/>
        <v>P16</v>
      </c>
      <c r="BU27" s="174">
        <f t="shared" ca="1" si="5"/>
        <v>0</v>
      </c>
      <c r="BV27" s="524">
        <f ca="1">COUNTIF(OFFSET(Pinlist!$A$2,0,0,$BM$23),BT27)</f>
        <v>0</v>
      </c>
      <c r="BW27" s="178"/>
      <c r="BX27" s="518" t="e">
        <f ca="1">MATCH(1,OFFSET($BU$4,BX26,0):$BU$63,0)+BX26</f>
        <v>#N/A</v>
      </c>
      <c r="BY27" s="174" t="str">
        <f t="shared" ca="1" si="6"/>
        <v/>
      </c>
      <c r="BZ27" s="174">
        <f t="shared" ca="1" si="7"/>
        <v>1</v>
      </c>
      <c r="CA27" s="524">
        <f t="shared" ca="1" si="9"/>
        <v>23</v>
      </c>
      <c r="CB27" s="178"/>
      <c r="CC27" s="533" t="e">
        <f ca="1">MATCH("S",OFFSET(Pinlist!$C$2,CC26,0,$BM$23-CC26,1),0)+CC26</f>
        <v>#N/A</v>
      </c>
      <c r="CD27" s="191" t="e">
        <f ca="1">(OFFSET(Pinlist!$E$1,CC27,0)-$BN$16)*$BN$19</f>
        <v>#N/A</v>
      </c>
      <c r="CE27" s="192" t="e">
        <f ca="1">(OFFSET(Pinlist!$F$1,CC27,0)-$BO$16)*$BO$19</f>
        <v>#N/A</v>
      </c>
      <c r="CF27" s="178"/>
      <c r="CG27" s="518"/>
      <c r="CH27" s="174"/>
      <c r="CI27" s="1098" t="e">
        <f ca="1">CI23</f>
        <v>#REF!</v>
      </c>
      <c r="CJ27" s="1098" t="e">
        <f ca="1">CJ23</f>
        <v>#REF!</v>
      </c>
      <c r="CK27" s="1098">
        <f ca="1">CK23</f>
        <v>0</v>
      </c>
      <c r="CL27" s="1098">
        <f ca="1">CL23</f>
        <v>0</v>
      </c>
      <c r="CM27" s="183"/>
      <c r="CN27" s="184"/>
      <c r="CO27" s="202"/>
      <c r="CP27" s="201" t="s">
        <v>827</v>
      </c>
      <c r="CQ27" s="178">
        <f>O53*DUT!S18</f>
        <v>0</v>
      </c>
      <c r="CR27" s="178">
        <f>O54*DUT!V18</f>
        <v>0</v>
      </c>
      <c r="CS27" s="178"/>
      <c r="CT27" s="178"/>
      <c r="CU27" s="178"/>
      <c r="CV27" s="178"/>
      <c r="CW27" s="178"/>
      <c r="CX27" s="178"/>
    </row>
    <row r="28" spans="1:105" ht="13.5" thickBot="1" x14ac:dyDescent="0.25">
      <c r="A28" s="149"/>
      <c r="B28" s="149"/>
      <c r="C28" s="149"/>
      <c r="D28" s="149"/>
      <c r="E28" s="149"/>
      <c r="F28" s="149"/>
      <c r="G28" s="149"/>
      <c r="H28" s="149"/>
      <c r="I28" s="149"/>
      <c r="J28" s="149"/>
      <c r="K28" s="149"/>
      <c r="L28" s="1594" t="str">
        <f>"Y="&amp;DUT!J12&amp;"µm"</f>
        <v>Y=µm</v>
      </c>
      <c r="M28" s="1048"/>
      <c r="N28" s="149"/>
      <c r="O28" s="149"/>
      <c r="P28" s="149"/>
      <c r="BA28" s="518">
        <f t="shared" ca="1" si="0"/>
        <v>25</v>
      </c>
      <c r="BB28" s="174">
        <f t="shared" ca="1" si="1"/>
        <v>1</v>
      </c>
      <c r="BC28" s="525" t="e">
        <f ca="1">MATCH(BD28,OFFSET(Pinlist!$A$2,BC27*(BA28=BA27),0,$BM$23,1),0)+BC27*(BA28=BA27)</f>
        <v>#N/A</v>
      </c>
      <c r="BD28" s="167" t="str">
        <f t="shared" ca="1" si="2"/>
        <v/>
      </c>
      <c r="BE28" s="191" t="e">
        <f ca="1">(OFFSET(Pinlist!$E$1,BC28,0)-$BN$16)*$BN$19</f>
        <v>#N/A</v>
      </c>
      <c r="BF28" s="192" t="e">
        <f ca="1">(OFFSET(Pinlist!$F$1,BC28,0)-$BO$16)*$BO$19</f>
        <v>#N/A</v>
      </c>
      <c r="BG28" s="1098" t="str">
        <f ca="1">IF(LEFT(BD28,2)="RF",OFFSET(Pinlist!$D$1,Chart!BC28,0)&amp;"_"&amp;OFFSET(Pinlist!$G$1,Chart!BC28,0),"")</f>
        <v/>
      </c>
      <c r="BH28" s="1098"/>
      <c r="BI28" s="178"/>
      <c r="BJ28" s="178"/>
      <c r="BK28" s="178"/>
      <c r="BL28" s="195"/>
      <c r="BM28" s="132"/>
      <c r="BN28" s="132"/>
      <c r="BO28" s="132"/>
      <c r="BP28" s="132"/>
      <c r="BQ28" s="530">
        <f ca="1">IF(BS27=OFFSET($BO$3,BQ27,0),MATCH(1,OFFSET($BM$4,BQ27,0):$BM$13,0)+BQ27,BQ27)</f>
        <v>9</v>
      </c>
      <c r="BR28" s="531" t="str">
        <f ca="1">IF(OFFSET($BN$3,BQ28,0)&lt;&gt;"P",OFFSET($BN$3,BQ28,0),IF(AND(BS28&lt;10,Pinlist!$B$3&gt;9),"P0","P"))</f>
        <v>P</v>
      </c>
      <c r="BS28" s="531">
        <f t="shared" ca="1" si="3"/>
        <v>17</v>
      </c>
      <c r="BT28" s="531" t="str">
        <f t="shared" ca="1" si="4"/>
        <v>P17</v>
      </c>
      <c r="BU28" s="174">
        <f t="shared" ca="1" si="5"/>
        <v>0</v>
      </c>
      <c r="BV28" s="524">
        <f ca="1">COUNTIF(OFFSET(Pinlist!$A$2,0,0,$BM$23),BT28)</f>
        <v>0</v>
      </c>
      <c r="BW28" s="178"/>
      <c r="BX28" s="518" t="e">
        <f ca="1">MATCH(1,OFFSET($BU$4,BX27,0):$BU$63,0)+BX27</f>
        <v>#N/A</v>
      </c>
      <c r="BY28" s="174" t="str">
        <f t="shared" ca="1" si="6"/>
        <v/>
      </c>
      <c r="BZ28" s="174">
        <f t="shared" ca="1" si="7"/>
        <v>1</v>
      </c>
      <c r="CA28" s="524">
        <f t="shared" ca="1" si="9"/>
        <v>24</v>
      </c>
      <c r="CB28" s="178"/>
      <c r="CC28" s="533" t="e">
        <f ca="1">MATCH("S",OFFSET(Pinlist!$C$2,CC27,0,$BM$23-CC27,1),0)+CC27</f>
        <v>#N/A</v>
      </c>
      <c r="CD28" s="191" t="e">
        <f ca="1">(OFFSET(Pinlist!$E$1,CC28,0)-$BN$16)*$BN$19</f>
        <v>#N/A</v>
      </c>
      <c r="CE28" s="192" t="e">
        <f ca="1">(OFFSET(Pinlist!$F$1,CC28,0)-$BO$16)*$BO$19</f>
        <v>#N/A</v>
      </c>
      <c r="CF28" s="178"/>
      <c r="CG28" s="518">
        <f>CG23+1</f>
        <v>5</v>
      </c>
      <c r="CH28" s="174">
        <f>(CG28&lt;$CQ$25)*$CQ$40</f>
        <v>0</v>
      </c>
      <c r="CI28" s="1149" t="e">
        <f ca="1">$CH28*(CI23+$CQ$27+IF($CQ$19,$CQ$20,$CQ$26))</f>
        <v>#REF!</v>
      </c>
      <c r="CJ28" s="1149" t="e">
        <f ca="1">$CH28*(CJ23+$CR$27+IF($CQ$19,$CR$20,$CR$26))</f>
        <v>#REF!</v>
      </c>
      <c r="CK28" s="1149">
        <f ca="1">$CH28*(CK23+$CQ$27+IF($CQ$19,$CQ$20,$CQ$26))</f>
        <v>0</v>
      </c>
      <c r="CL28" s="1149">
        <f ca="1">$CH28*(CL23+$CR$27+IF($CQ$19,$CR$20,$CR$26))</f>
        <v>0</v>
      </c>
      <c r="CM28" s="1149" t="e">
        <f ca="1">IF(CH28,CM23+$CQ$27+IF($CQ$19,$CQ$20,$CQ$26),$CM$3)</f>
        <v>#N/A</v>
      </c>
      <c r="CN28" s="1244" t="e">
        <f ca="1">IF(CH28,CN23+$CR$27+IF($CQ$19,$CR$20,$CR$26),$CN$3)</f>
        <v>#N/A</v>
      </c>
      <c r="CO28" s="202"/>
      <c r="CP28" s="1107" t="s">
        <v>828</v>
      </c>
      <c r="CQ28" s="5" t="b">
        <f>AND(O49&lt;&gt;0,O53&lt;&gt;0)</f>
        <v>0</v>
      </c>
      <c r="CR28" s="5" t="b">
        <f>AND(O50&lt;&gt;0,O54&lt;&gt;0)</f>
        <v>0</v>
      </c>
      <c r="CS28" s="178"/>
      <c r="CT28" s="178"/>
      <c r="CU28" s="178"/>
      <c r="CV28" s="178"/>
      <c r="CW28" s="178"/>
      <c r="CX28" s="178"/>
    </row>
    <row r="29" spans="1:105" x14ac:dyDescent="0.2">
      <c r="A29" s="149"/>
      <c r="B29" s="149"/>
      <c r="C29" s="149"/>
      <c r="D29" s="149"/>
      <c r="E29" s="149"/>
      <c r="F29" s="149"/>
      <c r="G29" s="149"/>
      <c r="H29" s="149"/>
      <c r="I29" s="149"/>
      <c r="J29" s="149"/>
      <c r="K29" s="149"/>
      <c r="L29" s="1595"/>
      <c r="M29" s="1048"/>
      <c r="N29" s="149"/>
      <c r="O29" s="149"/>
      <c r="P29" s="149"/>
      <c r="BA29" s="518">
        <f t="shared" ca="1" si="0"/>
        <v>26</v>
      </c>
      <c r="BB29" s="174">
        <f t="shared" ca="1" si="1"/>
        <v>1</v>
      </c>
      <c r="BC29" s="525" t="e">
        <f ca="1">MATCH(BD29,OFFSET(Pinlist!$A$2,BC28*(BA29=BA28),0,$BM$23,1),0)+BC28*(BA29=BA28)</f>
        <v>#N/A</v>
      </c>
      <c r="BD29" s="167" t="str">
        <f t="shared" ca="1" si="2"/>
        <v/>
      </c>
      <c r="BE29" s="191" t="e">
        <f ca="1">(OFFSET(Pinlist!$E$1,BC29,0)-$BN$16)*$BN$19</f>
        <v>#N/A</v>
      </c>
      <c r="BF29" s="192" t="e">
        <f ca="1">(OFFSET(Pinlist!$F$1,BC29,0)-$BO$16)*$BO$19</f>
        <v>#N/A</v>
      </c>
      <c r="BG29" s="1098" t="str">
        <f ca="1">IF(LEFT(BD29,2)="RF",OFFSET(Pinlist!$D$1,Chart!BC29,0)&amp;"_"&amp;OFFSET(Pinlist!$G$1,Chart!BC29,0),"")</f>
        <v/>
      </c>
      <c r="BH29" s="1098"/>
      <c r="BI29" s="178"/>
      <c r="BJ29" s="1591" t="s">
        <v>572</v>
      </c>
      <c r="BK29" s="1592"/>
      <c r="BL29" s="1592"/>
      <c r="BM29" s="1592"/>
      <c r="BN29" s="1593"/>
      <c r="BO29" s="132"/>
      <c r="BP29" s="132"/>
      <c r="BQ29" s="530">
        <f ca="1">IF(BS28=OFFSET($BO$3,BQ28,0),MATCH(1,OFFSET($BM$4,BQ28,0):$BM$13,0)+BQ28,BQ28)</f>
        <v>9</v>
      </c>
      <c r="BR29" s="531" t="str">
        <f ca="1">IF(OFFSET($BN$3,BQ29,0)&lt;&gt;"P",OFFSET($BN$3,BQ29,0),IF(AND(BS29&lt;10,Pinlist!$B$3&gt;9),"P0","P"))</f>
        <v>P</v>
      </c>
      <c r="BS29" s="531">
        <f t="shared" ca="1" si="3"/>
        <v>18</v>
      </c>
      <c r="BT29" s="531" t="str">
        <f t="shared" ca="1" si="4"/>
        <v>P18</v>
      </c>
      <c r="BU29" s="174">
        <f t="shared" ca="1" si="5"/>
        <v>0</v>
      </c>
      <c r="BV29" s="524">
        <f ca="1">COUNTIF(OFFSET(Pinlist!$A$2,0,0,$BM$23),BT29)</f>
        <v>0</v>
      </c>
      <c r="BW29" s="178"/>
      <c r="BX29" s="518" t="e">
        <f ca="1">MATCH(1,OFFSET($BU$4,BX28,0):$BU$63,0)+BX28</f>
        <v>#N/A</v>
      </c>
      <c r="BY29" s="174" t="str">
        <f t="shared" ca="1" si="6"/>
        <v/>
      </c>
      <c r="BZ29" s="174">
        <f t="shared" ca="1" si="7"/>
        <v>1</v>
      </c>
      <c r="CA29" s="524">
        <f t="shared" ca="1" si="9"/>
        <v>25</v>
      </c>
      <c r="CB29" s="178"/>
      <c r="CC29" s="533" t="e">
        <f ca="1">MATCH("S",OFFSET(Pinlist!$C$2,CC28,0,$BM$23-CC28,1),0)+CC28</f>
        <v>#N/A</v>
      </c>
      <c r="CD29" s="191" t="e">
        <f ca="1">(OFFSET(Pinlist!$E$1,CC29,0)-$BN$16)*$BN$19</f>
        <v>#N/A</v>
      </c>
      <c r="CE29" s="192" t="e">
        <f ca="1">(OFFSET(Pinlist!$F$1,CC29,0)-$BO$16)*$BO$19</f>
        <v>#N/A</v>
      </c>
      <c r="CF29" s="178"/>
      <c r="CG29" s="518"/>
      <c r="CH29" s="174"/>
      <c r="CI29" s="1098" t="e">
        <f ca="1">CH28*(CI28-DUT!$G$11)</f>
        <v>#REF!</v>
      </c>
      <c r="CJ29" s="1098" t="e">
        <f ca="1">CJ28</f>
        <v>#REF!</v>
      </c>
      <c r="CK29" s="1098">
        <f ca="1">CH28*(CK28-$BJ$5)</f>
        <v>0</v>
      </c>
      <c r="CL29" s="1098">
        <f ca="1">CL28</f>
        <v>0</v>
      </c>
      <c r="CM29" s="183"/>
      <c r="CN29" s="192"/>
      <c r="CO29" s="202"/>
      <c r="CP29" s="201" t="s">
        <v>223</v>
      </c>
      <c r="CQ29" s="202" t="e">
        <f ca="1">AVERAGE(BJ3,BJ4)</f>
        <v>#REF!</v>
      </c>
      <c r="CR29" s="202" t="e">
        <f ca="1">AVERAGE(BK3,BK4)</f>
        <v>#REF!</v>
      </c>
      <c r="CS29" s="178"/>
      <c r="CT29" s="178"/>
      <c r="CU29" s="178"/>
      <c r="CV29" s="178"/>
      <c r="CW29" s="178"/>
      <c r="CX29" s="178"/>
    </row>
    <row r="30" spans="1:105" ht="13.5" customHeight="1" x14ac:dyDescent="0.2">
      <c r="A30" s="149"/>
      <c r="B30" s="149"/>
      <c r="C30" s="149"/>
      <c r="D30" s="149"/>
      <c r="E30" s="149"/>
      <c r="F30" s="149"/>
      <c r="G30" s="149"/>
      <c r="H30" s="149"/>
      <c r="I30" s="149"/>
      <c r="J30" s="149"/>
      <c r="K30" s="149"/>
      <c r="L30" s="1595"/>
      <c r="M30" s="1048"/>
      <c r="N30" s="149"/>
      <c r="O30" s="149"/>
      <c r="P30" s="149"/>
      <c r="BA30" s="518">
        <f t="shared" ca="1" si="0"/>
        <v>27</v>
      </c>
      <c r="BB30" s="174">
        <f t="shared" ca="1" si="1"/>
        <v>1</v>
      </c>
      <c r="BC30" s="525" t="e">
        <f ca="1">MATCH(BD30,OFFSET(Pinlist!$A$2,BC29*(BA30=BA29),0,$BM$23,1),0)+BC29*(BA30=BA29)</f>
        <v>#N/A</v>
      </c>
      <c r="BD30" s="167" t="str">
        <f t="shared" ca="1" si="2"/>
        <v/>
      </c>
      <c r="BE30" s="191" t="e">
        <f ca="1">(OFFSET(Pinlist!$E$1,BC30,0)-$BN$16)*$BN$19</f>
        <v>#N/A</v>
      </c>
      <c r="BF30" s="192" t="e">
        <f ca="1">(OFFSET(Pinlist!$F$1,BC30,0)-$BO$16)*$BO$19</f>
        <v>#N/A</v>
      </c>
      <c r="BG30" s="1098" t="str">
        <f ca="1">IF(LEFT(BD30,2)="RF",OFFSET(Pinlist!$D$1,Chart!BC30,0)&amp;"_"&amp;OFFSET(Pinlist!$G$1,Chart!BC30,0),"")</f>
        <v/>
      </c>
      <c r="BH30" s="1098"/>
      <c r="BI30" s="178"/>
      <c r="BJ30" s="572" t="s">
        <v>588</v>
      </c>
      <c r="BK30" s="573" t="s">
        <v>586</v>
      </c>
      <c r="BL30" s="574" t="s">
        <v>589</v>
      </c>
      <c r="BM30" s="573" t="s">
        <v>586</v>
      </c>
      <c r="BN30" s="575" t="s">
        <v>587</v>
      </c>
      <c r="BO30" s="536"/>
      <c r="BP30" s="132"/>
      <c r="BQ30" s="530">
        <f ca="1">IF(BS29=OFFSET($BO$3,BQ29,0),MATCH(1,OFFSET($BM$4,BQ29,0):$BM$13,0)+BQ29,BQ29)</f>
        <v>9</v>
      </c>
      <c r="BR30" s="531" t="str">
        <f ca="1">IF(OFFSET($BN$3,BQ30,0)&lt;&gt;"P",OFFSET($BN$3,BQ30,0),IF(AND(BS30&lt;10,Pinlist!$B$3&gt;9),"P0","P"))</f>
        <v>P</v>
      </c>
      <c r="BS30" s="531">
        <f t="shared" ca="1" si="3"/>
        <v>19</v>
      </c>
      <c r="BT30" s="531" t="str">
        <f t="shared" ca="1" si="4"/>
        <v>P19</v>
      </c>
      <c r="BU30" s="174">
        <f t="shared" ca="1" si="5"/>
        <v>0</v>
      </c>
      <c r="BV30" s="524">
        <f ca="1">COUNTIF(OFFSET(Pinlist!$A$2,0,0,$BM$23),BT30)</f>
        <v>0</v>
      </c>
      <c r="BW30" s="178"/>
      <c r="BX30" s="518" t="e">
        <f ca="1">MATCH(1,OFFSET($BU$4,BX29,0):$BU$63,0)+BX29</f>
        <v>#N/A</v>
      </c>
      <c r="BY30" s="174" t="str">
        <f t="shared" ca="1" si="6"/>
        <v/>
      </c>
      <c r="BZ30" s="174">
        <f t="shared" ca="1" si="7"/>
        <v>1</v>
      </c>
      <c r="CA30" s="524">
        <f t="shared" ca="1" si="9"/>
        <v>26</v>
      </c>
      <c r="CB30" s="178"/>
      <c r="CC30" s="533" t="e">
        <f ca="1">MATCH("S",OFFSET(Pinlist!$C$2,CC29,0,$BM$23-CC29,1),0)+CC29</f>
        <v>#N/A</v>
      </c>
      <c r="CD30" s="191" t="e">
        <f ca="1">(OFFSET(Pinlist!$E$1,CC30,0)-$BN$16)*$BN$19</f>
        <v>#N/A</v>
      </c>
      <c r="CE30" s="192" t="e">
        <f ca="1">(OFFSET(Pinlist!$F$1,CC30,0)-$BO$16)*$BO$19</f>
        <v>#N/A</v>
      </c>
      <c r="CF30" s="178"/>
      <c r="CG30" s="518"/>
      <c r="CH30" s="174"/>
      <c r="CI30" s="1098" t="e">
        <f ca="1">CI29</f>
        <v>#REF!</v>
      </c>
      <c r="CJ30" s="1098" t="e">
        <f ca="1">CH28*(CJ29-DUT!$J$11)</f>
        <v>#REF!</v>
      </c>
      <c r="CK30" s="1098">
        <f ca="1">CK29</f>
        <v>0</v>
      </c>
      <c r="CL30" s="1098">
        <f ca="1">CH28*(CL29-$BK$5)</f>
        <v>0</v>
      </c>
      <c r="CM30" s="183"/>
      <c r="CN30" s="192"/>
      <c r="CO30" s="200"/>
      <c r="CP30" s="201" t="s">
        <v>815</v>
      </c>
      <c r="CQ30" s="178" t="e">
        <f ca="1">CV17/90&lt;&gt;INT(CV17/90)</f>
        <v>#REF!</v>
      </c>
      <c r="CR30" s="178"/>
      <c r="CS30" s="1100" t="s">
        <v>812</v>
      </c>
      <c r="CT30" s="510" t="e">
        <f ca="1">IF($CV$17&gt;=0,IF($CV$17&gt;=90,2,1),IF($CV$17&lt;=-90,3,4))</f>
        <v>#REF!</v>
      </c>
      <c r="CU30" s="1097"/>
      <c r="CV30" s="1097"/>
      <c r="CW30" s="1097"/>
      <c r="CX30" s="199"/>
    </row>
    <row r="31" spans="1:105" x14ac:dyDescent="0.2">
      <c r="A31" s="149"/>
      <c r="B31" s="149"/>
      <c r="C31" s="149"/>
      <c r="D31" s="149"/>
      <c r="E31" s="149"/>
      <c r="F31" s="149"/>
      <c r="G31" s="149"/>
      <c r="H31" s="149"/>
      <c r="I31" s="149"/>
      <c r="J31" s="149"/>
      <c r="K31" s="149"/>
      <c r="L31" s="1595"/>
      <c r="M31" s="1048"/>
      <c r="N31" s="149"/>
      <c r="O31" s="149"/>
      <c r="P31" s="149"/>
      <c r="BA31" s="518">
        <f t="shared" ca="1" si="0"/>
        <v>28</v>
      </c>
      <c r="BB31" s="174">
        <f t="shared" ca="1" si="1"/>
        <v>1</v>
      </c>
      <c r="BC31" s="525" t="e">
        <f ca="1">MATCH(BD31,OFFSET(Pinlist!$A$2,BC30*(BA31=BA30),0,$BM$23,1),0)+BC30*(BA31=BA30)</f>
        <v>#N/A</v>
      </c>
      <c r="BD31" s="167" t="str">
        <f t="shared" ca="1" si="2"/>
        <v/>
      </c>
      <c r="BE31" s="191" t="e">
        <f ca="1">(OFFSET(Pinlist!$E$1,BC31,0)-$BN$16)*$BN$19</f>
        <v>#N/A</v>
      </c>
      <c r="BF31" s="192" t="e">
        <f ca="1">(OFFSET(Pinlist!$F$1,BC31,0)-$BO$16)*$BO$19</f>
        <v>#N/A</v>
      </c>
      <c r="BG31" s="1098" t="str">
        <f ca="1">IF(LEFT(BD31,2)="RF",OFFSET(Pinlist!$D$1,Chart!BC31,0)&amp;"_"&amp;OFFSET(Pinlist!$G$1,Chart!BC31,0),"")</f>
        <v/>
      </c>
      <c r="BH31" s="1098"/>
      <c r="BI31" s="178"/>
      <c r="BJ31" s="1286">
        <v>2.4</v>
      </c>
      <c r="BK31" s="1287">
        <f ca="1">SUMPRODUCT(--(OFFSET(Pinlist!$I$9,0,0,$BM$23,1)&lt;=BJ31),--(OFFSET(Pinlist!$J$9,0,0,$BM$23,1)="Ghz"))</f>
        <v>0</v>
      </c>
      <c r="BL31" s="1288">
        <f>0.35/BJ31*1000</f>
        <v>145.83333333333334</v>
      </c>
      <c r="BM31" s="1287">
        <f ca="1">SUMPRODUCT(--(OFFSET(Pinlist!$I$9,0,0,$BM$23,1)&gt;=BL31),--(OFFSET(Pinlist!$J$9,0,0,$BM$23,1)="PS"))</f>
        <v>0</v>
      </c>
      <c r="BN31" s="1289">
        <f ca="1">(BK31+BM31)*Multiplyer</f>
        <v>0</v>
      </c>
      <c r="BO31" s="1083"/>
      <c r="BP31" s="1269"/>
      <c r="BQ31" s="530">
        <f ca="1">IF(BS30=OFFSET($BO$3,BQ30,0),MATCH(1,OFFSET($BM$4,BQ30,0):$BM$13,0)+BQ30,BQ30)</f>
        <v>9</v>
      </c>
      <c r="BR31" s="531" t="str">
        <f ca="1">IF(OFFSET($BN$3,BQ31,0)&lt;&gt;"P",OFFSET($BN$3,BQ31,0),IF(AND(BS31&lt;10,Pinlist!$B$3&gt;9),"P0","P"))</f>
        <v>P</v>
      </c>
      <c r="BS31" s="531">
        <f t="shared" ca="1" si="3"/>
        <v>20</v>
      </c>
      <c r="BT31" s="531" t="str">
        <f t="shared" ca="1" si="4"/>
        <v>P20</v>
      </c>
      <c r="BU31" s="174">
        <f t="shared" ca="1" si="5"/>
        <v>0</v>
      </c>
      <c r="BV31" s="524">
        <f ca="1">COUNTIF(OFFSET(Pinlist!$A$2,0,0,$BM$23),BT31)</f>
        <v>0</v>
      </c>
      <c r="BW31" s="178"/>
      <c r="BX31" s="518" t="e">
        <f ca="1">MATCH(1,OFFSET($BU$4,BX30,0):$BU$63,0)+BX30</f>
        <v>#N/A</v>
      </c>
      <c r="BY31" s="174" t="str">
        <f t="shared" ca="1" si="6"/>
        <v/>
      </c>
      <c r="BZ31" s="174">
        <f t="shared" ca="1" si="7"/>
        <v>1</v>
      </c>
      <c r="CA31" s="524">
        <f t="shared" ca="1" si="9"/>
        <v>27</v>
      </c>
      <c r="CB31" s="178"/>
      <c r="CC31" s="533" t="e">
        <f ca="1">MATCH("S",OFFSET(Pinlist!$C$2,CC30,0,$BM$23-CC30,1),0)+CC30</f>
        <v>#N/A</v>
      </c>
      <c r="CD31" s="191" t="e">
        <f ca="1">(OFFSET(Pinlist!$E$1,CC31,0)-$BN$16)*$BN$19</f>
        <v>#N/A</v>
      </c>
      <c r="CE31" s="192" t="e">
        <f ca="1">(OFFSET(Pinlist!$F$1,CC31,0)-$BO$16)*$BO$19</f>
        <v>#N/A</v>
      </c>
      <c r="CF31" s="178"/>
      <c r="CG31" s="518"/>
      <c r="CH31" s="174"/>
      <c r="CI31" s="1098" t="e">
        <f ca="1">CI28</f>
        <v>#REF!</v>
      </c>
      <c r="CJ31" s="1098" t="e">
        <f ca="1">CJ30</f>
        <v>#REF!</v>
      </c>
      <c r="CK31" s="1098">
        <f ca="1">CK28</f>
        <v>0</v>
      </c>
      <c r="CL31" s="1098">
        <f ca="1">CL30</f>
        <v>0</v>
      </c>
      <c r="CM31" s="183"/>
      <c r="CN31" s="192"/>
      <c r="CO31" s="200"/>
      <c r="CP31" s="1100" t="s">
        <v>845</v>
      </c>
      <c r="CQ31" s="5" t="e">
        <f ca="1">OR(AND(CI3=CI8,CJ3=CJ8),AND(CI8=CI13,CJ8=CJ13))</f>
        <v>#REF!</v>
      </c>
      <c r="CU31" s="1097"/>
      <c r="CV31" s="1097"/>
      <c r="CW31" s="1097"/>
      <c r="CX31" s="199"/>
    </row>
    <row r="32" spans="1:105" ht="13.5" customHeight="1" x14ac:dyDescent="0.2">
      <c r="A32" s="149"/>
      <c r="B32" s="149"/>
      <c r="C32" s="149"/>
      <c r="D32" s="149"/>
      <c r="E32" s="149"/>
      <c r="F32" s="149"/>
      <c r="G32" s="149"/>
      <c r="H32" s="149"/>
      <c r="I32" s="149"/>
      <c r="J32" s="149"/>
      <c r="K32" s="149"/>
      <c r="L32" s="1595"/>
      <c r="M32" s="1048"/>
      <c r="N32" s="149"/>
      <c r="O32" s="149"/>
      <c r="P32" s="149"/>
      <c r="BA32" s="518">
        <f t="shared" ca="1" si="0"/>
        <v>29</v>
      </c>
      <c r="BB32" s="174">
        <f t="shared" ca="1" si="1"/>
        <v>1</v>
      </c>
      <c r="BC32" s="525" t="e">
        <f ca="1">MATCH(BD32,OFFSET(Pinlist!$A$2,BC31*(BA32=BA31),0,$BM$23,1),0)+BC31*(BA32=BA31)</f>
        <v>#N/A</v>
      </c>
      <c r="BD32" s="167" t="str">
        <f t="shared" ca="1" si="2"/>
        <v/>
      </c>
      <c r="BE32" s="191" t="e">
        <f ca="1">(OFFSET(Pinlist!$E$1,BC32,0)-$BN$16)*$BN$19</f>
        <v>#N/A</v>
      </c>
      <c r="BF32" s="192" t="e">
        <f ca="1">(OFFSET(Pinlist!$F$1,BC32,0)-$BO$16)*$BO$19</f>
        <v>#N/A</v>
      </c>
      <c r="BG32" s="1098" t="str">
        <f ca="1">IF(LEFT(BD32,2)="RF",OFFSET(Pinlist!$D$1,Chart!BC32,0)&amp;"_"&amp;OFFSET(Pinlist!$G$1,Chart!BC32,0),"")</f>
        <v/>
      </c>
      <c r="BH32" s="1098"/>
      <c r="BI32" s="178"/>
      <c r="BJ32" s="555">
        <v>3</v>
      </c>
      <c r="BK32" s="567">
        <f ca="1">SUMPRODUCT(--(OFFSET(Pinlist!$I$9,0,0,$BM$23,1)&lt;=BJ32),--(OFFSET(Pinlist!$J$9,0,0,$BM$23,1)="Ghz"))</f>
        <v>0</v>
      </c>
      <c r="BL32" s="568">
        <f>0.35/BJ32*1000</f>
        <v>116.66666666666666</v>
      </c>
      <c r="BM32" s="567">
        <f ca="1">SUMPRODUCT(--(OFFSET(Pinlist!$I$9,0,0,$BM$23,1)&gt;=BL32),--(OFFSET(Pinlist!$J$9,0,0,$BM$23,1)="PS"))</f>
        <v>0</v>
      </c>
      <c r="BN32" s="578">
        <f ca="1">(BK32+BM32)*Multiplyer</f>
        <v>0</v>
      </c>
      <c r="BO32" s="1620" t="s">
        <v>890</v>
      </c>
      <c r="BP32" s="1621"/>
      <c r="BQ32" s="530">
        <f ca="1">IF(BS31=OFFSET($BO$3,BQ31,0),MATCH(1,OFFSET($BM$4,BQ31,0):$BM$13,0)+BQ31,BQ31)</f>
        <v>9</v>
      </c>
      <c r="BR32" s="531" t="str">
        <f ca="1">IF(OFFSET($BN$3,BQ32,0)&lt;&gt;"P",OFFSET($BN$3,BQ32,0),IF(AND(BS32&lt;10,Pinlist!$B$3&gt;9),"P0","P"))</f>
        <v>P</v>
      </c>
      <c r="BS32" s="531">
        <f t="shared" ca="1" si="3"/>
        <v>21</v>
      </c>
      <c r="BT32" s="531" t="str">
        <f t="shared" ca="1" si="4"/>
        <v>P21</v>
      </c>
      <c r="BU32" s="174">
        <f t="shared" ca="1" si="5"/>
        <v>0</v>
      </c>
      <c r="BV32" s="524">
        <f ca="1">COUNTIF(OFFSET(Pinlist!$A$2,0,0,$BM$23),BT32)</f>
        <v>0</v>
      </c>
      <c r="BW32" s="178"/>
      <c r="BX32" s="518" t="e">
        <f ca="1">MATCH(1,OFFSET($BU$4,BX31,0):$BU$63,0)+BX31</f>
        <v>#N/A</v>
      </c>
      <c r="BY32" s="174" t="str">
        <f t="shared" ca="1" si="6"/>
        <v/>
      </c>
      <c r="BZ32" s="174">
        <f t="shared" ca="1" si="7"/>
        <v>1</v>
      </c>
      <c r="CA32" s="524">
        <f t="shared" ca="1" si="9"/>
        <v>28</v>
      </c>
      <c r="CB32" s="178"/>
      <c r="CC32" s="533" t="e">
        <f ca="1">MATCH("S",OFFSET(Pinlist!$C$2,CC31,0,$BM$23-CC31,1),0)+CC31</f>
        <v>#N/A</v>
      </c>
      <c r="CD32" s="191" t="e">
        <f ca="1">(OFFSET(Pinlist!$E$1,CC32,0)-$BN$16)*$BN$19</f>
        <v>#N/A</v>
      </c>
      <c r="CE32" s="192" t="e">
        <f ca="1">(OFFSET(Pinlist!$F$1,CC32,0)-$BO$16)*$BO$19</f>
        <v>#N/A</v>
      </c>
      <c r="CF32" s="178"/>
      <c r="CG32" s="518"/>
      <c r="CH32" s="174"/>
      <c r="CI32" s="1098" t="e">
        <f ca="1">CI28</f>
        <v>#REF!</v>
      </c>
      <c r="CJ32" s="1098" t="e">
        <f ca="1">CJ28</f>
        <v>#REF!</v>
      </c>
      <c r="CK32" s="1098">
        <f ca="1">CK28</f>
        <v>0</v>
      </c>
      <c r="CL32" s="1098">
        <f ca="1">CL28</f>
        <v>0</v>
      </c>
      <c r="CM32" s="183"/>
      <c r="CN32" s="192"/>
      <c r="CO32" s="200"/>
      <c r="CU32" s="1097"/>
      <c r="CV32" s="1097"/>
      <c r="CW32" s="1097"/>
      <c r="CX32" s="199"/>
    </row>
    <row r="33" spans="1:105" x14ac:dyDescent="0.2">
      <c r="A33" s="149"/>
      <c r="B33" s="149"/>
      <c r="C33" s="149"/>
      <c r="D33" s="149"/>
      <c r="E33" s="149"/>
      <c r="F33" s="149"/>
      <c r="G33" s="149"/>
      <c r="H33" s="149"/>
      <c r="I33" s="149"/>
      <c r="J33" s="149"/>
      <c r="K33" s="149"/>
      <c r="L33" s="1049"/>
      <c r="M33" s="1206" t="str">
        <f>"X="&amp;DUT!G12&amp;"µm"</f>
        <v>X=µm</v>
      </c>
      <c r="N33" s="149"/>
      <c r="O33" s="149"/>
      <c r="P33" s="149"/>
      <c r="BA33" s="518">
        <f t="shared" ca="1" si="0"/>
        <v>30</v>
      </c>
      <c r="BB33" s="174">
        <f t="shared" ca="1" si="1"/>
        <v>1</v>
      </c>
      <c r="BC33" s="525" t="e">
        <f ca="1">MATCH(BD33,OFFSET(Pinlist!$A$2,BC32*(BA33=BA32),0,$BM$23,1),0)+BC32*(BA33=BA32)</f>
        <v>#N/A</v>
      </c>
      <c r="BD33" s="167" t="str">
        <f t="shared" ca="1" si="2"/>
        <v/>
      </c>
      <c r="BE33" s="191" t="e">
        <f ca="1">(OFFSET(Pinlist!$E$1,BC33,0)-$BN$16)*$BN$19</f>
        <v>#N/A</v>
      </c>
      <c r="BF33" s="192" t="e">
        <f ca="1">(OFFSET(Pinlist!$F$1,BC33,0)-$BO$16)*$BO$19</f>
        <v>#N/A</v>
      </c>
      <c r="BG33" s="1098" t="str">
        <f ca="1">IF(LEFT(BD33,2)="RF",OFFSET(Pinlist!$D$1,Chart!BC33,0)&amp;"_"&amp;OFFSET(Pinlist!$G$1,Chart!BC33,0),"")</f>
        <v/>
      </c>
      <c r="BH33" s="1098"/>
      <c r="BI33" s="178"/>
      <c r="BJ33" s="555">
        <v>20</v>
      </c>
      <c r="BK33" s="567">
        <f ca="1">SUMPRODUCT(--(OFFSET(Pinlist!$I$9,0,0,$BM$23,1)&lt;=BJ33),--(OFFSET(Pinlist!$J$9,0,0,$BM$23,1)="Ghz"))-BK32</f>
        <v>0</v>
      </c>
      <c r="BL33" s="568">
        <f>0.35/BJ33*1000</f>
        <v>17.499999999999996</v>
      </c>
      <c r="BM33" s="567">
        <f ca="1">SUMPRODUCT(--(OFFSET(Pinlist!$I$9,0,0,$BM$23,1)&gt;=BL33),--(OFFSET(Pinlist!$J$9,0,0,$BM$23,1)="PS"))-BM32</f>
        <v>0</v>
      </c>
      <c r="BN33" s="578">
        <f ca="1">(BK33+BM33)*Multiplyer</f>
        <v>0</v>
      </c>
      <c r="BO33" s="576">
        <f ca="1">MIN(OFFSET(Pinlist!$I$9,0,0,$BM$23,1))</f>
        <v>0</v>
      </c>
      <c r="BP33" s="521" t="e">
        <f ca="1">VLOOKUP(BO33,OFFSET(Pinlist!I9,0,0,Chart!BM23,2),2,0)</f>
        <v>#N/A</v>
      </c>
      <c r="BQ33" s="530">
        <f ca="1">IF(BS32=OFFSET($BO$3,BQ32,0),MATCH(1,OFFSET($BM$4,BQ32,0):$BM$13,0)+BQ32,BQ32)</f>
        <v>9</v>
      </c>
      <c r="BR33" s="531" t="str">
        <f ca="1">IF(OFFSET($BN$3,BQ33,0)&lt;&gt;"P",OFFSET($BN$3,BQ33,0),IF(AND(BS33&lt;10,Pinlist!$B$3&gt;9),"P0","P"))</f>
        <v>P</v>
      </c>
      <c r="BS33" s="531">
        <f t="shared" ca="1" si="3"/>
        <v>22</v>
      </c>
      <c r="BT33" s="531" t="str">
        <f t="shared" ca="1" si="4"/>
        <v>P22</v>
      </c>
      <c r="BU33" s="174">
        <f t="shared" ca="1" si="5"/>
        <v>0</v>
      </c>
      <c r="BV33" s="524">
        <f ca="1">COUNTIF(OFFSET(Pinlist!$A$2,0,0,$BM$23),BT33)</f>
        <v>0</v>
      </c>
      <c r="BW33" s="178"/>
      <c r="BX33" s="518" t="e">
        <f ca="1">MATCH(1,OFFSET($BU$4,BX32,0):$BU$63,0)+BX32</f>
        <v>#N/A</v>
      </c>
      <c r="BY33" s="174" t="str">
        <f t="shared" ca="1" si="6"/>
        <v/>
      </c>
      <c r="BZ33" s="174">
        <f t="shared" ca="1" si="7"/>
        <v>1</v>
      </c>
      <c r="CA33" s="524">
        <f t="shared" ca="1" si="9"/>
        <v>29</v>
      </c>
      <c r="CB33" s="178"/>
      <c r="CC33" s="533" t="e">
        <f ca="1">MATCH("S",OFFSET(Pinlist!$C$2,CC32,0,$BM$23-CC32,1),0)+CC32</f>
        <v>#N/A</v>
      </c>
      <c r="CD33" s="191" t="e">
        <f ca="1">(OFFSET(Pinlist!$E$1,CC33,0)-$BN$16)*$BN$19</f>
        <v>#N/A</v>
      </c>
      <c r="CE33" s="192" t="e">
        <f ca="1">(OFFSET(Pinlist!$F$1,CC33,0)-$BO$16)*$BO$19</f>
        <v>#N/A</v>
      </c>
      <c r="CF33" s="178"/>
      <c r="CG33" s="518">
        <f>CG28+1</f>
        <v>6</v>
      </c>
      <c r="CH33" s="174">
        <f>(CG33&lt;$CQ$25)*$CQ$40</f>
        <v>0</v>
      </c>
      <c r="CI33" s="1150" t="e">
        <f ca="1">$CH33*IF($CQ$19,CI23+$CQ$26,CI28-$CQ$27+$CQ$26)</f>
        <v>#REF!</v>
      </c>
      <c r="CJ33" s="1150" t="e">
        <f ca="1">$CH33*IF($CQ$19,CJ23+$CR$26,CJ28-$CR$27+$CR$26)</f>
        <v>#REF!</v>
      </c>
      <c r="CK33" s="1150">
        <f ca="1">$CH33*IF($CQ$19,CK23+$CQ$26,CK28-$CQ$27+$CQ$26)</f>
        <v>0</v>
      </c>
      <c r="CL33" s="1150">
        <f ca="1">$CH33*IF($CQ$19,CL23+$CR$26,CL28-$CR$27+$CR$26)</f>
        <v>0</v>
      </c>
      <c r="CM33" s="1150" t="e">
        <f ca="1">IF(CH33,IF($CQ$19,CM23+$CQ$26,CM28-$CQ$27+$CQ$26),$CM$3)</f>
        <v>#N/A</v>
      </c>
      <c r="CN33" s="1245" t="e">
        <f ca="1">IF(CH33,IF($CQ$19,CN23+$CR$26,CN28-$CR$27+$CR$26),$CN$3)</f>
        <v>#N/A</v>
      </c>
      <c r="CO33" s="1242"/>
      <c r="CP33" s="1164" t="s">
        <v>843</v>
      </c>
      <c r="CQ33" s="1165" t="s">
        <v>162</v>
      </c>
      <c r="CR33" s="1166" t="s">
        <v>163</v>
      </c>
      <c r="CS33" s="178"/>
      <c r="CT33" s="178"/>
      <c r="CU33" s="178"/>
      <c r="CV33" s="1151"/>
      <c r="CW33" s="178"/>
      <c r="CX33" s="178"/>
    </row>
    <row r="34" spans="1:105" x14ac:dyDescent="0.2">
      <c r="A34" s="149"/>
      <c r="B34" s="149"/>
      <c r="C34" s="149"/>
      <c r="D34" s="149"/>
      <c r="E34" s="149"/>
      <c r="F34" s="149"/>
      <c r="G34" s="149"/>
      <c r="H34" s="149"/>
      <c r="I34" s="149"/>
      <c r="J34" s="149"/>
      <c r="K34" s="149"/>
      <c r="L34" s="1049" t="s">
        <v>787</v>
      </c>
      <c r="M34" s="1050"/>
      <c r="N34" s="149"/>
      <c r="O34" s="1047"/>
      <c r="P34" s="149"/>
      <c r="BA34" s="518">
        <f t="shared" ca="1" si="0"/>
        <v>31</v>
      </c>
      <c r="BB34" s="174">
        <f t="shared" ca="1" si="1"/>
        <v>1</v>
      </c>
      <c r="BC34" s="525" t="e">
        <f ca="1">MATCH(BD34,OFFSET(Pinlist!$A$2,BC33*(BA34=BA33),0,$BM$23,1),0)+BC33*(BA34=BA33)</f>
        <v>#N/A</v>
      </c>
      <c r="BD34" s="167" t="str">
        <f t="shared" ca="1" si="2"/>
        <v/>
      </c>
      <c r="BE34" s="191" t="e">
        <f ca="1">(OFFSET(Pinlist!$E$1,BC34,0)-$BN$16)*$BN$19</f>
        <v>#N/A</v>
      </c>
      <c r="BF34" s="192" t="e">
        <f ca="1">(OFFSET(Pinlist!$F$1,BC34,0)-$BO$16)*$BO$19</f>
        <v>#N/A</v>
      </c>
      <c r="BG34" s="1098" t="str">
        <f ca="1">IF(LEFT(BD34,2)="RF",OFFSET(Pinlist!$D$1,Chart!BC34,0)&amp;"_"&amp;OFFSET(Pinlist!$G$1,Chart!BC34,0),"")</f>
        <v/>
      </c>
      <c r="BH34" s="1098"/>
      <c r="BI34" s="178"/>
      <c r="BJ34" s="555">
        <v>40</v>
      </c>
      <c r="BK34" s="567">
        <f ca="1">SUMPRODUCT(--(OFFSET(Pinlist!$I$9,0,0,$BM$23,1)&lt;=BJ34),--(OFFSET(Pinlist!$J$9,0,0,$BM$23,1)="Ghz"))-BK32-BK33</f>
        <v>0</v>
      </c>
      <c r="BL34" s="568">
        <f>0.35/BJ34*1000</f>
        <v>8.7499999999999982</v>
      </c>
      <c r="BM34" s="567">
        <f ca="1">SUMPRODUCT(--(OFFSET(Pinlist!$I$9,0,0,$BM$23,1)&gt;=BL34),--(OFFSET(Pinlist!$J$9,0,0,$BM$23,1)="PS"))-BM32-BM33</f>
        <v>0</v>
      </c>
      <c r="BN34" s="578">
        <f ca="1">(BK34+BM34)*Multiplyer</f>
        <v>0</v>
      </c>
      <c r="BO34" s="576">
        <f ca="1">IF(ISNUMBER($BP$33),IF(BP33="ps",0.35/BO33*1000,BO33),0)</f>
        <v>0</v>
      </c>
      <c r="BP34" s="521"/>
      <c r="BQ34" s="530">
        <f ca="1">IF(BS33=OFFSET($BO$3,BQ33,0),MATCH(1,OFFSET($BM$4,BQ33,0):$BM$13,0)+BQ33,BQ33)</f>
        <v>9</v>
      </c>
      <c r="BR34" s="531" t="str">
        <f ca="1">IF(OFFSET($BN$3,BQ34,0)&lt;&gt;"P",OFFSET($BN$3,BQ34,0),IF(AND(BS34&lt;10,Pinlist!$B$3&gt;9),"P0","P"))</f>
        <v>P</v>
      </c>
      <c r="BS34" s="531">
        <f t="shared" ca="1" si="3"/>
        <v>23</v>
      </c>
      <c r="BT34" s="531" t="str">
        <f t="shared" ca="1" si="4"/>
        <v>P23</v>
      </c>
      <c r="BU34" s="174">
        <f t="shared" ca="1" si="5"/>
        <v>0</v>
      </c>
      <c r="BV34" s="524">
        <f ca="1">COUNTIF(OFFSET(Pinlist!$A$2,0,0,$BM$23),BT34)</f>
        <v>0</v>
      </c>
      <c r="BW34" s="178"/>
      <c r="BX34" s="518" t="e">
        <f ca="1">MATCH(1,OFFSET($BU$4,BX33,0):$BU$63,0)+BX33</f>
        <v>#N/A</v>
      </c>
      <c r="BY34" s="174" t="str">
        <f t="shared" ca="1" si="6"/>
        <v/>
      </c>
      <c r="BZ34" s="174">
        <f t="shared" ca="1" si="7"/>
        <v>1</v>
      </c>
      <c r="CA34" s="524">
        <f t="shared" ca="1" si="9"/>
        <v>30</v>
      </c>
      <c r="CB34" s="178"/>
      <c r="CC34" s="533" t="e">
        <f ca="1">MATCH("S",OFFSET(Pinlist!$C$2,CC33,0,$BM$23-CC33,1),0)+CC33</f>
        <v>#N/A</v>
      </c>
      <c r="CD34" s="191" t="e">
        <f ca="1">(OFFSET(Pinlist!$E$1,CC34,0)-$BN$16)*$BN$19</f>
        <v>#N/A</v>
      </c>
      <c r="CE34" s="192" t="e">
        <f ca="1">(OFFSET(Pinlist!$F$1,CC34,0)-$BO$16)*$BO$19</f>
        <v>#N/A</v>
      </c>
      <c r="CF34" s="178"/>
      <c r="CG34" s="518"/>
      <c r="CH34" s="174"/>
      <c r="CI34" s="1098" t="e">
        <f ca="1">CH33*(CI33-DUT!$G$11)</f>
        <v>#REF!</v>
      </c>
      <c r="CJ34" s="1098" t="e">
        <f ca="1">CJ33</f>
        <v>#REF!</v>
      </c>
      <c r="CK34" s="1098">
        <f ca="1">CH33*(CK33-$BJ$5)</f>
        <v>0</v>
      </c>
      <c r="CL34" s="1098">
        <f ca="1">CL33</f>
        <v>0</v>
      </c>
      <c r="CM34" s="183"/>
      <c r="CN34" s="184"/>
      <c r="CO34" s="569"/>
      <c r="CP34" s="1153" t="s">
        <v>840</v>
      </c>
      <c r="CQ34" s="525" t="e">
        <f ca="1">CQ36-CQ39</f>
        <v>#REF!</v>
      </c>
      <c r="CR34" s="1167" t="e">
        <f ca="1">CR36-CR39</f>
        <v>#REF!</v>
      </c>
      <c r="CS34" s="195"/>
      <c r="CT34" s="202"/>
      <c r="CU34" s="197"/>
      <c r="CV34" s="1099"/>
      <c r="CW34" s="1099"/>
      <c r="CX34" s="178"/>
    </row>
    <row r="35" spans="1:105" x14ac:dyDescent="0.2">
      <c r="A35" s="149"/>
      <c r="B35" s="149"/>
      <c r="C35" s="149"/>
      <c r="D35" s="149"/>
      <c r="E35" s="149"/>
      <c r="F35" s="149"/>
      <c r="G35" s="149"/>
      <c r="H35" s="149"/>
      <c r="I35" s="149"/>
      <c r="J35" s="149"/>
      <c r="K35" s="149"/>
      <c r="L35" s="149"/>
      <c r="M35" s="149"/>
      <c r="N35" s="149"/>
      <c r="O35" s="149"/>
      <c r="P35" s="149"/>
      <c r="BA35" s="518">
        <f t="shared" ca="1" si="0"/>
        <v>32</v>
      </c>
      <c r="BB35" s="174">
        <f t="shared" ca="1" si="1"/>
        <v>1</v>
      </c>
      <c r="BC35" s="525" t="e">
        <f ca="1">MATCH(BD35,OFFSET(Pinlist!$A$2,BC34*(BA35=BA34),0,$BM$23,1),0)+BC34*(BA35=BA34)</f>
        <v>#N/A</v>
      </c>
      <c r="BD35" s="167" t="str">
        <f t="shared" ca="1" si="2"/>
        <v/>
      </c>
      <c r="BE35" s="191" t="e">
        <f ca="1">(OFFSET(Pinlist!$E$1,BC35,0)-$BN$16)*$BN$19</f>
        <v>#N/A</v>
      </c>
      <c r="BF35" s="192" t="e">
        <f ca="1">(OFFSET(Pinlist!$F$1,BC35,0)-$BO$16)*$BO$19</f>
        <v>#N/A</v>
      </c>
      <c r="BG35" s="1098" t="str">
        <f ca="1">IF(LEFT(BD35,2)="RF",OFFSET(Pinlist!$D$1,Chart!BC35,0)&amp;"_"&amp;OFFSET(Pinlist!$G$1,Chart!BC35,0),"")</f>
        <v/>
      </c>
      <c r="BH35" s="1098"/>
      <c r="BI35" s="178"/>
      <c r="BJ35" s="555">
        <v>88</v>
      </c>
      <c r="BK35" s="567">
        <f ca="1">SUMPRODUCT(--(OFFSET(Pinlist!$I$9,0,0,$BM$23,1)&lt;=BJ35),--(OFFSET(Pinlist!$J$9,0,0,$BM$23,1)="Ghz"))-BK32-BK33-BK34</f>
        <v>0</v>
      </c>
      <c r="BL35" s="568">
        <f>0.35/BJ35*1000</f>
        <v>3.9772727272727271</v>
      </c>
      <c r="BM35" s="567">
        <f ca="1">SUMPRODUCT(--(OFFSET(Pinlist!$I$9,0,0,$BM$23,1)&gt;=BL35),--(OFFSET(Pinlist!$J$9,0,0,$BM$23,1)="PS"))-BM32-BM33-BM34</f>
        <v>0</v>
      </c>
      <c r="BN35" s="578">
        <f ca="1">(BK35+BM35)*Multiplyer</f>
        <v>0</v>
      </c>
      <c r="BO35" s="1268">
        <f ca="1">MAX(MAX(OFFSET(Pinlist!$I$9,0,0,$BM$23,1)),BO34)</f>
        <v>0</v>
      </c>
      <c r="BP35" s="1269"/>
      <c r="BQ35" s="530">
        <f ca="1">IF(BS34=OFFSET($BO$3,BQ34,0),MATCH(1,OFFSET($BM$4,BQ34,0):$BM$13,0)+BQ34,BQ34)</f>
        <v>9</v>
      </c>
      <c r="BR35" s="531" t="str">
        <f ca="1">IF(OFFSET($BN$3,BQ35,0)&lt;&gt;"P",OFFSET($BN$3,BQ35,0),IF(AND(BS35&lt;10,Pinlist!$B$3&gt;9),"P0","P"))</f>
        <v>P</v>
      </c>
      <c r="BS35" s="531">
        <f t="shared" ca="1" si="3"/>
        <v>24</v>
      </c>
      <c r="BT35" s="531" t="str">
        <f t="shared" ca="1" si="4"/>
        <v>P24</v>
      </c>
      <c r="BU35" s="174">
        <f t="shared" ca="1" si="5"/>
        <v>0</v>
      </c>
      <c r="BV35" s="524">
        <f ca="1">COUNTIF(OFFSET(Pinlist!$A$2,0,0,$BM$23),BT35)</f>
        <v>0</v>
      </c>
      <c r="BW35" s="178"/>
      <c r="BX35" s="518" t="e">
        <f ca="1">MATCH(1,OFFSET($BU$4,BX34,0):$BU$63,0)+BX34</f>
        <v>#N/A</v>
      </c>
      <c r="BY35" s="174" t="str">
        <f t="shared" ca="1" si="6"/>
        <v/>
      </c>
      <c r="BZ35" s="174">
        <f t="shared" ca="1" si="7"/>
        <v>1</v>
      </c>
      <c r="CA35" s="524">
        <f t="shared" ca="1" si="9"/>
        <v>31</v>
      </c>
      <c r="CB35" s="178"/>
      <c r="CC35" s="533" t="e">
        <f ca="1">MATCH("S",OFFSET(Pinlist!$C$2,CC34,0,$BM$23-CC34,1),0)+CC34</f>
        <v>#N/A</v>
      </c>
      <c r="CD35" s="191" t="e">
        <f ca="1">(OFFSET(Pinlist!$E$1,CC35,0)-$BN$16)*$BN$19</f>
        <v>#N/A</v>
      </c>
      <c r="CE35" s="192" t="e">
        <f ca="1">(OFFSET(Pinlist!$F$1,CC35,0)-$BO$16)*$BO$19</f>
        <v>#N/A</v>
      </c>
      <c r="CF35" s="178"/>
      <c r="CG35" s="518"/>
      <c r="CH35" s="174"/>
      <c r="CI35" s="1098" t="e">
        <f ca="1">CI34</f>
        <v>#REF!</v>
      </c>
      <c r="CJ35" s="1098" t="e">
        <f ca="1">CH33*(CJ34-DUT!$J$11)</f>
        <v>#REF!</v>
      </c>
      <c r="CK35" s="1098">
        <f ca="1">CK34</f>
        <v>0</v>
      </c>
      <c r="CL35" s="1098">
        <f ca="1">CH33*(CL34-$BK$5)</f>
        <v>0</v>
      </c>
      <c r="CM35" s="183"/>
      <c r="CN35" s="184"/>
      <c r="CO35" s="569"/>
      <c r="CP35" s="1153" t="s">
        <v>841</v>
      </c>
      <c r="CQ35" s="525" t="e">
        <f ca="1">CQ37+CQ39</f>
        <v>#REF!</v>
      </c>
      <c r="CR35" s="1167" t="e">
        <f ca="1">CR37+CR39</f>
        <v>#REF!</v>
      </c>
      <c r="CS35" s="1097"/>
      <c r="CT35" s="1097"/>
      <c r="CU35" s="1596" t="s">
        <v>842</v>
      </c>
      <c r="CV35" s="1597"/>
      <c r="CW35" s="1099"/>
      <c r="CX35" s="178"/>
    </row>
    <row r="36" spans="1:105" ht="15.75" x14ac:dyDescent="0.25">
      <c r="A36" s="149"/>
      <c r="B36" s="149"/>
      <c r="C36" s="149"/>
      <c r="D36" s="204"/>
      <c r="E36" s="149"/>
      <c r="F36" s="149"/>
      <c r="G36" s="149"/>
      <c r="H36" s="149"/>
      <c r="I36" s="149"/>
      <c r="J36" s="149"/>
      <c r="K36" s="149"/>
      <c r="L36" s="149"/>
      <c r="M36" s="149"/>
      <c r="N36" s="149"/>
      <c r="O36" s="149"/>
      <c r="P36" s="149"/>
      <c r="BA36" s="518">
        <f t="shared" ca="1" si="0"/>
        <v>33</v>
      </c>
      <c r="BB36" s="174">
        <f t="shared" ca="1" si="1"/>
        <v>1</v>
      </c>
      <c r="BC36" s="525" t="e">
        <f ca="1">MATCH(BD36,OFFSET(Pinlist!$A$2,BC35*(BA36=BA35),0,$BM$23,1),0)+BC35*(BA36=BA35)</f>
        <v>#N/A</v>
      </c>
      <c r="BD36" s="167" t="str">
        <f t="shared" ca="1" si="2"/>
        <v/>
      </c>
      <c r="BE36" s="191" t="e">
        <f ca="1">(OFFSET(Pinlist!$E$1,BC36,0)-$BN$16)*$BN$19</f>
        <v>#N/A</v>
      </c>
      <c r="BF36" s="192" t="e">
        <f ca="1">(OFFSET(Pinlist!$F$1,BC36,0)-$BO$16)*$BO$19</f>
        <v>#N/A</v>
      </c>
      <c r="BG36" s="1098" t="str">
        <f ca="1">IF(LEFT(BD36,2)="RF",OFFSET(Pinlist!$D$1,Chart!BC36,0)&amp;"_"&amp;OFFSET(Pinlist!$G$1,Chart!BC36,0),"")</f>
        <v/>
      </c>
      <c r="BH36" s="1098"/>
      <c r="BI36" s="178"/>
      <c r="BJ36" s="576"/>
      <c r="BK36" s="569"/>
      <c r="BL36" s="569"/>
      <c r="BM36" s="512" t="s">
        <v>571</v>
      </c>
      <c r="BN36" s="579">
        <f ca="1">SUM(BN32:BN35)+Pinlist_RF_Error_flag</f>
        <v>0</v>
      </c>
      <c r="BP36" s="132"/>
      <c r="BQ36" s="530">
        <f ca="1">IF(BS35=OFFSET($BO$3,BQ35,0),MATCH(1,OFFSET($BM$4,BQ35,0):$BM$13,0)+BQ35,BQ35)</f>
        <v>9</v>
      </c>
      <c r="BR36" s="531" t="str">
        <f ca="1">IF(OFFSET($BN$3,BQ36,0)&lt;&gt;"P",OFFSET($BN$3,BQ36,0),IF(AND(BS36&lt;10,Pinlist!$B$3&gt;9),"P0","P"))</f>
        <v>P</v>
      </c>
      <c r="BS36" s="531">
        <f t="shared" ref="BS36:BS63" ca="1" si="10">IF(BQ36=BQ35,BS35+1,1)</f>
        <v>25</v>
      </c>
      <c r="BT36" s="531" t="str">
        <f t="shared" ref="BT36:BT63" ca="1" si="11">IF(OFFSET($BO$3,BQ36,0)=1,BR36,BR36&amp;BS36)</f>
        <v>P25</v>
      </c>
      <c r="BU36" s="174">
        <f t="shared" ref="BU36:BU63" ca="1" si="12">(BV36&gt;0)+0</f>
        <v>0</v>
      </c>
      <c r="BV36" s="524">
        <f ca="1">COUNTIF(OFFSET(Pinlist!$A$2,0,0,$BM$23),BT36)</f>
        <v>0</v>
      </c>
      <c r="BW36" s="178"/>
      <c r="BX36" s="518" t="e">
        <f ca="1">MATCH(1,OFFSET($BU$4,BX35,0):$BU$63,0)+BX35</f>
        <v>#N/A</v>
      </c>
      <c r="BY36" s="174" t="str">
        <f t="shared" ref="BY36:BY63" ca="1" si="13">IF(ISNUMBER(BX36),OFFSET($BT$3,BX36,0),"")</f>
        <v/>
      </c>
      <c r="BZ36" s="174">
        <f t="shared" ref="BZ36:BZ63" ca="1" si="14">IF(ISNUMBER(BX36),OFFSET($BV$3,BX36,0),1)</f>
        <v>1</v>
      </c>
      <c r="CA36" s="524">
        <f t="shared" ca="1" si="9"/>
        <v>32</v>
      </c>
      <c r="CB36" s="178"/>
      <c r="CC36" s="533" t="e">
        <f ca="1">MATCH("S",OFFSET(Pinlist!$C$2,CC35,0,$BM$23-CC35,1),0)+CC35</f>
        <v>#N/A</v>
      </c>
      <c r="CD36" s="191" t="e">
        <f ca="1">(OFFSET(Pinlist!$E$1,CC36,0)-$BN$16)*$BN$19</f>
        <v>#N/A</v>
      </c>
      <c r="CE36" s="192" t="e">
        <f ca="1">(OFFSET(Pinlist!$F$1,CC36,0)-$BO$16)*$BO$19</f>
        <v>#N/A</v>
      </c>
      <c r="CF36" s="178"/>
      <c r="CG36" s="518"/>
      <c r="CH36" s="174"/>
      <c r="CI36" s="1098" t="e">
        <f ca="1">CI33</f>
        <v>#REF!</v>
      </c>
      <c r="CJ36" s="1098" t="e">
        <f ca="1">CJ35</f>
        <v>#REF!</v>
      </c>
      <c r="CK36" s="1098">
        <f ca="1">CK33</f>
        <v>0</v>
      </c>
      <c r="CL36" s="1098">
        <f ca="1">CL35</f>
        <v>0</v>
      </c>
      <c r="CM36" s="183"/>
      <c r="CN36" s="184"/>
      <c r="CO36" s="569"/>
      <c r="CP36" s="1109" t="s">
        <v>838</v>
      </c>
      <c r="CQ36" s="525" t="e">
        <f ca="1">MIN(CU11:CU15,CW11:CW15)</f>
        <v>#REF!</v>
      </c>
      <c r="CR36" s="1167" t="e">
        <f ca="1">MIN(CV11:CV15,CX11:CX15)</f>
        <v>#REF!</v>
      </c>
      <c r="CT36" s="1097"/>
      <c r="CU36" s="555">
        <v>1</v>
      </c>
      <c r="CV36" s="1155" t="e">
        <f ca="1">CT30</f>
        <v>#REF!</v>
      </c>
      <c r="CW36" s="1099"/>
      <c r="CX36" s="178"/>
    </row>
    <row r="37" spans="1:105" x14ac:dyDescent="0.2">
      <c r="A37" s="149"/>
      <c r="B37" s="149"/>
      <c r="C37" s="149"/>
      <c r="D37" s="149"/>
      <c r="E37" s="149"/>
      <c r="G37" s="149"/>
      <c r="H37" s="149"/>
      <c r="I37" s="149"/>
      <c r="J37" s="149"/>
      <c r="K37" s="149"/>
      <c r="L37" s="149"/>
      <c r="M37" s="149"/>
      <c r="N37" s="149"/>
      <c r="O37" s="149"/>
      <c r="P37" s="149"/>
      <c r="BA37" s="518">
        <f t="shared" ca="1" si="0"/>
        <v>34</v>
      </c>
      <c r="BB37" s="174">
        <f t="shared" ca="1" si="1"/>
        <v>1</v>
      </c>
      <c r="BC37" s="525" t="e">
        <f ca="1">MATCH(BD37,OFFSET(Pinlist!$A$2,BC36*(BA37=BA36),0,$BM$23,1),0)+BC36*(BA37=BA36)</f>
        <v>#N/A</v>
      </c>
      <c r="BD37" s="167" t="str">
        <f t="shared" ca="1" si="2"/>
        <v/>
      </c>
      <c r="BE37" s="191" t="e">
        <f ca="1">(OFFSET(Pinlist!$E$1,BC37,0)-$BN$16)*$BN$19</f>
        <v>#N/A</v>
      </c>
      <c r="BF37" s="192" t="e">
        <f ca="1">(OFFSET(Pinlist!$F$1,BC37,0)-$BO$16)*$BO$19</f>
        <v>#N/A</v>
      </c>
      <c r="BG37" s="1098" t="str">
        <f ca="1">IF(LEFT(BD37,2)="RF",OFFSET(Pinlist!$D$1,Chart!BC37,0)&amp;"_"&amp;OFFSET(Pinlist!$G$1,Chart!BC37,0),"")</f>
        <v/>
      </c>
      <c r="BH37" s="1098"/>
      <c r="BI37" s="178"/>
      <c r="BJ37" s="577" t="s">
        <v>651</v>
      </c>
      <c r="BK37" s="567">
        <f>SUMPRODUCT(--(Pinlist!$I$9:$I$2008&gt;BJ35),--(Pinlist!$J$9:$J$2008="Ghz"))+SUMPRODUCT(--(Pinlist!$I$9:$I$2008&lt;BL35),--(Pinlist!$J$9:$J$2008="PS"))</f>
        <v>0</v>
      </c>
      <c r="BL37" s="569" t="s">
        <v>652</v>
      </c>
      <c r="BM37" s="567">
        <f ca="1">(SUMIF(BR5:BR11,"RF*",BV5:BV11)*Multiplyer)-Pinlist_RF_total</f>
        <v>0</v>
      </c>
      <c r="BN37" s="1267" t="str">
        <f ca="1">IF(BM37,"!Some RF line speed data is missing!","")</f>
        <v/>
      </c>
      <c r="BO37" s="132"/>
      <c r="BP37" s="132"/>
      <c r="BQ37" s="530">
        <f ca="1">IF(BS36=OFFSET($BO$3,BQ36,0),MATCH(1,OFFSET($BM$4,BQ36,0):$BM$13,0)+BQ36,BQ36)</f>
        <v>9</v>
      </c>
      <c r="BR37" s="531" t="str">
        <f ca="1">IF(OFFSET($BN$3,BQ37,0)&lt;&gt;"P",OFFSET($BN$3,BQ37,0),IF(AND(BS37&lt;10,Pinlist!$B$3&gt;9),"P0","P"))</f>
        <v>P</v>
      </c>
      <c r="BS37" s="531">
        <f t="shared" ca="1" si="10"/>
        <v>26</v>
      </c>
      <c r="BT37" s="531" t="str">
        <f t="shared" ca="1" si="11"/>
        <v>P26</v>
      </c>
      <c r="BU37" s="174">
        <f t="shared" ca="1" si="12"/>
        <v>0</v>
      </c>
      <c r="BV37" s="524">
        <f ca="1">COUNTIF(OFFSET(Pinlist!$A$2,0,0,$BM$23),BT37)</f>
        <v>0</v>
      </c>
      <c r="BW37" s="178"/>
      <c r="BX37" s="518" t="e">
        <f ca="1">MATCH(1,OFFSET($BU$4,BX36,0):$BU$63,0)+BX36</f>
        <v>#N/A</v>
      </c>
      <c r="BY37" s="174" t="str">
        <f t="shared" ca="1" si="13"/>
        <v/>
      </c>
      <c r="BZ37" s="174">
        <f t="shared" ca="1" si="14"/>
        <v>1</v>
      </c>
      <c r="CA37" s="524">
        <f t="shared" ref="CA37:CA63" ca="1" si="15">CA36+BZ36</f>
        <v>33</v>
      </c>
      <c r="CB37" s="178"/>
      <c r="CC37" s="533" t="e">
        <f ca="1">MATCH("S",OFFSET(Pinlist!$C$2,CC36,0,$BM$23-CC36,1),0)+CC36</f>
        <v>#N/A</v>
      </c>
      <c r="CD37" s="191" t="e">
        <f ca="1">(OFFSET(Pinlist!$E$1,CC37,0)-$BN$16)*$BN$19</f>
        <v>#N/A</v>
      </c>
      <c r="CE37" s="192" t="e">
        <f ca="1">(OFFSET(Pinlist!$F$1,CC37,0)-$BO$16)*$BO$19</f>
        <v>#N/A</v>
      </c>
      <c r="CF37" s="178"/>
      <c r="CG37" s="518"/>
      <c r="CH37" s="174"/>
      <c r="CI37" s="1098" t="e">
        <f ca="1">CI33</f>
        <v>#REF!</v>
      </c>
      <c r="CJ37" s="1098" t="e">
        <f ca="1">CJ33</f>
        <v>#REF!</v>
      </c>
      <c r="CK37" s="1098">
        <f ca="1">CK33</f>
        <v>0</v>
      </c>
      <c r="CL37" s="1098">
        <f ca="1">CL33</f>
        <v>0</v>
      </c>
      <c r="CM37" s="183"/>
      <c r="CN37" s="184"/>
      <c r="CO37" s="569"/>
      <c r="CP37" s="1109" t="s">
        <v>839</v>
      </c>
      <c r="CQ37" s="525" t="e">
        <f ca="1">MAX(CU11:CU15,CW11:CW15)</f>
        <v>#REF!</v>
      </c>
      <c r="CR37" s="1167" t="e">
        <f ca="1">MAX(CV11:CV15,CX11:CX15)</f>
        <v>#REF!</v>
      </c>
      <c r="CT37" s="178"/>
      <c r="CU37" s="1156">
        <v>2</v>
      </c>
      <c r="CV37" s="1157" t="e">
        <f ca="1">IF(CT30=4,1,CT30+1)+IF(DB5&gt;DB11,5,0)</f>
        <v>#REF!</v>
      </c>
      <c r="CW37" s="1099"/>
      <c r="CX37" s="199"/>
    </row>
    <row r="38" spans="1:105" x14ac:dyDescent="0.2">
      <c r="A38" s="149"/>
      <c r="B38" s="149"/>
      <c r="C38" s="149"/>
      <c r="D38" s="149"/>
      <c r="E38" s="149"/>
      <c r="F38" s="149"/>
      <c r="G38" s="149"/>
      <c r="H38" s="149"/>
      <c r="I38" s="149"/>
      <c r="J38" s="149"/>
      <c r="K38" s="149"/>
      <c r="L38" s="149"/>
      <c r="M38" s="149"/>
      <c r="N38" s="149"/>
      <c r="O38" s="149"/>
      <c r="P38" s="149"/>
      <c r="BA38" s="518">
        <f t="shared" ca="1" si="0"/>
        <v>35</v>
      </c>
      <c r="BB38" s="174">
        <f t="shared" ca="1" si="1"/>
        <v>1</v>
      </c>
      <c r="BC38" s="525" t="e">
        <f ca="1">MATCH(BD38,OFFSET(Pinlist!$A$2,BC37*(BA38=BA37),0,$BM$23,1),0)+BC37*(BA38=BA37)</f>
        <v>#N/A</v>
      </c>
      <c r="BD38" s="167" t="str">
        <f t="shared" ca="1" si="2"/>
        <v/>
      </c>
      <c r="BE38" s="191" t="e">
        <f ca="1">(OFFSET(Pinlist!$E$1,BC38,0)-$BN$16)*$BN$19</f>
        <v>#N/A</v>
      </c>
      <c r="BF38" s="192" t="e">
        <f ca="1">(OFFSET(Pinlist!$F$1,BC38,0)-$BO$16)*$BO$19</f>
        <v>#N/A</v>
      </c>
      <c r="BG38" s="1098" t="str">
        <f ca="1">IF(LEFT(BD38,2)="RF",OFFSET(Pinlist!$D$1,Chart!BC38,0)&amp;"_"&amp;OFFSET(Pinlist!$G$1,Chart!BC38,0),"")</f>
        <v/>
      </c>
      <c r="BH38" s="1098"/>
      <c r="BI38" s="178"/>
      <c r="BJ38" s="547"/>
      <c r="BK38" s="569"/>
      <c r="BL38" s="1104"/>
      <c r="BM38" s="512" t="s">
        <v>208</v>
      </c>
      <c r="BN38" s="580">
        <f ca="1">BV5*Multiplyer</f>
        <v>0</v>
      </c>
      <c r="BO38" s="132"/>
      <c r="BP38" s="132"/>
      <c r="BQ38" s="530">
        <f ca="1">IF(BS37=OFFSET($BO$3,BQ37,0),MATCH(1,OFFSET($BM$4,BQ37,0):$BM$13,0)+BQ37,BQ37)</f>
        <v>9</v>
      </c>
      <c r="BR38" s="531" t="str">
        <f ca="1">IF(OFFSET($BN$3,BQ38,0)&lt;&gt;"P",OFFSET($BN$3,BQ38,0),IF(AND(BS38&lt;10,Pinlist!$B$3&gt;9),"P0","P"))</f>
        <v>P</v>
      </c>
      <c r="BS38" s="531">
        <f t="shared" ca="1" si="10"/>
        <v>27</v>
      </c>
      <c r="BT38" s="531" t="str">
        <f t="shared" ca="1" si="11"/>
        <v>P27</v>
      </c>
      <c r="BU38" s="174">
        <f t="shared" ca="1" si="12"/>
        <v>0</v>
      </c>
      <c r="BV38" s="524">
        <f ca="1">COUNTIF(OFFSET(Pinlist!$A$2,0,0,$BM$23),BT38)</f>
        <v>0</v>
      </c>
      <c r="BW38" s="178"/>
      <c r="BX38" s="518" t="e">
        <f ca="1">MATCH(1,OFFSET($BU$4,BX37,0):$BU$63,0)+BX37</f>
        <v>#N/A</v>
      </c>
      <c r="BY38" s="174" t="str">
        <f t="shared" ca="1" si="13"/>
        <v/>
      </c>
      <c r="BZ38" s="174">
        <f t="shared" ca="1" si="14"/>
        <v>1</v>
      </c>
      <c r="CA38" s="524">
        <f t="shared" ca="1" si="15"/>
        <v>34</v>
      </c>
      <c r="CB38" s="178"/>
      <c r="CC38" s="533" t="e">
        <f ca="1">MATCH("S",OFFSET(Pinlist!$C$2,CC37,0,$BM$23-CC37,1),0)+CC37</f>
        <v>#N/A</v>
      </c>
      <c r="CD38" s="191" t="e">
        <f ca="1">(OFFSET(Pinlist!$E$1,CC38,0)-$BN$16)*$BN$19</f>
        <v>#N/A</v>
      </c>
      <c r="CE38" s="192" t="e">
        <f ca="1">(OFFSET(Pinlist!$F$1,CC38,0)-$BO$16)*$BO$19</f>
        <v>#N/A</v>
      </c>
      <c r="CF38" s="178"/>
      <c r="CG38" s="518">
        <f>CG33+1</f>
        <v>7</v>
      </c>
      <c r="CH38" s="174">
        <f>(CG38&lt;$CQ$25)*$CQ$40</f>
        <v>0</v>
      </c>
      <c r="CI38" s="1149" t="e">
        <f ca="1">$CH38*(CI33+$CQ$27+IF($CQ$19,$CQ$20,$CQ$26))</f>
        <v>#REF!</v>
      </c>
      <c r="CJ38" s="1149" t="e">
        <f ca="1">$CH38*(CJ33+$CR$27+IF($CQ$19,$CR$20,$CR$26))</f>
        <v>#REF!</v>
      </c>
      <c r="CK38" s="1149">
        <f ca="1">$CH38*(CK33+$CQ$27+IF($CQ$19,$CQ$20,$CQ$26))</f>
        <v>0</v>
      </c>
      <c r="CL38" s="1149">
        <f ca="1">$CH38*(CL33+$CR$27+IF($CQ$19,$CR$20,$CR$26))</f>
        <v>0</v>
      </c>
      <c r="CM38" s="1149" t="e">
        <f ca="1">IF(CH38,CM33+$CQ$27+IF($CQ$19,$CQ$20,$CQ$26),$CM$3)</f>
        <v>#N/A</v>
      </c>
      <c r="CN38" s="1244" t="e">
        <f ca="1">IF(CH38,CN33+$CR$27+IF($CQ$19,$CR$20,$CR$26),$CN$3)</f>
        <v>#N/A</v>
      </c>
      <c r="CO38" s="569"/>
      <c r="CP38" s="1109" t="s">
        <v>207</v>
      </c>
      <c r="CQ38" s="525" t="e">
        <f ca="1">IF(CQ37-CQ36&gt;CR37-CR36,CQ37-CQ36,CR37-CR36)</f>
        <v>#REF!</v>
      </c>
      <c r="CR38" s="1167" t="e">
        <f ca="1">CQ38</f>
        <v>#REF!</v>
      </c>
      <c r="CT38" s="178"/>
      <c r="CU38" s="1158">
        <v>3</v>
      </c>
      <c r="CV38" s="1155" t="e">
        <f ca="1">IF(CT30&gt;2,CT30-2,CT30+2)</f>
        <v>#REF!</v>
      </c>
      <c r="CW38" s="1099"/>
      <c r="CX38" s="178"/>
    </row>
    <row r="39" spans="1:105" x14ac:dyDescent="0.2">
      <c r="A39" s="149"/>
      <c r="B39" s="149"/>
      <c r="C39" s="149"/>
      <c r="D39" s="149"/>
      <c r="E39" s="149"/>
      <c r="F39" s="149"/>
      <c r="G39" s="149"/>
      <c r="H39" s="149"/>
      <c r="I39" s="149"/>
      <c r="J39" s="149"/>
      <c r="K39" s="149"/>
      <c r="L39" s="149"/>
      <c r="M39" s="149"/>
      <c r="N39" s="149"/>
      <c r="O39" s="149"/>
      <c r="P39" s="149"/>
      <c r="BA39" s="518">
        <f t="shared" ca="1" si="0"/>
        <v>36</v>
      </c>
      <c r="BB39" s="174">
        <f t="shared" ca="1" si="1"/>
        <v>1</v>
      </c>
      <c r="BC39" s="525" t="e">
        <f ca="1">MATCH(BD39,OFFSET(Pinlist!$A$2,BC38*(BA39=BA38),0,$BM$23,1),0)+BC38*(BA39=BA38)</f>
        <v>#N/A</v>
      </c>
      <c r="BD39" s="167" t="str">
        <f t="shared" ca="1" si="2"/>
        <v/>
      </c>
      <c r="BE39" s="191" t="e">
        <f ca="1">(OFFSET(Pinlist!$E$1,BC39,0)-$BN$16)*$BN$19</f>
        <v>#N/A</v>
      </c>
      <c r="BF39" s="192" t="e">
        <f ca="1">(OFFSET(Pinlist!$F$1,BC39,0)-$BO$16)*$BO$19</f>
        <v>#N/A</v>
      </c>
      <c r="BG39" s="1098" t="str">
        <f ca="1">IF(LEFT(BD39,2)="RF",OFFSET(Pinlist!$D$1,Chart!BC39,0)&amp;"_"&amp;OFFSET(Pinlist!$G$1,Chart!BC39,0),"")</f>
        <v/>
      </c>
      <c r="BH39" s="1098"/>
      <c r="BI39" s="178"/>
      <c r="BJ39" s="547"/>
      <c r="BK39" s="569"/>
      <c r="BL39" s="1104"/>
      <c r="BM39" s="512" t="s">
        <v>164</v>
      </c>
      <c r="BN39" s="580">
        <f ca="1">BV6*Multiplyer</f>
        <v>0</v>
      </c>
      <c r="BO39" s="132"/>
      <c r="BP39" s="132"/>
      <c r="BQ39" s="530">
        <f ca="1">IF(BS38=OFFSET($BO$3,BQ38,0),MATCH(1,OFFSET($BM$4,BQ38,0):$BM$13,0)+BQ38,BQ38)</f>
        <v>9</v>
      </c>
      <c r="BR39" s="531" t="str">
        <f ca="1">IF(OFFSET($BN$3,BQ39,0)&lt;&gt;"P",OFFSET($BN$3,BQ39,0),IF(AND(BS39&lt;10,Pinlist!$B$3&gt;9),"P0","P"))</f>
        <v>P</v>
      </c>
      <c r="BS39" s="531">
        <f t="shared" ca="1" si="10"/>
        <v>28</v>
      </c>
      <c r="BT39" s="531" t="str">
        <f t="shared" ca="1" si="11"/>
        <v>P28</v>
      </c>
      <c r="BU39" s="174">
        <f t="shared" ca="1" si="12"/>
        <v>0</v>
      </c>
      <c r="BV39" s="524">
        <f ca="1">COUNTIF(OFFSET(Pinlist!$A$2,0,0,$BM$23),BT39)</f>
        <v>0</v>
      </c>
      <c r="BW39" s="178"/>
      <c r="BX39" s="518" t="e">
        <f ca="1">MATCH(1,OFFSET($BU$4,BX38,0):$BU$63,0)+BX38</f>
        <v>#N/A</v>
      </c>
      <c r="BY39" s="174" t="str">
        <f t="shared" ca="1" si="13"/>
        <v/>
      </c>
      <c r="BZ39" s="174">
        <f t="shared" ca="1" si="14"/>
        <v>1</v>
      </c>
      <c r="CA39" s="524">
        <f t="shared" ca="1" si="15"/>
        <v>35</v>
      </c>
      <c r="CB39" s="178"/>
      <c r="CC39" s="533" t="e">
        <f ca="1">MATCH("S",OFFSET(Pinlist!$C$2,CC38,0,$BM$23-CC38,1),0)+CC38</f>
        <v>#N/A</v>
      </c>
      <c r="CD39" s="191" t="e">
        <f ca="1">(OFFSET(Pinlist!$E$1,CC39,0)-$BN$16)*$BN$19</f>
        <v>#N/A</v>
      </c>
      <c r="CE39" s="192" t="e">
        <f ca="1">(OFFSET(Pinlist!$F$1,CC39,0)-$BO$16)*$BO$19</f>
        <v>#N/A</v>
      </c>
      <c r="CF39" s="178"/>
      <c r="CG39" s="518"/>
      <c r="CH39" s="174"/>
      <c r="CI39" s="1098" t="e">
        <f ca="1">CH38*(CI38-DUT!$G$11)</f>
        <v>#REF!</v>
      </c>
      <c r="CJ39" s="1098" t="e">
        <f ca="1">CJ38</f>
        <v>#REF!</v>
      </c>
      <c r="CK39" s="1098">
        <f ca="1">CH38*(CK38-$BJ$5)</f>
        <v>0</v>
      </c>
      <c r="CL39" s="1098">
        <f ca="1">CL38</f>
        <v>0</v>
      </c>
      <c r="CM39" s="183"/>
      <c r="CN39" s="192"/>
      <c r="CO39" s="1243"/>
      <c r="CP39" s="1168" t="s">
        <v>837</v>
      </c>
      <c r="CQ39" s="1084" t="e">
        <f ca="1">(CQ38-(CQ37-CQ36))/2</f>
        <v>#REF!</v>
      </c>
      <c r="CR39" s="1085" t="e">
        <f ca="1">(CR38-(CR37-CR36))/2</f>
        <v>#REF!</v>
      </c>
      <c r="CT39" s="178"/>
      <c r="CU39" s="1159">
        <v>4</v>
      </c>
      <c r="CV39" s="1160" t="e">
        <f ca="1">IF(CT30&gt;1,CT30-1,CT30+3)+IF(DB5&lt;DB11,5,0)</f>
        <v>#REF!</v>
      </c>
      <c r="CW39" s="1099"/>
      <c r="CX39" s="178"/>
    </row>
    <row r="40" spans="1:105" x14ac:dyDescent="0.2">
      <c r="A40" s="149"/>
      <c r="B40" s="149"/>
      <c r="C40" s="149"/>
      <c r="D40" s="149"/>
      <c r="E40" s="149"/>
      <c r="F40" s="149"/>
      <c r="G40" s="149"/>
      <c r="H40" s="149"/>
      <c r="I40" s="149"/>
      <c r="J40" s="149"/>
      <c r="BA40" s="518">
        <f t="shared" ca="1" si="0"/>
        <v>37</v>
      </c>
      <c r="BB40" s="174">
        <f t="shared" ca="1" si="1"/>
        <v>1</v>
      </c>
      <c r="BC40" s="525" t="e">
        <f ca="1">MATCH(BD40,OFFSET(Pinlist!$A$2,BC39*(BA40=BA39),0,$BM$23,1),0)+BC39*(BA40=BA39)</f>
        <v>#N/A</v>
      </c>
      <c r="BD40" s="167" t="str">
        <f t="shared" ca="1" si="2"/>
        <v/>
      </c>
      <c r="BE40" s="191" t="e">
        <f ca="1">(OFFSET(Pinlist!$E$1,BC40,0)-$BN$16)*$BN$19</f>
        <v>#N/A</v>
      </c>
      <c r="BF40" s="192" t="e">
        <f ca="1">(OFFSET(Pinlist!$F$1,BC40,0)-$BO$16)*$BO$19</f>
        <v>#N/A</v>
      </c>
      <c r="BG40" s="1098" t="str">
        <f ca="1">IF(LEFT(BD40,2)="RF",OFFSET(Pinlist!$D$1,Chart!BC40,0)&amp;"_"&amp;OFFSET(Pinlist!$G$1,Chart!BC40,0),"")</f>
        <v/>
      </c>
      <c r="BH40" s="1098"/>
      <c r="BI40" s="178"/>
      <c r="BJ40" s="547"/>
      <c r="BK40" s="569"/>
      <c r="BL40" s="1104"/>
      <c r="BM40" s="512" t="s">
        <v>861</v>
      </c>
      <c r="BN40" s="580">
        <f ca="1">(SUMIF(BR5:BR63,"P*",BU5:BU63)+IF(SUMIF(BR5:BR63,"G*",BU5:BU63)&gt;0,SUMIF(BR5:BR63,"G*",BU5:BU63)-1,0))*Multiplyer</f>
        <v>0</v>
      </c>
      <c r="BO40" s="132"/>
      <c r="BP40" s="132"/>
      <c r="BQ40" s="530">
        <f ca="1">IF(BS39=OFFSET($BO$3,BQ39,0),MATCH(1,OFFSET($BM$4,BQ39,0):$BM$13,0)+BQ39,BQ39)</f>
        <v>9</v>
      </c>
      <c r="BR40" s="531" t="str">
        <f ca="1">IF(OFFSET($BN$3,BQ40,0)&lt;&gt;"P",OFFSET($BN$3,BQ40,0),IF(AND(BS40&lt;10,Pinlist!$B$3&gt;9),"P0","P"))</f>
        <v>P</v>
      </c>
      <c r="BS40" s="531">
        <f t="shared" ca="1" si="10"/>
        <v>29</v>
      </c>
      <c r="BT40" s="531" t="str">
        <f t="shared" ca="1" si="11"/>
        <v>P29</v>
      </c>
      <c r="BU40" s="174">
        <f t="shared" ca="1" si="12"/>
        <v>0</v>
      </c>
      <c r="BV40" s="524">
        <f ca="1">COUNTIF(OFFSET(Pinlist!$A$2,0,0,$BM$23),BT40)</f>
        <v>0</v>
      </c>
      <c r="BW40" s="178"/>
      <c r="BX40" s="518" t="e">
        <f ca="1">MATCH(1,OFFSET($BU$4,BX39,0):$BU$63,0)+BX39</f>
        <v>#N/A</v>
      </c>
      <c r="BY40" s="174" t="str">
        <f t="shared" ca="1" si="13"/>
        <v/>
      </c>
      <c r="BZ40" s="174">
        <f t="shared" ca="1" si="14"/>
        <v>1</v>
      </c>
      <c r="CA40" s="524">
        <f t="shared" ca="1" si="15"/>
        <v>36</v>
      </c>
      <c r="CB40" s="178"/>
      <c r="CC40" s="533" t="e">
        <f ca="1">MATCH("S",OFFSET(Pinlist!$C$2,CC39,0,$BM$23-CC39,1),0)+CC39</f>
        <v>#N/A</v>
      </c>
      <c r="CD40" s="191" t="e">
        <f ca="1">(OFFSET(Pinlist!$E$1,CC40,0)-$BN$16)*$BN$19</f>
        <v>#N/A</v>
      </c>
      <c r="CE40" s="192" t="e">
        <f ca="1">(OFFSET(Pinlist!$F$1,CC40,0)-$BO$16)*$BO$19</f>
        <v>#N/A</v>
      </c>
      <c r="CF40" s="178"/>
      <c r="CG40" s="518"/>
      <c r="CH40" s="174"/>
      <c r="CI40" s="1098" t="e">
        <f ca="1">CI39</f>
        <v>#REF!</v>
      </c>
      <c r="CJ40" s="1098" t="e">
        <f ca="1">CH38*(CJ39-DUT!$J$11)</f>
        <v>#REF!</v>
      </c>
      <c r="CK40" s="1098">
        <f ca="1">CK39</f>
        <v>0</v>
      </c>
      <c r="CL40" s="1098">
        <f ca="1">CH38*(CL39-$BK$5)</f>
        <v>0</v>
      </c>
      <c r="CM40" s="183"/>
      <c r="CN40" s="192"/>
      <c r="CO40" s="1154"/>
      <c r="CP40" s="1241" t="s">
        <v>879</v>
      </c>
      <c r="CQ40" s="5" t="b">
        <f>Multiplyer&lt;&gt;1</f>
        <v>0</v>
      </c>
      <c r="CR40" s="525"/>
      <c r="CT40" s="178"/>
      <c r="CU40" s="178"/>
      <c r="CV40" s="178"/>
      <c r="CW40" s="1097"/>
      <c r="CX40" s="178"/>
    </row>
    <row r="41" spans="1:105" ht="15.75" x14ac:dyDescent="0.25">
      <c r="A41" s="149"/>
      <c r="B41" s="149"/>
      <c r="C41" s="149"/>
      <c r="D41" s="149"/>
      <c r="E41" s="149"/>
      <c r="F41" s="1086" t="s">
        <v>860</v>
      </c>
      <c r="G41" s="149"/>
      <c r="H41" s="149"/>
      <c r="I41" s="149"/>
      <c r="J41" s="149"/>
      <c r="BA41" s="518">
        <f t="shared" ca="1" si="0"/>
        <v>38</v>
      </c>
      <c r="BB41" s="174">
        <f t="shared" ca="1" si="1"/>
        <v>1</v>
      </c>
      <c r="BC41" s="525" t="e">
        <f ca="1">MATCH(BD41,OFFSET(Pinlist!$A$2,BC40*(BA41=BA40),0,$BM$23,1),0)+BC40*(BA41=BA40)</f>
        <v>#N/A</v>
      </c>
      <c r="BD41" s="167" t="str">
        <f t="shared" ca="1" si="2"/>
        <v/>
      </c>
      <c r="BE41" s="191" t="e">
        <f ca="1">(OFFSET(Pinlist!$E$1,BC41,0)-$BN$16)*$BN$19</f>
        <v>#N/A</v>
      </c>
      <c r="BF41" s="192" t="e">
        <f ca="1">(OFFSET(Pinlist!$F$1,BC41,0)-$BO$16)*$BO$19</f>
        <v>#N/A</v>
      </c>
      <c r="BG41" s="1098" t="str">
        <f ca="1">IF(LEFT(BD41,2)="RF",OFFSET(Pinlist!$D$1,Chart!BC41,0)&amp;"_"&amp;OFFSET(Pinlist!$G$1,Chart!BC41,0),"")</f>
        <v/>
      </c>
      <c r="BH41" s="1098"/>
      <c r="BI41" s="178"/>
      <c r="BJ41" s="548"/>
      <c r="BK41" s="570"/>
      <c r="BL41" s="571"/>
      <c r="BM41" s="549" t="s">
        <v>579</v>
      </c>
      <c r="BN41" s="581">
        <f>Pinlist_Sense</f>
        <v>0</v>
      </c>
      <c r="BO41" s="132"/>
      <c r="BP41" s="132"/>
      <c r="BQ41" s="530">
        <f ca="1">IF(BS40=OFFSET($BO$3,BQ40,0),MATCH(1,OFFSET($BM$4,BQ40,0):$BM$13,0)+BQ40,BQ40)</f>
        <v>9</v>
      </c>
      <c r="BR41" s="531" t="str">
        <f ca="1">IF(OFFSET($BN$3,BQ41,0)&lt;&gt;"P",OFFSET($BN$3,BQ41,0),IF(AND(BS41&lt;10,Pinlist!$B$3&gt;9),"P0","P"))</f>
        <v>P</v>
      </c>
      <c r="BS41" s="531">
        <f t="shared" ca="1" si="10"/>
        <v>30</v>
      </c>
      <c r="BT41" s="531" t="str">
        <f t="shared" ca="1" si="11"/>
        <v>P30</v>
      </c>
      <c r="BU41" s="174">
        <f t="shared" ca="1" si="12"/>
        <v>0</v>
      </c>
      <c r="BV41" s="524">
        <f ca="1">COUNTIF(OFFSET(Pinlist!$A$2,0,0,$BM$23),BT41)</f>
        <v>0</v>
      </c>
      <c r="BW41" s="178"/>
      <c r="BX41" s="518" t="e">
        <f ca="1">MATCH(1,OFFSET($BU$4,BX40,0):$BU$63,0)+BX40</f>
        <v>#N/A</v>
      </c>
      <c r="BY41" s="174" t="str">
        <f t="shared" ca="1" si="13"/>
        <v/>
      </c>
      <c r="BZ41" s="174">
        <f t="shared" ca="1" si="14"/>
        <v>1</v>
      </c>
      <c r="CA41" s="524">
        <f t="shared" ca="1" si="15"/>
        <v>37</v>
      </c>
      <c r="CB41" s="178"/>
      <c r="CC41" s="533" t="e">
        <f ca="1">MATCH("S",OFFSET(Pinlist!$C$2,CC40,0,$BM$23-CC40,1),0)+CC40</f>
        <v>#N/A</v>
      </c>
      <c r="CD41" s="191" t="e">
        <f ca="1">(OFFSET(Pinlist!$E$1,CC41,0)-$BN$16)*$BN$19</f>
        <v>#N/A</v>
      </c>
      <c r="CE41" s="192" t="e">
        <f ca="1">(OFFSET(Pinlist!$F$1,CC41,0)-$BO$16)*$BO$19</f>
        <v>#N/A</v>
      </c>
      <c r="CF41" s="178"/>
      <c r="CG41" s="518"/>
      <c r="CH41" s="174"/>
      <c r="CI41" s="1098" t="e">
        <f ca="1">CI38</f>
        <v>#REF!</v>
      </c>
      <c r="CJ41" s="1098" t="e">
        <f ca="1">CJ40</f>
        <v>#REF!</v>
      </c>
      <c r="CK41" s="1098">
        <f ca="1">CK38</f>
        <v>0</v>
      </c>
      <c r="CL41" s="1098">
        <f ca="1">CL40</f>
        <v>0</v>
      </c>
      <c r="CM41" s="183"/>
      <c r="CN41" s="192"/>
      <c r="CR41" s="164"/>
      <c r="CT41" s="178"/>
      <c r="CU41" s="178"/>
      <c r="CV41" s="178"/>
      <c r="CW41" s="178"/>
      <c r="CX41" s="178"/>
      <c r="CY41" s="178"/>
      <c r="CZ41" s="178"/>
      <c r="DA41" s="150"/>
    </row>
    <row r="42" spans="1:105" x14ac:dyDescent="0.2">
      <c r="A42" s="149"/>
      <c r="B42" s="149"/>
      <c r="C42" s="149"/>
      <c r="D42" s="149"/>
      <c r="E42" s="149"/>
      <c r="F42" s="149"/>
      <c r="G42" s="149"/>
      <c r="H42" s="149"/>
      <c r="I42" s="149"/>
      <c r="J42" s="149"/>
      <c r="BA42" s="518">
        <f t="shared" ca="1" si="0"/>
        <v>39</v>
      </c>
      <c r="BB42" s="174">
        <f t="shared" ca="1" si="1"/>
        <v>1</v>
      </c>
      <c r="BC42" s="525" t="e">
        <f ca="1">MATCH(BD42,OFFSET(Pinlist!$A$2,BC41*(BA42=BA41),0,$BM$23,1),0)+BC41*(BA42=BA41)</f>
        <v>#N/A</v>
      </c>
      <c r="BD42" s="167" t="str">
        <f t="shared" ca="1" si="2"/>
        <v/>
      </c>
      <c r="BE42" s="191" t="e">
        <f ca="1">(OFFSET(Pinlist!$E$1,BC42,0)-$BN$16)*$BN$19</f>
        <v>#N/A</v>
      </c>
      <c r="BF42" s="192" t="e">
        <f ca="1">(OFFSET(Pinlist!$F$1,BC42,0)-$BO$16)*$BO$19</f>
        <v>#N/A</v>
      </c>
      <c r="BG42" s="1098" t="str">
        <f ca="1">IF(LEFT(BD42,2)="RF",OFFSET(Pinlist!$D$1,Chart!BC42,0)&amp;"_"&amp;OFFSET(Pinlist!$G$1,Chart!BC42,0),"")</f>
        <v/>
      </c>
      <c r="BH42" s="1098"/>
      <c r="BI42" s="178"/>
      <c r="BJ42" s="178"/>
      <c r="BK42" s="1588" t="s">
        <v>574</v>
      </c>
      <c r="BL42" s="1589"/>
      <c r="BM42" s="1590"/>
      <c r="BN42" s="132"/>
      <c r="BO42" s="132"/>
      <c r="BP42" s="132"/>
      <c r="BQ42" s="530">
        <f ca="1">IF(BS41=OFFSET($BO$3,BQ41,0),MATCH(1,OFFSET($BM$4,BQ41,0):$BM$13,0)+BQ41,BQ41)</f>
        <v>9</v>
      </c>
      <c r="BR42" s="531" t="str">
        <f ca="1">IF(OFFSET($BN$3,BQ42,0)&lt;&gt;"P",OFFSET($BN$3,BQ42,0),IF(AND(BS42&lt;10,Pinlist!$B$3&gt;9),"P0","P"))</f>
        <v>P</v>
      </c>
      <c r="BS42" s="531">
        <f t="shared" ca="1" si="10"/>
        <v>31</v>
      </c>
      <c r="BT42" s="531" t="str">
        <f t="shared" ca="1" si="11"/>
        <v>P31</v>
      </c>
      <c r="BU42" s="174">
        <f t="shared" ca="1" si="12"/>
        <v>0</v>
      </c>
      <c r="BV42" s="524">
        <f ca="1">COUNTIF(OFFSET(Pinlist!$A$2,0,0,$BM$23),BT42)</f>
        <v>0</v>
      </c>
      <c r="BW42" s="178"/>
      <c r="BX42" s="518" t="e">
        <f ca="1">MATCH(1,OFFSET($BU$4,BX41,0):$BU$63,0)+BX41</f>
        <v>#N/A</v>
      </c>
      <c r="BY42" s="174" t="str">
        <f t="shared" ca="1" si="13"/>
        <v/>
      </c>
      <c r="BZ42" s="174">
        <f t="shared" ca="1" si="14"/>
        <v>1</v>
      </c>
      <c r="CA42" s="524">
        <f t="shared" ca="1" si="15"/>
        <v>38</v>
      </c>
      <c r="CB42" s="178"/>
      <c r="CC42" s="533" t="e">
        <f ca="1">MATCH("S",OFFSET(Pinlist!$C$2,CC41,0,$BM$23-CC41,1),0)+CC41</f>
        <v>#N/A</v>
      </c>
      <c r="CD42" s="191" t="e">
        <f ca="1">(OFFSET(Pinlist!$E$1,CC42,0)-$BN$16)*$BN$19</f>
        <v>#N/A</v>
      </c>
      <c r="CE42" s="192" t="e">
        <f ca="1">(OFFSET(Pinlist!$F$1,CC42,0)-$BO$16)*$BO$19</f>
        <v>#N/A</v>
      </c>
      <c r="CF42" s="178"/>
      <c r="CG42" s="518"/>
      <c r="CH42" s="174"/>
      <c r="CI42" s="1098" t="e">
        <f ca="1">CI38</f>
        <v>#REF!</v>
      </c>
      <c r="CJ42" s="1098" t="e">
        <f ca="1">CJ38</f>
        <v>#REF!</v>
      </c>
      <c r="CK42" s="1098">
        <f ca="1">CK38</f>
        <v>0</v>
      </c>
      <c r="CL42" s="1098">
        <f ca="1">CL38</f>
        <v>0</v>
      </c>
      <c r="CM42" s="183"/>
      <c r="CN42" s="192"/>
      <c r="CR42" s="525"/>
      <c r="CS42" s="178"/>
      <c r="CT42" s="178"/>
      <c r="CU42" s="178"/>
      <c r="CV42" s="1161" t="s">
        <v>832</v>
      </c>
      <c r="CW42" s="178"/>
      <c r="CX42" s="178"/>
      <c r="CY42" s="178"/>
      <c r="CZ42" s="178"/>
      <c r="DA42" s="150"/>
    </row>
    <row r="43" spans="1:105" x14ac:dyDescent="0.2">
      <c r="A43" s="149"/>
      <c r="B43" s="149"/>
      <c r="C43" s="149"/>
      <c r="D43" s="149"/>
      <c r="E43" s="149"/>
      <c r="F43" s="149"/>
      <c r="G43" s="149"/>
      <c r="H43" s="149"/>
      <c r="I43" s="149"/>
      <c r="J43" s="149"/>
      <c r="K43" s="149"/>
      <c r="L43" s="149"/>
      <c r="M43" s="28" t="str">
        <f>IF(Multiplyer=1,"Multi-Dut Chart inactive. To activate, set 'Multi-Dut=Yes'","")</f>
        <v>Multi-Dut Chart inactive. To activate, set 'Multi-Dut=Yes'</v>
      </c>
      <c r="N43" s="149"/>
      <c r="O43" s="149"/>
      <c r="P43" s="149"/>
      <c r="BA43" s="518">
        <f t="shared" ca="1" si="0"/>
        <v>40</v>
      </c>
      <c r="BB43" s="174">
        <f t="shared" ca="1" si="1"/>
        <v>1</v>
      </c>
      <c r="BC43" s="525" t="e">
        <f ca="1">MATCH(BD43,OFFSET(Pinlist!$A$2,BC42*(BA43=BA42),0,$BM$23,1),0)+BC42*(BA43=BA42)</f>
        <v>#N/A</v>
      </c>
      <c r="BD43" s="167" t="str">
        <f t="shared" ca="1" si="2"/>
        <v/>
      </c>
      <c r="BE43" s="191" t="e">
        <f ca="1">(OFFSET(Pinlist!$E$1,BC43,0)-$BN$16)*$BN$19</f>
        <v>#N/A</v>
      </c>
      <c r="BF43" s="192" t="e">
        <f ca="1">(OFFSET(Pinlist!$F$1,BC43,0)-$BO$16)*$BO$19</f>
        <v>#N/A</v>
      </c>
      <c r="BG43" s="1098" t="str">
        <f ca="1">IF(LEFT(BD43,2)="RF",OFFSET(Pinlist!$D$1,Chart!BC43,0)&amp;"_"&amp;OFFSET(Pinlist!$G$1,Chart!BC43,0),"")</f>
        <v/>
      </c>
      <c r="BH43" s="1098"/>
      <c r="BI43" s="178"/>
      <c r="BJ43" s="178"/>
      <c r="BK43" s="562" t="s">
        <v>532</v>
      </c>
      <c r="BL43" s="563" t="s">
        <v>41</v>
      </c>
      <c r="BM43" s="561" t="s">
        <v>575</v>
      </c>
      <c r="BN43" s="132"/>
      <c r="BO43" s="132"/>
      <c r="BP43" s="132"/>
      <c r="BQ43" s="530">
        <f ca="1">IF(BS42=OFFSET($BO$3,BQ42,0),MATCH(1,OFFSET($BM$4,BQ42,0):$BM$13,0)+BQ42,BQ42)</f>
        <v>9</v>
      </c>
      <c r="BR43" s="531" t="str">
        <f ca="1">IF(OFFSET($BN$3,BQ43,0)&lt;&gt;"P",OFFSET($BN$3,BQ43,0),IF(AND(BS43&lt;10,Pinlist!$B$3&gt;9),"P0","P"))</f>
        <v>P</v>
      </c>
      <c r="BS43" s="531">
        <f t="shared" ca="1" si="10"/>
        <v>32</v>
      </c>
      <c r="BT43" s="531" t="str">
        <f t="shared" ca="1" si="11"/>
        <v>P32</v>
      </c>
      <c r="BU43" s="174">
        <f t="shared" ca="1" si="12"/>
        <v>0</v>
      </c>
      <c r="BV43" s="524">
        <f ca="1">COUNTIF(OFFSET(Pinlist!$A$2,0,0,$BM$23),BT43)</f>
        <v>0</v>
      </c>
      <c r="BW43" s="178"/>
      <c r="BX43" s="518" t="e">
        <f ca="1">MATCH(1,OFFSET($BU$4,BX42,0):$BU$63,0)+BX42</f>
        <v>#N/A</v>
      </c>
      <c r="BY43" s="174" t="str">
        <f t="shared" ca="1" si="13"/>
        <v/>
      </c>
      <c r="BZ43" s="174">
        <f t="shared" ca="1" si="14"/>
        <v>1</v>
      </c>
      <c r="CA43" s="524">
        <f t="shared" ca="1" si="15"/>
        <v>39</v>
      </c>
      <c r="CB43" s="178"/>
      <c r="CC43" s="533" t="e">
        <f ca="1">MATCH("S",OFFSET(Pinlist!$C$2,CC42,0,$BM$23-CC42,1),0)+CC42</f>
        <v>#N/A</v>
      </c>
      <c r="CD43" s="191" t="e">
        <f ca="1">(OFFSET(Pinlist!$E$1,CC43,0)-$BN$16)*$BN$19</f>
        <v>#N/A</v>
      </c>
      <c r="CE43" s="192" t="e">
        <f ca="1">(OFFSET(Pinlist!$F$1,CC43,0)-$BO$16)*$BO$19</f>
        <v>#N/A</v>
      </c>
      <c r="CF43" s="178"/>
      <c r="CG43" s="518">
        <f>CG38+1</f>
        <v>8</v>
      </c>
      <c r="CH43" s="174">
        <f>(CG43&lt;$CQ$25)*$CQ$40</f>
        <v>0</v>
      </c>
      <c r="CI43" s="1150" t="e">
        <f ca="1">$CH43*IF($CQ$19,CI33+$CQ$26,CI38-$CQ$27+$CQ$26)</f>
        <v>#REF!</v>
      </c>
      <c r="CJ43" s="1150" t="e">
        <f ca="1">$CH43*IF($CQ$19,CJ33+$CR$26,CJ38-$CR$27+$CR$26)</f>
        <v>#REF!</v>
      </c>
      <c r="CK43" s="1150">
        <f ca="1">$CH43*IF($CQ$19,CK33+$CQ$26,CK38-$CQ$27+$CQ$26)</f>
        <v>0</v>
      </c>
      <c r="CL43" s="1150">
        <f ca="1">$CH43*IF($CQ$19,CL33+$CR$26,CL38-$CR$27+$CR$26)</f>
        <v>0</v>
      </c>
      <c r="CM43" s="1150" t="e">
        <f ca="1">IF(CH43,IF($CQ$19,CM33+$CQ$26,CM38-$CQ$27+$CQ$26),$CM$3)</f>
        <v>#N/A</v>
      </c>
      <c r="CN43" s="1245" t="e">
        <f ca="1">IF(CH43,IF($CQ$19,CN33+$CR$26,CN38-$CR$27+$CR$26),$CN$3)</f>
        <v>#N/A</v>
      </c>
      <c r="CR43" s="525"/>
      <c r="CS43" s="178"/>
      <c r="CT43" s="178"/>
      <c r="CU43" s="178"/>
      <c r="CV43" s="1162">
        <f>2*($CQ$25&gt;2)</f>
        <v>0</v>
      </c>
      <c r="CW43" s="178"/>
      <c r="CX43" s="178"/>
      <c r="CY43" s="178"/>
      <c r="CZ43" s="178"/>
      <c r="DA43" s="150"/>
    </row>
    <row r="44" spans="1:105" x14ac:dyDescent="0.2">
      <c r="A44" s="149"/>
      <c r="B44" s="149"/>
      <c r="C44" s="149"/>
      <c r="D44" s="149"/>
      <c r="E44" s="149"/>
      <c r="F44" s="149"/>
      <c r="G44" s="149"/>
      <c r="H44" s="149"/>
      <c r="I44" s="149"/>
      <c r="J44" s="149"/>
      <c r="K44" s="149"/>
      <c r="L44" s="149"/>
      <c r="M44" s="28" t="str">
        <f>IF(Multiplyer=1,"&amp; 'Pinlist contains 1 device' on DUT page.","")</f>
        <v>&amp; 'Pinlist contains 1 device' on DUT page.</v>
      </c>
      <c r="N44" s="149"/>
      <c r="O44" s="149"/>
      <c r="P44" s="149"/>
      <c r="BA44" s="518">
        <f t="shared" ca="1" si="0"/>
        <v>41</v>
      </c>
      <c r="BB44" s="174">
        <f t="shared" ca="1" si="1"/>
        <v>1</v>
      </c>
      <c r="BC44" s="525" t="e">
        <f ca="1">MATCH(BD44,OFFSET(Pinlist!$A$2,BC43*(BA44=BA43),0,$BM$23,1),0)+BC43*(BA44=BA43)</f>
        <v>#N/A</v>
      </c>
      <c r="BD44" s="167" t="str">
        <f t="shared" ca="1" si="2"/>
        <v/>
      </c>
      <c r="BE44" s="191" t="e">
        <f ca="1">(OFFSET(Pinlist!$E$1,BC44,0)-$BN$16)*$BN$19</f>
        <v>#N/A</v>
      </c>
      <c r="BF44" s="192" t="e">
        <f ca="1">(OFFSET(Pinlist!$F$1,BC44,0)-$BO$16)*$BO$19</f>
        <v>#N/A</v>
      </c>
      <c r="BG44" s="1098" t="str">
        <f ca="1">IF(LEFT(BD44,2)="RF",OFFSET(Pinlist!$D$1,Chart!BC44,0)&amp;"_"&amp;OFFSET(Pinlist!$G$1,Chart!BC44,0),"")</f>
        <v/>
      </c>
      <c r="BH44" s="1098"/>
      <c r="BI44" s="178"/>
      <c r="BJ44" s="178"/>
      <c r="BK44" s="582">
        <f>COUNTIF(Pinlist!N:N,BM44)*Multiplyer</f>
        <v>0</v>
      </c>
      <c r="BL44" s="174"/>
      <c r="BM44" s="556" t="str">
        <f>Pinlist!BJ2</f>
        <v>+/-1.5ps</v>
      </c>
      <c r="BN44" s="132"/>
      <c r="BO44" s="132"/>
      <c r="BP44" s="132"/>
      <c r="BQ44" s="530">
        <f ca="1">IF(BS43=OFFSET($BO$3,BQ43,0),MATCH(1,OFFSET($BM$4,BQ43,0):$BM$13,0)+BQ43,BQ43)</f>
        <v>9</v>
      </c>
      <c r="BR44" s="531" t="str">
        <f ca="1">IF(OFFSET($BN$3,BQ44,0)&lt;&gt;"P",OFFSET($BN$3,BQ44,0),IF(AND(BS44&lt;10,Pinlist!$B$3&gt;9),"P0","P"))</f>
        <v>P</v>
      </c>
      <c r="BS44" s="531">
        <f t="shared" ca="1" si="10"/>
        <v>33</v>
      </c>
      <c r="BT44" s="531" t="str">
        <f t="shared" ca="1" si="11"/>
        <v>P33</v>
      </c>
      <c r="BU44" s="174">
        <f t="shared" ca="1" si="12"/>
        <v>0</v>
      </c>
      <c r="BV44" s="524">
        <f ca="1">COUNTIF(OFFSET(Pinlist!$A$2,0,0,$BM$23),BT44)</f>
        <v>0</v>
      </c>
      <c r="BW44" s="178"/>
      <c r="BX44" s="518" t="e">
        <f ca="1">MATCH(1,OFFSET($BU$4,BX43,0):$BU$63,0)+BX43</f>
        <v>#N/A</v>
      </c>
      <c r="BY44" s="174" t="str">
        <f t="shared" ca="1" si="13"/>
        <v/>
      </c>
      <c r="BZ44" s="174">
        <f t="shared" ca="1" si="14"/>
        <v>1</v>
      </c>
      <c r="CA44" s="524">
        <f t="shared" ca="1" si="15"/>
        <v>40</v>
      </c>
      <c r="CB44" s="178"/>
      <c r="CC44" s="533" t="e">
        <f ca="1">MATCH("S",OFFSET(Pinlist!$C$2,CC43,0,$BM$23-CC43,1),0)+CC43</f>
        <v>#N/A</v>
      </c>
      <c r="CD44" s="191" t="e">
        <f ca="1">(OFFSET(Pinlist!$E$1,CC44,0)-$BN$16)*$BN$19</f>
        <v>#N/A</v>
      </c>
      <c r="CE44" s="192" t="e">
        <f ca="1">(OFFSET(Pinlist!$F$1,CC44,0)-$BO$16)*$BO$19</f>
        <v>#N/A</v>
      </c>
      <c r="CF44" s="178"/>
      <c r="CG44" s="518"/>
      <c r="CH44" s="174"/>
      <c r="CI44" s="1098" t="e">
        <f ca="1">CH43*(CI43-DUT!$G$11)</f>
        <v>#REF!</v>
      </c>
      <c r="CJ44" s="1098" t="e">
        <f ca="1">CJ43</f>
        <v>#REF!</v>
      </c>
      <c r="CK44" s="1098">
        <f ca="1">CH43*(CK43-$BJ$5)</f>
        <v>0</v>
      </c>
      <c r="CL44" s="1098">
        <f ca="1">CL43</f>
        <v>0</v>
      </c>
      <c r="CM44" s="183"/>
      <c r="CN44" s="184"/>
      <c r="CR44" s="525"/>
      <c r="CS44" s="178"/>
      <c r="CT44" s="178"/>
      <c r="CU44" s="178"/>
      <c r="CV44" s="1162">
        <f>1*($CQ$25&gt;2)</f>
        <v>0</v>
      </c>
      <c r="CW44" s="178"/>
      <c r="CX44" s="178"/>
      <c r="CY44" s="178"/>
      <c r="CZ44" s="178"/>
      <c r="DA44" s="150"/>
    </row>
    <row r="45" spans="1:105" x14ac:dyDescent="0.2">
      <c r="A45" s="149"/>
      <c r="B45" s="149"/>
      <c r="C45" s="149"/>
      <c r="D45" s="149"/>
      <c r="E45" s="149"/>
      <c r="F45" s="149"/>
      <c r="G45" s="149"/>
      <c r="H45" s="149"/>
      <c r="I45" s="149"/>
      <c r="J45" s="149"/>
      <c r="K45" s="149"/>
      <c r="L45" s="149"/>
      <c r="M45" s="149"/>
      <c r="N45" s="149"/>
      <c r="O45" s="149"/>
      <c r="P45" s="149"/>
      <c r="BA45" s="518">
        <f t="shared" ca="1" si="0"/>
        <v>42</v>
      </c>
      <c r="BB45" s="174">
        <f t="shared" ca="1" si="1"/>
        <v>1</v>
      </c>
      <c r="BC45" s="525" t="e">
        <f ca="1">MATCH(BD45,OFFSET(Pinlist!$A$2,BC44*(BA45=BA44),0,$BM$23,1),0)+BC44*(BA45=BA44)</f>
        <v>#N/A</v>
      </c>
      <c r="BD45" s="167" t="str">
        <f t="shared" ca="1" si="2"/>
        <v/>
      </c>
      <c r="BE45" s="191" t="e">
        <f ca="1">(OFFSET(Pinlist!$E$1,BC45,0)-$BN$16)*$BN$19</f>
        <v>#N/A</v>
      </c>
      <c r="BF45" s="192" t="e">
        <f ca="1">(OFFSET(Pinlist!$F$1,BC45,0)-$BO$16)*$BO$19</f>
        <v>#N/A</v>
      </c>
      <c r="BG45" s="1098" t="str">
        <f ca="1">IF(LEFT(BD45,2)="RF",OFFSET(Pinlist!$D$1,Chart!BC45,0)&amp;"_"&amp;OFFSET(Pinlist!$G$1,Chart!BC45,0),"")</f>
        <v/>
      </c>
      <c r="BH45" s="1098"/>
      <c r="BI45" s="178"/>
      <c r="BJ45" s="178"/>
      <c r="BK45" s="582">
        <f>COUNTIF(Pinlist!N:N,BM45)*Multiplyer</f>
        <v>0</v>
      </c>
      <c r="BL45" s="583">
        <f>COUNTIF(Pinlist!Y:Y,BM45)*Multiplyer</f>
        <v>0</v>
      </c>
      <c r="BM45" s="556" t="str">
        <f>Pinlist!BK2</f>
        <v>+/-2.5ps</v>
      </c>
      <c r="BN45" s="132"/>
      <c r="BO45" s="132"/>
      <c r="BP45" s="132"/>
      <c r="BQ45" s="530">
        <f ca="1">IF(BS44=OFFSET($BO$3,BQ44,0),MATCH(1,OFFSET($BM$4,BQ44,0):$BM$13,0)+BQ44,BQ44)</f>
        <v>9</v>
      </c>
      <c r="BR45" s="531" t="str">
        <f ca="1">IF(OFFSET($BN$3,BQ45,0)&lt;&gt;"P",OFFSET($BN$3,BQ45,0),IF(AND(BS45&lt;10,Pinlist!$B$3&gt;9),"P0","P"))</f>
        <v>P</v>
      </c>
      <c r="BS45" s="531">
        <f t="shared" ca="1" si="10"/>
        <v>34</v>
      </c>
      <c r="BT45" s="531" t="str">
        <f t="shared" ca="1" si="11"/>
        <v>P34</v>
      </c>
      <c r="BU45" s="174">
        <f t="shared" ca="1" si="12"/>
        <v>0</v>
      </c>
      <c r="BV45" s="524">
        <f ca="1">COUNTIF(OFFSET(Pinlist!$A$2,0,0,$BM$23),BT45)</f>
        <v>0</v>
      </c>
      <c r="BW45" s="178"/>
      <c r="BX45" s="518" t="e">
        <f ca="1">MATCH(1,OFFSET($BU$4,BX44,0):$BU$63,0)+BX44</f>
        <v>#N/A</v>
      </c>
      <c r="BY45" s="174" t="str">
        <f t="shared" ca="1" si="13"/>
        <v/>
      </c>
      <c r="BZ45" s="174">
        <f t="shared" ca="1" si="14"/>
        <v>1</v>
      </c>
      <c r="CA45" s="524">
        <f t="shared" ca="1" si="15"/>
        <v>41</v>
      </c>
      <c r="CB45" s="178"/>
      <c r="CC45" s="533" t="e">
        <f ca="1">MATCH("S",OFFSET(Pinlist!$C$2,CC44,0,$BM$23-CC44,1),0)+CC44</f>
        <v>#N/A</v>
      </c>
      <c r="CD45" s="191" t="e">
        <f ca="1">(OFFSET(Pinlist!$E$1,CC45,0)-$BN$16)*$BN$19</f>
        <v>#N/A</v>
      </c>
      <c r="CE45" s="192" t="e">
        <f ca="1">(OFFSET(Pinlist!$F$1,CC45,0)-$BO$16)*$BO$19</f>
        <v>#N/A</v>
      </c>
      <c r="CF45" s="178"/>
      <c r="CG45" s="518"/>
      <c r="CH45" s="174"/>
      <c r="CI45" s="1098" t="e">
        <f ca="1">CI44</f>
        <v>#REF!</v>
      </c>
      <c r="CJ45" s="1098" t="e">
        <f ca="1">CH43*(CJ44-DUT!$J$11)</f>
        <v>#REF!</v>
      </c>
      <c r="CK45" s="1098">
        <f ca="1">CK44</f>
        <v>0</v>
      </c>
      <c r="CL45" s="1098">
        <f ca="1">CH43*(CL44-$BK$5)</f>
        <v>0</v>
      </c>
      <c r="CM45" s="183"/>
      <c r="CN45" s="184"/>
      <c r="CO45" s="202"/>
      <c r="CP45" s="164"/>
      <c r="CQ45" s="525"/>
      <c r="CR45" s="525"/>
      <c r="CS45" s="178"/>
      <c r="CT45" s="178"/>
      <c r="CU45" s="178"/>
      <c r="CV45" s="1162">
        <v>0</v>
      </c>
      <c r="CW45" s="178"/>
      <c r="CX45" s="178"/>
      <c r="CY45" s="178"/>
      <c r="CZ45" s="178"/>
      <c r="DA45" s="150"/>
    </row>
    <row r="46" spans="1:105" x14ac:dyDescent="0.2">
      <c r="A46" s="149"/>
      <c r="B46" s="149"/>
      <c r="C46" s="149"/>
      <c r="D46" s="149"/>
      <c r="E46" s="149"/>
      <c r="F46" s="149"/>
      <c r="G46" s="149"/>
      <c r="H46" s="149"/>
      <c r="I46" s="149"/>
      <c r="J46" s="149"/>
      <c r="K46" s="149"/>
      <c r="L46" s="149"/>
      <c r="M46" s="1170" t="str">
        <f ca="1">IF(ISNUMBER(CQ31),IF(CQ31,"*** Error - Pattern overlap detected***",""),"")</f>
        <v/>
      </c>
      <c r="O46" s="149"/>
      <c r="P46" s="149"/>
      <c r="BA46" s="518">
        <f t="shared" ca="1" si="0"/>
        <v>43</v>
      </c>
      <c r="BB46" s="174">
        <f t="shared" ca="1" si="1"/>
        <v>1</v>
      </c>
      <c r="BC46" s="525" t="e">
        <f ca="1">MATCH(BD46,OFFSET(Pinlist!$A$2,BC45*(BA46=BA45),0,$BM$23,1),0)+BC45*(BA46=BA45)</f>
        <v>#N/A</v>
      </c>
      <c r="BD46" s="167" t="str">
        <f t="shared" ca="1" si="2"/>
        <v/>
      </c>
      <c r="BE46" s="191" t="e">
        <f ca="1">(OFFSET(Pinlist!$E$1,BC46,0)-$BN$16)*$BN$19</f>
        <v>#N/A</v>
      </c>
      <c r="BF46" s="192" t="e">
        <f ca="1">(OFFSET(Pinlist!$F$1,BC46,0)-$BO$16)*$BO$19</f>
        <v>#N/A</v>
      </c>
      <c r="BG46" s="1098" t="str">
        <f ca="1">IF(LEFT(BD46,2)="RF",OFFSET(Pinlist!$D$1,Chart!BC46,0)&amp;"_"&amp;OFFSET(Pinlist!$G$1,Chart!BC46,0),"")</f>
        <v/>
      </c>
      <c r="BH46" s="1098"/>
      <c r="BI46" s="178"/>
      <c r="BJ46" s="178"/>
      <c r="BK46" s="582">
        <f>COUNTIF(Pinlist!N:N,BM46)*Multiplyer</f>
        <v>0</v>
      </c>
      <c r="BL46" s="583">
        <f>COUNTIF(Pinlist!Y:Y,BM46)*Multiplyer</f>
        <v>0</v>
      </c>
      <c r="BM46" s="556" t="str">
        <f>Pinlist!BL2</f>
        <v>+/-5ps</v>
      </c>
      <c r="BN46" s="132"/>
      <c r="BO46" s="132"/>
      <c r="BP46" s="132"/>
      <c r="BQ46" s="530">
        <f ca="1">IF(BS45=OFFSET($BO$3,BQ45,0),MATCH(1,OFFSET($BM$4,BQ45,0):$BM$13,0)+BQ45,BQ45)</f>
        <v>9</v>
      </c>
      <c r="BR46" s="531" t="str">
        <f ca="1">IF(OFFSET($BN$3,BQ46,0)&lt;&gt;"P",OFFSET($BN$3,BQ46,0),IF(AND(BS46&lt;10,Pinlist!$B$3&gt;9),"P0","P"))</f>
        <v>P</v>
      </c>
      <c r="BS46" s="531">
        <f t="shared" ca="1" si="10"/>
        <v>35</v>
      </c>
      <c r="BT46" s="531" t="str">
        <f t="shared" ca="1" si="11"/>
        <v>P35</v>
      </c>
      <c r="BU46" s="174">
        <f t="shared" ca="1" si="12"/>
        <v>0</v>
      </c>
      <c r="BV46" s="524">
        <f ca="1">COUNTIF(OFFSET(Pinlist!$A$2,0,0,$BM$23),BT46)</f>
        <v>0</v>
      </c>
      <c r="BW46" s="178"/>
      <c r="BX46" s="518" t="e">
        <f ca="1">MATCH(1,OFFSET($BU$4,BX45,0):$BU$63,0)+BX45</f>
        <v>#N/A</v>
      </c>
      <c r="BY46" s="174" t="str">
        <f t="shared" ca="1" si="13"/>
        <v/>
      </c>
      <c r="BZ46" s="174">
        <f t="shared" ca="1" si="14"/>
        <v>1</v>
      </c>
      <c r="CA46" s="524">
        <f t="shared" ca="1" si="15"/>
        <v>42</v>
      </c>
      <c r="CB46" s="178"/>
      <c r="CC46" s="533" t="e">
        <f ca="1">MATCH("S",OFFSET(Pinlist!$C$2,CC45,0,$BM$23-CC45,1),0)+CC45</f>
        <v>#N/A</v>
      </c>
      <c r="CD46" s="191" t="e">
        <f ca="1">(OFFSET(Pinlist!$E$1,CC46,0)-$BN$16)*$BN$19</f>
        <v>#N/A</v>
      </c>
      <c r="CE46" s="192" t="e">
        <f ca="1">(OFFSET(Pinlist!$F$1,CC46,0)-$BO$16)*$BO$19</f>
        <v>#N/A</v>
      </c>
      <c r="CF46" s="178"/>
      <c r="CG46" s="518"/>
      <c r="CH46" s="174"/>
      <c r="CI46" s="1098" t="e">
        <f ca="1">CI43</f>
        <v>#REF!</v>
      </c>
      <c r="CJ46" s="1098" t="e">
        <f ca="1">CJ45</f>
        <v>#REF!</v>
      </c>
      <c r="CK46" s="1098">
        <f ca="1">CK43</f>
        <v>0</v>
      </c>
      <c r="CL46" s="1098">
        <f ca="1">CL45</f>
        <v>0</v>
      </c>
      <c r="CM46" s="183"/>
      <c r="CN46" s="184"/>
      <c r="CO46" s="202"/>
      <c r="CP46" s="178"/>
      <c r="CQ46" s="202"/>
      <c r="CR46" s="178"/>
      <c r="CS46" s="178"/>
      <c r="CT46" s="178"/>
      <c r="CU46" s="178"/>
      <c r="CV46" s="1162">
        <f>-1*($CQ$25&gt;2)</f>
        <v>0</v>
      </c>
      <c r="CW46" s="178"/>
      <c r="CX46" s="178"/>
      <c r="CY46" s="178"/>
      <c r="CZ46" s="178"/>
      <c r="DA46" s="150"/>
    </row>
    <row r="47" spans="1:105" x14ac:dyDescent="0.2">
      <c r="A47" s="149"/>
      <c r="B47" s="149"/>
      <c r="C47" s="149"/>
      <c r="D47" s="149"/>
      <c r="E47" s="149"/>
      <c r="F47" s="149"/>
      <c r="G47" s="149"/>
      <c r="H47" s="149"/>
      <c r="I47" s="149"/>
      <c r="J47" s="149"/>
      <c r="K47" s="149"/>
      <c r="L47" s="149"/>
      <c r="M47" s="149"/>
      <c r="N47" s="149"/>
      <c r="O47" s="149"/>
      <c r="P47" s="149"/>
      <c r="BA47" s="518">
        <f t="shared" ca="1" si="0"/>
        <v>44</v>
      </c>
      <c r="BB47" s="174">
        <f t="shared" ca="1" si="1"/>
        <v>1</v>
      </c>
      <c r="BC47" s="525" t="e">
        <f ca="1">MATCH(BD47,OFFSET(Pinlist!$A$2,BC46*(BA47=BA46),0,$BM$23,1),0)+BC46*(BA47=BA46)</f>
        <v>#N/A</v>
      </c>
      <c r="BD47" s="167" t="str">
        <f t="shared" ca="1" si="2"/>
        <v/>
      </c>
      <c r="BE47" s="191" t="e">
        <f ca="1">(OFFSET(Pinlist!$E$1,BC47,0)-$BN$16)*$BN$19</f>
        <v>#N/A</v>
      </c>
      <c r="BF47" s="192" t="e">
        <f ca="1">(OFFSET(Pinlist!$F$1,BC47,0)-$BO$16)*$BO$19</f>
        <v>#N/A</v>
      </c>
      <c r="BG47" s="1098" t="str">
        <f ca="1">IF(LEFT(BD47,2)="RF",OFFSET(Pinlist!$D$1,Chart!BC47,0)&amp;"_"&amp;OFFSET(Pinlist!$G$1,Chart!BC47,0),"")</f>
        <v/>
      </c>
      <c r="BH47" s="1098"/>
      <c r="BI47" s="178"/>
      <c r="BJ47" s="178"/>
      <c r="BK47" s="582">
        <f>COUNTIF(Pinlist!N:N,BM47)*Multiplyer</f>
        <v>0</v>
      </c>
      <c r="BL47" s="583">
        <f>COUNTIF(Pinlist!Y:Y,BM47)*Multiplyer</f>
        <v>0</v>
      </c>
      <c r="BM47" s="556" t="str">
        <f>Pinlist!BM2</f>
        <v>+/-10ps</v>
      </c>
      <c r="BN47" s="132"/>
      <c r="BO47" s="132"/>
      <c r="BP47" s="132"/>
      <c r="BQ47" s="530">
        <f ca="1">IF(BS46=OFFSET($BO$3,BQ46,0),MATCH(1,OFFSET($BM$4,BQ46,0):$BM$13,0)+BQ46,BQ46)</f>
        <v>9</v>
      </c>
      <c r="BR47" s="531" t="str">
        <f ca="1">IF(OFFSET($BN$3,BQ47,0)&lt;&gt;"P",OFFSET($BN$3,BQ47,0),IF(AND(BS47&lt;10,Pinlist!$B$3&gt;9),"P0","P"))</f>
        <v>P</v>
      </c>
      <c r="BS47" s="531">
        <f t="shared" ca="1" si="10"/>
        <v>36</v>
      </c>
      <c r="BT47" s="531" t="str">
        <f t="shared" ca="1" si="11"/>
        <v>P36</v>
      </c>
      <c r="BU47" s="174">
        <f t="shared" ca="1" si="12"/>
        <v>0</v>
      </c>
      <c r="BV47" s="524">
        <f ca="1">COUNTIF(OFFSET(Pinlist!$A$2,0,0,$BM$23),BT47)</f>
        <v>0</v>
      </c>
      <c r="BW47" s="178"/>
      <c r="BX47" s="518" t="e">
        <f ca="1">MATCH(1,OFFSET($BU$4,BX46,0):$BU$63,0)+BX46</f>
        <v>#N/A</v>
      </c>
      <c r="BY47" s="174" t="str">
        <f t="shared" ca="1" si="13"/>
        <v/>
      </c>
      <c r="BZ47" s="174">
        <f t="shared" ca="1" si="14"/>
        <v>1</v>
      </c>
      <c r="CA47" s="524">
        <f t="shared" ca="1" si="15"/>
        <v>43</v>
      </c>
      <c r="CB47" s="178"/>
      <c r="CC47" s="533" t="e">
        <f ca="1">MATCH("S",OFFSET(Pinlist!$C$2,CC46,0,$BM$23-CC46,1),0)+CC46</f>
        <v>#N/A</v>
      </c>
      <c r="CD47" s="191" t="e">
        <f ca="1">(OFFSET(Pinlist!$E$1,CC47,0)-$BN$16)*$BN$19</f>
        <v>#N/A</v>
      </c>
      <c r="CE47" s="192" t="e">
        <f ca="1">(OFFSET(Pinlist!$F$1,CC47,0)-$BO$16)*$BO$19</f>
        <v>#N/A</v>
      </c>
      <c r="CF47" s="178"/>
      <c r="CG47" s="518"/>
      <c r="CH47" s="174"/>
      <c r="CI47" s="1098" t="e">
        <f ca="1">CI43</f>
        <v>#REF!</v>
      </c>
      <c r="CJ47" s="1098" t="e">
        <f ca="1">CJ43</f>
        <v>#REF!</v>
      </c>
      <c r="CK47" s="1098">
        <f ca="1">CK43</f>
        <v>0</v>
      </c>
      <c r="CL47" s="1098">
        <f ca="1">CL43</f>
        <v>0</v>
      </c>
      <c r="CM47" s="183"/>
      <c r="CN47" s="184"/>
      <c r="CO47" s="202"/>
      <c r="CP47" s="178"/>
      <c r="CQ47" s="202"/>
      <c r="CR47" s="178"/>
      <c r="CS47" s="202"/>
      <c r="CT47" s="202"/>
      <c r="CU47" s="178"/>
      <c r="CV47" s="1163">
        <f>-2*($CQ$25&gt;2)</f>
        <v>0</v>
      </c>
      <c r="CW47" s="178"/>
      <c r="CX47" s="178"/>
      <c r="CY47" s="178"/>
      <c r="CZ47" s="178"/>
      <c r="DA47" s="150"/>
    </row>
    <row r="48" spans="1:105" x14ac:dyDescent="0.2">
      <c r="A48" s="149"/>
      <c r="B48" s="149"/>
      <c r="C48" s="149"/>
      <c r="D48" s="149"/>
      <c r="E48" s="149"/>
      <c r="F48" s="149"/>
      <c r="G48" s="149"/>
      <c r="H48" s="149"/>
      <c r="I48" s="149"/>
      <c r="J48" s="149"/>
      <c r="K48" s="149"/>
      <c r="L48" s="149"/>
      <c r="M48" s="149"/>
      <c r="N48" s="1586" t="s">
        <v>825</v>
      </c>
      <c r="O48" s="1587"/>
      <c r="P48" s="149"/>
      <c r="BA48" s="518">
        <f t="shared" ca="1" si="0"/>
        <v>45</v>
      </c>
      <c r="BB48" s="174">
        <f t="shared" ca="1" si="1"/>
        <v>1</v>
      </c>
      <c r="BC48" s="525" t="e">
        <f ca="1">MATCH(BD48,OFFSET(Pinlist!$A$2,BC47*(BA48=BA47),0,$BM$23,1),0)+BC47*(BA48=BA47)</f>
        <v>#N/A</v>
      </c>
      <c r="BD48" s="167" t="str">
        <f t="shared" ca="1" si="2"/>
        <v/>
      </c>
      <c r="BE48" s="191" t="e">
        <f ca="1">(OFFSET(Pinlist!$E$1,BC48,0)-$BN$16)*$BN$19</f>
        <v>#N/A</v>
      </c>
      <c r="BF48" s="192" t="e">
        <f ca="1">(OFFSET(Pinlist!$F$1,BC48,0)-$BO$16)*$BO$19</f>
        <v>#N/A</v>
      </c>
      <c r="BG48" s="1098" t="str">
        <f ca="1">IF(LEFT(BD48,2)="RF",OFFSET(Pinlist!$D$1,Chart!BC48,0)&amp;"_"&amp;OFFSET(Pinlist!$G$1,Chart!BC48,0),"")</f>
        <v/>
      </c>
      <c r="BH48" s="1098"/>
      <c r="BI48" s="178"/>
      <c r="BJ48" s="178"/>
      <c r="BK48" s="582">
        <f>COUNTIF(Pinlist!N:N,BM48)*Multiplyer</f>
        <v>0</v>
      </c>
      <c r="BL48" s="583">
        <f>COUNTIF(Pinlist!Y:Y,BM48)*Multiplyer</f>
        <v>0</v>
      </c>
      <c r="BM48" s="556" t="str">
        <f>Pinlist!BN2</f>
        <v>+/-20ps</v>
      </c>
      <c r="BN48" s="132"/>
      <c r="BO48" s="132"/>
      <c r="BP48" s="132"/>
      <c r="BQ48" s="530">
        <f ca="1">IF(BS47=OFFSET($BO$3,BQ47,0),MATCH(1,OFFSET($BM$4,BQ47,0):$BM$13,0)+BQ47,BQ47)</f>
        <v>9</v>
      </c>
      <c r="BR48" s="531" t="str">
        <f ca="1">IF(OFFSET($BN$3,BQ48,0)&lt;&gt;"P",OFFSET($BN$3,BQ48,0),IF(AND(BS48&lt;10,Pinlist!$B$3&gt;9),"P0","P"))</f>
        <v>P</v>
      </c>
      <c r="BS48" s="531">
        <f t="shared" ca="1" si="10"/>
        <v>37</v>
      </c>
      <c r="BT48" s="531" t="str">
        <f t="shared" ca="1" si="11"/>
        <v>P37</v>
      </c>
      <c r="BU48" s="174">
        <f t="shared" ca="1" si="12"/>
        <v>0</v>
      </c>
      <c r="BV48" s="524">
        <f ca="1">COUNTIF(OFFSET(Pinlist!$A$2,0,0,$BM$23),BT48)</f>
        <v>0</v>
      </c>
      <c r="BW48" s="178"/>
      <c r="BX48" s="518" t="e">
        <f ca="1">MATCH(1,OFFSET($BU$4,BX47,0):$BU$63,0)+BX47</f>
        <v>#N/A</v>
      </c>
      <c r="BY48" s="174" t="str">
        <f t="shared" ca="1" si="13"/>
        <v/>
      </c>
      <c r="BZ48" s="174">
        <f t="shared" ca="1" si="14"/>
        <v>1</v>
      </c>
      <c r="CA48" s="524">
        <f t="shared" ca="1" si="15"/>
        <v>44</v>
      </c>
      <c r="CB48" s="178"/>
      <c r="CC48" s="533" t="e">
        <f ca="1">MATCH("S",OFFSET(Pinlist!$C$2,CC47,0,$BM$23-CC47,1),0)+CC47</f>
        <v>#N/A</v>
      </c>
      <c r="CD48" s="191" t="e">
        <f ca="1">(OFFSET(Pinlist!$E$1,CC48,0)-$BN$16)*$BN$19</f>
        <v>#N/A</v>
      </c>
      <c r="CE48" s="192" t="e">
        <f ca="1">(OFFSET(Pinlist!$F$1,CC48,0)-$BO$16)*$BO$19</f>
        <v>#N/A</v>
      </c>
      <c r="CF48" s="178"/>
      <c r="CG48" s="518">
        <f>CG43+1</f>
        <v>9</v>
      </c>
      <c r="CH48" s="174">
        <f>(CG48&lt;$CQ$25)*$CQ$40</f>
        <v>0</v>
      </c>
      <c r="CI48" s="1149" t="e">
        <f ca="1">$CH48*(CI43+$CQ$27+IF($CQ$19,$CQ$20,$CQ$26))</f>
        <v>#REF!</v>
      </c>
      <c r="CJ48" s="1149" t="e">
        <f ca="1">$CH48*(CJ43+$CR$27+IF($CQ$19,$CR$20,$CR$26))</f>
        <v>#REF!</v>
      </c>
      <c r="CK48" s="1149">
        <f ca="1">$CH48*(CK43+$CQ$27+IF($CQ$19,$CQ$20,$CQ$26))</f>
        <v>0</v>
      </c>
      <c r="CL48" s="1149">
        <f ca="1">$CH48*(CL43+$CR$27+IF($CQ$19,$CR$20,$CR$26))</f>
        <v>0</v>
      </c>
      <c r="CM48" s="1149" t="e">
        <f ca="1">IF(CH48,CM43+$CQ$27+IF($CQ$19,$CQ$20,$CQ$26),$CM$3)</f>
        <v>#N/A</v>
      </c>
      <c r="CN48" s="1244" t="e">
        <f ca="1">IF(CH48,CN43+$CR$27+IF($CQ$19,$CR$20,$CR$26),$CN$3)</f>
        <v>#N/A</v>
      </c>
      <c r="CO48" s="200"/>
      <c r="CP48" s="178"/>
      <c r="CQ48" s="202"/>
      <c r="CR48" s="178"/>
      <c r="CS48" s="178"/>
      <c r="CT48" s="178"/>
      <c r="CU48" s="178"/>
      <c r="CV48" s="178"/>
      <c r="CW48" s="178"/>
      <c r="CX48" s="178"/>
      <c r="CY48" s="178"/>
      <c r="CZ48" s="178"/>
      <c r="DA48" s="150"/>
    </row>
    <row r="49" spans="1:105" x14ac:dyDescent="0.2">
      <c r="A49" s="149"/>
      <c r="B49" s="149"/>
      <c r="C49" s="149"/>
      <c r="D49" s="149"/>
      <c r="E49" s="149"/>
      <c r="F49" s="149"/>
      <c r="G49" s="149"/>
      <c r="H49" s="149"/>
      <c r="I49" s="149"/>
      <c r="J49" s="149"/>
      <c r="K49" s="149"/>
      <c r="L49" s="149"/>
      <c r="M49" s="149"/>
      <c r="N49" s="193" t="s">
        <v>224</v>
      </c>
      <c r="O49" s="692">
        <v>0</v>
      </c>
      <c r="P49" s="149"/>
      <c r="BA49" s="518">
        <f t="shared" ca="1" si="0"/>
        <v>46</v>
      </c>
      <c r="BB49" s="174">
        <f t="shared" ca="1" si="1"/>
        <v>1</v>
      </c>
      <c r="BC49" s="525" t="e">
        <f ca="1">MATCH(BD49,OFFSET(Pinlist!$A$2,BC48*(BA49=BA48),0,$BM$23,1),0)+BC48*(BA49=BA48)</f>
        <v>#N/A</v>
      </c>
      <c r="BD49" s="167" t="str">
        <f t="shared" ca="1" si="2"/>
        <v/>
      </c>
      <c r="BE49" s="191" t="e">
        <f ca="1">(OFFSET(Pinlist!$E$1,BC49,0)-$BN$16)*$BN$19</f>
        <v>#N/A</v>
      </c>
      <c r="BF49" s="192" t="e">
        <f ca="1">(OFFSET(Pinlist!$F$1,BC49,0)-$BO$16)*$BO$19</f>
        <v>#N/A</v>
      </c>
      <c r="BG49" s="1098" t="str">
        <f ca="1">IF(LEFT(BD49,2)="RF",OFFSET(Pinlist!$D$1,Chart!BC49,0)&amp;"_"&amp;OFFSET(Pinlist!$G$1,Chart!BC49,0),"")</f>
        <v/>
      </c>
      <c r="BH49" s="1098"/>
      <c r="BI49" s="178"/>
      <c r="BJ49" s="178"/>
      <c r="BK49" s="555"/>
      <c r="BL49" s="583">
        <f>COUNTIF(Pinlist!Y:Y,BM49)*Multiplyer</f>
        <v>0</v>
      </c>
      <c r="BM49" s="556" t="str">
        <f>Pinlist!BO2</f>
        <v>+/-50ps</v>
      </c>
      <c r="BN49" s="132"/>
      <c r="BO49" s="132"/>
      <c r="BP49" s="132"/>
      <c r="BQ49" s="530">
        <f ca="1">IF(BS48=OFFSET($BO$3,BQ48,0),MATCH(1,OFFSET($BM$4,BQ48,0):$BM$13,0)+BQ48,BQ48)</f>
        <v>9</v>
      </c>
      <c r="BR49" s="531" t="str">
        <f ca="1">IF(OFFSET($BN$3,BQ49,0)&lt;&gt;"P",OFFSET($BN$3,BQ49,0),IF(AND(BS49&lt;10,Pinlist!$B$3&gt;9),"P0","P"))</f>
        <v>P</v>
      </c>
      <c r="BS49" s="531">
        <f t="shared" ca="1" si="10"/>
        <v>38</v>
      </c>
      <c r="BT49" s="531" t="str">
        <f t="shared" ca="1" si="11"/>
        <v>P38</v>
      </c>
      <c r="BU49" s="174">
        <f t="shared" ca="1" si="12"/>
        <v>0</v>
      </c>
      <c r="BV49" s="524">
        <f ca="1">COUNTIF(OFFSET(Pinlist!$A$2,0,0,$BM$23),BT49)</f>
        <v>0</v>
      </c>
      <c r="BW49" s="178"/>
      <c r="BX49" s="518" t="e">
        <f ca="1">MATCH(1,OFFSET($BU$4,BX48,0):$BU$63,0)+BX48</f>
        <v>#N/A</v>
      </c>
      <c r="BY49" s="174" t="str">
        <f t="shared" ca="1" si="13"/>
        <v/>
      </c>
      <c r="BZ49" s="174">
        <f t="shared" ca="1" si="14"/>
        <v>1</v>
      </c>
      <c r="CA49" s="524">
        <f t="shared" ca="1" si="15"/>
        <v>45</v>
      </c>
      <c r="CB49" s="178"/>
      <c r="CC49" s="533" t="e">
        <f ca="1">MATCH("S",OFFSET(Pinlist!$C$2,CC48,0,$BM$23-CC48,1),0)+CC48</f>
        <v>#N/A</v>
      </c>
      <c r="CD49" s="191" t="e">
        <f ca="1">(OFFSET(Pinlist!$E$1,CC49,0)-$BN$16)*$BN$19</f>
        <v>#N/A</v>
      </c>
      <c r="CE49" s="192" t="e">
        <f ca="1">(OFFSET(Pinlist!$F$1,CC49,0)-$BO$16)*$BO$19</f>
        <v>#N/A</v>
      </c>
      <c r="CF49" s="178"/>
      <c r="CG49" s="518"/>
      <c r="CH49" s="174"/>
      <c r="CI49" s="1098" t="e">
        <f ca="1">CH48*(CI48-DUT!$G$11)</f>
        <v>#REF!</v>
      </c>
      <c r="CJ49" s="1098" t="e">
        <f ca="1">CJ48</f>
        <v>#REF!</v>
      </c>
      <c r="CK49" s="1098">
        <f ca="1">CH48*(CK48-$BJ$5)</f>
        <v>0</v>
      </c>
      <c r="CL49" s="1098">
        <f ca="1">CL48</f>
        <v>0</v>
      </c>
      <c r="CM49" s="183"/>
      <c r="CN49" s="192"/>
      <c r="CO49" s="200"/>
      <c r="CP49" s="178"/>
      <c r="CQ49" s="178"/>
      <c r="CR49" s="178"/>
      <c r="CS49" s="178"/>
      <c r="CT49" s="178"/>
      <c r="CU49" s="178"/>
      <c r="CV49" s="178"/>
      <c r="CW49" s="178"/>
      <c r="CX49" s="178"/>
      <c r="CY49" s="178"/>
      <c r="CZ49" s="178"/>
      <c r="DA49" s="150"/>
    </row>
    <row r="50" spans="1:105" x14ac:dyDescent="0.2">
      <c r="A50" s="149"/>
      <c r="B50" s="149"/>
      <c r="C50" s="149"/>
      <c r="D50" s="149"/>
      <c r="E50" s="149"/>
      <c r="F50" s="149"/>
      <c r="G50" s="149"/>
      <c r="H50" s="149"/>
      <c r="I50" s="149"/>
      <c r="J50" s="149"/>
      <c r="K50" s="149"/>
      <c r="L50" s="149"/>
      <c r="M50" s="149"/>
      <c r="N50" s="193" t="s">
        <v>225</v>
      </c>
      <c r="O50" s="988">
        <v>1</v>
      </c>
      <c r="P50" s="149"/>
      <c r="BA50" s="518">
        <f t="shared" ca="1" si="0"/>
        <v>47</v>
      </c>
      <c r="BB50" s="174">
        <f t="shared" ca="1" si="1"/>
        <v>1</v>
      </c>
      <c r="BC50" s="525" t="e">
        <f ca="1">MATCH(BD50,OFFSET(Pinlist!$A$2,BC49*(BA50=BA49),0,$BM$23,1),0)+BC49*(BA50=BA49)</f>
        <v>#N/A</v>
      </c>
      <c r="BD50" s="167" t="str">
        <f t="shared" ca="1" si="2"/>
        <v/>
      </c>
      <c r="BE50" s="191" t="e">
        <f ca="1">(OFFSET(Pinlist!$E$1,BC50,0)-$BN$16)*$BN$19</f>
        <v>#N/A</v>
      </c>
      <c r="BF50" s="192" t="e">
        <f ca="1">(OFFSET(Pinlist!$F$1,BC50,0)-$BO$16)*$BO$19</f>
        <v>#N/A</v>
      </c>
      <c r="BG50" s="1098" t="str">
        <f ca="1">IF(LEFT(BD50,2)="RF",OFFSET(Pinlist!$D$1,Chart!BC50,0)&amp;"_"&amp;OFFSET(Pinlist!$G$1,Chart!BC50,0),"")</f>
        <v/>
      </c>
      <c r="BH50" s="1098"/>
      <c r="BI50" s="178"/>
      <c r="BJ50" s="178"/>
      <c r="BK50" s="555"/>
      <c r="BL50" s="583">
        <f>COUNTIF(Pinlist!Y:Y,BM50)*Multiplyer</f>
        <v>0</v>
      </c>
      <c r="BM50" s="556" t="str">
        <f>Pinlist!BP2</f>
        <v>+/-100ps</v>
      </c>
      <c r="BN50" s="132"/>
      <c r="BO50" s="132"/>
      <c r="BP50" s="132"/>
      <c r="BQ50" s="530">
        <f ca="1">IF(BS49=OFFSET($BO$3,BQ49,0),MATCH(1,OFFSET($BM$4,BQ49,0):$BM$13,0)+BQ49,BQ49)</f>
        <v>9</v>
      </c>
      <c r="BR50" s="531" t="str">
        <f ca="1">IF(OFFSET($BN$3,BQ50,0)&lt;&gt;"P",OFFSET($BN$3,BQ50,0),IF(AND(BS50&lt;10,Pinlist!$B$3&gt;9),"P0","P"))</f>
        <v>P</v>
      </c>
      <c r="BS50" s="531">
        <f t="shared" ca="1" si="10"/>
        <v>39</v>
      </c>
      <c r="BT50" s="531" t="str">
        <f t="shared" ca="1" si="11"/>
        <v>P39</v>
      </c>
      <c r="BU50" s="174">
        <f t="shared" ca="1" si="12"/>
        <v>0</v>
      </c>
      <c r="BV50" s="524">
        <f ca="1">COUNTIF(OFFSET(Pinlist!$A$2,0,0,$BM$23),BT50)</f>
        <v>0</v>
      </c>
      <c r="BW50" s="178"/>
      <c r="BX50" s="518" t="e">
        <f ca="1">MATCH(1,OFFSET($BU$4,BX49,0):$BU$63,0)+BX49</f>
        <v>#N/A</v>
      </c>
      <c r="BY50" s="174" t="str">
        <f t="shared" ca="1" si="13"/>
        <v/>
      </c>
      <c r="BZ50" s="174">
        <f t="shared" ca="1" si="14"/>
        <v>1</v>
      </c>
      <c r="CA50" s="524">
        <f t="shared" ca="1" si="15"/>
        <v>46</v>
      </c>
      <c r="CB50" s="178"/>
      <c r="CC50" s="533" t="e">
        <f ca="1">MATCH("S",OFFSET(Pinlist!$C$2,CC49,0,$BM$23-CC49,1),0)+CC49</f>
        <v>#N/A</v>
      </c>
      <c r="CD50" s="191" t="e">
        <f ca="1">(OFFSET(Pinlist!$E$1,CC50,0)-$BN$16)*$BN$19</f>
        <v>#N/A</v>
      </c>
      <c r="CE50" s="192" t="e">
        <f ca="1">(OFFSET(Pinlist!$F$1,CC50,0)-$BO$16)*$BO$19</f>
        <v>#N/A</v>
      </c>
      <c r="CF50" s="178"/>
      <c r="CG50" s="518"/>
      <c r="CH50" s="174"/>
      <c r="CI50" s="1098" t="e">
        <f ca="1">CI49</f>
        <v>#REF!</v>
      </c>
      <c r="CJ50" s="1098" t="e">
        <f ca="1">CH48*(CJ49-DUT!$J$11)</f>
        <v>#REF!</v>
      </c>
      <c r="CK50" s="1098">
        <f ca="1">CK49</f>
        <v>0</v>
      </c>
      <c r="CL50" s="1098">
        <f ca="1">CH48*(CL49-$BK$5)</f>
        <v>0</v>
      </c>
      <c r="CM50" s="183"/>
      <c r="CN50" s="192"/>
      <c r="CO50" s="200"/>
      <c r="CP50" s="178"/>
      <c r="CQ50" s="178"/>
      <c r="CR50" s="178"/>
      <c r="CS50" s="178"/>
      <c r="CT50" s="178"/>
      <c r="CU50" s="178"/>
      <c r="CV50" s="178"/>
      <c r="CW50" s="178"/>
      <c r="CX50" s="178"/>
      <c r="CY50" s="178"/>
      <c r="CZ50" s="178"/>
      <c r="DA50" s="150"/>
    </row>
    <row r="51" spans="1:105" x14ac:dyDescent="0.2">
      <c r="A51" s="149"/>
      <c r="B51" s="149"/>
      <c r="C51" s="149"/>
      <c r="D51" s="149"/>
      <c r="E51" s="149"/>
      <c r="F51" s="149"/>
      <c r="G51" s="149"/>
      <c r="H51" s="149"/>
      <c r="I51" s="149"/>
      <c r="J51" s="149"/>
      <c r="K51" s="149"/>
      <c r="L51" s="149"/>
      <c r="M51" s="149"/>
      <c r="N51" s="149"/>
      <c r="O51" s="149"/>
      <c r="P51" s="149"/>
      <c r="BA51" s="518">
        <f t="shared" ca="1" si="0"/>
        <v>48</v>
      </c>
      <c r="BB51" s="174">
        <f t="shared" ca="1" si="1"/>
        <v>1</v>
      </c>
      <c r="BC51" s="525" t="e">
        <f ca="1">MATCH(BD51,OFFSET(Pinlist!$A$2,BC50*(BA51=BA50),0,$BM$23,1),0)+BC50*(BA51=BA50)</f>
        <v>#N/A</v>
      </c>
      <c r="BD51" s="167" t="str">
        <f t="shared" ca="1" si="2"/>
        <v/>
      </c>
      <c r="BE51" s="191" t="e">
        <f ca="1">(OFFSET(Pinlist!$E$1,BC51,0)-$BN$16)*$BN$19</f>
        <v>#N/A</v>
      </c>
      <c r="BF51" s="192" t="e">
        <f ca="1">(OFFSET(Pinlist!$F$1,BC51,0)-$BO$16)*$BO$19</f>
        <v>#N/A</v>
      </c>
      <c r="BG51" s="1098" t="str">
        <f ca="1">IF(LEFT(BD51,2)="RF",OFFSET(Pinlist!$D$1,Chart!BC51,0)&amp;"_"&amp;OFFSET(Pinlist!$G$1,Chart!BC51,0),"")</f>
        <v/>
      </c>
      <c r="BH51" s="1098"/>
      <c r="BI51" s="178"/>
      <c r="BJ51" s="178"/>
      <c r="BK51" s="557"/>
      <c r="BL51" s="584">
        <f>COUNTIF(Pinlist!Y:Y,BM51)*Multiplyer</f>
        <v>0</v>
      </c>
      <c r="BM51" s="558" t="str">
        <f>Pinlist!BQ2</f>
        <v>+/-200ps</v>
      </c>
      <c r="BN51" s="132"/>
      <c r="BO51" s="132"/>
      <c r="BP51" s="132"/>
      <c r="BQ51" s="530">
        <f ca="1">IF(BS50=OFFSET($BO$3,BQ50,0),MATCH(1,OFFSET($BM$4,BQ50,0):$BM$13,0)+BQ50,BQ50)</f>
        <v>9</v>
      </c>
      <c r="BR51" s="531" t="str">
        <f ca="1">IF(OFFSET($BN$3,BQ51,0)&lt;&gt;"P",OFFSET($BN$3,BQ51,0),IF(AND(BS51&lt;10,Pinlist!$B$3&gt;9),"P0","P"))</f>
        <v>P</v>
      </c>
      <c r="BS51" s="531">
        <f t="shared" ca="1" si="10"/>
        <v>40</v>
      </c>
      <c r="BT51" s="531" t="str">
        <f t="shared" ca="1" si="11"/>
        <v>P40</v>
      </c>
      <c r="BU51" s="174">
        <f t="shared" ca="1" si="12"/>
        <v>0</v>
      </c>
      <c r="BV51" s="524">
        <f ca="1">COUNTIF(OFFSET(Pinlist!$A$2,0,0,$BM$23),BT51)</f>
        <v>0</v>
      </c>
      <c r="BW51" s="178"/>
      <c r="BX51" s="518" t="e">
        <f ca="1">MATCH(1,OFFSET($BU$4,BX50,0):$BU$63,0)+BX50</f>
        <v>#N/A</v>
      </c>
      <c r="BY51" s="174" t="str">
        <f t="shared" ca="1" si="13"/>
        <v/>
      </c>
      <c r="BZ51" s="174">
        <f t="shared" ca="1" si="14"/>
        <v>1</v>
      </c>
      <c r="CA51" s="524">
        <f t="shared" ca="1" si="15"/>
        <v>47</v>
      </c>
      <c r="CB51" s="178"/>
      <c r="CC51" s="533" t="e">
        <f ca="1">MATCH("S",OFFSET(Pinlist!$C$2,CC50,0,$BM$23-CC50,1),0)+CC50</f>
        <v>#N/A</v>
      </c>
      <c r="CD51" s="191" t="e">
        <f ca="1">(OFFSET(Pinlist!$E$1,CC51,0)-$BN$16)*$BN$19</f>
        <v>#N/A</v>
      </c>
      <c r="CE51" s="192" t="e">
        <f ca="1">(OFFSET(Pinlist!$F$1,CC51,0)-$BO$16)*$BO$19</f>
        <v>#N/A</v>
      </c>
      <c r="CF51" s="178"/>
      <c r="CG51" s="518"/>
      <c r="CH51" s="174"/>
      <c r="CI51" s="1098" t="e">
        <f ca="1">CI48</f>
        <v>#REF!</v>
      </c>
      <c r="CJ51" s="1098" t="e">
        <f ca="1">CJ50</f>
        <v>#REF!</v>
      </c>
      <c r="CK51" s="1098">
        <f ca="1">CK48</f>
        <v>0</v>
      </c>
      <c r="CL51" s="1098">
        <f ca="1">CL50</f>
        <v>0</v>
      </c>
      <c r="CM51" s="183"/>
      <c r="CN51" s="192"/>
      <c r="CO51" s="200"/>
      <c r="CP51" s="178"/>
      <c r="CQ51" s="178"/>
      <c r="CR51" s="178"/>
      <c r="CS51" s="178"/>
      <c r="CT51" s="178"/>
      <c r="CU51" s="178"/>
      <c r="CV51" s="178"/>
      <c r="CW51" s="178"/>
      <c r="CX51" s="178"/>
      <c r="CY51" s="178"/>
      <c r="CZ51" s="178"/>
      <c r="DA51" s="150"/>
    </row>
    <row r="52" spans="1:105" x14ac:dyDescent="0.2">
      <c r="A52" s="149"/>
      <c r="B52" s="149"/>
      <c r="C52" s="149"/>
      <c r="D52" s="149"/>
      <c r="E52" s="149"/>
      <c r="F52" s="149"/>
      <c r="G52" s="149"/>
      <c r="H52" s="149"/>
      <c r="I52" s="149"/>
      <c r="J52" s="149"/>
      <c r="K52" s="149"/>
      <c r="L52" s="149"/>
      <c r="M52" s="149"/>
      <c r="N52" s="1586" t="str">
        <f>IF(DUT!G19=0,"Odd #","Even #")&amp;" Die Control"</f>
        <v>Even # Die Control</v>
      </c>
      <c r="O52" s="1587"/>
      <c r="P52" s="205"/>
      <c r="S52" s="1090"/>
      <c r="BA52" s="518">
        <f t="shared" ca="1" si="0"/>
        <v>49</v>
      </c>
      <c r="BB52" s="174">
        <f t="shared" ca="1" si="1"/>
        <v>1</v>
      </c>
      <c r="BC52" s="525" t="e">
        <f ca="1">MATCH(BD52,OFFSET(Pinlist!$A$2,BC51*(BA52=BA51),0,$BM$23,1),0)+BC51*(BA52=BA51)</f>
        <v>#N/A</v>
      </c>
      <c r="BD52" s="167" t="str">
        <f t="shared" ca="1" si="2"/>
        <v/>
      </c>
      <c r="BE52" s="191" t="e">
        <f ca="1">(OFFSET(Pinlist!$E$1,BC52,0)-$BN$16)*$BN$19</f>
        <v>#N/A</v>
      </c>
      <c r="BF52" s="192" t="e">
        <f ca="1">(OFFSET(Pinlist!$F$1,BC52,0)-$BO$16)*$BO$19</f>
        <v>#N/A</v>
      </c>
      <c r="BG52" s="1098" t="str">
        <f ca="1">IF(LEFT(BD52,2)="RF",OFFSET(Pinlist!$D$1,Chart!BC52,0)&amp;"_"&amp;OFFSET(Pinlist!$G$1,Chart!BC52,0),"")</f>
        <v/>
      </c>
      <c r="BH52" s="1098"/>
      <c r="BI52" s="178"/>
      <c r="BJ52" s="178"/>
      <c r="BK52" s="178"/>
      <c r="BL52" s="178"/>
      <c r="BM52" s="132"/>
      <c r="BN52" s="132"/>
      <c r="BO52" s="132"/>
      <c r="BP52" s="132"/>
      <c r="BQ52" s="530">
        <f ca="1">IF(BS51=OFFSET($BO$3,BQ51,0),MATCH(1,OFFSET($BM$4,BQ51,0):$BM$13,0)+BQ51,BQ51)</f>
        <v>9</v>
      </c>
      <c r="BR52" s="531" t="str">
        <f ca="1">IF(OFFSET($BN$3,BQ52,0)&lt;&gt;"P",OFFSET($BN$3,BQ52,0),IF(AND(BS52&lt;10,Pinlist!$B$3&gt;9),"P0","P"))</f>
        <v>P</v>
      </c>
      <c r="BS52" s="531">
        <f t="shared" ca="1" si="10"/>
        <v>41</v>
      </c>
      <c r="BT52" s="531" t="str">
        <f t="shared" ca="1" si="11"/>
        <v>P41</v>
      </c>
      <c r="BU52" s="174">
        <f t="shared" ca="1" si="12"/>
        <v>0</v>
      </c>
      <c r="BV52" s="524">
        <f ca="1">COUNTIF(OFFSET(Pinlist!$A$2,0,0,$BM$23),BT52)</f>
        <v>0</v>
      </c>
      <c r="BW52" s="178"/>
      <c r="BX52" s="518" t="e">
        <f ca="1">MATCH(1,OFFSET($BU$4,BX51,0):$BU$63,0)+BX51</f>
        <v>#N/A</v>
      </c>
      <c r="BY52" s="174" t="str">
        <f t="shared" ca="1" si="13"/>
        <v/>
      </c>
      <c r="BZ52" s="174">
        <f t="shared" ca="1" si="14"/>
        <v>1</v>
      </c>
      <c r="CA52" s="524">
        <f t="shared" ca="1" si="15"/>
        <v>48</v>
      </c>
      <c r="CB52" s="178"/>
      <c r="CC52" s="533" t="e">
        <f ca="1">MATCH("S",OFFSET(Pinlist!$C$2,CC51,0,$BM$23-CC51,1),0)+CC51</f>
        <v>#N/A</v>
      </c>
      <c r="CD52" s="191" t="e">
        <f ca="1">(OFFSET(Pinlist!$E$1,CC52,0)-$BN$16)*$BN$19</f>
        <v>#N/A</v>
      </c>
      <c r="CE52" s="192" t="e">
        <f ca="1">(OFFSET(Pinlist!$F$1,CC52,0)-$BO$16)*$BO$19</f>
        <v>#N/A</v>
      </c>
      <c r="CF52" s="178"/>
      <c r="CG52" s="518"/>
      <c r="CH52" s="174"/>
      <c r="CI52" s="1098" t="e">
        <f ca="1">CI48</f>
        <v>#REF!</v>
      </c>
      <c r="CJ52" s="1098" t="e">
        <f ca="1">CJ48</f>
        <v>#REF!</v>
      </c>
      <c r="CK52" s="1098">
        <f ca="1">CK48</f>
        <v>0</v>
      </c>
      <c r="CL52" s="1098">
        <f ca="1">CL48</f>
        <v>0</v>
      </c>
      <c r="CM52" s="183"/>
      <c r="CN52" s="192"/>
      <c r="CO52" s="200"/>
      <c r="CP52" s="178"/>
      <c r="CQ52" s="178"/>
      <c r="CR52" s="178"/>
      <c r="CS52" s="178"/>
      <c r="CT52" s="178"/>
      <c r="CU52" s="178"/>
      <c r="CV52" s="178"/>
      <c r="CW52" s="178"/>
      <c r="CX52" s="178"/>
      <c r="CY52" s="178"/>
      <c r="CZ52" s="178"/>
      <c r="DA52" s="150"/>
    </row>
    <row r="53" spans="1:105" x14ac:dyDescent="0.2">
      <c r="A53" s="149"/>
      <c r="B53" s="149"/>
      <c r="C53" s="149"/>
      <c r="D53" s="149"/>
      <c r="E53" s="149"/>
      <c r="F53" s="149"/>
      <c r="G53" s="149"/>
      <c r="H53" s="149"/>
      <c r="I53" s="149"/>
      <c r="J53" s="149"/>
      <c r="K53" s="149"/>
      <c r="L53" s="149"/>
      <c r="M53" s="149"/>
      <c r="N53" s="193" t="s">
        <v>224</v>
      </c>
      <c r="O53" s="692">
        <v>0</v>
      </c>
      <c r="P53" s="149"/>
      <c r="Q53" s="5"/>
      <c r="R53" s="1090"/>
      <c r="S53" s="1090"/>
      <c r="BA53" s="518">
        <f t="shared" ca="1" si="0"/>
        <v>50</v>
      </c>
      <c r="BB53" s="174">
        <f t="shared" ca="1" si="1"/>
        <v>1</v>
      </c>
      <c r="BC53" s="525" t="e">
        <f ca="1">MATCH(BD53,OFFSET(Pinlist!$A$2,BC52*(BA53=BA52),0,$BM$23,1),0)+BC52*(BA53=BA52)</f>
        <v>#N/A</v>
      </c>
      <c r="BD53" s="167" t="str">
        <f t="shared" ca="1" si="2"/>
        <v/>
      </c>
      <c r="BE53" s="191" t="e">
        <f ca="1">(OFFSET(Pinlist!$E$1,BC53,0)-$BN$16)*$BN$19</f>
        <v>#N/A</v>
      </c>
      <c r="BF53" s="192" t="e">
        <f ca="1">(OFFSET(Pinlist!$F$1,BC53,0)-$BO$16)*$BO$19</f>
        <v>#N/A</v>
      </c>
      <c r="BG53" s="1098" t="str">
        <f ca="1">IF(LEFT(BD53,2)="RF",OFFSET(Pinlist!$D$1,Chart!BC53,0)&amp;"_"&amp;OFFSET(Pinlist!$G$1,Chart!BC53,0),"")</f>
        <v/>
      </c>
      <c r="BH53" s="1098"/>
      <c r="BI53" s="178"/>
      <c r="BJ53" s="178"/>
      <c r="BK53" s="178"/>
      <c r="BL53" s="178"/>
      <c r="BM53" s="132"/>
      <c r="BN53" s="132"/>
      <c r="BO53" s="132"/>
      <c r="BP53" s="132"/>
      <c r="BQ53" s="530">
        <f ca="1">IF(BS52=OFFSET($BO$3,BQ52,0),MATCH(1,OFFSET($BM$4,BQ52,0):$BM$13,0)+BQ52,BQ52)</f>
        <v>9</v>
      </c>
      <c r="BR53" s="531" t="str">
        <f ca="1">IF(OFFSET($BN$3,BQ53,0)&lt;&gt;"P",OFFSET($BN$3,BQ53,0),IF(AND(BS53&lt;10,Pinlist!$B$3&gt;9),"P0","P"))</f>
        <v>P</v>
      </c>
      <c r="BS53" s="531">
        <f t="shared" ca="1" si="10"/>
        <v>42</v>
      </c>
      <c r="BT53" s="531" t="str">
        <f t="shared" ca="1" si="11"/>
        <v>P42</v>
      </c>
      <c r="BU53" s="174">
        <f t="shared" ca="1" si="12"/>
        <v>0</v>
      </c>
      <c r="BV53" s="524">
        <f ca="1">COUNTIF(OFFSET(Pinlist!$A$2,0,0,$BM$23),BT53)</f>
        <v>0</v>
      </c>
      <c r="BW53" s="178"/>
      <c r="BX53" s="518" t="e">
        <f ca="1">MATCH(1,OFFSET($BU$4,BX52,0):$BU$63,0)+BX52</f>
        <v>#N/A</v>
      </c>
      <c r="BY53" s="174" t="str">
        <f t="shared" ca="1" si="13"/>
        <v/>
      </c>
      <c r="BZ53" s="174">
        <f t="shared" ca="1" si="14"/>
        <v>1</v>
      </c>
      <c r="CA53" s="524">
        <f t="shared" ca="1" si="15"/>
        <v>49</v>
      </c>
      <c r="CB53" s="178"/>
      <c r="CC53" s="533" t="e">
        <f ca="1">MATCH("S",OFFSET(Pinlist!$C$2,CC52,0,$BM$23-CC52,1),0)+CC52</f>
        <v>#N/A</v>
      </c>
      <c r="CD53" s="191" t="e">
        <f ca="1">(OFFSET(Pinlist!$E$1,CC53,0)-$BN$16)*$BN$19</f>
        <v>#N/A</v>
      </c>
      <c r="CE53" s="192" t="e">
        <f ca="1">(OFFSET(Pinlist!$F$1,CC53,0)-$BO$16)*$BO$19</f>
        <v>#N/A</v>
      </c>
      <c r="CF53" s="178"/>
      <c r="CG53" s="518">
        <f>CG48+1</f>
        <v>10</v>
      </c>
      <c r="CH53" s="174">
        <f>(CG53&lt;$CQ$25)*$CQ$40</f>
        <v>0</v>
      </c>
      <c r="CI53" s="1150" t="e">
        <f ca="1">$CH53*IF($CQ$19,CI43+$CQ$26,CI48-$CQ$27+$CQ$26)</f>
        <v>#REF!</v>
      </c>
      <c r="CJ53" s="1150" t="e">
        <f ca="1">$CH53*IF($CQ$19,CJ43+$CR$26,CJ48-$CR$27+$CR$26)</f>
        <v>#REF!</v>
      </c>
      <c r="CK53" s="1150">
        <f ca="1">$CH53*IF($CQ$19,CK43+$CQ$26,CK48-$CQ$27+$CQ$26)</f>
        <v>0</v>
      </c>
      <c r="CL53" s="1150">
        <f ca="1">$CH53*IF($CQ$19,CL43+$CR$26,CL48-$CR$27+$CR$26)</f>
        <v>0</v>
      </c>
      <c r="CM53" s="1150" t="e">
        <f ca="1">IF(CH53,IF($CQ$19,CM43+$CQ$26,CM48-$CQ$27+$CQ$26),$CM$3)</f>
        <v>#N/A</v>
      </c>
      <c r="CN53" s="1245" t="e">
        <f ca="1">IF(CH53,IF($CQ$19,CN43+$CR$26,CN48-$CR$27+$CR$26),$CN$3)</f>
        <v>#N/A</v>
      </c>
      <c r="CO53" s="202"/>
      <c r="CP53" s="178"/>
      <c r="CQ53" s="178"/>
      <c r="CR53" s="178"/>
      <c r="CS53" s="178"/>
      <c r="CT53" s="178"/>
      <c r="CU53" s="178"/>
      <c r="CV53" s="178"/>
      <c r="CW53" s="178"/>
      <c r="CX53" s="178"/>
      <c r="CY53" s="178"/>
      <c r="CZ53" s="178"/>
      <c r="DA53" s="150"/>
    </row>
    <row r="54" spans="1:105" x14ac:dyDescent="0.2">
      <c r="A54" s="149"/>
      <c r="B54" s="149"/>
      <c r="C54" s="149"/>
      <c r="D54" s="149"/>
      <c r="E54" s="149"/>
      <c r="F54" s="149"/>
      <c r="G54" s="149"/>
      <c r="H54" s="149"/>
      <c r="I54" s="149"/>
      <c r="J54" s="149"/>
      <c r="K54" s="149"/>
      <c r="L54" s="149"/>
      <c r="M54" s="149"/>
      <c r="N54" s="193" t="s">
        <v>225</v>
      </c>
      <c r="O54" s="692">
        <v>0</v>
      </c>
      <c r="P54" s="149"/>
      <c r="BA54" s="518">
        <f t="shared" ca="1" si="0"/>
        <v>51</v>
      </c>
      <c r="BB54" s="174">
        <f t="shared" ca="1" si="1"/>
        <v>1</v>
      </c>
      <c r="BC54" s="525" t="e">
        <f ca="1">MATCH(BD54,OFFSET(Pinlist!$A$2,BC53*(BA54=BA53),0,$BM$23,1),0)+BC53*(BA54=BA53)</f>
        <v>#N/A</v>
      </c>
      <c r="BD54" s="167" t="str">
        <f t="shared" ca="1" si="2"/>
        <v/>
      </c>
      <c r="BE54" s="191" t="e">
        <f ca="1">(OFFSET(Pinlist!$E$1,BC54,0)-$BN$16)*$BN$19</f>
        <v>#N/A</v>
      </c>
      <c r="BF54" s="192" t="e">
        <f ca="1">(OFFSET(Pinlist!$F$1,BC54,0)-$BO$16)*$BO$19</f>
        <v>#N/A</v>
      </c>
      <c r="BG54" s="1098" t="str">
        <f ca="1">IF(LEFT(BD54,2)="RF",OFFSET(Pinlist!$D$1,Chart!BC54,0)&amp;"_"&amp;OFFSET(Pinlist!$G$1,Chart!BC54,0),"")</f>
        <v/>
      </c>
      <c r="BH54" s="1098"/>
      <c r="BI54" s="178"/>
      <c r="BJ54" s="178"/>
      <c r="BK54" s="178"/>
      <c r="BL54" s="178"/>
      <c r="BM54" s="132"/>
      <c r="BN54" s="132"/>
      <c r="BO54" s="132"/>
      <c r="BP54" s="132"/>
      <c r="BQ54" s="530">
        <f ca="1">IF(BS53=OFFSET($BO$3,BQ53,0),MATCH(1,OFFSET($BM$4,BQ53,0):$BM$13,0)+BQ53,BQ53)</f>
        <v>9</v>
      </c>
      <c r="BR54" s="531" t="str">
        <f ca="1">IF(OFFSET($BN$3,BQ54,0)&lt;&gt;"P",OFFSET($BN$3,BQ54,0),IF(AND(BS54&lt;10,Pinlist!$B$3&gt;9),"P0","P"))</f>
        <v>P</v>
      </c>
      <c r="BS54" s="531">
        <f t="shared" ca="1" si="10"/>
        <v>43</v>
      </c>
      <c r="BT54" s="531" t="str">
        <f t="shared" ca="1" si="11"/>
        <v>P43</v>
      </c>
      <c r="BU54" s="174">
        <f t="shared" ca="1" si="12"/>
        <v>0</v>
      </c>
      <c r="BV54" s="524">
        <f ca="1">COUNTIF(OFFSET(Pinlist!$A$2,0,0,$BM$23),BT54)</f>
        <v>0</v>
      </c>
      <c r="BW54" s="178"/>
      <c r="BX54" s="518" t="e">
        <f ca="1">MATCH(1,OFFSET($BU$4,BX53,0):$BU$63,0)+BX53</f>
        <v>#N/A</v>
      </c>
      <c r="BY54" s="174" t="str">
        <f t="shared" ca="1" si="13"/>
        <v/>
      </c>
      <c r="BZ54" s="174">
        <f t="shared" ca="1" si="14"/>
        <v>1</v>
      </c>
      <c r="CA54" s="524">
        <f t="shared" ca="1" si="15"/>
        <v>50</v>
      </c>
      <c r="CB54" s="178"/>
      <c r="CC54" s="533" t="e">
        <f ca="1">MATCH("S",OFFSET(Pinlist!$C$2,CC53,0,$BM$23-CC53,1),0)+CC53</f>
        <v>#N/A</v>
      </c>
      <c r="CD54" s="191" t="e">
        <f ca="1">(OFFSET(Pinlist!$E$1,CC54,0)-$BN$16)*$BN$19</f>
        <v>#N/A</v>
      </c>
      <c r="CE54" s="192" t="e">
        <f ca="1">(OFFSET(Pinlist!$F$1,CC54,0)-$BO$16)*$BO$19</f>
        <v>#N/A</v>
      </c>
      <c r="CF54" s="178"/>
      <c r="CG54" s="518"/>
      <c r="CH54" s="174"/>
      <c r="CI54" s="1098" t="e">
        <f ca="1">CH53*(CI53-DUT!$G$11)</f>
        <v>#REF!</v>
      </c>
      <c r="CJ54" s="1098" t="e">
        <f ca="1">CJ53</f>
        <v>#REF!</v>
      </c>
      <c r="CK54" s="1098">
        <f ca="1">CH53*(CK53-$BJ$5)</f>
        <v>0</v>
      </c>
      <c r="CL54" s="1098">
        <f ca="1">CL53</f>
        <v>0</v>
      </c>
      <c r="CM54" s="183"/>
      <c r="CN54" s="184"/>
      <c r="CO54" s="202"/>
      <c r="CP54" s="178"/>
      <c r="CQ54" s="178"/>
      <c r="CR54" s="178"/>
      <c r="CS54" s="178"/>
      <c r="CT54" s="178"/>
      <c r="CU54" s="178"/>
      <c r="CV54" s="178"/>
      <c r="CW54" s="178"/>
      <c r="CX54" s="178"/>
      <c r="CY54" s="178"/>
      <c r="CZ54" s="178"/>
      <c r="DA54" s="150"/>
    </row>
    <row r="55" spans="1:105" ht="13.5" thickBot="1" x14ac:dyDescent="0.25">
      <c r="A55" s="149"/>
      <c r="B55" s="149"/>
      <c r="C55" s="149"/>
      <c r="D55" s="149"/>
      <c r="E55" s="149"/>
      <c r="F55" s="149"/>
      <c r="G55" s="149"/>
      <c r="H55" s="149"/>
      <c r="I55" s="149"/>
      <c r="J55" s="149"/>
      <c r="K55" s="149"/>
      <c r="L55" s="149"/>
      <c r="M55" s="149"/>
      <c r="O55" s="149"/>
      <c r="P55" s="149"/>
      <c r="BA55" s="518">
        <f t="shared" ca="1" si="0"/>
        <v>52</v>
      </c>
      <c r="BB55" s="174">
        <f t="shared" ca="1" si="1"/>
        <v>1</v>
      </c>
      <c r="BC55" s="525" t="e">
        <f ca="1">MATCH(BD55,OFFSET(Pinlist!$A$2,BC54*(BA55=BA54),0,$BM$23,1),0)+BC54*(BA55=BA54)</f>
        <v>#N/A</v>
      </c>
      <c r="BD55" s="167" t="str">
        <f t="shared" ca="1" si="2"/>
        <v/>
      </c>
      <c r="BE55" s="191" t="e">
        <f ca="1">(OFFSET(Pinlist!$E$1,BC55,0)-$BN$16)*$BN$19</f>
        <v>#N/A</v>
      </c>
      <c r="BF55" s="192" t="e">
        <f ca="1">(OFFSET(Pinlist!$F$1,BC55,0)-$BO$16)*$BO$19</f>
        <v>#N/A</v>
      </c>
      <c r="BG55" s="1098" t="str">
        <f ca="1">IF(LEFT(BD55,2)="RF",OFFSET(Pinlist!$D$1,Chart!BC55,0)&amp;"_"&amp;OFFSET(Pinlist!$G$1,Chart!BC55,0),"")</f>
        <v/>
      </c>
      <c r="BH55" s="1098"/>
      <c r="BI55" s="178"/>
      <c r="BK55" s="66" t="s">
        <v>854</v>
      </c>
      <c r="BL55" s="66"/>
      <c r="BM55" s="5" t="e">
        <f ca="1">[0]!X_55</f>
        <v>#N/A</v>
      </c>
      <c r="BP55" s="132"/>
      <c r="BQ55" s="530">
        <f ca="1">IF(BS54=OFFSET($BO$3,BQ54,0),MATCH(1,OFFSET($BM$4,BQ54,0):$BM$13,0)+BQ54,BQ54)</f>
        <v>9</v>
      </c>
      <c r="BR55" s="531" t="str">
        <f ca="1">IF(OFFSET($BN$3,BQ55,0)&lt;&gt;"P",OFFSET($BN$3,BQ55,0),IF(AND(BS55&lt;10,Pinlist!$B$3&gt;9),"P0","P"))</f>
        <v>P</v>
      </c>
      <c r="BS55" s="531">
        <f t="shared" ca="1" si="10"/>
        <v>44</v>
      </c>
      <c r="BT55" s="531" t="str">
        <f t="shared" ca="1" si="11"/>
        <v>P44</v>
      </c>
      <c r="BU55" s="174">
        <f t="shared" ca="1" si="12"/>
        <v>0</v>
      </c>
      <c r="BV55" s="524">
        <f ca="1">COUNTIF(OFFSET(Pinlist!$A$2,0,0,$BM$23),BT55)</f>
        <v>0</v>
      </c>
      <c r="BW55" s="178"/>
      <c r="BX55" s="518" t="e">
        <f ca="1">MATCH(1,OFFSET($BU$4,BX54,0):$BU$63,0)+BX54</f>
        <v>#N/A</v>
      </c>
      <c r="BY55" s="174" t="str">
        <f t="shared" ca="1" si="13"/>
        <v/>
      </c>
      <c r="BZ55" s="174">
        <f t="shared" ca="1" si="14"/>
        <v>1</v>
      </c>
      <c r="CA55" s="524">
        <f t="shared" ca="1" si="15"/>
        <v>51</v>
      </c>
      <c r="CB55" s="178"/>
      <c r="CC55" s="533" t="e">
        <f ca="1">MATCH("S",OFFSET(Pinlist!$C$2,CC54,0,$BM$23-CC54,1),0)+CC54</f>
        <v>#N/A</v>
      </c>
      <c r="CD55" s="191" t="e">
        <f ca="1">(OFFSET(Pinlist!$E$1,CC55,0)-$BN$16)*$BN$19</f>
        <v>#N/A</v>
      </c>
      <c r="CE55" s="192" t="e">
        <f ca="1">(OFFSET(Pinlist!$F$1,CC55,0)-$BO$16)*$BO$19</f>
        <v>#N/A</v>
      </c>
      <c r="CF55" s="178"/>
      <c r="CG55" s="518"/>
      <c r="CH55" s="174"/>
      <c r="CI55" s="1098" t="e">
        <f ca="1">CI54</f>
        <v>#REF!</v>
      </c>
      <c r="CJ55" s="1098" t="e">
        <f ca="1">CH53*(CJ54-DUT!$J$11)</f>
        <v>#REF!</v>
      </c>
      <c r="CK55" s="1098">
        <f ca="1">CK54</f>
        <v>0</v>
      </c>
      <c r="CL55" s="1098">
        <f ca="1">CH53*(CL54-$BK$5)</f>
        <v>0</v>
      </c>
      <c r="CM55" s="183"/>
      <c r="CN55" s="184"/>
      <c r="CO55" s="202"/>
      <c r="CP55" s="178"/>
      <c r="CQ55" s="178"/>
      <c r="CR55" s="178"/>
      <c r="CS55" s="178"/>
      <c r="CT55" s="178"/>
      <c r="CU55" s="178"/>
      <c r="CV55" s="178"/>
      <c r="CW55" s="178"/>
      <c r="CX55" s="178"/>
      <c r="CY55" s="178"/>
      <c r="CZ55" s="178"/>
      <c r="DA55" s="150"/>
    </row>
    <row r="56" spans="1:105" x14ac:dyDescent="0.2">
      <c r="A56" s="149"/>
      <c r="B56" s="149"/>
      <c r="C56" s="149"/>
      <c r="D56" s="149"/>
      <c r="E56" s="149"/>
      <c r="F56" s="149"/>
      <c r="G56" s="149"/>
      <c r="H56" s="149"/>
      <c r="I56" s="149"/>
      <c r="J56" s="149"/>
      <c r="K56" s="149"/>
      <c r="L56" s="149"/>
      <c r="M56" s="149"/>
      <c r="N56" s="483"/>
      <c r="O56" s="484"/>
      <c r="P56" s="149"/>
      <c r="BA56" s="518">
        <f t="shared" ca="1" si="0"/>
        <v>53</v>
      </c>
      <c r="BB56" s="174">
        <f t="shared" ca="1" si="1"/>
        <v>1</v>
      </c>
      <c r="BC56" s="525" t="e">
        <f ca="1">MATCH(BD56,OFFSET(Pinlist!$A$2,BC55*(BA56=BA55),0,$BM$23,1),0)+BC55*(BA56=BA55)</f>
        <v>#N/A</v>
      </c>
      <c r="BD56" s="167" t="str">
        <f t="shared" ca="1" si="2"/>
        <v/>
      </c>
      <c r="BE56" s="191" t="e">
        <f ca="1">(OFFSET(Pinlist!$E$1,BC56,0)-$BN$16)*$BN$19</f>
        <v>#N/A</v>
      </c>
      <c r="BF56" s="192" t="e">
        <f ca="1">(OFFSET(Pinlist!$F$1,BC56,0)-$BO$16)*$BO$19</f>
        <v>#N/A</v>
      </c>
      <c r="BG56" s="1098" t="str">
        <f ca="1">IF(LEFT(BD56,2)="RF",OFFSET(Pinlist!$D$1,Chart!BC56,0)&amp;"_"&amp;OFFSET(Pinlist!$G$1,Chart!BC56,0),"")</f>
        <v/>
      </c>
      <c r="BH56" s="1098"/>
      <c r="BI56" s="178"/>
      <c r="BK56" s="1211">
        <v>0</v>
      </c>
      <c r="BL56" s="485">
        <v>0</v>
      </c>
      <c r="BP56" s="132"/>
      <c r="BQ56" s="530">
        <f ca="1">IF(BS55=OFFSET($BO$3,BQ55,0),MATCH(1,OFFSET($BM$4,BQ55,0):$BM$13,0)+BQ55,BQ55)</f>
        <v>9</v>
      </c>
      <c r="BR56" s="531" t="str">
        <f ca="1">IF(OFFSET($BN$3,BQ56,0)&lt;&gt;"P",OFFSET($BN$3,BQ56,0),IF(AND(BS56&lt;10,Pinlist!$B$3&gt;9),"P0","P"))</f>
        <v>P</v>
      </c>
      <c r="BS56" s="531">
        <f t="shared" ca="1" si="10"/>
        <v>45</v>
      </c>
      <c r="BT56" s="531" t="str">
        <f t="shared" ca="1" si="11"/>
        <v>P45</v>
      </c>
      <c r="BU56" s="174">
        <f t="shared" ca="1" si="12"/>
        <v>0</v>
      </c>
      <c r="BV56" s="524">
        <f ca="1">COUNTIF(OFFSET(Pinlist!$A$2,0,0,$BM$23),BT56)</f>
        <v>0</v>
      </c>
      <c r="BW56" s="178"/>
      <c r="BX56" s="518" t="e">
        <f ca="1">MATCH(1,OFFSET($BU$4,BX55,0):$BU$63,0)+BX55</f>
        <v>#N/A</v>
      </c>
      <c r="BY56" s="174" t="str">
        <f t="shared" ca="1" si="13"/>
        <v/>
      </c>
      <c r="BZ56" s="174">
        <f t="shared" ca="1" si="14"/>
        <v>1</v>
      </c>
      <c r="CA56" s="524">
        <f t="shared" ca="1" si="15"/>
        <v>52</v>
      </c>
      <c r="CB56" s="178"/>
      <c r="CC56" s="533" t="e">
        <f ca="1">MATCH("S",OFFSET(Pinlist!$C$2,CC55,0,$BM$23-CC55,1),0)+CC55</f>
        <v>#N/A</v>
      </c>
      <c r="CD56" s="191" t="e">
        <f ca="1">(OFFSET(Pinlist!$E$1,CC56,0)-$BN$16)*$BN$19</f>
        <v>#N/A</v>
      </c>
      <c r="CE56" s="192" t="e">
        <f ca="1">(OFFSET(Pinlist!$F$1,CC56,0)-$BO$16)*$BO$19</f>
        <v>#N/A</v>
      </c>
      <c r="CF56" s="178"/>
      <c r="CG56" s="518"/>
      <c r="CH56" s="174"/>
      <c r="CI56" s="1098" t="e">
        <f ca="1">CI53</f>
        <v>#REF!</v>
      </c>
      <c r="CJ56" s="1098" t="e">
        <f ca="1">CJ55</f>
        <v>#REF!</v>
      </c>
      <c r="CK56" s="1098">
        <f ca="1">CK53</f>
        <v>0</v>
      </c>
      <c r="CL56" s="1098">
        <f ca="1">CL55</f>
        <v>0</v>
      </c>
      <c r="CM56" s="183"/>
      <c r="CN56" s="184"/>
      <c r="CO56" s="202"/>
      <c r="CP56" s="178"/>
      <c r="CQ56" s="178"/>
      <c r="CR56" s="178"/>
      <c r="CS56" s="178"/>
      <c r="CT56" s="178"/>
      <c r="CU56" s="178"/>
      <c r="CV56" s="178"/>
      <c r="CW56" s="178"/>
      <c r="CX56" s="178"/>
      <c r="CY56" s="178"/>
      <c r="CZ56" s="178"/>
      <c r="DA56" s="150"/>
    </row>
    <row r="57" spans="1:105" ht="12.75" customHeight="1" x14ac:dyDescent="0.2">
      <c r="A57" s="149"/>
      <c r="B57" s="149"/>
      <c r="C57" s="149"/>
      <c r="D57" s="149"/>
      <c r="E57" s="149"/>
      <c r="F57" s="149"/>
      <c r="G57" s="149"/>
      <c r="H57" s="149"/>
      <c r="I57" s="149"/>
      <c r="J57" s="149"/>
      <c r="K57" s="149"/>
      <c r="L57" s="1219" t="s">
        <v>862</v>
      </c>
      <c r="M57" s="194" t="e">
        <f ca="1">"Probe Array Area 1 is "&amp;FIXED($CW$16,2)&amp;" x "&amp;FIXED($CX$16,2)&amp;" mm (othogonal core orientation)"</f>
        <v>#REF!</v>
      </c>
      <c r="N57" s="484"/>
      <c r="P57" s="499"/>
      <c r="R57" s="5"/>
      <c r="BA57" s="518">
        <f t="shared" ca="1" si="0"/>
        <v>54</v>
      </c>
      <c r="BB57" s="174">
        <f t="shared" ca="1" si="1"/>
        <v>1</v>
      </c>
      <c r="BC57" s="525" t="e">
        <f ca="1">MATCH(BD57,OFFSET(Pinlist!$A$2,BC56*(BA57=BA56),0,$BM$23,1),0)+BC56*(BA57=BA56)</f>
        <v>#N/A</v>
      </c>
      <c r="BD57" s="167" t="str">
        <f t="shared" ca="1" si="2"/>
        <v/>
      </c>
      <c r="BE57" s="191" t="e">
        <f ca="1">(OFFSET(Pinlist!$E$1,BC57,0)-$BN$16)*$BN$19</f>
        <v>#N/A</v>
      </c>
      <c r="BF57" s="192" t="e">
        <f ca="1">(OFFSET(Pinlist!$F$1,BC57,0)-$BO$16)*$BO$19</f>
        <v>#N/A</v>
      </c>
      <c r="BG57" s="1098" t="str">
        <f ca="1">IF(LEFT(BD57,2)="RF",OFFSET(Pinlist!$D$1,Chart!BC57,0)&amp;"_"&amp;OFFSET(Pinlist!$G$1,Chart!BC57,0),"")</f>
        <v/>
      </c>
      <c r="BH57" s="1098"/>
      <c r="BI57" s="178"/>
      <c r="BK57" s="1212">
        <f>DUT!G12*DUT!BD20</f>
        <v>0</v>
      </c>
      <c r="BL57" s="181">
        <v>0</v>
      </c>
      <c r="BP57" s="132"/>
      <c r="BQ57" s="530">
        <f ca="1">IF(BS56=OFFSET($BO$3,BQ56,0),MATCH(1,OFFSET($BM$4,BQ56,0):$BM$13,0)+BQ56,BQ56)</f>
        <v>9</v>
      </c>
      <c r="BR57" s="531" t="str">
        <f ca="1">IF(OFFSET($BN$3,BQ57,0)&lt;&gt;"P",OFFSET($BN$3,BQ57,0),IF(AND(BS57&lt;10,Pinlist!$B$3&gt;9),"P0","P"))</f>
        <v>P</v>
      </c>
      <c r="BS57" s="531">
        <f t="shared" ca="1" si="10"/>
        <v>46</v>
      </c>
      <c r="BT57" s="531" t="str">
        <f t="shared" ca="1" si="11"/>
        <v>P46</v>
      </c>
      <c r="BU57" s="174">
        <f t="shared" ca="1" si="12"/>
        <v>0</v>
      </c>
      <c r="BV57" s="524">
        <f ca="1">COUNTIF(OFFSET(Pinlist!$A$2,0,0,$BM$23),BT57)</f>
        <v>0</v>
      </c>
      <c r="BW57" s="178"/>
      <c r="BX57" s="518" t="e">
        <f ca="1">MATCH(1,OFFSET($BU$4,BX56,0):$BU$63,0)+BX56</f>
        <v>#N/A</v>
      </c>
      <c r="BY57" s="174" t="str">
        <f t="shared" ca="1" si="13"/>
        <v/>
      </c>
      <c r="BZ57" s="174">
        <f t="shared" ca="1" si="14"/>
        <v>1</v>
      </c>
      <c r="CA57" s="524">
        <f t="shared" ca="1" si="15"/>
        <v>53</v>
      </c>
      <c r="CB57" s="178"/>
      <c r="CC57" s="533" t="e">
        <f ca="1">MATCH("S",OFFSET(Pinlist!$C$2,CC56,0,$BM$23-CC56,1),0)+CC56</f>
        <v>#N/A</v>
      </c>
      <c r="CD57" s="191" t="e">
        <f ca="1">(OFFSET(Pinlist!$E$1,CC57,0)-$BN$16)*$BN$19</f>
        <v>#N/A</v>
      </c>
      <c r="CE57" s="192" t="e">
        <f ca="1">(OFFSET(Pinlist!$F$1,CC57,0)-$BO$16)*$BO$19</f>
        <v>#N/A</v>
      </c>
      <c r="CF57" s="178"/>
      <c r="CG57" s="518"/>
      <c r="CH57" s="174"/>
      <c r="CI57" s="1098" t="e">
        <f ca="1">CI53</f>
        <v>#REF!</v>
      </c>
      <c r="CJ57" s="1098" t="e">
        <f ca="1">CJ53</f>
        <v>#REF!</v>
      </c>
      <c r="CK57" s="1098">
        <f ca="1">CK53</f>
        <v>0</v>
      </c>
      <c r="CL57" s="1098">
        <f ca="1">CL53</f>
        <v>0</v>
      </c>
      <c r="CM57" s="183"/>
      <c r="CN57" s="184"/>
      <c r="CO57" s="202"/>
      <c r="CP57" s="178"/>
      <c r="CQ57" s="178"/>
      <c r="CR57" s="178"/>
      <c r="CS57" s="178"/>
      <c r="CT57" s="178"/>
      <c r="CU57" s="178"/>
      <c r="CV57" s="178"/>
      <c r="CW57" s="178"/>
      <c r="CX57" s="178"/>
      <c r="CY57" s="178"/>
      <c r="CZ57" s="178"/>
      <c r="DA57" s="150"/>
    </row>
    <row r="58" spans="1:105" x14ac:dyDescent="0.2">
      <c r="A58" s="149"/>
      <c r="B58" s="149"/>
      <c r="C58" s="149"/>
      <c r="D58" s="149"/>
      <c r="E58" s="149"/>
      <c r="F58" s="149"/>
      <c r="G58" s="149"/>
      <c r="H58" s="149"/>
      <c r="I58" s="149"/>
      <c r="J58" s="149"/>
      <c r="K58" s="149"/>
      <c r="L58" s="1219" t="s">
        <v>862</v>
      </c>
      <c r="M58" s="1017" t="e">
        <f ca="1">"Probe Array Area 2 is "&amp;FIXED($CU$16,2)&amp;" x "&amp;FIXED($CV$16,2)&amp;" mm"&amp;" (core rotated @ "&amp;IF($CV$17&lt;0,FIXED($CV$17*-1,2)&amp;"° CW)",FIXED($CV$17,2)&amp;"° CCW)")</f>
        <v>#REF!</v>
      </c>
      <c r="N58" s="560"/>
      <c r="P58" s="499"/>
      <c r="BA58" s="518">
        <f t="shared" ca="1" si="0"/>
        <v>55</v>
      </c>
      <c r="BB58" s="174">
        <f t="shared" ca="1" si="1"/>
        <v>1</v>
      </c>
      <c r="BC58" s="525" t="e">
        <f ca="1">MATCH(BD58,OFFSET(Pinlist!$A$2,BC57*(BA58=BA57),0,$BM$23,1),0)+BC57*(BA58=BA57)</f>
        <v>#N/A</v>
      </c>
      <c r="BD58" s="167" t="str">
        <f t="shared" ca="1" si="2"/>
        <v/>
      </c>
      <c r="BE58" s="191" t="e">
        <f ca="1">(OFFSET(Pinlist!$E$1,BC58,0)-$BN$16)*$BN$19</f>
        <v>#N/A</v>
      </c>
      <c r="BF58" s="192" t="e">
        <f ca="1">(OFFSET(Pinlist!$F$1,BC58,0)-$BO$16)*$BO$19</f>
        <v>#N/A</v>
      </c>
      <c r="BG58" s="1098" t="str">
        <f ca="1">IF(LEFT(BD58,2)="RF",OFFSET(Pinlist!$D$1,Chart!BC58,0)&amp;"_"&amp;OFFSET(Pinlist!$G$1,Chart!BC58,0),"")</f>
        <v/>
      </c>
      <c r="BH58" s="1098"/>
      <c r="BI58" s="178"/>
      <c r="BK58" s="1212">
        <f>BK57</f>
        <v>0</v>
      </c>
      <c r="BL58" s="181">
        <f>DUT!J12*DUT!$BD$20</f>
        <v>0</v>
      </c>
      <c r="BP58" s="132"/>
      <c r="BQ58" s="530">
        <f ca="1">IF(BS57=OFFSET($BO$3,BQ57,0),MATCH(1,OFFSET($BM$4,BQ57,0):$BM$13,0)+BQ57,BQ57)</f>
        <v>9</v>
      </c>
      <c r="BR58" s="531" t="str">
        <f ca="1">IF(OFFSET($BN$3,BQ58,0)&lt;&gt;"P",OFFSET($BN$3,BQ58,0),IF(AND(BS58&lt;10,Pinlist!$B$3&gt;9),"P0","P"))</f>
        <v>P</v>
      </c>
      <c r="BS58" s="531">
        <f t="shared" ca="1" si="10"/>
        <v>47</v>
      </c>
      <c r="BT58" s="531" t="str">
        <f t="shared" ca="1" si="11"/>
        <v>P47</v>
      </c>
      <c r="BU58" s="174">
        <f t="shared" ca="1" si="12"/>
        <v>0</v>
      </c>
      <c r="BV58" s="524">
        <f ca="1">COUNTIF(OFFSET(Pinlist!$A$2,0,0,$BM$23),BT58)</f>
        <v>0</v>
      </c>
      <c r="BW58" s="178"/>
      <c r="BX58" s="518" t="e">
        <f ca="1">MATCH(1,OFFSET($BU$4,BX57,0):$BU$63,0)+BX57</f>
        <v>#N/A</v>
      </c>
      <c r="BY58" s="174" t="str">
        <f t="shared" ca="1" si="13"/>
        <v/>
      </c>
      <c r="BZ58" s="174">
        <f t="shared" ca="1" si="14"/>
        <v>1</v>
      </c>
      <c r="CA58" s="524">
        <f t="shared" ca="1" si="15"/>
        <v>54</v>
      </c>
      <c r="CB58" s="178"/>
      <c r="CC58" s="533" t="e">
        <f ca="1">MATCH("S",OFFSET(Pinlist!$C$2,CC57,0,$BM$23-CC57,1),0)+CC57</f>
        <v>#N/A</v>
      </c>
      <c r="CD58" s="191" t="e">
        <f ca="1">(OFFSET(Pinlist!$E$1,CC58,0)-$BN$16)*$BN$19</f>
        <v>#N/A</v>
      </c>
      <c r="CE58" s="192" t="e">
        <f ca="1">(OFFSET(Pinlist!$F$1,CC58,0)-$BO$16)*$BO$19</f>
        <v>#N/A</v>
      </c>
      <c r="CF58" s="178"/>
      <c r="CG58" s="518">
        <f>CG53+1</f>
        <v>11</v>
      </c>
      <c r="CH58" s="174">
        <f>(CG58&lt;$CQ$25)*$CQ$40</f>
        <v>0</v>
      </c>
      <c r="CI58" s="1149" t="e">
        <f ca="1">$CH58*(CI53+$CQ$27+IF($CQ$19,$CQ$20,$CQ$26))</f>
        <v>#REF!</v>
      </c>
      <c r="CJ58" s="1149" t="e">
        <f ca="1">$CH58*(CJ53+$CR$27+IF($CQ$19,$CR$20,$CR$26))</f>
        <v>#REF!</v>
      </c>
      <c r="CK58" s="1149">
        <f ca="1">$CH58*(CK53+$CQ$27+IF($CQ$19,$CQ$20,$CQ$26))</f>
        <v>0</v>
      </c>
      <c r="CL58" s="1149">
        <f ca="1">$CH58*(CL53+$CR$27+IF($CQ$19,$CR$20,$CR$26))</f>
        <v>0</v>
      </c>
      <c r="CM58" s="1149" t="e">
        <f ca="1">IF(CH58,CM53+$CQ$27+IF($CQ$19,$CQ$20,$CQ$26),$CM$3)</f>
        <v>#N/A</v>
      </c>
      <c r="CN58" s="1244" t="e">
        <f ca="1">IF(CH58,CN53+$CR$27+IF($CQ$19,$CR$20,$CR$26),$CN$3)</f>
        <v>#N/A</v>
      </c>
      <c r="CO58" s="200"/>
      <c r="CP58" s="178"/>
      <c r="CQ58" s="178"/>
      <c r="CR58" s="178"/>
      <c r="CS58" s="178"/>
      <c r="CT58" s="178"/>
      <c r="CU58" s="178"/>
      <c r="CV58" s="178"/>
      <c r="CW58" s="178"/>
      <c r="CX58" s="178"/>
      <c r="CY58" s="178"/>
      <c r="CZ58" s="178"/>
      <c r="DA58" s="150"/>
    </row>
    <row r="59" spans="1:105" x14ac:dyDescent="0.2">
      <c r="A59" s="149"/>
      <c r="B59" s="149"/>
      <c r="C59" s="149"/>
      <c r="D59" s="149"/>
      <c r="E59" s="149"/>
      <c r="F59" s="149"/>
      <c r="G59" s="149"/>
      <c r="H59" s="149"/>
      <c r="I59" s="149"/>
      <c r="J59" s="149"/>
      <c r="K59" s="149"/>
      <c r="L59" s="149"/>
      <c r="M59" s="149"/>
      <c r="N59" s="149"/>
      <c r="O59" s="149"/>
      <c r="P59" s="149"/>
      <c r="BA59" s="518">
        <f t="shared" ca="1" si="0"/>
        <v>56</v>
      </c>
      <c r="BB59" s="174">
        <f t="shared" ca="1" si="1"/>
        <v>1</v>
      </c>
      <c r="BC59" s="525" t="e">
        <f ca="1">MATCH(BD59,OFFSET(Pinlist!$A$2,BC58*(BA59=BA58),0,$BM$23,1),0)+BC58*(BA59=BA58)</f>
        <v>#N/A</v>
      </c>
      <c r="BD59" s="167" t="str">
        <f t="shared" ca="1" si="2"/>
        <v/>
      </c>
      <c r="BE59" s="191" t="e">
        <f ca="1">(OFFSET(Pinlist!$E$1,BC59,0)-$BN$16)*$BN$19</f>
        <v>#N/A</v>
      </c>
      <c r="BF59" s="192" t="e">
        <f ca="1">(OFFSET(Pinlist!$F$1,BC59,0)-$BO$16)*$BO$19</f>
        <v>#N/A</v>
      </c>
      <c r="BG59" s="1098" t="str">
        <f ca="1">IF(LEFT(BD59,2)="RF",OFFSET(Pinlist!$D$1,Chart!BC59,0)&amp;"_"&amp;OFFSET(Pinlist!$G$1,Chart!BC59,0),"")</f>
        <v/>
      </c>
      <c r="BH59" s="1098"/>
      <c r="BI59" s="178"/>
      <c r="BK59" s="1212">
        <v>0</v>
      </c>
      <c r="BL59" s="181">
        <f>BL58</f>
        <v>0</v>
      </c>
      <c r="BP59" s="132"/>
      <c r="BQ59" s="530">
        <f ca="1">IF(BS58=OFFSET($BO$3,BQ58,0),MATCH(1,OFFSET($BM$4,BQ58,0):$BM$13,0)+BQ58,BQ58)</f>
        <v>9</v>
      </c>
      <c r="BR59" s="531" t="str">
        <f ca="1">IF(OFFSET($BN$3,BQ59,0)&lt;&gt;"P",OFFSET($BN$3,BQ59,0),IF(AND(BS59&lt;10,Pinlist!$B$3&gt;9),"P0","P"))</f>
        <v>P</v>
      </c>
      <c r="BS59" s="531">
        <f t="shared" ca="1" si="10"/>
        <v>48</v>
      </c>
      <c r="BT59" s="531" t="str">
        <f t="shared" ca="1" si="11"/>
        <v>P48</v>
      </c>
      <c r="BU59" s="174">
        <f t="shared" ca="1" si="12"/>
        <v>0</v>
      </c>
      <c r="BV59" s="524">
        <f ca="1">COUNTIF(OFFSET(Pinlist!$A$2,0,0,$BM$23),BT59)</f>
        <v>0</v>
      </c>
      <c r="BW59" s="178"/>
      <c r="BX59" s="518" t="e">
        <f ca="1">MATCH(1,OFFSET($BU$4,BX58,0):$BU$63,0)+BX58</f>
        <v>#N/A</v>
      </c>
      <c r="BY59" s="174" t="str">
        <f t="shared" ca="1" si="13"/>
        <v/>
      </c>
      <c r="BZ59" s="174">
        <f t="shared" ca="1" si="14"/>
        <v>1</v>
      </c>
      <c r="CA59" s="524">
        <f t="shared" ca="1" si="15"/>
        <v>55</v>
      </c>
      <c r="CB59" s="178"/>
      <c r="CC59" s="533" t="e">
        <f ca="1">MATCH("S",OFFSET(Pinlist!$C$2,CC58,0,$BM$23-CC58,1),0)+CC58</f>
        <v>#N/A</v>
      </c>
      <c r="CD59" s="191" t="e">
        <f ca="1">(OFFSET(Pinlist!$E$1,CC59,0)-$BN$16)*$BN$19</f>
        <v>#N/A</v>
      </c>
      <c r="CE59" s="192" t="e">
        <f ca="1">(OFFSET(Pinlist!$F$1,CC59,0)-$BO$16)*$BO$19</f>
        <v>#N/A</v>
      </c>
      <c r="CF59" s="178"/>
      <c r="CG59" s="518"/>
      <c r="CH59" s="174"/>
      <c r="CI59" s="1098" t="e">
        <f ca="1">CH58*(CI58-DUT!$G$11)</f>
        <v>#REF!</v>
      </c>
      <c r="CJ59" s="1098" t="e">
        <f ca="1">CJ58</f>
        <v>#REF!</v>
      </c>
      <c r="CK59" s="1098">
        <f ca="1">CH58*(CK58-$BJ$5)</f>
        <v>0</v>
      </c>
      <c r="CL59" s="1098">
        <f ca="1">CL58</f>
        <v>0</v>
      </c>
      <c r="CM59" s="183"/>
      <c r="CN59" s="192"/>
      <c r="CO59" s="200"/>
      <c r="CP59" s="178"/>
      <c r="CQ59" s="178"/>
      <c r="CR59" s="178"/>
      <c r="CS59" s="178"/>
      <c r="CT59" s="178"/>
      <c r="CU59" s="178"/>
      <c r="CV59" s="178"/>
      <c r="CW59" s="178"/>
      <c r="CX59" s="178"/>
      <c r="CY59" s="178"/>
      <c r="CZ59" s="178"/>
      <c r="DA59" s="150"/>
    </row>
    <row r="60" spans="1:105" x14ac:dyDescent="0.2">
      <c r="A60" s="149"/>
      <c r="B60" s="149"/>
      <c r="C60" s="149"/>
      <c r="D60" s="149"/>
      <c r="E60" s="149"/>
      <c r="F60" s="149"/>
      <c r="G60" s="149"/>
      <c r="H60" s="149"/>
      <c r="I60" s="149"/>
      <c r="J60" s="149"/>
      <c r="K60" s="149"/>
      <c r="L60" s="1219" t="s">
        <v>862</v>
      </c>
      <c r="M60" s="824" t="e">
        <f ca="1">IF(OR($BL$12,$BL$13),"Indicated Pattern(s) Exceeds Core Max Probe Area","")</f>
        <v>#REF!</v>
      </c>
      <c r="BA60" s="518">
        <f t="shared" ca="1" si="0"/>
        <v>57</v>
      </c>
      <c r="BB60" s="174">
        <f t="shared" ca="1" si="1"/>
        <v>1</v>
      </c>
      <c r="BC60" s="525" t="e">
        <f ca="1">MATCH(BD60,OFFSET(Pinlist!$A$2,BC59*(BA60=BA59),0,$BM$23,1),0)+BC59*(BA60=BA59)</f>
        <v>#N/A</v>
      </c>
      <c r="BD60" s="167" t="str">
        <f t="shared" ca="1" si="2"/>
        <v/>
      </c>
      <c r="BE60" s="191" t="e">
        <f ca="1">(OFFSET(Pinlist!$E$1,BC60,0)-$BN$16)*$BN$19</f>
        <v>#N/A</v>
      </c>
      <c r="BF60" s="192" t="e">
        <f ca="1">(OFFSET(Pinlist!$F$1,BC60,0)-$BO$16)*$BO$19</f>
        <v>#N/A</v>
      </c>
      <c r="BG60" s="1098" t="str">
        <f ca="1">IF(LEFT(BD60,2)="RF",OFFSET(Pinlist!$D$1,Chart!BC60,0)&amp;"_"&amp;OFFSET(Pinlist!$G$1,Chart!BC60,0),"")</f>
        <v/>
      </c>
      <c r="BH60" s="1098"/>
      <c r="BI60" s="178"/>
      <c r="BK60" s="1212">
        <v>0</v>
      </c>
      <c r="BL60" s="181">
        <v>0</v>
      </c>
      <c r="BP60" s="132"/>
      <c r="BQ60" s="530" t="e">
        <f ca="1">IF(BS59=OFFSET($BO$3,BQ59,0),MATCH(1,OFFSET($BM$4,BQ59,0):$BM$13,0)+BQ59,BQ59)</f>
        <v>#N/A</v>
      </c>
      <c r="BR60" s="531" t="e">
        <f ca="1">IF(OFFSET($BN$3,BQ60,0)&lt;&gt;"P",OFFSET($BN$3,BQ60,0),IF(AND(BS60&lt;10,Pinlist!$B$3&gt;9),"P0","P"))</f>
        <v>#N/A</v>
      </c>
      <c r="BS60" s="531" t="e">
        <f t="shared" ca="1" si="10"/>
        <v>#N/A</v>
      </c>
      <c r="BT60" s="531" t="e">
        <f t="shared" ca="1" si="11"/>
        <v>#N/A</v>
      </c>
      <c r="BU60" s="174">
        <f t="shared" ca="1" si="12"/>
        <v>0</v>
      </c>
      <c r="BV60" s="524">
        <f ca="1">COUNTIF(OFFSET(Pinlist!$A$2,0,0,$BM$23),BT60)</f>
        <v>0</v>
      </c>
      <c r="BW60" s="178"/>
      <c r="BX60" s="518" t="e">
        <f ca="1">MATCH(1,OFFSET($BU$4,BX59,0):$BU$63,0)+BX59</f>
        <v>#N/A</v>
      </c>
      <c r="BY60" s="174" t="str">
        <f t="shared" ca="1" si="13"/>
        <v/>
      </c>
      <c r="BZ60" s="174">
        <f t="shared" ca="1" si="14"/>
        <v>1</v>
      </c>
      <c r="CA60" s="524">
        <f t="shared" ca="1" si="15"/>
        <v>56</v>
      </c>
      <c r="CB60" s="178"/>
      <c r="CC60" s="533" t="e">
        <f ca="1">MATCH("S",OFFSET(Pinlist!$C$2,CC59,0,$BM$23-CC59,1),0)+CC59</f>
        <v>#N/A</v>
      </c>
      <c r="CD60" s="191" t="e">
        <f ca="1">(OFFSET(Pinlist!$E$1,CC60,0)-$BN$16)*$BN$19</f>
        <v>#N/A</v>
      </c>
      <c r="CE60" s="192" t="e">
        <f ca="1">(OFFSET(Pinlist!$F$1,CC60,0)-$BO$16)*$BO$19</f>
        <v>#N/A</v>
      </c>
      <c r="CF60" s="178"/>
      <c r="CG60" s="518"/>
      <c r="CH60" s="174"/>
      <c r="CI60" s="1098" t="e">
        <f ca="1">CI59</f>
        <v>#REF!</v>
      </c>
      <c r="CJ60" s="1098" t="e">
        <f ca="1">CH58*(CJ59-DUT!$J$11)</f>
        <v>#REF!</v>
      </c>
      <c r="CK60" s="1098">
        <f ca="1">CK59</f>
        <v>0</v>
      </c>
      <c r="CL60" s="1098">
        <f ca="1">CH58*(CL59-$BK$5)</f>
        <v>0</v>
      </c>
      <c r="CM60" s="183"/>
      <c r="CN60" s="192"/>
      <c r="CO60" s="200"/>
      <c r="CP60" s="178"/>
      <c r="CQ60" s="178"/>
      <c r="CR60" s="178"/>
      <c r="CS60" s="178"/>
      <c r="CT60" s="178"/>
      <c r="CU60" s="178"/>
      <c r="CV60" s="178"/>
      <c r="CW60" s="178"/>
      <c r="CX60" s="178"/>
      <c r="CY60" s="178"/>
      <c r="CZ60" s="178"/>
      <c r="DA60" s="150"/>
    </row>
    <row r="61" spans="1:105" x14ac:dyDescent="0.2">
      <c r="A61" s="149"/>
      <c r="B61" s="149"/>
      <c r="C61" s="149"/>
      <c r="D61" s="149"/>
      <c r="E61" s="149"/>
      <c r="F61" s="149"/>
      <c r="G61" s="149"/>
      <c r="H61" s="149"/>
      <c r="I61" s="149"/>
      <c r="J61" s="149"/>
      <c r="K61" s="149"/>
      <c r="BA61" s="518">
        <f t="shared" ca="1" si="0"/>
        <v>58</v>
      </c>
      <c r="BB61" s="174">
        <f t="shared" ca="1" si="1"/>
        <v>1</v>
      </c>
      <c r="BC61" s="525" t="e">
        <f ca="1">MATCH(BD61,OFFSET(Pinlist!$A$2,BC60*(BA61=BA60),0,$BM$23,1),0)+BC60*(BA61=BA60)</f>
        <v>#N/A</v>
      </c>
      <c r="BD61" s="167" t="str">
        <f t="shared" ca="1" si="2"/>
        <v/>
      </c>
      <c r="BE61" s="191" t="e">
        <f ca="1">(OFFSET(Pinlist!$E$1,BC61,0)-$BN$16)*$BN$19</f>
        <v>#N/A</v>
      </c>
      <c r="BF61" s="192" t="e">
        <f ca="1">(OFFSET(Pinlist!$F$1,BC61,0)-$BO$16)*$BO$19</f>
        <v>#N/A</v>
      </c>
      <c r="BG61" s="1098" t="str">
        <f ca="1">IF(LEFT(BD61,2)="RF",OFFSET(Pinlist!$D$1,Chart!BC61,0)&amp;"_"&amp;OFFSET(Pinlist!$G$1,Chart!BC61,0),"")</f>
        <v/>
      </c>
      <c r="BH61" s="1098"/>
      <c r="BI61" s="178"/>
      <c r="BK61" s="1214" t="s">
        <v>227</v>
      </c>
      <c r="BL61" s="181"/>
      <c r="BP61" s="132"/>
      <c r="BQ61" s="530" t="e">
        <f ca="1">IF(BS60=OFFSET($BO$3,BQ60,0),MATCH(1,OFFSET($BM$4,BQ60,0):$BM$13,0)+BQ60,BQ60)</f>
        <v>#N/A</v>
      </c>
      <c r="BR61" s="531" t="e">
        <f ca="1">IF(OFFSET($BN$3,BQ61,0)&lt;&gt;"P",OFFSET($BN$3,BQ61,0),IF(AND(BS61&lt;10,Pinlist!$B$3&gt;9),"P0","P"))</f>
        <v>#N/A</v>
      </c>
      <c r="BS61" s="531" t="e">
        <f t="shared" ca="1" si="10"/>
        <v>#N/A</v>
      </c>
      <c r="BT61" s="531" t="e">
        <f t="shared" ca="1" si="11"/>
        <v>#N/A</v>
      </c>
      <c r="BU61" s="174">
        <f t="shared" ca="1" si="12"/>
        <v>0</v>
      </c>
      <c r="BV61" s="524">
        <f ca="1">COUNTIF(OFFSET(Pinlist!$A$2,0,0,$BM$23),BT61)</f>
        <v>0</v>
      </c>
      <c r="BW61" s="178"/>
      <c r="BX61" s="518" t="e">
        <f ca="1">MATCH(1,OFFSET($BU$4,BX60,0):$BU$63,0)+BX60</f>
        <v>#N/A</v>
      </c>
      <c r="BY61" s="174" t="str">
        <f t="shared" ca="1" si="13"/>
        <v/>
      </c>
      <c r="BZ61" s="174">
        <f t="shared" ca="1" si="14"/>
        <v>1</v>
      </c>
      <c r="CA61" s="524">
        <f t="shared" ca="1" si="15"/>
        <v>57</v>
      </c>
      <c r="CB61" s="178"/>
      <c r="CC61" s="533" t="e">
        <f ca="1">MATCH("S",OFFSET(Pinlist!$C$2,CC60,0,$BM$23-CC60,1),0)+CC60</f>
        <v>#N/A</v>
      </c>
      <c r="CD61" s="191" t="e">
        <f ca="1">(OFFSET(Pinlist!$E$1,CC61,0)-$BN$16)*$BN$19</f>
        <v>#N/A</v>
      </c>
      <c r="CE61" s="192" t="e">
        <f ca="1">(OFFSET(Pinlist!$F$1,CC61,0)-$BO$16)*$BO$19</f>
        <v>#N/A</v>
      </c>
      <c r="CF61" s="178"/>
      <c r="CG61" s="518"/>
      <c r="CH61" s="174"/>
      <c r="CI61" s="1098" t="e">
        <f ca="1">CI58</f>
        <v>#REF!</v>
      </c>
      <c r="CJ61" s="1098" t="e">
        <f ca="1">CJ60</f>
        <v>#REF!</v>
      </c>
      <c r="CK61" s="1098">
        <f ca="1">CK58</f>
        <v>0</v>
      </c>
      <c r="CL61" s="1098">
        <f ca="1">CL60</f>
        <v>0</v>
      </c>
      <c r="CM61" s="183"/>
      <c r="CN61" s="192"/>
      <c r="CO61" s="200"/>
      <c r="CP61" s="178"/>
      <c r="CQ61" s="178"/>
      <c r="CR61" s="178"/>
      <c r="CS61" s="178"/>
      <c r="CT61" s="178"/>
      <c r="CU61" s="178"/>
      <c r="CV61" s="178"/>
      <c r="CW61" s="178"/>
      <c r="CX61" s="178"/>
      <c r="CY61" s="178"/>
      <c r="CZ61" s="178"/>
      <c r="DA61" s="150"/>
    </row>
    <row r="62" spans="1:105" x14ac:dyDescent="0.2">
      <c r="A62" s="149"/>
      <c r="B62" s="149"/>
      <c r="C62" s="149"/>
      <c r="D62" s="149"/>
      <c r="E62" s="149"/>
      <c r="F62" s="149"/>
      <c r="G62" s="149"/>
      <c r="H62" s="149"/>
      <c r="I62" s="149"/>
      <c r="J62" s="149"/>
      <c r="K62" s="149"/>
      <c r="T62" s="1090"/>
      <c r="BA62" s="518">
        <f t="shared" ca="1" si="0"/>
        <v>59</v>
      </c>
      <c r="BB62" s="174">
        <f t="shared" ca="1" si="1"/>
        <v>1</v>
      </c>
      <c r="BC62" s="525" t="e">
        <f ca="1">MATCH(BD62,OFFSET(Pinlist!$A$2,BC61*(BA62=BA61),0,$BM$23,1),0)+BC61*(BA62=BA61)</f>
        <v>#N/A</v>
      </c>
      <c r="BD62" s="167" t="str">
        <f t="shared" ca="1" si="2"/>
        <v/>
      </c>
      <c r="BE62" s="191" t="e">
        <f ca="1">(OFFSET(Pinlist!$E$1,BC62,0)-$BN$16)*$BN$19</f>
        <v>#N/A</v>
      </c>
      <c r="BF62" s="192" t="e">
        <f ca="1">(OFFSET(Pinlist!$F$1,BC62,0)-$BO$16)*$BO$19</f>
        <v>#N/A</v>
      </c>
      <c r="BG62" s="1098" t="str">
        <f ca="1">IF(LEFT(BD62,2)="RF",OFFSET(Pinlist!$D$1,Chart!BC62,0)&amp;"_"&amp;OFFSET(Pinlist!$G$1,Chart!BC62,0),"")</f>
        <v/>
      </c>
      <c r="BH62" s="1098"/>
      <c r="BI62" s="178"/>
      <c r="BJ62" s="178"/>
      <c r="BK62" s="1212">
        <f>MAX(BK58:BL58)</f>
        <v>0</v>
      </c>
      <c r="BL62" s="181">
        <f>BK62</f>
        <v>0</v>
      </c>
      <c r="BM62" s="132"/>
      <c r="BN62" s="132"/>
      <c r="BO62" s="132"/>
      <c r="BP62" s="132"/>
      <c r="BQ62" s="530" t="e">
        <f ca="1">IF(BS61=OFFSET($BO$3,BQ61,0),MATCH(1,OFFSET($BM$4,BQ61,0):$BM$13,0)+BQ61,BQ61)</f>
        <v>#N/A</v>
      </c>
      <c r="BR62" s="531" t="e">
        <f ca="1">IF(OFFSET($BN$3,BQ62,0)&lt;&gt;"P",OFFSET($BN$3,BQ62,0),IF(AND(BS62&lt;10,Pinlist!$B$3&gt;9),"P0","P"))</f>
        <v>#N/A</v>
      </c>
      <c r="BS62" s="531" t="e">
        <f t="shared" ca="1" si="10"/>
        <v>#N/A</v>
      </c>
      <c r="BT62" s="531" t="e">
        <f t="shared" ca="1" si="11"/>
        <v>#N/A</v>
      </c>
      <c r="BU62" s="174">
        <f t="shared" ca="1" si="12"/>
        <v>0</v>
      </c>
      <c r="BV62" s="524">
        <f ca="1">COUNTIF(OFFSET(Pinlist!$A$2,0,0,$BM$23),BT62)</f>
        <v>0</v>
      </c>
      <c r="BW62" s="178"/>
      <c r="BX62" s="518" t="e">
        <f ca="1">MATCH(1,OFFSET($BU$4,BX61,0):$BU$63,0)+BX61</f>
        <v>#N/A</v>
      </c>
      <c r="BY62" s="174" t="str">
        <f t="shared" ca="1" si="13"/>
        <v/>
      </c>
      <c r="BZ62" s="174">
        <f t="shared" ca="1" si="14"/>
        <v>1</v>
      </c>
      <c r="CA62" s="524">
        <f t="shared" ca="1" si="15"/>
        <v>58</v>
      </c>
      <c r="CB62" s="178"/>
      <c r="CC62" s="533" t="e">
        <f ca="1">MATCH("S",OFFSET(Pinlist!$C$2,CC61,0,$BM$23-CC61,1),0)+CC61</f>
        <v>#N/A</v>
      </c>
      <c r="CD62" s="191" t="e">
        <f ca="1">(OFFSET(Pinlist!$E$1,CC62,0)-$BN$16)*$BN$19</f>
        <v>#N/A</v>
      </c>
      <c r="CE62" s="192" t="e">
        <f ca="1">(OFFSET(Pinlist!$F$1,CC62,0)-$BO$16)*$BO$19</f>
        <v>#N/A</v>
      </c>
      <c r="CF62" s="178"/>
      <c r="CG62" s="518"/>
      <c r="CH62" s="174"/>
      <c r="CI62" s="1098" t="e">
        <f ca="1">CI58</f>
        <v>#REF!</v>
      </c>
      <c r="CJ62" s="1098" t="e">
        <f ca="1">CJ58</f>
        <v>#REF!</v>
      </c>
      <c r="CK62" s="1098">
        <f ca="1">CK58</f>
        <v>0</v>
      </c>
      <c r="CL62" s="1098">
        <f ca="1">CL58</f>
        <v>0</v>
      </c>
      <c r="CM62" s="183"/>
      <c r="CN62" s="192"/>
      <c r="CO62" s="200"/>
      <c r="CP62" s="178"/>
      <c r="CQ62" s="178"/>
      <c r="CR62" s="178"/>
      <c r="CS62" s="178"/>
      <c r="CT62" s="178"/>
      <c r="CU62" s="178"/>
      <c r="CV62" s="178"/>
      <c r="CW62" s="178"/>
      <c r="CX62" s="178"/>
      <c r="CY62" s="178"/>
      <c r="CZ62" s="178"/>
      <c r="DA62" s="150"/>
    </row>
    <row r="63" spans="1:105" ht="13.5" thickBot="1" x14ac:dyDescent="0.25">
      <c r="A63" s="149"/>
      <c r="B63" s="149"/>
      <c r="C63" s="149"/>
      <c r="D63" s="149"/>
      <c r="E63" s="149"/>
      <c r="F63" s="149"/>
      <c r="G63" s="149"/>
      <c r="H63" s="149"/>
      <c r="I63" s="149"/>
      <c r="J63" s="149"/>
      <c r="K63" s="149"/>
      <c r="N63" s="1617" t="str">
        <f>"Site "&amp;DUT!G19 &amp;"
Scribe line"</f>
        <v>Site 1
Scribe line</v>
      </c>
      <c r="BA63" s="518">
        <f t="shared" ca="1" si="0"/>
        <v>60</v>
      </c>
      <c r="BB63" s="174">
        <f t="shared" ca="1" si="1"/>
        <v>1</v>
      </c>
      <c r="BC63" s="525" t="e">
        <f ca="1">MATCH(BD63,OFFSET(Pinlist!$A$2,BC62*(BA63=BA62),0,$BM$23,1),0)+BC62*(BA63=BA62)</f>
        <v>#N/A</v>
      </c>
      <c r="BD63" s="167" t="str">
        <f t="shared" ca="1" si="2"/>
        <v/>
      </c>
      <c r="BE63" s="191" t="e">
        <f ca="1">(OFFSET(Pinlist!$E$1,BC63,0)-$BN$16)*$BN$19</f>
        <v>#N/A</v>
      </c>
      <c r="BF63" s="192" t="e">
        <f ca="1">(OFFSET(Pinlist!$F$1,BC63,0)-$BO$16)*$BO$19</f>
        <v>#N/A</v>
      </c>
      <c r="BG63" s="1098" t="str">
        <f ca="1">IF(LEFT(BD63,2)="RF",OFFSET(Pinlist!$D$1,Chart!BC63,0)&amp;"_"&amp;OFFSET(Pinlist!$G$1,Chart!BC63,0),"")</f>
        <v/>
      </c>
      <c r="BH63" s="1098"/>
      <c r="BI63" s="178"/>
      <c r="BJ63" s="178"/>
      <c r="BK63" s="1213" t="s">
        <v>797</v>
      </c>
      <c r="BL63" s="486" t="b">
        <f>DUT!BD20</f>
        <v>0</v>
      </c>
      <c r="BM63" s="132"/>
      <c r="BN63" s="132"/>
      <c r="BO63" s="132"/>
      <c r="BP63" s="132"/>
      <c r="BQ63" s="530" t="e">
        <f ca="1">IF(BS62=OFFSET($BO$3,BQ62,0),MATCH(1,OFFSET($BM$4,BQ62,0):$BM$13,0)+BQ62,BQ62)</f>
        <v>#N/A</v>
      </c>
      <c r="BR63" s="531" t="e">
        <f ca="1">IF(OFFSET($BN$3,BQ63,0)&lt;&gt;"P",OFFSET($BN$3,BQ63,0),IF(AND(BS63&lt;10,Pinlist!$B$3&gt;9),"P0","P"))</f>
        <v>#N/A</v>
      </c>
      <c r="BS63" s="531" t="e">
        <f t="shared" ca="1" si="10"/>
        <v>#N/A</v>
      </c>
      <c r="BT63" s="531" t="e">
        <f t="shared" ca="1" si="11"/>
        <v>#N/A</v>
      </c>
      <c r="BU63" s="174">
        <f t="shared" ca="1" si="12"/>
        <v>0</v>
      </c>
      <c r="BV63" s="524">
        <f ca="1">COUNTIF(OFFSET(Pinlist!$A$2,0,0,$BM$23),BT63)</f>
        <v>0</v>
      </c>
      <c r="BW63" s="178"/>
      <c r="BX63" s="518" t="e">
        <f ca="1">MATCH(1,OFFSET($BU$4,BX62,0):$BU$63,0)+BX62</f>
        <v>#N/A</v>
      </c>
      <c r="BY63" s="174" t="str">
        <f t="shared" ca="1" si="13"/>
        <v/>
      </c>
      <c r="BZ63" s="174">
        <f t="shared" ca="1" si="14"/>
        <v>1</v>
      </c>
      <c r="CA63" s="524">
        <f t="shared" ca="1" si="15"/>
        <v>59</v>
      </c>
      <c r="CB63" s="178"/>
      <c r="CC63" s="533" t="e">
        <f ca="1">MATCH("S",OFFSET(Pinlist!$C$2,CC62,0,$BM$23-CC62,1),0)+CC62</f>
        <v>#N/A</v>
      </c>
      <c r="CD63" s="191" t="e">
        <f ca="1">(OFFSET(Pinlist!$E$1,CC63,0)-$BN$16)*$BN$19</f>
        <v>#N/A</v>
      </c>
      <c r="CE63" s="192" t="e">
        <f ca="1">(OFFSET(Pinlist!$F$1,CC63,0)-$BO$16)*$BO$19</f>
        <v>#N/A</v>
      </c>
      <c r="CF63" s="178"/>
      <c r="CG63" s="518">
        <f>CG58+1</f>
        <v>12</v>
      </c>
      <c r="CH63" s="174">
        <f>(CG63&lt;$CQ$25)*$CQ$40</f>
        <v>0</v>
      </c>
      <c r="CI63" s="1150" t="e">
        <f ca="1">$CH63*IF($CQ$19,CI53+$CQ$26,CI58-$CQ$27+$CQ$26)</f>
        <v>#REF!</v>
      </c>
      <c r="CJ63" s="1150" t="e">
        <f ca="1">$CH63*IF($CQ$19,CJ53+$CR$26,CJ58-$CR$27+$CR$26)</f>
        <v>#REF!</v>
      </c>
      <c r="CK63" s="1150">
        <f ca="1">$CH63*IF($CQ$19,CK53+$CQ$26,CK58-$CQ$27+$CQ$26)</f>
        <v>0</v>
      </c>
      <c r="CL63" s="1150">
        <f ca="1">$CH63*IF($CQ$19,CL53+$CR$26,CL58-$CR$27+$CR$26)</f>
        <v>0</v>
      </c>
      <c r="CM63" s="1150" t="e">
        <f ca="1">IF(CH63,IF($CQ$19,CM53+$CQ$26,CM58-$CQ$27+$CQ$26),$CM$3)</f>
        <v>#N/A</v>
      </c>
      <c r="CN63" s="1245" t="e">
        <f ca="1">IF(CH63,IF($CQ$19,CN53+$CR$26,CN58-$CR$27+$CR$26),$CN$3)</f>
        <v>#N/A</v>
      </c>
      <c r="CO63" s="202"/>
      <c r="CP63" s="178"/>
      <c r="CQ63" s="178"/>
      <c r="CR63" s="178"/>
      <c r="CS63" s="178"/>
      <c r="CT63" s="178"/>
      <c r="CU63" s="178"/>
      <c r="CV63" s="178"/>
      <c r="CW63" s="178"/>
      <c r="CX63" s="178"/>
      <c r="CY63" s="178"/>
      <c r="CZ63" s="178"/>
      <c r="DA63" s="150"/>
    </row>
    <row r="64" spans="1:105" x14ac:dyDescent="0.2">
      <c r="A64" s="149"/>
      <c r="B64" s="149"/>
      <c r="C64" s="149"/>
      <c r="D64" s="149"/>
      <c r="E64" s="149"/>
      <c r="F64" s="149"/>
      <c r="G64" s="149"/>
      <c r="H64" s="149"/>
      <c r="I64" s="149"/>
      <c r="J64" s="149"/>
      <c r="K64" s="149"/>
      <c r="L64" s="206"/>
      <c r="M64" s="1010" t="s">
        <v>227</v>
      </c>
      <c r="N64" s="1618"/>
      <c r="BA64" s="518">
        <f t="shared" ca="1" si="0"/>
        <v>61</v>
      </c>
      <c r="BB64" s="174">
        <f t="shared" ca="1" si="1"/>
        <v>1</v>
      </c>
      <c r="BC64" s="525" t="e">
        <f ca="1">MATCH(BD64,OFFSET(Pinlist!$A$2,BC63*(BA64=BA63),0,$BM$23,1),0)+BC63*(BA64=BA63)</f>
        <v>#N/A</v>
      </c>
      <c r="BD64" s="167">
        <f t="shared" ca="1" si="2"/>
        <v>0</v>
      </c>
      <c r="BE64" s="191" t="e">
        <f ca="1">(OFFSET(Pinlist!$E$1,BC64,0)-$BN$16)*$BN$19</f>
        <v>#N/A</v>
      </c>
      <c r="BF64" s="192" t="e">
        <f ca="1">(OFFSET(Pinlist!$F$1,BC64,0)-$BO$16)*$BO$19</f>
        <v>#N/A</v>
      </c>
      <c r="BG64" s="1098" t="str">
        <f ca="1">IF(LEFT(BD64,2)="RF",OFFSET(Pinlist!$D$1,Chart!BC64,0)&amp;"_"&amp;OFFSET(Pinlist!$G$1,Chart!BC64,0),"")</f>
        <v/>
      </c>
      <c r="BH64" s="1098"/>
      <c r="BI64" s="178"/>
      <c r="BJ64" s="178"/>
      <c r="BK64" s="178"/>
      <c r="BL64" s="178"/>
      <c r="BM64" s="132"/>
      <c r="BN64" s="132"/>
      <c r="BO64" s="132"/>
      <c r="BP64" s="132"/>
      <c r="BQ64" s="550"/>
      <c r="BR64" s="550"/>
      <c r="BS64" s="550"/>
      <c r="BT64" s="550"/>
      <c r="BU64" s="551"/>
      <c r="BV64" s="551"/>
      <c r="BW64" s="552"/>
      <c r="BX64" s="207"/>
      <c r="BY64" s="207"/>
      <c r="BZ64" s="207"/>
      <c r="CA64" s="207"/>
      <c r="CB64" s="178"/>
      <c r="CC64" s="533" t="e">
        <f ca="1">MATCH("S",OFFSET(Pinlist!$C$2,CC63,0,$BM$23-CC63,1),0)+CC63</f>
        <v>#N/A</v>
      </c>
      <c r="CD64" s="191" t="e">
        <f ca="1">(OFFSET(Pinlist!$E$1,CC64,0)-$BN$16)*$BN$19</f>
        <v>#N/A</v>
      </c>
      <c r="CE64" s="192" t="e">
        <f ca="1">(OFFSET(Pinlist!$F$1,CC64,0)-$BO$16)*$BO$19</f>
        <v>#N/A</v>
      </c>
      <c r="CF64" s="178"/>
      <c r="CG64" s="518"/>
      <c r="CH64" s="174"/>
      <c r="CI64" s="1098" t="e">
        <f ca="1">CH63*(CI63-DUT!$G$11)</f>
        <v>#REF!</v>
      </c>
      <c r="CJ64" s="1098" t="e">
        <f ca="1">CJ63</f>
        <v>#REF!</v>
      </c>
      <c r="CK64" s="1098">
        <f ca="1">CH63*(CK63-$BJ$5)</f>
        <v>0</v>
      </c>
      <c r="CL64" s="1098">
        <f ca="1">CL63</f>
        <v>0</v>
      </c>
      <c r="CM64" s="183"/>
      <c r="CN64" s="184"/>
      <c r="CO64" s="202"/>
      <c r="CP64" s="178"/>
      <c r="CQ64" s="178"/>
      <c r="CR64" s="178"/>
      <c r="CS64" s="178"/>
      <c r="CT64" s="178"/>
      <c r="CU64" s="178"/>
      <c r="CV64" s="178"/>
      <c r="CW64" s="178"/>
      <c r="CX64" s="178"/>
      <c r="CY64" s="178"/>
      <c r="CZ64" s="178"/>
      <c r="DA64" s="150"/>
    </row>
    <row r="65" spans="1:105" x14ac:dyDescent="0.2">
      <c r="A65" s="149"/>
      <c r="B65" s="149"/>
      <c r="C65" s="149"/>
      <c r="D65" s="149"/>
      <c r="E65" s="149"/>
      <c r="F65" s="149"/>
      <c r="G65" s="149"/>
      <c r="H65" s="149"/>
      <c r="I65" s="149"/>
      <c r="J65" s="149"/>
      <c r="K65" s="149"/>
      <c r="N65" s="1619"/>
      <c r="BA65" s="518">
        <f t="shared" ca="1" si="0"/>
        <v>61</v>
      </c>
      <c r="BB65" s="174">
        <f t="shared" ca="1" si="1"/>
        <v>2</v>
      </c>
      <c r="BC65" s="525" t="e">
        <f ca="1">MATCH(BD65,OFFSET(Pinlist!$A$2,BC64*(BA65=BA64),0,$BM$23,1),0)+BC64*(BA65=BA64)</f>
        <v>#N/A</v>
      </c>
      <c r="BD65" s="167">
        <f t="shared" ca="1" si="2"/>
        <v>0</v>
      </c>
      <c r="BE65" s="191" t="e">
        <f ca="1">(OFFSET(Pinlist!$E$1,BC65,0)-$BN$16)*$BN$19</f>
        <v>#N/A</v>
      </c>
      <c r="BF65" s="192" t="e">
        <f ca="1">(OFFSET(Pinlist!$F$1,BC65,0)-$BO$16)*$BO$19</f>
        <v>#N/A</v>
      </c>
      <c r="BG65" s="1098" t="str">
        <f ca="1">IF(LEFT(BD65,2)="RF",OFFSET(Pinlist!$D$1,Chart!BC65,0)&amp;"_"&amp;OFFSET(Pinlist!$G$1,Chart!BC65,0),"")</f>
        <v/>
      </c>
      <c r="BH65" s="1098"/>
      <c r="BI65" s="178"/>
      <c r="BJ65" s="178"/>
      <c r="BK65" s="178"/>
      <c r="BL65" s="178"/>
      <c r="BM65" s="132"/>
      <c r="BN65" s="132"/>
      <c r="BO65" s="132"/>
      <c r="BP65" s="132"/>
      <c r="BQ65" s="208"/>
      <c r="BR65" s="531"/>
      <c r="BS65" s="531"/>
      <c r="BT65" s="531"/>
      <c r="BU65" s="174"/>
      <c r="BV65" s="174"/>
      <c r="BW65" s="552"/>
      <c r="BX65" s="174"/>
      <c r="BY65" s="174"/>
      <c r="BZ65" s="174"/>
      <c r="CA65" s="174"/>
      <c r="CB65" s="178"/>
      <c r="CC65" s="533" t="e">
        <f ca="1">MATCH("S",OFFSET(Pinlist!$C$2,CC64,0,$BM$23-CC64,1),0)+CC64</f>
        <v>#N/A</v>
      </c>
      <c r="CD65" s="191" t="e">
        <f ca="1">(OFFSET(Pinlist!$E$1,CC65,0)-$BN$16)*$BN$19</f>
        <v>#N/A</v>
      </c>
      <c r="CE65" s="192" t="e">
        <f ca="1">(OFFSET(Pinlist!$F$1,CC65,0)-$BO$16)*$BO$19</f>
        <v>#N/A</v>
      </c>
      <c r="CF65" s="178"/>
      <c r="CG65" s="518"/>
      <c r="CH65" s="174"/>
      <c r="CI65" s="1098" t="e">
        <f ca="1">CI64</f>
        <v>#REF!</v>
      </c>
      <c r="CJ65" s="1098" t="e">
        <f ca="1">CH63*(CJ64-DUT!$J$11)</f>
        <v>#REF!</v>
      </c>
      <c r="CK65" s="1098">
        <f ca="1">CK64</f>
        <v>0</v>
      </c>
      <c r="CL65" s="1098">
        <f ca="1">CH63*(CL64-$BK$5)</f>
        <v>0</v>
      </c>
      <c r="CM65" s="183"/>
      <c r="CN65" s="184"/>
      <c r="CO65" s="202"/>
      <c r="CP65" s="178"/>
      <c r="CQ65" s="178"/>
      <c r="CR65" s="178"/>
      <c r="CS65" s="178"/>
      <c r="CT65" s="178"/>
      <c r="CU65" s="178"/>
      <c r="CV65" s="178"/>
      <c r="CW65" s="178"/>
      <c r="CX65" s="178"/>
      <c r="CY65" s="178"/>
      <c r="CZ65" s="178"/>
      <c r="DA65" s="150"/>
    </row>
    <row r="66" spans="1:105" ht="13.5" thickBot="1" x14ac:dyDescent="0.25">
      <c r="A66" s="149"/>
      <c r="B66" s="149"/>
      <c r="C66" s="149"/>
      <c r="D66" s="149"/>
      <c r="E66" s="149"/>
      <c r="F66" s="149"/>
      <c r="G66" s="149"/>
      <c r="H66" s="149"/>
      <c r="I66" s="149"/>
      <c r="J66" s="149"/>
      <c r="K66" s="149"/>
      <c r="BA66" s="518">
        <f t="shared" ca="1" si="0"/>
        <v>61</v>
      </c>
      <c r="BB66" s="174">
        <f t="shared" ca="1" si="1"/>
        <v>3</v>
      </c>
      <c r="BC66" s="525" t="e">
        <f ca="1">MATCH(BD66,OFFSET(Pinlist!$A$2,BC65*(BA66=BA65),0,$BM$23,1),0)+BC65*(BA66=BA65)</f>
        <v>#N/A</v>
      </c>
      <c r="BD66" s="167">
        <f t="shared" ca="1" si="2"/>
        <v>0</v>
      </c>
      <c r="BE66" s="191" t="e">
        <f ca="1">(OFFSET(Pinlist!$E$1,BC66,0)-$BN$16)*$BN$19</f>
        <v>#N/A</v>
      </c>
      <c r="BF66" s="192" t="e">
        <f ca="1">(OFFSET(Pinlist!$F$1,BC66,0)-$BO$16)*$BO$19</f>
        <v>#N/A</v>
      </c>
      <c r="BG66" s="1098" t="str">
        <f ca="1">IF(LEFT(BD66,2)="RF",OFFSET(Pinlist!$D$1,Chart!BC66,0)&amp;"_"&amp;OFFSET(Pinlist!$G$1,Chart!BC66,0),"")</f>
        <v/>
      </c>
      <c r="BH66" s="1098"/>
      <c r="BI66" s="178"/>
      <c r="BJ66" s="178"/>
      <c r="BK66" s="178"/>
      <c r="BL66" s="178"/>
      <c r="BM66" s="132"/>
      <c r="BN66" s="132"/>
      <c r="BO66" s="132"/>
      <c r="BP66" s="132"/>
      <c r="BQ66" s="531"/>
      <c r="BR66" s="531"/>
      <c r="BS66" s="531"/>
      <c r="BT66" s="531"/>
      <c r="BU66" s="174"/>
      <c r="BV66" s="174"/>
      <c r="BW66" s="552"/>
      <c r="BX66" s="174"/>
      <c r="BY66" s="174"/>
      <c r="BZ66" s="174"/>
      <c r="CA66" s="174"/>
      <c r="CB66" s="178"/>
      <c r="CC66" s="178"/>
      <c r="CD66" s="202"/>
      <c r="CE66" s="202"/>
      <c r="CF66" s="178"/>
      <c r="CG66" s="518"/>
      <c r="CH66" s="174"/>
      <c r="CI66" s="1098" t="e">
        <f ca="1">CI63</f>
        <v>#REF!</v>
      </c>
      <c r="CJ66" s="1098" t="e">
        <f ca="1">CJ65</f>
        <v>#REF!</v>
      </c>
      <c r="CK66" s="1098">
        <f ca="1">CK63</f>
        <v>0</v>
      </c>
      <c r="CL66" s="1098">
        <f ca="1">CL65</f>
        <v>0</v>
      </c>
      <c r="CM66" s="183"/>
      <c r="CN66" s="184"/>
      <c r="CO66" s="202"/>
      <c r="CP66" s="178"/>
      <c r="CQ66" s="178"/>
      <c r="CR66" s="178"/>
      <c r="CS66" s="178"/>
      <c r="CT66" s="178"/>
      <c r="CU66" s="178"/>
      <c r="CV66" s="178"/>
      <c r="CW66" s="178"/>
      <c r="CX66" s="178"/>
      <c r="CY66" s="178"/>
      <c r="CZ66" s="178"/>
      <c r="DA66" s="150"/>
    </row>
    <row r="67" spans="1:105" x14ac:dyDescent="0.2">
      <c r="A67" s="149"/>
      <c r="B67" s="149"/>
      <c r="C67" s="149"/>
      <c r="D67" s="149"/>
      <c r="E67" s="149"/>
      <c r="F67" s="149"/>
      <c r="G67" s="149"/>
      <c r="H67" s="149"/>
      <c r="I67" s="149"/>
      <c r="J67" s="149"/>
      <c r="K67" s="149"/>
      <c r="M67" s="194"/>
      <c r="N67" s="1579" t="str">
        <f>"Site "&amp;DUT!G19 &amp;"
Probe Area"</f>
        <v>Site 1
Probe Area</v>
      </c>
      <c r="P67" s="1601" t="s">
        <v>759</v>
      </c>
      <c r="BA67" s="518">
        <f t="shared" ca="1" si="0"/>
        <v>61</v>
      </c>
      <c r="BB67" s="174">
        <f t="shared" ca="1" si="1"/>
        <v>4</v>
      </c>
      <c r="BC67" s="525" t="e">
        <f ca="1">MATCH(BD67,OFFSET(Pinlist!$A$2,BC66*(BA67=BA66),0,$BM$23,1),0)+BC66*(BA67=BA66)</f>
        <v>#N/A</v>
      </c>
      <c r="BD67" s="167">
        <f t="shared" ca="1" si="2"/>
        <v>0</v>
      </c>
      <c r="BE67" s="191" t="e">
        <f ca="1">(OFFSET(Pinlist!$E$1,BC67,0)-$BN$16)*$BN$19</f>
        <v>#N/A</v>
      </c>
      <c r="BF67" s="192" t="e">
        <f ca="1">(OFFSET(Pinlist!$F$1,BC67,0)-$BO$16)*$BO$19</f>
        <v>#N/A</v>
      </c>
      <c r="BG67" s="1098" t="str">
        <f ca="1">IF(LEFT(BD67,2)="RF",OFFSET(Pinlist!$D$1,Chart!BC67,0)&amp;"_"&amp;OFFSET(Pinlist!$G$1,Chart!BC67,0),"")</f>
        <v/>
      </c>
      <c r="BH67" s="1098"/>
      <c r="BI67" s="178"/>
      <c r="BJ67" s="178"/>
      <c r="BK67" s="178"/>
      <c r="BL67" s="178"/>
      <c r="BM67" s="132"/>
      <c r="BN67" s="132"/>
      <c r="BO67" s="132"/>
      <c r="BP67" s="132"/>
      <c r="BQ67" s="531"/>
      <c r="BR67" s="531"/>
      <c r="BS67" s="531"/>
      <c r="BT67" s="531"/>
      <c r="BU67" s="174"/>
      <c r="BV67" s="174"/>
      <c r="BW67" s="552"/>
      <c r="BX67" s="174"/>
      <c r="BY67" s="174"/>
      <c r="BZ67" s="174"/>
      <c r="CA67" s="174"/>
      <c r="CB67" s="178"/>
      <c r="CC67" s="178"/>
      <c r="CD67" s="202"/>
      <c r="CE67" s="202"/>
      <c r="CF67" s="178"/>
      <c r="CG67" s="518"/>
      <c r="CH67" s="174"/>
      <c r="CI67" s="1098" t="e">
        <f ca="1">CI63</f>
        <v>#REF!</v>
      </c>
      <c r="CJ67" s="1098" t="e">
        <f ca="1">CJ63</f>
        <v>#REF!</v>
      </c>
      <c r="CK67" s="1098">
        <f ca="1">CK63</f>
        <v>0</v>
      </c>
      <c r="CL67" s="1098">
        <f ca="1">CL63</f>
        <v>0</v>
      </c>
      <c r="CM67" s="183"/>
      <c r="CN67" s="184"/>
      <c r="CO67" s="202"/>
      <c r="CP67" s="178"/>
      <c r="CQ67" s="178"/>
      <c r="CR67" s="178"/>
      <c r="CS67" s="178"/>
      <c r="CT67" s="178"/>
      <c r="CU67" s="178"/>
      <c r="CV67" s="178"/>
      <c r="CW67" s="178"/>
      <c r="CX67" s="178"/>
      <c r="CY67" s="178"/>
      <c r="CZ67" s="178"/>
      <c r="DA67" s="150"/>
    </row>
    <row r="68" spans="1:105" x14ac:dyDescent="0.2">
      <c r="A68" s="149"/>
      <c r="B68" s="149"/>
      <c r="C68" s="149"/>
      <c r="D68" s="149"/>
      <c r="E68" s="149"/>
      <c r="F68" s="149"/>
      <c r="G68" s="149"/>
      <c r="H68" s="149"/>
      <c r="I68" s="149"/>
      <c r="J68" s="149"/>
      <c r="K68" s="149"/>
      <c r="L68" s="149"/>
      <c r="M68" s="149"/>
      <c r="N68" s="1580"/>
      <c r="P68" s="1602"/>
      <c r="BA68" s="518">
        <f t="shared" ref="BA68:BA131" ca="1" si="16">BA67+(BB67=OFFSET($BZ$3,BA67,0))</f>
        <v>61</v>
      </c>
      <c r="BB68" s="174">
        <f t="shared" ref="BB68:BB131" ca="1" si="17">IF(BA68=BA67,BB67+1,1)</f>
        <v>5</v>
      </c>
      <c r="BC68" s="525" t="e">
        <f ca="1">MATCH(BD68,OFFSET(Pinlist!$A$2,BC67*(BA68=BA67),0,$BM$23,1),0)+BC67*(BA68=BA67)</f>
        <v>#N/A</v>
      </c>
      <c r="BD68" s="167">
        <f t="shared" ref="BD68:BD131" ca="1" si="18">OFFSET($BY$3,BA68,0)</f>
        <v>0</v>
      </c>
      <c r="BE68" s="191" t="e">
        <f ca="1">(OFFSET(Pinlist!$E$1,BC68,0)-$BN$16)*$BN$19</f>
        <v>#N/A</v>
      </c>
      <c r="BF68" s="192" t="e">
        <f ca="1">(OFFSET(Pinlist!$F$1,BC68,0)-$BO$16)*$BO$19</f>
        <v>#N/A</v>
      </c>
      <c r="BG68" s="1098" t="str">
        <f ca="1">IF(LEFT(BD68,2)="RF",OFFSET(Pinlist!$D$1,Chart!BC68,0)&amp;"_"&amp;OFFSET(Pinlist!$G$1,Chart!BC68,0),"")</f>
        <v/>
      </c>
      <c r="BH68" s="1098"/>
      <c r="BI68" s="178"/>
      <c r="BJ68" s="178"/>
      <c r="BK68" s="178"/>
      <c r="BL68" s="178"/>
      <c r="BM68" s="132"/>
      <c r="BN68" s="132"/>
      <c r="BO68" s="132"/>
      <c r="BP68" s="132"/>
      <c r="BQ68" s="531"/>
      <c r="BR68" s="531"/>
      <c r="BS68" s="531"/>
      <c r="BT68" s="531"/>
      <c r="BU68" s="174"/>
      <c r="BV68" s="174"/>
      <c r="BW68" s="552"/>
      <c r="BX68" s="174"/>
      <c r="BY68" s="174"/>
      <c r="BZ68" s="174"/>
      <c r="CA68" s="174"/>
      <c r="CB68" s="178"/>
      <c r="CC68" s="178"/>
      <c r="CD68" s="202"/>
      <c r="CE68" s="202"/>
      <c r="CF68" s="178"/>
      <c r="CG68" s="518">
        <f>CG63+1</f>
        <v>13</v>
      </c>
      <c r="CH68" s="174">
        <f>(CG68&lt;$CQ$25)*$CQ$40</f>
        <v>0</v>
      </c>
      <c r="CI68" s="1149" t="e">
        <f ca="1">$CH68*(CI63+$CQ$27+IF($CQ$19,$CQ$20,$CQ$26))</f>
        <v>#REF!</v>
      </c>
      <c r="CJ68" s="1149" t="e">
        <f ca="1">$CH68*(CJ63+$CR$27+IF($CQ$19,$CR$20,$CR$26))</f>
        <v>#REF!</v>
      </c>
      <c r="CK68" s="1149">
        <f ca="1">$CH68*(CK63+$CQ$27+IF($CQ$19,$CQ$20,$CQ$26))</f>
        <v>0</v>
      </c>
      <c r="CL68" s="1149">
        <f ca="1">$CH68*(CL63+$CR$27+IF($CQ$19,$CR$20,$CR$26))</f>
        <v>0</v>
      </c>
      <c r="CM68" s="1149" t="e">
        <f ca="1">IF(CH68,CM63+$CQ$27+IF($CQ$19,$CQ$20,$CQ$26),$CM$3)</f>
        <v>#N/A</v>
      </c>
      <c r="CN68" s="1244" t="e">
        <f ca="1">IF(CH68,CN63+$CR$27+IF($CQ$19,$CR$20,$CR$26),$CN$3)</f>
        <v>#N/A</v>
      </c>
      <c r="CO68" s="200"/>
      <c r="CP68" s="178"/>
      <c r="CQ68" s="178"/>
      <c r="CR68" s="178"/>
      <c r="CS68" s="178"/>
      <c r="CT68" s="178"/>
      <c r="CU68" s="178"/>
      <c r="CV68" s="178"/>
      <c r="CW68" s="178"/>
      <c r="CX68" s="178"/>
      <c r="CY68" s="178"/>
      <c r="CZ68" s="178"/>
      <c r="DA68" s="150"/>
    </row>
    <row r="69" spans="1:105" ht="13.5" thickBot="1" x14ac:dyDescent="0.25">
      <c r="A69" s="149"/>
      <c r="B69" s="149"/>
      <c r="C69" s="149"/>
      <c r="D69" s="149"/>
      <c r="E69" s="149"/>
      <c r="F69" s="149"/>
      <c r="G69" s="149"/>
      <c r="H69" s="149"/>
      <c r="I69" s="149"/>
      <c r="J69" s="149"/>
      <c r="K69" s="149"/>
      <c r="L69" s="149"/>
      <c r="M69" s="149"/>
      <c r="N69" s="1581"/>
      <c r="P69" s="1603"/>
      <c r="BA69" s="518">
        <f t="shared" ca="1" si="16"/>
        <v>61</v>
      </c>
      <c r="BB69" s="174">
        <f t="shared" ca="1" si="17"/>
        <v>6</v>
      </c>
      <c r="BC69" s="525" t="e">
        <f ca="1">MATCH(BD69,OFFSET(Pinlist!$A$2,BC68*(BA69=BA68),0,$BM$23,1),0)+BC68*(BA69=BA68)</f>
        <v>#N/A</v>
      </c>
      <c r="BD69" s="167">
        <f t="shared" ca="1" si="18"/>
        <v>0</v>
      </c>
      <c r="BE69" s="191" t="e">
        <f ca="1">(OFFSET(Pinlist!$E$1,BC69,0)-$BN$16)*$BN$19</f>
        <v>#N/A</v>
      </c>
      <c r="BF69" s="192" t="e">
        <f ca="1">(OFFSET(Pinlist!$F$1,BC69,0)-$BO$16)*$BO$19</f>
        <v>#N/A</v>
      </c>
      <c r="BG69" s="1098" t="str">
        <f ca="1">IF(LEFT(BD69,2)="RF",OFFSET(Pinlist!$D$1,Chart!BC69,0)&amp;"_"&amp;OFFSET(Pinlist!$G$1,Chart!BC69,0),"")</f>
        <v/>
      </c>
      <c r="BH69" s="1098"/>
      <c r="BI69" s="178"/>
      <c r="BJ69" s="178"/>
      <c r="BK69" s="178"/>
      <c r="BL69" s="178"/>
      <c r="BM69" s="132"/>
      <c r="BN69" s="132"/>
      <c r="BO69" s="132"/>
      <c r="BP69" s="132"/>
      <c r="BQ69" s="531"/>
      <c r="BR69" s="531"/>
      <c r="BS69" s="531"/>
      <c r="BT69" s="531"/>
      <c r="BU69" s="174"/>
      <c r="BV69" s="174"/>
      <c r="BW69" s="552"/>
      <c r="BX69" s="174"/>
      <c r="BY69" s="174"/>
      <c r="BZ69" s="174"/>
      <c r="CA69" s="174"/>
      <c r="CB69" s="178"/>
      <c r="CC69" s="178"/>
      <c r="CD69" s="202"/>
      <c r="CE69" s="202"/>
      <c r="CF69" s="178"/>
      <c r="CG69" s="518"/>
      <c r="CH69" s="174"/>
      <c r="CI69" s="1098" t="e">
        <f ca="1">CH68*(CI68-DUT!$G$11)</f>
        <v>#REF!</v>
      </c>
      <c r="CJ69" s="1098" t="e">
        <f ca="1">CJ68</f>
        <v>#REF!</v>
      </c>
      <c r="CK69" s="1098">
        <f ca="1">CH68*(CK68-$BJ$5)</f>
        <v>0</v>
      </c>
      <c r="CL69" s="1098">
        <f ca="1">CL68</f>
        <v>0</v>
      </c>
      <c r="CM69" s="183"/>
      <c r="CN69" s="192"/>
      <c r="CO69" s="200"/>
      <c r="CP69" s="178"/>
      <c r="CQ69" s="178"/>
      <c r="CR69" s="178"/>
      <c r="CS69" s="178"/>
      <c r="CT69" s="178"/>
      <c r="CU69" s="178"/>
      <c r="CV69" s="178"/>
      <c r="CW69" s="178"/>
      <c r="CX69" s="178"/>
      <c r="CY69" s="178"/>
      <c r="CZ69" s="178"/>
      <c r="DA69" s="150"/>
    </row>
    <row r="70" spans="1:105" ht="13.5" thickBot="1" x14ac:dyDescent="0.25">
      <c r="A70" s="149"/>
      <c r="B70" s="149"/>
      <c r="C70" s="149"/>
      <c r="D70" s="149"/>
      <c r="E70" s="149"/>
      <c r="F70" s="149"/>
      <c r="G70" s="149"/>
      <c r="H70" s="149"/>
      <c r="I70" s="149"/>
      <c r="J70" s="149"/>
      <c r="K70" s="149"/>
      <c r="L70" s="149"/>
      <c r="M70" s="149"/>
      <c r="N70" s="149"/>
      <c r="P70" s="149"/>
      <c r="BA70" s="518">
        <f t="shared" ca="1" si="16"/>
        <v>61</v>
      </c>
      <c r="BB70" s="174">
        <f t="shared" ca="1" si="17"/>
        <v>7</v>
      </c>
      <c r="BC70" s="525" t="e">
        <f ca="1">MATCH(BD70,OFFSET(Pinlist!$A$2,BC69*(BA70=BA69),0,$BM$23,1),0)+BC69*(BA70=BA69)</f>
        <v>#N/A</v>
      </c>
      <c r="BD70" s="167">
        <f t="shared" ca="1" si="18"/>
        <v>0</v>
      </c>
      <c r="BE70" s="191" t="e">
        <f ca="1">(OFFSET(Pinlist!$E$1,BC70,0)-$BN$16)*$BN$19</f>
        <v>#N/A</v>
      </c>
      <c r="BF70" s="192" t="e">
        <f ca="1">(OFFSET(Pinlist!$F$1,BC70,0)-$BO$16)*$BO$19</f>
        <v>#N/A</v>
      </c>
      <c r="BG70" s="1098" t="str">
        <f ca="1">IF(LEFT(BD70,2)="RF",OFFSET(Pinlist!$D$1,Chart!BC70,0)&amp;"_"&amp;OFFSET(Pinlist!$G$1,Chart!BC70,0),"")</f>
        <v/>
      </c>
      <c r="BH70" s="1098"/>
      <c r="BI70" s="178"/>
      <c r="BJ70" s="178"/>
      <c r="BK70" s="178"/>
      <c r="BL70" s="178"/>
      <c r="BM70" s="132"/>
      <c r="BN70" s="132"/>
      <c r="BO70" s="132"/>
      <c r="BP70" s="132"/>
      <c r="BQ70" s="531"/>
      <c r="BR70" s="531"/>
      <c r="BS70" s="531"/>
      <c r="BT70" s="531"/>
      <c r="BU70" s="174"/>
      <c r="BV70" s="174"/>
      <c r="BW70" s="552"/>
      <c r="BX70" s="174"/>
      <c r="BY70" s="174"/>
      <c r="BZ70" s="174"/>
      <c r="CA70" s="174"/>
      <c r="CB70" s="178"/>
      <c r="CC70" s="178"/>
      <c r="CD70" s="202"/>
      <c r="CE70" s="202"/>
      <c r="CF70" s="178"/>
      <c r="CG70" s="518"/>
      <c r="CH70" s="174"/>
      <c r="CI70" s="1098" t="e">
        <f ca="1">CI69</f>
        <v>#REF!</v>
      </c>
      <c r="CJ70" s="1098" t="e">
        <f ca="1">CH68*(CJ69-DUT!$J$11)</f>
        <v>#REF!</v>
      </c>
      <c r="CK70" s="1098">
        <f ca="1">CK69</f>
        <v>0</v>
      </c>
      <c r="CL70" s="1098">
        <f ca="1">CH68*(CL69-$BK$5)</f>
        <v>0</v>
      </c>
      <c r="CM70" s="183"/>
      <c r="CN70" s="192"/>
      <c r="CO70" s="200"/>
      <c r="CP70" s="178"/>
      <c r="CQ70" s="178"/>
      <c r="CR70" s="178"/>
      <c r="CS70" s="178"/>
      <c r="CT70" s="178"/>
      <c r="CU70" s="178"/>
      <c r="CV70" s="178"/>
      <c r="CW70" s="178"/>
      <c r="CX70" s="178"/>
      <c r="CY70" s="178"/>
      <c r="CZ70" s="178"/>
      <c r="DA70" s="150"/>
    </row>
    <row r="71" spans="1:105" x14ac:dyDescent="0.2">
      <c r="A71" s="149"/>
      <c r="B71" s="149"/>
      <c r="C71" s="149"/>
      <c r="D71" s="149"/>
      <c r="E71" s="149"/>
      <c r="F71" s="149"/>
      <c r="G71" s="149"/>
      <c r="H71" s="149"/>
      <c r="I71" s="149"/>
      <c r="J71" s="149"/>
      <c r="K71" s="149"/>
      <c r="L71" s="149"/>
      <c r="N71" s="1598" t="str">
        <f>"Site "&amp;DUT!G19+1&amp;"-"&amp;DUT!L18-(DUT!G19=0)&amp;
" Probe Areas"</f>
        <v>Site 2-2 Probe Areas</v>
      </c>
      <c r="P71" s="1604" t="s">
        <v>760</v>
      </c>
      <c r="BA71" s="518">
        <f t="shared" ca="1" si="16"/>
        <v>61</v>
      </c>
      <c r="BB71" s="174">
        <f t="shared" ca="1" si="17"/>
        <v>8</v>
      </c>
      <c r="BC71" s="525" t="e">
        <f ca="1">MATCH(BD71,OFFSET(Pinlist!$A$2,BC70*(BA71=BA70),0,$BM$23,1),0)+BC70*(BA71=BA70)</f>
        <v>#N/A</v>
      </c>
      <c r="BD71" s="167">
        <f t="shared" ca="1" si="18"/>
        <v>0</v>
      </c>
      <c r="BE71" s="191" t="e">
        <f ca="1">(OFFSET(Pinlist!$E$1,BC71,0)-$BN$16)*$BN$19</f>
        <v>#N/A</v>
      </c>
      <c r="BF71" s="192" t="e">
        <f ca="1">(OFFSET(Pinlist!$F$1,BC71,0)-$BO$16)*$BO$19</f>
        <v>#N/A</v>
      </c>
      <c r="BG71" s="1098" t="str">
        <f ca="1">IF(LEFT(BD71,2)="RF",OFFSET(Pinlist!$D$1,Chart!BC71,0)&amp;"_"&amp;OFFSET(Pinlist!$G$1,Chart!BC71,0),"")</f>
        <v/>
      </c>
      <c r="BH71" s="1098"/>
      <c r="BI71" s="178"/>
      <c r="BJ71" s="178"/>
      <c r="BK71" s="178"/>
      <c r="BL71" s="178"/>
      <c r="BM71" s="132"/>
      <c r="BN71" s="132"/>
      <c r="BO71" s="132"/>
      <c r="BP71" s="132"/>
      <c r="BQ71" s="531"/>
      <c r="BR71" s="531"/>
      <c r="BS71" s="531"/>
      <c r="BT71" s="531"/>
      <c r="BU71" s="174"/>
      <c r="BV71" s="174"/>
      <c r="BW71" s="552"/>
      <c r="BX71" s="174"/>
      <c r="BY71" s="174"/>
      <c r="BZ71" s="174"/>
      <c r="CA71" s="174"/>
      <c r="CB71" s="178"/>
      <c r="CC71" s="178"/>
      <c r="CD71" s="202"/>
      <c r="CE71" s="202"/>
      <c r="CF71" s="178"/>
      <c r="CG71" s="518"/>
      <c r="CH71" s="174"/>
      <c r="CI71" s="1098" t="e">
        <f ca="1">CI68</f>
        <v>#REF!</v>
      </c>
      <c r="CJ71" s="1098" t="e">
        <f ca="1">CJ70</f>
        <v>#REF!</v>
      </c>
      <c r="CK71" s="1098">
        <f ca="1">CK68</f>
        <v>0</v>
      </c>
      <c r="CL71" s="1098">
        <f ca="1">CL70</f>
        <v>0</v>
      </c>
      <c r="CM71" s="183"/>
      <c r="CN71" s="192"/>
      <c r="CO71" s="200"/>
      <c r="CP71" s="178"/>
      <c r="CQ71" s="178"/>
      <c r="CR71" s="178"/>
      <c r="CS71" s="178"/>
      <c r="CT71" s="178"/>
      <c r="CU71" s="178"/>
      <c r="CV71" s="178"/>
      <c r="CW71" s="178"/>
      <c r="CX71" s="178"/>
      <c r="CY71" s="178"/>
      <c r="CZ71" s="178"/>
      <c r="DA71" s="150"/>
    </row>
    <row r="72" spans="1:105" x14ac:dyDescent="0.2">
      <c r="A72" s="149"/>
      <c r="B72" s="149"/>
      <c r="C72" s="149"/>
      <c r="D72" s="149"/>
      <c r="E72" s="149"/>
      <c r="F72" s="149"/>
      <c r="G72" s="149"/>
      <c r="H72" s="149"/>
      <c r="I72" s="149"/>
      <c r="J72" s="149"/>
      <c r="K72" s="149"/>
      <c r="L72" s="149"/>
      <c r="N72" s="1599"/>
      <c r="P72" s="1605"/>
      <c r="BA72" s="518">
        <f t="shared" ca="1" si="16"/>
        <v>61</v>
      </c>
      <c r="BB72" s="174">
        <f t="shared" ca="1" si="17"/>
        <v>9</v>
      </c>
      <c r="BC72" s="525" t="e">
        <f ca="1">MATCH(BD72,OFFSET(Pinlist!$A$2,BC71*(BA72=BA71),0,$BM$23,1),0)+BC71*(BA72=BA71)</f>
        <v>#N/A</v>
      </c>
      <c r="BD72" s="167">
        <f t="shared" ca="1" si="18"/>
        <v>0</v>
      </c>
      <c r="BE72" s="191" t="e">
        <f ca="1">(OFFSET(Pinlist!$E$1,BC72,0)-$BN$16)*$BN$19</f>
        <v>#N/A</v>
      </c>
      <c r="BF72" s="192" t="e">
        <f ca="1">(OFFSET(Pinlist!$F$1,BC72,0)-$BO$16)*$BO$19</f>
        <v>#N/A</v>
      </c>
      <c r="BG72" s="1098" t="str">
        <f ca="1">IF(LEFT(BD72,2)="RF",OFFSET(Pinlist!$D$1,Chart!BC72,0)&amp;"_"&amp;OFFSET(Pinlist!$G$1,Chart!BC72,0),"")</f>
        <v/>
      </c>
      <c r="BH72" s="1098"/>
      <c r="BI72" s="178"/>
      <c r="BJ72" s="178"/>
      <c r="BK72" s="178"/>
      <c r="BL72" s="178"/>
      <c r="BM72" s="132"/>
      <c r="BN72" s="132"/>
      <c r="BO72" s="132"/>
      <c r="BP72" s="132"/>
      <c r="BQ72" s="531"/>
      <c r="BR72" s="531"/>
      <c r="BS72" s="531"/>
      <c r="BT72" s="531"/>
      <c r="BU72" s="174"/>
      <c r="BV72" s="174"/>
      <c r="BW72" s="552"/>
      <c r="BX72" s="174"/>
      <c r="BY72" s="174"/>
      <c r="BZ72" s="174"/>
      <c r="CA72" s="174"/>
      <c r="CB72" s="178"/>
      <c r="CC72" s="178"/>
      <c r="CD72" s="202"/>
      <c r="CE72" s="202"/>
      <c r="CF72" s="178"/>
      <c r="CG72" s="518"/>
      <c r="CH72" s="174"/>
      <c r="CI72" s="1098" t="e">
        <f ca="1">CI68</f>
        <v>#REF!</v>
      </c>
      <c r="CJ72" s="1098" t="e">
        <f ca="1">CJ68</f>
        <v>#REF!</v>
      </c>
      <c r="CK72" s="1098">
        <f ca="1">CK68</f>
        <v>0</v>
      </c>
      <c r="CL72" s="1098">
        <f ca="1">CL68</f>
        <v>0</v>
      </c>
      <c r="CM72" s="183"/>
      <c r="CN72" s="192"/>
      <c r="CO72" s="200"/>
      <c r="CP72" s="178"/>
      <c r="CQ72" s="178"/>
      <c r="CR72" s="178"/>
      <c r="CS72" s="178"/>
      <c r="CT72" s="178"/>
      <c r="CU72" s="178"/>
      <c r="CV72" s="178"/>
      <c r="CW72" s="178"/>
      <c r="CX72" s="178"/>
      <c r="CY72" s="178"/>
      <c r="CZ72" s="178"/>
      <c r="DA72" s="150"/>
    </row>
    <row r="73" spans="1:105" ht="13.5" thickBot="1" x14ac:dyDescent="0.25">
      <c r="K73" s="149"/>
      <c r="L73" s="149"/>
      <c r="N73" s="1600"/>
      <c r="P73" s="1606"/>
      <c r="BA73" s="518">
        <f t="shared" ca="1" si="16"/>
        <v>61</v>
      </c>
      <c r="BB73" s="174">
        <f t="shared" ca="1" si="17"/>
        <v>10</v>
      </c>
      <c r="BC73" s="525" t="e">
        <f ca="1">MATCH(BD73,OFFSET(Pinlist!$A$2,BC72*(BA73=BA72),0,$BM$23,1),0)+BC72*(BA73=BA72)</f>
        <v>#N/A</v>
      </c>
      <c r="BD73" s="167">
        <f t="shared" ca="1" si="18"/>
        <v>0</v>
      </c>
      <c r="BE73" s="191" t="e">
        <f ca="1">(OFFSET(Pinlist!$E$1,BC73,0)-$BN$16)*$BN$19</f>
        <v>#N/A</v>
      </c>
      <c r="BF73" s="192" t="e">
        <f ca="1">(OFFSET(Pinlist!$F$1,BC73,0)-$BO$16)*$BO$19</f>
        <v>#N/A</v>
      </c>
      <c r="BG73" s="1098" t="str">
        <f ca="1">IF(LEFT(BD73,2)="RF",OFFSET(Pinlist!$D$1,Chart!BC73,0)&amp;"_"&amp;OFFSET(Pinlist!$G$1,Chart!BC73,0),"")</f>
        <v/>
      </c>
      <c r="BH73" s="1098"/>
      <c r="BI73" s="178"/>
      <c r="BJ73" s="178"/>
      <c r="BK73" s="178"/>
      <c r="BL73" s="178"/>
      <c r="BM73" s="132"/>
      <c r="BN73" s="132"/>
      <c r="BO73" s="132"/>
      <c r="BP73" s="132"/>
      <c r="BQ73" s="531"/>
      <c r="BR73" s="531"/>
      <c r="BS73" s="531"/>
      <c r="BT73" s="531"/>
      <c r="BU73" s="174"/>
      <c r="BV73" s="174"/>
      <c r="BW73" s="552"/>
      <c r="BX73" s="174"/>
      <c r="BY73" s="174"/>
      <c r="BZ73" s="174"/>
      <c r="CA73" s="174"/>
      <c r="CB73" s="178"/>
      <c r="CC73" s="178"/>
      <c r="CD73" s="202"/>
      <c r="CE73" s="202"/>
      <c r="CF73" s="178"/>
      <c r="CG73" s="518">
        <f>CG68+1</f>
        <v>14</v>
      </c>
      <c r="CH73" s="174">
        <f>(CG73&lt;$CQ$25)*$CQ$40</f>
        <v>0</v>
      </c>
      <c r="CI73" s="1150" t="e">
        <f ca="1">$CH73*IF($CQ$19,CI63+$CQ$26,CI68-$CQ$27+$CQ$26)</f>
        <v>#REF!</v>
      </c>
      <c r="CJ73" s="1150" t="e">
        <f ca="1">$CH73*IF($CQ$19,CJ63+$CR$26,CJ68-$CR$27+$CR$26)</f>
        <v>#REF!</v>
      </c>
      <c r="CK73" s="1150">
        <f ca="1">$CH73*IF($CQ$19,CK63+$CQ$26,CK68-$CQ$27+$CQ$26)</f>
        <v>0</v>
      </c>
      <c r="CL73" s="1150">
        <f ca="1">$CH73*IF($CQ$19,CL63+$CR$26,CL68-$CR$27+$CR$26)</f>
        <v>0</v>
      </c>
      <c r="CM73" s="1150" t="e">
        <f ca="1">IF(CH73,IF($CQ$19,CM63+$CQ$26,CM68-$CQ$27+$CQ$26),$CM$3)</f>
        <v>#N/A</v>
      </c>
      <c r="CN73" s="1245" t="e">
        <f ca="1">IF(CH73,IF($CQ$19,CN63+$CR$26,CN68-$CR$27+$CR$26),$CN$3)</f>
        <v>#N/A</v>
      </c>
      <c r="CO73" s="202"/>
      <c r="CP73" s="178"/>
      <c r="CQ73" s="178"/>
      <c r="CR73" s="178"/>
      <c r="CS73" s="178"/>
      <c r="CT73" s="178"/>
      <c r="CU73" s="178"/>
      <c r="CV73" s="178"/>
      <c r="CW73" s="178"/>
      <c r="CX73" s="178"/>
      <c r="CY73" s="178"/>
      <c r="CZ73" s="178"/>
      <c r="DA73" s="150"/>
    </row>
    <row r="74" spans="1:105" x14ac:dyDescent="0.2">
      <c r="K74" s="149"/>
      <c r="L74" s="502"/>
      <c r="M74" s="149"/>
      <c r="N74" s="149"/>
      <c r="O74" s="149"/>
      <c r="P74" s="149"/>
      <c r="BA74" s="518">
        <f t="shared" ca="1" si="16"/>
        <v>61</v>
      </c>
      <c r="BB74" s="174">
        <f t="shared" ca="1" si="17"/>
        <v>11</v>
      </c>
      <c r="BC74" s="525" t="e">
        <f ca="1">MATCH(BD74,OFFSET(Pinlist!$A$2,BC73*(BA74=BA73),0,$BM$23,1),0)+BC73*(BA74=BA73)</f>
        <v>#N/A</v>
      </c>
      <c r="BD74" s="167">
        <f t="shared" ca="1" si="18"/>
        <v>0</v>
      </c>
      <c r="BE74" s="191" t="e">
        <f ca="1">(OFFSET(Pinlist!$E$1,BC74,0)-$BN$16)*$BN$19</f>
        <v>#N/A</v>
      </c>
      <c r="BF74" s="192" t="e">
        <f ca="1">(OFFSET(Pinlist!$F$1,BC74,0)-$BO$16)*$BO$19</f>
        <v>#N/A</v>
      </c>
      <c r="BG74" s="1098" t="str">
        <f ca="1">IF(LEFT(BD74,2)="RF",OFFSET(Pinlist!$D$1,Chart!BC74,0)&amp;"_"&amp;OFFSET(Pinlist!$G$1,Chart!BC74,0),"")</f>
        <v/>
      </c>
      <c r="BH74" s="1098"/>
      <c r="BI74" s="178"/>
      <c r="BJ74" s="178"/>
      <c r="BK74" s="178"/>
      <c r="BL74" s="178"/>
      <c r="BM74" s="132"/>
      <c r="BN74" s="132"/>
      <c r="BO74" s="132"/>
      <c r="BP74" s="132"/>
      <c r="BQ74" s="531"/>
      <c r="BR74" s="531"/>
      <c r="BS74" s="531"/>
      <c r="BT74" s="531"/>
      <c r="BU74" s="174"/>
      <c r="BV74" s="174"/>
      <c r="BW74" s="552"/>
      <c r="BX74" s="174"/>
      <c r="BY74" s="174"/>
      <c r="BZ74" s="174"/>
      <c r="CA74" s="174"/>
      <c r="CB74" s="178"/>
      <c r="CC74" s="178"/>
      <c r="CD74" s="202"/>
      <c r="CE74" s="202"/>
      <c r="CF74" s="178"/>
      <c r="CG74" s="518"/>
      <c r="CH74" s="174"/>
      <c r="CI74" s="1098" t="e">
        <f ca="1">CH73*(CI73-DUT!$G$11)</f>
        <v>#REF!</v>
      </c>
      <c r="CJ74" s="1098" t="e">
        <f ca="1">CJ73</f>
        <v>#REF!</v>
      </c>
      <c r="CK74" s="1098">
        <f ca="1">CH73*(CK73-$BJ$5)</f>
        <v>0</v>
      </c>
      <c r="CL74" s="1098">
        <f ca="1">CL73</f>
        <v>0</v>
      </c>
      <c r="CM74" s="183"/>
      <c r="CN74" s="184"/>
      <c r="CO74" s="202"/>
      <c r="CP74" s="178"/>
      <c r="CQ74" s="178"/>
      <c r="CR74" s="178"/>
      <c r="CS74" s="178"/>
      <c r="CT74" s="178"/>
      <c r="CU74" s="178"/>
      <c r="CV74" s="178"/>
      <c r="CW74" s="178"/>
      <c r="CX74" s="178"/>
      <c r="CY74" s="178"/>
      <c r="CZ74" s="178"/>
      <c r="DA74" s="150"/>
    </row>
    <row r="75" spans="1:105" x14ac:dyDescent="0.2">
      <c r="K75" s="149"/>
      <c r="L75" s="149"/>
      <c r="M75" s="149"/>
      <c r="N75" s="149"/>
      <c r="O75" s="149"/>
      <c r="P75" s="149"/>
      <c r="BA75" s="518">
        <f t="shared" ca="1" si="16"/>
        <v>61</v>
      </c>
      <c r="BB75" s="174">
        <f t="shared" ca="1" si="17"/>
        <v>12</v>
      </c>
      <c r="BC75" s="525" t="e">
        <f ca="1">MATCH(BD75,OFFSET(Pinlist!$A$2,BC74*(BA75=BA74),0,$BM$23,1),0)+BC74*(BA75=BA74)</f>
        <v>#N/A</v>
      </c>
      <c r="BD75" s="167">
        <f t="shared" ca="1" si="18"/>
        <v>0</v>
      </c>
      <c r="BE75" s="191" t="e">
        <f ca="1">(OFFSET(Pinlist!$E$1,BC75,0)-$BN$16)*$BN$19</f>
        <v>#N/A</v>
      </c>
      <c r="BF75" s="192" t="e">
        <f ca="1">(OFFSET(Pinlist!$F$1,BC75,0)-$BO$16)*$BO$19</f>
        <v>#N/A</v>
      </c>
      <c r="BG75" s="1098" t="str">
        <f ca="1">IF(LEFT(BD75,2)="RF",OFFSET(Pinlist!$D$1,Chart!BC75,0)&amp;"_"&amp;OFFSET(Pinlist!$G$1,Chart!BC75,0),"")</f>
        <v/>
      </c>
      <c r="BH75" s="1098"/>
      <c r="BI75" s="178"/>
      <c r="BJ75" s="178"/>
      <c r="BK75" s="178"/>
      <c r="BL75" s="178"/>
      <c r="BM75" s="132"/>
      <c r="BN75" s="132"/>
      <c r="BO75" s="132"/>
      <c r="BP75" s="132"/>
      <c r="BQ75" s="531"/>
      <c r="BR75" s="531"/>
      <c r="BS75" s="531"/>
      <c r="BT75" s="531"/>
      <c r="BU75" s="174"/>
      <c r="BV75" s="174"/>
      <c r="BW75" s="552"/>
      <c r="BX75" s="174"/>
      <c r="BY75" s="174"/>
      <c r="BZ75" s="174"/>
      <c r="CA75" s="174"/>
      <c r="CB75" s="178"/>
      <c r="CC75" s="178"/>
      <c r="CD75" s="202"/>
      <c r="CE75" s="202"/>
      <c r="CF75" s="178"/>
      <c r="CG75" s="518"/>
      <c r="CH75" s="174"/>
      <c r="CI75" s="1098" t="e">
        <f ca="1">CI74</f>
        <v>#REF!</v>
      </c>
      <c r="CJ75" s="1098" t="e">
        <f ca="1">CH73*(CJ74-DUT!$J$11)</f>
        <v>#REF!</v>
      </c>
      <c r="CK75" s="1098">
        <f ca="1">CK74</f>
        <v>0</v>
      </c>
      <c r="CL75" s="1098">
        <f ca="1">CH73*(CL74-$BK$5)</f>
        <v>0</v>
      </c>
      <c r="CM75" s="183"/>
      <c r="CN75" s="184"/>
      <c r="CO75" s="202"/>
      <c r="CP75" s="178"/>
      <c r="CQ75" s="178"/>
      <c r="CR75" s="178"/>
      <c r="CS75" s="178"/>
      <c r="CT75" s="178"/>
      <c r="CU75" s="178"/>
      <c r="CV75" s="178"/>
      <c r="CW75" s="178"/>
      <c r="CX75" s="178"/>
      <c r="CY75" s="178"/>
      <c r="CZ75" s="178"/>
      <c r="DA75" s="150"/>
    </row>
    <row r="76" spans="1:105" x14ac:dyDescent="0.2">
      <c r="BA76" s="518">
        <f t="shared" ca="1" si="16"/>
        <v>61</v>
      </c>
      <c r="BB76" s="174">
        <f t="shared" ca="1" si="17"/>
        <v>13</v>
      </c>
      <c r="BC76" s="525" t="e">
        <f ca="1">MATCH(BD76,OFFSET(Pinlist!$A$2,BC75*(BA76=BA75),0,$BM$23,1),0)+BC75*(BA76=BA75)</f>
        <v>#N/A</v>
      </c>
      <c r="BD76" s="167">
        <f t="shared" ca="1" si="18"/>
        <v>0</v>
      </c>
      <c r="BE76" s="191" t="e">
        <f ca="1">(OFFSET(Pinlist!$E$1,BC76,0)-$BN$16)*$BN$19</f>
        <v>#N/A</v>
      </c>
      <c r="BF76" s="192" t="e">
        <f ca="1">(OFFSET(Pinlist!$F$1,BC76,0)-$BO$16)*$BO$19</f>
        <v>#N/A</v>
      </c>
      <c r="BG76" s="1098" t="str">
        <f ca="1">IF(LEFT(BD76,2)="RF",OFFSET(Pinlist!$D$1,Chart!BC76,0)&amp;"_"&amp;OFFSET(Pinlist!$G$1,Chart!BC76,0),"")</f>
        <v/>
      </c>
      <c r="BH76" s="1098"/>
      <c r="BI76" s="178"/>
      <c r="BJ76" s="178"/>
      <c r="BK76" s="178"/>
      <c r="BL76" s="178"/>
      <c r="BM76" s="132"/>
      <c r="BN76" s="132"/>
      <c r="BO76" s="132"/>
      <c r="BP76" s="132"/>
      <c r="BQ76" s="531"/>
      <c r="BR76" s="531"/>
      <c r="BS76" s="531"/>
      <c r="BT76" s="531"/>
      <c r="BU76" s="174"/>
      <c r="BV76" s="174"/>
      <c r="BW76" s="552"/>
      <c r="BX76" s="174"/>
      <c r="BY76" s="174"/>
      <c r="BZ76" s="174"/>
      <c r="CA76" s="174"/>
      <c r="CB76" s="178"/>
      <c r="CC76" s="178"/>
      <c r="CD76" s="202"/>
      <c r="CE76" s="202"/>
      <c r="CF76" s="178"/>
      <c r="CG76" s="518"/>
      <c r="CH76" s="174"/>
      <c r="CI76" s="1098" t="e">
        <f ca="1">CI73</f>
        <v>#REF!</v>
      </c>
      <c r="CJ76" s="1098" t="e">
        <f ca="1">CJ75</f>
        <v>#REF!</v>
      </c>
      <c r="CK76" s="1098">
        <f ca="1">CK73</f>
        <v>0</v>
      </c>
      <c r="CL76" s="1098">
        <f ca="1">CL75</f>
        <v>0</v>
      </c>
      <c r="CM76" s="183"/>
      <c r="CN76" s="184"/>
      <c r="CO76" s="202"/>
      <c r="CP76" s="178"/>
      <c r="CQ76" s="178"/>
      <c r="CR76" s="178"/>
      <c r="CS76" s="178"/>
      <c r="CT76" s="178"/>
      <c r="CU76" s="178"/>
      <c r="CV76" s="178"/>
      <c r="CW76" s="178"/>
      <c r="CX76" s="178"/>
      <c r="CY76" s="178"/>
      <c r="CZ76" s="178"/>
      <c r="DA76" s="150"/>
    </row>
    <row r="77" spans="1:105" x14ac:dyDescent="0.2">
      <c r="BA77" s="518">
        <f t="shared" ca="1" si="16"/>
        <v>61</v>
      </c>
      <c r="BB77" s="174">
        <f t="shared" ca="1" si="17"/>
        <v>14</v>
      </c>
      <c r="BC77" s="525" t="e">
        <f ca="1">MATCH(BD77,OFFSET(Pinlist!$A$2,BC76*(BA77=BA76),0,$BM$23,1),0)+BC76*(BA77=BA76)</f>
        <v>#N/A</v>
      </c>
      <c r="BD77" s="167">
        <f t="shared" ca="1" si="18"/>
        <v>0</v>
      </c>
      <c r="BE77" s="191" t="e">
        <f ca="1">(OFFSET(Pinlist!$E$1,BC77,0)-$BN$16)*$BN$19</f>
        <v>#N/A</v>
      </c>
      <c r="BF77" s="192" t="e">
        <f ca="1">(OFFSET(Pinlist!$F$1,BC77,0)-$BO$16)*$BO$19</f>
        <v>#N/A</v>
      </c>
      <c r="BG77" s="1098" t="str">
        <f ca="1">IF(LEFT(BD77,2)="RF",OFFSET(Pinlist!$D$1,Chart!BC77,0)&amp;"_"&amp;OFFSET(Pinlist!$G$1,Chart!BC77,0),"")</f>
        <v/>
      </c>
      <c r="BH77" s="1098"/>
      <c r="BI77" s="178"/>
      <c r="BJ77" s="178"/>
      <c r="BK77" s="178"/>
      <c r="BL77" s="178"/>
      <c r="BM77" s="132"/>
      <c r="BN77" s="132"/>
      <c r="BO77" s="132"/>
      <c r="BP77" s="132"/>
      <c r="BQ77" s="531"/>
      <c r="BR77" s="531"/>
      <c r="BS77" s="531"/>
      <c r="BT77" s="531"/>
      <c r="BU77" s="174"/>
      <c r="BV77" s="174"/>
      <c r="BW77" s="552"/>
      <c r="BX77" s="174"/>
      <c r="BY77" s="174"/>
      <c r="BZ77" s="174"/>
      <c r="CA77" s="174"/>
      <c r="CB77" s="178"/>
      <c r="CC77" s="178"/>
      <c r="CD77" s="202"/>
      <c r="CE77" s="202"/>
      <c r="CF77" s="178"/>
      <c r="CG77" s="518"/>
      <c r="CH77" s="174"/>
      <c r="CI77" s="1098" t="e">
        <f ca="1">CI73</f>
        <v>#REF!</v>
      </c>
      <c r="CJ77" s="1098" t="e">
        <f ca="1">CJ73</f>
        <v>#REF!</v>
      </c>
      <c r="CK77" s="1098">
        <f ca="1">CK73</f>
        <v>0</v>
      </c>
      <c r="CL77" s="1098">
        <f ca="1">CL73</f>
        <v>0</v>
      </c>
      <c r="CM77" s="183"/>
      <c r="CN77" s="184"/>
      <c r="CO77" s="202"/>
      <c r="CP77" s="178"/>
      <c r="CQ77" s="178"/>
      <c r="CR77" s="178"/>
      <c r="CS77" s="178"/>
      <c r="CT77" s="178"/>
      <c r="CU77" s="178"/>
      <c r="CV77" s="178"/>
      <c r="CW77" s="178"/>
      <c r="CX77" s="178"/>
      <c r="CY77" s="178"/>
      <c r="CZ77" s="178"/>
      <c r="DA77" s="150"/>
    </row>
    <row r="78" spans="1:105" x14ac:dyDescent="0.2">
      <c r="BA78" s="518">
        <f t="shared" ca="1" si="16"/>
        <v>61</v>
      </c>
      <c r="BB78" s="174">
        <f t="shared" ca="1" si="17"/>
        <v>15</v>
      </c>
      <c r="BC78" s="525" t="e">
        <f ca="1">MATCH(BD78,OFFSET(Pinlist!$A$2,BC77*(BA78=BA77),0,$BM$23,1),0)+BC77*(BA78=BA77)</f>
        <v>#N/A</v>
      </c>
      <c r="BD78" s="167">
        <f t="shared" ca="1" si="18"/>
        <v>0</v>
      </c>
      <c r="BE78" s="191" t="e">
        <f ca="1">(OFFSET(Pinlist!$E$1,BC78,0)-$BN$16)*$BN$19</f>
        <v>#N/A</v>
      </c>
      <c r="BF78" s="192" t="e">
        <f ca="1">(OFFSET(Pinlist!$F$1,BC78,0)-$BO$16)*$BO$19</f>
        <v>#N/A</v>
      </c>
      <c r="BG78" s="1098" t="str">
        <f ca="1">IF(LEFT(BD78,2)="RF",OFFSET(Pinlist!$D$1,Chart!BC78,0)&amp;"_"&amp;OFFSET(Pinlist!$G$1,Chart!BC78,0),"")</f>
        <v/>
      </c>
      <c r="BH78" s="1098"/>
      <c r="BI78" s="178"/>
      <c r="BJ78" s="178"/>
      <c r="BK78" s="178"/>
      <c r="BL78" s="178"/>
      <c r="BM78" s="132"/>
      <c r="BN78" s="132"/>
      <c r="BO78" s="132"/>
      <c r="BP78" s="132"/>
      <c r="BQ78" s="531"/>
      <c r="BR78" s="531"/>
      <c r="BS78" s="531"/>
      <c r="BT78" s="531"/>
      <c r="BU78" s="174"/>
      <c r="BV78" s="174"/>
      <c r="BW78" s="552"/>
      <c r="BX78" s="174"/>
      <c r="BY78" s="174"/>
      <c r="BZ78" s="174"/>
      <c r="CA78" s="174"/>
      <c r="CB78" s="178"/>
      <c r="CC78" s="178"/>
      <c r="CD78" s="202"/>
      <c r="CE78" s="202"/>
      <c r="CF78" s="178"/>
      <c r="CG78" s="518">
        <f>CG73+1</f>
        <v>15</v>
      </c>
      <c r="CH78" s="174">
        <f>(CG78&lt;$CQ$25)*$CQ$40</f>
        <v>0</v>
      </c>
      <c r="CI78" s="1149" t="e">
        <f ca="1">$CH78*(CI73+$CQ$27+IF($CQ$19,$CQ$20,$CQ$26))</f>
        <v>#REF!</v>
      </c>
      <c r="CJ78" s="1149" t="e">
        <f ca="1">$CH78*(CJ73+$CR$27+IF($CQ$19,$CR$20,$CR$26))</f>
        <v>#REF!</v>
      </c>
      <c r="CK78" s="1149">
        <f ca="1">$CH78*(CK73+$CQ$27+IF($CQ$19,$CQ$20,$CQ$26))</f>
        <v>0</v>
      </c>
      <c r="CL78" s="1149">
        <f ca="1">$CH78*(CL73+$CR$27+IF($CQ$19,$CR$20,$CR$26))</f>
        <v>0</v>
      </c>
      <c r="CM78" s="1149" t="e">
        <f ca="1">IF(CH78,CM73+$CQ$27+IF($CQ$19,$CQ$20,$CQ$26),$CM$3)</f>
        <v>#N/A</v>
      </c>
      <c r="CN78" s="1244" t="e">
        <f ca="1">IF(CH78,CN73+$CR$27+IF($CQ$19,$CR$20,$CR$26),$CN$3)</f>
        <v>#N/A</v>
      </c>
      <c r="CO78" s="200"/>
      <c r="CP78" s="178"/>
      <c r="CQ78" s="178"/>
      <c r="CR78" s="178"/>
      <c r="CS78" s="178"/>
      <c r="CT78" s="178"/>
      <c r="CU78" s="178"/>
      <c r="CV78" s="178"/>
      <c r="CW78" s="178"/>
      <c r="CX78" s="178"/>
      <c r="CY78" s="178"/>
      <c r="CZ78" s="178"/>
      <c r="DA78" s="150"/>
    </row>
    <row r="79" spans="1:105" x14ac:dyDescent="0.2">
      <c r="BA79" s="518">
        <f t="shared" ca="1" si="16"/>
        <v>61</v>
      </c>
      <c r="BB79" s="174">
        <f t="shared" ca="1" si="17"/>
        <v>16</v>
      </c>
      <c r="BC79" s="525" t="e">
        <f ca="1">MATCH(BD79,OFFSET(Pinlist!$A$2,BC78*(BA79=BA78),0,$BM$23,1),0)+BC78*(BA79=BA78)</f>
        <v>#N/A</v>
      </c>
      <c r="BD79" s="167">
        <f t="shared" ca="1" si="18"/>
        <v>0</v>
      </c>
      <c r="BE79" s="191" t="e">
        <f ca="1">(OFFSET(Pinlist!$E$1,BC79,0)-$BN$16)*$BN$19</f>
        <v>#N/A</v>
      </c>
      <c r="BF79" s="192" t="e">
        <f ca="1">(OFFSET(Pinlist!$F$1,BC79,0)-$BO$16)*$BO$19</f>
        <v>#N/A</v>
      </c>
      <c r="BG79" s="1098" t="str">
        <f ca="1">IF(LEFT(BD79,2)="RF",OFFSET(Pinlist!$D$1,Chart!BC79,0)&amp;"_"&amp;OFFSET(Pinlist!$G$1,Chart!BC79,0),"")</f>
        <v/>
      </c>
      <c r="BH79" s="1098"/>
      <c r="BI79" s="178"/>
      <c r="BJ79" s="178"/>
      <c r="BK79" s="178"/>
      <c r="BL79" s="178"/>
      <c r="BM79" s="132"/>
      <c r="BN79" s="132"/>
      <c r="BO79" s="132"/>
      <c r="BP79" s="132"/>
      <c r="BQ79" s="531"/>
      <c r="BR79" s="531"/>
      <c r="BS79" s="531"/>
      <c r="BT79" s="531"/>
      <c r="BU79" s="174"/>
      <c r="BV79" s="174"/>
      <c r="BW79" s="552"/>
      <c r="BX79" s="174"/>
      <c r="BY79" s="174"/>
      <c r="BZ79" s="174"/>
      <c r="CA79" s="174"/>
      <c r="CB79" s="178"/>
      <c r="CC79" s="178"/>
      <c r="CD79" s="202"/>
      <c r="CE79" s="202"/>
      <c r="CF79" s="178"/>
      <c r="CG79" s="518"/>
      <c r="CH79" s="174"/>
      <c r="CI79" s="1098" t="e">
        <f ca="1">CH78*(CI78-DUT!$G$11)</f>
        <v>#REF!</v>
      </c>
      <c r="CJ79" s="1098" t="e">
        <f ca="1">CJ78</f>
        <v>#REF!</v>
      </c>
      <c r="CK79" s="1098">
        <f ca="1">CH78*(CK78-$BJ$5)</f>
        <v>0</v>
      </c>
      <c r="CL79" s="1098">
        <f ca="1">CL78</f>
        <v>0</v>
      </c>
      <c r="CM79" s="569"/>
      <c r="CN79" s="1246"/>
      <c r="CO79" s="200"/>
      <c r="CP79" s="178"/>
      <c r="CQ79" s="178"/>
      <c r="CR79" s="178"/>
      <c r="CS79" s="178"/>
      <c r="CT79" s="178"/>
      <c r="CU79" s="178"/>
      <c r="CV79" s="178"/>
      <c r="CW79" s="178"/>
      <c r="CX79" s="178"/>
      <c r="CY79" s="178"/>
      <c r="CZ79" s="178"/>
      <c r="DA79" s="150"/>
    </row>
    <row r="80" spans="1:105" x14ac:dyDescent="0.2">
      <c r="BA80" s="518">
        <f t="shared" ca="1" si="16"/>
        <v>61</v>
      </c>
      <c r="BB80" s="174">
        <f t="shared" ca="1" si="17"/>
        <v>17</v>
      </c>
      <c r="BC80" s="525" t="e">
        <f ca="1">MATCH(BD80,OFFSET(Pinlist!$A$2,BC79*(BA80=BA79),0,$BM$23,1),0)+BC79*(BA80=BA79)</f>
        <v>#N/A</v>
      </c>
      <c r="BD80" s="167">
        <f t="shared" ca="1" si="18"/>
        <v>0</v>
      </c>
      <c r="BE80" s="191" t="e">
        <f ca="1">(OFFSET(Pinlist!$E$1,BC80,0)-$BN$16)*$BN$19</f>
        <v>#N/A</v>
      </c>
      <c r="BF80" s="192" t="e">
        <f ca="1">(OFFSET(Pinlist!$F$1,BC80,0)-$BO$16)*$BO$19</f>
        <v>#N/A</v>
      </c>
      <c r="BG80" s="1098" t="str">
        <f ca="1">IF(LEFT(BD80,2)="RF",OFFSET(Pinlist!$D$1,Chart!BC80,0)&amp;"_"&amp;OFFSET(Pinlist!$G$1,Chart!BC80,0),"")</f>
        <v/>
      </c>
      <c r="BH80" s="1098"/>
      <c r="BI80" s="178"/>
      <c r="BJ80" s="178"/>
      <c r="BK80" s="178"/>
      <c r="BL80" s="178"/>
      <c r="BM80" s="132"/>
      <c r="BN80" s="132"/>
      <c r="BO80" s="132"/>
      <c r="BP80" s="132"/>
      <c r="BQ80" s="531"/>
      <c r="BR80" s="531"/>
      <c r="BS80" s="531"/>
      <c r="BT80" s="531"/>
      <c r="BU80" s="174"/>
      <c r="BV80" s="174"/>
      <c r="BW80" s="552"/>
      <c r="BX80" s="174"/>
      <c r="BY80" s="174"/>
      <c r="BZ80" s="174"/>
      <c r="CA80" s="174"/>
      <c r="CB80" s="178"/>
      <c r="CC80" s="178"/>
      <c r="CD80" s="202"/>
      <c r="CE80" s="202"/>
      <c r="CF80" s="178"/>
      <c r="CG80" s="518"/>
      <c r="CH80" s="174"/>
      <c r="CI80" s="1098" t="e">
        <f ca="1">CI79</f>
        <v>#REF!</v>
      </c>
      <c r="CJ80" s="1098" t="e">
        <f ca="1">CH78*(CJ79-DUT!$J$11)</f>
        <v>#REF!</v>
      </c>
      <c r="CK80" s="1098">
        <f ca="1">CK79</f>
        <v>0</v>
      </c>
      <c r="CL80" s="1098">
        <f ca="1">CH78*(CL79-$BK$5)</f>
        <v>0</v>
      </c>
      <c r="CM80" s="569"/>
      <c r="CN80" s="1246"/>
      <c r="CO80" s="200"/>
      <c r="CP80" s="178"/>
      <c r="CQ80" s="178"/>
      <c r="CR80" s="178"/>
      <c r="CS80" s="178"/>
      <c r="CT80" s="178"/>
      <c r="CU80" s="178"/>
      <c r="CV80" s="178"/>
      <c r="CW80" s="178"/>
      <c r="CX80" s="178"/>
      <c r="CY80" s="178"/>
      <c r="CZ80" s="178"/>
      <c r="DA80" s="150"/>
    </row>
    <row r="81" spans="53:105" x14ac:dyDescent="0.2">
      <c r="BA81" s="518">
        <f t="shared" ca="1" si="16"/>
        <v>61</v>
      </c>
      <c r="BB81" s="174">
        <f t="shared" ca="1" si="17"/>
        <v>18</v>
      </c>
      <c r="BC81" s="525" t="e">
        <f ca="1">MATCH(BD81,OFFSET(Pinlist!$A$2,BC80*(BA81=BA80),0,$BM$23,1),0)+BC80*(BA81=BA80)</f>
        <v>#N/A</v>
      </c>
      <c r="BD81" s="167">
        <f t="shared" ca="1" si="18"/>
        <v>0</v>
      </c>
      <c r="BE81" s="191" t="e">
        <f ca="1">(OFFSET(Pinlist!$E$1,BC81,0)-$BN$16)*$BN$19</f>
        <v>#N/A</v>
      </c>
      <c r="BF81" s="192" t="e">
        <f ca="1">(OFFSET(Pinlist!$F$1,BC81,0)-$BO$16)*$BO$19</f>
        <v>#N/A</v>
      </c>
      <c r="BG81" s="1098" t="str">
        <f ca="1">IF(LEFT(BD81,2)="RF",OFFSET(Pinlist!$D$1,Chart!BC81,0)&amp;"_"&amp;OFFSET(Pinlist!$G$1,Chart!BC81,0),"")</f>
        <v/>
      </c>
      <c r="BH81" s="1098"/>
      <c r="BI81" s="178"/>
      <c r="BJ81" s="178"/>
      <c r="BK81" s="178"/>
      <c r="BL81" s="178"/>
      <c r="BM81" s="132"/>
      <c r="BN81" s="132"/>
      <c r="BO81" s="132"/>
      <c r="BP81" s="132"/>
      <c r="BQ81" s="531"/>
      <c r="BR81" s="531"/>
      <c r="BS81" s="531"/>
      <c r="BT81" s="531"/>
      <c r="BU81" s="174"/>
      <c r="BV81" s="174"/>
      <c r="BW81" s="552"/>
      <c r="BX81" s="174"/>
      <c r="BY81" s="174"/>
      <c r="BZ81" s="174"/>
      <c r="CA81" s="174"/>
      <c r="CB81" s="178"/>
      <c r="CC81" s="178"/>
      <c r="CD81" s="202"/>
      <c r="CE81" s="202"/>
      <c r="CF81" s="178"/>
      <c r="CG81" s="518"/>
      <c r="CH81" s="174"/>
      <c r="CI81" s="1098" t="e">
        <f ca="1">CI78</f>
        <v>#REF!</v>
      </c>
      <c r="CJ81" s="1098" t="e">
        <f ca="1">CJ80</f>
        <v>#REF!</v>
      </c>
      <c r="CK81" s="1098">
        <f ca="1">CK78</f>
        <v>0</v>
      </c>
      <c r="CL81" s="1098">
        <f ca="1">CL80</f>
        <v>0</v>
      </c>
      <c r="CM81" s="569"/>
      <c r="CN81" s="1246"/>
      <c r="CO81" s="200"/>
      <c r="CP81" s="178"/>
      <c r="CQ81" s="178"/>
      <c r="CR81" s="178"/>
      <c r="CS81" s="178"/>
      <c r="CT81" s="178"/>
      <c r="CU81" s="178"/>
      <c r="CV81" s="178"/>
      <c r="CW81" s="178"/>
      <c r="CX81" s="178"/>
      <c r="CY81" s="178"/>
      <c r="CZ81" s="178"/>
      <c r="DA81" s="150"/>
    </row>
    <row r="82" spans="53:105" x14ac:dyDescent="0.2">
      <c r="BA82" s="518">
        <f t="shared" ca="1" si="16"/>
        <v>61</v>
      </c>
      <c r="BB82" s="174">
        <f t="shared" ca="1" si="17"/>
        <v>19</v>
      </c>
      <c r="BC82" s="525" t="e">
        <f ca="1">MATCH(BD82,OFFSET(Pinlist!$A$2,BC81*(BA82=BA81),0,$BM$23,1),0)+BC81*(BA82=BA81)</f>
        <v>#N/A</v>
      </c>
      <c r="BD82" s="167">
        <f t="shared" ca="1" si="18"/>
        <v>0</v>
      </c>
      <c r="BE82" s="191" t="e">
        <f ca="1">(OFFSET(Pinlist!$E$1,BC82,0)-$BN$16)*$BN$19</f>
        <v>#N/A</v>
      </c>
      <c r="BF82" s="192" t="e">
        <f ca="1">(OFFSET(Pinlist!$F$1,BC82,0)-$BO$16)*$BO$19</f>
        <v>#N/A</v>
      </c>
      <c r="BG82" s="1098" t="str">
        <f ca="1">IF(LEFT(BD82,2)="RF",OFFSET(Pinlist!$D$1,Chart!BC82,0)&amp;"_"&amp;OFFSET(Pinlist!$G$1,Chart!BC82,0),"")</f>
        <v/>
      </c>
      <c r="BH82" s="1098"/>
      <c r="BI82" s="178"/>
      <c r="BJ82" s="178"/>
      <c r="BK82" s="178"/>
      <c r="BL82" s="178"/>
      <c r="BM82" s="132"/>
      <c r="BN82" s="132"/>
      <c r="BO82" s="132"/>
      <c r="BP82" s="132"/>
      <c r="BQ82" s="531"/>
      <c r="BR82" s="531"/>
      <c r="BS82" s="531"/>
      <c r="BT82" s="531"/>
      <c r="BU82" s="174"/>
      <c r="BV82" s="174"/>
      <c r="BW82" s="552"/>
      <c r="BX82" s="174"/>
      <c r="BY82" s="174"/>
      <c r="BZ82" s="174"/>
      <c r="CA82" s="174"/>
      <c r="CB82" s="178"/>
      <c r="CC82" s="178"/>
      <c r="CD82" s="202"/>
      <c r="CE82" s="202"/>
      <c r="CF82" s="178"/>
      <c r="CG82" s="518"/>
      <c r="CH82" s="174"/>
      <c r="CI82" s="1098" t="e">
        <f ca="1">CI78</f>
        <v>#REF!</v>
      </c>
      <c r="CJ82" s="1098" t="e">
        <f ca="1">CJ78</f>
        <v>#REF!</v>
      </c>
      <c r="CK82" s="1098">
        <f ca="1">CK78</f>
        <v>0</v>
      </c>
      <c r="CL82" s="1098">
        <f ca="1">CL78</f>
        <v>0</v>
      </c>
      <c r="CM82" s="569"/>
      <c r="CN82" s="1246"/>
      <c r="CO82" s="200"/>
      <c r="CP82" s="178"/>
      <c r="CQ82" s="178"/>
      <c r="CR82" s="178"/>
      <c r="CS82" s="178"/>
      <c r="CT82" s="178"/>
      <c r="CU82" s="178"/>
      <c r="CV82" s="178"/>
      <c r="CW82" s="178"/>
      <c r="CX82" s="178"/>
      <c r="CY82" s="178"/>
      <c r="CZ82" s="178"/>
      <c r="DA82" s="150"/>
    </row>
    <row r="83" spans="53:105" x14ac:dyDescent="0.2">
      <c r="BA83" s="518">
        <f t="shared" ca="1" si="16"/>
        <v>61</v>
      </c>
      <c r="BB83" s="174">
        <f t="shared" ca="1" si="17"/>
        <v>20</v>
      </c>
      <c r="BC83" s="525" t="e">
        <f ca="1">MATCH(BD83,OFFSET(Pinlist!$A$2,BC82*(BA83=BA82),0,$BM$23,1),0)+BC82*(BA83=BA82)</f>
        <v>#N/A</v>
      </c>
      <c r="BD83" s="167">
        <f t="shared" ca="1" si="18"/>
        <v>0</v>
      </c>
      <c r="BE83" s="191" t="e">
        <f ca="1">(OFFSET(Pinlist!$E$1,BC83,0)-$BN$16)*$BN$19</f>
        <v>#N/A</v>
      </c>
      <c r="BF83" s="192" t="e">
        <f ca="1">(OFFSET(Pinlist!$F$1,BC83,0)-$BO$16)*$BO$19</f>
        <v>#N/A</v>
      </c>
      <c r="BG83" s="1098" t="str">
        <f ca="1">IF(LEFT(BD83,2)="RF",OFFSET(Pinlist!$D$1,Chart!BC83,0)&amp;"_"&amp;OFFSET(Pinlist!$G$1,Chart!BC83,0),"")</f>
        <v/>
      </c>
      <c r="BH83" s="1098"/>
      <c r="BI83" s="178"/>
      <c r="BJ83" s="178"/>
      <c r="BK83" s="178"/>
      <c r="BL83" s="178"/>
      <c r="BM83" s="132"/>
      <c r="BN83" s="132"/>
      <c r="BO83" s="132"/>
      <c r="BP83" s="132"/>
      <c r="BQ83" s="531"/>
      <c r="BR83" s="531"/>
      <c r="BS83" s="531"/>
      <c r="BT83" s="531"/>
      <c r="BU83" s="174"/>
      <c r="BV83" s="174"/>
      <c r="BW83" s="552"/>
      <c r="BX83" s="174"/>
      <c r="BY83" s="174"/>
      <c r="BZ83" s="174"/>
      <c r="CA83" s="174"/>
      <c r="CB83" s="178"/>
      <c r="CC83" s="178"/>
      <c r="CD83" s="202"/>
      <c r="CE83" s="202"/>
      <c r="CF83" s="178"/>
      <c r="CG83" s="518">
        <f>CG78+1</f>
        <v>16</v>
      </c>
      <c r="CH83" s="174">
        <f>(CG83&lt;$CQ$25)*$CQ$40</f>
        <v>0</v>
      </c>
      <c r="CI83" s="1150" t="e">
        <f ca="1">$CH83*IF($CQ$19,CI73+$CQ$26,CI78-$CQ$27+$CQ$26)</f>
        <v>#REF!</v>
      </c>
      <c r="CJ83" s="1150" t="e">
        <f ca="1">$CH83*IF($CQ$19,CJ73+$CR$26,CJ78-$CR$27+$CR$26)</f>
        <v>#REF!</v>
      </c>
      <c r="CK83" s="1150">
        <f ca="1">$CH83*IF($CQ$19,CK73+$CQ$26,CK78-$CQ$27+$CQ$26)</f>
        <v>0</v>
      </c>
      <c r="CL83" s="1150">
        <f ca="1">$CH83*IF($CQ$19,CL73+$CR$26,CL78-$CR$27+$CR$26)</f>
        <v>0</v>
      </c>
      <c r="CM83" s="1150" t="e">
        <f ca="1">IF(CH83,IF($CQ$19,CM73+$CQ$26,CM78-$CQ$27+$CQ$26),$CM$3)</f>
        <v>#N/A</v>
      </c>
      <c r="CN83" s="1245" t="e">
        <f ca="1">IF(CH83,IF($CQ$19,CN73+$CR$26,CN78-$CR$27+$CR$26),$CN$3)</f>
        <v>#N/A</v>
      </c>
      <c r="CO83" s="202"/>
      <c r="CP83" s="178"/>
      <c r="CQ83" s="178"/>
      <c r="CR83" s="178"/>
      <c r="CS83" s="178"/>
      <c r="CT83" s="178"/>
      <c r="CU83" s="178"/>
      <c r="CV83" s="178"/>
      <c r="CW83" s="178"/>
      <c r="CX83" s="178"/>
      <c r="CY83" s="178"/>
      <c r="CZ83" s="178"/>
      <c r="DA83" s="150"/>
    </row>
    <row r="84" spans="53:105" x14ac:dyDescent="0.2">
      <c r="BA84" s="518">
        <f t="shared" ca="1" si="16"/>
        <v>61</v>
      </c>
      <c r="BB84" s="174">
        <f t="shared" ca="1" si="17"/>
        <v>21</v>
      </c>
      <c r="BC84" s="525" t="e">
        <f ca="1">MATCH(BD84,OFFSET(Pinlist!$A$2,BC83*(BA84=BA83),0,$BM$23,1),0)+BC83*(BA84=BA83)</f>
        <v>#N/A</v>
      </c>
      <c r="BD84" s="167">
        <f t="shared" ca="1" si="18"/>
        <v>0</v>
      </c>
      <c r="BE84" s="191" t="e">
        <f ca="1">(OFFSET(Pinlist!$E$1,BC84,0)-$BN$16)*$BN$19</f>
        <v>#N/A</v>
      </c>
      <c r="BF84" s="192" t="e">
        <f ca="1">(OFFSET(Pinlist!$F$1,BC84,0)-$BO$16)*$BO$19</f>
        <v>#N/A</v>
      </c>
      <c r="BG84" s="1098" t="str">
        <f ca="1">IF(LEFT(BD84,2)="RF",OFFSET(Pinlist!$D$1,Chart!BC84,0)&amp;"_"&amp;OFFSET(Pinlist!$G$1,Chart!BC84,0),"")</f>
        <v/>
      </c>
      <c r="BH84" s="1098"/>
      <c r="BI84" s="178"/>
      <c r="BJ84" s="178"/>
      <c r="BK84" s="178"/>
      <c r="BL84" s="178"/>
      <c r="BM84" s="132"/>
      <c r="BN84" s="132"/>
      <c r="BO84" s="132"/>
      <c r="BP84" s="132"/>
      <c r="BQ84" s="531"/>
      <c r="BR84" s="531"/>
      <c r="BS84" s="531"/>
      <c r="BT84" s="531"/>
      <c r="BU84" s="174"/>
      <c r="BV84" s="174"/>
      <c r="BW84" s="552"/>
      <c r="BX84" s="174"/>
      <c r="BY84" s="174"/>
      <c r="BZ84" s="174"/>
      <c r="CA84" s="174"/>
      <c r="CB84" s="178"/>
      <c r="CC84" s="178"/>
      <c r="CD84" s="202"/>
      <c r="CE84" s="202"/>
      <c r="CF84" s="178"/>
      <c r="CG84" s="518"/>
      <c r="CH84" s="174"/>
      <c r="CI84" s="1098" t="e">
        <f ca="1">CH83*(CI83-DUT!$G$11)</f>
        <v>#REF!</v>
      </c>
      <c r="CJ84" s="1098" t="e">
        <f ca="1">CJ83</f>
        <v>#REF!</v>
      </c>
      <c r="CK84" s="1098">
        <f ca="1">CH83*(CK83-$BJ$5)</f>
        <v>0</v>
      </c>
      <c r="CL84" s="1098">
        <f ca="1">CL83</f>
        <v>0</v>
      </c>
      <c r="CM84" s="183"/>
      <c r="CN84" s="184"/>
      <c r="CO84" s="202"/>
      <c r="CP84" s="178"/>
      <c r="CQ84" s="178"/>
      <c r="CR84" s="178"/>
      <c r="CS84" s="178"/>
      <c r="CT84" s="178"/>
      <c r="CU84" s="178"/>
      <c r="CV84" s="178"/>
      <c r="CW84" s="178"/>
      <c r="CX84" s="178"/>
      <c r="CY84" s="178"/>
      <c r="CZ84" s="178"/>
      <c r="DA84" s="150"/>
    </row>
    <row r="85" spans="53:105" x14ac:dyDescent="0.2">
      <c r="BA85" s="518">
        <f t="shared" ca="1" si="16"/>
        <v>61</v>
      </c>
      <c r="BB85" s="174">
        <f t="shared" ca="1" si="17"/>
        <v>22</v>
      </c>
      <c r="BC85" s="525" t="e">
        <f ca="1">MATCH(BD85,OFFSET(Pinlist!$A$2,BC84*(BA85=BA84),0,$BM$23,1),0)+BC84*(BA85=BA84)</f>
        <v>#N/A</v>
      </c>
      <c r="BD85" s="167">
        <f t="shared" ca="1" si="18"/>
        <v>0</v>
      </c>
      <c r="BE85" s="191" t="e">
        <f ca="1">(OFFSET(Pinlist!$E$1,BC85,0)-$BN$16)*$BN$19</f>
        <v>#N/A</v>
      </c>
      <c r="BF85" s="192" t="e">
        <f ca="1">(OFFSET(Pinlist!$F$1,BC85,0)-$BO$16)*$BO$19</f>
        <v>#N/A</v>
      </c>
      <c r="BG85" s="1098" t="str">
        <f ca="1">IF(LEFT(BD85,2)="RF",OFFSET(Pinlist!$D$1,Chart!BC85,0)&amp;"_"&amp;OFFSET(Pinlist!$G$1,Chart!BC85,0),"")</f>
        <v/>
      </c>
      <c r="BH85" s="1098"/>
      <c r="BI85" s="178"/>
      <c r="BJ85" s="178"/>
      <c r="BK85" s="178"/>
      <c r="BL85" s="178"/>
      <c r="BM85" s="132"/>
      <c r="BN85" s="132"/>
      <c r="BO85" s="132"/>
      <c r="BP85" s="132"/>
      <c r="BQ85" s="531"/>
      <c r="BR85" s="531"/>
      <c r="BS85" s="531"/>
      <c r="BT85" s="531"/>
      <c r="BU85" s="174"/>
      <c r="BV85" s="174"/>
      <c r="BW85" s="552"/>
      <c r="BX85" s="174"/>
      <c r="BY85" s="174"/>
      <c r="BZ85" s="174"/>
      <c r="CA85" s="174"/>
      <c r="CB85" s="178"/>
      <c r="CC85" s="178"/>
      <c r="CD85" s="202"/>
      <c r="CE85" s="202"/>
      <c r="CF85" s="178"/>
      <c r="CG85" s="518"/>
      <c r="CH85" s="174"/>
      <c r="CI85" s="1098" t="e">
        <f ca="1">CI84</f>
        <v>#REF!</v>
      </c>
      <c r="CJ85" s="1098" t="e">
        <f ca="1">CH83*(CJ84-DUT!$J$11)</f>
        <v>#REF!</v>
      </c>
      <c r="CK85" s="1098">
        <f ca="1">CK84</f>
        <v>0</v>
      </c>
      <c r="CL85" s="1098">
        <f ca="1">CH83*(CL84-$BK$5)</f>
        <v>0</v>
      </c>
      <c r="CM85" s="183"/>
      <c r="CN85" s="184"/>
      <c r="CO85" s="202"/>
      <c r="CP85" s="178"/>
      <c r="CQ85" s="178"/>
      <c r="CR85" s="178"/>
      <c r="CS85" s="178"/>
      <c r="CT85" s="178"/>
      <c r="CU85" s="178"/>
      <c r="CV85" s="178"/>
      <c r="CW85" s="178"/>
      <c r="CX85" s="178"/>
      <c r="CY85" s="178"/>
      <c r="CZ85" s="178"/>
      <c r="DA85" s="150"/>
    </row>
    <row r="86" spans="53:105" x14ac:dyDescent="0.2">
      <c r="BA86" s="518">
        <f t="shared" ca="1" si="16"/>
        <v>61</v>
      </c>
      <c r="BB86" s="174">
        <f t="shared" ca="1" si="17"/>
        <v>23</v>
      </c>
      <c r="BC86" s="525" t="e">
        <f ca="1">MATCH(BD86,OFFSET(Pinlist!$A$2,BC85*(BA86=BA85),0,$BM$23,1),0)+BC85*(BA86=BA85)</f>
        <v>#N/A</v>
      </c>
      <c r="BD86" s="167">
        <f t="shared" ca="1" si="18"/>
        <v>0</v>
      </c>
      <c r="BE86" s="191" t="e">
        <f ca="1">(OFFSET(Pinlist!$E$1,BC86,0)-$BN$16)*$BN$19</f>
        <v>#N/A</v>
      </c>
      <c r="BF86" s="192" t="e">
        <f ca="1">(OFFSET(Pinlist!$F$1,BC86,0)-$BO$16)*$BO$19</f>
        <v>#N/A</v>
      </c>
      <c r="BG86" s="1098" t="str">
        <f ca="1">IF(LEFT(BD86,2)="RF",OFFSET(Pinlist!$D$1,Chart!BC86,0)&amp;"_"&amp;OFFSET(Pinlist!$G$1,Chart!BC86,0),"")</f>
        <v/>
      </c>
      <c r="BH86" s="1098"/>
      <c r="BI86" s="178"/>
      <c r="BJ86" s="178"/>
      <c r="BK86" s="178"/>
      <c r="BL86" s="178"/>
      <c r="BM86" s="132"/>
      <c r="BN86" s="132"/>
      <c r="BO86" s="132"/>
      <c r="BP86" s="132"/>
      <c r="BQ86" s="531"/>
      <c r="BR86" s="531"/>
      <c r="BS86" s="531"/>
      <c r="BT86" s="531"/>
      <c r="BU86" s="174"/>
      <c r="BV86" s="174"/>
      <c r="BW86" s="552"/>
      <c r="BX86" s="174"/>
      <c r="BY86" s="174"/>
      <c r="BZ86" s="174"/>
      <c r="CA86" s="174"/>
      <c r="CB86" s="178"/>
      <c r="CC86" s="178"/>
      <c r="CD86" s="202"/>
      <c r="CE86" s="202"/>
      <c r="CF86" s="178"/>
      <c r="CG86" s="518"/>
      <c r="CH86" s="174"/>
      <c r="CI86" s="1098" t="e">
        <f ca="1">CI83</f>
        <v>#REF!</v>
      </c>
      <c r="CJ86" s="1098" t="e">
        <f ca="1">CJ85</f>
        <v>#REF!</v>
      </c>
      <c r="CK86" s="1098">
        <f ca="1">CK83</f>
        <v>0</v>
      </c>
      <c r="CL86" s="1098">
        <f ca="1">CL85</f>
        <v>0</v>
      </c>
      <c r="CM86" s="183"/>
      <c r="CN86" s="184"/>
      <c r="CO86" s="202"/>
      <c r="CP86" s="178"/>
      <c r="CQ86" s="178"/>
      <c r="CR86" s="178"/>
      <c r="CS86" s="178"/>
      <c r="CT86" s="178"/>
      <c r="CU86" s="178"/>
      <c r="CV86" s="178"/>
      <c r="CW86" s="178"/>
      <c r="CX86" s="178"/>
      <c r="CY86" s="178"/>
      <c r="CZ86" s="178"/>
      <c r="DA86" s="150"/>
    </row>
    <row r="87" spans="53:105" x14ac:dyDescent="0.2">
      <c r="BA87" s="518">
        <f t="shared" ca="1" si="16"/>
        <v>61</v>
      </c>
      <c r="BB87" s="174">
        <f t="shared" ca="1" si="17"/>
        <v>24</v>
      </c>
      <c r="BC87" s="525" t="e">
        <f ca="1">MATCH(BD87,OFFSET(Pinlist!$A$2,BC86*(BA87=BA86),0,$BM$23,1),0)+BC86*(BA87=BA86)</f>
        <v>#N/A</v>
      </c>
      <c r="BD87" s="167">
        <f t="shared" ca="1" si="18"/>
        <v>0</v>
      </c>
      <c r="BE87" s="191" t="e">
        <f ca="1">(OFFSET(Pinlist!$E$1,BC87,0)-$BN$16)*$BN$19</f>
        <v>#N/A</v>
      </c>
      <c r="BF87" s="192" t="e">
        <f ca="1">(OFFSET(Pinlist!$F$1,BC87,0)-$BO$16)*$BO$19</f>
        <v>#N/A</v>
      </c>
      <c r="BG87" s="1098" t="str">
        <f ca="1">IF(LEFT(BD87,2)="RF",OFFSET(Pinlist!$D$1,Chart!BC87,0)&amp;"_"&amp;OFFSET(Pinlist!$G$1,Chart!BC87,0),"")</f>
        <v/>
      </c>
      <c r="BH87" s="1098"/>
      <c r="BI87" s="178"/>
      <c r="BJ87" s="178"/>
      <c r="BK87" s="178"/>
      <c r="BL87" s="178"/>
      <c r="BM87" s="132"/>
      <c r="BN87" s="132"/>
      <c r="BO87" s="132"/>
      <c r="BP87" s="132"/>
      <c r="BQ87" s="531"/>
      <c r="BR87" s="531"/>
      <c r="BS87" s="531"/>
      <c r="BT87" s="531"/>
      <c r="BU87" s="174"/>
      <c r="BV87" s="174"/>
      <c r="BW87" s="552"/>
      <c r="BX87" s="174"/>
      <c r="BY87" s="174"/>
      <c r="BZ87" s="174"/>
      <c r="CA87" s="174"/>
      <c r="CB87" s="178"/>
      <c r="CC87" s="178"/>
      <c r="CD87" s="202"/>
      <c r="CE87" s="202"/>
      <c r="CF87" s="178"/>
      <c r="CG87" s="518"/>
      <c r="CH87" s="174"/>
      <c r="CI87" s="1098" t="e">
        <f ca="1">CI83</f>
        <v>#REF!</v>
      </c>
      <c r="CJ87" s="1098" t="e">
        <f ca="1">CJ83</f>
        <v>#REF!</v>
      </c>
      <c r="CK87" s="1098">
        <f ca="1">CK83</f>
        <v>0</v>
      </c>
      <c r="CL87" s="1098">
        <f ca="1">CL83</f>
        <v>0</v>
      </c>
      <c r="CM87" s="183"/>
      <c r="CN87" s="184"/>
      <c r="CO87" s="202"/>
      <c r="CP87" s="178"/>
      <c r="CQ87" s="178"/>
      <c r="CR87" s="178"/>
      <c r="CS87" s="178"/>
      <c r="CT87" s="178"/>
      <c r="CU87" s="178"/>
      <c r="CV87" s="178"/>
      <c r="CW87" s="178"/>
      <c r="CX87" s="178"/>
      <c r="CY87" s="178"/>
      <c r="CZ87" s="178"/>
      <c r="DA87" s="150"/>
    </row>
    <row r="88" spans="53:105" x14ac:dyDescent="0.2">
      <c r="BA88" s="518">
        <f t="shared" ca="1" si="16"/>
        <v>61</v>
      </c>
      <c r="BB88" s="174">
        <f t="shared" ca="1" si="17"/>
        <v>25</v>
      </c>
      <c r="BC88" s="525" t="e">
        <f ca="1">MATCH(BD88,OFFSET(Pinlist!$A$2,BC87*(BA88=BA87),0,$BM$23,1),0)+BC87*(BA88=BA87)</f>
        <v>#N/A</v>
      </c>
      <c r="BD88" s="167">
        <f t="shared" ca="1" si="18"/>
        <v>0</v>
      </c>
      <c r="BE88" s="191" t="e">
        <f ca="1">(OFFSET(Pinlist!$E$1,BC88,0)-$BN$16)*$BN$19</f>
        <v>#N/A</v>
      </c>
      <c r="BF88" s="192" t="e">
        <f ca="1">(OFFSET(Pinlist!$F$1,BC88,0)-$BO$16)*$BO$19</f>
        <v>#N/A</v>
      </c>
      <c r="BG88" s="1098" t="str">
        <f ca="1">IF(LEFT(BD88,2)="RF",OFFSET(Pinlist!$D$1,Chart!BC88,0)&amp;"_"&amp;OFFSET(Pinlist!$G$1,Chart!BC88,0),"")</f>
        <v/>
      </c>
      <c r="BH88" s="1098"/>
      <c r="BI88" s="178"/>
      <c r="BJ88" s="178"/>
      <c r="BK88" s="178"/>
      <c r="BL88" s="178"/>
      <c r="BM88" s="132"/>
      <c r="BN88" s="132"/>
      <c r="BO88" s="132"/>
      <c r="BP88" s="132"/>
      <c r="BQ88" s="531"/>
      <c r="BR88" s="531"/>
      <c r="BS88" s="531"/>
      <c r="BT88" s="531"/>
      <c r="BU88" s="174"/>
      <c r="BV88" s="174"/>
      <c r="BW88" s="552"/>
      <c r="BX88" s="174"/>
      <c r="BY88" s="174"/>
      <c r="BZ88" s="174"/>
      <c r="CA88" s="174"/>
      <c r="CB88" s="178"/>
      <c r="CC88" s="178"/>
      <c r="CD88" s="202"/>
      <c r="CE88" s="202"/>
      <c r="CF88" s="178"/>
      <c r="CG88" s="518">
        <f>CG83+1</f>
        <v>17</v>
      </c>
      <c r="CH88" s="174">
        <f>(CG88&lt;$CQ$25)*$CQ$40</f>
        <v>0</v>
      </c>
      <c r="CI88" s="1149" t="e">
        <f ca="1">$CH88*(CI83+$CQ$27+IF($CQ$19,$CQ$20,$CQ$26))</f>
        <v>#REF!</v>
      </c>
      <c r="CJ88" s="1149" t="e">
        <f ca="1">$CH88*(CJ83+$CR$27+IF($CQ$19,$CR$20,$CR$26))</f>
        <v>#REF!</v>
      </c>
      <c r="CK88" s="1149">
        <f ca="1">$CH88*(CK83+$CQ$27+IF($CQ$19,$CQ$20,$CQ$26))</f>
        <v>0</v>
      </c>
      <c r="CL88" s="1149">
        <f ca="1">$CH88*(CL83+$CR$27+IF($CQ$19,$CR$20,$CR$26))</f>
        <v>0</v>
      </c>
      <c r="CM88" s="1149" t="e">
        <f ca="1">IF(CH88,CM83+$CQ$27+IF($CQ$19,$CQ$20,$CQ$26),$CM$3)</f>
        <v>#N/A</v>
      </c>
      <c r="CN88" s="1244" t="e">
        <f ca="1">IF(CH88,CN83+$CR$27+IF($CQ$19,$CR$20,$CR$26),$CN$3)</f>
        <v>#N/A</v>
      </c>
      <c r="CO88" s="200"/>
      <c r="CP88" s="178"/>
      <c r="CQ88" s="178"/>
      <c r="CR88" s="178"/>
      <c r="CS88" s="178"/>
      <c r="CT88" s="178"/>
      <c r="CU88" s="178"/>
      <c r="CV88" s="178"/>
      <c r="CW88" s="178"/>
      <c r="CX88" s="178"/>
      <c r="CY88" s="178"/>
      <c r="CZ88" s="178"/>
      <c r="DA88" s="150"/>
    </row>
    <row r="89" spans="53:105" x14ac:dyDescent="0.2">
      <c r="BA89" s="518">
        <f t="shared" ca="1" si="16"/>
        <v>61</v>
      </c>
      <c r="BB89" s="174">
        <f t="shared" ca="1" si="17"/>
        <v>26</v>
      </c>
      <c r="BC89" s="525" t="e">
        <f ca="1">MATCH(BD89,OFFSET(Pinlist!$A$2,BC88*(BA89=BA88),0,$BM$23,1),0)+BC88*(BA89=BA88)</f>
        <v>#N/A</v>
      </c>
      <c r="BD89" s="167">
        <f t="shared" ca="1" si="18"/>
        <v>0</v>
      </c>
      <c r="BE89" s="191" t="e">
        <f ca="1">(OFFSET(Pinlist!$E$1,BC89,0)-$BN$16)*$BN$19</f>
        <v>#N/A</v>
      </c>
      <c r="BF89" s="192" t="e">
        <f ca="1">(OFFSET(Pinlist!$F$1,BC89,0)-$BO$16)*$BO$19</f>
        <v>#N/A</v>
      </c>
      <c r="BG89" s="1098" t="str">
        <f ca="1">IF(LEFT(BD89,2)="RF",OFFSET(Pinlist!$D$1,Chart!BC89,0)&amp;"_"&amp;OFFSET(Pinlist!$G$1,Chart!BC89,0),"")</f>
        <v/>
      </c>
      <c r="BH89" s="1098"/>
      <c r="BI89" s="178"/>
      <c r="BJ89" s="178"/>
      <c r="BK89" s="178"/>
      <c r="BL89" s="178"/>
      <c r="BM89" s="132"/>
      <c r="BN89" s="132"/>
      <c r="BO89" s="132"/>
      <c r="BP89" s="132"/>
      <c r="BQ89" s="531"/>
      <c r="BR89" s="531"/>
      <c r="BS89" s="531"/>
      <c r="BT89" s="531"/>
      <c r="BU89" s="174"/>
      <c r="BV89" s="174"/>
      <c r="BW89" s="552"/>
      <c r="BX89" s="174"/>
      <c r="BY89" s="174"/>
      <c r="BZ89" s="174"/>
      <c r="CA89" s="174"/>
      <c r="CB89" s="178"/>
      <c r="CC89" s="178"/>
      <c r="CD89" s="202"/>
      <c r="CE89" s="202"/>
      <c r="CF89" s="178"/>
      <c r="CG89" s="518"/>
      <c r="CH89" s="174"/>
      <c r="CI89" s="1098" t="e">
        <f ca="1">CH88*(CI88-DUT!$G$11)</f>
        <v>#REF!</v>
      </c>
      <c r="CJ89" s="1098" t="e">
        <f ca="1">CJ88</f>
        <v>#REF!</v>
      </c>
      <c r="CK89" s="1098">
        <f ca="1">CH88*(CK88-$BJ$5)</f>
        <v>0</v>
      </c>
      <c r="CL89" s="1098">
        <f ca="1">CL88</f>
        <v>0</v>
      </c>
      <c r="CM89" s="569"/>
      <c r="CN89" s="1246"/>
      <c r="CO89" s="200"/>
      <c r="CP89" s="178"/>
      <c r="CQ89" s="178"/>
      <c r="CR89" s="178"/>
      <c r="CS89" s="178"/>
      <c r="CT89" s="178"/>
      <c r="CU89" s="178"/>
      <c r="CV89" s="178"/>
      <c r="CW89" s="178"/>
      <c r="CX89" s="178"/>
      <c r="CY89" s="178"/>
      <c r="CZ89" s="178"/>
      <c r="DA89" s="150"/>
    </row>
    <row r="90" spans="53:105" x14ac:dyDescent="0.2">
      <c r="BA90" s="518">
        <f t="shared" ca="1" si="16"/>
        <v>61</v>
      </c>
      <c r="BB90" s="174">
        <f t="shared" ca="1" si="17"/>
        <v>27</v>
      </c>
      <c r="BC90" s="525" t="e">
        <f ca="1">MATCH(BD90,OFFSET(Pinlist!$A$2,BC89*(BA90=BA89),0,$BM$23,1),0)+BC89*(BA90=BA89)</f>
        <v>#N/A</v>
      </c>
      <c r="BD90" s="167">
        <f t="shared" ca="1" si="18"/>
        <v>0</v>
      </c>
      <c r="BE90" s="191" t="e">
        <f ca="1">(OFFSET(Pinlist!$E$1,BC90,0)-$BN$16)*$BN$19</f>
        <v>#N/A</v>
      </c>
      <c r="BF90" s="192" t="e">
        <f ca="1">(OFFSET(Pinlist!$F$1,BC90,0)-$BO$16)*$BO$19</f>
        <v>#N/A</v>
      </c>
      <c r="BG90" s="1098" t="str">
        <f ca="1">IF(LEFT(BD90,2)="RF",OFFSET(Pinlist!$D$1,Chart!BC90,0)&amp;"_"&amp;OFFSET(Pinlist!$G$1,Chart!BC90,0),"")</f>
        <v/>
      </c>
      <c r="BH90" s="1098"/>
      <c r="BI90" s="178"/>
      <c r="BJ90" s="178"/>
      <c r="BK90" s="178"/>
      <c r="BL90" s="178"/>
      <c r="BM90" s="132"/>
      <c r="BN90" s="132"/>
      <c r="BO90" s="132"/>
      <c r="BP90" s="132"/>
      <c r="BQ90" s="531"/>
      <c r="BR90" s="531"/>
      <c r="BS90" s="531"/>
      <c r="BT90" s="531"/>
      <c r="BU90" s="174"/>
      <c r="BV90" s="174"/>
      <c r="BW90" s="552"/>
      <c r="BX90" s="174"/>
      <c r="BY90" s="174"/>
      <c r="BZ90" s="174"/>
      <c r="CA90" s="174"/>
      <c r="CB90" s="178"/>
      <c r="CC90" s="178"/>
      <c r="CD90" s="202"/>
      <c r="CE90" s="202"/>
      <c r="CF90" s="178"/>
      <c r="CG90" s="518"/>
      <c r="CH90" s="174"/>
      <c r="CI90" s="1098" t="e">
        <f ca="1">CI89</f>
        <v>#REF!</v>
      </c>
      <c r="CJ90" s="1098" t="e">
        <f ca="1">CH88*(CJ89-DUT!$J$11)</f>
        <v>#REF!</v>
      </c>
      <c r="CK90" s="1098">
        <f ca="1">CK89</f>
        <v>0</v>
      </c>
      <c r="CL90" s="1098">
        <f ca="1">CH88*(CL89-$BK$5)</f>
        <v>0</v>
      </c>
      <c r="CM90" s="569"/>
      <c r="CN90" s="1246"/>
      <c r="CO90" s="200"/>
      <c r="CP90" s="178"/>
      <c r="CQ90" s="178"/>
      <c r="CR90" s="178"/>
      <c r="CS90" s="178"/>
      <c r="CT90" s="178"/>
      <c r="CU90" s="178"/>
      <c r="CV90" s="178"/>
      <c r="CW90" s="178"/>
      <c r="CX90" s="178"/>
      <c r="CY90" s="178"/>
      <c r="CZ90" s="178"/>
      <c r="DA90" s="150"/>
    </row>
    <row r="91" spans="53:105" x14ac:dyDescent="0.2">
      <c r="BA91" s="518">
        <f t="shared" ca="1" si="16"/>
        <v>61</v>
      </c>
      <c r="BB91" s="174">
        <f t="shared" ca="1" si="17"/>
        <v>28</v>
      </c>
      <c r="BC91" s="525" t="e">
        <f ca="1">MATCH(BD91,OFFSET(Pinlist!$A$2,BC90*(BA91=BA90),0,$BM$23,1),0)+BC90*(BA91=BA90)</f>
        <v>#N/A</v>
      </c>
      <c r="BD91" s="167">
        <f t="shared" ca="1" si="18"/>
        <v>0</v>
      </c>
      <c r="BE91" s="191" t="e">
        <f ca="1">(OFFSET(Pinlist!$E$1,BC91,0)-$BN$16)*$BN$19</f>
        <v>#N/A</v>
      </c>
      <c r="BF91" s="192" t="e">
        <f ca="1">(OFFSET(Pinlist!$F$1,BC91,0)-$BO$16)*$BO$19</f>
        <v>#N/A</v>
      </c>
      <c r="BG91" s="1098" t="str">
        <f ca="1">IF(LEFT(BD91,2)="RF",OFFSET(Pinlist!$D$1,Chart!BC91,0)&amp;"_"&amp;OFFSET(Pinlist!$G$1,Chart!BC91,0),"")</f>
        <v/>
      </c>
      <c r="BH91" s="1098"/>
      <c r="BI91" s="178"/>
      <c r="BJ91" s="178"/>
      <c r="BK91" s="178"/>
      <c r="BL91" s="178"/>
      <c r="BM91" s="132"/>
      <c r="BN91" s="132"/>
      <c r="BO91" s="132"/>
      <c r="BP91" s="132"/>
      <c r="BQ91" s="531"/>
      <c r="BR91" s="531"/>
      <c r="BS91" s="531"/>
      <c r="BT91" s="531"/>
      <c r="BU91" s="174"/>
      <c r="BV91" s="174"/>
      <c r="BW91" s="552"/>
      <c r="BX91" s="174"/>
      <c r="BY91" s="174"/>
      <c r="BZ91" s="174"/>
      <c r="CA91" s="174"/>
      <c r="CB91" s="178"/>
      <c r="CC91" s="178"/>
      <c r="CD91" s="202"/>
      <c r="CE91" s="202"/>
      <c r="CF91" s="178"/>
      <c r="CG91" s="518"/>
      <c r="CH91" s="174"/>
      <c r="CI91" s="1098" t="e">
        <f ca="1">CI88</f>
        <v>#REF!</v>
      </c>
      <c r="CJ91" s="1098" t="e">
        <f ca="1">CJ90</f>
        <v>#REF!</v>
      </c>
      <c r="CK91" s="1098">
        <f ca="1">CK88</f>
        <v>0</v>
      </c>
      <c r="CL91" s="1098">
        <f ca="1">CL90</f>
        <v>0</v>
      </c>
      <c r="CM91" s="569"/>
      <c r="CN91" s="1246"/>
      <c r="CO91" s="200"/>
      <c r="CP91" s="178"/>
      <c r="CQ91" s="178"/>
      <c r="CR91" s="178"/>
      <c r="CS91" s="178"/>
      <c r="CT91" s="178"/>
      <c r="CU91" s="178"/>
      <c r="CV91" s="178"/>
      <c r="CW91" s="178"/>
      <c r="CX91" s="178"/>
      <c r="CY91" s="178"/>
      <c r="CZ91" s="178"/>
      <c r="DA91" s="150"/>
    </row>
    <row r="92" spans="53:105" x14ac:dyDescent="0.2">
      <c r="BA92" s="518">
        <f t="shared" ca="1" si="16"/>
        <v>61</v>
      </c>
      <c r="BB92" s="174">
        <f t="shared" ca="1" si="17"/>
        <v>29</v>
      </c>
      <c r="BC92" s="525" t="e">
        <f ca="1">MATCH(BD92,OFFSET(Pinlist!$A$2,BC91*(BA92=BA91),0,$BM$23,1),0)+BC91*(BA92=BA91)</f>
        <v>#N/A</v>
      </c>
      <c r="BD92" s="167">
        <f t="shared" ca="1" si="18"/>
        <v>0</v>
      </c>
      <c r="BE92" s="191" t="e">
        <f ca="1">(OFFSET(Pinlist!$E$1,BC92,0)-$BN$16)*$BN$19</f>
        <v>#N/A</v>
      </c>
      <c r="BF92" s="192" t="e">
        <f ca="1">(OFFSET(Pinlist!$F$1,BC92,0)-$BO$16)*$BO$19</f>
        <v>#N/A</v>
      </c>
      <c r="BG92" s="1098" t="str">
        <f ca="1">IF(LEFT(BD92,2)="RF",OFFSET(Pinlist!$D$1,Chart!BC92,0)&amp;"_"&amp;OFFSET(Pinlist!$G$1,Chart!BC92,0),"")</f>
        <v/>
      </c>
      <c r="BH92" s="1098"/>
      <c r="BI92" s="178"/>
      <c r="BJ92" s="178"/>
      <c r="BK92" s="178"/>
      <c r="BL92" s="178"/>
      <c r="BM92" s="132"/>
      <c r="BN92" s="132"/>
      <c r="BO92" s="132"/>
      <c r="BP92" s="132"/>
      <c r="BQ92" s="531"/>
      <c r="BR92" s="531"/>
      <c r="BS92" s="531"/>
      <c r="BT92" s="531"/>
      <c r="BU92" s="174"/>
      <c r="BV92" s="174"/>
      <c r="BW92" s="552"/>
      <c r="BX92" s="174"/>
      <c r="BY92" s="174"/>
      <c r="BZ92" s="174"/>
      <c r="CA92" s="174"/>
      <c r="CB92" s="178"/>
      <c r="CC92" s="178"/>
      <c r="CD92" s="202"/>
      <c r="CE92" s="202"/>
      <c r="CF92" s="178"/>
      <c r="CG92" s="518"/>
      <c r="CH92" s="174"/>
      <c r="CI92" s="1098" t="e">
        <f ca="1">CI88</f>
        <v>#REF!</v>
      </c>
      <c r="CJ92" s="1098" t="e">
        <f ca="1">CJ88</f>
        <v>#REF!</v>
      </c>
      <c r="CK92" s="1098">
        <f ca="1">CK88</f>
        <v>0</v>
      </c>
      <c r="CL92" s="1098">
        <f ca="1">CL88</f>
        <v>0</v>
      </c>
      <c r="CM92" s="569"/>
      <c r="CN92" s="1246"/>
      <c r="CO92" s="200"/>
      <c r="CP92" s="178"/>
      <c r="CQ92" s="178"/>
      <c r="CR92" s="178"/>
      <c r="CS92" s="178"/>
      <c r="CT92" s="178"/>
      <c r="CU92" s="178"/>
      <c r="CV92" s="178"/>
      <c r="CW92" s="178"/>
      <c r="CX92" s="178"/>
      <c r="CY92" s="178"/>
      <c r="CZ92" s="178"/>
      <c r="DA92" s="150"/>
    </row>
    <row r="93" spans="53:105" x14ac:dyDescent="0.2">
      <c r="BA93" s="518">
        <f t="shared" ca="1" si="16"/>
        <v>61</v>
      </c>
      <c r="BB93" s="174">
        <f t="shared" ca="1" si="17"/>
        <v>30</v>
      </c>
      <c r="BC93" s="525" t="e">
        <f ca="1">MATCH(BD93,OFFSET(Pinlist!$A$2,BC92*(BA93=BA92),0,$BM$23,1),0)+BC92*(BA93=BA92)</f>
        <v>#N/A</v>
      </c>
      <c r="BD93" s="167">
        <f t="shared" ca="1" si="18"/>
        <v>0</v>
      </c>
      <c r="BE93" s="191" t="e">
        <f ca="1">(OFFSET(Pinlist!$E$1,BC93,0)-$BN$16)*$BN$19</f>
        <v>#N/A</v>
      </c>
      <c r="BF93" s="192" t="e">
        <f ca="1">(OFFSET(Pinlist!$F$1,BC93,0)-$BO$16)*$BO$19</f>
        <v>#N/A</v>
      </c>
      <c r="BG93" s="1098" t="str">
        <f ca="1">IF(LEFT(BD93,2)="RF",OFFSET(Pinlist!$D$1,Chart!BC93,0)&amp;"_"&amp;OFFSET(Pinlist!$G$1,Chart!BC93,0),"")</f>
        <v/>
      </c>
      <c r="BH93" s="1098"/>
      <c r="BI93" s="178"/>
      <c r="BJ93" s="178"/>
      <c r="BK93" s="178"/>
      <c r="BL93" s="178"/>
      <c r="BM93" s="132"/>
      <c r="BN93" s="132"/>
      <c r="BO93" s="132"/>
      <c r="BP93" s="132"/>
      <c r="BQ93" s="531"/>
      <c r="BR93" s="531"/>
      <c r="BS93" s="531"/>
      <c r="BT93" s="531"/>
      <c r="BU93" s="174"/>
      <c r="BV93" s="174"/>
      <c r="BW93" s="552"/>
      <c r="BX93" s="174"/>
      <c r="BY93" s="174"/>
      <c r="BZ93" s="174"/>
      <c r="CA93" s="174"/>
      <c r="CB93" s="178"/>
      <c r="CC93" s="178"/>
      <c r="CD93" s="202"/>
      <c r="CE93" s="202"/>
      <c r="CF93" s="178"/>
      <c r="CG93" s="518">
        <f>CG88+1</f>
        <v>18</v>
      </c>
      <c r="CH93" s="174">
        <f>(CG93&lt;$CQ$25)*$CQ$40</f>
        <v>0</v>
      </c>
      <c r="CI93" s="1150" t="e">
        <f ca="1">$CH93*IF($CQ$19,CI83+$CQ$26,CI88-$CQ$27+$CQ$26)</f>
        <v>#REF!</v>
      </c>
      <c r="CJ93" s="1150" t="e">
        <f ca="1">$CH93*IF($CQ$19,CJ83+$CR$26,CJ88-$CR$27+$CR$26)</f>
        <v>#REF!</v>
      </c>
      <c r="CK93" s="1150">
        <f ca="1">$CH93*IF($CQ$19,CK83+$CQ$26,CK88-$CQ$27+$CQ$26)</f>
        <v>0</v>
      </c>
      <c r="CL93" s="1150">
        <f ca="1">$CH93*IF($CQ$19,CL83+$CR$26,CL88-$CR$27+$CR$26)</f>
        <v>0</v>
      </c>
      <c r="CM93" s="1150" t="e">
        <f ca="1">IF(CH93,IF($CQ$19,CM83+$CQ$26,CM88-$CQ$27+$CQ$26),$CM$3)</f>
        <v>#N/A</v>
      </c>
      <c r="CN93" s="1245" t="e">
        <f ca="1">IF(CH93,IF($CQ$19,CN83+$CR$26,CN88-$CR$27+$CR$26),$CN$3)</f>
        <v>#N/A</v>
      </c>
      <c r="CO93" s="178"/>
      <c r="CP93" s="178"/>
      <c r="CQ93" s="178"/>
      <c r="CR93" s="178"/>
      <c r="CS93" s="178"/>
      <c r="CT93" s="178"/>
      <c r="CU93" s="178"/>
      <c r="CV93" s="178"/>
      <c r="CW93" s="178"/>
      <c r="CX93" s="178"/>
      <c r="CY93" s="178"/>
      <c r="CZ93" s="178"/>
      <c r="DA93" s="150"/>
    </row>
    <row r="94" spans="53:105" x14ac:dyDescent="0.2">
      <c r="BA94" s="518">
        <f t="shared" ca="1" si="16"/>
        <v>61</v>
      </c>
      <c r="BB94" s="174">
        <f t="shared" ca="1" si="17"/>
        <v>31</v>
      </c>
      <c r="BC94" s="525" t="e">
        <f ca="1">MATCH(BD94,OFFSET(Pinlist!$A$2,BC93*(BA94=BA93),0,$BM$23,1),0)+BC93*(BA94=BA93)</f>
        <v>#N/A</v>
      </c>
      <c r="BD94" s="167">
        <f t="shared" ca="1" si="18"/>
        <v>0</v>
      </c>
      <c r="BE94" s="191" t="e">
        <f ca="1">(OFFSET(Pinlist!$E$1,BC94,0)-$BN$16)*$BN$19</f>
        <v>#N/A</v>
      </c>
      <c r="BF94" s="192" t="e">
        <f ca="1">(OFFSET(Pinlist!$F$1,BC94,0)-$BO$16)*$BO$19</f>
        <v>#N/A</v>
      </c>
      <c r="BG94" s="1098" t="str">
        <f ca="1">IF(LEFT(BD94,2)="RF",OFFSET(Pinlist!$D$1,Chart!BC94,0)&amp;"_"&amp;OFFSET(Pinlist!$G$1,Chart!BC94,0),"")</f>
        <v/>
      </c>
      <c r="BH94" s="1098"/>
      <c r="BI94" s="178"/>
      <c r="BJ94" s="178"/>
      <c r="BK94" s="178"/>
      <c r="BL94" s="178"/>
      <c r="BM94" s="132"/>
      <c r="BN94" s="132"/>
      <c r="BO94" s="132"/>
      <c r="BP94" s="132"/>
      <c r="BQ94" s="531"/>
      <c r="BR94" s="531"/>
      <c r="BS94" s="531"/>
      <c r="BT94" s="531"/>
      <c r="BU94" s="174"/>
      <c r="BV94" s="174"/>
      <c r="BW94" s="552"/>
      <c r="BX94" s="174"/>
      <c r="BY94" s="174"/>
      <c r="BZ94" s="174"/>
      <c r="CA94" s="174"/>
      <c r="CB94" s="178"/>
      <c r="CC94" s="178"/>
      <c r="CD94" s="202"/>
      <c r="CE94" s="202"/>
      <c r="CF94" s="178"/>
      <c r="CG94" s="518"/>
      <c r="CH94" s="174"/>
      <c r="CI94" s="1098" t="e">
        <f ca="1">CH93*(CI93-DUT!$G$11)</f>
        <v>#REF!</v>
      </c>
      <c r="CJ94" s="1098" t="e">
        <f ca="1">CJ93</f>
        <v>#REF!</v>
      </c>
      <c r="CK94" s="1098">
        <f ca="1">CH93*(CK93-$BJ$5)</f>
        <v>0</v>
      </c>
      <c r="CL94" s="1098">
        <f ca="1">CL93</f>
        <v>0</v>
      </c>
      <c r="CM94" s="183"/>
      <c r="CN94" s="184"/>
      <c r="CO94" s="178"/>
      <c r="CP94" s="178"/>
      <c r="CQ94" s="178"/>
      <c r="CR94" s="178"/>
      <c r="CS94" s="178"/>
      <c r="CT94" s="178"/>
      <c r="CU94" s="178"/>
      <c r="CV94" s="178"/>
      <c r="CW94" s="178"/>
      <c r="CX94" s="178"/>
      <c r="CY94" s="178"/>
      <c r="CZ94" s="178"/>
      <c r="DA94" s="150"/>
    </row>
    <row r="95" spans="53:105" x14ac:dyDescent="0.2">
      <c r="BA95" s="518">
        <f t="shared" ca="1" si="16"/>
        <v>61</v>
      </c>
      <c r="BB95" s="174">
        <f t="shared" ca="1" si="17"/>
        <v>32</v>
      </c>
      <c r="BC95" s="525" t="e">
        <f ca="1">MATCH(BD95,OFFSET(Pinlist!$A$2,BC94*(BA95=BA94),0,$BM$23,1),0)+BC94*(BA95=BA94)</f>
        <v>#N/A</v>
      </c>
      <c r="BD95" s="167">
        <f t="shared" ca="1" si="18"/>
        <v>0</v>
      </c>
      <c r="BE95" s="191" t="e">
        <f ca="1">(OFFSET(Pinlist!$E$1,BC95,0)-$BN$16)*$BN$19</f>
        <v>#N/A</v>
      </c>
      <c r="BF95" s="192" t="e">
        <f ca="1">(OFFSET(Pinlist!$F$1,BC95,0)-$BO$16)*$BO$19</f>
        <v>#N/A</v>
      </c>
      <c r="BG95" s="1098" t="str">
        <f ca="1">IF(LEFT(BD95,2)="RF",OFFSET(Pinlist!$D$1,Chart!BC95,0)&amp;"_"&amp;OFFSET(Pinlist!$G$1,Chart!BC95,0),"")</f>
        <v/>
      </c>
      <c r="BH95" s="1098"/>
      <c r="BI95" s="178"/>
      <c r="BJ95" s="178"/>
      <c r="BK95" s="178"/>
      <c r="BL95" s="178"/>
      <c r="BM95" s="132"/>
      <c r="BN95" s="132"/>
      <c r="BO95" s="132"/>
      <c r="BP95" s="132"/>
      <c r="BQ95" s="531"/>
      <c r="BR95" s="531"/>
      <c r="BS95" s="531"/>
      <c r="BT95" s="531"/>
      <c r="BU95" s="174"/>
      <c r="BV95" s="174"/>
      <c r="BW95" s="552"/>
      <c r="BX95" s="174"/>
      <c r="BY95" s="174"/>
      <c r="BZ95" s="174"/>
      <c r="CA95" s="174"/>
      <c r="CB95" s="178"/>
      <c r="CC95" s="178"/>
      <c r="CD95" s="202"/>
      <c r="CE95" s="202"/>
      <c r="CF95" s="178"/>
      <c r="CG95" s="518"/>
      <c r="CH95" s="174"/>
      <c r="CI95" s="1098" t="e">
        <f ca="1">CI94</f>
        <v>#REF!</v>
      </c>
      <c r="CJ95" s="1098" t="e">
        <f ca="1">CH93*(CJ94-DUT!$J$11)</f>
        <v>#REF!</v>
      </c>
      <c r="CK95" s="1098">
        <f ca="1">CK94</f>
        <v>0</v>
      </c>
      <c r="CL95" s="1098">
        <f ca="1">CH93*(CL94-$BK$5)</f>
        <v>0</v>
      </c>
      <c r="CM95" s="183"/>
      <c r="CN95" s="184"/>
      <c r="CO95" s="178"/>
      <c r="CP95" s="178"/>
      <c r="CQ95" s="178"/>
      <c r="CR95" s="178"/>
      <c r="CS95" s="178"/>
      <c r="CT95" s="178"/>
      <c r="CU95" s="178"/>
      <c r="CV95" s="178"/>
      <c r="CW95" s="178"/>
      <c r="CX95" s="178"/>
      <c r="CY95" s="178"/>
      <c r="CZ95" s="178"/>
      <c r="DA95" s="150"/>
    </row>
    <row r="96" spans="53:105" x14ac:dyDescent="0.2">
      <c r="BA96" s="518">
        <f t="shared" ca="1" si="16"/>
        <v>61</v>
      </c>
      <c r="BB96" s="174">
        <f t="shared" ca="1" si="17"/>
        <v>33</v>
      </c>
      <c r="BC96" s="525" t="e">
        <f ca="1">MATCH(BD96,OFFSET(Pinlist!$A$2,BC95*(BA96=BA95),0,$BM$23,1),0)+BC95*(BA96=BA95)</f>
        <v>#N/A</v>
      </c>
      <c r="BD96" s="167">
        <f t="shared" ca="1" si="18"/>
        <v>0</v>
      </c>
      <c r="BE96" s="191" t="e">
        <f ca="1">(OFFSET(Pinlist!$E$1,BC96,0)-$BN$16)*$BN$19</f>
        <v>#N/A</v>
      </c>
      <c r="BF96" s="192" t="e">
        <f ca="1">(OFFSET(Pinlist!$F$1,BC96,0)-$BO$16)*$BO$19</f>
        <v>#N/A</v>
      </c>
      <c r="BG96" s="1098" t="str">
        <f ca="1">IF(LEFT(BD96,2)="RF",OFFSET(Pinlist!$D$1,Chart!BC96,0)&amp;"_"&amp;OFFSET(Pinlist!$G$1,Chart!BC96,0),"")</f>
        <v/>
      </c>
      <c r="BH96" s="1098"/>
      <c r="BI96" s="178"/>
      <c r="BJ96" s="178"/>
      <c r="BK96" s="178"/>
      <c r="BL96" s="178"/>
      <c r="BM96" s="132"/>
      <c r="BN96" s="132"/>
      <c r="BO96" s="132"/>
      <c r="BP96" s="132"/>
      <c r="BQ96" s="531"/>
      <c r="BR96" s="531"/>
      <c r="BS96" s="531"/>
      <c r="BT96" s="531"/>
      <c r="BU96" s="174"/>
      <c r="BV96" s="174"/>
      <c r="BW96" s="552"/>
      <c r="BX96" s="174"/>
      <c r="BY96" s="174"/>
      <c r="BZ96" s="174"/>
      <c r="CA96" s="174"/>
      <c r="CB96" s="178"/>
      <c r="CC96" s="178"/>
      <c r="CD96" s="202"/>
      <c r="CE96" s="202"/>
      <c r="CF96" s="178"/>
      <c r="CG96" s="518"/>
      <c r="CH96" s="174"/>
      <c r="CI96" s="1098" t="e">
        <f ca="1">CI93</f>
        <v>#REF!</v>
      </c>
      <c r="CJ96" s="1098" t="e">
        <f ca="1">CJ95</f>
        <v>#REF!</v>
      </c>
      <c r="CK96" s="1098">
        <f ca="1">CK93</f>
        <v>0</v>
      </c>
      <c r="CL96" s="1098">
        <f ca="1">CL95</f>
        <v>0</v>
      </c>
      <c r="CM96" s="183"/>
      <c r="CN96" s="184"/>
      <c r="CO96" s="178"/>
      <c r="CP96" s="178"/>
      <c r="CQ96" s="178"/>
      <c r="CR96" s="178"/>
      <c r="CS96" s="178"/>
      <c r="CT96" s="178"/>
      <c r="CU96" s="178"/>
      <c r="CV96" s="178"/>
      <c r="CW96" s="178"/>
      <c r="CX96" s="178"/>
      <c r="CY96" s="178"/>
      <c r="CZ96" s="178"/>
      <c r="DA96" s="150"/>
    </row>
    <row r="97" spans="53:105" x14ac:dyDescent="0.2">
      <c r="BA97" s="518">
        <f t="shared" ca="1" si="16"/>
        <v>61</v>
      </c>
      <c r="BB97" s="174">
        <f t="shared" ca="1" si="17"/>
        <v>34</v>
      </c>
      <c r="BC97" s="525" t="e">
        <f ca="1">MATCH(BD97,OFFSET(Pinlist!$A$2,BC96*(BA97=BA96),0,$BM$23,1),0)+BC96*(BA97=BA96)</f>
        <v>#N/A</v>
      </c>
      <c r="BD97" s="167">
        <f t="shared" ca="1" si="18"/>
        <v>0</v>
      </c>
      <c r="BE97" s="191" t="e">
        <f ca="1">(OFFSET(Pinlist!$E$1,BC97,0)-$BN$16)*$BN$19</f>
        <v>#N/A</v>
      </c>
      <c r="BF97" s="192" t="e">
        <f ca="1">(OFFSET(Pinlist!$F$1,BC97,0)-$BO$16)*$BO$19</f>
        <v>#N/A</v>
      </c>
      <c r="BG97" s="1098" t="str">
        <f ca="1">IF(LEFT(BD97,2)="RF",OFFSET(Pinlist!$D$1,Chart!BC97,0)&amp;"_"&amp;OFFSET(Pinlist!$G$1,Chart!BC97,0),"")</f>
        <v/>
      </c>
      <c r="BH97" s="1098"/>
      <c r="BI97" s="178"/>
      <c r="BJ97" s="178"/>
      <c r="BK97" s="178"/>
      <c r="BL97" s="178"/>
      <c r="BM97" s="132"/>
      <c r="BN97" s="132"/>
      <c r="BO97" s="132"/>
      <c r="BP97" s="132"/>
      <c r="BQ97" s="531"/>
      <c r="BR97" s="531"/>
      <c r="BS97" s="531"/>
      <c r="BT97" s="531"/>
      <c r="BU97" s="174"/>
      <c r="BV97" s="174"/>
      <c r="BW97" s="552"/>
      <c r="BX97" s="174"/>
      <c r="BY97" s="174"/>
      <c r="BZ97" s="174"/>
      <c r="CA97" s="174"/>
      <c r="CB97" s="178"/>
      <c r="CC97" s="178"/>
      <c r="CD97" s="202"/>
      <c r="CE97" s="202"/>
      <c r="CF97" s="178"/>
      <c r="CG97" s="518"/>
      <c r="CH97" s="174"/>
      <c r="CI97" s="1098" t="e">
        <f ca="1">CI93</f>
        <v>#REF!</v>
      </c>
      <c r="CJ97" s="1098" t="e">
        <f ca="1">CJ93</f>
        <v>#REF!</v>
      </c>
      <c r="CK97" s="1098">
        <f ca="1">CK93</f>
        <v>0</v>
      </c>
      <c r="CL97" s="1098">
        <f ca="1">CL93</f>
        <v>0</v>
      </c>
      <c r="CM97" s="183"/>
      <c r="CN97" s="184"/>
      <c r="CO97" s="178"/>
      <c r="CP97" s="178"/>
      <c r="CQ97" s="178"/>
      <c r="CR97" s="178"/>
      <c r="CS97" s="178"/>
      <c r="CT97" s="178"/>
      <c r="CU97" s="178"/>
      <c r="CV97" s="178"/>
      <c r="CW97" s="178"/>
      <c r="CX97" s="178"/>
      <c r="CY97" s="178"/>
      <c r="CZ97" s="178"/>
      <c r="DA97" s="150"/>
    </row>
    <row r="98" spans="53:105" x14ac:dyDescent="0.2">
      <c r="BA98" s="518">
        <f t="shared" ca="1" si="16"/>
        <v>61</v>
      </c>
      <c r="BB98" s="174">
        <f t="shared" ca="1" si="17"/>
        <v>35</v>
      </c>
      <c r="BC98" s="525" t="e">
        <f ca="1">MATCH(BD98,OFFSET(Pinlist!$A$2,BC97*(BA98=BA97),0,$BM$23,1),0)+BC97*(BA98=BA97)</f>
        <v>#N/A</v>
      </c>
      <c r="BD98" s="167">
        <f t="shared" ca="1" si="18"/>
        <v>0</v>
      </c>
      <c r="BE98" s="191" t="e">
        <f ca="1">(OFFSET(Pinlist!$E$1,BC98,0)-$BN$16)*$BN$19</f>
        <v>#N/A</v>
      </c>
      <c r="BF98" s="192" t="e">
        <f ca="1">(OFFSET(Pinlist!$F$1,BC98,0)-$BO$16)*$BO$19</f>
        <v>#N/A</v>
      </c>
      <c r="BG98" s="1098" t="str">
        <f ca="1">IF(LEFT(BD98,2)="RF",OFFSET(Pinlist!$D$1,Chart!BC98,0)&amp;"_"&amp;OFFSET(Pinlist!$G$1,Chart!BC98,0),"")</f>
        <v/>
      </c>
      <c r="BH98" s="1098"/>
      <c r="BI98" s="178"/>
      <c r="BJ98" s="178"/>
      <c r="BK98" s="178"/>
      <c r="BL98" s="178"/>
      <c r="BM98" s="132"/>
      <c r="BN98" s="132"/>
      <c r="BO98" s="132"/>
      <c r="BP98" s="132"/>
      <c r="BQ98" s="531"/>
      <c r="BR98" s="531"/>
      <c r="BS98" s="531"/>
      <c r="BT98" s="531"/>
      <c r="BU98" s="174"/>
      <c r="BV98" s="174"/>
      <c r="BW98" s="552"/>
      <c r="BX98" s="174"/>
      <c r="BY98" s="174"/>
      <c r="BZ98" s="174"/>
      <c r="CA98" s="174"/>
      <c r="CB98" s="178"/>
      <c r="CC98" s="178"/>
      <c r="CD98" s="202"/>
      <c r="CE98" s="202"/>
      <c r="CF98" s="178"/>
      <c r="CG98" s="518">
        <f>CG93+1</f>
        <v>19</v>
      </c>
      <c r="CH98" s="174">
        <f>(CG98&lt;$CQ$25)*$CQ$40</f>
        <v>0</v>
      </c>
      <c r="CI98" s="1149" t="e">
        <f ca="1">$CH98*(CI93+$CQ$27+IF($CQ$19,$CQ$20,$CQ$26))</f>
        <v>#REF!</v>
      </c>
      <c r="CJ98" s="1149" t="e">
        <f ca="1">$CH98*(CJ93+$CR$27+IF($CQ$19,$CR$20,$CR$26))</f>
        <v>#REF!</v>
      </c>
      <c r="CK98" s="1149">
        <f ca="1">$CH98*(CK93+$CQ$27+IF($CQ$19,$CQ$20,$CQ$26))</f>
        <v>0</v>
      </c>
      <c r="CL98" s="1149">
        <f ca="1">$CH98*(CL93+$CR$27+IF($CQ$19,$CR$20,$CR$26))</f>
        <v>0</v>
      </c>
      <c r="CM98" s="1149" t="e">
        <f ca="1">IF(CH98,CM93+$CQ$27+IF($CQ$19,$CQ$20,$CQ$26),$CM$3)</f>
        <v>#N/A</v>
      </c>
      <c r="CN98" s="1244" t="e">
        <f ca="1">IF(CH98,CN93+$CR$27+IF($CQ$19,$CR$20,$CR$26),$CN$3)</f>
        <v>#N/A</v>
      </c>
      <c r="CO98" s="178"/>
      <c r="CP98" s="178"/>
      <c r="CQ98" s="178"/>
      <c r="CR98" s="178"/>
      <c r="CS98" s="178"/>
      <c r="CT98" s="178"/>
      <c r="CU98" s="178"/>
      <c r="CV98" s="178"/>
      <c r="CW98" s="178"/>
      <c r="CX98" s="178"/>
      <c r="CY98" s="178"/>
      <c r="CZ98" s="178"/>
      <c r="DA98" s="150"/>
    </row>
    <row r="99" spans="53:105" x14ac:dyDescent="0.2">
      <c r="BA99" s="518">
        <f t="shared" ca="1" si="16"/>
        <v>61</v>
      </c>
      <c r="BB99" s="174">
        <f t="shared" ca="1" si="17"/>
        <v>36</v>
      </c>
      <c r="BC99" s="525" t="e">
        <f ca="1">MATCH(BD99,OFFSET(Pinlist!$A$2,BC98*(BA99=BA98),0,$BM$23,1),0)+BC98*(BA99=BA98)</f>
        <v>#N/A</v>
      </c>
      <c r="BD99" s="167">
        <f t="shared" ca="1" si="18"/>
        <v>0</v>
      </c>
      <c r="BE99" s="191" t="e">
        <f ca="1">(OFFSET(Pinlist!$E$1,BC99,0)-$BN$16)*$BN$19</f>
        <v>#N/A</v>
      </c>
      <c r="BF99" s="192" t="e">
        <f ca="1">(OFFSET(Pinlist!$F$1,BC99,0)-$BO$16)*$BO$19</f>
        <v>#N/A</v>
      </c>
      <c r="BG99" s="1098" t="str">
        <f ca="1">IF(LEFT(BD99,2)="RF",OFFSET(Pinlist!$D$1,Chart!BC99,0)&amp;"_"&amp;OFFSET(Pinlist!$G$1,Chart!BC99,0),"")</f>
        <v/>
      </c>
      <c r="BH99" s="1098"/>
      <c r="BI99" s="178"/>
      <c r="BJ99" s="178"/>
      <c r="BK99" s="178"/>
      <c r="BL99" s="178"/>
      <c r="BM99" s="132"/>
      <c r="BN99" s="132"/>
      <c r="BO99" s="132"/>
      <c r="BP99" s="132"/>
      <c r="BQ99" s="531"/>
      <c r="BR99" s="531"/>
      <c r="BS99" s="531"/>
      <c r="BT99" s="531"/>
      <c r="BU99" s="174"/>
      <c r="BV99" s="174"/>
      <c r="BW99" s="552"/>
      <c r="BX99" s="174"/>
      <c r="BY99" s="174"/>
      <c r="BZ99" s="174"/>
      <c r="CA99" s="174"/>
      <c r="CB99" s="178"/>
      <c r="CC99" s="178"/>
      <c r="CD99" s="202"/>
      <c r="CE99" s="202"/>
      <c r="CF99" s="178"/>
      <c r="CG99" s="518"/>
      <c r="CH99" s="174"/>
      <c r="CI99" s="1098" t="e">
        <f ca="1">CH98*(CI98-DUT!$G$11)</f>
        <v>#REF!</v>
      </c>
      <c r="CJ99" s="1098" t="e">
        <f ca="1">CJ98</f>
        <v>#REF!</v>
      </c>
      <c r="CK99" s="1098">
        <f ca="1">CH98*(CK98-$BJ$5)</f>
        <v>0</v>
      </c>
      <c r="CL99" s="1098">
        <f ca="1">CL98</f>
        <v>0</v>
      </c>
      <c r="CM99" s="569"/>
      <c r="CN99" s="1246"/>
      <c r="CO99" s="178"/>
      <c r="CP99" s="178"/>
      <c r="CQ99" s="178"/>
      <c r="CR99" s="178"/>
      <c r="CS99" s="178"/>
      <c r="CT99" s="178"/>
      <c r="CU99" s="178"/>
      <c r="CV99" s="178"/>
      <c r="CW99" s="178"/>
      <c r="CX99" s="178"/>
      <c r="CY99" s="178"/>
      <c r="CZ99" s="178"/>
      <c r="DA99" s="150"/>
    </row>
    <row r="100" spans="53:105" x14ac:dyDescent="0.2">
      <c r="BA100" s="518">
        <f t="shared" ca="1" si="16"/>
        <v>61</v>
      </c>
      <c r="BB100" s="174">
        <f t="shared" ca="1" si="17"/>
        <v>37</v>
      </c>
      <c r="BC100" s="525" t="e">
        <f ca="1">MATCH(BD100,OFFSET(Pinlist!$A$2,BC99*(BA100=BA99),0,$BM$23,1),0)+BC99*(BA100=BA99)</f>
        <v>#N/A</v>
      </c>
      <c r="BD100" s="167">
        <f t="shared" ca="1" si="18"/>
        <v>0</v>
      </c>
      <c r="BE100" s="191" t="e">
        <f ca="1">(OFFSET(Pinlist!$E$1,BC100,0)-$BN$16)*$BN$19</f>
        <v>#N/A</v>
      </c>
      <c r="BF100" s="192" t="e">
        <f ca="1">(OFFSET(Pinlist!$F$1,BC100,0)-$BO$16)*$BO$19</f>
        <v>#N/A</v>
      </c>
      <c r="BG100" s="1098" t="str">
        <f ca="1">IF(LEFT(BD100,2)="RF",OFFSET(Pinlist!$D$1,Chart!BC100,0)&amp;"_"&amp;OFFSET(Pinlist!$G$1,Chart!BC100,0),"")</f>
        <v/>
      </c>
      <c r="BH100" s="1098"/>
      <c r="BI100" s="178"/>
      <c r="BJ100" s="178"/>
      <c r="BK100" s="178"/>
      <c r="BL100" s="178"/>
      <c r="BM100" s="132"/>
      <c r="BN100" s="132"/>
      <c r="BO100" s="132"/>
      <c r="BP100" s="132"/>
      <c r="BQ100" s="531"/>
      <c r="BR100" s="531"/>
      <c r="BS100" s="531"/>
      <c r="BT100" s="531"/>
      <c r="BU100" s="174"/>
      <c r="BV100" s="174"/>
      <c r="BW100" s="552"/>
      <c r="BX100" s="174"/>
      <c r="BY100" s="174"/>
      <c r="BZ100" s="174"/>
      <c r="CA100" s="174"/>
      <c r="CB100" s="178"/>
      <c r="CC100" s="178"/>
      <c r="CD100" s="202"/>
      <c r="CE100" s="202"/>
      <c r="CF100" s="178"/>
      <c r="CG100" s="518"/>
      <c r="CH100" s="174"/>
      <c r="CI100" s="1098" t="e">
        <f ca="1">CI99</f>
        <v>#REF!</v>
      </c>
      <c r="CJ100" s="1098" t="e">
        <f ca="1">CH98*(CJ99-DUT!$J$11)</f>
        <v>#REF!</v>
      </c>
      <c r="CK100" s="1098">
        <f ca="1">CK99</f>
        <v>0</v>
      </c>
      <c r="CL100" s="1098">
        <f ca="1">CH98*(CL99-$BK$5)</f>
        <v>0</v>
      </c>
      <c r="CM100" s="569"/>
      <c r="CN100" s="1246"/>
      <c r="CO100" s="178"/>
      <c r="CP100" s="178"/>
      <c r="CQ100" s="178"/>
      <c r="CR100" s="178"/>
      <c r="CS100" s="178"/>
      <c r="CT100" s="178"/>
      <c r="CU100" s="178"/>
      <c r="CV100" s="178"/>
      <c r="CW100" s="178"/>
      <c r="CX100" s="178"/>
      <c r="CY100" s="178"/>
      <c r="CZ100" s="178"/>
      <c r="DA100" s="150"/>
    </row>
    <row r="101" spans="53:105" x14ac:dyDescent="0.2">
      <c r="BA101" s="518">
        <f t="shared" ca="1" si="16"/>
        <v>61</v>
      </c>
      <c r="BB101" s="174">
        <f t="shared" ca="1" si="17"/>
        <v>38</v>
      </c>
      <c r="BC101" s="525" t="e">
        <f ca="1">MATCH(BD101,OFFSET(Pinlist!$A$2,BC100*(BA101=BA100),0,$BM$23,1),0)+BC100*(BA101=BA100)</f>
        <v>#N/A</v>
      </c>
      <c r="BD101" s="167">
        <f t="shared" ca="1" si="18"/>
        <v>0</v>
      </c>
      <c r="BE101" s="191" t="e">
        <f ca="1">(OFFSET(Pinlist!$E$1,BC101,0)-$BN$16)*$BN$19</f>
        <v>#N/A</v>
      </c>
      <c r="BF101" s="192" t="e">
        <f ca="1">(OFFSET(Pinlist!$F$1,BC101,0)-$BO$16)*$BO$19</f>
        <v>#N/A</v>
      </c>
      <c r="BG101" s="1098" t="str">
        <f ca="1">IF(LEFT(BD101,2)="RF",OFFSET(Pinlist!$D$1,Chart!BC101,0)&amp;"_"&amp;OFFSET(Pinlist!$G$1,Chart!BC101,0),"")</f>
        <v/>
      </c>
      <c r="BH101" s="1098"/>
      <c r="BI101" s="178"/>
      <c r="BJ101" s="178"/>
      <c r="BK101" s="178"/>
      <c r="BL101" s="178"/>
      <c r="BM101" s="132"/>
      <c r="BN101" s="132"/>
      <c r="BO101" s="132"/>
      <c r="BP101" s="132"/>
      <c r="BQ101" s="531"/>
      <c r="BR101" s="531"/>
      <c r="BS101" s="531"/>
      <c r="BT101" s="531"/>
      <c r="BU101" s="174"/>
      <c r="BV101" s="174"/>
      <c r="BW101" s="552"/>
      <c r="BX101" s="174"/>
      <c r="BY101" s="174"/>
      <c r="BZ101" s="174"/>
      <c r="CA101" s="174"/>
      <c r="CB101" s="178"/>
      <c r="CC101" s="178"/>
      <c r="CD101" s="202"/>
      <c r="CE101" s="202"/>
      <c r="CF101" s="178"/>
      <c r="CG101" s="518"/>
      <c r="CH101" s="174"/>
      <c r="CI101" s="1098" t="e">
        <f ca="1">CI98</f>
        <v>#REF!</v>
      </c>
      <c r="CJ101" s="1098" t="e">
        <f ca="1">CJ100</f>
        <v>#REF!</v>
      </c>
      <c r="CK101" s="1098">
        <f ca="1">CK98</f>
        <v>0</v>
      </c>
      <c r="CL101" s="1098">
        <f ca="1">CL100</f>
        <v>0</v>
      </c>
      <c r="CM101" s="569"/>
      <c r="CN101" s="1246"/>
      <c r="CO101" s="178"/>
      <c r="CP101" s="178"/>
      <c r="CQ101" s="178"/>
      <c r="CR101" s="178"/>
      <c r="CS101" s="178"/>
      <c r="CT101" s="178"/>
      <c r="CU101" s="178"/>
      <c r="CV101" s="178"/>
      <c r="CW101" s="178"/>
      <c r="CX101" s="178"/>
      <c r="CY101" s="178"/>
      <c r="CZ101" s="178"/>
      <c r="DA101" s="150"/>
    </row>
    <row r="102" spans="53:105" x14ac:dyDescent="0.2">
      <c r="BA102" s="518">
        <f t="shared" ca="1" si="16"/>
        <v>61</v>
      </c>
      <c r="BB102" s="174">
        <f t="shared" ca="1" si="17"/>
        <v>39</v>
      </c>
      <c r="BC102" s="525" t="e">
        <f ca="1">MATCH(BD102,OFFSET(Pinlist!$A$2,BC101*(BA102=BA101),0,$BM$23,1),0)+BC101*(BA102=BA101)</f>
        <v>#N/A</v>
      </c>
      <c r="BD102" s="167">
        <f t="shared" ca="1" si="18"/>
        <v>0</v>
      </c>
      <c r="BE102" s="191" t="e">
        <f ca="1">(OFFSET(Pinlist!$E$1,BC102,0)-$BN$16)*$BN$19</f>
        <v>#N/A</v>
      </c>
      <c r="BF102" s="192" t="e">
        <f ca="1">(OFFSET(Pinlist!$F$1,BC102,0)-$BO$16)*$BO$19</f>
        <v>#N/A</v>
      </c>
      <c r="BG102" s="1098" t="str">
        <f ca="1">IF(LEFT(BD102,2)="RF",OFFSET(Pinlist!$D$1,Chart!BC102,0)&amp;"_"&amp;OFFSET(Pinlist!$G$1,Chart!BC102,0),"")</f>
        <v/>
      </c>
      <c r="BH102" s="1098"/>
      <c r="BI102" s="178"/>
      <c r="BJ102" s="178"/>
      <c r="BK102" s="178"/>
      <c r="BL102" s="178"/>
      <c r="BM102" s="132"/>
      <c r="BN102" s="132"/>
      <c r="BO102" s="132"/>
      <c r="BP102" s="132"/>
      <c r="BQ102" s="531"/>
      <c r="BR102" s="531"/>
      <c r="BS102" s="531"/>
      <c r="BT102" s="531"/>
      <c r="BU102" s="174"/>
      <c r="BV102" s="174"/>
      <c r="BW102" s="552"/>
      <c r="BX102" s="174"/>
      <c r="BY102" s="174"/>
      <c r="BZ102" s="174"/>
      <c r="CA102" s="174"/>
      <c r="CB102" s="178"/>
      <c r="CC102" s="178"/>
      <c r="CD102" s="202"/>
      <c r="CE102" s="202"/>
      <c r="CF102" s="178"/>
      <c r="CG102" s="518"/>
      <c r="CH102" s="174"/>
      <c r="CI102" s="1098" t="e">
        <f ca="1">CI98</f>
        <v>#REF!</v>
      </c>
      <c r="CJ102" s="1098" t="e">
        <f ca="1">CJ98</f>
        <v>#REF!</v>
      </c>
      <c r="CK102" s="1098">
        <f ca="1">CK98</f>
        <v>0</v>
      </c>
      <c r="CL102" s="1098">
        <f ca="1">CL98</f>
        <v>0</v>
      </c>
      <c r="CM102" s="569"/>
      <c r="CN102" s="1246"/>
      <c r="CO102" s="178"/>
      <c r="CP102" s="178"/>
      <c r="CQ102" s="178"/>
      <c r="CR102" s="178"/>
      <c r="CS102" s="178"/>
      <c r="CT102" s="178"/>
      <c r="CU102" s="178"/>
      <c r="CV102" s="178"/>
      <c r="CW102" s="178"/>
      <c r="CX102" s="178"/>
      <c r="CY102" s="178"/>
      <c r="CZ102" s="178"/>
      <c r="DA102" s="150"/>
    </row>
    <row r="103" spans="53:105" x14ac:dyDescent="0.2">
      <c r="BA103" s="518">
        <f t="shared" ca="1" si="16"/>
        <v>61</v>
      </c>
      <c r="BB103" s="174">
        <f t="shared" ca="1" si="17"/>
        <v>40</v>
      </c>
      <c r="BC103" s="525" t="e">
        <f ca="1">MATCH(BD103,OFFSET(Pinlist!$A$2,BC102*(BA103=BA102),0,$BM$23,1),0)+BC102*(BA103=BA102)</f>
        <v>#N/A</v>
      </c>
      <c r="BD103" s="167">
        <f t="shared" ca="1" si="18"/>
        <v>0</v>
      </c>
      <c r="BE103" s="191" t="e">
        <f ca="1">(OFFSET(Pinlist!$E$1,BC103,0)-$BN$16)*$BN$19</f>
        <v>#N/A</v>
      </c>
      <c r="BF103" s="192" t="e">
        <f ca="1">(OFFSET(Pinlist!$F$1,BC103,0)-$BO$16)*$BO$19</f>
        <v>#N/A</v>
      </c>
      <c r="BG103" s="1098" t="str">
        <f ca="1">IF(LEFT(BD103,2)="RF",OFFSET(Pinlist!$D$1,Chart!BC103,0)&amp;"_"&amp;OFFSET(Pinlist!$G$1,Chart!BC103,0),"")</f>
        <v/>
      </c>
      <c r="BH103" s="1098"/>
      <c r="BI103" s="178"/>
      <c r="BJ103" s="178"/>
      <c r="BK103" s="178"/>
      <c r="BL103" s="178"/>
      <c r="BM103" s="132"/>
      <c r="BN103" s="132"/>
      <c r="BO103" s="132"/>
      <c r="BP103" s="132"/>
      <c r="BQ103" s="531"/>
      <c r="BR103" s="531"/>
      <c r="BS103" s="531"/>
      <c r="BT103" s="531"/>
      <c r="BU103" s="174"/>
      <c r="BV103" s="174"/>
      <c r="BW103" s="552"/>
      <c r="BX103" s="174"/>
      <c r="BY103" s="174"/>
      <c r="BZ103" s="174"/>
      <c r="CA103" s="174"/>
      <c r="CB103" s="178"/>
      <c r="CC103" s="178"/>
      <c r="CD103" s="202"/>
      <c r="CE103" s="202"/>
      <c r="CF103" s="178"/>
      <c r="CG103" s="518">
        <f>CG98+1</f>
        <v>20</v>
      </c>
      <c r="CH103" s="174">
        <f>(CG103&lt;$CQ$25)*$CQ$40</f>
        <v>0</v>
      </c>
      <c r="CI103" s="1150" t="e">
        <f ca="1">$CH103*IF($CQ$19,CI93+$CQ$26,CI98-$CQ$27+$CQ$26)</f>
        <v>#REF!</v>
      </c>
      <c r="CJ103" s="1150" t="e">
        <f ca="1">$CH103*IF($CQ$19,CJ93+$CR$26,CJ98-$CR$27+$CR$26)</f>
        <v>#REF!</v>
      </c>
      <c r="CK103" s="1150">
        <f ca="1">$CH103*IF($CQ$19,CK93+$CQ$26,CK98-$CQ$27+$CQ$26)</f>
        <v>0</v>
      </c>
      <c r="CL103" s="1150">
        <f ca="1">$CH103*IF($CQ$19,CL93+$CR$26,CL98-$CR$27+$CR$26)</f>
        <v>0</v>
      </c>
      <c r="CM103" s="1150" t="e">
        <f ca="1">IF(CH103,IF($CQ$19,CM93+$CQ$26,CM98-$CQ$27+$CQ$26),$CM$3)</f>
        <v>#N/A</v>
      </c>
      <c r="CN103" s="1245" t="e">
        <f ca="1">IF(CH103,IF($CQ$19,CN93+$CR$26,CN98-$CR$27+$CR$26),$CN$3)</f>
        <v>#N/A</v>
      </c>
      <c r="CO103" s="178"/>
      <c r="CP103" s="178"/>
      <c r="CQ103" s="178"/>
      <c r="CR103" s="178"/>
      <c r="CS103" s="178"/>
      <c r="CT103" s="178"/>
      <c r="CU103" s="178"/>
      <c r="CV103" s="178"/>
      <c r="CW103" s="178"/>
      <c r="CX103" s="178"/>
      <c r="CY103" s="178"/>
      <c r="CZ103" s="178"/>
      <c r="DA103" s="150"/>
    </row>
    <row r="104" spans="53:105" x14ac:dyDescent="0.2">
      <c r="BA104" s="518">
        <f t="shared" ca="1" si="16"/>
        <v>61</v>
      </c>
      <c r="BB104" s="174">
        <f t="shared" ca="1" si="17"/>
        <v>41</v>
      </c>
      <c r="BC104" s="525" t="e">
        <f ca="1">MATCH(BD104,OFFSET(Pinlist!$A$2,BC103*(BA104=BA103),0,$BM$23,1),0)+BC103*(BA104=BA103)</f>
        <v>#N/A</v>
      </c>
      <c r="BD104" s="167">
        <f t="shared" ca="1" si="18"/>
        <v>0</v>
      </c>
      <c r="BE104" s="191" t="e">
        <f ca="1">(OFFSET(Pinlist!$E$1,BC104,0)-$BN$16)*$BN$19</f>
        <v>#N/A</v>
      </c>
      <c r="BF104" s="192" t="e">
        <f ca="1">(OFFSET(Pinlist!$F$1,BC104,0)-$BO$16)*$BO$19</f>
        <v>#N/A</v>
      </c>
      <c r="BG104" s="1098" t="str">
        <f ca="1">IF(LEFT(BD104,2)="RF",OFFSET(Pinlist!$D$1,Chart!BC104,0)&amp;"_"&amp;OFFSET(Pinlist!$G$1,Chart!BC104,0),"")</f>
        <v/>
      </c>
      <c r="BH104" s="1098"/>
      <c r="BI104" s="178"/>
      <c r="BJ104" s="178"/>
      <c r="BK104" s="178"/>
      <c r="BL104" s="178"/>
      <c r="BM104" s="132"/>
      <c r="BN104" s="132"/>
      <c r="BO104" s="132"/>
      <c r="BP104" s="132"/>
      <c r="BQ104" s="531"/>
      <c r="BR104" s="531"/>
      <c r="BS104" s="531"/>
      <c r="BT104" s="531"/>
      <c r="BU104" s="174"/>
      <c r="BV104" s="174"/>
      <c r="BW104" s="552"/>
      <c r="BX104" s="174"/>
      <c r="BY104" s="174"/>
      <c r="BZ104" s="174"/>
      <c r="CA104" s="174"/>
      <c r="CB104" s="178"/>
      <c r="CC104" s="178"/>
      <c r="CD104" s="202"/>
      <c r="CE104" s="202"/>
      <c r="CF104" s="178"/>
      <c r="CG104" s="518"/>
      <c r="CH104" s="174"/>
      <c r="CI104" s="1098" t="e">
        <f ca="1">CH103*(CI103-DUT!$G$11)</f>
        <v>#REF!</v>
      </c>
      <c r="CJ104" s="1098" t="e">
        <f ca="1">CJ103</f>
        <v>#REF!</v>
      </c>
      <c r="CK104" s="1098">
        <f ca="1">CH103*(CK103-$BJ$5)</f>
        <v>0</v>
      </c>
      <c r="CL104" s="1098">
        <f ca="1">CL103</f>
        <v>0</v>
      </c>
      <c r="CM104" s="183"/>
      <c r="CN104" s="184"/>
      <c r="CO104" s="178"/>
      <c r="CP104" s="178"/>
      <c r="CQ104" s="178"/>
      <c r="CR104" s="178"/>
      <c r="CS104" s="178"/>
      <c r="CT104" s="178"/>
      <c r="CU104" s="178"/>
      <c r="CV104" s="178"/>
      <c r="CW104" s="178"/>
      <c r="CX104" s="178"/>
      <c r="CY104" s="178"/>
      <c r="CZ104" s="178"/>
      <c r="DA104" s="150"/>
    </row>
    <row r="105" spans="53:105" x14ac:dyDescent="0.2">
      <c r="BA105" s="518">
        <f t="shared" ca="1" si="16"/>
        <v>61</v>
      </c>
      <c r="BB105" s="174">
        <f t="shared" ca="1" si="17"/>
        <v>42</v>
      </c>
      <c r="BC105" s="525" t="e">
        <f ca="1">MATCH(BD105,OFFSET(Pinlist!$A$2,BC104*(BA105=BA104),0,$BM$23,1),0)+BC104*(BA105=BA104)</f>
        <v>#N/A</v>
      </c>
      <c r="BD105" s="167">
        <f t="shared" ca="1" si="18"/>
        <v>0</v>
      </c>
      <c r="BE105" s="191" t="e">
        <f ca="1">(OFFSET(Pinlist!$E$1,BC105,0)-$BN$16)*$BN$19</f>
        <v>#N/A</v>
      </c>
      <c r="BF105" s="192" t="e">
        <f ca="1">(OFFSET(Pinlist!$F$1,BC105,0)-$BO$16)*$BO$19</f>
        <v>#N/A</v>
      </c>
      <c r="BG105" s="1098" t="str">
        <f ca="1">IF(LEFT(BD105,2)="RF",OFFSET(Pinlist!$D$1,Chart!BC105,0)&amp;"_"&amp;OFFSET(Pinlist!$G$1,Chart!BC105,0),"")</f>
        <v/>
      </c>
      <c r="BH105" s="1098"/>
      <c r="BI105" s="178"/>
      <c r="BJ105" s="178"/>
      <c r="BK105" s="178"/>
      <c r="BL105" s="178"/>
      <c r="BM105" s="132"/>
      <c r="BN105" s="132"/>
      <c r="BO105" s="132"/>
      <c r="BP105" s="132"/>
      <c r="BQ105" s="196"/>
      <c r="BR105" s="196"/>
      <c r="BS105" s="196"/>
      <c r="BT105" s="196"/>
      <c r="BU105" s="196"/>
      <c r="BV105" s="196"/>
      <c r="BW105" s="178"/>
      <c r="BX105" s="196"/>
      <c r="BY105" s="196"/>
      <c r="BZ105" s="196"/>
      <c r="CA105" s="196"/>
      <c r="CB105" s="178"/>
      <c r="CC105" s="178"/>
      <c r="CD105" s="202"/>
      <c r="CE105" s="202"/>
      <c r="CF105" s="178"/>
      <c r="CG105" s="518"/>
      <c r="CH105" s="174"/>
      <c r="CI105" s="1098" t="e">
        <f ca="1">CI104</f>
        <v>#REF!</v>
      </c>
      <c r="CJ105" s="1098" t="e">
        <f ca="1">CH103*(CJ104-DUT!$J$11)</f>
        <v>#REF!</v>
      </c>
      <c r="CK105" s="1098">
        <f ca="1">CK104</f>
        <v>0</v>
      </c>
      <c r="CL105" s="1098">
        <f ca="1">CH103*(CL104-$BK$5)</f>
        <v>0</v>
      </c>
      <c r="CM105" s="183"/>
      <c r="CN105" s="184"/>
      <c r="CO105" s="178"/>
      <c r="CP105" s="178"/>
      <c r="CQ105" s="178"/>
      <c r="CR105" s="178"/>
      <c r="CS105" s="178"/>
      <c r="CT105" s="178"/>
      <c r="CU105" s="178"/>
      <c r="CV105" s="178"/>
      <c r="CW105" s="178"/>
      <c r="CX105" s="178"/>
      <c r="CY105" s="178"/>
      <c r="CZ105" s="178"/>
      <c r="DA105" s="150"/>
    </row>
    <row r="106" spans="53:105" x14ac:dyDescent="0.2">
      <c r="BA106" s="518">
        <f t="shared" ca="1" si="16"/>
        <v>61</v>
      </c>
      <c r="BB106" s="174">
        <f t="shared" ca="1" si="17"/>
        <v>43</v>
      </c>
      <c r="BC106" s="525" t="e">
        <f ca="1">MATCH(BD106,OFFSET(Pinlist!$A$2,BC105*(BA106=BA105),0,$BM$23,1),0)+BC105*(BA106=BA105)</f>
        <v>#N/A</v>
      </c>
      <c r="BD106" s="167">
        <f t="shared" ca="1" si="18"/>
        <v>0</v>
      </c>
      <c r="BE106" s="191" t="e">
        <f ca="1">(OFFSET(Pinlist!$E$1,BC106,0)-$BN$16)*$BN$19</f>
        <v>#N/A</v>
      </c>
      <c r="BF106" s="192" t="e">
        <f ca="1">(OFFSET(Pinlist!$F$1,BC106,0)-$BO$16)*$BO$19</f>
        <v>#N/A</v>
      </c>
      <c r="BG106" s="1098" t="str">
        <f ca="1">IF(LEFT(BD106,2)="RF",OFFSET(Pinlist!$D$1,Chart!BC106,0)&amp;"_"&amp;OFFSET(Pinlist!$G$1,Chart!BC106,0),"")</f>
        <v/>
      </c>
      <c r="BH106" s="1098"/>
      <c r="BI106" s="178"/>
      <c r="BJ106" s="178"/>
      <c r="BK106" s="178"/>
      <c r="BL106" s="178"/>
      <c r="BM106" s="132"/>
      <c r="BN106" s="132"/>
      <c r="BO106" s="132"/>
      <c r="BP106" s="132"/>
      <c r="BQ106" s="196"/>
      <c r="BR106" s="196"/>
      <c r="BS106" s="196"/>
      <c r="BT106" s="196"/>
      <c r="BU106" s="196"/>
      <c r="BV106" s="196"/>
      <c r="BW106" s="178"/>
      <c r="BX106" s="196"/>
      <c r="BY106" s="196"/>
      <c r="BZ106" s="196"/>
      <c r="CA106" s="196"/>
      <c r="CB106" s="178"/>
      <c r="CC106" s="178"/>
      <c r="CD106" s="202"/>
      <c r="CE106" s="202"/>
      <c r="CF106" s="178"/>
      <c r="CG106" s="518"/>
      <c r="CH106" s="174"/>
      <c r="CI106" s="1098" t="e">
        <f ca="1">CI103</f>
        <v>#REF!</v>
      </c>
      <c r="CJ106" s="1098" t="e">
        <f ca="1">CJ105</f>
        <v>#REF!</v>
      </c>
      <c r="CK106" s="1098">
        <f ca="1">CK103</f>
        <v>0</v>
      </c>
      <c r="CL106" s="1098">
        <f ca="1">CL105</f>
        <v>0</v>
      </c>
      <c r="CM106" s="183"/>
      <c r="CN106" s="184"/>
      <c r="CO106" s="178"/>
      <c r="CP106" s="178"/>
      <c r="CQ106" s="178"/>
      <c r="CR106" s="178"/>
      <c r="CS106" s="178"/>
      <c r="CT106" s="178"/>
      <c r="CU106" s="178"/>
      <c r="CV106" s="178"/>
      <c r="CW106" s="178"/>
      <c r="CX106" s="178"/>
      <c r="CY106" s="178"/>
      <c r="CZ106" s="178"/>
      <c r="DA106" s="150"/>
    </row>
    <row r="107" spans="53:105" x14ac:dyDescent="0.2">
      <c r="BA107" s="518">
        <f t="shared" ca="1" si="16"/>
        <v>61</v>
      </c>
      <c r="BB107" s="174">
        <f t="shared" ca="1" si="17"/>
        <v>44</v>
      </c>
      <c r="BC107" s="525" t="e">
        <f ca="1">MATCH(BD107,OFFSET(Pinlist!$A$2,BC106*(BA107=BA106),0,$BM$23,1),0)+BC106*(BA107=BA106)</f>
        <v>#N/A</v>
      </c>
      <c r="BD107" s="167">
        <f t="shared" ca="1" si="18"/>
        <v>0</v>
      </c>
      <c r="BE107" s="191" t="e">
        <f ca="1">(OFFSET(Pinlist!$E$1,BC107,0)-$BN$16)*$BN$19</f>
        <v>#N/A</v>
      </c>
      <c r="BF107" s="192" t="e">
        <f ca="1">(OFFSET(Pinlist!$F$1,BC107,0)-$BO$16)*$BO$19</f>
        <v>#N/A</v>
      </c>
      <c r="BG107" s="1098" t="str">
        <f ca="1">IF(LEFT(BD107,2)="RF",OFFSET(Pinlist!$D$1,Chart!BC107,0)&amp;"_"&amp;OFFSET(Pinlist!$G$1,Chart!BC107,0),"")</f>
        <v/>
      </c>
      <c r="BH107" s="1098"/>
      <c r="BI107" s="178"/>
      <c r="BJ107" s="178"/>
      <c r="BK107" s="178"/>
      <c r="BL107" s="178"/>
      <c r="BM107" s="132"/>
      <c r="BN107" s="132"/>
      <c r="BO107" s="132"/>
      <c r="BP107" s="132"/>
      <c r="BQ107" s="196"/>
      <c r="BR107" s="196"/>
      <c r="BS107" s="196"/>
      <c r="BT107" s="196"/>
      <c r="BU107" s="196"/>
      <c r="BV107" s="196"/>
      <c r="BW107" s="178"/>
      <c r="BX107" s="196"/>
      <c r="BY107" s="196"/>
      <c r="BZ107" s="196"/>
      <c r="CA107" s="196"/>
      <c r="CB107" s="178"/>
      <c r="CC107" s="178"/>
      <c r="CD107" s="202"/>
      <c r="CE107" s="202"/>
      <c r="CF107" s="178"/>
      <c r="CG107" s="518"/>
      <c r="CH107" s="174"/>
      <c r="CI107" s="1098" t="e">
        <f ca="1">CI103</f>
        <v>#REF!</v>
      </c>
      <c r="CJ107" s="1098" t="e">
        <f ca="1">CJ103</f>
        <v>#REF!</v>
      </c>
      <c r="CK107" s="1098">
        <f ca="1">CK103</f>
        <v>0</v>
      </c>
      <c r="CL107" s="1098">
        <f ca="1">CL103</f>
        <v>0</v>
      </c>
      <c r="CM107" s="183"/>
      <c r="CN107" s="184"/>
      <c r="CO107" s="178"/>
      <c r="CP107" s="178"/>
      <c r="CQ107" s="178"/>
      <c r="CR107" s="178"/>
      <c r="CS107" s="178"/>
      <c r="CT107" s="178"/>
      <c r="CU107" s="178"/>
      <c r="CV107" s="178"/>
      <c r="CW107" s="178"/>
      <c r="CX107" s="178"/>
      <c r="CY107" s="178"/>
      <c r="CZ107" s="178"/>
      <c r="DA107" s="150"/>
    </row>
    <row r="108" spans="53:105" x14ac:dyDescent="0.2">
      <c r="BA108" s="518">
        <f t="shared" ca="1" si="16"/>
        <v>61</v>
      </c>
      <c r="BB108" s="174">
        <f t="shared" ca="1" si="17"/>
        <v>45</v>
      </c>
      <c r="BC108" s="525" t="e">
        <f ca="1">MATCH(BD108,OFFSET(Pinlist!$A$2,BC107*(BA108=BA107),0,$BM$23,1),0)+BC107*(BA108=BA107)</f>
        <v>#N/A</v>
      </c>
      <c r="BD108" s="167">
        <f t="shared" ca="1" si="18"/>
        <v>0</v>
      </c>
      <c r="BE108" s="191" t="e">
        <f ca="1">(OFFSET(Pinlist!$E$1,BC108,0)-$BN$16)*$BN$19</f>
        <v>#N/A</v>
      </c>
      <c r="BF108" s="192" t="e">
        <f ca="1">(OFFSET(Pinlist!$F$1,BC108,0)-$BO$16)*$BO$19</f>
        <v>#N/A</v>
      </c>
      <c r="BG108" s="1098" t="str">
        <f ca="1">IF(LEFT(BD108,2)="RF",OFFSET(Pinlist!$D$1,Chart!BC108,0)&amp;"_"&amp;OFFSET(Pinlist!$G$1,Chart!BC108,0),"")</f>
        <v/>
      </c>
      <c r="BH108" s="1098"/>
      <c r="BI108" s="178"/>
      <c r="BJ108" s="178"/>
      <c r="BK108" s="178"/>
      <c r="BL108" s="178"/>
      <c r="BM108" s="132"/>
      <c r="BN108" s="132"/>
      <c r="BO108" s="132"/>
      <c r="BP108" s="132"/>
      <c r="BQ108" s="196"/>
      <c r="BR108" s="196"/>
      <c r="BS108" s="196"/>
      <c r="BT108" s="196"/>
      <c r="BU108" s="196"/>
      <c r="BV108" s="196"/>
      <c r="BW108" s="178"/>
      <c r="BX108" s="196"/>
      <c r="BY108" s="196"/>
      <c r="BZ108" s="196"/>
      <c r="CA108" s="196"/>
      <c r="CB108" s="178"/>
      <c r="CC108" s="178"/>
      <c r="CD108" s="202"/>
      <c r="CE108" s="202"/>
      <c r="CF108" s="178"/>
      <c r="CG108" s="518">
        <f>CG103+1</f>
        <v>21</v>
      </c>
      <c r="CH108" s="174">
        <f>(CG108&lt;$CQ$25)*$CQ$40</f>
        <v>0</v>
      </c>
      <c r="CI108" s="1149" t="e">
        <f ca="1">$CH108*(CI103+$CQ$27+IF($CQ$19,$CQ$20,$CQ$26))</f>
        <v>#REF!</v>
      </c>
      <c r="CJ108" s="1149" t="e">
        <f ca="1">$CH108*(CJ103+$CR$27+IF($CQ$19,$CR$20,$CR$26))</f>
        <v>#REF!</v>
      </c>
      <c r="CK108" s="1149">
        <f ca="1">$CH108*(CK103+$CQ$27+IF($CQ$19,$CQ$20,$CQ$26))</f>
        <v>0</v>
      </c>
      <c r="CL108" s="1149">
        <f ca="1">$CH108*(CL103+$CR$27+IF($CQ$19,$CR$20,$CR$26))</f>
        <v>0</v>
      </c>
      <c r="CM108" s="1149" t="e">
        <f ca="1">IF(CH108,CM103+$CQ$27+IF($CQ$19,$CQ$20,$CQ$26),$CM$3)</f>
        <v>#N/A</v>
      </c>
      <c r="CN108" s="1244" t="e">
        <f ca="1">IF(CH108,CN103+$CR$27+IF($CQ$19,$CR$20,$CR$26),$CN$3)</f>
        <v>#N/A</v>
      </c>
      <c r="CO108" s="178"/>
      <c r="CP108" s="178"/>
      <c r="CQ108" s="178"/>
      <c r="CR108" s="178"/>
      <c r="CS108" s="178"/>
      <c r="CT108" s="178"/>
      <c r="CU108" s="178"/>
      <c r="CV108" s="178"/>
      <c r="CW108" s="178"/>
      <c r="CX108" s="178"/>
      <c r="CY108" s="178"/>
      <c r="CZ108" s="178"/>
      <c r="DA108" s="150"/>
    </row>
    <row r="109" spans="53:105" x14ac:dyDescent="0.2">
      <c r="BA109" s="518">
        <f t="shared" ca="1" si="16"/>
        <v>61</v>
      </c>
      <c r="BB109" s="174">
        <f t="shared" ca="1" si="17"/>
        <v>46</v>
      </c>
      <c r="BC109" s="525" t="e">
        <f ca="1">MATCH(BD109,OFFSET(Pinlist!$A$2,BC108*(BA109=BA108),0,$BM$23,1),0)+BC108*(BA109=BA108)</f>
        <v>#N/A</v>
      </c>
      <c r="BD109" s="167">
        <f t="shared" ca="1" si="18"/>
        <v>0</v>
      </c>
      <c r="BE109" s="191" t="e">
        <f ca="1">(OFFSET(Pinlist!$E$1,BC109,0)-$BN$16)*$BN$19</f>
        <v>#N/A</v>
      </c>
      <c r="BF109" s="192" t="e">
        <f ca="1">(OFFSET(Pinlist!$F$1,BC109,0)-$BO$16)*$BO$19</f>
        <v>#N/A</v>
      </c>
      <c r="BG109" s="1098" t="str">
        <f ca="1">IF(LEFT(BD109,2)="RF",OFFSET(Pinlist!$D$1,Chart!BC109,0)&amp;"_"&amp;OFFSET(Pinlist!$G$1,Chart!BC109,0),"")</f>
        <v/>
      </c>
      <c r="BH109" s="1098"/>
      <c r="BI109" s="178"/>
      <c r="BJ109" s="178"/>
      <c r="BK109" s="178"/>
      <c r="BL109" s="178"/>
      <c r="BM109" s="132"/>
      <c r="BN109" s="132"/>
      <c r="BO109" s="132"/>
      <c r="BP109" s="132"/>
      <c r="BQ109" s="196"/>
      <c r="BR109" s="196"/>
      <c r="BS109" s="196"/>
      <c r="BT109" s="196"/>
      <c r="BU109" s="196"/>
      <c r="BV109" s="196"/>
      <c r="BW109" s="178"/>
      <c r="BX109" s="196"/>
      <c r="BY109" s="196"/>
      <c r="BZ109" s="196"/>
      <c r="CA109" s="196"/>
      <c r="CB109" s="178"/>
      <c r="CC109" s="178"/>
      <c r="CD109" s="202"/>
      <c r="CE109" s="202"/>
      <c r="CF109" s="178"/>
      <c r="CG109" s="518"/>
      <c r="CH109" s="174"/>
      <c r="CI109" s="1098" t="e">
        <f ca="1">CH108*(CI108-DUT!$G$11)</f>
        <v>#REF!</v>
      </c>
      <c r="CJ109" s="1098" t="e">
        <f ca="1">CJ108</f>
        <v>#REF!</v>
      </c>
      <c r="CK109" s="1098">
        <f ca="1">CH108*(CK108-$BJ$5)</f>
        <v>0</v>
      </c>
      <c r="CL109" s="1098">
        <f ca="1">CL108</f>
        <v>0</v>
      </c>
      <c r="CM109" s="569"/>
      <c r="CN109" s="1246"/>
      <c r="CO109" s="178"/>
      <c r="CP109" s="178"/>
      <c r="CQ109" s="178"/>
      <c r="CR109" s="178"/>
      <c r="CS109" s="178"/>
      <c r="CT109" s="178"/>
      <c r="CU109" s="178"/>
      <c r="CV109" s="178"/>
      <c r="CW109" s="178"/>
      <c r="CX109" s="178"/>
      <c r="CY109" s="178"/>
      <c r="CZ109" s="178"/>
      <c r="DA109" s="150"/>
    </row>
    <row r="110" spans="53:105" x14ac:dyDescent="0.2">
      <c r="BA110" s="518">
        <f t="shared" ca="1" si="16"/>
        <v>61</v>
      </c>
      <c r="BB110" s="174">
        <f t="shared" ca="1" si="17"/>
        <v>47</v>
      </c>
      <c r="BC110" s="525" t="e">
        <f ca="1">MATCH(BD110,OFFSET(Pinlist!$A$2,BC109*(BA110=BA109),0,$BM$23,1),0)+BC109*(BA110=BA109)</f>
        <v>#N/A</v>
      </c>
      <c r="BD110" s="167">
        <f t="shared" ca="1" si="18"/>
        <v>0</v>
      </c>
      <c r="BE110" s="191" t="e">
        <f ca="1">(OFFSET(Pinlist!$E$1,BC110,0)-$BN$16)*$BN$19</f>
        <v>#N/A</v>
      </c>
      <c r="BF110" s="192" t="e">
        <f ca="1">(OFFSET(Pinlist!$F$1,BC110,0)-$BO$16)*$BO$19</f>
        <v>#N/A</v>
      </c>
      <c r="BG110" s="1098" t="str">
        <f ca="1">IF(LEFT(BD110,2)="RF",OFFSET(Pinlist!$D$1,Chart!BC110,0)&amp;"_"&amp;OFFSET(Pinlist!$G$1,Chart!BC110,0),"")</f>
        <v/>
      </c>
      <c r="BH110" s="1098"/>
      <c r="BI110" s="178"/>
      <c r="BJ110" s="178"/>
      <c r="BK110" s="178"/>
      <c r="BL110" s="178"/>
      <c r="BM110" s="132"/>
      <c r="BN110" s="132"/>
      <c r="BO110" s="132"/>
      <c r="BP110" s="132"/>
      <c r="BQ110" s="196"/>
      <c r="BR110" s="196"/>
      <c r="BS110" s="196"/>
      <c r="BT110" s="196"/>
      <c r="BU110" s="196"/>
      <c r="BV110" s="196"/>
      <c r="BW110" s="178"/>
      <c r="BX110" s="196"/>
      <c r="BY110" s="196"/>
      <c r="BZ110" s="196"/>
      <c r="CA110" s="196"/>
      <c r="CB110" s="178"/>
      <c r="CC110" s="178"/>
      <c r="CD110" s="202"/>
      <c r="CE110" s="202"/>
      <c r="CF110" s="178"/>
      <c r="CG110" s="518"/>
      <c r="CH110" s="174"/>
      <c r="CI110" s="1098" t="e">
        <f ca="1">CI109</f>
        <v>#REF!</v>
      </c>
      <c r="CJ110" s="1098" t="e">
        <f ca="1">CH108*(CJ109-DUT!$J$11)</f>
        <v>#REF!</v>
      </c>
      <c r="CK110" s="1098">
        <f ca="1">CK109</f>
        <v>0</v>
      </c>
      <c r="CL110" s="1098">
        <f ca="1">CH108*(CL109-$BK$5)</f>
        <v>0</v>
      </c>
      <c r="CM110" s="569"/>
      <c r="CN110" s="1246"/>
      <c r="CO110" s="178"/>
      <c r="CP110" s="178"/>
      <c r="CQ110" s="178"/>
      <c r="CR110" s="178"/>
      <c r="CS110" s="178"/>
      <c r="CT110" s="178"/>
      <c r="CU110" s="178"/>
      <c r="CV110" s="178"/>
      <c r="CW110" s="178"/>
      <c r="CX110" s="178"/>
      <c r="CY110" s="178"/>
      <c r="CZ110" s="178"/>
      <c r="DA110" s="150"/>
    </row>
    <row r="111" spans="53:105" x14ac:dyDescent="0.2">
      <c r="BA111" s="518">
        <f t="shared" ca="1" si="16"/>
        <v>61</v>
      </c>
      <c r="BB111" s="174">
        <f t="shared" ca="1" si="17"/>
        <v>48</v>
      </c>
      <c r="BC111" s="525" t="e">
        <f ca="1">MATCH(BD111,OFFSET(Pinlist!$A$2,BC110*(BA111=BA110),0,$BM$23,1),0)+BC110*(BA111=BA110)</f>
        <v>#N/A</v>
      </c>
      <c r="BD111" s="167">
        <f t="shared" ca="1" si="18"/>
        <v>0</v>
      </c>
      <c r="BE111" s="191" t="e">
        <f ca="1">(OFFSET(Pinlist!$E$1,BC111,0)-$BN$16)*$BN$19</f>
        <v>#N/A</v>
      </c>
      <c r="BF111" s="192" t="e">
        <f ca="1">(OFFSET(Pinlist!$F$1,BC111,0)-$BO$16)*$BO$19</f>
        <v>#N/A</v>
      </c>
      <c r="BG111" s="1098" t="str">
        <f ca="1">IF(LEFT(BD111,2)="RF",OFFSET(Pinlist!$D$1,Chart!BC111,0)&amp;"_"&amp;OFFSET(Pinlist!$G$1,Chart!BC111,0),"")</f>
        <v/>
      </c>
      <c r="BH111" s="1098"/>
      <c r="BI111" s="178"/>
      <c r="BJ111" s="178"/>
      <c r="BK111" s="178"/>
      <c r="BL111" s="178"/>
      <c r="BM111" s="132"/>
      <c r="BN111" s="132"/>
      <c r="BO111" s="132"/>
      <c r="BP111" s="132"/>
      <c r="BQ111" s="196"/>
      <c r="BR111" s="196"/>
      <c r="BS111" s="196"/>
      <c r="BT111" s="196"/>
      <c r="BU111" s="196"/>
      <c r="BV111" s="196"/>
      <c r="BW111" s="178"/>
      <c r="BX111" s="196"/>
      <c r="BY111" s="196"/>
      <c r="BZ111" s="196"/>
      <c r="CA111" s="196"/>
      <c r="CB111" s="178"/>
      <c r="CC111" s="178"/>
      <c r="CD111" s="202"/>
      <c r="CE111" s="202"/>
      <c r="CF111" s="178"/>
      <c r="CG111" s="518"/>
      <c r="CH111" s="174"/>
      <c r="CI111" s="1098" t="e">
        <f ca="1">CI108</f>
        <v>#REF!</v>
      </c>
      <c r="CJ111" s="1098" t="e">
        <f ca="1">CJ110</f>
        <v>#REF!</v>
      </c>
      <c r="CK111" s="1098">
        <f ca="1">CK108</f>
        <v>0</v>
      </c>
      <c r="CL111" s="1098">
        <f ca="1">CL110</f>
        <v>0</v>
      </c>
      <c r="CM111" s="569"/>
      <c r="CN111" s="1246"/>
      <c r="CO111" s="178"/>
      <c r="CP111" s="178"/>
      <c r="CQ111" s="178"/>
      <c r="CR111" s="178"/>
      <c r="CS111" s="178"/>
      <c r="CT111" s="178"/>
      <c r="CU111" s="178"/>
      <c r="CV111" s="178"/>
      <c r="CW111" s="178"/>
      <c r="CX111" s="178"/>
      <c r="CY111" s="178"/>
      <c r="CZ111" s="178"/>
      <c r="DA111" s="150"/>
    </row>
    <row r="112" spans="53:105" x14ac:dyDescent="0.2">
      <c r="BA112" s="518">
        <f t="shared" ca="1" si="16"/>
        <v>61</v>
      </c>
      <c r="BB112" s="174">
        <f t="shared" ca="1" si="17"/>
        <v>49</v>
      </c>
      <c r="BC112" s="525" t="e">
        <f ca="1">MATCH(BD112,OFFSET(Pinlist!$A$2,BC111*(BA112=BA111),0,$BM$23,1),0)+BC111*(BA112=BA111)</f>
        <v>#N/A</v>
      </c>
      <c r="BD112" s="167">
        <f t="shared" ca="1" si="18"/>
        <v>0</v>
      </c>
      <c r="BE112" s="191" t="e">
        <f ca="1">(OFFSET(Pinlist!$E$1,BC112,0)-$BN$16)*$BN$19</f>
        <v>#N/A</v>
      </c>
      <c r="BF112" s="192" t="e">
        <f ca="1">(OFFSET(Pinlist!$F$1,BC112,0)-$BO$16)*$BO$19</f>
        <v>#N/A</v>
      </c>
      <c r="BG112" s="1098" t="str">
        <f ca="1">IF(LEFT(BD112,2)="RF",OFFSET(Pinlist!$D$1,Chart!BC112,0)&amp;"_"&amp;OFFSET(Pinlist!$G$1,Chart!BC112,0),"")</f>
        <v/>
      </c>
      <c r="BH112" s="1098"/>
      <c r="BI112" s="178"/>
      <c r="BJ112" s="178"/>
      <c r="BK112" s="178"/>
      <c r="BL112" s="178"/>
      <c r="BM112" s="132"/>
      <c r="BN112" s="132"/>
      <c r="BO112" s="132"/>
      <c r="BP112" s="132"/>
      <c r="BQ112" s="196"/>
      <c r="BR112" s="196"/>
      <c r="BS112" s="196"/>
      <c r="BT112" s="196"/>
      <c r="BU112" s="196"/>
      <c r="BV112" s="196"/>
      <c r="BW112" s="178"/>
      <c r="BX112" s="196"/>
      <c r="BY112" s="196"/>
      <c r="BZ112" s="196"/>
      <c r="CA112" s="196"/>
      <c r="CB112" s="178"/>
      <c r="CC112" s="178"/>
      <c r="CD112" s="202"/>
      <c r="CE112" s="202"/>
      <c r="CF112" s="178"/>
      <c r="CG112" s="518"/>
      <c r="CH112" s="174"/>
      <c r="CI112" s="1098" t="e">
        <f ca="1">CI108</f>
        <v>#REF!</v>
      </c>
      <c r="CJ112" s="1098" t="e">
        <f ca="1">CJ108</f>
        <v>#REF!</v>
      </c>
      <c r="CK112" s="1098">
        <f ca="1">CK108</f>
        <v>0</v>
      </c>
      <c r="CL112" s="1098">
        <f ca="1">CL108</f>
        <v>0</v>
      </c>
      <c r="CM112" s="569"/>
      <c r="CN112" s="1246"/>
      <c r="CO112" s="178"/>
      <c r="CP112" s="178"/>
      <c r="CQ112" s="178"/>
      <c r="CR112" s="178"/>
      <c r="CS112" s="178"/>
      <c r="CT112" s="178"/>
      <c r="CU112" s="178"/>
      <c r="CV112" s="178"/>
      <c r="CW112" s="178"/>
      <c r="CX112" s="178"/>
      <c r="CY112" s="178"/>
      <c r="CZ112" s="178"/>
      <c r="DA112" s="150"/>
    </row>
    <row r="113" spans="53:105" x14ac:dyDescent="0.2">
      <c r="BA113" s="518">
        <f t="shared" ca="1" si="16"/>
        <v>61</v>
      </c>
      <c r="BB113" s="174">
        <f t="shared" ca="1" si="17"/>
        <v>50</v>
      </c>
      <c r="BC113" s="525" t="e">
        <f ca="1">MATCH(BD113,OFFSET(Pinlist!$A$2,BC112*(BA113=BA112),0,$BM$23,1),0)+BC112*(BA113=BA112)</f>
        <v>#N/A</v>
      </c>
      <c r="BD113" s="167">
        <f t="shared" ca="1" si="18"/>
        <v>0</v>
      </c>
      <c r="BE113" s="191" t="e">
        <f ca="1">(OFFSET(Pinlist!$E$1,BC113,0)-$BN$16)*$BN$19</f>
        <v>#N/A</v>
      </c>
      <c r="BF113" s="192" t="e">
        <f ca="1">(OFFSET(Pinlist!$F$1,BC113,0)-$BO$16)*$BO$19</f>
        <v>#N/A</v>
      </c>
      <c r="BG113" s="1098" t="str">
        <f ca="1">IF(LEFT(BD113,2)="RF",OFFSET(Pinlist!$D$1,Chart!BC113,0)&amp;"_"&amp;OFFSET(Pinlist!$G$1,Chart!BC113,0),"")</f>
        <v/>
      </c>
      <c r="BH113" s="1098"/>
      <c r="BI113" s="178"/>
      <c r="BJ113" s="178"/>
      <c r="BK113" s="178"/>
      <c r="BL113" s="178"/>
      <c r="BM113" s="132"/>
      <c r="BN113" s="132"/>
      <c r="BO113" s="132"/>
      <c r="BP113" s="132"/>
      <c r="BQ113" s="196"/>
      <c r="BR113" s="196"/>
      <c r="BS113" s="196"/>
      <c r="BT113" s="196"/>
      <c r="BU113" s="196"/>
      <c r="BV113" s="196"/>
      <c r="BW113" s="178"/>
      <c r="BX113" s="196"/>
      <c r="BY113" s="196"/>
      <c r="BZ113" s="196"/>
      <c r="CA113" s="196"/>
      <c r="CB113" s="178"/>
      <c r="CC113" s="178"/>
      <c r="CD113" s="202"/>
      <c r="CE113" s="202"/>
      <c r="CF113" s="178"/>
      <c r="CG113" s="518">
        <f>CG108+1</f>
        <v>22</v>
      </c>
      <c r="CH113" s="174">
        <f>(CG113&lt;$CQ$25)*$CQ$40</f>
        <v>0</v>
      </c>
      <c r="CI113" s="1150" t="e">
        <f ca="1">$CH113*IF($CQ$19,CI103+$CQ$26,CI108-$CQ$27+$CQ$26)</f>
        <v>#REF!</v>
      </c>
      <c r="CJ113" s="1150" t="e">
        <f ca="1">$CH113*IF($CQ$19,CJ103+$CR$26,CJ108-$CR$27+$CR$26)</f>
        <v>#REF!</v>
      </c>
      <c r="CK113" s="1150">
        <f ca="1">$CH113*IF($CQ$19,CK103+$CQ$26,CK108-$CQ$27+$CQ$26)</f>
        <v>0</v>
      </c>
      <c r="CL113" s="1150">
        <f ca="1">$CH113*IF($CQ$19,CL103+$CR$26,CL108-$CR$27+$CR$26)</f>
        <v>0</v>
      </c>
      <c r="CM113" s="1150" t="e">
        <f ca="1">IF(CH113,IF($CQ$19,CM103+$CQ$26,CM108-$CQ$27+$CQ$26),$CM$3)</f>
        <v>#N/A</v>
      </c>
      <c r="CN113" s="1245" t="e">
        <f ca="1">IF(CH113,IF($CQ$19,CN103+$CR$26,CN108-$CR$27+$CR$26),$CN$3)</f>
        <v>#N/A</v>
      </c>
      <c r="CO113" s="178"/>
      <c r="CP113" s="178"/>
      <c r="CQ113" s="178"/>
      <c r="CR113" s="178"/>
      <c r="CS113" s="178"/>
      <c r="CT113" s="178"/>
      <c r="CU113" s="178"/>
      <c r="CV113" s="178"/>
      <c r="CW113" s="178"/>
      <c r="CX113" s="178"/>
      <c r="CY113" s="178"/>
      <c r="CZ113" s="178"/>
      <c r="DA113" s="150"/>
    </row>
    <row r="114" spans="53:105" x14ac:dyDescent="0.2">
      <c r="BA114" s="518">
        <f t="shared" ca="1" si="16"/>
        <v>61</v>
      </c>
      <c r="BB114" s="174">
        <f t="shared" ca="1" si="17"/>
        <v>51</v>
      </c>
      <c r="BC114" s="525" t="e">
        <f ca="1">MATCH(BD114,OFFSET(Pinlist!$A$2,BC113*(BA114=BA113),0,$BM$23,1),0)+BC113*(BA114=BA113)</f>
        <v>#N/A</v>
      </c>
      <c r="BD114" s="167">
        <f t="shared" ca="1" si="18"/>
        <v>0</v>
      </c>
      <c r="BE114" s="191" t="e">
        <f ca="1">(OFFSET(Pinlist!$E$1,BC114,0)-$BN$16)*$BN$19</f>
        <v>#N/A</v>
      </c>
      <c r="BF114" s="192" t="e">
        <f ca="1">(OFFSET(Pinlist!$F$1,BC114,0)-$BO$16)*$BO$19</f>
        <v>#N/A</v>
      </c>
      <c r="BG114" s="1098" t="str">
        <f ca="1">IF(LEFT(BD114,2)="RF",OFFSET(Pinlist!$D$1,Chart!BC114,0)&amp;"_"&amp;OFFSET(Pinlist!$G$1,Chart!BC114,0),"")</f>
        <v/>
      </c>
      <c r="BH114" s="1098"/>
      <c r="BI114" s="178"/>
      <c r="BJ114" s="178"/>
      <c r="BK114" s="178"/>
      <c r="BL114" s="178"/>
      <c r="BM114" s="132"/>
      <c r="BN114" s="132"/>
      <c r="BO114" s="132"/>
      <c r="BP114" s="132"/>
      <c r="BQ114" s="196"/>
      <c r="BR114" s="196"/>
      <c r="BS114" s="196"/>
      <c r="BT114" s="196"/>
      <c r="BU114" s="196"/>
      <c r="BV114" s="196"/>
      <c r="BW114" s="178"/>
      <c r="BX114" s="196"/>
      <c r="BY114" s="196"/>
      <c r="BZ114" s="196"/>
      <c r="CA114" s="196"/>
      <c r="CB114" s="178"/>
      <c r="CC114" s="178"/>
      <c r="CD114" s="202"/>
      <c r="CE114" s="202"/>
      <c r="CF114" s="178"/>
      <c r="CG114" s="518"/>
      <c r="CH114" s="174"/>
      <c r="CI114" s="1098" t="e">
        <f ca="1">CH113*(CI113-DUT!$G$11)</f>
        <v>#REF!</v>
      </c>
      <c r="CJ114" s="1098" t="e">
        <f ca="1">CJ113</f>
        <v>#REF!</v>
      </c>
      <c r="CK114" s="1098">
        <f ca="1">CH113*(CK113-$BJ$5)</f>
        <v>0</v>
      </c>
      <c r="CL114" s="1098">
        <f ca="1">CL113</f>
        <v>0</v>
      </c>
      <c r="CM114" s="183"/>
      <c r="CN114" s="184"/>
      <c r="CO114" s="178"/>
      <c r="CP114" s="178"/>
      <c r="CQ114" s="178"/>
      <c r="CR114" s="178"/>
      <c r="CS114" s="178"/>
      <c r="CT114" s="178"/>
      <c r="CU114" s="178"/>
      <c r="CV114" s="178"/>
      <c r="CW114" s="178"/>
      <c r="CX114" s="178"/>
      <c r="CY114" s="178"/>
      <c r="CZ114" s="178"/>
      <c r="DA114" s="150"/>
    </row>
    <row r="115" spans="53:105" x14ac:dyDescent="0.2">
      <c r="BA115" s="518">
        <f t="shared" ca="1" si="16"/>
        <v>61</v>
      </c>
      <c r="BB115" s="174">
        <f t="shared" ca="1" si="17"/>
        <v>52</v>
      </c>
      <c r="BC115" s="525" t="e">
        <f ca="1">MATCH(BD115,OFFSET(Pinlist!$A$2,BC114*(BA115=BA114),0,$BM$23,1),0)+BC114*(BA115=BA114)</f>
        <v>#N/A</v>
      </c>
      <c r="BD115" s="167">
        <f t="shared" ca="1" si="18"/>
        <v>0</v>
      </c>
      <c r="BE115" s="191" t="e">
        <f ca="1">(OFFSET(Pinlist!$E$1,BC115,0)-$BN$16)*$BN$19</f>
        <v>#N/A</v>
      </c>
      <c r="BF115" s="192" t="e">
        <f ca="1">(OFFSET(Pinlist!$F$1,BC115,0)-$BO$16)*$BO$19</f>
        <v>#N/A</v>
      </c>
      <c r="BG115" s="1098" t="str">
        <f ca="1">IF(LEFT(BD115,2)="RF",OFFSET(Pinlist!$D$1,Chart!BC115,0)&amp;"_"&amp;OFFSET(Pinlist!$G$1,Chart!BC115,0),"")</f>
        <v/>
      </c>
      <c r="BH115" s="1098"/>
      <c r="BI115" s="178"/>
      <c r="BJ115" s="178"/>
      <c r="BK115" s="178"/>
      <c r="BL115" s="178"/>
      <c r="BM115" s="132"/>
      <c r="BN115" s="132"/>
      <c r="BO115" s="132"/>
      <c r="BP115" s="132"/>
      <c r="BQ115" s="196"/>
      <c r="BR115" s="196"/>
      <c r="BS115" s="196"/>
      <c r="BT115" s="196"/>
      <c r="BU115" s="196"/>
      <c r="BV115" s="196"/>
      <c r="BW115" s="178"/>
      <c r="BX115" s="196"/>
      <c r="BY115" s="196"/>
      <c r="BZ115" s="196"/>
      <c r="CA115" s="196"/>
      <c r="CB115" s="178"/>
      <c r="CC115" s="178"/>
      <c r="CD115" s="202"/>
      <c r="CE115" s="202"/>
      <c r="CF115" s="178"/>
      <c r="CG115" s="518"/>
      <c r="CH115" s="174"/>
      <c r="CI115" s="1098" t="e">
        <f ca="1">CI114</f>
        <v>#REF!</v>
      </c>
      <c r="CJ115" s="1098" t="e">
        <f ca="1">CH113*(CJ114-DUT!$J$11)</f>
        <v>#REF!</v>
      </c>
      <c r="CK115" s="1098">
        <f ca="1">CK114</f>
        <v>0</v>
      </c>
      <c r="CL115" s="1098">
        <f ca="1">CH113*(CL114-$BK$5)</f>
        <v>0</v>
      </c>
      <c r="CM115" s="183"/>
      <c r="CN115" s="184"/>
      <c r="CO115" s="178"/>
      <c r="CP115" s="178"/>
      <c r="CQ115" s="178"/>
      <c r="CR115" s="178"/>
      <c r="CS115" s="178"/>
      <c r="CT115" s="178"/>
      <c r="CU115" s="178"/>
      <c r="CV115" s="178"/>
      <c r="CW115" s="178"/>
      <c r="CX115" s="178"/>
      <c r="CY115" s="178"/>
      <c r="CZ115" s="178"/>
      <c r="DA115" s="150"/>
    </row>
    <row r="116" spans="53:105" x14ac:dyDescent="0.2">
      <c r="BA116" s="518">
        <f t="shared" ca="1" si="16"/>
        <v>61</v>
      </c>
      <c r="BB116" s="174">
        <f t="shared" ca="1" si="17"/>
        <v>53</v>
      </c>
      <c r="BC116" s="525" t="e">
        <f ca="1">MATCH(BD116,OFFSET(Pinlist!$A$2,BC115*(BA116=BA115),0,$BM$23,1),0)+BC115*(BA116=BA115)</f>
        <v>#N/A</v>
      </c>
      <c r="BD116" s="167">
        <f t="shared" ca="1" si="18"/>
        <v>0</v>
      </c>
      <c r="BE116" s="191" t="e">
        <f ca="1">(OFFSET(Pinlist!$E$1,BC116,0)-$BN$16)*$BN$19</f>
        <v>#N/A</v>
      </c>
      <c r="BF116" s="192" t="e">
        <f ca="1">(OFFSET(Pinlist!$F$1,BC116,0)-$BO$16)*$BO$19</f>
        <v>#N/A</v>
      </c>
      <c r="BG116" s="1098" t="str">
        <f ca="1">IF(LEFT(BD116,2)="RF",OFFSET(Pinlist!$D$1,Chart!BC116,0)&amp;"_"&amp;OFFSET(Pinlist!$G$1,Chart!BC116,0),"")</f>
        <v/>
      </c>
      <c r="BH116" s="1098"/>
      <c r="BI116" s="178"/>
      <c r="BJ116" s="178"/>
      <c r="BK116" s="178"/>
      <c r="BL116" s="178"/>
      <c r="BM116" s="132"/>
      <c r="BN116" s="132"/>
      <c r="BO116" s="132"/>
      <c r="BP116" s="132"/>
      <c r="BQ116" s="196"/>
      <c r="BR116" s="196"/>
      <c r="BS116" s="196"/>
      <c r="BT116" s="196"/>
      <c r="BU116" s="196"/>
      <c r="BV116" s="196"/>
      <c r="BW116" s="178"/>
      <c r="BX116" s="196"/>
      <c r="BY116" s="196"/>
      <c r="BZ116" s="196"/>
      <c r="CA116" s="196"/>
      <c r="CB116" s="178"/>
      <c r="CC116" s="178"/>
      <c r="CD116" s="202"/>
      <c r="CE116" s="202"/>
      <c r="CF116" s="178"/>
      <c r="CG116" s="518"/>
      <c r="CH116" s="174"/>
      <c r="CI116" s="1098" t="e">
        <f ca="1">CI113</f>
        <v>#REF!</v>
      </c>
      <c r="CJ116" s="1098" t="e">
        <f ca="1">CJ115</f>
        <v>#REF!</v>
      </c>
      <c r="CK116" s="1098">
        <f ca="1">CK113</f>
        <v>0</v>
      </c>
      <c r="CL116" s="1098">
        <f ca="1">CL115</f>
        <v>0</v>
      </c>
      <c r="CM116" s="183"/>
      <c r="CN116" s="184"/>
      <c r="CO116" s="178"/>
      <c r="CP116" s="178"/>
      <c r="CQ116" s="178"/>
      <c r="CR116" s="178"/>
      <c r="CS116" s="178"/>
      <c r="CT116" s="178"/>
      <c r="CU116" s="178"/>
      <c r="CV116" s="178"/>
      <c r="CW116" s="178"/>
      <c r="CX116" s="178"/>
      <c r="CY116" s="178"/>
      <c r="CZ116" s="178"/>
      <c r="DA116" s="150"/>
    </row>
    <row r="117" spans="53:105" x14ac:dyDescent="0.2">
      <c r="BA117" s="518">
        <f t="shared" ca="1" si="16"/>
        <v>61</v>
      </c>
      <c r="BB117" s="174">
        <f t="shared" ca="1" si="17"/>
        <v>54</v>
      </c>
      <c r="BC117" s="525" t="e">
        <f ca="1">MATCH(BD117,OFFSET(Pinlist!$A$2,BC116*(BA117=BA116),0,$BM$23,1),0)+BC116*(BA117=BA116)</f>
        <v>#N/A</v>
      </c>
      <c r="BD117" s="167">
        <f t="shared" ca="1" si="18"/>
        <v>0</v>
      </c>
      <c r="BE117" s="191" t="e">
        <f ca="1">(OFFSET(Pinlist!$E$1,BC117,0)-$BN$16)*$BN$19</f>
        <v>#N/A</v>
      </c>
      <c r="BF117" s="192" t="e">
        <f ca="1">(OFFSET(Pinlist!$F$1,BC117,0)-$BO$16)*$BO$19</f>
        <v>#N/A</v>
      </c>
      <c r="BG117" s="1098" t="str">
        <f ca="1">IF(LEFT(BD117,2)="RF",OFFSET(Pinlist!$D$1,Chart!BC117,0)&amp;"_"&amp;OFFSET(Pinlist!$G$1,Chart!BC117,0),"")</f>
        <v/>
      </c>
      <c r="BH117" s="1098"/>
      <c r="BI117" s="178"/>
      <c r="BJ117" s="178"/>
      <c r="BK117" s="178"/>
      <c r="BL117" s="178"/>
      <c r="BM117" s="132"/>
      <c r="BN117" s="132"/>
      <c r="BO117" s="132"/>
      <c r="BP117" s="132"/>
      <c r="BQ117" s="196"/>
      <c r="BR117" s="196"/>
      <c r="BS117" s="196"/>
      <c r="BT117" s="196"/>
      <c r="BU117" s="196"/>
      <c r="BV117" s="196"/>
      <c r="BW117" s="178"/>
      <c r="BX117" s="196"/>
      <c r="BY117" s="196"/>
      <c r="BZ117" s="196"/>
      <c r="CA117" s="196"/>
      <c r="CB117" s="178"/>
      <c r="CC117" s="178"/>
      <c r="CD117" s="202"/>
      <c r="CE117" s="202"/>
      <c r="CF117" s="178"/>
      <c r="CG117" s="518"/>
      <c r="CH117" s="174"/>
      <c r="CI117" s="1098" t="e">
        <f ca="1">CI113</f>
        <v>#REF!</v>
      </c>
      <c r="CJ117" s="1098" t="e">
        <f ca="1">CJ113</f>
        <v>#REF!</v>
      </c>
      <c r="CK117" s="1098">
        <f ca="1">CK113</f>
        <v>0</v>
      </c>
      <c r="CL117" s="1098">
        <f ca="1">CL113</f>
        <v>0</v>
      </c>
      <c r="CM117" s="183"/>
      <c r="CN117" s="184"/>
      <c r="CO117" s="178"/>
      <c r="CP117" s="178"/>
      <c r="CQ117" s="178"/>
      <c r="CR117" s="178"/>
      <c r="CS117" s="178"/>
      <c r="CT117" s="178"/>
      <c r="CU117" s="178"/>
      <c r="CV117" s="178"/>
      <c r="CW117" s="178"/>
      <c r="CX117" s="178"/>
      <c r="CY117" s="178"/>
      <c r="CZ117" s="178"/>
      <c r="DA117" s="150"/>
    </row>
    <row r="118" spans="53:105" x14ac:dyDescent="0.2">
      <c r="BA118" s="518">
        <f t="shared" ca="1" si="16"/>
        <v>61</v>
      </c>
      <c r="BB118" s="174">
        <f t="shared" ca="1" si="17"/>
        <v>55</v>
      </c>
      <c r="BC118" s="525" t="e">
        <f ca="1">MATCH(BD118,OFFSET(Pinlist!$A$2,BC117*(BA118=BA117),0,$BM$23,1),0)+BC117*(BA118=BA117)</f>
        <v>#N/A</v>
      </c>
      <c r="BD118" s="167">
        <f t="shared" ca="1" si="18"/>
        <v>0</v>
      </c>
      <c r="BE118" s="191" t="e">
        <f ca="1">(OFFSET(Pinlist!$E$1,BC118,0)-$BN$16)*$BN$19</f>
        <v>#N/A</v>
      </c>
      <c r="BF118" s="192" t="e">
        <f ca="1">(OFFSET(Pinlist!$F$1,BC118,0)-$BO$16)*$BO$19</f>
        <v>#N/A</v>
      </c>
      <c r="BG118" s="1098" t="str">
        <f ca="1">IF(LEFT(BD118,2)="RF",OFFSET(Pinlist!$D$1,Chart!BC118,0)&amp;"_"&amp;OFFSET(Pinlist!$G$1,Chart!BC118,0),"")</f>
        <v/>
      </c>
      <c r="BH118" s="1098"/>
      <c r="BI118" s="178"/>
      <c r="BJ118" s="178"/>
      <c r="BK118" s="178"/>
      <c r="BL118" s="178"/>
      <c r="BM118" s="132"/>
      <c r="BN118" s="132"/>
      <c r="BO118" s="132"/>
      <c r="BP118" s="132"/>
      <c r="BQ118" s="196"/>
      <c r="BR118" s="196"/>
      <c r="BS118" s="196"/>
      <c r="BT118" s="196"/>
      <c r="BU118" s="196"/>
      <c r="BV118" s="196"/>
      <c r="BW118" s="178"/>
      <c r="BX118" s="196"/>
      <c r="BY118" s="196"/>
      <c r="BZ118" s="196"/>
      <c r="CA118" s="196"/>
      <c r="CB118" s="178"/>
      <c r="CC118" s="178"/>
      <c r="CD118" s="202"/>
      <c r="CE118" s="202"/>
      <c r="CF118" s="178"/>
      <c r="CG118" s="518">
        <f>CG113+1</f>
        <v>23</v>
      </c>
      <c r="CH118" s="174">
        <f>(CG118&lt;$CQ$25)*$CQ$40</f>
        <v>0</v>
      </c>
      <c r="CI118" s="1149" t="e">
        <f ca="1">$CH118*(CI113+$CQ$27+IF($CQ$19,$CQ$20,$CQ$26))</f>
        <v>#REF!</v>
      </c>
      <c r="CJ118" s="1149" t="e">
        <f ca="1">$CH118*(CJ113+$CR$27+IF($CQ$19,$CR$20,$CR$26))</f>
        <v>#REF!</v>
      </c>
      <c r="CK118" s="1149">
        <f ca="1">$CH118*(CK113+$CQ$27+IF($CQ$19,$CQ$20,$CQ$26))</f>
        <v>0</v>
      </c>
      <c r="CL118" s="1149">
        <f ca="1">$CH118*(CL113+$CR$27+IF($CQ$19,$CR$20,$CR$26))</f>
        <v>0</v>
      </c>
      <c r="CM118" s="1149" t="e">
        <f ca="1">IF(CH118,CM113+$CQ$27+IF($CQ$19,$CQ$20,$CQ$26),$CM$3)</f>
        <v>#N/A</v>
      </c>
      <c r="CN118" s="1244" t="e">
        <f ca="1">IF(CH118,CN113+$CR$27+IF($CQ$19,$CR$20,$CR$26),$CN$3)</f>
        <v>#N/A</v>
      </c>
      <c r="CO118" s="178"/>
      <c r="CP118" s="178"/>
      <c r="CQ118" s="178"/>
      <c r="CR118" s="178"/>
      <c r="CS118" s="178"/>
      <c r="CT118" s="178"/>
      <c r="CU118" s="178"/>
      <c r="CV118" s="178"/>
      <c r="CW118" s="178"/>
      <c r="CX118" s="178"/>
      <c r="CY118" s="178"/>
      <c r="CZ118" s="178"/>
      <c r="DA118" s="150"/>
    </row>
    <row r="119" spans="53:105" x14ac:dyDescent="0.2">
      <c r="BA119" s="518">
        <f t="shared" ca="1" si="16"/>
        <v>61</v>
      </c>
      <c r="BB119" s="174">
        <f t="shared" ca="1" si="17"/>
        <v>56</v>
      </c>
      <c r="BC119" s="525" t="e">
        <f ca="1">MATCH(BD119,OFFSET(Pinlist!$A$2,BC118*(BA119=BA118),0,$BM$23,1),0)+BC118*(BA119=BA118)</f>
        <v>#N/A</v>
      </c>
      <c r="BD119" s="167">
        <f t="shared" ca="1" si="18"/>
        <v>0</v>
      </c>
      <c r="BE119" s="191" t="e">
        <f ca="1">(OFFSET(Pinlist!$E$1,BC119,0)-$BN$16)*$BN$19</f>
        <v>#N/A</v>
      </c>
      <c r="BF119" s="192" t="e">
        <f ca="1">(OFFSET(Pinlist!$F$1,BC119,0)-$BO$16)*$BO$19</f>
        <v>#N/A</v>
      </c>
      <c r="BG119" s="1098" t="str">
        <f ca="1">IF(LEFT(BD119,2)="RF",OFFSET(Pinlist!$D$1,Chart!BC119,0)&amp;"_"&amp;OFFSET(Pinlist!$G$1,Chart!BC119,0),"")</f>
        <v/>
      </c>
      <c r="BH119" s="1098"/>
      <c r="BI119" s="178"/>
      <c r="BJ119" s="178"/>
      <c r="BK119" s="178"/>
      <c r="BL119" s="178"/>
      <c r="BM119" s="132"/>
      <c r="BN119" s="132"/>
      <c r="BO119" s="132"/>
      <c r="BP119" s="132"/>
      <c r="BQ119" s="196"/>
      <c r="BR119" s="196"/>
      <c r="BS119" s="196"/>
      <c r="BT119" s="196"/>
      <c r="BU119" s="196"/>
      <c r="BV119" s="196"/>
      <c r="BW119" s="178"/>
      <c r="BX119" s="196"/>
      <c r="BY119" s="196"/>
      <c r="BZ119" s="196"/>
      <c r="CA119" s="196"/>
      <c r="CB119" s="178"/>
      <c r="CC119" s="178"/>
      <c r="CD119" s="202"/>
      <c r="CE119" s="202"/>
      <c r="CF119" s="178"/>
      <c r="CG119" s="518"/>
      <c r="CH119" s="174"/>
      <c r="CI119" s="1098" t="e">
        <f ca="1">CH118*(CI118-DUT!$G$11)</f>
        <v>#REF!</v>
      </c>
      <c r="CJ119" s="1098" t="e">
        <f ca="1">CJ118</f>
        <v>#REF!</v>
      </c>
      <c r="CK119" s="1098">
        <f ca="1">CH118*(CK118-$BJ$5)</f>
        <v>0</v>
      </c>
      <c r="CL119" s="1098">
        <f ca="1">CL118</f>
        <v>0</v>
      </c>
      <c r="CM119" s="569"/>
      <c r="CN119" s="1246"/>
      <c r="CO119" s="178"/>
      <c r="CP119" s="178"/>
      <c r="CQ119" s="178"/>
      <c r="CR119" s="178"/>
      <c r="CS119" s="178"/>
      <c r="CT119" s="178"/>
      <c r="CU119" s="178"/>
      <c r="CV119" s="178"/>
      <c r="CW119" s="178"/>
      <c r="CX119" s="178"/>
      <c r="CY119" s="178"/>
      <c r="CZ119" s="178"/>
      <c r="DA119" s="150"/>
    </row>
    <row r="120" spans="53:105" x14ac:dyDescent="0.2">
      <c r="BA120" s="518">
        <f t="shared" ca="1" si="16"/>
        <v>61</v>
      </c>
      <c r="BB120" s="174">
        <f t="shared" ca="1" si="17"/>
        <v>57</v>
      </c>
      <c r="BC120" s="525" t="e">
        <f ca="1">MATCH(BD120,OFFSET(Pinlist!$A$2,BC119*(BA120=BA119),0,$BM$23,1),0)+BC119*(BA120=BA119)</f>
        <v>#N/A</v>
      </c>
      <c r="BD120" s="167">
        <f t="shared" ca="1" si="18"/>
        <v>0</v>
      </c>
      <c r="BE120" s="191" t="e">
        <f ca="1">(OFFSET(Pinlist!$E$1,BC120,0)-$BN$16)*$BN$19</f>
        <v>#N/A</v>
      </c>
      <c r="BF120" s="192" t="e">
        <f ca="1">(OFFSET(Pinlist!$F$1,BC120,0)-$BO$16)*$BO$19</f>
        <v>#N/A</v>
      </c>
      <c r="BG120" s="1098" t="str">
        <f ca="1">IF(LEFT(BD120,2)="RF",OFFSET(Pinlist!$D$1,Chart!BC120,0)&amp;"_"&amp;OFFSET(Pinlist!$G$1,Chart!BC120,0),"")</f>
        <v/>
      </c>
      <c r="BH120" s="1098"/>
      <c r="BI120" s="178"/>
      <c r="BJ120" s="178"/>
      <c r="BK120" s="178"/>
      <c r="BL120" s="178"/>
      <c r="BM120" s="132"/>
      <c r="BN120" s="132"/>
      <c r="BO120" s="132"/>
      <c r="BP120" s="132"/>
      <c r="BQ120" s="196"/>
      <c r="BR120" s="196"/>
      <c r="BS120" s="196"/>
      <c r="BT120" s="196"/>
      <c r="BU120" s="196"/>
      <c r="BV120" s="196"/>
      <c r="BW120" s="178"/>
      <c r="BX120" s="196"/>
      <c r="BY120" s="196"/>
      <c r="BZ120" s="196"/>
      <c r="CA120" s="196"/>
      <c r="CB120" s="178"/>
      <c r="CC120" s="178"/>
      <c r="CD120" s="202"/>
      <c r="CE120" s="202"/>
      <c r="CF120" s="178"/>
      <c r="CG120" s="518"/>
      <c r="CH120" s="174"/>
      <c r="CI120" s="1098" t="e">
        <f ca="1">CI119</f>
        <v>#REF!</v>
      </c>
      <c r="CJ120" s="1098" t="e">
        <f ca="1">CH118*(CJ119-DUT!$J$11)</f>
        <v>#REF!</v>
      </c>
      <c r="CK120" s="1098">
        <f ca="1">CK119</f>
        <v>0</v>
      </c>
      <c r="CL120" s="1098">
        <f ca="1">CH118*(CL119-$BK$5)</f>
        <v>0</v>
      </c>
      <c r="CM120" s="569"/>
      <c r="CN120" s="1246"/>
      <c r="CO120" s="178"/>
      <c r="CP120" s="178"/>
      <c r="CQ120" s="178"/>
      <c r="CR120" s="178"/>
      <c r="CS120" s="178"/>
      <c r="CT120" s="178"/>
      <c r="CU120" s="178"/>
      <c r="CV120" s="178"/>
      <c r="CW120" s="178"/>
      <c r="CX120" s="178"/>
      <c r="CY120" s="178"/>
      <c r="CZ120" s="178"/>
      <c r="DA120" s="150"/>
    </row>
    <row r="121" spans="53:105" x14ac:dyDescent="0.2">
      <c r="BA121" s="518">
        <f t="shared" ca="1" si="16"/>
        <v>61</v>
      </c>
      <c r="BB121" s="174">
        <f t="shared" ca="1" si="17"/>
        <v>58</v>
      </c>
      <c r="BC121" s="525" t="e">
        <f ca="1">MATCH(BD121,OFFSET(Pinlist!$A$2,BC120*(BA121=BA120),0,$BM$23,1),0)+BC120*(BA121=BA120)</f>
        <v>#N/A</v>
      </c>
      <c r="BD121" s="167">
        <f t="shared" ca="1" si="18"/>
        <v>0</v>
      </c>
      <c r="BE121" s="191" t="e">
        <f ca="1">(OFFSET(Pinlist!$E$1,BC121,0)-$BN$16)*$BN$19</f>
        <v>#N/A</v>
      </c>
      <c r="BF121" s="192" t="e">
        <f ca="1">(OFFSET(Pinlist!$F$1,BC121,0)-$BO$16)*$BO$19</f>
        <v>#N/A</v>
      </c>
      <c r="BG121" s="1098" t="str">
        <f ca="1">IF(LEFT(BD121,2)="RF",OFFSET(Pinlist!$D$1,Chart!BC121,0)&amp;"_"&amp;OFFSET(Pinlist!$G$1,Chart!BC121,0),"")</f>
        <v/>
      </c>
      <c r="BH121" s="1098"/>
      <c r="BI121" s="178"/>
      <c r="BJ121" s="178"/>
      <c r="BK121" s="178"/>
      <c r="BL121" s="178"/>
      <c r="BM121" s="132"/>
      <c r="BN121" s="132"/>
      <c r="BO121" s="132"/>
      <c r="BP121" s="132"/>
      <c r="BQ121" s="196"/>
      <c r="BR121" s="196"/>
      <c r="BS121" s="196"/>
      <c r="BT121" s="196"/>
      <c r="BU121" s="196"/>
      <c r="BV121" s="196"/>
      <c r="BW121" s="178"/>
      <c r="BX121" s="196"/>
      <c r="BY121" s="196"/>
      <c r="BZ121" s="196"/>
      <c r="CA121" s="196"/>
      <c r="CB121" s="178"/>
      <c r="CC121" s="178"/>
      <c r="CD121" s="202"/>
      <c r="CE121" s="202"/>
      <c r="CF121" s="178"/>
      <c r="CG121" s="518"/>
      <c r="CH121" s="174"/>
      <c r="CI121" s="1098" t="e">
        <f ca="1">CI118</f>
        <v>#REF!</v>
      </c>
      <c r="CJ121" s="1098" t="e">
        <f ca="1">CJ120</f>
        <v>#REF!</v>
      </c>
      <c r="CK121" s="1098">
        <f ca="1">CK118</f>
        <v>0</v>
      </c>
      <c r="CL121" s="1098">
        <f ca="1">CL120</f>
        <v>0</v>
      </c>
      <c r="CM121" s="569"/>
      <c r="CN121" s="1246"/>
      <c r="CO121" s="178"/>
      <c r="CP121" s="178"/>
      <c r="CQ121" s="178"/>
      <c r="CR121" s="178"/>
      <c r="CS121" s="178"/>
      <c r="CT121" s="178"/>
      <c r="CU121" s="178"/>
      <c r="CV121" s="178"/>
      <c r="CW121" s="178"/>
      <c r="CX121" s="178"/>
      <c r="CY121" s="178"/>
      <c r="CZ121" s="178"/>
      <c r="DA121" s="150"/>
    </row>
    <row r="122" spans="53:105" x14ac:dyDescent="0.2">
      <c r="BA122" s="518">
        <f t="shared" ca="1" si="16"/>
        <v>61</v>
      </c>
      <c r="BB122" s="174">
        <f t="shared" ca="1" si="17"/>
        <v>59</v>
      </c>
      <c r="BC122" s="525" t="e">
        <f ca="1">MATCH(BD122,OFFSET(Pinlist!$A$2,BC121*(BA122=BA121),0,$BM$23,1),0)+BC121*(BA122=BA121)</f>
        <v>#N/A</v>
      </c>
      <c r="BD122" s="167">
        <f t="shared" ca="1" si="18"/>
        <v>0</v>
      </c>
      <c r="BE122" s="191" t="e">
        <f ca="1">(OFFSET(Pinlist!$E$1,BC122,0)-$BN$16)*$BN$19</f>
        <v>#N/A</v>
      </c>
      <c r="BF122" s="192" t="e">
        <f ca="1">(OFFSET(Pinlist!$F$1,BC122,0)-$BO$16)*$BO$19</f>
        <v>#N/A</v>
      </c>
      <c r="BG122" s="1098" t="str">
        <f ca="1">IF(LEFT(BD122,2)="RF",OFFSET(Pinlist!$D$1,Chart!BC122,0)&amp;"_"&amp;OFFSET(Pinlist!$G$1,Chart!BC122,0),"")</f>
        <v/>
      </c>
      <c r="BH122" s="1098"/>
      <c r="BI122" s="178"/>
      <c r="BJ122" s="178"/>
      <c r="BK122" s="178"/>
      <c r="BL122" s="178"/>
      <c r="BM122" s="132"/>
      <c r="BN122" s="132"/>
      <c r="BO122" s="132"/>
      <c r="BP122" s="132"/>
      <c r="BQ122" s="196"/>
      <c r="BR122" s="196"/>
      <c r="BS122" s="196"/>
      <c r="BT122" s="196"/>
      <c r="BU122" s="196"/>
      <c r="BV122" s="196"/>
      <c r="BW122" s="178"/>
      <c r="BX122" s="196"/>
      <c r="BY122" s="196"/>
      <c r="BZ122" s="196"/>
      <c r="CA122" s="196"/>
      <c r="CB122" s="178"/>
      <c r="CC122" s="178"/>
      <c r="CD122" s="202"/>
      <c r="CE122" s="202"/>
      <c r="CF122" s="178"/>
      <c r="CG122" s="518"/>
      <c r="CH122" s="174"/>
      <c r="CI122" s="1098" t="e">
        <f ca="1">CI118</f>
        <v>#REF!</v>
      </c>
      <c r="CJ122" s="1098" t="e">
        <f ca="1">CJ118</f>
        <v>#REF!</v>
      </c>
      <c r="CK122" s="1098">
        <f ca="1">CK118</f>
        <v>0</v>
      </c>
      <c r="CL122" s="1098">
        <f ca="1">CL118</f>
        <v>0</v>
      </c>
      <c r="CM122" s="569"/>
      <c r="CN122" s="1246"/>
      <c r="CO122" s="178"/>
      <c r="CP122" s="178"/>
      <c r="CQ122" s="178"/>
      <c r="CR122" s="178"/>
      <c r="CS122" s="178"/>
      <c r="CT122" s="178"/>
      <c r="CU122" s="178"/>
      <c r="CV122" s="178"/>
      <c r="CW122" s="178"/>
      <c r="CX122" s="178"/>
      <c r="CY122" s="178"/>
      <c r="CZ122" s="178"/>
      <c r="DA122" s="150"/>
    </row>
    <row r="123" spans="53:105" x14ac:dyDescent="0.2">
      <c r="BA123" s="518">
        <f t="shared" ca="1" si="16"/>
        <v>61</v>
      </c>
      <c r="BB123" s="174">
        <f t="shared" ca="1" si="17"/>
        <v>60</v>
      </c>
      <c r="BC123" s="525" t="e">
        <f ca="1">MATCH(BD123,OFFSET(Pinlist!$A$2,BC122*(BA123=BA122),0,$BM$23,1),0)+BC122*(BA123=BA122)</f>
        <v>#N/A</v>
      </c>
      <c r="BD123" s="167">
        <f t="shared" ca="1" si="18"/>
        <v>0</v>
      </c>
      <c r="BE123" s="191" t="e">
        <f ca="1">(OFFSET(Pinlist!$E$1,BC123,0)-$BN$16)*$BN$19</f>
        <v>#N/A</v>
      </c>
      <c r="BF123" s="192" t="e">
        <f ca="1">(OFFSET(Pinlist!$F$1,BC123,0)-$BO$16)*$BO$19</f>
        <v>#N/A</v>
      </c>
      <c r="BG123" s="1098" t="str">
        <f ca="1">IF(LEFT(BD123,2)="RF",OFFSET(Pinlist!$D$1,Chart!BC123,0)&amp;"_"&amp;OFFSET(Pinlist!$G$1,Chart!BC123,0),"")</f>
        <v/>
      </c>
      <c r="BH123" s="1098"/>
      <c r="BI123" s="178"/>
      <c r="BJ123" s="178"/>
      <c r="BK123" s="178"/>
      <c r="BL123" s="178"/>
      <c r="BM123" s="132"/>
      <c r="BN123" s="132"/>
      <c r="BO123" s="132"/>
      <c r="BP123" s="132"/>
      <c r="BQ123" s="196"/>
      <c r="BR123" s="196"/>
      <c r="BS123" s="196"/>
      <c r="BT123" s="196"/>
      <c r="BU123" s="196"/>
      <c r="BV123" s="196"/>
      <c r="BW123" s="178"/>
      <c r="BX123" s="196"/>
      <c r="BY123" s="196"/>
      <c r="BZ123" s="196"/>
      <c r="CA123" s="196"/>
      <c r="CB123" s="178"/>
      <c r="CC123" s="178"/>
      <c r="CD123" s="202"/>
      <c r="CE123" s="202"/>
      <c r="CF123" s="178"/>
      <c r="CG123" s="518">
        <f>CG118+1</f>
        <v>24</v>
      </c>
      <c r="CH123" s="174">
        <f>(CG123&lt;$CQ$25)*$CQ$40</f>
        <v>0</v>
      </c>
      <c r="CI123" s="1150" t="e">
        <f ca="1">$CH123*IF($CQ$19,CI113+$CQ$26,CI118-$CQ$27+$CQ$26)</f>
        <v>#REF!</v>
      </c>
      <c r="CJ123" s="1150" t="e">
        <f ca="1">$CH123*IF($CQ$19,CJ113+$CR$26,CJ118-$CR$27+$CR$26)</f>
        <v>#REF!</v>
      </c>
      <c r="CK123" s="1150">
        <f ca="1">$CH123*IF($CQ$19,CK113+$CQ$26,CK118-$CQ$27+$CQ$26)</f>
        <v>0</v>
      </c>
      <c r="CL123" s="1150">
        <f ca="1">$CH123*IF($CQ$19,CL113+$CR$26,CL118-$CR$27+$CR$26)</f>
        <v>0</v>
      </c>
      <c r="CM123" s="1150" t="e">
        <f ca="1">IF(CH123,IF($CQ$19,CM113+$CQ$26,CM118-$CQ$27+$CQ$26),$CM$3)</f>
        <v>#N/A</v>
      </c>
      <c r="CN123" s="1245" t="e">
        <f ca="1">IF(CH123,IF($CQ$19,CN113+$CR$26,CN118-$CR$27+$CR$26),$CN$3)</f>
        <v>#N/A</v>
      </c>
      <c r="CO123" s="178"/>
      <c r="CP123" s="178"/>
      <c r="CQ123" s="178"/>
      <c r="CR123" s="178"/>
      <c r="CS123" s="178"/>
      <c r="CT123" s="178"/>
      <c r="CU123" s="178"/>
      <c r="CV123" s="178"/>
      <c r="CW123" s="178"/>
      <c r="CX123" s="178"/>
      <c r="CY123" s="178"/>
      <c r="CZ123" s="178"/>
      <c r="DA123" s="150"/>
    </row>
    <row r="124" spans="53:105" x14ac:dyDescent="0.2">
      <c r="BA124" s="518">
        <f t="shared" ca="1" si="16"/>
        <v>61</v>
      </c>
      <c r="BB124" s="174">
        <f t="shared" ca="1" si="17"/>
        <v>61</v>
      </c>
      <c r="BC124" s="525" t="e">
        <f ca="1">MATCH(BD124,OFFSET(Pinlist!$A$2,BC123*(BA124=BA123),0,$BM$23,1),0)+BC123*(BA124=BA123)</f>
        <v>#N/A</v>
      </c>
      <c r="BD124" s="167">
        <f t="shared" ca="1" si="18"/>
        <v>0</v>
      </c>
      <c r="BE124" s="191" t="e">
        <f ca="1">(OFFSET(Pinlist!$E$1,BC124,0)-$BN$16)*$BN$19</f>
        <v>#N/A</v>
      </c>
      <c r="BF124" s="192" t="e">
        <f ca="1">(OFFSET(Pinlist!$F$1,BC124,0)-$BO$16)*$BO$19</f>
        <v>#N/A</v>
      </c>
      <c r="BG124" s="1098" t="str">
        <f ca="1">IF(LEFT(BD124,2)="RF",OFFSET(Pinlist!$D$1,Chart!BC124,0)&amp;"_"&amp;OFFSET(Pinlist!$G$1,Chart!BC124,0),"")</f>
        <v/>
      </c>
      <c r="BH124" s="1098"/>
      <c r="BI124" s="178"/>
      <c r="BJ124" s="178"/>
      <c r="BK124" s="178"/>
      <c r="BL124" s="178"/>
      <c r="BM124" s="132"/>
      <c r="BN124" s="132"/>
      <c r="BO124" s="132"/>
      <c r="BP124" s="132"/>
      <c r="BQ124" s="196"/>
      <c r="BR124" s="196"/>
      <c r="BS124" s="196"/>
      <c r="BT124" s="196"/>
      <c r="BU124" s="196"/>
      <c r="BV124" s="196"/>
      <c r="BW124" s="178"/>
      <c r="BX124" s="196"/>
      <c r="BY124" s="196"/>
      <c r="BZ124" s="196"/>
      <c r="CA124" s="196"/>
      <c r="CB124" s="178"/>
      <c r="CC124" s="178"/>
      <c r="CD124" s="202"/>
      <c r="CE124" s="202"/>
      <c r="CF124" s="178"/>
      <c r="CG124" s="518"/>
      <c r="CH124" s="174"/>
      <c r="CI124" s="1098" t="e">
        <f ca="1">CH123*(CI123-DUT!$G$11)</f>
        <v>#REF!</v>
      </c>
      <c r="CJ124" s="1098" t="e">
        <f ca="1">CJ123</f>
        <v>#REF!</v>
      </c>
      <c r="CK124" s="1098">
        <f ca="1">CH123*(CK123-$BJ$5)</f>
        <v>0</v>
      </c>
      <c r="CL124" s="1098">
        <f ca="1">CL123</f>
        <v>0</v>
      </c>
      <c r="CM124" s="183"/>
      <c r="CN124" s="184"/>
      <c r="CO124" s="178"/>
      <c r="CP124" s="178"/>
      <c r="CQ124" s="178"/>
      <c r="CR124" s="178"/>
      <c r="CS124" s="178"/>
      <c r="CT124" s="178"/>
      <c r="CU124" s="178"/>
      <c r="CV124" s="178"/>
      <c r="CW124" s="178"/>
      <c r="CX124" s="178"/>
      <c r="CY124" s="178"/>
      <c r="CZ124" s="178"/>
      <c r="DA124" s="150"/>
    </row>
    <row r="125" spans="53:105" x14ac:dyDescent="0.2">
      <c r="BA125" s="518">
        <f t="shared" ca="1" si="16"/>
        <v>61</v>
      </c>
      <c r="BB125" s="174">
        <f t="shared" ca="1" si="17"/>
        <v>62</v>
      </c>
      <c r="BC125" s="525" t="e">
        <f ca="1">MATCH(BD125,OFFSET(Pinlist!$A$2,BC124*(BA125=BA124),0,$BM$23,1),0)+BC124*(BA125=BA124)</f>
        <v>#N/A</v>
      </c>
      <c r="BD125" s="167">
        <f t="shared" ca="1" si="18"/>
        <v>0</v>
      </c>
      <c r="BE125" s="191" t="e">
        <f ca="1">(OFFSET(Pinlist!$E$1,BC125,0)-$BN$16)*$BN$19</f>
        <v>#N/A</v>
      </c>
      <c r="BF125" s="192" t="e">
        <f ca="1">(OFFSET(Pinlist!$F$1,BC125,0)-$BO$16)*$BO$19</f>
        <v>#N/A</v>
      </c>
      <c r="BG125" s="1098" t="str">
        <f ca="1">IF(LEFT(BD125,2)="RF",OFFSET(Pinlist!$D$1,Chart!BC125,0)&amp;"_"&amp;OFFSET(Pinlist!$G$1,Chart!BC125,0),"")</f>
        <v/>
      </c>
      <c r="BH125" s="1098"/>
      <c r="BI125" s="178"/>
      <c r="BJ125" s="178"/>
      <c r="BK125" s="178"/>
      <c r="BL125" s="178"/>
      <c r="BM125" s="132"/>
      <c r="BN125" s="132"/>
      <c r="BO125" s="132"/>
      <c r="BP125" s="132"/>
      <c r="BQ125" s="196"/>
      <c r="BR125" s="196"/>
      <c r="BS125" s="196"/>
      <c r="BT125" s="196"/>
      <c r="BU125" s="196"/>
      <c r="BV125" s="196"/>
      <c r="BW125" s="178"/>
      <c r="BX125" s="196"/>
      <c r="BY125" s="196"/>
      <c r="BZ125" s="196"/>
      <c r="CA125" s="196"/>
      <c r="CB125" s="178"/>
      <c r="CC125" s="178"/>
      <c r="CD125" s="202"/>
      <c r="CE125" s="202"/>
      <c r="CF125" s="178"/>
      <c r="CG125" s="518"/>
      <c r="CH125" s="174"/>
      <c r="CI125" s="1098" t="e">
        <f ca="1">CI124</f>
        <v>#REF!</v>
      </c>
      <c r="CJ125" s="1098" t="e">
        <f ca="1">CH123*(CJ124-DUT!$J$11)</f>
        <v>#REF!</v>
      </c>
      <c r="CK125" s="1098">
        <f ca="1">CK124</f>
        <v>0</v>
      </c>
      <c r="CL125" s="1098">
        <f ca="1">CH123*(CL124-$BK$5)</f>
        <v>0</v>
      </c>
      <c r="CM125" s="183"/>
      <c r="CN125" s="184"/>
      <c r="CO125" s="178"/>
      <c r="CP125" s="178"/>
      <c r="CQ125" s="178"/>
      <c r="CR125" s="178"/>
      <c r="CS125" s="178"/>
      <c r="CT125" s="178"/>
      <c r="CU125" s="178"/>
      <c r="CV125" s="178"/>
      <c r="CW125" s="178"/>
      <c r="CX125" s="178"/>
      <c r="CY125" s="178"/>
      <c r="CZ125" s="178"/>
      <c r="DA125" s="150"/>
    </row>
    <row r="126" spans="53:105" x14ac:dyDescent="0.2">
      <c r="BA126" s="518">
        <f t="shared" ca="1" si="16"/>
        <v>61</v>
      </c>
      <c r="BB126" s="174">
        <f t="shared" ca="1" si="17"/>
        <v>63</v>
      </c>
      <c r="BC126" s="525" t="e">
        <f ca="1">MATCH(BD126,OFFSET(Pinlist!$A$2,BC125*(BA126=BA125),0,$BM$23,1),0)+BC125*(BA126=BA125)</f>
        <v>#N/A</v>
      </c>
      <c r="BD126" s="167">
        <f t="shared" ca="1" si="18"/>
        <v>0</v>
      </c>
      <c r="BE126" s="191" t="e">
        <f ca="1">(OFFSET(Pinlist!$E$1,BC126,0)-$BN$16)*$BN$19</f>
        <v>#N/A</v>
      </c>
      <c r="BF126" s="192" t="e">
        <f ca="1">(OFFSET(Pinlist!$F$1,BC126,0)-$BO$16)*$BO$19</f>
        <v>#N/A</v>
      </c>
      <c r="BG126" s="1098" t="str">
        <f ca="1">IF(LEFT(BD126,2)="RF",OFFSET(Pinlist!$D$1,Chart!BC126,0)&amp;"_"&amp;OFFSET(Pinlist!$G$1,Chart!BC126,0),"")</f>
        <v/>
      </c>
      <c r="BH126" s="1098"/>
      <c r="BI126" s="178"/>
      <c r="BJ126" s="178"/>
      <c r="BK126" s="178"/>
      <c r="BL126" s="178"/>
      <c r="BM126" s="132"/>
      <c r="BN126" s="132"/>
      <c r="BO126" s="132"/>
      <c r="BP126" s="132"/>
      <c r="BQ126" s="196"/>
      <c r="BR126" s="196"/>
      <c r="BS126" s="196"/>
      <c r="BT126" s="196"/>
      <c r="BU126" s="196"/>
      <c r="BV126" s="196"/>
      <c r="BW126" s="178"/>
      <c r="BX126" s="196"/>
      <c r="BY126" s="196"/>
      <c r="BZ126" s="196"/>
      <c r="CA126" s="196"/>
      <c r="CB126" s="178"/>
      <c r="CC126" s="178"/>
      <c r="CD126" s="202"/>
      <c r="CE126" s="202"/>
      <c r="CF126" s="178"/>
      <c r="CG126" s="518"/>
      <c r="CH126" s="174"/>
      <c r="CI126" s="1098" t="e">
        <f ca="1">CI123</f>
        <v>#REF!</v>
      </c>
      <c r="CJ126" s="1098" t="e">
        <f ca="1">CJ125</f>
        <v>#REF!</v>
      </c>
      <c r="CK126" s="1098">
        <f ca="1">CK123</f>
        <v>0</v>
      </c>
      <c r="CL126" s="1098">
        <f ca="1">CL125</f>
        <v>0</v>
      </c>
      <c r="CM126" s="183"/>
      <c r="CN126" s="184"/>
      <c r="CO126" s="178"/>
      <c r="CP126" s="178"/>
      <c r="CQ126" s="178"/>
      <c r="CR126" s="178"/>
      <c r="CS126" s="178"/>
      <c r="CT126" s="178"/>
      <c r="CU126" s="178"/>
      <c r="CV126" s="178"/>
      <c r="CW126" s="178"/>
      <c r="CX126" s="178"/>
      <c r="CY126" s="178"/>
      <c r="CZ126" s="178"/>
      <c r="DA126" s="150"/>
    </row>
    <row r="127" spans="53:105" x14ac:dyDescent="0.2">
      <c r="BA127" s="518">
        <f t="shared" ca="1" si="16"/>
        <v>61</v>
      </c>
      <c r="BB127" s="174">
        <f t="shared" ca="1" si="17"/>
        <v>64</v>
      </c>
      <c r="BC127" s="525" t="e">
        <f ca="1">MATCH(BD127,OFFSET(Pinlist!$A$2,BC126*(BA127=BA126),0,$BM$23,1),0)+BC126*(BA127=BA126)</f>
        <v>#N/A</v>
      </c>
      <c r="BD127" s="167">
        <f t="shared" ca="1" si="18"/>
        <v>0</v>
      </c>
      <c r="BE127" s="191" t="e">
        <f ca="1">(OFFSET(Pinlist!$E$1,BC127,0)-$BN$16)*$BN$19</f>
        <v>#N/A</v>
      </c>
      <c r="BF127" s="192" t="e">
        <f ca="1">(OFFSET(Pinlist!$F$1,BC127,0)-$BO$16)*$BO$19</f>
        <v>#N/A</v>
      </c>
      <c r="BG127" s="1098" t="str">
        <f ca="1">IF(LEFT(BD127,2)="RF",OFFSET(Pinlist!$D$1,Chart!BC127,0)&amp;"_"&amp;OFFSET(Pinlist!$G$1,Chart!BC127,0),"")</f>
        <v/>
      </c>
      <c r="BH127" s="1098"/>
      <c r="BI127" s="178"/>
      <c r="BJ127" s="178"/>
      <c r="BK127" s="178"/>
      <c r="BL127" s="178"/>
      <c r="BM127" s="132"/>
      <c r="BN127" s="132"/>
      <c r="BO127" s="132"/>
      <c r="BP127" s="132"/>
      <c r="BQ127" s="196"/>
      <c r="BR127" s="196"/>
      <c r="BS127" s="196"/>
      <c r="BT127" s="196"/>
      <c r="BU127" s="196"/>
      <c r="BV127" s="196"/>
      <c r="BW127" s="178"/>
      <c r="BX127" s="196"/>
      <c r="BY127" s="196"/>
      <c r="BZ127" s="196"/>
      <c r="CA127" s="196"/>
      <c r="CB127" s="178"/>
      <c r="CC127" s="178"/>
      <c r="CD127" s="202"/>
      <c r="CE127" s="202"/>
      <c r="CF127" s="178"/>
      <c r="CG127" s="518"/>
      <c r="CH127" s="174"/>
      <c r="CI127" s="1098" t="e">
        <f ca="1">CI123</f>
        <v>#REF!</v>
      </c>
      <c r="CJ127" s="1098" t="e">
        <f ca="1">CJ123</f>
        <v>#REF!</v>
      </c>
      <c r="CK127" s="1098">
        <f ca="1">CK123</f>
        <v>0</v>
      </c>
      <c r="CL127" s="1098">
        <f ca="1">CL123</f>
        <v>0</v>
      </c>
      <c r="CM127" s="183"/>
      <c r="CN127" s="184"/>
      <c r="CO127" s="178"/>
      <c r="CP127" s="178"/>
      <c r="CQ127" s="178"/>
      <c r="CR127" s="178"/>
      <c r="CS127" s="178"/>
      <c r="CT127" s="178"/>
      <c r="CU127" s="178"/>
      <c r="CV127" s="178"/>
      <c r="CW127" s="178"/>
      <c r="CX127" s="178"/>
      <c r="CY127" s="178"/>
      <c r="CZ127" s="178"/>
      <c r="DA127" s="150"/>
    </row>
    <row r="128" spans="53:105" x14ac:dyDescent="0.2">
      <c r="BA128" s="518">
        <f t="shared" ca="1" si="16"/>
        <v>61</v>
      </c>
      <c r="BB128" s="174">
        <f t="shared" ca="1" si="17"/>
        <v>65</v>
      </c>
      <c r="BC128" s="525" t="e">
        <f ca="1">MATCH(BD128,OFFSET(Pinlist!$A$2,BC127*(BA128=BA127),0,$BM$23,1),0)+BC127*(BA128=BA127)</f>
        <v>#N/A</v>
      </c>
      <c r="BD128" s="167">
        <f t="shared" ca="1" si="18"/>
        <v>0</v>
      </c>
      <c r="BE128" s="191" t="e">
        <f ca="1">(OFFSET(Pinlist!$E$1,BC128,0)-$BN$16)*$BN$19</f>
        <v>#N/A</v>
      </c>
      <c r="BF128" s="192" t="e">
        <f ca="1">(OFFSET(Pinlist!$F$1,BC128,0)-$BO$16)*$BO$19</f>
        <v>#N/A</v>
      </c>
      <c r="BG128" s="1098" t="str">
        <f ca="1">IF(LEFT(BD128,2)="RF",OFFSET(Pinlist!$D$1,Chart!BC128,0)&amp;"_"&amp;OFFSET(Pinlist!$G$1,Chart!BC128,0),"")</f>
        <v/>
      </c>
      <c r="BH128" s="1098"/>
      <c r="BI128" s="178"/>
      <c r="BJ128" s="178"/>
      <c r="BK128" s="178"/>
      <c r="BL128" s="178"/>
      <c r="BM128" s="132"/>
      <c r="BN128" s="132"/>
      <c r="BO128" s="132"/>
      <c r="BP128" s="132"/>
      <c r="BQ128" s="196"/>
      <c r="BR128" s="196"/>
      <c r="BS128" s="196"/>
      <c r="BT128" s="196"/>
      <c r="BU128" s="196"/>
      <c r="BV128" s="196"/>
      <c r="BW128" s="178"/>
      <c r="BX128" s="196"/>
      <c r="BY128" s="196"/>
      <c r="BZ128" s="196"/>
      <c r="CA128" s="196"/>
      <c r="CB128" s="178"/>
      <c r="CC128" s="178"/>
      <c r="CD128" s="202"/>
      <c r="CE128" s="202"/>
      <c r="CF128" s="178"/>
      <c r="CG128" s="518">
        <f>CG123+1</f>
        <v>25</v>
      </c>
      <c r="CH128" s="174">
        <f>(CG128&lt;$CQ$25)*$CQ$40</f>
        <v>0</v>
      </c>
      <c r="CI128" s="1149" t="e">
        <f ca="1">$CH128*(CI123+$CQ$27+IF($CQ$19,$CQ$20,$CQ$26))</f>
        <v>#REF!</v>
      </c>
      <c r="CJ128" s="1149" t="e">
        <f ca="1">$CH128*(CJ123+$CR$27+IF($CQ$19,$CR$20,$CR$26))</f>
        <v>#REF!</v>
      </c>
      <c r="CK128" s="1149">
        <f ca="1">$CH128*(CK123+$CQ$27+IF($CQ$19,$CQ$20,$CQ$26))</f>
        <v>0</v>
      </c>
      <c r="CL128" s="1149">
        <f ca="1">$CH128*(CL123+$CR$27+IF($CQ$19,$CR$20,$CR$26))</f>
        <v>0</v>
      </c>
      <c r="CM128" s="1149" t="e">
        <f ca="1">IF(CH128,CM123+$CQ$27+IF($CQ$19,$CQ$20,$CQ$26),$CM$3)</f>
        <v>#N/A</v>
      </c>
      <c r="CN128" s="1244" t="e">
        <f ca="1">IF(CH128,CN123+$CR$27+IF($CQ$19,$CR$20,$CR$26),$CN$3)</f>
        <v>#N/A</v>
      </c>
      <c r="CO128" s="178"/>
      <c r="CP128" s="178"/>
      <c r="CQ128" s="178"/>
      <c r="CR128" s="178"/>
      <c r="CS128" s="178"/>
      <c r="CT128" s="178"/>
      <c r="CU128" s="178"/>
      <c r="CV128" s="178"/>
      <c r="CW128" s="178"/>
      <c r="CX128" s="178"/>
      <c r="CY128" s="178"/>
      <c r="CZ128" s="178"/>
      <c r="DA128" s="150"/>
    </row>
    <row r="129" spans="53:105" x14ac:dyDescent="0.2">
      <c r="BA129" s="518">
        <f t="shared" ca="1" si="16"/>
        <v>61</v>
      </c>
      <c r="BB129" s="174">
        <f t="shared" ca="1" si="17"/>
        <v>66</v>
      </c>
      <c r="BC129" s="525" t="e">
        <f ca="1">MATCH(BD129,OFFSET(Pinlist!$A$2,BC128*(BA129=BA128),0,$BM$23,1),0)+BC128*(BA129=BA128)</f>
        <v>#N/A</v>
      </c>
      <c r="BD129" s="167">
        <f t="shared" ca="1" si="18"/>
        <v>0</v>
      </c>
      <c r="BE129" s="191" t="e">
        <f ca="1">(OFFSET(Pinlist!$E$1,BC129,0)-$BN$16)*$BN$19</f>
        <v>#N/A</v>
      </c>
      <c r="BF129" s="192" t="e">
        <f ca="1">(OFFSET(Pinlist!$F$1,BC129,0)-$BO$16)*$BO$19</f>
        <v>#N/A</v>
      </c>
      <c r="BG129" s="1098" t="str">
        <f ca="1">IF(LEFT(BD129,2)="RF",OFFSET(Pinlist!$D$1,Chart!BC129,0)&amp;"_"&amp;OFFSET(Pinlist!$G$1,Chart!BC129,0),"")</f>
        <v/>
      </c>
      <c r="BH129" s="1098"/>
      <c r="BI129" s="178"/>
      <c r="BJ129" s="178"/>
      <c r="BK129" s="178"/>
      <c r="BL129" s="178"/>
      <c r="BM129" s="132"/>
      <c r="BN129" s="132"/>
      <c r="BO129" s="132"/>
      <c r="BP129" s="132"/>
      <c r="BQ129" s="196"/>
      <c r="BR129" s="196"/>
      <c r="BS129" s="196"/>
      <c r="BT129" s="196"/>
      <c r="BU129" s="196"/>
      <c r="BV129" s="196"/>
      <c r="BW129" s="178"/>
      <c r="BX129" s="196"/>
      <c r="BY129" s="196"/>
      <c r="BZ129" s="196"/>
      <c r="CA129" s="196"/>
      <c r="CB129" s="178"/>
      <c r="CC129" s="178"/>
      <c r="CD129" s="202"/>
      <c r="CE129" s="202"/>
      <c r="CF129" s="178"/>
      <c r="CG129" s="518"/>
      <c r="CH129" s="174"/>
      <c r="CI129" s="1098" t="e">
        <f ca="1">CH128*(CI128-DUT!$G$11)</f>
        <v>#REF!</v>
      </c>
      <c r="CJ129" s="1098" t="e">
        <f ca="1">CJ128</f>
        <v>#REF!</v>
      </c>
      <c r="CK129" s="1098">
        <f ca="1">CH128*(CK128-$BJ$5)</f>
        <v>0</v>
      </c>
      <c r="CL129" s="1098">
        <f ca="1">CL128</f>
        <v>0</v>
      </c>
      <c r="CM129" s="569"/>
      <c r="CN129" s="1246"/>
      <c r="CO129" s="178"/>
      <c r="CP129" s="178"/>
      <c r="CQ129" s="178"/>
      <c r="CR129" s="178"/>
      <c r="CS129" s="178"/>
      <c r="CT129" s="178"/>
      <c r="CU129" s="178"/>
      <c r="CV129" s="178"/>
      <c r="CW129" s="178"/>
      <c r="CX129" s="178"/>
      <c r="CY129" s="178"/>
      <c r="CZ129" s="178"/>
      <c r="DA129" s="150"/>
    </row>
    <row r="130" spans="53:105" x14ac:dyDescent="0.2">
      <c r="BA130" s="518">
        <f t="shared" ca="1" si="16"/>
        <v>61</v>
      </c>
      <c r="BB130" s="174">
        <f t="shared" ca="1" si="17"/>
        <v>67</v>
      </c>
      <c r="BC130" s="525" t="e">
        <f ca="1">MATCH(BD130,OFFSET(Pinlist!$A$2,BC129*(BA130=BA129),0,$BM$23,1),0)+BC129*(BA130=BA129)</f>
        <v>#N/A</v>
      </c>
      <c r="BD130" s="167">
        <f t="shared" ca="1" si="18"/>
        <v>0</v>
      </c>
      <c r="BE130" s="191" t="e">
        <f ca="1">(OFFSET(Pinlist!$E$1,BC130,0)-$BN$16)*$BN$19</f>
        <v>#N/A</v>
      </c>
      <c r="BF130" s="192" t="e">
        <f ca="1">(OFFSET(Pinlist!$F$1,BC130,0)-$BO$16)*$BO$19</f>
        <v>#N/A</v>
      </c>
      <c r="BG130" s="1098" t="str">
        <f ca="1">IF(LEFT(BD130,2)="RF",OFFSET(Pinlist!$D$1,Chart!BC130,0)&amp;"_"&amp;OFFSET(Pinlist!$G$1,Chart!BC130,0),"")</f>
        <v/>
      </c>
      <c r="BH130" s="1098"/>
      <c r="BI130" s="178"/>
      <c r="BJ130" s="178"/>
      <c r="BK130" s="178"/>
      <c r="BL130" s="178"/>
      <c r="BM130" s="132"/>
      <c r="BN130" s="132"/>
      <c r="BO130" s="132"/>
      <c r="BP130" s="132"/>
      <c r="BQ130" s="196"/>
      <c r="BR130" s="196"/>
      <c r="BS130" s="196"/>
      <c r="BT130" s="196"/>
      <c r="BU130" s="196"/>
      <c r="BV130" s="196"/>
      <c r="BW130" s="178"/>
      <c r="BX130" s="196"/>
      <c r="BY130" s="196"/>
      <c r="BZ130" s="196"/>
      <c r="CA130" s="196"/>
      <c r="CB130" s="178"/>
      <c r="CC130" s="178"/>
      <c r="CD130" s="202"/>
      <c r="CE130" s="202"/>
      <c r="CF130" s="178"/>
      <c r="CG130" s="518"/>
      <c r="CH130" s="174"/>
      <c r="CI130" s="1098" t="e">
        <f ca="1">CI129</f>
        <v>#REF!</v>
      </c>
      <c r="CJ130" s="1098" t="e">
        <f ca="1">CH128*(CJ129-DUT!$J$11)</f>
        <v>#REF!</v>
      </c>
      <c r="CK130" s="1098">
        <f ca="1">CK129</f>
        <v>0</v>
      </c>
      <c r="CL130" s="1098">
        <f ca="1">CH128*(CL129-$BK$5)</f>
        <v>0</v>
      </c>
      <c r="CM130" s="569"/>
      <c r="CN130" s="1246"/>
      <c r="CO130" s="178"/>
      <c r="CP130" s="178"/>
      <c r="CQ130" s="178"/>
      <c r="CR130" s="178"/>
      <c r="CS130" s="178"/>
      <c r="CT130" s="178"/>
      <c r="CU130" s="178"/>
      <c r="CV130" s="178"/>
      <c r="CW130" s="178"/>
      <c r="CX130" s="178"/>
      <c r="CY130" s="178"/>
      <c r="CZ130" s="178"/>
      <c r="DA130" s="150"/>
    </row>
    <row r="131" spans="53:105" x14ac:dyDescent="0.2">
      <c r="BA131" s="518">
        <f t="shared" ca="1" si="16"/>
        <v>61</v>
      </c>
      <c r="BB131" s="174">
        <f t="shared" ca="1" si="17"/>
        <v>68</v>
      </c>
      <c r="BC131" s="525" t="e">
        <f ca="1">MATCH(BD131,OFFSET(Pinlist!$A$2,BC130*(BA131=BA130),0,$BM$23,1),0)+BC130*(BA131=BA130)</f>
        <v>#N/A</v>
      </c>
      <c r="BD131" s="167">
        <f t="shared" ca="1" si="18"/>
        <v>0</v>
      </c>
      <c r="BE131" s="191" t="e">
        <f ca="1">(OFFSET(Pinlist!$E$1,BC131,0)-$BN$16)*$BN$19</f>
        <v>#N/A</v>
      </c>
      <c r="BF131" s="192" t="e">
        <f ca="1">(OFFSET(Pinlist!$F$1,BC131,0)-$BO$16)*$BO$19</f>
        <v>#N/A</v>
      </c>
      <c r="BG131" s="1098" t="str">
        <f ca="1">IF(LEFT(BD131,2)="RF",OFFSET(Pinlist!$D$1,Chart!BC131,0)&amp;"_"&amp;OFFSET(Pinlist!$G$1,Chart!BC131,0),"")</f>
        <v/>
      </c>
      <c r="BH131" s="1098"/>
      <c r="BI131" s="178"/>
      <c r="BJ131" s="178"/>
      <c r="BK131" s="178"/>
      <c r="BL131" s="178"/>
      <c r="BM131" s="132"/>
      <c r="BN131" s="132"/>
      <c r="BO131" s="132"/>
      <c r="BP131" s="132"/>
      <c r="BQ131" s="196"/>
      <c r="BR131" s="196"/>
      <c r="BS131" s="196"/>
      <c r="BT131" s="196"/>
      <c r="BU131" s="196"/>
      <c r="BV131" s="196"/>
      <c r="BW131" s="178"/>
      <c r="BX131" s="196"/>
      <c r="BY131" s="196"/>
      <c r="BZ131" s="196"/>
      <c r="CA131" s="196"/>
      <c r="CB131" s="178"/>
      <c r="CC131" s="178"/>
      <c r="CD131" s="202"/>
      <c r="CE131" s="202"/>
      <c r="CF131" s="178"/>
      <c r="CG131" s="518"/>
      <c r="CH131" s="174"/>
      <c r="CI131" s="1098" t="e">
        <f ca="1">CI128</f>
        <v>#REF!</v>
      </c>
      <c r="CJ131" s="1098" t="e">
        <f ca="1">CJ130</f>
        <v>#REF!</v>
      </c>
      <c r="CK131" s="1098">
        <f ca="1">CK128</f>
        <v>0</v>
      </c>
      <c r="CL131" s="1098">
        <f ca="1">CL130</f>
        <v>0</v>
      </c>
      <c r="CM131" s="569"/>
      <c r="CN131" s="1246"/>
      <c r="CO131" s="178"/>
      <c r="CP131" s="178"/>
      <c r="CQ131" s="178"/>
      <c r="CR131" s="178"/>
      <c r="CS131" s="178"/>
      <c r="CT131" s="178"/>
      <c r="CU131" s="178"/>
      <c r="CV131" s="178"/>
      <c r="CW131" s="178"/>
      <c r="CX131" s="178"/>
      <c r="CY131" s="178"/>
      <c r="CZ131" s="178"/>
      <c r="DA131" s="150"/>
    </row>
    <row r="132" spans="53:105" x14ac:dyDescent="0.2">
      <c r="BA132" s="518">
        <f t="shared" ref="BA132:BA195" ca="1" si="19">BA131+(BB131=OFFSET($BZ$3,BA131,0))</f>
        <v>61</v>
      </c>
      <c r="BB132" s="174">
        <f t="shared" ref="BB132:BB195" ca="1" si="20">IF(BA132=BA131,BB131+1,1)</f>
        <v>69</v>
      </c>
      <c r="BC132" s="525" t="e">
        <f ca="1">MATCH(BD132,OFFSET(Pinlist!$A$2,BC131*(BA132=BA131),0,$BM$23,1),0)+BC131*(BA132=BA131)</f>
        <v>#N/A</v>
      </c>
      <c r="BD132" s="167">
        <f t="shared" ref="BD132:BD195" ca="1" si="21">OFFSET($BY$3,BA132,0)</f>
        <v>0</v>
      </c>
      <c r="BE132" s="191" t="e">
        <f ca="1">(OFFSET(Pinlist!$E$1,BC132,0)-$BN$16)*$BN$19</f>
        <v>#N/A</v>
      </c>
      <c r="BF132" s="192" t="e">
        <f ca="1">(OFFSET(Pinlist!$F$1,BC132,0)-$BO$16)*$BO$19</f>
        <v>#N/A</v>
      </c>
      <c r="BG132" s="1098" t="str">
        <f ca="1">IF(LEFT(BD132,2)="RF",OFFSET(Pinlist!$D$1,Chart!BC132,0)&amp;"_"&amp;OFFSET(Pinlist!$G$1,Chart!BC132,0),"")</f>
        <v/>
      </c>
      <c r="BH132" s="1098"/>
      <c r="BI132" s="178"/>
      <c r="BJ132" s="178"/>
      <c r="BK132" s="178"/>
      <c r="BL132" s="178"/>
      <c r="BM132" s="132"/>
      <c r="BN132" s="132"/>
      <c r="BO132" s="132"/>
      <c r="BP132" s="132"/>
      <c r="BQ132" s="196"/>
      <c r="BR132" s="196"/>
      <c r="BS132" s="196"/>
      <c r="BT132" s="196"/>
      <c r="BU132" s="196"/>
      <c r="BV132" s="196"/>
      <c r="BW132" s="178"/>
      <c r="BX132" s="196"/>
      <c r="BY132" s="196"/>
      <c r="BZ132" s="196"/>
      <c r="CA132" s="196"/>
      <c r="CB132" s="178"/>
      <c r="CC132" s="178"/>
      <c r="CD132" s="202"/>
      <c r="CE132" s="202"/>
      <c r="CF132" s="178"/>
      <c r="CG132" s="518"/>
      <c r="CH132" s="174"/>
      <c r="CI132" s="1098" t="e">
        <f ca="1">CI128</f>
        <v>#REF!</v>
      </c>
      <c r="CJ132" s="1098" t="e">
        <f ca="1">CJ128</f>
        <v>#REF!</v>
      </c>
      <c r="CK132" s="1098">
        <f ca="1">CK128</f>
        <v>0</v>
      </c>
      <c r="CL132" s="1098">
        <f ca="1">CL128</f>
        <v>0</v>
      </c>
      <c r="CM132" s="569"/>
      <c r="CN132" s="1246"/>
      <c r="CO132" s="178"/>
      <c r="CP132" s="178"/>
      <c r="CQ132" s="178"/>
      <c r="CR132" s="178"/>
      <c r="CS132" s="178"/>
      <c r="CT132" s="178"/>
      <c r="CU132" s="178"/>
      <c r="CV132" s="178"/>
      <c r="CW132" s="178"/>
      <c r="CX132" s="178"/>
      <c r="CY132" s="178"/>
      <c r="CZ132" s="178"/>
      <c r="DA132" s="150"/>
    </row>
    <row r="133" spans="53:105" x14ac:dyDescent="0.2">
      <c r="BA133" s="518">
        <f t="shared" ca="1" si="19"/>
        <v>61</v>
      </c>
      <c r="BB133" s="174">
        <f t="shared" ca="1" si="20"/>
        <v>70</v>
      </c>
      <c r="BC133" s="525" t="e">
        <f ca="1">MATCH(BD133,OFFSET(Pinlist!$A$2,BC132*(BA133=BA132),0,$BM$23,1),0)+BC132*(BA133=BA132)</f>
        <v>#N/A</v>
      </c>
      <c r="BD133" s="167">
        <f t="shared" ca="1" si="21"/>
        <v>0</v>
      </c>
      <c r="BE133" s="191" t="e">
        <f ca="1">(OFFSET(Pinlist!$E$1,BC133,0)-$BN$16)*$BN$19</f>
        <v>#N/A</v>
      </c>
      <c r="BF133" s="192" t="e">
        <f ca="1">(OFFSET(Pinlist!$F$1,BC133,0)-$BO$16)*$BO$19</f>
        <v>#N/A</v>
      </c>
      <c r="BG133" s="1098" t="str">
        <f ca="1">IF(LEFT(BD133,2)="RF",OFFSET(Pinlist!$D$1,Chart!BC133,0)&amp;"_"&amp;OFFSET(Pinlist!$G$1,Chart!BC133,0),"")</f>
        <v/>
      </c>
      <c r="BH133" s="1098"/>
      <c r="BI133" s="178"/>
      <c r="BJ133" s="178"/>
      <c r="BK133" s="178"/>
      <c r="BL133" s="178"/>
      <c r="BM133" s="132"/>
      <c r="BN133" s="132"/>
      <c r="BO133" s="132"/>
      <c r="BP133" s="132"/>
      <c r="BQ133" s="196"/>
      <c r="BR133" s="196"/>
      <c r="BS133" s="196"/>
      <c r="BT133" s="196"/>
      <c r="BU133" s="196"/>
      <c r="BV133" s="196"/>
      <c r="BW133" s="178"/>
      <c r="BX133" s="196"/>
      <c r="BY133" s="196"/>
      <c r="BZ133" s="196"/>
      <c r="CA133" s="196"/>
      <c r="CB133" s="178"/>
      <c r="CC133" s="178"/>
      <c r="CD133" s="202"/>
      <c r="CE133" s="202"/>
      <c r="CF133" s="178"/>
      <c r="CG133" s="518">
        <f>CG128+1</f>
        <v>26</v>
      </c>
      <c r="CH133" s="174">
        <f>(CG133&lt;$CQ$25)*$CQ$40</f>
        <v>0</v>
      </c>
      <c r="CI133" s="1150" t="e">
        <f ca="1">$CH133*IF($CQ$19,CI123+$CQ$26,CI128-$CQ$27+$CQ$26)</f>
        <v>#REF!</v>
      </c>
      <c r="CJ133" s="1150" t="e">
        <f ca="1">$CH133*IF($CQ$19,CJ123+$CR$26,CJ128-$CR$27+$CR$26)</f>
        <v>#REF!</v>
      </c>
      <c r="CK133" s="1150">
        <f ca="1">$CH133*IF($CQ$19,CK123+$CQ$26,CK128-$CQ$27+$CQ$26)</f>
        <v>0</v>
      </c>
      <c r="CL133" s="1150">
        <f ca="1">$CH133*IF($CQ$19,CL123+$CR$26,CL128-$CR$27+$CR$26)</f>
        <v>0</v>
      </c>
      <c r="CM133" s="1150" t="e">
        <f ca="1">IF(CH133,IF($CQ$19,CM123+$CQ$26,CM128-$CQ$27+$CQ$26),$CM$3)</f>
        <v>#N/A</v>
      </c>
      <c r="CN133" s="1245" t="e">
        <f ca="1">IF(CH133,IF($CQ$19,CN123+$CR$26,CN128-$CR$27+$CR$26),$CN$3)</f>
        <v>#N/A</v>
      </c>
      <c r="CO133" s="178"/>
      <c r="CP133" s="178"/>
      <c r="CQ133" s="178"/>
      <c r="CR133" s="178"/>
      <c r="CS133" s="178"/>
      <c r="CT133" s="178"/>
      <c r="CU133" s="178"/>
      <c r="CV133" s="178"/>
      <c r="CW133" s="178"/>
      <c r="CX133" s="178"/>
      <c r="CY133" s="178"/>
      <c r="CZ133" s="178"/>
      <c r="DA133" s="150"/>
    </row>
    <row r="134" spans="53:105" x14ac:dyDescent="0.2">
      <c r="BA134" s="518">
        <f t="shared" ca="1" si="19"/>
        <v>61</v>
      </c>
      <c r="BB134" s="174">
        <f t="shared" ca="1" si="20"/>
        <v>71</v>
      </c>
      <c r="BC134" s="525" t="e">
        <f ca="1">MATCH(BD134,OFFSET(Pinlist!$A$2,BC133*(BA134=BA133),0,$BM$23,1),0)+BC133*(BA134=BA133)</f>
        <v>#N/A</v>
      </c>
      <c r="BD134" s="167">
        <f t="shared" ca="1" si="21"/>
        <v>0</v>
      </c>
      <c r="BE134" s="191" t="e">
        <f ca="1">(OFFSET(Pinlist!$E$1,BC134,0)-$BN$16)*$BN$19</f>
        <v>#N/A</v>
      </c>
      <c r="BF134" s="192" t="e">
        <f ca="1">(OFFSET(Pinlist!$F$1,BC134,0)-$BO$16)*$BO$19</f>
        <v>#N/A</v>
      </c>
      <c r="BG134" s="1098" t="str">
        <f ca="1">IF(LEFT(BD134,2)="RF",OFFSET(Pinlist!$D$1,Chart!BC134,0)&amp;"_"&amp;OFFSET(Pinlist!$G$1,Chart!BC134,0),"")</f>
        <v/>
      </c>
      <c r="BH134" s="1098"/>
      <c r="BI134" s="178"/>
      <c r="BJ134" s="178"/>
      <c r="BK134" s="178"/>
      <c r="BL134" s="178"/>
      <c r="BM134" s="132"/>
      <c r="BN134" s="132"/>
      <c r="BO134" s="132"/>
      <c r="BP134" s="132"/>
      <c r="BQ134" s="196"/>
      <c r="BR134" s="196"/>
      <c r="BS134" s="196"/>
      <c r="BT134" s="196"/>
      <c r="BU134" s="196"/>
      <c r="BV134" s="196"/>
      <c r="BW134" s="178"/>
      <c r="BX134" s="196"/>
      <c r="BY134" s="196"/>
      <c r="BZ134" s="196"/>
      <c r="CA134" s="196"/>
      <c r="CB134" s="178"/>
      <c r="CC134" s="178"/>
      <c r="CD134" s="202"/>
      <c r="CE134" s="202"/>
      <c r="CF134" s="178"/>
      <c r="CG134" s="518"/>
      <c r="CH134" s="174"/>
      <c r="CI134" s="1098" t="e">
        <f ca="1">CH133*(CI133-DUT!$G$11)</f>
        <v>#REF!</v>
      </c>
      <c r="CJ134" s="1098" t="e">
        <f ca="1">CJ133</f>
        <v>#REF!</v>
      </c>
      <c r="CK134" s="1098">
        <f ca="1">CH133*(CK133-$BJ$5)</f>
        <v>0</v>
      </c>
      <c r="CL134" s="1098">
        <f ca="1">CL133</f>
        <v>0</v>
      </c>
      <c r="CM134" s="183"/>
      <c r="CN134" s="184"/>
      <c r="CO134" s="178"/>
      <c r="CP134" s="178"/>
      <c r="CQ134" s="178"/>
      <c r="CR134" s="178"/>
      <c r="CS134" s="178"/>
      <c r="CT134" s="178"/>
      <c r="CU134" s="178"/>
      <c r="CV134" s="178"/>
      <c r="CW134" s="178"/>
      <c r="CX134" s="178"/>
      <c r="CY134" s="178"/>
      <c r="CZ134" s="178"/>
      <c r="DA134" s="150"/>
    </row>
    <row r="135" spans="53:105" x14ac:dyDescent="0.2">
      <c r="BA135" s="518">
        <f t="shared" ca="1" si="19"/>
        <v>61</v>
      </c>
      <c r="BB135" s="174">
        <f t="shared" ca="1" si="20"/>
        <v>72</v>
      </c>
      <c r="BC135" s="525" t="e">
        <f ca="1">MATCH(BD135,OFFSET(Pinlist!$A$2,BC134*(BA135=BA134),0,$BM$23,1),0)+BC134*(BA135=BA134)</f>
        <v>#N/A</v>
      </c>
      <c r="BD135" s="167">
        <f t="shared" ca="1" si="21"/>
        <v>0</v>
      </c>
      <c r="BE135" s="191" t="e">
        <f ca="1">(OFFSET(Pinlist!$E$1,BC135,0)-$BN$16)*$BN$19</f>
        <v>#N/A</v>
      </c>
      <c r="BF135" s="192" t="e">
        <f ca="1">(OFFSET(Pinlist!$F$1,BC135,0)-$BO$16)*$BO$19</f>
        <v>#N/A</v>
      </c>
      <c r="BG135" s="1098" t="str">
        <f ca="1">IF(LEFT(BD135,2)="RF",OFFSET(Pinlist!$D$1,Chart!BC135,0)&amp;"_"&amp;OFFSET(Pinlist!$G$1,Chart!BC135,0),"")</f>
        <v/>
      </c>
      <c r="BH135" s="1098"/>
      <c r="BI135" s="178"/>
      <c r="BJ135" s="178"/>
      <c r="BK135" s="178"/>
      <c r="BL135" s="178"/>
      <c r="BM135" s="132"/>
      <c r="BN135" s="132"/>
      <c r="BO135" s="132"/>
      <c r="BP135" s="132"/>
      <c r="BQ135" s="196"/>
      <c r="BR135" s="196"/>
      <c r="BS135" s="196"/>
      <c r="BT135" s="196"/>
      <c r="BU135" s="196"/>
      <c r="BV135" s="196"/>
      <c r="BW135" s="178"/>
      <c r="BX135" s="196"/>
      <c r="BY135" s="196"/>
      <c r="BZ135" s="196"/>
      <c r="CA135" s="196"/>
      <c r="CB135" s="178"/>
      <c r="CC135" s="178"/>
      <c r="CD135" s="202"/>
      <c r="CE135" s="202"/>
      <c r="CF135" s="178"/>
      <c r="CG135" s="518"/>
      <c r="CH135" s="174"/>
      <c r="CI135" s="1098" t="e">
        <f ca="1">CI134</f>
        <v>#REF!</v>
      </c>
      <c r="CJ135" s="1098" t="e">
        <f ca="1">CH133*(CJ134-DUT!$J$11)</f>
        <v>#REF!</v>
      </c>
      <c r="CK135" s="1098">
        <f ca="1">CK134</f>
        <v>0</v>
      </c>
      <c r="CL135" s="1098">
        <f ca="1">CH133*(CL134-$BK$5)</f>
        <v>0</v>
      </c>
      <c r="CM135" s="183"/>
      <c r="CN135" s="184"/>
      <c r="CO135" s="178"/>
      <c r="CP135" s="178"/>
      <c r="CQ135" s="178"/>
      <c r="CR135" s="178"/>
      <c r="CS135" s="178"/>
      <c r="CT135" s="178"/>
      <c r="CU135" s="178"/>
      <c r="CV135" s="178"/>
      <c r="CW135" s="178"/>
      <c r="CX135" s="178"/>
      <c r="CY135" s="178"/>
      <c r="CZ135" s="178"/>
      <c r="DA135" s="150"/>
    </row>
    <row r="136" spans="53:105" x14ac:dyDescent="0.2">
      <c r="BA136" s="518">
        <f t="shared" ca="1" si="19"/>
        <v>61</v>
      </c>
      <c r="BB136" s="174">
        <f t="shared" ca="1" si="20"/>
        <v>73</v>
      </c>
      <c r="BC136" s="525" t="e">
        <f ca="1">MATCH(BD136,OFFSET(Pinlist!$A$2,BC135*(BA136=BA135),0,$BM$23,1),0)+BC135*(BA136=BA135)</f>
        <v>#N/A</v>
      </c>
      <c r="BD136" s="167">
        <f t="shared" ca="1" si="21"/>
        <v>0</v>
      </c>
      <c r="BE136" s="191" t="e">
        <f ca="1">(OFFSET(Pinlist!$E$1,BC136,0)-$BN$16)*$BN$19</f>
        <v>#N/A</v>
      </c>
      <c r="BF136" s="192" t="e">
        <f ca="1">(OFFSET(Pinlist!$F$1,BC136,0)-$BO$16)*$BO$19</f>
        <v>#N/A</v>
      </c>
      <c r="BG136" s="1098" t="str">
        <f ca="1">IF(LEFT(BD136,2)="RF",OFFSET(Pinlist!$D$1,Chart!BC136,0)&amp;"_"&amp;OFFSET(Pinlist!$G$1,Chart!BC136,0),"")</f>
        <v/>
      </c>
      <c r="BH136" s="1098"/>
      <c r="BI136" s="178"/>
      <c r="BJ136" s="178"/>
      <c r="BK136" s="178"/>
      <c r="BL136" s="178"/>
      <c r="BM136" s="132"/>
      <c r="BN136" s="132"/>
      <c r="BO136" s="132"/>
      <c r="BP136" s="132"/>
      <c r="BQ136" s="196"/>
      <c r="BR136" s="196"/>
      <c r="BS136" s="196"/>
      <c r="BT136" s="196"/>
      <c r="BU136" s="196"/>
      <c r="BV136" s="196"/>
      <c r="BW136" s="178"/>
      <c r="BX136" s="196"/>
      <c r="BY136" s="196"/>
      <c r="BZ136" s="196"/>
      <c r="CA136" s="196"/>
      <c r="CB136" s="178"/>
      <c r="CC136" s="178"/>
      <c r="CD136" s="202"/>
      <c r="CE136" s="202"/>
      <c r="CF136" s="178"/>
      <c r="CG136" s="518"/>
      <c r="CH136" s="174"/>
      <c r="CI136" s="1098" t="e">
        <f ca="1">CI133</f>
        <v>#REF!</v>
      </c>
      <c r="CJ136" s="1098" t="e">
        <f ca="1">CJ135</f>
        <v>#REF!</v>
      </c>
      <c r="CK136" s="1098">
        <f ca="1">CK133</f>
        <v>0</v>
      </c>
      <c r="CL136" s="1098">
        <f ca="1">CL135</f>
        <v>0</v>
      </c>
      <c r="CM136" s="183"/>
      <c r="CN136" s="184"/>
      <c r="CO136" s="178"/>
      <c r="CP136" s="178"/>
      <c r="CQ136" s="178"/>
      <c r="CR136" s="178"/>
      <c r="CS136" s="178"/>
      <c r="CT136" s="178"/>
      <c r="CU136" s="178"/>
      <c r="CV136" s="178"/>
      <c r="CW136" s="178"/>
      <c r="CX136" s="178"/>
      <c r="CY136" s="178"/>
      <c r="CZ136" s="178"/>
      <c r="DA136" s="150"/>
    </row>
    <row r="137" spans="53:105" x14ac:dyDescent="0.2">
      <c r="BA137" s="518">
        <f t="shared" ca="1" si="19"/>
        <v>61</v>
      </c>
      <c r="BB137" s="174">
        <f t="shared" ca="1" si="20"/>
        <v>74</v>
      </c>
      <c r="BC137" s="525" t="e">
        <f ca="1">MATCH(BD137,OFFSET(Pinlist!$A$2,BC136*(BA137=BA136),0,$BM$23,1),0)+BC136*(BA137=BA136)</f>
        <v>#N/A</v>
      </c>
      <c r="BD137" s="167">
        <f t="shared" ca="1" si="21"/>
        <v>0</v>
      </c>
      <c r="BE137" s="191" t="e">
        <f ca="1">(OFFSET(Pinlist!$E$1,BC137,0)-$BN$16)*$BN$19</f>
        <v>#N/A</v>
      </c>
      <c r="BF137" s="192" t="e">
        <f ca="1">(OFFSET(Pinlist!$F$1,BC137,0)-$BO$16)*$BO$19</f>
        <v>#N/A</v>
      </c>
      <c r="BG137" s="1098" t="str">
        <f ca="1">IF(LEFT(BD137,2)="RF",OFFSET(Pinlist!$D$1,Chart!BC137,0)&amp;"_"&amp;OFFSET(Pinlist!$G$1,Chart!BC137,0),"")</f>
        <v/>
      </c>
      <c r="BH137" s="1098"/>
      <c r="BI137" s="178"/>
      <c r="BJ137" s="178"/>
      <c r="BK137" s="178"/>
      <c r="BL137" s="178"/>
      <c r="BM137" s="132"/>
      <c r="BN137" s="132"/>
      <c r="BO137" s="132"/>
      <c r="BP137" s="132"/>
      <c r="BQ137" s="196"/>
      <c r="BR137" s="196"/>
      <c r="BS137" s="196"/>
      <c r="BT137" s="196"/>
      <c r="BU137" s="196"/>
      <c r="BV137" s="196"/>
      <c r="BW137" s="178"/>
      <c r="BX137" s="196"/>
      <c r="BY137" s="196"/>
      <c r="BZ137" s="196"/>
      <c r="CA137" s="196"/>
      <c r="CB137" s="178"/>
      <c r="CC137" s="178"/>
      <c r="CD137" s="202"/>
      <c r="CE137" s="202"/>
      <c r="CF137" s="178"/>
      <c r="CG137" s="518"/>
      <c r="CH137" s="174"/>
      <c r="CI137" s="1098" t="e">
        <f ca="1">CI133</f>
        <v>#REF!</v>
      </c>
      <c r="CJ137" s="1098" t="e">
        <f ca="1">CJ133</f>
        <v>#REF!</v>
      </c>
      <c r="CK137" s="1098">
        <f ca="1">CK133</f>
        <v>0</v>
      </c>
      <c r="CL137" s="1098">
        <f ca="1">CL133</f>
        <v>0</v>
      </c>
      <c r="CM137" s="183"/>
      <c r="CN137" s="184"/>
      <c r="CO137" s="178"/>
      <c r="CP137" s="178"/>
      <c r="CQ137" s="178"/>
      <c r="CR137" s="178"/>
      <c r="CS137" s="178"/>
      <c r="CT137" s="178"/>
      <c r="CU137" s="178"/>
      <c r="CV137" s="178"/>
      <c r="CW137" s="178"/>
      <c r="CX137" s="178"/>
      <c r="CY137" s="178"/>
      <c r="CZ137" s="178"/>
      <c r="DA137" s="150"/>
    </row>
    <row r="138" spans="53:105" x14ac:dyDescent="0.2">
      <c r="BA138" s="518">
        <f t="shared" ca="1" si="19"/>
        <v>61</v>
      </c>
      <c r="BB138" s="174">
        <f t="shared" ca="1" si="20"/>
        <v>75</v>
      </c>
      <c r="BC138" s="525" t="e">
        <f ca="1">MATCH(BD138,OFFSET(Pinlist!$A$2,BC137*(BA138=BA137),0,$BM$23,1),0)+BC137*(BA138=BA137)</f>
        <v>#N/A</v>
      </c>
      <c r="BD138" s="167">
        <f t="shared" ca="1" si="21"/>
        <v>0</v>
      </c>
      <c r="BE138" s="191" t="e">
        <f ca="1">(OFFSET(Pinlist!$E$1,BC138,0)-$BN$16)*$BN$19</f>
        <v>#N/A</v>
      </c>
      <c r="BF138" s="192" t="e">
        <f ca="1">(OFFSET(Pinlist!$F$1,BC138,0)-$BO$16)*$BO$19</f>
        <v>#N/A</v>
      </c>
      <c r="BG138" s="1098" t="str">
        <f ca="1">IF(LEFT(BD138,2)="RF",OFFSET(Pinlist!$D$1,Chart!BC138,0)&amp;"_"&amp;OFFSET(Pinlist!$G$1,Chart!BC138,0),"")</f>
        <v/>
      </c>
      <c r="BH138" s="1098"/>
      <c r="BI138" s="178"/>
      <c r="BJ138" s="178"/>
      <c r="BK138" s="178"/>
      <c r="BL138" s="178"/>
      <c r="BM138" s="132"/>
      <c r="BN138" s="132"/>
      <c r="BO138" s="132"/>
      <c r="BP138" s="132"/>
      <c r="BQ138" s="196"/>
      <c r="BR138" s="196"/>
      <c r="BS138" s="196"/>
      <c r="BT138" s="196"/>
      <c r="BU138" s="196"/>
      <c r="BV138" s="196"/>
      <c r="BW138" s="178"/>
      <c r="BX138" s="196"/>
      <c r="BY138" s="196"/>
      <c r="BZ138" s="196"/>
      <c r="CA138" s="196"/>
      <c r="CB138" s="178"/>
      <c r="CC138" s="178"/>
      <c r="CD138" s="202"/>
      <c r="CE138" s="202"/>
      <c r="CF138" s="178"/>
      <c r="CG138" s="518">
        <f>CG133+1</f>
        <v>27</v>
      </c>
      <c r="CH138" s="174">
        <f>(CG138&lt;$CQ$25)*$CQ$40</f>
        <v>0</v>
      </c>
      <c r="CI138" s="1149" t="e">
        <f ca="1">$CH138*(CI133+$CQ$27+IF($CQ$19,$CQ$20,$CQ$26))</f>
        <v>#REF!</v>
      </c>
      <c r="CJ138" s="1149" t="e">
        <f ca="1">$CH138*(CJ133+$CR$27+IF($CQ$19,$CR$20,$CR$26))</f>
        <v>#REF!</v>
      </c>
      <c r="CK138" s="1149">
        <f ca="1">$CH138*(CK133+$CQ$27+IF($CQ$19,$CQ$20,$CQ$26))</f>
        <v>0</v>
      </c>
      <c r="CL138" s="1149">
        <f ca="1">$CH138*(CL133+$CR$27+IF($CQ$19,$CR$20,$CR$26))</f>
        <v>0</v>
      </c>
      <c r="CM138" s="1149" t="e">
        <f ca="1">IF(CH138,CM133+$CQ$27+IF($CQ$19,$CQ$20,$CQ$26),$CM$3)</f>
        <v>#N/A</v>
      </c>
      <c r="CN138" s="1244" t="e">
        <f ca="1">IF(CH138,CN133+$CR$27+IF($CQ$19,$CR$20,$CR$26),$CN$3)</f>
        <v>#N/A</v>
      </c>
      <c r="CO138" s="178"/>
      <c r="CP138" s="178"/>
      <c r="CQ138" s="178"/>
      <c r="CR138" s="178"/>
      <c r="CS138" s="178"/>
      <c r="CT138" s="178"/>
      <c r="CU138" s="178"/>
      <c r="CV138" s="178"/>
      <c r="CW138" s="178"/>
      <c r="CX138" s="178"/>
      <c r="CY138" s="178"/>
      <c r="CZ138" s="178"/>
      <c r="DA138" s="150"/>
    </row>
    <row r="139" spans="53:105" x14ac:dyDescent="0.2">
      <c r="BA139" s="518">
        <f t="shared" ca="1" si="19"/>
        <v>61</v>
      </c>
      <c r="BB139" s="174">
        <f t="shared" ca="1" si="20"/>
        <v>76</v>
      </c>
      <c r="BC139" s="525" t="e">
        <f ca="1">MATCH(BD139,OFFSET(Pinlist!$A$2,BC138*(BA139=BA138),0,$BM$23,1),0)+BC138*(BA139=BA138)</f>
        <v>#N/A</v>
      </c>
      <c r="BD139" s="167">
        <f t="shared" ca="1" si="21"/>
        <v>0</v>
      </c>
      <c r="BE139" s="191" t="e">
        <f ca="1">(OFFSET(Pinlist!$E$1,BC139,0)-$BN$16)*$BN$19</f>
        <v>#N/A</v>
      </c>
      <c r="BF139" s="192" t="e">
        <f ca="1">(OFFSET(Pinlist!$F$1,BC139,0)-$BO$16)*$BO$19</f>
        <v>#N/A</v>
      </c>
      <c r="BG139" s="1098" t="str">
        <f ca="1">IF(LEFT(BD139,2)="RF",OFFSET(Pinlist!$D$1,Chart!BC139,0)&amp;"_"&amp;OFFSET(Pinlist!$G$1,Chart!BC139,0),"")</f>
        <v/>
      </c>
      <c r="BH139" s="1098"/>
      <c r="BI139" s="178"/>
      <c r="BJ139" s="178"/>
      <c r="BK139" s="178"/>
      <c r="BL139" s="178"/>
      <c r="BM139" s="132"/>
      <c r="BN139" s="132"/>
      <c r="BO139" s="132"/>
      <c r="BP139" s="132"/>
      <c r="BQ139" s="196"/>
      <c r="BR139" s="196"/>
      <c r="BS139" s="196"/>
      <c r="BT139" s="196"/>
      <c r="BU139" s="196"/>
      <c r="BV139" s="196"/>
      <c r="BW139" s="178"/>
      <c r="BX139" s="196"/>
      <c r="BY139" s="196"/>
      <c r="BZ139" s="196"/>
      <c r="CA139" s="196"/>
      <c r="CB139" s="178"/>
      <c r="CC139" s="178"/>
      <c r="CD139" s="202"/>
      <c r="CE139" s="202"/>
      <c r="CF139" s="178"/>
      <c r="CG139" s="518"/>
      <c r="CH139" s="174"/>
      <c r="CI139" s="1098" t="e">
        <f ca="1">CH138*(CI138-DUT!$G$11)</f>
        <v>#REF!</v>
      </c>
      <c r="CJ139" s="1098" t="e">
        <f ca="1">CJ138</f>
        <v>#REF!</v>
      </c>
      <c r="CK139" s="1098">
        <f ca="1">CH138*(CK138-$BJ$5)</f>
        <v>0</v>
      </c>
      <c r="CL139" s="1098">
        <f ca="1">CL138</f>
        <v>0</v>
      </c>
      <c r="CM139" s="569"/>
      <c r="CN139" s="1246"/>
      <c r="CO139" s="178"/>
      <c r="CP139" s="178"/>
      <c r="CQ139" s="178"/>
      <c r="CR139" s="178"/>
      <c r="CS139" s="178"/>
      <c r="CT139" s="178"/>
      <c r="CU139" s="178"/>
      <c r="CV139" s="178"/>
      <c r="CW139" s="178"/>
      <c r="CX139" s="178"/>
      <c r="CY139" s="178"/>
      <c r="CZ139" s="178"/>
      <c r="DA139" s="150"/>
    </row>
    <row r="140" spans="53:105" x14ac:dyDescent="0.2">
      <c r="BA140" s="518">
        <f t="shared" ca="1" si="19"/>
        <v>61</v>
      </c>
      <c r="BB140" s="174">
        <f t="shared" ca="1" si="20"/>
        <v>77</v>
      </c>
      <c r="BC140" s="525" t="e">
        <f ca="1">MATCH(BD140,OFFSET(Pinlist!$A$2,BC139*(BA140=BA139),0,$BM$23,1),0)+BC139*(BA140=BA139)</f>
        <v>#N/A</v>
      </c>
      <c r="BD140" s="167">
        <f t="shared" ca="1" si="21"/>
        <v>0</v>
      </c>
      <c r="BE140" s="191" t="e">
        <f ca="1">(OFFSET(Pinlist!$E$1,BC140,0)-$BN$16)*$BN$19</f>
        <v>#N/A</v>
      </c>
      <c r="BF140" s="192" t="e">
        <f ca="1">(OFFSET(Pinlist!$F$1,BC140,0)-$BO$16)*$BO$19</f>
        <v>#N/A</v>
      </c>
      <c r="BG140" s="1098" t="str">
        <f ca="1">IF(LEFT(BD140,2)="RF",OFFSET(Pinlist!$D$1,Chart!BC140,0)&amp;"_"&amp;OFFSET(Pinlist!$G$1,Chart!BC140,0),"")</f>
        <v/>
      </c>
      <c r="BH140" s="1098"/>
      <c r="BI140" s="178"/>
      <c r="BJ140" s="178"/>
      <c r="BK140" s="178"/>
      <c r="BL140" s="178"/>
      <c r="BM140" s="132"/>
      <c r="BN140" s="132"/>
      <c r="BO140" s="132"/>
      <c r="BP140" s="132"/>
      <c r="BQ140" s="196"/>
      <c r="BR140" s="196"/>
      <c r="BS140" s="196"/>
      <c r="BT140" s="196"/>
      <c r="BU140" s="196"/>
      <c r="BV140" s="196"/>
      <c r="BW140" s="178"/>
      <c r="BX140" s="196"/>
      <c r="BY140" s="196"/>
      <c r="BZ140" s="196"/>
      <c r="CA140" s="196"/>
      <c r="CB140" s="178"/>
      <c r="CC140" s="178"/>
      <c r="CD140" s="202"/>
      <c r="CE140" s="202"/>
      <c r="CF140" s="178"/>
      <c r="CG140" s="518"/>
      <c r="CH140" s="174"/>
      <c r="CI140" s="1098" t="e">
        <f ca="1">CI139</f>
        <v>#REF!</v>
      </c>
      <c r="CJ140" s="1098" t="e">
        <f ca="1">CH138*(CJ139-DUT!$J$11)</f>
        <v>#REF!</v>
      </c>
      <c r="CK140" s="1098">
        <f ca="1">CK139</f>
        <v>0</v>
      </c>
      <c r="CL140" s="1098">
        <f ca="1">CH138*(CL139-$BK$5)</f>
        <v>0</v>
      </c>
      <c r="CM140" s="569"/>
      <c r="CN140" s="1246"/>
      <c r="CO140" s="178"/>
      <c r="CP140" s="178"/>
      <c r="CQ140" s="178"/>
      <c r="CR140" s="178"/>
      <c r="CS140" s="178"/>
      <c r="CT140" s="178"/>
      <c r="CU140" s="178"/>
      <c r="CV140" s="178"/>
      <c r="CW140" s="178"/>
      <c r="CX140" s="178"/>
      <c r="CY140" s="178"/>
      <c r="CZ140" s="178"/>
      <c r="DA140" s="150"/>
    </row>
    <row r="141" spans="53:105" x14ac:dyDescent="0.2">
      <c r="BA141" s="518">
        <f t="shared" ca="1" si="19"/>
        <v>61</v>
      </c>
      <c r="BB141" s="174">
        <f t="shared" ca="1" si="20"/>
        <v>78</v>
      </c>
      <c r="BC141" s="525" t="e">
        <f ca="1">MATCH(BD141,OFFSET(Pinlist!$A$2,BC140*(BA141=BA140),0,$BM$23,1),0)+BC140*(BA141=BA140)</f>
        <v>#N/A</v>
      </c>
      <c r="BD141" s="167">
        <f t="shared" ca="1" si="21"/>
        <v>0</v>
      </c>
      <c r="BE141" s="191" t="e">
        <f ca="1">(OFFSET(Pinlist!$E$1,BC141,0)-$BN$16)*$BN$19</f>
        <v>#N/A</v>
      </c>
      <c r="BF141" s="192" t="e">
        <f ca="1">(OFFSET(Pinlist!$F$1,BC141,0)-$BO$16)*$BO$19</f>
        <v>#N/A</v>
      </c>
      <c r="BG141" s="1098" t="str">
        <f ca="1">IF(LEFT(BD141,2)="RF",OFFSET(Pinlist!$D$1,Chart!BC141,0)&amp;"_"&amp;OFFSET(Pinlist!$G$1,Chart!BC141,0),"")</f>
        <v/>
      </c>
      <c r="BH141" s="1098"/>
      <c r="BI141" s="178"/>
      <c r="BJ141" s="178"/>
      <c r="BK141" s="178"/>
      <c r="BL141" s="178"/>
      <c r="BM141" s="132"/>
      <c r="BN141" s="132"/>
      <c r="BO141" s="132"/>
      <c r="BP141" s="132"/>
      <c r="BQ141" s="196"/>
      <c r="BR141" s="196"/>
      <c r="BS141" s="196"/>
      <c r="BT141" s="196"/>
      <c r="BU141" s="196"/>
      <c r="BV141" s="196"/>
      <c r="BW141" s="178"/>
      <c r="BX141" s="196"/>
      <c r="BY141" s="196"/>
      <c r="BZ141" s="196"/>
      <c r="CA141" s="196"/>
      <c r="CB141" s="178"/>
      <c r="CC141" s="178"/>
      <c r="CD141" s="202"/>
      <c r="CE141" s="202"/>
      <c r="CF141" s="178"/>
      <c r="CG141" s="518"/>
      <c r="CH141" s="174"/>
      <c r="CI141" s="1098" t="e">
        <f ca="1">CI138</f>
        <v>#REF!</v>
      </c>
      <c r="CJ141" s="1098" t="e">
        <f ca="1">CJ140</f>
        <v>#REF!</v>
      </c>
      <c r="CK141" s="1098">
        <f ca="1">CK138</f>
        <v>0</v>
      </c>
      <c r="CL141" s="1098">
        <f ca="1">CL140</f>
        <v>0</v>
      </c>
      <c r="CM141" s="569"/>
      <c r="CN141" s="1246"/>
      <c r="CO141" s="178"/>
      <c r="CP141" s="178"/>
      <c r="CQ141" s="178"/>
      <c r="CR141" s="178"/>
      <c r="CS141" s="178"/>
      <c r="CT141" s="178"/>
      <c r="CU141" s="178"/>
      <c r="CV141" s="178"/>
      <c r="CW141" s="178"/>
      <c r="CX141" s="178"/>
      <c r="CY141" s="178"/>
      <c r="CZ141" s="178"/>
      <c r="DA141" s="150"/>
    </row>
    <row r="142" spans="53:105" x14ac:dyDescent="0.2">
      <c r="BA142" s="518">
        <f t="shared" ca="1" si="19"/>
        <v>61</v>
      </c>
      <c r="BB142" s="174">
        <f t="shared" ca="1" si="20"/>
        <v>79</v>
      </c>
      <c r="BC142" s="525" t="e">
        <f ca="1">MATCH(BD142,OFFSET(Pinlist!$A$2,BC141*(BA142=BA141),0,$BM$23,1),0)+BC141*(BA142=BA141)</f>
        <v>#N/A</v>
      </c>
      <c r="BD142" s="167">
        <f t="shared" ca="1" si="21"/>
        <v>0</v>
      </c>
      <c r="BE142" s="191" t="e">
        <f ca="1">(OFFSET(Pinlist!$E$1,BC142,0)-$BN$16)*$BN$19</f>
        <v>#N/A</v>
      </c>
      <c r="BF142" s="192" t="e">
        <f ca="1">(OFFSET(Pinlist!$F$1,BC142,0)-$BO$16)*$BO$19</f>
        <v>#N/A</v>
      </c>
      <c r="BG142" s="1098" t="str">
        <f ca="1">IF(LEFT(BD142,2)="RF",OFFSET(Pinlist!$D$1,Chart!BC142,0)&amp;"_"&amp;OFFSET(Pinlist!$G$1,Chart!BC142,0),"")</f>
        <v/>
      </c>
      <c r="BH142" s="1098"/>
      <c r="BI142" s="178"/>
      <c r="BJ142" s="178"/>
      <c r="BK142" s="178"/>
      <c r="BL142" s="178"/>
      <c r="BM142" s="132"/>
      <c r="BN142" s="132"/>
      <c r="BO142" s="132"/>
      <c r="BP142" s="132"/>
      <c r="BQ142" s="196"/>
      <c r="BR142" s="196"/>
      <c r="BS142" s="196"/>
      <c r="BT142" s="196"/>
      <c r="BU142" s="196"/>
      <c r="BV142" s="196"/>
      <c r="BW142" s="178"/>
      <c r="BX142" s="196"/>
      <c r="BY142" s="196"/>
      <c r="BZ142" s="196"/>
      <c r="CA142" s="196"/>
      <c r="CB142" s="178"/>
      <c r="CC142" s="178"/>
      <c r="CD142" s="202"/>
      <c r="CE142" s="202"/>
      <c r="CF142" s="178"/>
      <c r="CG142" s="518"/>
      <c r="CH142" s="174"/>
      <c r="CI142" s="1098" t="e">
        <f ca="1">CI138</f>
        <v>#REF!</v>
      </c>
      <c r="CJ142" s="1098" t="e">
        <f ca="1">CJ138</f>
        <v>#REF!</v>
      </c>
      <c r="CK142" s="1098">
        <f ca="1">CK138</f>
        <v>0</v>
      </c>
      <c r="CL142" s="1098">
        <f ca="1">CL138</f>
        <v>0</v>
      </c>
      <c r="CM142" s="569"/>
      <c r="CN142" s="1246"/>
      <c r="CO142" s="178"/>
      <c r="CP142" s="178"/>
      <c r="CQ142" s="178"/>
      <c r="CR142" s="178"/>
      <c r="CS142" s="178"/>
      <c r="CT142" s="178"/>
      <c r="CU142" s="178"/>
      <c r="CV142" s="178"/>
      <c r="CW142" s="178"/>
      <c r="CX142" s="178"/>
      <c r="CY142" s="178"/>
      <c r="CZ142" s="178"/>
      <c r="DA142" s="150"/>
    </row>
    <row r="143" spans="53:105" x14ac:dyDescent="0.2">
      <c r="BA143" s="518">
        <f t="shared" ca="1" si="19"/>
        <v>61</v>
      </c>
      <c r="BB143" s="174">
        <f t="shared" ca="1" si="20"/>
        <v>80</v>
      </c>
      <c r="BC143" s="525" t="e">
        <f ca="1">MATCH(BD143,OFFSET(Pinlist!$A$2,BC142*(BA143=BA142),0,$BM$23,1),0)+BC142*(BA143=BA142)</f>
        <v>#N/A</v>
      </c>
      <c r="BD143" s="167">
        <f t="shared" ca="1" si="21"/>
        <v>0</v>
      </c>
      <c r="BE143" s="191" t="e">
        <f ca="1">(OFFSET(Pinlist!$E$1,BC143,0)-$BN$16)*$BN$19</f>
        <v>#N/A</v>
      </c>
      <c r="BF143" s="192" t="e">
        <f ca="1">(OFFSET(Pinlist!$F$1,BC143,0)-$BO$16)*$BO$19</f>
        <v>#N/A</v>
      </c>
      <c r="BG143" s="1098" t="str">
        <f ca="1">IF(LEFT(BD143,2)="RF",OFFSET(Pinlist!$D$1,Chart!BC143,0)&amp;"_"&amp;OFFSET(Pinlist!$G$1,Chart!BC143,0),"")</f>
        <v/>
      </c>
      <c r="BH143" s="1098"/>
      <c r="BI143" s="178"/>
      <c r="BJ143" s="178"/>
      <c r="BK143" s="178"/>
      <c r="BL143" s="178"/>
      <c r="BM143" s="132"/>
      <c r="BN143" s="132"/>
      <c r="BO143" s="132"/>
      <c r="BP143" s="132"/>
      <c r="BQ143" s="196"/>
      <c r="BR143" s="196"/>
      <c r="BS143" s="196"/>
      <c r="BT143" s="196"/>
      <c r="BU143" s="196"/>
      <c r="BV143" s="196"/>
      <c r="BW143" s="178"/>
      <c r="BX143" s="196"/>
      <c r="BY143" s="196"/>
      <c r="BZ143" s="196"/>
      <c r="CA143" s="196"/>
      <c r="CB143" s="178"/>
      <c r="CC143" s="178"/>
      <c r="CD143" s="202"/>
      <c r="CE143" s="202"/>
      <c r="CF143" s="178"/>
      <c r="CG143" s="518">
        <f>CG138+1</f>
        <v>28</v>
      </c>
      <c r="CH143" s="174">
        <f>(CG143&lt;$CQ$25)*$CQ$40</f>
        <v>0</v>
      </c>
      <c r="CI143" s="1150" t="e">
        <f ca="1">$CH143*IF($CQ$19,CI133+$CQ$26,CI138-$CQ$27+$CQ$26)</f>
        <v>#REF!</v>
      </c>
      <c r="CJ143" s="1150" t="e">
        <f ca="1">$CH143*IF($CQ$19,CJ133+$CR$26,CJ138-$CR$27+$CR$26)</f>
        <v>#REF!</v>
      </c>
      <c r="CK143" s="1150">
        <f ca="1">$CH143*IF($CQ$19,CK133+$CQ$26,CK138-$CQ$27+$CQ$26)</f>
        <v>0</v>
      </c>
      <c r="CL143" s="1150">
        <f ca="1">$CH143*IF($CQ$19,CL133+$CR$26,CL138-$CR$27+$CR$26)</f>
        <v>0</v>
      </c>
      <c r="CM143" s="1150" t="e">
        <f ca="1">IF(CH143,IF($CQ$19,CM133+$CQ$26,CM138-$CQ$27+$CQ$26),$CM$3)</f>
        <v>#N/A</v>
      </c>
      <c r="CN143" s="1245" t="e">
        <f ca="1">IF(CH143,IF($CQ$19,CN133+$CR$26,CN138-$CR$27+$CR$26),$CN$3)</f>
        <v>#N/A</v>
      </c>
      <c r="CO143" s="178"/>
      <c r="CP143" s="178"/>
      <c r="CQ143" s="178"/>
      <c r="CR143" s="178"/>
      <c r="CS143" s="178"/>
      <c r="CT143" s="178"/>
      <c r="CU143" s="178"/>
      <c r="CV143" s="178"/>
      <c r="CW143" s="178"/>
      <c r="CX143" s="178"/>
      <c r="CY143" s="178"/>
      <c r="CZ143" s="178"/>
      <c r="DA143" s="150"/>
    </row>
    <row r="144" spans="53:105" x14ac:dyDescent="0.2">
      <c r="BA144" s="518">
        <f t="shared" ca="1" si="19"/>
        <v>61</v>
      </c>
      <c r="BB144" s="174">
        <f t="shared" ca="1" si="20"/>
        <v>81</v>
      </c>
      <c r="BC144" s="525" t="e">
        <f ca="1">MATCH(BD144,OFFSET(Pinlist!$A$2,BC143*(BA144=BA143),0,$BM$23,1),0)+BC143*(BA144=BA143)</f>
        <v>#N/A</v>
      </c>
      <c r="BD144" s="167">
        <f t="shared" ca="1" si="21"/>
        <v>0</v>
      </c>
      <c r="BE144" s="191" t="e">
        <f ca="1">(OFFSET(Pinlist!$E$1,BC144,0)-$BN$16)*$BN$19</f>
        <v>#N/A</v>
      </c>
      <c r="BF144" s="192" t="e">
        <f ca="1">(OFFSET(Pinlist!$F$1,BC144,0)-$BO$16)*$BO$19</f>
        <v>#N/A</v>
      </c>
      <c r="BG144" s="1098" t="str">
        <f ca="1">IF(LEFT(BD144,2)="RF",OFFSET(Pinlist!$D$1,Chart!BC144,0)&amp;"_"&amp;OFFSET(Pinlist!$G$1,Chart!BC144,0),"")</f>
        <v/>
      </c>
      <c r="BH144" s="1098"/>
      <c r="BI144" s="178"/>
      <c r="BJ144" s="178"/>
      <c r="BK144" s="178"/>
      <c r="BL144" s="178"/>
      <c r="BM144" s="132"/>
      <c r="BN144" s="132"/>
      <c r="BO144" s="132"/>
      <c r="BP144" s="132"/>
      <c r="BQ144" s="196"/>
      <c r="BR144" s="196"/>
      <c r="BS144" s="196"/>
      <c r="BT144" s="196"/>
      <c r="BU144" s="196"/>
      <c r="BV144" s="196"/>
      <c r="BW144" s="178"/>
      <c r="BX144" s="196"/>
      <c r="BY144" s="196"/>
      <c r="BZ144" s="196"/>
      <c r="CA144" s="196"/>
      <c r="CB144" s="178"/>
      <c r="CC144" s="178"/>
      <c r="CD144" s="202"/>
      <c r="CE144" s="202"/>
      <c r="CF144" s="178"/>
      <c r="CG144" s="518"/>
      <c r="CH144" s="174"/>
      <c r="CI144" s="1098" t="e">
        <f ca="1">CH143*(CI143-DUT!$G$11)</f>
        <v>#REF!</v>
      </c>
      <c r="CJ144" s="1098" t="e">
        <f ca="1">CJ143</f>
        <v>#REF!</v>
      </c>
      <c r="CK144" s="1098">
        <f ca="1">CH143*(CK143-$BJ$5)</f>
        <v>0</v>
      </c>
      <c r="CL144" s="1098">
        <f ca="1">CL143</f>
        <v>0</v>
      </c>
      <c r="CM144" s="183"/>
      <c r="CN144" s="184"/>
      <c r="CO144" s="178"/>
      <c r="CP144" s="178"/>
      <c r="CQ144" s="178"/>
      <c r="CR144" s="178"/>
      <c r="CS144" s="178"/>
      <c r="CT144" s="178"/>
      <c r="CU144" s="178"/>
      <c r="CV144" s="178"/>
      <c r="CW144" s="178"/>
      <c r="CX144" s="178"/>
      <c r="CY144" s="178"/>
      <c r="CZ144" s="178"/>
      <c r="DA144" s="150"/>
    </row>
    <row r="145" spans="53:105" x14ac:dyDescent="0.2">
      <c r="BA145" s="518">
        <f t="shared" ca="1" si="19"/>
        <v>61</v>
      </c>
      <c r="BB145" s="174">
        <f t="shared" ca="1" si="20"/>
        <v>82</v>
      </c>
      <c r="BC145" s="525" t="e">
        <f ca="1">MATCH(BD145,OFFSET(Pinlist!$A$2,BC144*(BA145=BA144),0,$BM$23,1),0)+BC144*(BA145=BA144)</f>
        <v>#N/A</v>
      </c>
      <c r="BD145" s="167">
        <f t="shared" ca="1" si="21"/>
        <v>0</v>
      </c>
      <c r="BE145" s="191" t="e">
        <f ca="1">(OFFSET(Pinlist!$E$1,BC145,0)-$BN$16)*$BN$19</f>
        <v>#N/A</v>
      </c>
      <c r="BF145" s="192" t="e">
        <f ca="1">(OFFSET(Pinlist!$F$1,BC145,0)-$BO$16)*$BO$19</f>
        <v>#N/A</v>
      </c>
      <c r="BG145" s="1098" t="str">
        <f ca="1">IF(LEFT(BD145,2)="RF",OFFSET(Pinlist!$D$1,Chart!BC145,0)&amp;"_"&amp;OFFSET(Pinlist!$G$1,Chart!BC145,0),"")</f>
        <v/>
      </c>
      <c r="BH145" s="1098"/>
      <c r="BI145" s="178"/>
      <c r="BJ145" s="178"/>
      <c r="BK145" s="178"/>
      <c r="BL145" s="178"/>
      <c r="BM145" s="132"/>
      <c r="BN145" s="132"/>
      <c r="BO145" s="132"/>
      <c r="BP145" s="132"/>
      <c r="BQ145" s="196"/>
      <c r="BR145" s="196"/>
      <c r="BS145" s="196"/>
      <c r="BT145" s="196"/>
      <c r="BU145" s="196"/>
      <c r="BV145" s="196"/>
      <c r="BW145" s="178"/>
      <c r="BX145" s="196"/>
      <c r="BY145" s="196"/>
      <c r="BZ145" s="196"/>
      <c r="CA145" s="196"/>
      <c r="CB145" s="178"/>
      <c r="CC145" s="178"/>
      <c r="CD145" s="202"/>
      <c r="CE145" s="202"/>
      <c r="CF145" s="178"/>
      <c r="CG145" s="518"/>
      <c r="CH145" s="174"/>
      <c r="CI145" s="1098" t="e">
        <f ca="1">CI144</f>
        <v>#REF!</v>
      </c>
      <c r="CJ145" s="1098" t="e">
        <f ca="1">CH143*(CJ144-DUT!$J$11)</f>
        <v>#REF!</v>
      </c>
      <c r="CK145" s="1098">
        <f ca="1">CK144</f>
        <v>0</v>
      </c>
      <c r="CL145" s="1098">
        <f ca="1">CH143*(CL144-$BK$5)</f>
        <v>0</v>
      </c>
      <c r="CM145" s="183"/>
      <c r="CN145" s="184"/>
      <c r="CO145" s="178"/>
      <c r="CP145" s="178"/>
      <c r="CQ145" s="178"/>
      <c r="CR145" s="178"/>
      <c r="CS145" s="178"/>
      <c r="CT145" s="178"/>
      <c r="CU145" s="178"/>
      <c r="CV145" s="178"/>
      <c r="CW145" s="178"/>
      <c r="CX145" s="178"/>
      <c r="CY145" s="178"/>
      <c r="CZ145" s="178"/>
      <c r="DA145" s="150"/>
    </row>
    <row r="146" spans="53:105" x14ac:dyDescent="0.2">
      <c r="BA146" s="518">
        <f t="shared" ca="1" si="19"/>
        <v>61</v>
      </c>
      <c r="BB146" s="174">
        <f t="shared" ca="1" si="20"/>
        <v>83</v>
      </c>
      <c r="BC146" s="525" t="e">
        <f ca="1">MATCH(BD146,OFFSET(Pinlist!$A$2,BC145*(BA146=BA145),0,$BM$23,1),0)+BC145*(BA146=BA145)</f>
        <v>#N/A</v>
      </c>
      <c r="BD146" s="167">
        <f t="shared" ca="1" si="21"/>
        <v>0</v>
      </c>
      <c r="BE146" s="191" t="e">
        <f ca="1">(OFFSET(Pinlist!$E$1,BC146,0)-$BN$16)*$BN$19</f>
        <v>#N/A</v>
      </c>
      <c r="BF146" s="192" t="e">
        <f ca="1">(OFFSET(Pinlist!$F$1,BC146,0)-$BO$16)*$BO$19</f>
        <v>#N/A</v>
      </c>
      <c r="BG146" s="1098" t="str">
        <f ca="1">IF(LEFT(BD146,2)="RF",OFFSET(Pinlist!$D$1,Chart!BC146,0)&amp;"_"&amp;OFFSET(Pinlist!$G$1,Chart!BC146,0),"")</f>
        <v/>
      </c>
      <c r="BH146" s="1098"/>
      <c r="BI146" s="178"/>
      <c r="BJ146" s="178"/>
      <c r="BK146" s="178"/>
      <c r="BL146" s="178"/>
      <c r="BM146" s="132"/>
      <c r="BN146" s="132"/>
      <c r="BO146" s="132"/>
      <c r="BP146" s="132"/>
      <c r="BQ146" s="196"/>
      <c r="BR146" s="196"/>
      <c r="BS146" s="196"/>
      <c r="BT146" s="196"/>
      <c r="BU146" s="196"/>
      <c r="BV146" s="196"/>
      <c r="BW146" s="178"/>
      <c r="BX146" s="196"/>
      <c r="BY146" s="196"/>
      <c r="BZ146" s="196"/>
      <c r="CA146" s="196"/>
      <c r="CB146" s="178"/>
      <c r="CC146" s="178"/>
      <c r="CD146" s="202"/>
      <c r="CE146" s="202"/>
      <c r="CF146" s="178"/>
      <c r="CG146" s="518"/>
      <c r="CH146" s="174"/>
      <c r="CI146" s="1098" t="e">
        <f ca="1">CI143</f>
        <v>#REF!</v>
      </c>
      <c r="CJ146" s="1098" t="e">
        <f ca="1">CJ145</f>
        <v>#REF!</v>
      </c>
      <c r="CK146" s="1098">
        <f ca="1">CK143</f>
        <v>0</v>
      </c>
      <c r="CL146" s="1098">
        <f ca="1">CL145</f>
        <v>0</v>
      </c>
      <c r="CM146" s="183"/>
      <c r="CN146" s="184"/>
      <c r="CO146" s="178"/>
      <c r="CP146" s="178"/>
      <c r="CQ146" s="178"/>
      <c r="CR146" s="178"/>
      <c r="CS146" s="178"/>
      <c r="CT146" s="178"/>
      <c r="CU146" s="178"/>
      <c r="CV146" s="178"/>
      <c r="CW146" s="178"/>
      <c r="CX146" s="178"/>
      <c r="CY146" s="178"/>
      <c r="CZ146" s="178"/>
      <c r="DA146" s="150"/>
    </row>
    <row r="147" spans="53:105" x14ac:dyDescent="0.2">
      <c r="BA147" s="518">
        <f t="shared" ca="1" si="19"/>
        <v>61</v>
      </c>
      <c r="BB147" s="174">
        <f t="shared" ca="1" si="20"/>
        <v>84</v>
      </c>
      <c r="BC147" s="525" t="e">
        <f ca="1">MATCH(BD147,OFFSET(Pinlist!$A$2,BC146*(BA147=BA146),0,$BM$23,1),0)+BC146*(BA147=BA146)</f>
        <v>#N/A</v>
      </c>
      <c r="BD147" s="167">
        <f t="shared" ca="1" si="21"/>
        <v>0</v>
      </c>
      <c r="BE147" s="191" t="e">
        <f ca="1">(OFFSET(Pinlist!$E$1,BC147,0)-$BN$16)*$BN$19</f>
        <v>#N/A</v>
      </c>
      <c r="BF147" s="192" t="e">
        <f ca="1">(OFFSET(Pinlist!$F$1,BC147,0)-$BO$16)*$BO$19</f>
        <v>#N/A</v>
      </c>
      <c r="BG147" s="1098" t="str">
        <f ca="1">IF(LEFT(BD147,2)="RF",OFFSET(Pinlist!$D$1,Chart!BC147,0)&amp;"_"&amp;OFFSET(Pinlist!$G$1,Chart!BC147,0),"")</f>
        <v/>
      </c>
      <c r="BH147" s="1098"/>
      <c r="BI147" s="178"/>
      <c r="BJ147" s="178"/>
      <c r="BK147" s="178"/>
      <c r="BL147" s="178"/>
      <c r="BM147" s="132"/>
      <c r="BN147" s="132"/>
      <c r="BO147" s="132"/>
      <c r="BP147" s="132"/>
      <c r="BQ147" s="196"/>
      <c r="BR147" s="196"/>
      <c r="BS147" s="196"/>
      <c r="BT147" s="196"/>
      <c r="BU147" s="196"/>
      <c r="BV147" s="196"/>
      <c r="BW147" s="178"/>
      <c r="BX147" s="196"/>
      <c r="BY147" s="196"/>
      <c r="BZ147" s="196"/>
      <c r="CA147" s="196"/>
      <c r="CB147" s="178"/>
      <c r="CC147" s="178"/>
      <c r="CD147" s="202"/>
      <c r="CE147" s="202"/>
      <c r="CF147" s="178"/>
      <c r="CG147" s="518"/>
      <c r="CH147" s="174"/>
      <c r="CI147" s="1098" t="e">
        <f ca="1">CI143</f>
        <v>#REF!</v>
      </c>
      <c r="CJ147" s="1098" t="e">
        <f ca="1">CJ143</f>
        <v>#REF!</v>
      </c>
      <c r="CK147" s="1098">
        <f ca="1">CK143</f>
        <v>0</v>
      </c>
      <c r="CL147" s="1098">
        <f ca="1">CL143</f>
        <v>0</v>
      </c>
      <c r="CM147" s="183"/>
      <c r="CN147" s="184"/>
      <c r="CO147" s="178"/>
      <c r="CP147" s="178"/>
      <c r="CQ147" s="178"/>
      <c r="CR147" s="178"/>
      <c r="CS147" s="178"/>
      <c r="CT147" s="178"/>
      <c r="CU147" s="178"/>
      <c r="CV147" s="178"/>
      <c r="CW147" s="178"/>
      <c r="CX147" s="178"/>
      <c r="CY147" s="178"/>
      <c r="CZ147" s="178"/>
      <c r="DA147" s="150"/>
    </row>
    <row r="148" spans="53:105" x14ac:dyDescent="0.2">
      <c r="BA148" s="518">
        <f t="shared" ca="1" si="19"/>
        <v>61</v>
      </c>
      <c r="BB148" s="174">
        <f t="shared" ca="1" si="20"/>
        <v>85</v>
      </c>
      <c r="BC148" s="525" t="e">
        <f ca="1">MATCH(BD148,OFFSET(Pinlist!$A$2,BC147*(BA148=BA147),0,$BM$23,1),0)+BC147*(BA148=BA147)</f>
        <v>#N/A</v>
      </c>
      <c r="BD148" s="167">
        <f t="shared" ca="1" si="21"/>
        <v>0</v>
      </c>
      <c r="BE148" s="191" t="e">
        <f ca="1">(OFFSET(Pinlist!$E$1,BC148,0)-$BN$16)*$BN$19</f>
        <v>#N/A</v>
      </c>
      <c r="BF148" s="192" t="e">
        <f ca="1">(OFFSET(Pinlist!$F$1,BC148,0)-$BO$16)*$BO$19</f>
        <v>#N/A</v>
      </c>
      <c r="BG148" s="1098" t="str">
        <f ca="1">IF(LEFT(BD148,2)="RF",OFFSET(Pinlist!$D$1,Chart!BC148,0)&amp;"_"&amp;OFFSET(Pinlist!$G$1,Chart!BC148,0),"")</f>
        <v/>
      </c>
      <c r="BH148" s="1098"/>
      <c r="BI148" s="178"/>
      <c r="BJ148" s="178"/>
      <c r="BK148" s="178"/>
      <c r="BL148" s="178"/>
      <c r="BM148" s="132"/>
      <c r="BN148" s="132"/>
      <c r="BO148" s="132"/>
      <c r="BP148" s="132"/>
      <c r="BQ148" s="196"/>
      <c r="BR148" s="196"/>
      <c r="BS148" s="196"/>
      <c r="BT148" s="196"/>
      <c r="BU148" s="196"/>
      <c r="BV148" s="196"/>
      <c r="BW148" s="178"/>
      <c r="BX148" s="196"/>
      <c r="BY148" s="196"/>
      <c r="BZ148" s="196"/>
      <c r="CA148" s="196"/>
      <c r="CB148" s="178"/>
      <c r="CC148" s="178"/>
      <c r="CD148" s="202"/>
      <c r="CE148" s="202"/>
      <c r="CF148" s="178"/>
      <c r="CG148" s="518">
        <f>CG143+1</f>
        <v>29</v>
      </c>
      <c r="CH148" s="174">
        <f>(CG148&lt;$CQ$25)*$CQ$40</f>
        <v>0</v>
      </c>
      <c r="CI148" s="1149" t="e">
        <f ca="1">$CH148*(CI143+$CQ$27+IF($CQ$19,$CQ$20,$CQ$26))</f>
        <v>#REF!</v>
      </c>
      <c r="CJ148" s="1149" t="e">
        <f ca="1">$CH148*(CJ143+$CR$27+IF($CQ$19,$CR$20,$CR$26))</f>
        <v>#REF!</v>
      </c>
      <c r="CK148" s="1149">
        <f ca="1">$CH148*(CK143+$CQ$27+IF($CQ$19,$CQ$20,$CQ$26))</f>
        <v>0</v>
      </c>
      <c r="CL148" s="1149">
        <f ca="1">$CH148*(CL143+$CR$27+IF($CQ$19,$CR$20,$CR$26))</f>
        <v>0</v>
      </c>
      <c r="CM148" s="1149" t="e">
        <f ca="1">IF(CH148,CM143+$CQ$27+IF($CQ$19,$CQ$20,$CQ$26),$CM$3)</f>
        <v>#N/A</v>
      </c>
      <c r="CN148" s="1244" t="e">
        <f ca="1">IF(CH148,CN143+$CR$27+IF($CQ$19,$CR$20,$CR$26),$CN$3)</f>
        <v>#N/A</v>
      </c>
      <c r="CO148" s="178"/>
      <c r="CP148" s="178"/>
      <c r="CQ148" s="178"/>
      <c r="CR148" s="178"/>
      <c r="CS148" s="178"/>
      <c r="CT148" s="178"/>
      <c r="CU148" s="178"/>
      <c r="CV148" s="178"/>
      <c r="CW148" s="178"/>
      <c r="CX148" s="178"/>
      <c r="CY148" s="178"/>
      <c r="CZ148" s="178"/>
      <c r="DA148" s="150"/>
    </row>
    <row r="149" spans="53:105" x14ac:dyDescent="0.2">
      <c r="BA149" s="518">
        <f t="shared" ca="1" si="19"/>
        <v>61</v>
      </c>
      <c r="BB149" s="174">
        <f t="shared" ca="1" si="20"/>
        <v>86</v>
      </c>
      <c r="BC149" s="525" t="e">
        <f ca="1">MATCH(BD149,OFFSET(Pinlist!$A$2,BC148*(BA149=BA148),0,$BM$23,1),0)+BC148*(BA149=BA148)</f>
        <v>#N/A</v>
      </c>
      <c r="BD149" s="167">
        <f t="shared" ca="1" si="21"/>
        <v>0</v>
      </c>
      <c r="BE149" s="191" t="e">
        <f ca="1">(OFFSET(Pinlist!$E$1,BC149,0)-$BN$16)*$BN$19</f>
        <v>#N/A</v>
      </c>
      <c r="BF149" s="192" t="e">
        <f ca="1">(OFFSET(Pinlist!$F$1,BC149,0)-$BO$16)*$BO$19</f>
        <v>#N/A</v>
      </c>
      <c r="BG149" s="1098" t="str">
        <f ca="1">IF(LEFT(BD149,2)="RF",OFFSET(Pinlist!$D$1,Chart!BC149,0)&amp;"_"&amp;OFFSET(Pinlist!$G$1,Chart!BC149,0),"")</f>
        <v/>
      </c>
      <c r="BH149" s="1098"/>
      <c r="BI149" s="178"/>
      <c r="BJ149" s="178"/>
      <c r="BK149" s="178"/>
      <c r="BL149" s="178"/>
      <c r="BM149" s="132"/>
      <c r="BN149" s="132"/>
      <c r="BO149" s="132"/>
      <c r="BP149" s="132"/>
      <c r="BQ149" s="196"/>
      <c r="BR149" s="196"/>
      <c r="BS149" s="196"/>
      <c r="BT149" s="196"/>
      <c r="BU149" s="196"/>
      <c r="BV149" s="196"/>
      <c r="BW149" s="178"/>
      <c r="BX149" s="196"/>
      <c r="BY149" s="196"/>
      <c r="BZ149" s="196"/>
      <c r="CA149" s="196"/>
      <c r="CB149" s="178"/>
      <c r="CC149" s="178"/>
      <c r="CD149" s="202"/>
      <c r="CE149" s="202"/>
      <c r="CF149" s="178"/>
      <c r="CG149" s="518"/>
      <c r="CH149" s="174"/>
      <c r="CI149" s="1098" t="e">
        <f ca="1">CH148*(CI148-DUT!$G$11)</f>
        <v>#REF!</v>
      </c>
      <c r="CJ149" s="1098" t="e">
        <f ca="1">CJ148</f>
        <v>#REF!</v>
      </c>
      <c r="CK149" s="1098">
        <f ca="1">CH148*(CK148-$BJ$5)</f>
        <v>0</v>
      </c>
      <c r="CL149" s="1098">
        <f ca="1">CL148</f>
        <v>0</v>
      </c>
      <c r="CM149" s="569"/>
      <c r="CN149" s="1246"/>
      <c r="CO149" s="178"/>
      <c r="CP149" s="178"/>
      <c r="CQ149" s="178"/>
      <c r="CR149" s="178"/>
      <c r="CS149" s="178"/>
      <c r="CT149" s="178"/>
      <c r="CU149" s="178"/>
      <c r="CV149" s="178"/>
      <c r="CW149" s="178"/>
      <c r="CX149" s="178"/>
      <c r="CY149" s="178"/>
      <c r="CZ149" s="178"/>
      <c r="DA149" s="150"/>
    </row>
    <row r="150" spans="53:105" x14ac:dyDescent="0.2">
      <c r="BA150" s="518">
        <f t="shared" ca="1" si="19"/>
        <v>61</v>
      </c>
      <c r="BB150" s="174">
        <f t="shared" ca="1" si="20"/>
        <v>87</v>
      </c>
      <c r="BC150" s="525" t="e">
        <f ca="1">MATCH(BD150,OFFSET(Pinlist!$A$2,BC149*(BA150=BA149),0,$BM$23,1),0)+BC149*(BA150=BA149)</f>
        <v>#N/A</v>
      </c>
      <c r="BD150" s="167">
        <f t="shared" ca="1" si="21"/>
        <v>0</v>
      </c>
      <c r="BE150" s="191" t="e">
        <f ca="1">(OFFSET(Pinlist!$E$1,BC150,0)-$BN$16)*$BN$19</f>
        <v>#N/A</v>
      </c>
      <c r="BF150" s="192" t="e">
        <f ca="1">(OFFSET(Pinlist!$F$1,BC150,0)-$BO$16)*$BO$19</f>
        <v>#N/A</v>
      </c>
      <c r="BG150" s="1098" t="str">
        <f ca="1">IF(LEFT(BD150,2)="RF",OFFSET(Pinlist!$D$1,Chart!BC150,0)&amp;"_"&amp;OFFSET(Pinlist!$G$1,Chart!BC150,0),"")</f>
        <v/>
      </c>
      <c r="BH150" s="1098"/>
      <c r="BI150" s="178"/>
      <c r="BJ150" s="178"/>
      <c r="BK150" s="178"/>
      <c r="BL150" s="178"/>
      <c r="BM150" s="132"/>
      <c r="BN150" s="132"/>
      <c r="BO150" s="132"/>
      <c r="BP150" s="132"/>
      <c r="BQ150" s="196"/>
      <c r="BR150" s="196"/>
      <c r="BS150" s="196"/>
      <c r="BT150" s="196"/>
      <c r="BU150" s="196"/>
      <c r="BV150" s="196"/>
      <c r="BW150" s="178"/>
      <c r="BX150" s="196"/>
      <c r="BY150" s="196"/>
      <c r="BZ150" s="196"/>
      <c r="CA150" s="196"/>
      <c r="CB150" s="178"/>
      <c r="CC150" s="178"/>
      <c r="CD150" s="202"/>
      <c r="CE150" s="202"/>
      <c r="CF150" s="178"/>
      <c r="CG150" s="518"/>
      <c r="CH150" s="174"/>
      <c r="CI150" s="1098" t="e">
        <f ca="1">CI149</f>
        <v>#REF!</v>
      </c>
      <c r="CJ150" s="1098" t="e">
        <f ca="1">CH148*(CJ149-DUT!$J$11)</f>
        <v>#REF!</v>
      </c>
      <c r="CK150" s="1098">
        <f ca="1">CK149</f>
        <v>0</v>
      </c>
      <c r="CL150" s="1098">
        <f ca="1">CH148*(CL149-$BK$5)</f>
        <v>0</v>
      </c>
      <c r="CM150" s="569"/>
      <c r="CN150" s="1246"/>
      <c r="CO150" s="178"/>
      <c r="CP150" s="178"/>
      <c r="CQ150" s="178"/>
      <c r="CR150" s="178"/>
      <c r="CS150" s="178"/>
      <c r="CT150" s="178"/>
      <c r="CU150" s="178"/>
      <c r="CV150" s="178"/>
      <c r="CW150" s="178"/>
      <c r="CX150" s="178"/>
      <c r="CY150" s="178"/>
      <c r="CZ150" s="178"/>
      <c r="DA150" s="150"/>
    </row>
    <row r="151" spans="53:105" x14ac:dyDescent="0.2">
      <c r="BA151" s="518">
        <f t="shared" ca="1" si="19"/>
        <v>61</v>
      </c>
      <c r="BB151" s="174">
        <f t="shared" ca="1" si="20"/>
        <v>88</v>
      </c>
      <c r="BC151" s="525" t="e">
        <f ca="1">MATCH(BD151,OFFSET(Pinlist!$A$2,BC150*(BA151=BA150),0,$BM$23,1),0)+BC150*(BA151=BA150)</f>
        <v>#N/A</v>
      </c>
      <c r="BD151" s="167">
        <f t="shared" ca="1" si="21"/>
        <v>0</v>
      </c>
      <c r="BE151" s="191" t="e">
        <f ca="1">(OFFSET(Pinlist!$E$1,BC151,0)-$BN$16)*$BN$19</f>
        <v>#N/A</v>
      </c>
      <c r="BF151" s="192" t="e">
        <f ca="1">(OFFSET(Pinlist!$F$1,BC151,0)-$BO$16)*$BO$19</f>
        <v>#N/A</v>
      </c>
      <c r="BG151" s="1098" t="str">
        <f ca="1">IF(LEFT(BD151,2)="RF",OFFSET(Pinlist!$D$1,Chart!BC151,0)&amp;"_"&amp;OFFSET(Pinlist!$G$1,Chart!BC151,0),"")</f>
        <v/>
      </c>
      <c r="BH151" s="1098"/>
      <c r="BI151" s="178"/>
      <c r="BJ151" s="178"/>
      <c r="BK151" s="178"/>
      <c r="BL151" s="178"/>
      <c r="BM151" s="132"/>
      <c r="BN151" s="132"/>
      <c r="BO151" s="132"/>
      <c r="BP151" s="132"/>
      <c r="BQ151" s="196"/>
      <c r="BR151" s="196"/>
      <c r="BS151" s="196"/>
      <c r="BT151" s="196"/>
      <c r="BU151" s="196"/>
      <c r="BV151" s="196"/>
      <c r="BW151" s="178"/>
      <c r="BX151" s="196"/>
      <c r="BY151" s="196"/>
      <c r="BZ151" s="196"/>
      <c r="CA151" s="196"/>
      <c r="CB151" s="178"/>
      <c r="CC151" s="178"/>
      <c r="CD151" s="202"/>
      <c r="CE151" s="202"/>
      <c r="CF151" s="178"/>
      <c r="CG151" s="518"/>
      <c r="CH151" s="174"/>
      <c r="CI151" s="1098" t="e">
        <f ca="1">CI148</f>
        <v>#REF!</v>
      </c>
      <c r="CJ151" s="1098" t="e">
        <f ca="1">CJ150</f>
        <v>#REF!</v>
      </c>
      <c r="CK151" s="1098">
        <f ca="1">CK148</f>
        <v>0</v>
      </c>
      <c r="CL151" s="1098">
        <f ca="1">CL150</f>
        <v>0</v>
      </c>
      <c r="CM151" s="569"/>
      <c r="CN151" s="1246"/>
      <c r="CO151" s="178"/>
      <c r="CP151" s="178"/>
      <c r="CQ151" s="178"/>
      <c r="CR151" s="178"/>
      <c r="CS151" s="178"/>
      <c r="CT151" s="178"/>
      <c r="CU151" s="178"/>
      <c r="CV151" s="178"/>
      <c r="CW151" s="178"/>
      <c r="CX151" s="178"/>
      <c r="CY151" s="178"/>
      <c r="CZ151" s="178"/>
      <c r="DA151" s="150"/>
    </row>
    <row r="152" spans="53:105" x14ac:dyDescent="0.2">
      <c r="BA152" s="518">
        <f t="shared" ca="1" si="19"/>
        <v>61</v>
      </c>
      <c r="BB152" s="174">
        <f t="shared" ca="1" si="20"/>
        <v>89</v>
      </c>
      <c r="BC152" s="525" t="e">
        <f ca="1">MATCH(BD152,OFFSET(Pinlist!$A$2,BC151*(BA152=BA151),0,$BM$23,1),0)+BC151*(BA152=BA151)</f>
        <v>#N/A</v>
      </c>
      <c r="BD152" s="167">
        <f t="shared" ca="1" si="21"/>
        <v>0</v>
      </c>
      <c r="BE152" s="191" t="e">
        <f ca="1">(OFFSET(Pinlist!$E$1,BC152,0)-$BN$16)*$BN$19</f>
        <v>#N/A</v>
      </c>
      <c r="BF152" s="192" t="e">
        <f ca="1">(OFFSET(Pinlist!$F$1,BC152,0)-$BO$16)*$BO$19</f>
        <v>#N/A</v>
      </c>
      <c r="BG152" s="1098" t="str">
        <f ca="1">IF(LEFT(BD152,2)="RF",OFFSET(Pinlist!$D$1,Chart!BC152,0)&amp;"_"&amp;OFFSET(Pinlist!$G$1,Chart!BC152,0),"")</f>
        <v/>
      </c>
      <c r="BH152" s="1098"/>
      <c r="BI152" s="178"/>
      <c r="BJ152" s="178"/>
      <c r="BK152" s="178"/>
      <c r="BL152" s="178"/>
      <c r="BM152" s="132"/>
      <c r="BN152" s="132"/>
      <c r="BO152" s="132"/>
      <c r="BP152" s="132"/>
      <c r="BQ152" s="196"/>
      <c r="BR152" s="196"/>
      <c r="BS152" s="196"/>
      <c r="BT152" s="196"/>
      <c r="BU152" s="196"/>
      <c r="BV152" s="196"/>
      <c r="BW152" s="178"/>
      <c r="BX152" s="196"/>
      <c r="BY152" s="196"/>
      <c r="BZ152" s="196"/>
      <c r="CA152" s="196"/>
      <c r="CB152" s="178"/>
      <c r="CC152" s="178"/>
      <c r="CD152" s="202"/>
      <c r="CE152" s="202"/>
      <c r="CF152" s="178"/>
      <c r="CG152" s="518"/>
      <c r="CH152" s="174"/>
      <c r="CI152" s="1098" t="e">
        <f ca="1">CI148</f>
        <v>#REF!</v>
      </c>
      <c r="CJ152" s="1098" t="e">
        <f ca="1">CJ148</f>
        <v>#REF!</v>
      </c>
      <c r="CK152" s="1098">
        <f ca="1">CK148</f>
        <v>0</v>
      </c>
      <c r="CL152" s="1098">
        <f ca="1">CL148</f>
        <v>0</v>
      </c>
      <c r="CM152" s="569"/>
      <c r="CN152" s="1246"/>
      <c r="CO152" s="178"/>
      <c r="CP152" s="178"/>
      <c r="CQ152" s="178"/>
      <c r="CR152" s="178"/>
      <c r="CS152" s="178"/>
      <c r="CT152" s="178"/>
      <c r="CU152" s="178"/>
      <c r="CV152" s="178"/>
      <c r="CW152" s="178"/>
      <c r="CX152" s="178"/>
      <c r="CY152" s="178"/>
      <c r="CZ152" s="178"/>
      <c r="DA152" s="150"/>
    </row>
    <row r="153" spans="53:105" x14ac:dyDescent="0.2">
      <c r="BA153" s="518">
        <f t="shared" ca="1" si="19"/>
        <v>61</v>
      </c>
      <c r="BB153" s="174">
        <f t="shared" ca="1" si="20"/>
        <v>90</v>
      </c>
      <c r="BC153" s="525" t="e">
        <f ca="1">MATCH(BD153,OFFSET(Pinlist!$A$2,BC152*(BA153=BA152),0,$BM$23,1),0)+BC152*(BA153=BA152)</f>
        <v>#N/A</v>
      </c>
      <c r="BD153" s="167">
        <f t="shared" ca="1" si="21"/>
        <v>0</v>
      </c>
      <c r="BE153" s="191" t="e">
        <f ca="1">(OFFSET(Pinlist!$E$1,BC153,0)-$BN$16)*$BN$19</f>
        <v>#N/A</v>
      </c>
      <c r="BF153" s="192" t="e">
        <f ca="1">(OFFSET(Pinlist!$F$1,BC153,0)-$BO$16)*$BO$19</f>
        <v>#N/A</v>
      </c>
      <c r="BG153" s="1098" t="str">
        <f ca="1">IF(LEFT(BD153,2)="RF",OFFSET(Pinlist!$D$1,Chart!BC153,0)&amp;"_"&amp;OFFSET(Pinlist!$G$1,Chart!BC153,0),"")</f>
        <v/>
      </c>
      <c r="BH153" s="1098"/>
      <c r="BI153" s="178"/>
      <c r="BJ153" s="178"/>
      <c r="BK153" s="178"/>
      <c r="BL153" s="178"/>
      <c r="BM153" s="132"/>
      <c r="BN153" s="132"/>
      <c r="BO153" s="132"/>
      <c r="BP153" s="132"/>
      <c r="BQ153" s="196"/>
      <c r="BR153" s="196"/>
      <c r="BS153" s="196"/>
      <c r="BT153" s="196"/>
      <c r="BU153" s="196"/>
      <c r="BV153" s="196"/>
      <c r="BW153" s="178"/>
      <c r="BX153" s="196"/>
      <c r="BY153" s="196"/>
      <c r="BZ153" s="196"/>
      <c r="CA153" s="196"/>
      <c r="CB153" s="178"/>
      <c r="CC153" s="178"/>
      <c r="CD153" s="202"/>
      <c r="CE153" s="202"/>
      <c r="CF153" s="178"/>
      <c r="CG153" s="518">
        <f>CG148+1</f>
        <v>30</v>
      </c>
      <c r="CH153" s="174">
        <f>(CG153&lt;$CQ$25)*$CQ$40</f>
        <v>0</v>
      </c>
      <c r="CI153" s="1150" t="e">
        <f ca="1">$CH153*IF($CQ$19,CI143+$CQ$26,CI148-$CQ$27+$CQ$26)</f>
        <v>#REF!</v>
      </c>
      <c r="CJ153" s="1150" t="e">
        <f ca="1">$CH153*IF($CQ$19,CJ143+$CR$26,CJ148-$CR$27+$CR$26)</f>
        <v>#REF!</v>
      </c>
      <c r="CK153" s="1150">
        <f ca="1">$CH153*IF($CQ$19,CK143+$CQ$26,CK148-$CQ$27+$CQ$26)</f>
        <v>0</v>
      </c>
      <c r="CL153" s="1150">
        <f ca="1">$CH153*IF($CQ$19,CL143+$CR$26,CL148-$CR$27+$CR$26)</f>
        <v>0</v>
      </c>
      <c r="CM153" s="1150" t="e">
        <f ca="1">IF(CH153,IF($CQ$19,CM143+$CQ$26,CM148-$CQ$27+$CQ$26),$CM$3)</f>
        <v>#N/A</v>
      </c>
      <c r="CN153" s="1245" t="e">
        <f ca="1">IF(CH153,IF($CQ$19,CN143+$CR$26,CN148-$CR$27+$CR$26),$CN$3)</f>
        <v>#N/A</v>
      </c>
      <c r="CO153" s="178"/>
      <c r="CP153" s="178"/>
      <c r="CQ153" s="178"/>
      <c r="CR153" s="178"/>
      <c r="CS153" s="178"/>
      <c r="CT153" s="178"/>
      <c r="CU153" s="178"/>
      <c r="CV153" s="178"/>
      <c r="CW153" s="178"/>
      <c r="CX153" s="178"/>
      <c r="CY153" s="178"/>
      <c r="CZ153" s="178"/>
      <c r="DA153" s="150"/>
    </row>
    <row r="154" spans="53:105" x14ac:dyDescent="0.2">
      <c r="BA154" s="518">
        <f t="shared" ca="1" si="19"/>
        <v>61</v>
      </c>
      <c r="BB154" s="174">
        <f t="shared" ca="1" si="20"/>
        <v>91</v>
      </c>
      <c r="BC154" s="525" t="e">
        <f ca="1">MATCH(BD154,OFFSET(Pinlist!$A$2,BC153*(BA154=BA153),0,$BM$23,1),0)+BC153*(BA154=BA153)</f>
        <v>#N/A</v>
      </c>
      <c r="BD154" s="167">
        <f t="shared" ca="1" si="21"/>
        <v>0</v>
      </c>
      <c r="BE154" s="191" t="e">
        <f ca="1">(OFFSET(Pinlist!$E$1,BC154,0)-$BN$16)*$BN$19</f>
        <v>#N/A</v>
      </c>
      <c r="BF154" s="192" t="e">
        <f ca="1">(OFFSET(Pinlist!$F$1,BC154,0)-$BO$16)*$BO$19</f>
        <v>#N/A</v>
      </c>
      <c r="BG154" s="1098" t="str">
        <f ca="1">IF(LEFT(BD154,2)="RF",OFFSET(Pinlist!$D$1,Chart!BC154,0)&amp;"_"&amp;OFFSET(Pinlist!$G$1,Chart!BC154,0),"")</f>
        <v/>
      </c>
      <c r="BH154" s="1098"/>
      <c r="BI154" s="178"/>
      <c r="BJ154" s="178"/>
      <c r="BK154" s="178"/>
      <c r="BL154" s="178"/>
      <c r="BM154" s="132"/>
      <c r="BN154" s="132"/>
      <c r="BO154" s="132"/>
      <c r="BP154" s="132"/>
      <c r="BQ154" s="196"/>
      <c r="BR154" s="196"/>
      <c r="BS154" s="196"/>
      <c r="BT154" s="196"/>
      <c r="BU154" s="196"/>
      <c r="BV154" s="196"/>
      <c r="BW154" s="178"/>
      <c r="BX154" s="196"/>
      <c r="BY154" s="196"/>
      <c r="BZ154" s="196"/>
      <c r="CA154" s="196"/>
      <c r="CB154" s="178"/>
      <c r="CC154" s="178"/>
      <c r="CD154" s="202"/>
      <c r="CE154" s="202"/>
      <c r="CF154" s="178"/>
      <c r="CG154" s="518"/>
      <c r="CH154" s="174"/>
      <c r="CI154" s="1098" t="e">
        <f ca="1">CH153*(CI153-DUT!$G$11)</f>
        <v>#REF!</v>
      </c>
      <c r="CJ154" s="1098" t="e">
        <f ca="1">CJ153</f>
        <v>#REF!</v>
      </c>
      <c r="CK154" s="1098">
        <f ca="1">CH153*(CK153-$BJ$5)</f>
        <v>0</v>
      </c>
      <c r="CL154" s="1098">
        <f ca="1">CL153</f>
        <v>0</v>
      </c>
      <c r="CM154" s="183"/>
      <c r="CN154" s="184"/>
      <c r="CO154" s="178"/>
      <c r="CP154" s="178"/>
      <c r="CQ154" s="178"/>
      <c r="CR154" s="178"/>
      <c r="CS154" s="178"/>
      <c r="CT154" s="178"/>
      <c r="CU154" s="178"/>
      <c r="CV154" s="178"/>
      <c r="CW154" s="178"/>
      <c r="CX154" s="178"/>
      <c r="CY154" s="178"/>
      <c r="CZ154" s="178"/>
      <c r="DA154" s="150"/>
    </row>
    <row r="155" spans="53:105" x14ac:dyDescent="0.2">
      <c r="BA155" s="518">
        <f t="shared" ca="1" si="19"/>
        <v>61</v>
      </c>
      <c r="BB155" s="174">
        <f t="shared" ca="1" si="20"/>
        <v>92</v>
      </c>
      <c r="BC155" s="525" t="e">
        <f ca="1">MATCH(BD155,OFFSET(Pinlist!$A$2,BC154*(BA155=BA154),0,$BM$23,1),0)+BC154*(BA155=BA154)</f>
        <v>#N/A</v>
      </c>
      <c r="BD155" s="167">
        <f t="shared" ca="1" si="21"/>
        <v>0</v>
      </c>
      <c r="BE155" s="191" t="e">
        <f ca="1">(OFFSET(Pinlist!$E$1,BC155,0)-$BN$16)*$BN$19</f>
        <v>#N/A</v>
      </c>
      <c r="BF155" s="192" t="e">
        <f ca="1">(OFFSET(Pinlist!$F$1,BC155,0)-$BO$16)*$BO$19</f>
        <v>#N/A</v>
      </c>
      <c r="BG155" s="1098" t="str">
        <f ca="1">IF(LEFT(BD155,2)="RF",OFFSET(Pinlist!$D$1,Chart!BC155,0)&amp;"_"&amp;OFFSET(Pinlist!$G$1,Chart!BC155,0),"")</f>
        <v/>
      </c>
      <c r="BH155" s="1098"/>
      <c r="BI155" s="178"/>
      <c r="BJ155" s="178"/>
      <c r="BK155" s="178"/>
      <c r="BL155" s="178"/>
      <c r="BM155" s="132"/>
      <c r="BN155" s="132"/>
      <c r="BO155" s="132"/>
      <c r="BP155" s="132"/>
      <c r="BQ155" s="196"/>
      <c r="BR155" s="196"/>
      <c r="BS155" s="196"/>
      <c r="BT155" s="196"/>
      <c r="BU155" s="196"/>
      <c r="BV155" s="196"/>
      <c r="BW155" s="178"/>
      <c r="BX155" s="196"/>
      <c r="BY155" s="196"/>
      <c r="BZ155" s="196"/>
      <c r="CA155" s="196"/>
      <c r="CB155" s="178"/>
      <c r="CC155" s="178"/>
      <c r="CD155" s="202"/>
      <c r="CE155" s="202"/>
      <c r="CF155" s="178"/>
      <c r="CG155" s="518"/>
      <c r="CH155" s="174"/>
      <c r="CI155" s="1098" t="e">
        <f ca="1">CI154</f>
        <v>#REF!</v>
      </c>
      <c r="CJ155" s="1098" t="e">
        <f ca="1">CH153*(CJ154-DUT!$J$11)</f>
        <v>#REF!</v>
      </c>
      <c r="CK155" s="1098">
        <f ca="1">CK154</f>
        <v>0</v>
      </c>
      <c r="CL155" s="1098">
        <f ca="1">CH153*(CL154-$BK$5)</f>
        <v>0</v>
      </c>
      <c r="CM155" s="183"/>
      <c r="CN155" s="184"/>
      <c r="CO155" s="178"/>
      <c r="CP155" s="178"/>
      <c r="CQ155" s="178"/>
      <c r="CR155" s="178"/>
      <c r="CS155" s="178"/>
      <c r="CT155" s="178"/>
      <c r="CU155" s="178"/>
      <c r="CV155" s="178"/>
      <c r="CW155" s="178"/>
      <c r="CX155" s="178"/>
      <c r="CY155" s="178"/>
      <c r="CZ155" s="178"/>
      <c r="DA155" s="150"/>
    </row>
    <row r="156" spans="53:105" x14ac:dyDescent="0.2">
      <c r="BA156" s="518">
        <f t="shared" ca="1" si="19"/>
        <v>61</v>
      </c>
      <c r="BB156" s="174">
        <f t="shared" ca="1" si="20"/>
        <v>93</v>
      </c>
      <c r="BC156" s="525" t="e">
        <f ca="1">MATCH(BD156,OFFSET(Pinlist!$A$2,BC155*(BA156=BA155),0,$BM$23,1),0)+BC155*(BA156=BA155)</f>
        <v>#N/A</v>
      </c>
      <c r="BD156" s="167">
        <f t="shared" ca="1" si="21"/>
        <v>0</v>
      </c>
      <c r="BE156" s="191" t="e">
        <f ca="1">(OFFSET(Pinlist!$E$1,BC156,0)-$BN$16)*$BN$19</f>
        <v>#N/A</v>
      </c>
      <c r="BF156" s="192" t="e">
        <f ca="1">(OFFSET(Pinlist!$F$1,BC156,0)-$BO$16)*$BO$19</f>
        <v>#N/A</v>
      </c>
      <c r="BG156" s="1098" t="str">
        <f ca="1">IF(LEFT(BD156,2)="RF",OFFSET(Pinlist!$D$1,Chart!BC156,0)&amp;"_"&amp;OFFSET(Pinlist!$G$1,Chart!BC156,0),"")</f>
        <v/>
      </c>
      <c r="BH156" s="1098"/>
      <c r="BI156" s="178"/>
      <c r="BJ156" s="178"/>
      <c r="BK156" s="178"/>
      <c r="BL156" s="178"/>
      <c r="BM156" s="132"/>
      <c r="BN156" s="132"/>
      <c r="BO156" s="132"/>
      <c r="BP156" s="132"/>
      <c r="BQ156" s="196"/>
      <c r="BR156" s="196"/>
      <c r="BS156" s="196"/>
      <c r="BT156" s="196"/>
      <c r="BU156" s="196"/>
      <c r="BV156" s="196"/>
      <c r="BW156" s="178"/>
      <c r="BX156" s="196"/>
      <c r="BY156" s="196"/>
      <c r="BZ156" s="196"/>
      <c r="CA156" s="196"/>
      <c r="CB156" s="178"/>
      <c r="CC156" s="178"/>
      <c r="CD156" s="202"/>
      <c r="CE156" s="202"/>
      <c r="CF156" s="178"/>
      <c r="CG156" s="518"/>
      <c r="CH156" s="174"/>
      <c r="CI156" s="1098" t="e">
        <f ca="1">CI153</f>
        <v>#REF!</v>
      </c>
      <c r="CJ156" s="1098" t="e">
        <f ca="1">CJ155</f>
        <v>#REF!</v>
      </c>
      <c r="CK156" s="1098">
        <f ca="1">CK153</f>
        <v>0</v>
      </c>
      <c r="CL156" s="1098">
        <f ca="1">CL155</f>
        <v>0</v>
      </c>
      <c r="CM156" s="183"/>
      <c r="CN156" s="184"/>
      <c r="CO156" s="178"/>
      <c r="CP156" s="178"/>
      <c r="CQ156" s="178"/>
      <c r="CR156" s="178"/>
      <c r="CS156" s="178"/>
      <c r="CT156" s="178"/>
      <c r="CU156" s="178"/>
      <c r="CV156" s="178"/>
      <c r="CW156" s="178"/>
      <c r="CX156" s="178"/>
      <c r="CY156" s="178"/>
      <c r="CZ156" s="178"/>
      <c r="DA156" s="150"/>
    </row>
    <row r="157" spans="53:105" x14ac:dyDescent="0.2">
      <c r="BA157" s="518">
        <f t="shared" ca="1" si="19"/>
        <v>61</v>
      </c>
      <c r="BB157" s="174">
        <f t="shared" ca="1" si="20"/>
        <v>94</v>
      </c>
      <c r="BC157" s="525" t="e">
        <f ca="1">MATCH(BD157,OFFSET(Pinlist!$A$2,BC156*(BA157=BA156),0,$BM$23,1),0)+BC156*(BA157=BA156)</f>
        <v>#N/A</v>
      </c>
      <c r="BD157" s="167">
        <f t="shared" ca="1" si="21"/>
        <v>0</v>
      </c>
      <c r="BE157" s="191" t="e">
        <f ca="1">(OFFSET(Pinlist!$E$1,BC157,0)-$BN$16)*$BN$19</f>
        <v>#N/A</v>
      </c>
      <c r="BF157" s="192" t="e">
        <f ca="1">(OFFSET(Pinlist!$F$1,BC157,0)-$BO$16)*$BO$19</f>
        <v>#N/A</v>
      </c>
      <c r="BG157" s="1098" t="str">
        <f ca="1">IF(LEFT(BD157,2)="RF",OFFSET(Pinlist!$D$1,Chart!BC157,0)&amp;"_"&amp;OFFSET(Pinlist!$G$1,Chart!BC157,0),"")</f>
        <v/>
      </c>
      <c r="BH157" s="1098"/>
      <c r="BI157" s="178"/>
      <c r="BJ157" s="178"/>
      <c r="BK157" s="178"/>
      <c r="BL157" s="178"/>
      <c r="BM157" s="132"/>
      <c r="BN157" s="132"/>
      <c r="BO157" s="132"/>
      <c r="BP157" s="132"/>
      <c r="BQ157" s="196"/>
      <c r="BR157" s="196"/>
      <c r="BS157" s="196"/>
      <c r="BT157" s="196"/>
      <c r="BU157" s="196"/>
      <c r="BV157" s="196"/>
      <c r="BW157" s="178"/>
      <c r="BX157" s="196"/>
      <c r="BY157" s="196"/>
      <c r="BZ157" s="196"/>
      <c r="CA157" s="196"/>
      <c r="CB157" s="178"/>
      <c r="CC157" s="178"/>
      <c r="CD157" s="202"/>
      <c r="CE157" s="202"/>
      <c r="CF157" s="178"/>
      <c r="CG157" s="518"/>
      <c r="CH157" s="174"/>
      <c r="CI157" s="1098" t="e">
        <f ca="1">CI153</f>
        <v>#REF!</v>
      </c>
      <c r="CJ157" s="1098" t="e">
        <f ca="1">CJ153</f>
        <v>#REF!</v>
      </c>
      <c r="CK157" s="1098">
        <f ca="1">CK153</f>
        <v>0</v>
      </c>
      <c r="CL157" s="1098">
        <f ca="1">CL153</f>
        <v>0</v>
      </c>
      <c r="CM157" s="183"/>
      <c r="CN157" s="184"/>
      <c r="CO157" s="178"/>
      <c r="CP157" s="178"/>
      <c r="CQ157" s="178"/>
      <c r="CR157" s="178"/>
      <c r="CS157" s="178"/>
      <c r="CT157" s="178"/>
      <c r="CU157" s="178"/>
      <c r="CV157" s="178"/>
      <c r="CW157" s="178"/>
      <c r="CX157" s="178"/>
      <c r="CY157" s="178"/>
      <c r="CZ157" s="178"/>
      <c r="DA157" s="150"/>
    </row>
    <row r="158" spans="53:105" x14ac:dyDescent="0.2">
      <c r="BA158" s="518">
        <f t="shared" ca="1" si="19"/>
        <v>61</v>
      </c>
      <c r="BB158" s="174">
        <f t="shared" ca="1" si="20"/>
        <v>95</v>
      </c>
      <c r="BC158" s="525" t="e">
        <f ca="1">MATCH(BD158,OFFSET(Pinlist!$A$2,BC157*(BA158=BA157),0,$BM$23,1),0)+BC157*(BA158=BA157)</f>
        <v>#N/A</v>
      </c>
      <c r="BD158" s="167">
        <f t="shared" ca="1" si="21"/>
        <v>0</v>
      </c>
      <c r="BE158" s="191" t="e">
        <f ca="1">(OFFSET(Pinlist!$E$1,BC158,0)-$BN$16)*$BN$19</f>
        <v>#N/A</v>
      </c>
      <c r="BF158" s="192" t="e">
        <f ca="1">(OFFSET(Pinlist!$F$1,BC158,0)-$BO$16)*$BO$19</f>
        <v>#N/A</v>
      </c>
      <c r="BG158" s="1098" t="str">
        <f ca="1">IF(LEFT(BD158,2)="RF",OFFSET(Pinlist!$D$1,Chart!BC158,0)&amp;"_"&amp;OFFSET(Pinlist!$G$1,Chart!BC158,0),"")</f>
        <v/>
      </c>
      <c r="BH158" s="1098"/>
      <c r="BI158" s="178"/>
      <c r="BJ158" s="178"/>
      <c r="BK158" s="178"/>
      <c r="BL158" s="178"/>
      <c r="BM158" s="132"/>
      <c r="BN158" s="132"/>
      <c r="BO158" s="132"/>
      <c r="BP158" s="132"/>
      <c r="BQ158" s="196"/>
      <c r="BR158" s="196"/>
      <c r="BS158" s="196"/>
      <c r="BT158" s="196"/>
      <c r="BU158" s="196"/>
      <c r="BV158" s="196"/>
      <c r="BW158" s="178"/>
      <c r="BX158" s="196"/>
      <c r="BY158" s="196"/>
      <c r="BZ158" s="196"/>
      <c r="CA158" s="196"/>
      <c r="CB158" s="178"/>
      <c r="CC158" s="178"/>
      <c r="CD158" s="202"/>
      <c r="CE158" s="202"/>
      <c r="CF158" s="178"/>
      <c r="CG158" s="518">
        <f>CG153+1</f>
        <v>31</v>
      </c>
      <c r="CH158" s="174">
        <f>(CG158&lt;$CQ$25)*$CQ$40</f>
        <v>0</v>
      </c>
      <c r="CI158" s="1149" t="e">
        <f ca="1">$CH158*(CI153+$CQ$27+IF($CQ$19,$CQ$20,$CQ$26))</f>
        <v>#REF!</v>
      </c>
      <c r="CJ158" s="1149" t="e">
        <f ca="1">$CH158*(CJ153+$CR$27+IF($CQ$19,$CR$20,$CR$26))</f>
        <v>#REF!</v>
      </c>
      <c r="CK158" s="1149">
        <f ca="1">$CH158*(CK153+$CQ$27+IF($CQ$19,$CQ$20,$CQ$26))</f>
        <v>0</v>
      </c>
      <c r="CL158" s="1149">
        <f ca="1">$CH158*(CL153+$CR$27+IF($CQ$19,$CR$20,$CR$26))</f>
        <v>0</v>
      </c>
      <c r="CM158" s="1149" t="e">
        <f ca="1">IF(CH158,CM153+$CQ$27+IF($CQ$19,$CQ$20,$CQ$26),$CM$3)</f>
        <v>#N/A</v>
      </c>
      <c r="CN158" s="1244" t="e">
        <f ca="1">IF(CH158,CN153+$CR$27+IF($CQ$19,$CR$20,$CR$26),$CN$3)</f>
        <v>#N/A</v>
      </c>
      <c r="CO158" s="178"/>
      <c r="CP158" s="178"/>
      <c r="CQ158" s="178"/>
      <c r="CR158" s="178"/>
      <c r="CS158" s="178"/>
      <c r="CT158" s="178"/>
      <c r="CU158" s="178"/>
      <c r="CV158" s="178"/>
      <c r="CW158" s="178"/>
      <c r="CX158" s="178"/>
      <c r="CY158" s="178"/>
      <c r="CZ158" s="178"/>
      <c r="DA158" s="150"/>
    </row>
    <row r="159" spans="53:105" x14ac:dyDescent="0.2">
      <c r="BA159" s="518">
        <f t="shared" ca="1" si="19"/>
        <v>61</v>
      </c>
      <c r="BB159" s="174">
        <f t="shared" ca="1" si="20"/>
        <v>96</v>
      </c>
      <c r="BC159" s="525" t="e">
        <f ca="1">MATCH(BD159,OFFSET(Pinlist!$A$2,BC158*(BA159=BA158),0,$BM$23,1),0)+BC158*(BA159=BA158)</f>
        <v>#N/A</v>
      </c>
      <c r="BD159" s="167">
        <f t="shared" ca="1" si="21"/>
        <v>0</v>
      </c>
      <c r="BE159" s="191" t="e">
        <f ca="1">(OFFSET(Pinlist!$E$1,BC159,0)-$BN$16)*$BN$19</f>
        <v>#N/A</v>
      </c>
      <c r="BF159" s="192" t="e">
        <f ca="1">(OFFSET(Pinlist!$F$1,BC159,0)-$BO$16)*$BO$19</f>
        <v>#N/A</v>
      </c>
      <c r="BG159" s="1098" t="str">
        <f ca="1">IF(LEFT(BD159,2)="RF",OFFSET(Pinlist!$D$1,Chart!BC159,0)&amp;"_"&amp;OFFSET(Pinlist!$G$1,Chart!BC159,0),"")</f>
        <v/>
      </c>
      <c r="BH159" s="1098"/>
      <c r="BI159" s="178"/>
      <c r="BJ159" s="178"/>
      <c r="BK159" s="178"/>
      <c r="BL159" s="178"/>
      <c r="BM159" s="132"/>
      <c r="BN159" s="132"/>
      <c r="BO159" s="132"/>
      <c r="BP159" s="132"/>
      <c r="BQ159" s="196"/>
      <c r="BR159" s="196"/>
      <c r="BS159" s="196"/>
      <c r="BT159" s="196"/>
      <c r="BU159" s="196"/>
      <c r="BV159" s="196"/>
      <c r="BW159" s="178"/>
      <c r="BX159" s="196"/>
      <c r="BY159" s="196"/>
      <c r="BZ159" s="196"/>
      <c r="CA159" s="196"/>
      <c r="CB159" s="178"/>
      <c r="CC159" s="178"/>
      <c r="CD159" s="202"/>
      <c r="CE159" s="202"/>
      <c r="CF159" s="178"/>
      <c r="CG159" s="518"/>
      <c r="CH159" s="174"/>
      <c r="CI159" s="1098" t="e">
        <f ca="1">CH158*(CI158-DUT!$G$11)</f>
        <v>#REF!</v>
      </c>
      <c r="CJ159" s="1098" t="e">
        <f ca="1">CJ158</f>
        <v>#REF!</v>
      </c>
      <c r="CK159" s="1098">
        <f ca="1">CH158*(CK158-$BJ$5)</f>
        <v>0</v>
      </c>
      <c r="CL159" s="1098">
        <f ca="1">CL158</f>
        <v>0</v>
      </c>
      <c r="CM159" s="569"/>
      <c r="CN159" s="1246"/>
      <c r="CO159" s="178"/>
      <c r="CP159" s="178"/>
      <c r="CQ159" s="178"/>
      <c r="CR159" s="178"/>
      <c r="CS159" s="178"/>
      <c r="CT159" s="178"/>
      <c r="CU159" s="178"/>
      <c r="CV159" s="178"/>
      <c r="CW159" s="178"/>
      <c r="CX159" s="178"/>
      <c r="CY159" s="178"/>
      <c r="CZ159" s="178"/>
      <c r="DA159" s="150"/>
    </row>
    <row r="160" spans="53:105" x14ac:dyDescent="0.2">
      <c r="BA160" s="518">
        <f t="shared" ca="1" si="19"/>
        <v>61</v>
      </c>
      <c r="BB160" s="174">
        <f t="shared" ca="1" si="20"/>
        <v>97</v>
      </c>
      <c r="BC160" s="525" t="e">
        <f ca="1">MATCH(BD160,OFFSET(Pinlist!$A$2,BC159*(BA160=BA159),0,$BM$23,1),0)+BC159*(BA160=BA159)</f>
        <v>#N/A</v>
      </c>
      <c r="BD160" s="167">
        <f t="shared" ca="1" si="21"/>
        <v>0</v>
      </c>
      <c r="BE160" s="191" t="e">
        <f ca="1">(OFFSET(Pinlist!$E$1,BC160,0)-$BN$16)*$BN$19</f>
        <v>#N/A</v>
      </c>
      <c r="BF160" s="192" t="e">
        <f ca="1">(OFFSET(Pinlist!$F$1,BC160,0)-$BO$16)*$BO$19</f>
        <v>#N/A</v>
      </c>
      <c r="BG160" s="1098" t="str">
        <f ca="1">IF(LEFT(BD160,2)="RF",OFFSET(Pinlist!$D$1,Chart!BC160,0)&amp;"_"&amp;OFFSET(Pinlist!$G$1,Chart!BC160,0),"")</f>
        <v/>
      </c>
      <c r="BH160" s="1098"/>
      <c r="BI160" s="178"/>
      <c r="BJ160" s="178"/>
      <c r="BK160" s="178"/>
      <c r="BL160" s="178"/>
      <c r="BM160" s="132"/>
      <c r="BN160" s="132"/>
      <c r="BO160" s="132"/>
      <c r="BP160" s="132"/>
      <c r="BQ160" s="196"/>
      <c r="BR160" s="196"/>
      <c r="BS160" s="196"/>
      <c r="BT160" s="196"/>
      <c r="BU160" s="196"/>
      <c r="BV160" s="196"/>
      <c r="BW160" s="178"/>
      <c r="BX160" s="196"/>
      <c r="BY160" s="196"/>
      <c r="BZ160" s="196"/>
      <c r="CA160" s="196"/>
      <c r="CB160" s="178"/>
      <c r="CC160" s="178"/>
      <c r="CD160" s="202"/>
      <c r="CE160" s="202"/>
      <c r="CF160" s="178"/>
      <c r="CG160" s="518"/>
      <c r="CH160" s="174"/>
      <c r="CI160" s="1098" t="e">
        <f ca="1">CI159</f>
        <v>#REF!</v>
      </c>
      <c r="CJ160" s="1098" t="e">
        <f ca="1">CH158*(CJ159-DUT!$J$11)</f>
        <v>#REF!</v>
      </c>
      <c r="CK160" s="1098">
        <f ca="1">CK159</f>
        <v>0</v>
      </c>
      <c r="CL160" s="1098">
        <f ca="1">CH158*(CL159-$BK$5)</f>
        <v>0</v>
      </c>
      <c r="CM160" s="569"/>
      <c r="CN160" s="1246"/>
      <c r="CO160" s="178"/>
      <c r="CP160" s="178"/>
      <c r="CQ160" s="178"/>
      <c r="CR160" s="178"/>
      <c r="CS160" s="178"/>
      <c r="CT160" s="178"/>
      <c r="CU160" s="178"/>
      <c r="CV160" s="178"/>
      <c r="CW160" s="178"/>
      <c r="CX160" s="178"/>
      <c r="CY160" s="178"/>
      <c r="CZ160" s="178"/>
      <c r="DA160" s="150"/>
    </row>
    <row r="161" spans="53:105" x14ac:dyDescent="0.2">
      <c r="BA161" s="518">
        <f t="shared" ca="1" si="19"/>
        <v>61</v>
      </c>
      <c r="BB161" s="174">
        <f t="shared" ca="1" si="20"/>
        <v>98</v>
      </c>
      <c r="BC161" s="525" t="e">
        <f ca="1">MATCH(BD161,OFFSET(Pinlist!$A$2,BC160*(BA161=BA160),0,$BM$23,1),0)+BC160*(BA161=BA160)</f>
        <v>#N/A</v>
      </c>
      <c r="BD161" s="167">
        <f t="shared" ca="1" si="21"/>
        <v>0</v>
      </c>
      <c r="BE161" s="191" t="e">
        <f ca="1">(OFFSET(Pinlist!$E$1,BC161,0)-$BN$16)*$BN$19</f>
        <v>#N/A</v>
      </c>
      <c r="BF161" s="192" t="e">
        <f ca="1">(OFFSET(Pinlist!$F$1,BC161,0)-$BO$16)*$BO$19</f>
        <v>#N/A</v>
      </c>
      <c r="BG161" s="1098" t="str">
        <f ca="1">IF(LEFT(BD161,2)="RF",OFFSET(Pinlist!$D$1,Chart!BC161,0)&amp;"_"&amp;OFFSET(Pinlist!$G$1,Chart!BC161,0),"")</f>
        <v/>
      </c>
      <c r="BH161" s="1098"/>
      <c r="BI161" s="178"/>
      <c r="BJ161" s="178"/>
      <c r="BK161" s="178"/>
      <c r="BL161" s="178"/>
      <c r="BM161" s="132"/>
      <c r="BN161" s="132"/>
      <c r="BO161" s="132"/>
      <c r="BP161" s="132"/>
      <c r="BQ161" s="196"/>
      <c r="BR161" s="196"/>
      <c r="BS161" s="196"/>
      <c r="BT161" s="196"/>
      <c r="BU161" s="196"/>
      <c r="BV161" s="196"/>
      <c r="BW161" s="178"/>
      <c r="BX161" s="196"/>
      <c r="BY161" s="196"/>
      <c r="BZ161" s="196"/>
      <c r="CA161" s="196"/>
      <c r="CB161" s="178"/>
      <c r="CC161" s="178"/>
      <c r="CD161" s="202"/>
      <c r="CE161" s="202"/>
      <c r="CF161" s="178"/>
      <c r="CG161" s="518"/>
      <c r="CH161" s="174"/>
      <c r="CI161" s="1098" t="e">
        <f ca="1">CI158</f>
        <v>#REF!</v>
      </c>
      <c r="CJ161" s="1098" t="e">
        <f ca="1">CJ160</f>
        <v>#REF!</v>
      </c>
      <c r="CK161" s="1098">
        <f ca="1">CK158</f>
        <v>0</v>
      </c>
      <c r="CL161" s="1098">
        <f ca="1">CL160</f>
        <v>0</v>
      </c>
      <c r="CM161" s="569"/>
      <c r="CN161" s="1246"/>
      <c r="CO161" s="178"/>
      <c r="CP161" s="178"/>
      <c r="CQ161" s="178"/>
      <c r="CR161" s="178"/>
      <c r="CS161" s="178"/>
      <c r="CT161" s="178"/>
      <c r="CU161" s="178"/>
      <c r="CV161" s="178"/>
      <c r="CW161" s="178"/>
      <c r="CX161" s="178"/>
      <c r="CY161" s="178"/>
      <c r="CZ161" s="178"/>
      <c r="DA161" s="150"/>
    </row>
    <row r="162" spans="53:105" ht="13.5" thickBot="1" x14ac:dyDescent="0.25">
      <c r="BA162" s="518">
        <f t="shared" ca="1" si="19"/>
        <v>61</v>
      </c>
      <c r="BB162" s="174">
        <f t="shared" ca="1" si="20"/>
        <v>99</v>
      </c>
      <c r="BC162" s="525" t="e">
        <f ca="1">MATCH(BD162,OFFSET(Pinlist!$A$2,BC161*(BA162=BA161),0,$BM$23,1),0)+BC161*(BA162=BA161)</f>
        <v>#N/A</v>
      </c>
      <c r="BD162" s="167">
        <f t="shared" ca="1" si="21"/>
        <v>0</v>
      </c>
      <c r="BE162" s="191" t="e">
        <f ca="1">(OFFSET(Pinlist!$E$1,BC162,0)-$BN$16)*$BN$19</f>
        <v>#N/A</v>
      </c>
      <c r="BF162" s="192" t="e">
        <f ca="1">(OFFSET(Pinlist!$F$1,BC162,0)-$BO$16)*$BO$19</f>
        <v>#N/A</v>
      </c>
      <c r="BG162" s="1098" t="str">
        <f ca="1">IF(LEFT(BD162,2)="RF",OFFSET(Pinlist!$D$1,Chart!BC162,0)&amp;"_"&amp;OFFSET(Pinlist!$G$1,Chart!BC162,0),"")</f>
        <v/>
      </c>
      <c r="BH162" s="1098"/>
      <c r="BI162" s="178"/>
      <c r="BJ162" s="178"/>
      <c r="BK162" s="178"/>
      <c r="BL162" s="178"/>
      <c r="BM162" s="132"/>
      <c r="BN162" s="132"/>
      <c r="BO162" s="132"/>
      <c r="BP162" s="132"/>
      <c r="BQ162" s="196"/>
      <c r="BR162" s="196"/>
      <c r="BS162" s="196"/>
      <c r="BT162" s="196"/>
      <c r="BU162" s="196"/>
      <c r="BV162" s="196"/>
      <c r="BW162" s="178"/>
      <c r="BX162" s="196"/>
      <c r="BY162" s="196"/>
      <c r="BZ162" s="196"/>
      <c r="CA162" s="196"/>
      <c r="CB162" s="178"/>
      <c r="CC162" s="178"/>
      <c r="CD162" s="202"/>
      <c r="CE162" s="202"/>
      <c r="CF162" s="178"/>
      <c r="CG162" s="553"/>
      <c r="CH162" s="554"/>
      <c r="CI162" s="1103" t="e">
        <f ca="1">CI158</f>
        <v>#REF!</v>
      </c>
      <c r="CJ162" s="1103" t="e">
        <f ca="1">CJ158</f>
        <v>#REF!</v>
      </c>
      <c r="CK162" s="1103">
        <f ca="1">CK158</f>
        <v>0</v>
      </c>
      <c r="CL162" s="1103">
        <f ca="1">CL158</f>
        <v>0</v>
      </c>
      <c r="CM162" s="1247"/>
      <c r="CN162" s="1248"/>
      <c r="CO162" s="178"/>
      <c r="CP162" s="178"/>
      <c r="CQ162" s="178"/>
      <c r="CR162" s="178"/>
      <c r="CS162" s="178"/>
      <c r="CT162" s="178"/>
      <c r="CU162" s="178"/>
      <c r="CV162" s="178"/>
      <c r="CW162" s="178"/>
      <c r="CX162" s="178"/>
      <c r="CY162" s="178"/>
      <c r="CZ162" s="178"/>
      <c r="DA162" s="150"/>
    </row>
    <row r="163" spans="53:105" x14ac:dyDescent="0.2">
      <c r="BA163" s="518">
        <f t="shared" ca="1" si="19"/>
        <v>61</v>
      </c>
      <c r="BB163" s="174">
        <f t="shared" ca="1" si="20"/>
        <v>100</v>
      </c>
      <c r="BC163" s="525" t="e">
        <f ca="1">MATCH(BD163,OFFSET(Pinlist!$A$2,BC162*(BA163=BA162),0,$BM$23,1),0)+BC162*(BA163=BA162)</f>
        <v>#N/A</v>
      </c>
      <c r="BD163" s="167">
        <f t="shared" ca="1" si="21"/>
        <v>0</v>
      </c>
      <c r="BE163" s="191" t="e">
        <f ca="1">(OFFSET(Pinlist!$E$1,BC163,0)-$BN$16)*$BN$19</f>
        <v>#N/A</v>
      </c>
      <c r="BF163" s="192" t="e">
        <f ca="1">(OFFSET(Pinlist!$F$1,BC163,0)-$BO$16)*$BO$19</f>
        <v>#N/A</v>
      </c>
      <c r="BG163" s="1098" t="str">
        <f ca="1">IF(LEFT(BD163,2)="RF",OFFSET(Pinlist!$D$1,Chart!BC163,0)&amp;"_"&amp;OFFSET(Pinlist!$G$1,Chart!BC163,0),"")</f>
        <v/>
      </c>
      <c r="BH163" s="1098"/>
      <c r="BI163" s="178"/>
      <c r="BJ163" s="178"/>
      <c r="BK163" s="178"/>
      <c r="BL163" s="178"/>
      <c r="BM163" s="132"/>
      <c r="BN163" s="132"/>
      <c r="BO163" s="132"/>
      <c r="BP163" s="132"/>
      <c r="BQ163" s="196"/>
      <c r="BR163" s="196"/>
      <c r="BS163" s="196"/>
      <c r="BT163" s="196"/>
      <c r="BU163" s="196"/>
      <c r="BV163" s="196"/>
      <c r="BW163" s="178"/>
      <c r="BX163" s="196"/>
      <c r="BY163" s="196"/>
      <c r="BZ163" s="196"/>
      <c r="CA163" s="196"/>
      <c r="CB163" s="178"/>
      <c r="CC163" s="178"/>
      <c r="CD163" s="202"/>
      <c r="CE163" s="202"/>
      <c r="CF163" s="178"/>
      <c r="CG163" s="196"/>
      <c r="CH163" s="178"/>
      <c r="CI163" s="178"/>
      <c r="CJ163" s="178"/>
      <c r="CK163" s="178"/>
      <c r="CL163" s="178"/>
      <c r="CM163" s="178"/>
      <c r="CN163" s="178"/>
      <c r="CO163" s="178"/>
      <c r="CP163" s="178"/>
      <c r="CQ163" s="178"/>
      <c r="CR163" s="178"/>
      <c r="CS163" s="178"/>
      <c r="CT163" s="178"/>
      <c r="CU163" s="178"/>
      <c r="CV163" s="178"/>
      <c r="CW163" s="178"/>
      <c r="CX163" s="178"/>
      <c r="CY163" s="178"/>
      <c r="CZ163" s="178"/>
      <c r="DA163" s="150"/>
    </row>
    <row r="164" spans="53:105" x14ac:dyDescent="0.2">
      <c r="BA164" s="518">
        <f t="shared" ca="1" si="19"/>
        <v>61</v>
      </c>
      <c r="BB164" s="174">
        <f t="shared" ca="1" si="20"/>
        <v>101</v>
      </c>
      <c r="BC164" s="525" t="e">
        <f ca="1">MATCH(BD164,OFFSET(Pinlist!$A$2,BC163*(BA164=BA163),0,$BM$23,1),0)+BC163*(BA164=BA163)</f>
        <v>#N/A</v>
      </c>
      <c r="BD164" s="167">
        <f t="shared" ca="1" si="21"/>
        <v>0</v>
      </c>
      <c r="BE164" s="191" t="e">
        <f ca="1">(OFFSET(Pinlist!$E$1,BC164,0)-$BN$16)*$BN$19</f>
        <v>#N/A</v>
      </c>
      <c r="BF164" s="192" t="e">
        <f ca="1">(OFFSET(Pinlist!$F$1,BC164,0)-$BO$16)*$BO$19</f>
        <v>#N/A</v>
      </c>
      <c r="BG164" s="1098" t="str">
        <f ca="1">IF(LEFT(BD164,2)="RF",OFFSET(Pinlist!$D$1,Chart!BC164,0)&amp;"_"&amp;OFFSET(Pinlist!$G$1,Chart!BC164,0),"")</f>
        <v/>
      </c>
      <c r="BH164" s="1098"/>
      <c r="BI164" s="178"/>
      <c r="BJ164" s="178"/>
      <c r="BK164" s="178"/>
      <c r="BL164" s="178"/>
      <c r="BM164" s="132"/>
      <c r="BN164" s="132"/>
      <c r="BO164" s="132"/>
      <c r="BP164" s="132"/>
      <c r="BQ164" s="196"/>
      <c r="BR164" s="196"/>
      <c r="BS164" s="196"/>
      <c r="BT164" s="196"/>
      <c r="BU164" s="196"/>
      <c r="BV164" s="196"/>
      <c r="BW164" s="178"/>
      <c r="BX164" s="196"/>
      <c r="BY164" s="196"/>
      <c r="BZ164" s="196"/>
      <c r="CA164" s="196"/>
      <c r="CB164" s="178"/>
      <c r="CC164" s="178"/>
      <c r="CD164" s="202"/>
      <c r="CE164" s="202"/>
      <c r="CF164" s="178"/>
      <c r="CG164" s="196"/>
      <c r="CH164" s="178"/>
      <c r="CI164" s="178"/>
      <c r="CJ164" s="178"/>
      <c r="CK164" s="178"/>
      <c r="CL164" s="178"/>
      <c r="CM164" s="178"/>
      <c r="CN164" s="178"/>
      <c r="CO164" s="178"/>
      <c r="CP164" s="178"/>
      <c r="CQ164" s="178"/>
      <c r="CR164" s="178"/>
      <c r="CS164" s="178"/>
      <c r="CT164" s="178"/>
      <c r="CU164" s="178"/>
      <c r="CV164" s="178"/>
      <c r="CW164" s="178"/>
      <c r="CX164" s="178"/>
      <c r="CY164" s="178"/>
      <c r="CZ164" s="178"/>
      <c r="DA164" s="150"/>
    </row>
    <row r="165" spans="53:105" x14ac:dyDescent="0.2">
      <c r="BA165" s="518">
        <f t="shared" ca="1" si="19"/>
        <v>61</v>
      </c>
      <c r="BB165" s="174">
        <f t="shared" ca="1" si="20"/>
        <v>102</v>
      </c>
      <c r="BC165" s="525" t="e">
        <f ca="1">MATCH(BD165,OFFSET(Pinlist!$A$2,BC164*(BA165=BA164),0,$BM$23,1),0)+BC164*(BA165=BA164)</f>
        <v>#N/A</v>
      </c>
      <c r="BD165" s="167">
        <f t="shared" ca="1" si="21"/>
        <v>0</v>
      </c>
      <c r="BE165" s="191" t="e">
        <f ca="1">(OFFSET(Pinlist!$E$1,BC165,0)-$BN$16)*$BN$19</f>
        <v>#N/A</v>
      </c>
      <c r="BF165" s="192" t="e">
        <f ca="1">(OFFSET(Pinlist!$F$1,BC165,0)-$BO$16)*$BO$19</f>
        <v>#N/A</v>
      </c>
      <c r="BG165" s="1098" t="str">
        <f ca="1">IF(LEFT(BD165,2)="RF",OFFSET(Pinlist!$D$1,Chart!BC165,0)&amp;"_"&amp;OFFSET(Pinlist!$G$1,Chart!BC165,0),"")</f>
        <v/>
      </c>
      <c r="BH165" s="1098"/>
      <c r="BI165" s="178"/>
      <c r="BJ165" s="178"/>
      <c r="BK165" s="178"/>
      <c r="BL165" s="178"/>
      <c r="BM165" s="132"/>
      <c r="BN165" s="132"/>
      <c r="BO165" s="132"/>
      <c r="BP165" s="132"/>
      <c r="BQ165" s="196"/>
      <c r="BR165" s="196"/>
      <c r="BS165" s="196"/>
      <c r="BT165" s="196"/>
      <c r="BU165" s="196"/>
      <c r="BV165" s="196"/>
      <c r="BW165" s="178"/>
      <c r="BX165" s="196"/>
      <c r="BY165" s="196"/>
      <c r="BZ165" s="196"/>
      <c r="CA165" s="196"/>
      <c r="CB165" s="178"/>
      <c r="CC165" s="178"/>
      <c r="CD165" s="202"/>
      <c r="CE165" s="202"/>
      <c r="CF165" s="178"/>
      <c r="CG165" s="196"/>
      <c r="CH165" s="178"/>
      <c r="CI165" s="178"/>
      <c r="CJ165" s="178"/>
      <c r="CK165" s="178"/>
      <c r="CL165" s="178"/>
      <c r="CM165" s="178"/>
      <c r="CN165" s="178"/>
      <c r="CO165" s="178"/>
      <c r="CP165" s="178"/>
      <c r="CQ165" s="178"/>
      <c r="CR165" s="178"/>
      <c r="CS165" s="178"/>
      <c r="CT165" s="178"/>
      <c r="CU165" s="178"/>
      <c r="CV165" s="178"/>
      <c r="CW165" s="178"/>
      <c r="CX165" s="178"/>
      <c r="CY165" s="178"/>
      <c r="CZ165" s="178"/>
      <c r="DA165" s="150"/>
    </row>
    <row r="166" spans="53:105" x14ac:dyDescent="0.2">
      <c r="BA166" s="518">
        <f t="shared" ca="1" si="19"/>
        <v>61</v>
      </c>
      <c r="BB166" s="174">
        <f t="shared" ca="1" si="20"/>
        <v>103</v>
      </c>
      <c r="BC166" s="525" t="e">
        <f ca="1">MATCH(BD166,OFFSET(Pinlist!$A$2,BC165*(BA166=BA165),0,$BM$23,1),0)+BC165*(BA166=BA165)</f>
        <v>#N/A</v>
      </c>
      <c r="BD166" s="167">
        <f t="shared" ca="1" si="21"/>
        <v>0</v>
      </c>
      <c r="BE166" s="191" t="e">
        <f ca="1">(OFFSET(Pinlist!$E$1,BC166,0)-$BN$16)*$BN$19</f>
        <v>#N/A</v>
      </c>
      <c r="BF166" s="192" t="e">
        <f ca="1">(OFFSET(Pinlist!$F$1,BC166,0)-$BO$16)*$BO$19</f>
        <v>#N/A</v>
      </c>
      <c r="BG166" s="1098" t="str">
        <f ca="1">IF(LEFT(BD166,2)="RF",OFFSET(Pinlist!$D$1,Chart!BC166,0)&amp;"_"&amp;OFFSET(Pinlist!$G$1,Chart!BC166,0),"")</f>
        <v/>
      </c>
      <c r="BH166" s="1098"/>
      <c r="BI166" s="178"/>
      <c r="BJ166" s="178"/>
      <c r="BK166" s="178"/>
      <c r="BL166" s="178"/>
      <c r="BM166" s="132"/>
      <c r="BN166" s="132"/>
      <c r="BO166" s="132"/>
      <c r="BP166" s="132"/>
      <c r="BQ166" s="196"/>
      <c r="BR166" s="196"/>
      <c r="BS166" s="196"/>
      <c r="BT166" s="196"/>
      <c r="BU166" s="196"/>
      <c r="BV166" s="196"/>
      <c r="BW166" s="178"/>
      <c r="BX166" s="196"/>
      <c r="BY166" s="196"/>
      <c r="BZ166" s="196"/>
      <c r="CA166" s="196"/>
      <c r="CB166" s="178"/>
      <c r="CC166" s="178"/>
      <c r="CD166" s="202"/>
      <c r="CE166" s="202"/>
      <c r="CF166" s="178"/>
      <c r="CG166" s="196"/>
      <c r="CH166" s="178"/>
      <c r="CI166" s="178"/>
      <c r="CJ166" s="178"/>
      <c r="CK166" s="178"/>
      <c r="CL166" s="178"/>
      <c r="CM166" s="178"/>
      <c r="CN166" s="178"/>
      <c r="CO166" s="178"/>
      <c r="CP166" s="178"/>
      <c r="CQ166" s="178"/>
      <c r="CR166" s="178"/>
      <c r="CS166" s="178"/>
      <c r="CT166" s="178"/>
      <c r="CU166" s="178"/>
      <c r="CV166" s="178"/>
      <c r="CW166" s="178"/>
      <c r="CX166" s="178"/>
      <c r="CY166" s="178"/>
      <c r="CZ166" s="178"/>
      <c r="DA166" s="150"/>
    </row>
    <row r="167" spans="53:105" x14ac:dyDescent="0.2">
      <c r="BA167" s="518">
        <f t="shared" ca="1" si="19"/>
        <v>61</v>
      </c>
      <c r="BB167" s="174">
        <f t="shared" ca="1" si="20"/>
        <v>104</v>
      </c>
      <c r="BC167" s="525" t="e">
        <f ca="1">MATCH(BD167,OFFSET(Pinlist!$A$2,BC166*(BA167=BA166),0,$BM$23,1),0)+BC166*(BA167=BA166)</f>
        <v>#N/A</v>
      </c>
      <c r="BD167" s="167">
        <f t="shared" ca="1" si="21"/>
        <v>0</v>
      </c>
      <c r="BE167" s="191" t="e">
        <f ca="1">(OFFSET(Pinlist!$E$1,BC167,0)-$BN$16)*$BN$19</f>
        <v>#N/A</v>
      </c>
      <c r="BF167" s="192" t="e">
        <f ca="1">(OFFSET(Pinlist!$F$1,BC167,0)-$BO$16)*$BO$19</f>
        <v>#N/A</v>
      </c>
      <c r="BG167" s="1098" t="str">
        <f ca="1">IF(LEFT(BD167,2)="RF",OFFSET(Pinlist!$D$1,Chart!BC167,0)&amp;"_"&amp;OFFSET(Pinlist!$G$1,Chart!BC167,0),"")</f>
        <v/>
      </c>
      <c r="BH167" s="1098"/>
      <c r="BI167" s="178"/>
      <c r="BJ167" s="178"/>
      <c r="BK167" s="178"/>
      <c r="BL167" s="178"/>
      <c r="BM167" s="132"/>
      <c r="BN167" s="132"/>
      <c r="BO167" s="132"/>
      <c r="BP167" s="132"/>
      <c r="BQ167" s="196"/>
      <c r="BR167" s="196"/>
      <c r="BS167" s="196"/>
      <c r="BT167" s="196"/>
      <c r="BU167" s="196"/>
      <c r="BV167" s="196"/>
      <c r="BW167" s="178"/>
      <c r="BX167" s="196"/>
      <c r="BY167" s="196"/>
      <c r="BZ167" s="196"/>
      <c r="CA167" s="196"/>
      <c r="CB167" s="178"/>
      <c r="CC167" s="178"/>
      <c r="CD167" s="202"/>
      <c r="CE167" s="202"/>
      <c r="CF167" s="178"/>
      <c r="CG167" s="196"/>
      <c r="CH167" s="178"/>
      <c r="CI167" s="178"/>
      <c r="CJ167" s="178"/>
      <c r="CK167" s="178"/>
      <c r="CL167" s="178"/>
      <c r="CM167" s="178"/>
      <c r="CN167" s="178"/>
      <c r="CO167" s="178"/>
      <c r="CP167" s="178"/>
      <c r="CQ167" s="178"/>
      <c r="CR167" s="178"/>
      <c r="CS167" s="178"/>
      <c r="CT167" s="178"/>
      <c r="CU167" s="178"/>
      <c r="CV167" s="178"/>
      <c r="CW167" s="178"/>
      <c r="CX167" s="178"/>
      <c r="CY167" s="178"/>
      <c r="CZ167" s="178"/>
      <c r="DA167" s="150"/>
    </row>
    <row r="168" spans="53:105" x14ac:dyDescent="0.2">
      <c r="BA168" s="518">
        <f t="shared" ca="1" si="19"/>
        <v>61</v>
      </c>
      <c r="BB168" s="174">
        <f t="shared" ca="1" si="20"/>
        <v>105</v>
      </c>
      <c r="BC168" s="525" t="e">
        <f ca="1">MATCH(BD168,OFFSET(Pinlist!$A$2,BC167*(BA168=BA167),0,$BM$23,1),0)+BC167*(BA168=BA167)</f>
        <v>#N/A</v>
      </c>
      <c r="BD168" s="167">
        <f t="shared" ca="1" si="21"/>
        <v>0</v>
      </c>
      <c r="BE168" s="191" t="e">
        <f ca="1">(OFFSET(Pinlist!$E$1,BC168,0)-$BN$16)*$BN$19</f>
        <v>#N/A</v>
      </c>
      <c r="BF168" s="192" t="e">
        <f ca="1">(OFFSET(Pinlist!$F$1,BC168,0)-$BO$16)*$BO$19</f>
        <v>#N/A</v>
      </c>
      <c r="BG168" s="1098" t="str">
        <f ca="1">IF(LEFT(BD168,2)="RF",OFFSET(Pinlist!$D$1,Chart!BC168,0)&amp;"_"&amp;OFFSET(Pinlist!$G$1,Chart!BC168,0),"")</f>
        <v/>
      </c>
      <c r="BH168" s="1098"/>
      <c r="BI168" s="178"/>
      <c r="BJ168" s="178"/>
      <c r="BK168" s="178"/>
      <c r="BL168" s="178"/>
      <c r="BM168" s="132"/>
      <c r="BN168" s="132"/>
      <c r="BO168" s="132"/>
      <c r="BP168" s="132"/>
      <c r="BQ168" s="196"/>
      <c r="BR168" s="196"/>
      <c r="BS168" s="196"/>
      <c r="BT168" s="196"/>
      <c r="BU168" s="196"/>
      <c r="BV168" s="196"/>
      <c r="BW168" s="178"/>
      <c r="BX168" s="196"/>
      <c r="BY168" s="196"/>
      <c r="BZ168" s="196"/>
      <c r="CA168" s="196"/>
      <c r="CB168" s="178"/>
      <c r="CC168" s="178"/>
      <c r="CD168" s="202"/>
      <c r="CE168" s="202"/>
      <c r="CF168" s="178"/>
      <c r="CG168" s="196"/>
      <c r="CH168" s="178"/>
      <c r="CI168" s="178"/>
      <c r="CJ168" s="178"/>
      <c r="CK168" s="178"/>
      <c r="CL168" s="178"/>
      <c r="CM168" s="178"/>
      <c r="CN168" s="178"/>
      <c r="CO168" s="178"/>
      <c r="CP168" s="178"/>
      <c r="CQ168" s="178"/>
      <c r="CR168" s="178"/>
      <c r="CS168" s="178"/>
      <c r="CT168" s="178"/>
      <c r="CU168" s="178"/>
      <c r="CV168" s="178"/>
      <c r="CW168" s="178"/>
      <c r="CX168" s="178"/>
      <c r="CY168" s="178"/>
      <c r="CZ168" s="178"/>
      <c r="DA168" s="150"/>
    </row>
    <row r="169" spans="53:105" x14ac:dyDescent="0.2">
      <c r="BA169" s="518">
        <f t="shared" ca="1" si="19"/>
        <v>61</v>
      </c>
      <c r="BB169" s="174">
        <f t="shared" ca="1" si="20"/>
        <v>106</v>
      </c>
      <c r="BC169" s="525" t="e">
        <f ca="1">MATCH(BD169,OFFSET(Pinlist!$A$2,BC168*(BA169=BA168),0,$BM$23,1),0)+BC168*(BA169=BA168)</f>
        <v>#N/A</v>
      </c>
      <c r="BD169" s="167">
        <f t="shared" ca="1" si="21"/>
        <v>0</v>
      </c>
      <c r="BE169" s="191" t="e">
        <f ca="1">(OFFSET(Pinlist!$E$1,BC169,0)-$BN$16)*$BN$19</f>
        <v>#N/A</v>
      </c>
      <c r="BF169" s="192" t="e">
        <f ca="1">(OFFSET(Pinlist!$F$1,BC169,0)-$BO$16)*$BO$19</f>
        <v>#N/A</v>
      </c>
      <c r="BG169" s="1098" t="str">
        <f ca="1">IF(LEFT(BD169,2)="RF",OFFSET(Pinlist!$D$1,Chart!BC169,0)&amp;"_"&amp;OFFSET(Pinlist!$G$1,Chart!BC169,0),"")</f>
        <v/>
      </c>
      <c r="BH169" s="1098"/>
      <c r="BI169" s="178"/>
      <c r="BJ169" s="178"/>
      <c r="BK169" s="178"/>
      <c r="BL169" s="178"/>
      <c r="BM169" s="132"/>
      <c r="BN169" s="132"/>
      <c r="BO169" s="132"/>
      <c r="BP169" s="132"/>
      <c r="BQ169" s="196"/>
      <c r="BR169" s="196"/>
      <c r="BS169" s="196"/>
      <c r="BT169" s="196"/>
      <c r="BU169" s="196"/>
      <c r="BV169" s="196"/>
      <c r="BW169" s="178"/>
      <c r="BX169" s="196"/>
      <c r="BY169" s="196"/>
      <c r="BZ169" s="196"/>
      <c r="CA169" s="196"/>
      <c r="CB169" s="178"/>
      <c r="CC169" s="178"/>
      <c r="CD169" s="202"/>
      <c r="CE169" s="202"/>
      <c r="CF169" s="178"/>
      <c r="CG169" s="196"/>
      <c r="CH169" s="178"/>
      <c r="CI169" s="178"/>
      <c r="CJ169" s="178"/>
      <c r="CK169" s="178"/>
      <c r="CL169" s="178"/>
      <c r="CM169" s="178"/>
      <c r="CN169" s="178"/>
      <c r="CO169" s="178"/>
      <c r="CP169" s="178"/>
      <c r="CQ169" s="178"/>
      <c r="CR169" s="178"/>
      <c r="CS169" s="178"/>
      <c r="CT169" s="178"/>
      <c r="CU169" s="178"/>
      <c r="CV169" s="178"/>
      <c r="CW169" s="178"/>
      <c r="CX169" s="178"/>
      <c r="CY169" s="178"/>
      <c r="CZ169" s="178"/>
      <c r="DA169" s="150"/>
    </row>
    <row r="170" spans="53:105" x14ac:dyDescent="0.2">
      <c r="BA170" s="518">
        <f t="shared" ca="1" si="19"/>
        <v>61</v>
      </c>
      <c r="BB170" s="174">
        <f t="shared" ca="1" si="20"/>
        <v>107</v>
      </c>
      <c r="BC170" s="525" t="e">
        <f ca="1">MATCH(BD170,OFFSET(Pinlist!$A$2,BC169*(BA170=BA169),0,$BM$23,1),0)+BC169*(BA170=BA169)</f>
        <v>#N/A</v>
      </c>
      <c r="BD170" s="167">
        <f t="shared" ca="1" si="21"/>
        <v>0</v>
      </c>
      <c r="BE170" s="191" t="e">
        <f ca="1">(OFFSET(Pinlist!$E$1,BC170,0)-$BN$16)*$BN$19</f>
        <v>#N/A</v>
      </c>
      <c r="BF170" s="192" t="e">
        <f ca="1">(OFFSET(Pinlist!$F$1,BC170,0)-$BO$16)*$BO$19</f>
        <v>#N/A</v>
      </c>
      <c r="BG170" s="1098" t="str">
        <f ca="1">IF(LEFT(BD170,2)="RF",OFFSET(Pinlist!$D$1,Chart!BC170,0)&amp;"_"&amp;OFFSET(Pinlist!$G$1,Chart!BC170,0),"")</f>
        <v/>
      </c>
      <c r="BH170" s="1098"/>
      <c r="BI170" s="178"/>
      <c r="BJ170" s="178"/>
      <c r="BK170" s="178"/>
      <c r="BL170" s="178"/>
      <c r="BM170" s="132"/>
      <c r="BN170" s="132"/>
      <c r="BO170" s="132"/>
      <c r="BP170" s="132"/>
      <c r="BQ170" s="196"/>
      <c r="BR170" s="196"/>
      <c r="BS170" s="196"/>
      <c r="BT170" s="196"/>
      <c r="BU170" s="196"/>
      <c r="BV170" s="196"/>
      <c r="BW170" s="178"/>
      <c r="BX170" s="196"/>
      <c r="BY170" s="196"/>
      <c r="BZ170" s="196"/>
      <c r="CA170" s="196"/>
      <c r="CB170" s="178"/>
      <c r="CC170" s="178"/>
      <c r="CD170" s="202"/>
      <c r="CE170" s="202"/>
      <c r="CF170" s="178"/>
      <c r="CG170" s="196"/>
      <c r="CH170" s="178"/>
      <c r="CI170" s="178"/>
      <c r="CJ170" s="178"/>
      <c r="CK170" s="178"/>
      <c r="CL170" s="178"/>
      <c r="CM170" s="178"/>
      <c r="CN170" s="178"/>
      <c r="CO170" s="178"/>
      <c r="CP170" s="178"/>
      <c r="CQ170" s="178"/>
      <c r="CR170" s="178"/>
      <c r="CS170" s="178"/>
      <c r="CT170" s="178"/>
      <c r="CU170" s="178"/>
      <c r="CV170" s="178"/>
      <c r="CW170" s="178"/>
      <c r="CX170" s="178"/>
      <c r="CY170" s="178"/>
      <c r="CZ170" s="178"/>
      <c r="DA170" s="150"/>
    </row>
    <row r="171" spans="53:105" x14ac:dyDescent="0.2">
      <c r="BA171" s="518">
        <f t="shared" ca="1" si="19"/>
        <v>61</v>
      </c>
      <c r="BB171" s="174">
        <f t="shared" ca="1" si="20"/>
        <v>108</v>
      </c>
      <c r="BC171" s="525" t="e">
        <f ca="1">MATCH(BD171,OFFSET(Pinlist!$A$2,BC170*(BA171=BA170),0,$BM$23,1),0)+BC170*(BA171=BA170)</f>
        <v>#N/A</v>
      </c>
      <c r="BD171" s="167">
        <f t="shared" ca="1" si="21"/>
        <v>0</v>
      </c>
      <c r="BE171" s="191" t="e">
        <f ca="1">(OFFSET(Pinlist!$E$1,BC171,0)-$BN$16)*$BN$19</f>
        <v>#N/A</v>
      </c>
      <c r="BF171" s="192" t="e">
        <f ca="1">(OFFSET(Pinlist!$F$1,BC171,0)-$BO$16)*$BO$19</f>
        <v>#N/A</v>
      </c>
      <c r="BG171" s="1098" t="str">
        <f ca="1">IF(LEFT(BD171,2)="RF",OFFSET(Pinlist!$D$1,Chart!BC171,0)&amp;"_"&amp;OFFSET(Pinlist!$G$1,Chart!BC171,0),"")</f>
        <v/>
      </c>
      <c r="BH171" s="1098"/>
      <c r="BI171" s="178"/>
      <c r="BJ171" s="178"/>
      <c r="BK171" s="178"/>
      <c r="BL171" s="178"/>
      <c r="BM171" s="132"/>
      <c r="BN171" s="132"/>
      <c r="BO171" s="132"/>
      <c r="BP171" s="132"/>
      <c r="BQ171" s="196"/>
      <c r="BR171" s="196"/>
      <c r="BS171" s="196"/>
      <c r="BT171" s="196"/>
      <c r="BU171" s="196"/>
      <c r="BV171" s="196"/>
      <c r="BW171" s="178"/>
      <c r="BX171" s="196"/>
      <c r="BY171" s="196"/>
      <c r="BZ171" s="196"/>
      <c r="CA171" s="196"/>
      <c r="CB171" s="178"/>
      <c r="CC171" s="178"/>
      <c r="CD171" s="202"/>
      <c r="CE171" s="202"/>
      <c r="CF171" s="178"/>
      <c r="CG171" s="196"/>
      <c r="CH171" s="178"/>
      <c r="CI171" s="178"/>
      <c r="CJ171" s="178"/>
      <c r="CK171" s="178"/>
      <c r="CL171" s="178"/>
      <c r="CM171" s="178"/>
      <c r="CN171" s="178"/>
      <c r="CO171" s="178"/>
      <c r="CP171" s="178"/>
      <c r="CQ171" s="178"/>
      <c r="CR171" s="178"/>
      <c r="CS171" s="178"/>
      <c r="CT171" s="178"/>
      <c r="CU171" s="178"/>
      <c r="CV171" s="178"/>
      <c r="CW171" s="178"/>
      <c r="CX171" s="178"/>
      <c r="CY171" s="178"/>
      <c r="CZ171" s="178"/>
      <c r="DA171" s="150"/>
    </row>
    <row r="172" spans="53:105" x14ac:dyDescent="0.2">
      <c r="BA172" s="518">
        <f t="shared" ca="1" si="19"/>
        <v>61</v>
      </c>
      <c r="BB172" s="174">
        <f t="shared" ca="1" si="20"/>
        <v>109</v>
      </c>
      <c r="BC172" s="525" t="e">
        <f ca="1">MATCH(BD172,OFFSET(Pinlist!$A$2,BC171*(BA172=BA171),0,$BM$23,1),0)+BC171*(BA172=BA171)</f>
        <v>#N/A</v>
      </c>
      <c r="BD172" s="167">
        <f t="shared" ca="1" si="21"/>
        <v>0</v>
      </c>
      <c r="BE172" s="191" t="e">
        <f ca="1">(OFFSET(Pinlist!$E$1,BC172,0)-$BN$16)*$BN$19</f>
        <v>#N/A</v>
      </c>
      <c r="BF172" s="192" t="e">
        <f ca="1">(OFFSET(Pinlist!$F$1,BC172,0)-$BO$16)*$BO$19</f>
        <v>#N/A</v>
      </c>
      <c r="BG172" s="1098" t="str">
        <f ca="1">IF(LEFT(BD172,2)="RF",OFFSET(Pinlist!$D$1,Chart!BC172,0)&amp;"_"&amp;OFFSET(Pinlist!$G$1,Chart!BC172,0),"")</f>
        <v/>
      </c>
      <c r="BH172" s="1098"/>
      <c r="BI172" s="178"/>
      <c r="BJ172" s="178"/>
      <c r="BK172" s="178"/>
      <c r="BL172" s="178"/>
      <c r="BM172" s="132"/>
      <c r="BN172" s="132"/>
      <c r="BO172" s="132"/>
      <c r="BP172" s="132"/>
      <c r="BQ172" s="196"/>
      <c r="BR172" s="196"/>
      <c r="BS172" s="196"/>
      <c r="BT172" s="196"/>
      <c r="BU172" s="196"/>
      <c r="BV172" s="196"/>
      <c r="BW172" s="178"/>
      <c r="BX172" s="196"/>
      <c r="BY172" s="196"/>
      <c r="BZ172" s="196"/>
      <c r="CA172" s="196"/>
      <c r="CB172" s="178"/>
      <c r="CC172" s="178"/>
      <c r="CD172" s="202"/>
      <c r="CE172" s="202"/>
      <c r="CF172" s="178"/>
      <c r="CG172" s="196"/>
      <c r="CH172" s="178"/>
      <c r="CI172" s="178"/>
      <c r="CJ172" s="178"/>
      <c r="CK172" s="178"/>
      <c r="CL172" s="178"/>
      <c r="CM172" s="178"/>
      <c r="CN172" s="178"/>
      <c r="CO172" s="178"/>
      <c r="CP172" s="178"/>
      <c r="CQ172" s="178"/>
      <c r="CR172" s="178"/>
      <c r="CS172" s="178"/>
      <c r="CT172" s="178"/>
      <c r="CU172" s="178"/>
      <c r="CV172" s="178"/>
      <c r="CW172" s="178"/>
      <c r="CX172" s="178"/>
      <c r="CY172" s="178"/>
      <c r="CZ172" s="178"/>
      <c r="DA172" s="150"/>
    </row>
    <row r="173" spans="53:105" x14ac:dyDescent="0.2">
      <c r="BA173" s="518">
        <f t="shared" ca="1" si="19"/>
        <v>61</v>
      </c>
      <c r="BB173" s="174">
        <f t="shared" ca="1" si="20"/>
        <v>110</v>
      </c>
      <c r="BC173" s="525" t="e">
        <f ca="1">MATCH(BD173,OFFSET(Pinlist!$A$2,BC172*(BA173=BA172),0,$BM$23,1),0)+BC172*(BA173=BA172)</f>
        <v>#N/A</v>
      </c>
      <c r="BD173" s="167">
        <f t="shared" ca="1" si="21"/>
        <v>0</v>
      </c>
      <c r="BE173" s="191" t="e">
        <f ca="1">(OFFSET(Pinlist!$E$1,BC173,0)-$BN$16)*$BN$19</f>
        <v>#N/A</v>
      </c>
      <c r="BF173" s="192" t="e">
        <f ca="1">(OFFSET(Pinlist!$F$1,BC173,0)-$BO$16)*$BO$19</f>
        <v>#N/A</v>
      </c>
      <c r="BG173" s="1098" t="str">
        <f ca="1">IF(LEFT(BD173,2)="RF",OFFSET(Pinlist!$D$1,Chart!BC173,0)&amp;"_"&amp;OFFSET(Pinlist!$G$1,Chart!BC173,0),"")</f>
        <v/>
      </c>
      <c r="BH173" s="1098"/>
      <c r="BI173" s="178"/>
      <c r="BJ173" s="178"/>
      <c r="BK173" s="178"/>
      <c r="BL173" s="178"/>
      <c r="BM173" s="132"/>
      <c r="BN173" s="132"/>
      <c r="BO173" s="132"/>
      <c r="BP173" s="132"/>
      <c r="BQ173" s="196"/>
      <c r="BR173" s="196"/>
      <c r="BS173" s="196"/>
      <c r="BT173" s="196"/>
      <c r="BU173" s="196"/>
      <c r="BV173" s="196"/>
      <c r="BW173" s="178"/>
      <c r="BX173" s="196"/>
      <c r="BY173" s="196"/>
      <c r="BZ173" s="196"/>
      <c r="CA173" s="196"/>
      <c r="CB173" s="178"/>
      <c r="CC173" s="178"/>
      <c r="CD173" s="202"/>
      <c r="CE173" s="202"/>
      <c r="CF173" s="178"/>
      <c r="CG173" s="196"/>
      <c r="CH173" s="178"/>
      <c r="CI173" s="178"/>
      <c r="CJ173" s="178"/>
      <c r="CK173" s="178"/>
      <c r="CL173" s="178"/>
      <c r="CM173" s="178"/>
      <c r="CN173" s="178"/>
      <c r="CO173" s="178"/>
      <c r="CP173" s="178"/>
      <c r="CQ173" s="178"/>
      <c r="CR173" s="178"/>
      <c r="CS173" s="178"/>
      <c r="CT173" s="178"/>
      <c r="CU173" s="178"/>
      <c r="CV173" s="178"/>
      <c r="CW173" s="178"/>
      <c r="CX173" s="178"/>
      <c r="CY173" s="178"/>
      <c r="CZ173" s="178"/>
      <c r="DA173" s="150"/>
    </row>
    <row r="174" spans="53:105" x14ac:dyDescent="0.2">
      <c r="BA174" s="518">
        <f t="shared" ca="1" si="19"/>
        <v>61</v>
      </c>
      <c r="BB174" s="174">
        <f t="shared" ca="1" si="20"/>
        <v>111</v>
      </c>
      <c r="BC174" s="525" t="e">
        <f ca="1">MATCH(BD174,OFFSET(Pinlist!$A$2,BC173*(BA174=BA173),0,$BM$23,1),0)+BC173*(BA174=BA173)</f>
        <v>#N/A</v>
      </c>
      <c r="BD174" s="167">
        <f t="shared" ca="1" si="21"/>
        <v>0</v>
      </c>
      <c r="BE174" s="191" t="e">
        <f ca="1">(OFFSET(Pinlist!$E$1,BC174,0)-$BN$16)*$BN$19</f>
        <v>#N/A</v>
      </c>
      <c r="BF174" s="192" t="e">
        <f ca="1">(OFFSET(Pinlist!$F$1,BC174,0)-$BO$16)*$BO$19</f>
        <v>#N/A</v>
      </c>
      <c r="BG174" s="1098" t="str">
        <f ca="1">IF(LEFT(BD174,2)="RF",OFFSET(Pinlist!$D$1,Chart!BC174,0)&amp;"_"&amp;OFFSET(Pinlist!$G$1,Chart!BC174,0),"")</f>
        <v/>
      </c>
      <c r="BH174" s="1098"/>
      <c r="BI174" s="178"/>
      <c r="BJ174" s="178"/>
      <c r="BK174" s="178"/>
      <c r="BL174" s="178"/>
      <c r="BM174" s="132"/>
      <c r="BN174" s="132"/>
      <c r="BO174" s="132"/>
      <c r="BP174" s="132"/>
      <c r="BQ174" s="196"/>
      <c r="BR174" s="196"/>
      <c r="BS174" s="196"/>
      <c r="BT174" s="196"/>
      <c r="BU174" s="196"/>
      <c r="BV174" s="196"/>
      <c r="BW174" s="178"/>
      <c r="BX174" s="196"/>
      <c r="BY174" s="196"/>
      <c r="BZ174" s="196"/>
      <c r="CA174" s="196"/>
      <c r="CB174" s="178"/>
      <c r="CC174" s="178"/>
      <c r="CD174" s="202"/>
      <c r="CE174" s="202"/>
      <c r="CF174" s="178"/>
      <c r="CG174" s="196"/>
      <c r="CH174" s="178"/>
      <c r="CI174" s="178"/>
      <c r="CJ174" s="178"/>
      <c r="CK174" s="178"/>
      <c r="CL174" s="178"/>
      <c r="CM174" s="178"/>
      <c r="CN174" s="178"/>
      <c r="CO174" s="178"/>
      <c r="CP174" s="178"/>
      <c r="CQ174" s="178"/>
      <c r="CR174" s="178"/>
      <c r="CS174" s="178"/>
      <c r="CT174" s="178"/>
      <c r="CU174" s="178"/>
      <c r="CV174" s="178"/>
      <c r="CW174" s="178"/>
      <c r="CX174" s="178"/>
      <c r="CY174" s="178"/>
      <c r="CZ174" s="178"/>
      <c r="DA174" s="150"/>
    </row>
    <row r="175" spans="53:105" x14ac:dyDescent="0.2">
      <c r="BA175" s="518">
        <f t="shared" ca="1" si="19"/>
        <v>61</v>
      </c>
      <c r="BB175" s="174">
        <f t="shared" ca="1" si="20"/>
        <v>112</v>
      </c>
      <c r="BC175" s="525" t="e">
        <f ca="1">MATCH(BD175,OFFSET(Pinlist!$A$2,BC174*(BA175=BA174),0,$BM$23,1),0)+BC174*(BA175=BA174)</f>
        <v>#N/A</v>
      </c>
      <c r="BD175" s="167">
        <f t="shared" ca="1" si="21"/>
        <v>0</v>
      </c>
      <c r="BE175" s="191" t="e">
        <f ca="1">(OFFSET(Pinlist!$E$1,BC175,0)-$BN$16)*$BN$19</f>
        <v>#N/A</v>
      </c>
      <c r="BF175" s="192" t="e">
        <f ca="1">(OFFSET(Pinlist!$F$1,BC175,0)-$BO$16)*$BO$19</f>
        <v>#N/A</v>
      </c>
      <c r="BG175" s="1098" t="str">
        <f ca="1">IF(LEFT(BD175,2)="RF",OFFSET(Pinlist!$D$1,Chart!BC175,0)&amp;"_"&amp;OFFSET(Pinlist!$G$1,Chart!BC175,0),"")</f>
        <v/>
      </c>
      <c r="BH175" s="1098"/>
      <c r="BI175" s="178"/>
      <c r="BJ175" s="178"/>
      <c r="BK175" s="178"/>
      <c r="BL175" s="178"/>
      <c r="BM175" s="132"/>
      <c r="BN175" s="132"/>
      <c r="BO175" s="132"/>
      <c r="BP175" s="132"/>
      <c r="BQ175" s="196"/>
      <c r="BR175" s="196"/>
      <c r="BS175" s="196"/>
      <c r="BT175" s="196"/>
      <c r="BU175" s="196"/>
      <c r="BV175" s="196"/>
      <c r="BW175" s="178"/>
      <c r="BX175" s="196"/>
      <c r="BY175" s="196"/>
      <c r="BZ175" s="196"/>
      <c r="CA175" s="196"/>
      <c r="CB175" s="178"/>
      <c r="CC175" s="178"/>
      <c r="CD175" s="202"/>
      <c r="CE175" s="202"/>
      <c r="CF175" s="178"/>
      <c r="CG175" s="196"/>
      <c r="CH175" s="178"/>
      <c r="CI175" s="178"/>
      <c r="CJ175" s="178"/>
      <c r="CK175" s="178"/>
      <c r="CL175" s="178"/>
      <c r="CM175" s="178"/>
      <c r="CN175" s="178"/>
      <c r="CO175" s="178"/>
      <c r="CP175" s="178"/>
      <c r="CQ175" s="178"/>
      <c r="CR175" s="178"/>
      <c r="CS175" s="178"/>
      <c r="CT175" s="178"/>
      <c r="CU175" s="178"/>
      <c r="CV175" s="178"/>
      <c r="CW175" s="178"/>
      <c r="CX175" s="178"/>
      <c r="CY175" s="178"/>
      <c r="CZ175" s="178"/>
      <c r="DA175" s="150"/>
    </row>
    <row r="176" spans="53:105" x14ac:dyDescent="0.2">
      <c r="BA176" s="518">
        <f t="shared" ca="1" si="19"/>
        <v>61</v>
      </c>
      <c r="BB176" s="174">
        <f t="shared" ca="1" si="20"/>
        <v>113</v>
      </c>
      <c r="BC176" s="525" t="e">
        <f ca="1">MATCH(BD176,OFFSET(Pinlist!$A$2,BC175*(BA176=BA175),0,$BM$23,1),0)+BC175*(BA176=BA175)</f>
        <v>#N/A</v>
      </c>
      <c r="BD176" s="167">
        <f t="shared" ca="1" si="21"/>
        <v>0</v>
      </c>
      <c r="BE176" s="191" t="e">
        <f ca="1">(OFFSET(Pinlist!$E$1,BC176,0)-$BN$16)*$BN$19</f>
        <v>#N/A</v>
      </c>
      <c r="BF176" s="192" t="e">
        <f ca="1">(OFFSET(Pinlist!$F$1,BC176,0)-$BO$16)*$BO$19</f>
        <v>#N/A</v>
      </c>
      <c r="BG176" s="1098" t="str">
        <f ca="1">IF(LEFT(BD176,2)="RF",OFFSET(Pinlist!$D$1,Chart!BC176,0)&amp;"_"&amp;OFFSET(Pinlist!$G$1,Chart!BC176,0),"")</f>
        <v/>
      </c>
      <c r="BH176" s="1098"/>
      <c r="BI176" s="178"/>
      <c r="BJ176" s="178"/>
      <c r="BK176" s="178"/>
      <c r="BL176" s="178"/>
      <c r="BM176" s="132"/>
      <c r="BN176" s="132"/>
      <c r="BO176" s="132"/>
      <c r="BP176" s="132"/>
      <c r="BQ176" s="196"/>
      <c r="BR176" s="196"/>
      <c r="BS176" s="196"/>
      <c r="BT176" s="196"/>
      <c r="BU176" s="196"/>
      <c r="BV176" s="196"/>
      <c r="BW176" s="178"/>
      <c r="BX176" s="196"/>
      <c r="BY176" s="196"/>
      <c r="BZ176" s="196"/>
      <c r="CA176" s="196"/>
      <c r="CB176" s="178"/>
      <c r="CC176" s="178"/>
      <c r="CD176" s="202"/>
      <c r="CE176" s="202"/>
      <c r="CF176" s="178"/>
      <c r="CG176" s="196"/>
      <c r="CH176" s="178"/>
      <c r="CI176" s="178"/>
      <c r="CJ176" s="178"/>
      <c r="CK176" s="178"/>
      <c r="CL176" s="178"/>
      <c r="CM176" s="178"/>
      <c r="CN176" s="178"/>
      <c r="CO176" s="178"/>
      <c r="CP176" s="178"/>
      <c r="CQ176" s="178"/>
      <c r="CR176" s="178"/>
      <c r="CS176" s="178"/>
      <c r="CT176" s="178"/>
      <c r="CU176" s="178"/>
      <c r="CV176" s="178"/>
      <c r="CW176" s="178"/>
      <c r="CX176" s="178"/>
      <c r="CY176" s="178"/>
      <c r="CZ176" s="178"/>
      <c r="DA176" s="150"/>
    </row>
    <row r="177" spans="53:105" x14ac:dyDescent="0.2">
      <c r="BA177" s="518">
        <f t="shared" ca="1" si="19"/>
        <v>61</v>
      </c>
      <c r="BB177" s="174">
        <f t="shared" ca="1" si="20"/>
        <v>114</v>
      </c>
      <c r="BC177" s="525" t="e">
        <f ca="1">MATCH(BD177,OFFSET(Pinlist!$A$2,BC176*(BA177=BA176),0,$BM$23,1),0)+BC176*(BA177=BA176)</f>
        <v>#N/A</v>
      </c>
      <c r="BD177" s="167">
        <f t="shared" ca="1" si="21"/>
        <v>0</v>
      </c>
      <c r="BE177" s="191" t="e">
        <f ca="1">(OFFSET(Pinlist!$E$1,BC177,0)-$BN$16)*$BN$19</f>
        <v>#N/A</v>
      </c>
      <c r="BF177" s="192" t="e">
        <f ca="1">(OFFSET(Pinlist!$F$1,BC177,0)-$BO$16)*$BO$19</f>
        <v>#N/A</v>
      </c>
      <c r="BG177" s="1098" t="str">
        <f ca="1">IF(LEFT(BD177,2)="RF",OFFSET(Pinlist!$D$1,Chart!BC177,0)&amp;"_"&amp;OFFSET(Pinlist!$G$1,Chart!BC177,0),"")</f>
        <v/>
      </c>
      <c r="BH177" s="1098"/>
      <c r="BI177" s="178"/>
      <c r="BJ177" s="178"/>
      <c r="BK177" s="178"/>
      <c r="BL177" s="178"/>
      <c r="BM177" s="132"/>
      <c r="BN177" s="132"/>
      <c r="BO177" s="132"/>
      <c r="BP177" s="132"/>
      <c r="BQ177" s="196"/>
      <c r="BR177" s="196"/>
      <c r="BS177" s="196"/>
      <c r="BT177" s="196"/>
      <c r="BU177" s="196"/>
      <c r="BV177" s="196"/>
      <c r="BW177" s="178"/>
      <c r="BX177" s="196"/>
      <c r="BY177" s="196"/>
      <c r="BZ177" s="196"/>
      <c r="CA177" s="196"/>
      <c r="CB177" s="178"/>
      <c r="CC177" s="178"/>
      <c r="CD177" s="202"/>
      <c r="CE177" s="202"/>
      <c r="CF177" s="178"/>
      <c r="CG177" s="196"/>
      <c r="CH177" s="178"/>
      <c r="CI177" s="178"/>
      <c r="CJ177" s="178"/>
      <c r="CK177" s="178"/>
      <c r="CL177" s="178"/>
      <c r="CM177" s="178"/>
      <c r="CN177" s="178"/>
      <c r="CO177" s="178"/>
      <c r="CP177" s="178"/>
      <c r="CQ177" s="178"/>
      <c r="CR177" s="178"/>
      <c r="CS177" s="178"/>
      <c r="CT177" s="178"/>
      <c r="CU177" s="178"/>
      <c r="CV177" s="178"/>
      <c r="CW177" s="178"/>
      <c r="CX177" s="178"/>
      <c r="CY177" s="178"/>
      <c r="CZ177" s="178"/>
      <c r="DA177" s="150"/>
    </row>
    <row r="178" spans="53:105" x14ac:dyDescent="0.2">
      <c r="BA178" s="518">
        <f t="shared" ca="1" si="19"/>
        <v>61</v>
      </c>
      <c r="BB178" s="174">
        <f t="shared" ca="1" si="20"/>
        <v>115</v>
      </c>
      <c r="BC178" s="525" t="e">
        <f ca="1">MATCH(BD178,OFFSET(Pinlist!$A$2,BC177*(BA178=BA177),0,$BM$23,1),0)+BC177*(BA178=BA177)</f>
        <v>#N/A</v>
      </c>
      <c r="BD178" s="167">
        <f t="shared" ca="1" si="21"/>
        <v>0</v>
      </c>
      <c r="BE178" s="191" t="e">
        <f ca="1">(OFFSET(Pinlist!$E$1,BC178,0)-$BN$16)*$BN$19</f>
        <v>#N/A</v>
      </c>
      <c r="BF178" s="192" t="e">
        <f ca="1">(OFFSET(Pinlist!$F$1,BC178,0)-$BO$16)*$BO$19</f>
        <v>#N/A</v>
      </c>
      <c r="BG178" s="1098" t="str">
        <f ca="1">IF(LEFT(BD178,2)="RF",OFFSET(Pinlist!$D$1,Chart!BC178,0)&amp;"_"&amp;OFFSET(Pinlist!$G$1,Chart!BC178,0),"")</f>
        <v/>
      </c>
      <c r="BH178" s="1098"/>
      <c r="BI178" s="178"/>
      <c r="BJ178" s="178"/>
      <c r="BK178" s="178"/>
      <c r="BL178" s="178"/>
      <c r="BM178" s="132"/>
      <c r="BN178" s="132"/>
      <c r="BO178" s="132"/>
      <c r="BP178" s="132"/>
      <c r="BQ178" s="196"/>
      <c r="BR178" s="196"/>
      <c r="BS178" s="196"/>
      <c r="BT178" s="196"/>
      <c r="BU178" s="196"/>
      <c r="BV178" s="196"/>
      <c r="BW178" s="178"/>
      <c r="BX178" s="196"/>
      <c r="BY178" s="196"/>
      <c r="BZ178" s="196"/>
      <c r="CA178" s="196"/>
      <c r="CB178" s="178"/>
      <c r="CC178" s="178"/>
      <c r="CD178" s="202"/>
      <c r="CE178" s="202"/>
      <c r="CF178" s="178"/>
      <c r="CG178" s="196"/>
      <c r="CH178" s="178"/>
      <c r="CI178" s="178"/>
      <c r="CJ178" s="178"/>
      <c r="CK178" s="178"/>
      <c r="CL178" s="178"/>
      <c r="CM178" s="178"/>
      <c r="CN178" s="178"/>
      <c r="CO178" s="178"/>
      <c r="CP178" s="178"/>
      <c r="CQ178" s="178"/>
      <c r="CR178" s="178"/>
      <c r="CS178" s="178"/>
      <c r="CT178" s="178"/>
      <c r="CU178" s="178"/>
      <c r="CV178" s="178"/>
      <c r="CW178" s="178"/>
      <c r="CX178" s="178"/>
      <c r="CY178" s="178"/>
      <c r="CZ178" s="178"/>
      <c r="DA178" s="150"/>
    </row>
    <row r="179" spans="53:105" x14ac:dyDescent="0.2">
      <c r="BA179" s="518">
        <f t="shared" ca="1" si="19"/>
        <v>61</v>
      </c>
      <c r="BB179" s="174">
        <f t="shared" ca="1" si="20"/>
        <v>116</v>
      </c>
      <c r="BC179" s="525" t="e">
        <f ca="1">MATCH(BD179,OFFSET(Pinlist!$A$2,BC178*(BA179=BA178),0,$BM$23,1),0)+BC178*(BA179=BA178)</f>
        <v>#N/A</v>
      </c>
      <c r="BD179" s="167">
        <f t="shared" ca="1" si="21"/>
        <v>0</v>
      </c>
      <c r="BE179" s="191" t="e">
        <f ca="1">(OFFSET(Pinlist!$E$1,BC179,0)-$BN$16)*$BN$19</f>
        <v>#N/A</v>
      </c>
      <c r="BF179" s="192" t="e">
        <f ca="1">(OFFSET(Pinlist!$F$1,BC179,0)-$BO$16)*$BO$19</f>
        <v>#N/A</v>
      </c>
      <c r="BG179" s="1098" t="str">
        <f ca="1">IF(LEFT(BD179,2)="RF",OFFSET(Pinlist!$D$1,Chart!BC179,0)&amp;"_"&amp;OFFSET(Pinlist!$G$1,Chart!BC179,0),"")</f>
        <v/>
      </c>
      <c r="BH179" s="1098"/>
      <c r="BI179" s="178"/>
      <c r="BJ179" s="178"/>
      <c r="BK179" s="178"/>
      <c r="BL179" s="178"/>
      <c r="BM179" s="132"/>
      <c r="BN179" s="132"/>
      <c r="BO179" s="132"/>
      <c r="BP179" s="132"/>
      <c r="BQ179" s="196"/>
      <c r="BR179" s="196"/>
      <c r="BS179" s="196"/>
      <c r="BT179" s="196"/>
      <c r="BU179" s="196"/>
      <c r="BV179" s="196"/>
      <c r="BW179" s="178"/>
      <c r="BX179" s="196"/>
      <c r="BY179" s="196"/>
      <c r="BZ179" s="196"/>
      <c r="CA179" s="196"/>
      <c r="CB179" s="178"/>
      <c r="CC179" s="178"/>
      <c r="CD179" s="202"/>
      <c r="CE179" s="202"/>
      <c r="CF179" s="178"/>
      <c r="CG179" s="196"/>
      <c r="CH179" s="178"/>
      <c r="CI179" s="178"/>
      <c r="CJ179" s="178"/>
      <c r="CK179" s="178"/>
      <c r="CL179" s="178"/>
      <c r="CM179" s="178"/>
      <c r="CN179" s="178"/>
      <c r="CO179" s="178"/>
      <c r="CP179" s="178"/>
      <c r="CQ179" s="178"/>
      <c r="CR179" s="178"/>
      <c r="CS179" s="178"/>
      <c r="CT179" s="178"/>
      <c r="CU179" s="178"/>
      <c r="CV179" s="178"/>
      <c r="CW179" s="178"/>
      <c r="CX179" s="178"/>
      <c r="CY179" s="178"/>
      <c r="CZ179" s="178"/>
      <c r="DA179" s="150"/>
    </row>
    <row r="180" spans="53:105" x14ac:dyDescent="0.2">
      <c r="BA180" s="518">
        <f t="shared" ca="1" si="19"/>
        <v>61</v>
      </c>
      <c r="BB180" s="174">
        <f t="shared" ca="1" si="20"/>
        <v>117</v>
      </c>
      <c r="BC180" s="525" t="e">
        <f ca="1">MATCH(BD180,OFFSET(Pinlist!$A$2,BC179*(BA180=BA179),0,$BM$23,1),0)+BC179*(BA180=BA179)</f>
        <v>#N/A</v>
      </c>
      <c r="BD180" s="167">
        <f t="shared" ca="1" si="21"/>
        <v>0</v>
      </c>
      <c r="BE180" s="191" t="e">
        <f ca="1">(OFFSET(Pinlist!$E$1,BC180,0)-$BN$16)*$BN$19</f>
        <v>#N/A</v>
      </c>
      <c r="BF180" s="192" t="e">
        <f ca="1">(OFFSET(Pinlist!$F$1,BC180,0)-$BO$16)*$BO$19</f>
        <v>#N/A</v>
      </c>
      <c r="BG180" s="1098" t="str">
        <f ca="1">IF(LEFT(BD180,2)="RF",OFFSET(Pinlist!$D$1,Chart!BC180,0)&amp;"_"&amp;OFFSET(Pinlist!$G$1,Chart!BC180,0),"")</f>
        <v/>
      </c>
      <c r="BH180" s="1098"/>
      <c r="BI180" s="178"/>
      <c r="BJ180" s="178"/>
      <c r="BK180" s="178"/>
      <c r="BL180" s="178"/>
      <c r="BM180" s="132"/>
      <c r="BN180" s="132"/>
      <c r="BO180" s="132"/>
      <c r="BP180" s="132"/>
      <c r="BQ180" s="196"/>
      <c r="BR180" s="196"/>
      <c r="BS180" s="196"/>
      <c r="BT180" s="196"/>
      <c r="BU180" s="196"/>
      <c r="BV180" s="196"/>
      <c r="BW180" s="178"/>
      <c r="BX180" s="196"/>
      <c r="BY180" s="196"/>
      <c r="BZ180" s="196"/>
      <c r="CA180" s="196"/>
      <c r="CB180" s="178"/>
      <c r="CC180" s="178"/>
      <c r="CD180" s="202"/>
      <c r="CE180" s="202"/>
      <c r="CF180" s="178"/>
      <c r="CG180" s="196"/>
      <c r="CH180" s="178"/>
      <c r="CI180" s="178"/>
      <c r="CJ180" s="178"/>
      <c r="CK180" s="178"/>
      <c r="CL180" s="178"/>
      <c r="CM180" s="178"/>
      <c r="CN180" s="178"/>
      <c r="CO180" s="178"/>
      <c r="CP180" s="178"/>
      <c r="CQ180" s="178"/>
      <c r="CR180" s="178"/>
      <c r="CS180" s="178"/>
      <c r="CT180" s="178"/>
      <c r="CU180" s="178"/>
      <c r="CV180" s="178"/>
      <c r="CW180" s="178"/>
      <c r="CX180" s="178"/>
      <c r="CY180" s="178"/>
      <c r="CZ180" s="178"/>
      <c r="DA180" s="150"/>
    </row>
    <row r="181" spans="53:105" x14ac:dyDescent="0.2">
      <c r="BA181" s="518">
        <f t="shared" ca="1" si="19"/>
        <v>61</v>
      </c>
      <c r="BB181" s="174">
        <f t="shared" ca="1" si="20"/>
        <v>118</v>
      </c>
      <c r="BC181" s="525" t="e">
        <f ca="1">MATCH(BD181,OFFSET(Pinlist!$A$2,BC180*(BA181=BA180),0,$BM$23,1),0)+BC180*(BA181=BA180)</f>
        <v>#N/A</v>
      </c>
      <c r="BD181" s="167">
        <f t="shared" ca="1" si="21"/>
        <v>0</v>
      </c>
      <c r="BE181" s="191" t="e">
        <f ca="1">(OFFSET(Pinlist!$E$1,BC181,0)-$BN$16)*$BN$19</f>
        <v>#N/A</v>
      </c>
      <c r="BF181" s="192" t="e">
        <f ca="1">(OFFSET(Pinlist!$F$1,BC181,0)-$BO$16)*$BO$19</f>
        <v>#N/A</v>
      </c>
      <c r="BG181" s="1098" t="str">
        <f ca="1">IF(LEFT(BD181,2)="RF",OFFSET(Pinlist!$D$1,Chart!BC181,0)&amp;"_"&amp;OFFSET(Pinlist!$G$1,Chart!BC181,0),"")</f>
        <v/>
      </c>
      <c r="BH181" s="1098"/>
      <c r="BI181" s="178"/>
      <c r="BJ181" s="178"/>
      <c r="BK181" s="178"/>
      <c r="BL181" s="178"/>
      <c r="BM181" s="178"/>
      <c r="BN181" s="178"/>
      <c r="BO181" s="178"/>
      <c r="BP181" s="178"/>
      <c r="BQ181" s="196"/>
      <c r="BR181" s="196"/>
      <c r="BS181" s="196"/>
      <c r="BT181" s="196"/>
      <c r="BU181" s="196"/>
      <c r="BV181" s="196"/>
      <c r="BW181" s="178"/>
      <c r="BX181" s="196"/>
      <c r="BY181" s="196"/>
      <c r="BZ181" s="196"/>
      <c r="CA181" s="196"/>
      <c r="CB181" s="178"/>
      <c r="CC181" s="178"/>
      <c r="CD181" s="202"/>
      <c r="CE181" s="202"/>
      <c r="CF181" s="178"/>
      <c r="CG181" s="196"/>
      <c r="CH181" s="178"/>
      <c r="CI181" s="178"/>
      <c r="CJ181" s="178"/>
      <c r="CK181" s="178"/>
      <c r="CL181" s="178"/>
      <c r="CM181" s="178"/>
      <c r="CN181" s="178"/>
      <c r="CO181" s="178"/>
      <c r="CP181" s="178"/>
      <c r="CQ181" s="178"/>
      <c r="CR181" s="178"/>
      <c r="CS181" s="178"/>
      <c r="CT181" s="178"/>
      <c r="CU181" s="178"/>
      <c r="CV181" s="178"/>
      <c r="CW181" s="178"/>
      <c r="CX181" s="178"/>
      <c r="CY181" s="178"/>
      <c r="CZ181" s="178"/>
      <c r="DA181" s="150"/>
    </row>
    <row r="182" spans="53:105" x14ac:dyDescent="0.2">
      <c r="BA182" s="518">
        <f t="shared" ca="1" si="19"/>
        <v>61</v>
      </c>
      <c r="BB182" s="174">
        <f t="shared" ca="1" si="20"/>
        <v>119</v>
      </c>
      <c r="BC182" s="525" t="e">
        <f ca="1">MATCH(BD182,OFFSET(Pinlist!$A$2,BC181*(BA182=BA181),0,$BM$23,1),0)+BC181*(BA182=BA181)</f>
        <v>#N/A</v>
      </c>
      <c r="BD182" s="167">
        <f t="shared" ca="1" si="21"/>
        <v>0</v>
      </c>
      <c r="BE182" s="191" t="e">
        <f ca="1">(OFFSET(Pinlist!$E$1,BC182,0)-$BN$16)*$BN$19</f>
        <v>#N/A</v>
      </c>
      <c r="BF182" s="192" t="e">
        <f ca="1">(OFFSET(Pinlist!$F$1,BC182,0)-$BO$16)*$BO$19</f>
        <v>#N/A</v>
      </c>
      <c r="BG182" s="1098" t="str">
        <f ca="1">IF(LEFT(BD182,2)="RF",OFFSET(Pinlist!$D$1,Chart!BC182,0)&amp;"_"&amp;OFFSET(Pinlist!$G$1,Chart!BC182,0),"")</f>
        <v/>
      </c>
      <c r="BH182" s="1098"/>
      <c r="BI182" s="178"/>
      <c r="BJ182" s="178"/>
      <c r="BK182" s="178"/>
      <c r="BL182" s="178"/>
      <c r="BM182" s="178"/>
      <c r="BN182" s="178"/>
      <c r="BO182" s="178"/>
      <c r="BP182" s="178"/>
      <c r="BQ182" s="196"/>
      <c r="BR182" s="196"/>
      <c r="BS182" s="196"/>
      <c r="BT182" s="196"/>
      <c r="BU182" s="196"/>
      <c r="BV182" s="196"/>
      <c r="BW182" s="178"/>
      <c r="BX182" s="196"/>
      <c r="BY182" s="196"/>
      <c r="BZ182" s="196"/>
      <c r="CA182" s="196"/>
      <c r="CB182" s="178"/>
      <c r="CC182" s="178"/>
      <c r="CD182" s="202"/>
      <c r="CE182" s="202"/>
      <c r="CF182" s="178"/>
      <c r="CG182" s="196"/>
      <c r="CH182" s="178"/>
      <c r="CI182" s="178"/>
      <c r="CJ182" s="178"/>
      <c r="CK182" s="178"/>
      <c r="CL182" s="178"/>
      <c r="CM182" s="178"/>
      <c r="CN182" s="178"/>
      <c r="CO182" s="178"/>
      <c r="CP182" s="178"/>
      <c r="CQ182" s="178"/>
      <c r="CR182" s="178"/>
      <c r="CS182" s="178"/>
      <c r="CT182" s="178"/>
      <c r="CU182" s="178"/>
      <c r="CV182" s="178"/>
      <c r="CW182" s="178"/>
      <c r="CX182" s="178"/>
      <c r="CY182" s="178"/>
      <c r="CZ182" s="178"/>
      <c r="DA182" s="150"/>
    </row>
    <row r="183" spans="53:105" x14ac:dyDescent="0.2">
      <c r="BA183" s="518">
        <f t="shared" ca="1" si="19"/>
        <v>61</v>
      </c>
      <c r="BB183" s="174">
        <f t="shared" ca="1" si="20"/>
        <v>120</v>
      </c>
      <c r="BC183" s="525" t="e">
        <f ca="1">MATCH(BD183,OFFSET(Pinlist!$A$2,BC182*(BA183=BA182),0,$BM$23,1),0)+BC182*(BA183=BA182)</f>
        <v>#N/A</v>
      </c>
      <c r="BD183" s="167">
        <f t="shared" ca="1" si="21"/>
        <v>0</v>
      </c>
      <c r="BE183" s="191" t="e">
        <f ca="1">(OFFSET(Pinlist!$E$1,BC183,0)-$BN$16)*$BN$19</f>
        <v>#N/A</v>
      </c>
      <c r="BF183" s="192" t="e">
        <f ca="1">(OFFSET(Pinlist!$F$1,BC183,0)-$BO$16)*$BO$19</f>
        <v>#N/A</v>
      </c>
      <c r="BG183" s="1098" t="str">
        <f ca="1">IF(LEFT(BD183,2)="RF",OFFSET(Pinlist!$D$1,Chart!BC183,0)&amp;"_"&amp;OFFSET(Pinlist!$G$1,Chart!BC183,0),"")</f>
        <v/>
      </c>
      <c r="BH183" s="1098"/>
      <c r="BI183" s="178"/>
      <c r="BJ183" s="178"/>
      <c r="BK183" s="178"/>
      <c r="BL183" s="178"/>
      <c r="BM183" s="178"/>
      <c r="BN183" s="178"/>
      <c r="BO183" s="178"/>
      <c r="BP183" s="178"/>
      <c r="BQ183" s="196"/>
      <c r="BR183" s="196"/>
      <c r="BS183" s="196"/>
      <c r="BT183" s="196"/>
      <c r="BU183" s="196"/>
      <c r="BV183" s="196"/>
      <c r="BW183" s="178"/>
      <c r="BX183" s="196"/>
      <c r="BY183" s="196"/>
      <c r="BZ183" s="196"/>
      <c r="CA183" s="196"/>
      <c r="CB183" s="178"/>
      <c r="CC183" s="178"/>
      <c r="CD183" s="202"/>
      <c r="CE183" s="202"/>
      <c r="CF183" s="178"/>
      <c r="CG183" s="196"/>
      <c r="CH183" s="178"/>
      <c r="CI183" s="178"/>
      <c r="CJ183" s="178"/>
      <c r="CK183" s="178"/>
      <c r="CL183" s="178"/>
      <c r="CM183" s="178"/>
      <c r="CN183" s="178"/>
      <c r="CO183" s="178"/>
      <c r="CP183" s="178"/>
      <c r="CQ183" s="178"/>
      <c r="CR183" s="178"/>
      <c r="CS183" s="178"/>
      <c r="CT183" s="178"/>
      <c r="CU183" s="178"/>
      <c r="CV183" s="178"/>
      <c r="CW183" s="178"/>
      <c r="CX183" s="178"/>
      <c r="CY183" s="178"/>
      <c r="CZ183" s="178"/>
      <c r="DA183" s="150"/>
    </row>
    <row r="184" spans="53:105" x14ac:dyDescent="0.2">
      <c r="BA184" s="518">
        <f t="shared" ca="1" si="19"/>
        <v>61</v>
      </c>
      <c r="BB184" s="174">
        <f t="shared" ca="1" si="20"/>
        <v>121</v>
      </c>
      <c r="BC184" s="525" t="e">
        <f ca="1">MATCH(BD184,OFFSET(Pinlist!$A$2,BC183*(BA184=BA183),0,$BM$23,1),0)+BC183*(BA184=BA183)</f>
        <v>#N/A</v>
      </c>
      <c r="BD184" s="167">
        <f t="shared" ca="1" si="21"/>
        <v>0</v>
      </c>
      <c r="BE184" s="191" t="e">
        <f ca="1">(OFFSET(Pinlist!$E$1,BC184,0)-$BN$16)*$BN$19</f>
        <v>#N/A</v>
      </c>
      <c r="BF184" s="192" t="e">
        <f ca="1">(OFFSET(Pinlist!$F$1,BC184,0)-$BO$16)*$BO$19</f>
        <v>#N/A</v>
      </c>
      <c r="BG184" s="1098" t="str">
        <f ca="1">IF(LEFT(BD184,2)="RF",OFFSET(Pinlist!$D$1,Chart!BC184,0)&amp;"_"&amp;OFFSET(Pinlist!$G$1,Chart!BC184,0),"")</f>
        <v/>
      </c>
      <c r="BH184" s="1098"/>
      <c r="BI184" s="178"/>
      <c r="BJ184" s="178"/>
      <c r="BK184" s="178"/>
      <c r="BL184" s="178"/>
      <c r="BM184" s="178"/>
      <c r="BN184" s="178"/>
      <c r="BO184" s="178"/>
      <c r="BP184" s="178"/>
      <c r="BQ184" s="196"/>
      <c r="BR184" s="196"/>
      <c r="BS184" s="196"/>
      <c r="BT184" s="196"/>
      <c r="BU184" s="196"/>
      <c r="BV184" s="196"/>
      <c r="BW184" s="178"/>
      <c r="BX184" s="196"/>
      <c r="BY184" s="196"/>
      <c r="BZ184" s="196"/>
      <c r="CA184" s="196"/>
      <c r="CB184" s="178"/>
      <c r="CC184" s="178"/>
      <c r="CD184" s="202"/>
      <c r="CE184" s="202"/>
      <c r="CF184" s="178"/>
      <c r="CG184" s="196"/>
      <c r="CH184" s="178"/>
      <c r="CI184" s="178"/>
      <c r="CJ184" s="178"/>
      <c r="CK184" s="178"/>
      <c r="CL184" s="178"/>
      <c r="CM184" s="178"/>
      <c r="CN184" s="178"/>
      <c r="CO184" s="178"/>
      <c r="CP184" s="178"/>
      <c r="CQ184" s="178"/>
      <c r="CR184" s="178"/>
      <c r="CS184" s="178"/>
      <c r="CT184" s="178"/>
      <c r="CU184" s="178"/>
      <c r="CV184" s="178"/>
      <c r="CW184" s="178"/>
      <c r="CX184" s="178"/>
      <c r="CY184" s="178"/>
      <c r="CZ184" s="178"/>
      <c r="DA184" s="150"/>
    </row>
    <row r="185" spans="53:105" x14ac:dyDescent="0.2">
      <c r="BA185" s="518">
        <f t="shared" ca="1" si="19"/>
        <v>61</v>
      </c>
      <c r="BB185" s="174">
        <f t="shared" ca="1" si="20"/>
        <v>122</v>
      </c>
      <c r="BC185" s="525" t="e">
        <f ca="1">MATCH(BD185,OFFSET(Pinlist!$A$2,BC184*(BA185=BA184),0,$BM$23,1),0)+BC184*(BA185=BA184)</f>
        <v>#N/A</v>
      </c>
      <c r="BD185" s="167">
        <f t="shared" ca="1" si="21"/>
        <v>0</v>
      </c>
      <c r="BE185" s="191" t="e">
        <f ca="1">(OFFSET(Pinlist!$E$1,BC185,0)-$BN$16)*$BN$19</f>
        <v>#N/A</v>
      </c>
      <c r="BF185" s="192" t="e">
        <f ca="1">(OFFSET(Pinlist!$F$1,BC185,0)-$BO$16)*$BO$19</f>
        <v>#N/A</v>
      </c>
      <c r="BG185" s="1098" t="str">
        <f ca="1">IF(LEFT(BD185,2)="RF",OFFSET(Pinlist!$D$1,Chart!BC185,0)&amp;"_"&amp;OFFSET(Pinlist!$G$1,Chart!BC185,0),"")</f>
        <v/>
      </c>
      <c r="BH185" s="1098"/>
      <c r="BI185" s="178"/>
      <c r="BJ185" s="178"/>
      <c r="BK185" s="178"/>
      <c r="BL185" s="178"/>
      <c r="BM185" s="178"/>
      <c r="BN185" s="178"/>
      <c r="BO185" s="178"/>
      <c r="BP185" s="178"/>
      <c r="BQ185" s="196"/>
      <c r="BR185" s="196"/>
      <c r="BS185" s="196"/>
      <c r="BT185" s="196"/>
      <c r="BU185" s="196"/>
      <c r="BV185" s="196"/>
      <c r="BW185" s="178"/>
      <c r="BX185" s="196"/>
      <c r="BY185" s="196"/>
      <c r="BZ185" s="196"/>
      <c r="CA185" s="196"/>
      <c r="CB185" s="178"/>
      <c r="CC185" s="178"/>
      <c r="CD185" s="202"/>
      <c r="CE185" s="202"/>
      <c r="CF185" s="178"/>
      <c r="CG185" s="196"/>
      <c r="CH185" s="178"/>
      <c r="CI185" s="178"/>
      <c r="CJ185" s="178"/>
      <c r="CK185" s="178"/>
      <c r="CL185" s="178"/>
      <c r="CM185" s="178"/>
      <c r="CN185" s="178"/>
      <c r="CO185" s="178"/>
      <c r="CP185" s="178"/>
      <c r="CQ185" s="178"/>
      <c r="CR185" s="178"/>
      <c r="CS185" s="178"/>
      <c r="CT185" s="178"/>
      <c r="CU185" s="178"/>
      <c r="CV185" s="178"/>
      <c r="CW185" s="178"/>
      <c r="CX185" s="178"/>
      <c r="CY185" s="178"/>
      <c r="CZ185" s="178"/>
      <c r="DA185" s="150"/>
    </row>
    <row r="186" spans="53:105" x14ac:dyDescent="0.2">
      <c r="BA186" s="518">
        <f t="shared" ca="1" si="19"/>
        <v>61</v>
      </c>
      <c r="BB186" s="174">
        <f t="shared" ca="1" si="20"/>
        <v>123</v>
      </c>
      <c r="BC186" s="525" t="e">
        <f ca="1">MATCH(BD186,OFFSET(Pinlist!$A$2,BC185*(BA186=BA185),0,$BM$23,1),0)+BC185*(BA186=BA185)</f>
        <v>#N/A</v>
      </c>
      <c r="BD186" s="167">
        <f t="shared" ca="1" si="21"/>
        <v>0</v>
      </c>
      <c r="BE186" s="191" t="e">
        <f ca="1">(OFFSET(Pinlist!$E$1,BC186,0)-$BN$16)*$BN$19</f>
        <v>#N/A</v>
      </c>
      <c r="BF186" s="192" t="e">
        <f ca="1">(OFFSET(Pinlist!$F$1,BC186,0)-$BO$16)*$BO$19</f>
        <v>#N/A</v>
      </c>
      <c r="BG186" s="1098" t="str">
        <f ca="1">IF(LEFT(BD186,2)="RF",OFFSET(Pinlist!$D$1,Chart!BC186,0)&amp;"_"&amp;OFFSET(Pinlist!$G$1,Chart!BC186,0),"")</f>
        <v/>
      </c>
      <c r="BH186" s="1098"/>
      <c r="BI186" s="178"/>
      <c r="BJ186" s="178"/>
      <c r="BK186" s="178"/>
      <c r="BL186" s="178"/>
      <c r="BM186" s="178"/>
      <c r="BN186" s="178"/>
      <c r="BO186" s="178"/>
      <c r="BP186" s="178"/>
      <c r="BQ186" s="196"/>
      <c r="BR186" s="196"/>
      <c r="BS186" s="196"/>
      <c r="BT186" s="196"/>
      <c r="BU186" s="196"/>
      <c r="BV186" s="196"/>
      <c r="BW186" s="178"/>
      <c r="BX186" s="196"/>
      <c r="BY186" s="196"/>
      <c r="BZ186" s="196"/>
      <c r="CA186" s="196"/>
      <c r="CB186" s="178"/>
      <c r="CC186" s="178"/>
      <c r="CD186" s="202"/>
      <c r="CE186" s="202"/>
      <c r="CF186" s="178"/>
      <c r="CG186" s="196"/>
      <c r="CH186" s="178"/>
      <c r="CI186" s="178"/>
      <c r="CJ186" s="178"/>
      <c r="CK186" s="178"/>
      <c r="CL186" s="178"/>
      <c r="CM186" s="178"/>
      <c r="CN186" s="178"/>
      <c r="CO186" s="178"/>
      <c r="CP186" s="178"/>
      <c r="CQ186" s="178"/>
      <c r="CR186" s="178"/>
      <c r="CS186" s="178"/>
      <c r="CT186" s="178"/>
      <c r="CU186" s="178"/>
      <c r="CV186" s="178"/>
      <c r="CW186" s="178"/>
      <c r="CX186" s="178"/>
      <c r="CY186" s="178"/>
      <c r="CZ186" s="178"/>
      <c r="DA186" s="150"/>
    </row>
    <row r="187" spans="53:105" x14ac:dyDescent="0.2">
      <c r="BA187" s="518">
        <f t="shared" ca="1" si="19"/>
        <v>61</v>
      </c>
      <c r="BB187" s="174">
        <f t="shared" ca="1" si="20"/>
        <v>124</v>
      </c>
      <c r="BC187" s="525" t="e">
        <f ca="1">MATCH(BD187,OFFSET(Pinlist!$A$2,BC186*(BA187=BA186),0,$BM$23,1),0)+BC186*(BA187=BA186)</f>
        <v>#N/A</v>
      </c>
      <c r="BD187" s="167">
        <f t="shared" ca="1" si="21"/>
        <v>0</v>
      </c>
      <c r="BE187" s="191" t="e">
        <f ca="1">(OFFSET(Pinlist!$E$1,BC187,0)-$BN$16)*$BN$19</f>
        <v>#N/A</v>
      </c>
      <c r="BF187" s="192" t="e">
        <f ca="1">(OFFSET(Pinlist!$F$1,BC187,0)-$BO$16)*$BO$19</f>
        <v>#N/A</v>
      </c>
      <c r="BG187" s="1098" t="str">
        <f ca="1">IF(LEFT(BD187,2)="RF",OFFSET(Pinlist!$D$1,Chart!BC187,0)&amp;"_"&amp;OFFSET(Pinlist!$G$1,Chart!BC187,0),"")</f>
        <v/>
      </c>
      <c r="BH187" s="1098"/>
      <c r="BI187" s="178"/>
      <c r="BJ187" s="178"/>
      <c r="BK187" s="178"/>
      <c r="BL187" s="178"/>
      <c r="BM187" s="178"/>
      <c r="BN187" s="178"/>
      <c r="BO187" s="178"/>
      <c r="BP187" s="178"/>
      <c r="BQ187" s="196"/>
      <c r="BR187" s="196"/>
      <c r="BS187" s="196"/>
      <c r="BT187" s="196"/>
      <c r="BU187" s="196"/>
      <c r="BV187" s="196"/>
      <c r="BW187" s="178"/>
      <c r="BX187" s="196"/>
      <c r="BY187" s="196"/>
      <c r="BZ187" s="196"/>
      <c r="CA187" s="196"/>
      <c r="CB187" s="178"/>
      <c r="CC187" s="178"/>
      <c r="CD187" s="202"/>
      <c r="CE187" s="202"/>
      <c r="CF187" s="178"/>
      <c r="CG187" s="196"/>
      <c r="CH187" s="178"/>
      <c r="CI187" s="178"/>
      <c r="CJ187" s="178"/>
      <c r="CK187" s="178"/>
      <c r="CL187" s="178"/>
      <c r="CM187" s="178"/>
      <c r="CN187" s="178"/>
      <c r="CO187" s="178"/>
      <c r="CP187" s="178"/>
      <c r="CQ187" s="178"/>
      <c r="CR187" s="178"/>
      <c r="CS187" s="178"/>
      <c r="CT187" s="178"/>
      <c r="CU187" s="178"/>
      <c r="CV187" s="178"/>
      <c r="CW187" s="178"/>
      <c r="CX187" s="178"/>
      <c r="CY187" s="178"/>
      <c r="CZ187" s="178"/>
      <c r="DA187" s="150"/>
    </row>
    <row r="188" spans="53:105" x14ac:dyDescent="0.2">
      <c r="BA188" s="518">
        <f t="shared" ca="1" si="19"/>
        <v>61</v>
      </c>
      <c r="BB188" s="174">
        <f t="shared" ca="1" si="20"/>
        <v>125</v>
      </c>
      <c r="BC188" s="525" t="e">
        <f ca="1">MATCH(BD188,OFFSET(Pinlist!$A$2,BC187*(BA188=BA187),0,$BM$23,1),0)+BC187*(BA188=BA187)</f>
        <v>#N/A</v>
      </c>
      <c r="BD188" s="167">
        <f t="shared" ca="1" si="21"/>
        <v>0</v>
      </c>
      <c r="BE188" s="191" t="e">
        <f ca="1">(OFFSET(Pinlist!$E$1,BC188,0)-$BN$16)*$BN$19</f>
        <v>#N/A</v>
      </c>
      <c r="BF188" s="192" t="e">
        <f ca="1">(OFFSET(Pinlist!$F$1,BC188,0)-$BO$16)*$BO$19</f>
        <v>#N/A</v>
      </c>
      <c r="BG188" s="1098" t="str">
        <f ca="1">IF(LEFT(BD188,2)="RF",OFFSET(Pinlist!$D$1,Chart!BC188,0)&amp;"_"&amp;OFFSET(Pinlist!$G$1,Chart!BC188,0),"")</f>
        <v/>
      </c>
      <c r="BH188" s="1098"/>
      <c r="BI188" s="178"/>
      <c r="BJ188" s="178"/>
      <c r="BK188" s="178"/>
      <c r="BL188" s="178"/>
      <c r="BM188" s="178"/>
      <c r="BN188" s="178"/>
      <c r="BO188" s="178"/>
      <c r="BP188" s="178"/>
      <c r="BQ188" s="196"/>
      <c r="BR188" s="196"/>
      <c r="BS188" s="196"/>
      <c r="BT188" s="196"/>
      <c r="BU188" s="196"/>
      <c r="BV188" s="196"/>
      <c r="BW188" s="178"/>
      <c r="BX188" s="196"/>
      <c r="BY188" s="196"/>
      <c r="BZ188" s="196"/>
      <c r="CA188" s="196"/>
      <c r="CB188" s="178"/>
      <c r="CC188" s="178"/>
      <c r="CD188" s="202"/>
      <c r="CE188" s="202"/>
      <c r="CF188" s="178"/>
      <c r="CG188" s="196"/>
      <c r="CH188" s="178"/>
      <c r="CI188" s="178"/>
      <c r="CJ188" s="178"/>
      <c r="CK188" s="178"/>
      <c r="CL188" s="178"/>
      <c r="CM188" s="178"/>
      <c r="CN188" s="178"/>
      <c r="CO188" s="178"/>
      <c r="CP188" s="178"/>
      <c r="CQ188" s="178"/>
      <c r="CR188" s="178"/>
      <c r="CS188" s="178"/>
      <c r="CT188" s="178"/>
      <c r="CU188" s="178"/>
      <c r="CV188" s="178"/>
      <c r="CW188" s="178"/>
      <c r="CX188" s="178"/>
      <c r="CY188" s="178"/>
      <c r="CZ188" s="178"/>
      <c r="DA188" s="150"/>
    </row>
    <row r="189" spans="53:105" x14ac:dyDescent="0.2">
      <c r="BA189" s="518">
        <f t="shared" ca="1" si="19"/>
        <v>61</v>
      </c>
      <c r="BB189" s="174">
        <f t="shared" ca="1" si="20"/>
        <v>126</v>
      </c>
      <c r="BC189" s="525" t="e">
        <f ca="1">MATCH(BD189,OFFSET(Pinlist!$A$2,BC188*(BA189=BA188),0,$BM$23,1),0)+BC188*(BA189=BA188)</f>
        <v>#N/A</v>
      </c>
      <c r="BD189" s="167">
        <f t="shared" ca="1" si="21"/>
        <v>0</v>
      </c>
      <c r="BE189" s="191" t="e">
        <f ca="1">(OFFSET(Pinlist!$E$1,BC189,0)-$BN$16)*$BN$19</f>
        <v>#N/A</v>
      </c>
      <c r="BF189" s="192" t="e">
        <f ca="1">(OFFSET(Pinlist!$F$1,BC189,0)-$BO$16)*$BO$19</f>
        <v>#N/A</v>
      </c>
      <c r="BG189" s="1098" t="str">
        <f ca="1">IF(LEFT(BD189,2)="RF",OFFSET(Pinlist!$D$1,Chart!BC189,0)&amp;"_"&amp;OFFSET(Pinlist!$G$1,Chart!BC189,0),"")</f>
        <v/>
      </c>
      <c r="BH189" s="1098"/>
      <c r="BI189" s="178"/>
      <c r="BJ189" s="178"/>
      <c r="BK189" s="178"/>
      <c r="BL189" s="178"/>
      <c r="BM189" s="178"/>
      <c r="BN189" s="178"/>
      <c r="BO189" s="178"/>
      <c r="BP189" s="178"/>
      <c r="BQ189" s="196"/>
      <c r="BR189" s="196"/>
      <c r="BS189" s="196"/>
      <c r="BT189" s="196"/>
      <c r="BU189" s="196"/>
      <c r="BV189" s="196"/>
      <c r="BW189" s="178"/>
      <c r="BX189" s="196"/>
      <c r="BY189" s="196"/>
      <c r="BZ189" s="196"/>
      <c r="CA189" s="196"/>
      <c r="CB189" s="178"/>
      <c r="CC189" s="178"/>
      <c r="CD189" s="202"/>
      <c r="CE189" s="202"/>
      <c r="CF189" s="178"/>
      <c r="CG189" s="196"/>
      <c r="CH189" s="178"/>
      <c r="CI189" s="178"/>
      <c r="CJ189" s="178"/>
      <c r="CK189" s="178"/>
      <c r="CL189" s="178"/>
      <c r="CM189" s="178"/>
      <c r="CN189" s="178"/>
      <c r="CO189" s="178"/>
      <c r="CP189" s="178"/>
      <c r="CQ189" s="178"/>
      <c r="CR189" s="178"/>
      <c r="CS189" s="178"/>
      <c r="CT189" s="178"/>
      <c r="CU189" s="178"/>
      <c r="CV189" s="178"/>
      <c r="CW189" s="178"/>
      <c r="CX189" s="178"/>
      <c r="CY189" s="178"/>
      <c r="CZ189" s="178"/>
      <c r="DA189" s="150"/>
    </row>
    <row r="190" spans="53:105" x14ac:dyDescent="0.2">
      <c r="BA190" s="518">
        <f t="shared" ca="1" si="19"/>
        <v>61</v>
      </c>
      <c r="BB190" s="174">
        <f t="shared" ca="1" si="20"/>
        <v>127</v>
      </c>
      <c r="BC190" s="525" t="e">
        <f ca="1">MATCH(BD190,OFFSET(Pinlist!$A$2,BC189*(BA190=BA189),0,$BM$23,1),0)+BC189*(BA190=BA189)</f>
        <v>#N/A</v>
      </c>
      <c r="BD190" s="167">
        <f t="shared" ca="1" si="21"/>
        <v>0</v>
      </c>
      <c r="BE190" s="191" t="e">
        <f ca="1">(OFFSET(Pinlist!$E$1,BC190,0)-$BN$16)*$BN$19</f>
        <v>#N/A</v>
      </c>
      <c r="BF190" s="192" t="e">
        <f ca="1">(OFFSET(Pinlist!$F$1,BC190,0)-$BO$16)*$BO$19</f>
        <v>#N/A</v>
      </c>
      <c r="BG190" s="1098" t="str">
        <f ca="1">IF(LEFT(BD190,2)="RF",OFFSET(Pinlist!$D$1,Chart!BC190,0)&amp;"_"&amp;OFFSET(Pinlist!$G$1,Chart!BC190,0),"")</f>
        <v/>
      </c>
      <c r="BH190" s="1098"/>
      <c r="BI190" s="178"/>
      <c r="BJ190" s="178"/>
      <c r="BK190" s="178"/>
      <c r="BL190" s="178"/>
      <c r="BM190" s="178"/>
      <c r="BN190" s="178"/>
      <c r="BO190" s="178"/>
      <c r="BP190" s="178"/>
      <c r="BQ190" s="196"/>
      <c r="BR190" s="196"/>
      <c r="BS190" s="196"/>
      <c r="BT190" s="196"/>
      <c r="BU190" s="196"/>
      <c r="BV190" s="196"/>
      <c r="BW190" s="178"/>
      <c r="BX190" s="196"/>
      <c r="BY190" s="196"/>
      <c r="BZ190" s="196"/>
      <c r="CA190" s="196"/>
      <c r="CB190" s="178"/>
      <c r="CC190" s="178"/>
      <c r="CD190" s="202"/>
      <c r="CE190" s="202"/>
      <c r="CF190" s="178"/>
      <c r="CG190" s="196"/>
      <c r="CH190" s="178"/>
      <c r="CI190" s="178"/>
      <c r="CJ190" s="178"/>
      <c r="CK190" s="178"/>
      <c r="CL190" s="178"/>
      <c r="CM190" s="178"/>
      <c r="CN190" s="178"/>
      <c r="CO190" s="178"/>
      <c r="CP190" s="178"/>
      <c r="CQ190" s="178"/>
      <c r="CR190" s="178"/>
      <c r="CS190" s="178"/>
      <c r="CT190" s="178"/>
      <c r="CU190" s="178"/>
      <c r="CV190" s="178"/>
      <c r="CW190" s="178"/>
      <c r="CX190" s="178"/>
      <c r="CY190" s="178"/>
      <c r="CZ190" s="178"/>
      <c r="DA190" s="150"/>
    </row>
    <row r="191" spans="53:105" x14ac:dyDescent="0.2">
      <c r="BA191" s="518">
        <f t="shared" ca="1" si="19"/>
        <v>61</v>
      </c>
      <c r="BB191" s="174">
        <f t="shared" ca="1" si="20"/>
        <v>128</v>
      </c>
      <c r="BC191" s="525" t="e">
        <f ca="1">MATCH(BD191,OFFSET(Pinlist!$A$2,BC190*(BA191=BA190),0,$BM$23,1),0)+BC190*(BA191=BA190)</f>
        <v>#N/A</v>
      </c>
      <c r="BD191" s="167">
        <f t="shared" ca="1" si="21"/>
        <v>0</v>
      </c>
      <c r="BE191" s="191" t="e">
        <f ca="1">(OFFSET(Pinlist!$E$1,BC191,0)-$BN$16)*$BN$19</f>
        <v>#N/A</v>
      </c>
      <c r="BF191" s="192" t="e">
        <f ca="1">(OFFSET(Pinlist!$F$1,BC191,0)-$BO$16)*$BO$19</f>
        <v>#N/A</v>
      </c>
      <c r="BG191" s="1098" t="str">
        <f ca="1">IF(LEFT(BD191,2)="RF",OFFSET(Pinlist!$D$1,Chart!BC191,0)&amp;"_"&amp;OFFSET(Pinlist!$G$1,Chart!BC191,0),"")</f>
        <v/>
      </c>
      <c r="BH191" s="1098"/>
      <c r="BI191" s="178"/>
      <c r="BJ191" s="178"/>
      <c r="BK191" s="178"/>
      <c r="BL191" s="178"/>
      <c r="BM191" s="178"/>
      <c r="BN191" s="178"/>
      <c r="BO191" s="178"/>
      <c r="BP191" s="178"/>
      <c r="BQ191" s="196"/>
      <c r="BR191" s="196"/>
      <c r="BS191" s="196"/>
      <c r="BT191" s="196"/>
      <c r="BU191" s="196"/>
      <c r="BV191" s="196"/>
      <c r="BW191" s="178"/>
      <c r="BX191" s="196"/>
      <c r="BY191" s="196"/>
      <c r="BZ191" s="196"/>
      <c r="CA191" s="196"/>
      <c r="CB191" s="178"/>
      <c r="CC191" s="178"/>
      <c r="CD191" s="202"/>
      <c r="CE191" s="202"/>
      <c r="CF191" s="178"/>
      <c r="CG191" s="196"/>
      <c r="CH191" s="178"/>
      <c r="CI191" s="178"/>
      <c r="CJ191" s="178"/>
      <c r="CK191" s="178"/>
      <c r="CL191" s="178"/>
      <c r="CM191" s="178"/>
      <c r="CN191" s="178"/>
      <c r="CO191" s="178"/>
      <c r="CP191" s="178"/>
      <c r="CQ191" s="178"/>
      <c r="CR191" s="178"/>
      <c r="CS191" s="178"/>
      <c r="CT191" s="178"/>
      <c r="CU191" s="178"/>
      <c r="CV191" s="178"/>
      <c r="CW191" s="178"/>
      <c r="CX191" s="178"/>
      <c r="CY191" s="178"/>
      <c r="CZ191" s="178"/>
      <c r="DA191" s="150"/>
    </row>
    <row r="192" spans="53:105" x14ac:dyDescent="0.2">
      <c r="BA192" s="518">
        <f t="shared" ca="1" si="19"/>
        <v>61</v>
      </c>
      <c r="BB192" s="174">
        <f t="shared" ca="1" si="20"/>
        <v>129</v>
      </c>
      <c r="BC192" s="525" t="e">
        <f ca="1">MATCH(BD192,OFFSET(Pinlist!$A$2,BC191*(BA192=BA191),0,$BM$23,1),0)+BC191*(BA192=BA191)</f>
        <v>#N/A</v>
      </c>
      <c r="BD192" s="167">
        <f t="shared" ca="1" si="21"/>
        <v>0</v>
      </c>
      <c r="BE192" s="191" t="e">
        <f ca="1">(OFFSET(Pinlist!$E$1,BC192,0)-$BN$16)*$BN$19</f>
        <v>#N/A</v>
      </c>
      <c r="BF192" s="192" t="e">
        <f ca="1">(OFFSET(Pinlist!$F$1,BC192,0)-$BO$16)*$BO$19</f>
        <v>#N/A</v>
      </c>
      <c r="BG192" s="1098" t="str">
        <f ca="1">IF(LEFT(BD192,2)="RF",OFFSET(Pinlist!$D$1,Chart!BC192,0)&amp;"_"&amp;OFFSET(Pinlist!$G$1,Chart!BC192,0),"")</f>
        <v/>
      </c>
      <c r="BH192" s="1098"/>
      <c r="BI192" s="178"/>
      <c r="BJ192" s="178"/>
      <c r="BK192" s="178"/>
      <c r="BL192" s="178"/>
      <c r="BM192" s="178"/>
      <c r="BN192" s="178"/>
      <c r="BO192" s="178"/>
      <c r="BP192" s="178"/>
      <c r="BQ192" s="196"/>
      <c r="BR192" s="196"/>
      <c r="BS192" s="196"/>
      <c r="BT192" s="196"/>
      <c r="BU192" s="196"/>
      <c r="BV192" s="196"/>
      <c r="BW192" s="178"/>
      <c r="BX192" s="196"/>
      <c r="BY192" s="196"/>
      <c r="BZ192" s="196"/>
      <c r="CA192" s="196"/>
      <c r="CB192" s="178"/>
      <c r="CC192" s="178"/>
      <c r="CD192" s="202"/>
      <c r="CE192" s="202"/>
      <c r="CF192" s="178"/>
      <c r="CG192" s="196"/>
      <c r="CH192" s="178"/>
      <c r="CI192" s="178"/>
      <c r="CJ192" s="178"/>
      <c r="CK192" s="178"/>
      <c r="CL192" s="178"/>
      <c r="CM192" s="178"/>
      <c r="CN192" s="178"/>
      <c r="CO192" s="178"/>
      <c r="CP192" s="178"/>
      <c r="CQ192" s="178"/>
      <c r="CR192" s="178"/>
      <c r="CS192" s="178"/>
      <c r="CT192" s="178"/>
      <c r="CU192" s="178"/>
      <c r="CV192" s="178"/>
      <c r="CW192" s="178"/>
      <c r="CX192" s="178"/>
      <c r="CY192" s="178"/>
      <c r="CZ192" s="178"/>
      <c r="DA192" s="150"/>
    </row>
    <row r="193" spans="53:105" x14ac:dyDescent="0.2">
      <c r="BA193" s="518">
        <f t="shared" ca="1" si="19"/>
        <v>61</v>
      </c>
      <c r="BB193" s="174">
        <f t="shared" ca="1" si="20"/>
        <v>130</v>
      </c>
      <c r="BC193" s="525" t="e">
        <f ca="1">MATCH(BD193,OFFSET(Pinlist!$A$2,BC192*(BA193=BA192),0,$BM$23,1),0)+BC192*(BA193=BA192)</f>
        <v>#N/A</v>
      </c>
      <c r="BD193" s="167">
        <f t="shared" ca="1" si="21"/>
        <v>0</v>
      </c>
      <c r="BE193" s="191" t="e">
        <f ca="1">(OFFSET(Pinlist!$E$1,BC193,0)-$BN$16)*$BN$19</f>
        <v>#N/A</v>
      </c>
      <c r="BF193" s="192" t="e">
        <f ca="1">(OFFSET(Pinlist!$F$1,BC193,0)-$BO$16)*$BO$19</f>
        <v>#N/A</v>
      </c>
      <c r="BG193" s="1098" t="str">
        <f ca="1">IF(LEFT(BD193,2)="RF",OFFSET(Pinlist!$D$1,Chart!BC193,0)&amp;"_"&amp;OFFSET(Pinlist!$G$1,Chart!BC193,0),"")</f>
        <v/>
      </c>
      <c r="BH193" s="1098"/>
      <c r="BI193" s="178"/>
      <c r="BJ193" s="178"/>
      <c r="BK193" s="178"/>
      <c r="BL193" s="178"/>
      <c r="BM193" s="178"/>
      <c r="BN193" s="178"/>
      <c r="BO193" s="178"/>
      <c r="BP193" s="178"/>
      <c r="BQ193" s="196"/>
      <c r="BR193" s="196"/>
      <c r="BS193" s="196"/>
      <c r="BT193" s="196"/>
      <c r="BU193" s="196"/>
      <c r="BV193" s="196"/>
      <c r="BW193" s="178"/>
      <c r="BX193" s="196"/>
      <c r="BY193" s="196"/>
      <c r="BZ193" s="196"/>
      <c r="CA193" s="196"/>
      <c r="CB193" s="178"/>
      <c r="CC193" s="178"/>
      <c r="CD193" s="202"/>
      <c r="CE193" s="202"/>
      <c r="CF193" s="178"/>
      <c r="CG193" s="196"/>
      <c r="CH193" s="178"/>
      <c r="CI193" s="178"/>
      <c r="CJ193" s="178"/>
      <c r="CK193" s="178"/>
      <c r="CL193" s="178"/>
      <c r="CM193" s="178"/>
      <c r="CN193" s="178"/>
      <c r="CO193" s="178"/>
      <c r="CP193" s="178"/>
      <c r="CQ193" s="178"/>
      <c r="CR193" s="178"/>
      <c r="CS193" s="178"/>
      <c r="CT193" s="178"/>
      <c r="CU193" s="178"/>
      <c r="CV193" s="178"/>
      <c r="CW193" s="178"/>
      <c r="CX193" s="178"/>
      <c r="CY193" s="178"/>
      <c r="CZ193" s="178"/>
      <c r="DA193" s="150"/>
    </row>
    <row r="194" spans="53:105" x14ac:dyDescent="0.2">
      <c r="BA194" s="518">
        <f t="shared" ca="1" si="19"/>
        <v>61</v>
      </c>
      <c r="BB194" s="174">
        <f t="shared" ca="1" si="20"/>
        <v>131</v>
      </c>
      <c r="BC194" s="525" t="e">
        <f ca="1">MATCH(BD194,OFFSET(Pinlist!$A$2,BC193*(BA194=BA193),0,$BM$23,1),0)+BC193*(BA194=BA193)</f>
        <v>#N/A</v>
      </c>
      <c r="BD194" s="167">
        <f t="shared" ca="1" si="21"/>
        <v>0</v>
      </c>
      <c r="BE194" s="191" t="e">
        <f ca="1">(OFFSET(Pinlist!$E$1,BC194,0)-$BN$16)*$BN$19</f>
        <v>#N/A</v>
      </c>
      <c r="BF194" s="192" t="e">
        <f ca="1">(OFFSET(Pinlist!$F$1,BC194,0)-$BO$16)*$BO$19</f>
        <v>#N/A</v>
      </c>
      <c r="BG194" s="1098" t="str">
        <f ca="1">IF(LEFT(BD194,2)="RF",OFFSET(Pinlist!$D$1,Chart!BC194,0)&amp;"_"&amp;OFFSET(Pinlist!$G$1,Chart!BC194,0),"")</f>
        <v/>
      </c>
      <c r="BH194" s="1098"/>
      <c r="BI194" s="178"/>
      <c r="BJ194" s="178"/>
      <c r="BK194" s="178"/>
      <c r="BL194" s="178"/>
      <c r="BM194" s="178"/>
      <c r="BN194" s="178"/>
      <c r="BO194" s="178"/>
      <c r="BP194" s="178"/>
      <c r="BQ194" s="196"/>
      <c r="BR194" s="196"/>
      <c r="BS194" s="196"/>
      <c r="BT194" s="196"/>
      <c r="BU194" s="196"/>
      <c r="BV194" s="196"/>
      <c r="BW194" s="178"/>
      <c r="BX194" s="196"/>
      <c r="BY194" s="196"/>
      <c r="BZ194" s="196"/>
      <c r="CA194" s="196"/>
      <c r="CB194" s="178"/>
      <c r="CC194" s="178"/>
      <c r="CD194" s="202"/>
      <c r="CE194" s="202"/>
      <c r="CF194" s="178"/>
      <c r="CG194" s="196"/>
      <c r="CH194" s="178"/>
      <c r="CI194" s="178"/>
      <c r="CJ194" s="178"/>
      <c r="CK194" s="178"/>
      <c r="CL194" s="178"/>
      <c r="CM194" s="178"/>
      <c r="CN194" s="178"/>
      <c r="CO194" s="178"/>
      <c r="CP194" s="178"/>
      <c r="CQ194" s="178"/>
      <c r="CR194" s="178"/>
      <c r="CS194" s="178"/>
      <c r="CT194" s="178"/>
      <c r="CU194" s="178"/>
      <c r="CV194" s="178"/>
      <c r="CW194" s="178"/>
      <c r="CX194" s="178"/>
      <c r="CY194" s="178"/>
      <c r="CZ194" s="178"/>
      <c r="DA194" s="150"/>
    </row>
    <row r="195" spans="53:105" x14ac:dyDescent="0.2">
      <c r="BA195" s="518">
        <f t="shared" ca="1" si="19"/>
        <v>61</v>
      </c>
      <c r="BB195" s="174">
        <f t="shared" ca="1" si="20"/>
        <v>132</v>
      </c>
      <c r="BC195" s="525" t="e">
        <f ca="1">MATCH(BD195,OFFSET(Pinlist!$A$2,BC194*(BA195=BA194),0,$BM$23,1),0)+BC194*(BA195=BA194)</f>
        <v>#N/A</v>
      </c>
      <c r="BD195" s="167">
        <f t="shared" ca="1" si="21"/>
        <v>0</v>
      </c>
      <c r="BE195" s="191" t="e">
        <f ca="1">(OFFSET(Pinlist!$E$1,BC195,0)-$BN$16)*$BN$19</f>
        <v>#N/A</v>
      </c>
      <c r="BF195" s="192" t="e">
        <f ca="1">(OFFSET(Pinlist!$F$1,BC195,0)-$BO$16)*$BO$19</f>
        <v>#N/A</v>
      </c>
      <c r="BG195" s="1098" t="str">
        <f ca="1">IF(LEFT(BD195,2)="RF",OFFSET(Pinlist!$D$1,Chart!BC195,0)&amp;"_"&amp;OFFSET(Pinlist!$G$1,Chart!BC195,0),"")</f>
        <v/>
      </c>
      <c r="BH195" s="1098"/>
      <c r="BI195" s="178"/>
      <c r="BJ195" s="178"/>
      <c r="BK195" s="178"/>
      <c r="BL195" s="178"/>
      <c r="BM195" s="178"/>
      <c r="BN195" s="178"/>
      <c r="BO195" s="178"/>
      <c r="BP195" s="178"/>
      <c r="BQ195" s="196"/>
      <c r="BR195" s="196"/>
      <c r="BS195" s="196"/>
      <c r="BT195" s="196"/>
      <c r="BU195" s="196"/>
      <c r="BV195" s="196"/>
      <c r="BW195" s="178"/>
      <c r="BX195" s="196"/>
      <c r="BY195" s="196"/>
      <c r="BZ195" s="196"/>
      <c r="CA195" s="196"/>
      <c r="CB195" s="178"/>
      <c r="CC195" s="178"/>
      <c r="CD195" s="202"/>
      <c r="CE195" s="202"/>
      <c r="CF195" s="178"/>
      <c r="CG195" s="196"/>
      <c r="CH195" s="178"/>
      <c r="CI195" s="178"/>
      <c r="CJ195" s="178"/>
      <c r="CK195" s="178"/>
      <c r="CL195" s="178"/>
      <c r="CM195" s="178"/>
      <c r="CN195" s="178"/>
      <c r="CO195" s="178"/>
      <c r="CP195" s="178"/>
      <c r="CQ195" s="178"/>
      <c r="CR195" s="178"/>
      <c r="CS195" s="178"/>
      <c r="CT195" s="178"/>
      <c r="CU195" s="178"/>
      <c r="CV195" s="178"/>
      <c r="CW195" s="178"/>
      <c r="CX195" s="178"/>
      <c r="CY195" s="178"/>
      <c r="CZ195" s="178"/>
      <c r="DA195" s="150"/>
    </row>
    <row r="196" spans="53:105" x14ac:dyDescent="0.2">
      <c r="BA196" s="518">
        <f t="shared" ref="BA196:BA259" ca="1" si="22">BA195+(BB195=OFFSET($BZ$3,BA195,0))</f>
        <v>61</v>
      </c>
      <c r="BB196" s="174">
        <f t="shared" ref="BB196:BB259" ca="1" si="23">IF(BA196=BA195,BB195+1,1)</f>
        <v>133</v>
      </c>
      <c r="BC196" s="525" t="e">
        <f ca="1">MATCH(BD196,OFFSET(Pinlist!$A$2,BC195*(BA196=BA195),0,$BM$23,1),0)+BC195*(BA196=BA195)</f>
        <v>#N/A</v>
      </c>
      <c r="BD196" s="167">
        <f t="shared" ref="BD196:BD259" ca="1" si="24">OFFSET($BY$3,BA196,0)</f>
        <v>0</v>
      </c>
      <c r="BE196" s="191" t="e">
        <f ca="1">(OFFSET(Pinlist!$E$1,BC196,0)-$BN$16)*$BN$19</f>
        <v>#N/A</v>
      </c>
      <c r="BF196" s="192" t="e">
        <f ca="1">(OFFSET(Pinlist!$F$1,BC196,0)-$BO$16)*$BO$19</f>
        <v>#N/A</v>
      </c>
      <c r="BG196" s="1098" t="str">
        <f ca="1">IF(LEFT(BD196,2)="RF",OFFSET(Pinlist!$D$1,Chart!BC196,0)&amp;"_"&amp;OFFSET(Pinlist!$G$1,Chart!BC196,0),"")</f>
        <v/>
      </c>
      <c r="BH196" s="1098"/>
      <c r="BI196" s="178"/>
      <c r="BJ196" s="178"/>
      <c r="BK196" s="178"/>
      <c r="BL196" s="178"/>
      <c r="BM196" s="178"/>
      <c r="BN196" s="178"/>
      <c r="BO196" s="178"/>
      <c r="BP196" s="178"/>
      <c r="BQ196" s="196"/>
      <c r="BR196" s="196"/>
      <c r="BS196" s="196"/>
      <c r="BT196" s="196"/>
      <c r="BU196" s="196"/>
      <c r="BV196" s="196"/>
      <c r="BW196" s="178"/>
      <c r="BX196" s="196"/>
      <c r="BY196" s="196"/>
      <c r="BZ196" s="196"/>
      <c r="CA196" s="196"/>
      <c r="CB196" s="178"/>
      <c r="CC196" s="178"/>
      <c r="CD196" s="202"/>
      <c r="CE196" s="202"/>
      <c r="CF196" s="178"/>
      <c r="CG196" s="196"/>
      <c r="CH196" s="178"/>
      <c r="CI196" s="178"/>
      <c r="CJ196" s="178"/>
      <c r="CK196" s="178"/>
      <c r="CL196" s="178"/>
      <c r="CM196" s="178"/>
      <c r="CN196" s="178"/>
      <c r="CO196" s="178"/>
      <c r="CP196" s="178"/>
      <c r="CQ196" s="178"/>
      <c r="CR196" s="178"/>
      <c r="CS196" s="178"/>
      <c r="CT196" s="178"/>
      <c r="CU196" s="178"/>
      <c r="CV196" s="178"/>
      <c r="CW196" s="178"/>
      <c r="CX196" s="178"/>
      <c r="CY196" s="178"/>
      <c r="CZ196" s="178"/>
      <c r="DA196" s="150"/>
    </row>
    <row r="197" spans="53:105" x14ac:dyDescent="0.2">
      <c r="BA197" s="518">
        <f t="shared" ca="1" si="22"/>
        <v>61</v>
      </c>
      <c r="BB197" s="174">
        <f t="shared" ca="1" si="23"/>
        <v>134</v>
      </c>
      <c r="BC197" s="525" t="e">
        <f ca="1">MATCH(BD197,OFFSET(Pinlist!$A$2,BC196*(BA197=BA196),0,$BM$23,1),0)+BC196*(BA197=BA196)</f>
        <v>#N/A</v>
      </c>
      <c r="BD197" s="167">
        <f t="shared" ca="1" si="24"/>
        <v>0</v>
      </c>
      <c r="BE197" s="191" t="e">
        <f ca="1">(OFFSET(Pinlist!$E$1,BC197,0)-$BN$16)*$BN$19</f>
        <v>#N/A</v>
      </c>
      <c r="BF197" s="192" t="e">
        <f ca="1">(OFFSET(Pinlist!$F$1,BC197,0)-$BO$16)*$BO$19</f>
        <v>#N/A</v>
      </c>
      <c r="BG197" s="1098" t="str">
        <f ca="1">IF(LEFT(BD197,2)="RF",OFFSET(Pinlist!$D$1,Chart!BC197,0)&amp;"_"&amp;OFFSET(Pinlist!$G$1,Chart!BC197,0),"")</f>
        <v/>
      </c>
      <c r="BH197" s="1098"/>
      <c r="BI197" s="178"/>
      <c r="BJ197" s="178"/>
      <c r="BK197" s="178"/>
      <c r="BL197" s="178"/>
      <c r="BM197" s="178"/>
      <c r="BN197" s="178"/>
      <c r="BO197" s="178"/>
      <c r="BP197" s="178"/>
      <c r="BQ197" s="196"/>
      <c r="BR197" s="196"/>
      <c r="BS197" s="196"/>
      <c r="BT197" s="196"/>
      <c r="BU197" s="196"/>
      <c r="BV197" s="196"/>
      <c r="BW197" s="178"/>
      <c r="BX197" s="196"/>
      <c r="BY197" s="196"/>
      <c r="BZ197" s="196"/>
      <c r="CA197" s="196"/>
      <c r="CB197" s="178"/>
      <c r="CC197" s="178"/>
      <c r="CD197" s="202"/>
      <c r="CE197" s="202"/>
      <c r="CF197" s="178"/>
      <c r="CG197" s="196"/>
      <c r="CH197" s="178"/>
      <c r="CI197" s="178"/>
      <c r="CJ197" s="178"/>
      <c r="CK197" s="178"/>
      <c r="CL197" s="178"/>
      <c r="CM197" s="178"/>
      <c r="CN197" s="178"/>
      <c r="CO197" s="178"/>
      <c r="CP197" s="178"/>
      <c r="CQ197" s="178"/>
      <c r="CR197" s="178"/>
      <c r="CS197" s="178"/>
      <c r="CT197" s="178"/>
      <c r="CU197" s="178"/>
      <c r="CV197" s="178"/>
      <c r="CW197" s="178"/>
      <c r="CX197" s="178"/>
      <c r="CY197" s="178"/>
      <c r="CZ197" s="178"/>
      <c r="DA197" s="150"/>
    </row>
    <row r="198" spans="53:105" x14ac:dyDescent="0.2">
      <c r="BA198" s="518">
        <f t="shared" ca="1" si="22"/>
        <v>61</v>
      </c>
      <c r="BB198" s="174">
        <f t="shared" ca="1" si="23"/>
        <v>135</v>
      </c>
      <c r="BC198" s="525" t="e">
        <f ca="1">MATCH(BD198,OFFSET(Pinlist!$A$2,BC197*(BA198=BA197),0,$BM$23,1),0)+BC197*(BA198=BA197)</f>
        <v>#N/A</v>
      </c>
      <c r="BD198" s="167">
        <f t="shared" ca="1" si="24"/>
        <v>0</v>
      </c>
      <c r="BE198" s="191" t="e">
        <f ca="1">(OFFSET(Pinlist!$E$1,BC198,0)-$BN$16)*$BN$19</f>
        <v>#N/A</v>
      </c>
      <c r="BF198" s="192" t="e">
        <f ca="1">(OFFSET(Pinlist!$F$1,BC198,0)-$BO$16)*$BO$19</f>
        <v>#N/A</v>
      </c>
      <c r="BG198" s="1098" t="str">
        <f ca="1">IF(LEFT(BD198,2)="RF",OFFSET(Pinlist!$D$1,Chart!BC198,0)&amp;"_"&amp;OFFSET(Pinlist!$G$1,Chart!BC198,0),"")</f>
        <v/>
      </c>
      <c r="BH198" s="1098"/>
      <c r="BI198" s="178"/>
      <c r="BJ198" s="178"/>
      <c r="BK198" s="178"/>
      <c r="BL198" s="178"/>
      <c r="BM198" s="178"/>
      <c r="BN198" s="178"/>
      <c r="BO198" s="178"/>
      <c r="BP198" s="178"/>
      <c r="BQ198" s="196"/>
      <c r="BR198" s="196"/>
      <c r="BS198" s="196"/>
      <c r="BT198" s="196"/>
      <c r="BU198" s="196"/>
      <c r="BV198" s="196"/>
      <c r="BW198" s="178"/>
      <c r="BX198" s="196"/>
      <c r="BY198" s="196"/>
      <c r="BZ198" s="196"/>
      <c r="CA198" s="196"/>
      <c r="CB198" s="178"/>
      <c r="CC198" s="178"/>
      <c r="CD198" s="202"/>
      <c r="CE198" s="202"/>
      <c r="CF198" s="178"/>
      <c r="CG198" s="196"/>
      <c r="CH198" s="178"/>
      <c r="CI198" s="178"/>
      <c r="CJ198" s="178"/>
      <c r="CK198" s="178"/>
      <c r="CL198" s="178"/>
      <c r="CM198" s="178"/>
      <c r="CN198" s="178"/>
      <c r="CO198" s="178"/>
      <c r="CP198" s="178"/>
      <c r="CQ198" s="178"/>
      <c r="CR198" s="178"/>
      <c r="CS198" s="178"/>
      <c r="CT198" s="178"/>
      <c r="CU198" s="178"/>
      <c r="CV198" s="178"/>
      <c r="CW198" s="178"/>
      <c r="CX198" s="178"/>
      <c r="CY198" s="178"/>
      <c r="CZ198" s="178"/>
      <c r="DA198" s="150"/>
    </row>
    <row r="199" spans="53:105" x14ac:dyDescent="0.2">
      <c r="BA199" s="518">
        <f t="shared" ca="1" si="22"/>
        <v>61</v>
      </c>
      <c r="BB199" s="174">
        <f t="shared" ca="1" si="23"/>
        <v>136</v>
      </c>
      <c r="BC199" s="525" t="e">
        <f ca="1">MATCH(BD199,OFFSET(Pinlist!$A$2,BC198*(BA199=BA198),0,$BM$23,1),0)+BC198*(BA199=BA198)</f>
        <v>#N/A</v>
      </c>
      <c r="BD199" s="167">
        <f t="shared" ca="1" si="24"/>
        <v>0</v>
      </c>
      <c r="BE199" s="191" t="e">
        <f ca="1">(OFFSET(Pinlist!$E$1,BC199,0)-$BN$16)*$BN$19</f>
        <v>#N/A</v>
      </c>
      <c r="BF199" s="192" t="e">
        <f ca="1">(OFFSET(Pinlist!$F$1,BC199,0)-$BO$16)*$BO$19</f>
        <v>#N/A</v>
      </c>
      <c r="BG199" s="1098" t="str">
        <f ca="1">IF(LEFT(BD199,2)="RF",OFFSET(Pinlist!$D$1,Chart!BC199,0)&amp;"_"&amp;OFFSET(Pinlist!$G$1,Chart!BC199,0),"")</f>
        <v/>
      </c>
      <c r="BH199" s="1098"/>
      <c r="BI199" s="178"/>
      <c r="BJ199" s="178"/>
      <c r="BK199" s="178"/>
      <c r="BL199" s="178"/>
      <c r="BM199" s="178"/>
      <c r="BN199" s="178"/>
      <c r="BO199" s="178"/>
      <c r="BP199" s="178"/>
      <c r="BQ199" s="196"/>
      <c r="BR199" s="196"/>
      <c r="BS199" s="196"/>
      <c r="BT199" s="196"/>
      <c r="BU199" s="196"/>
      <c r="BV199" s="196"/>
      <c r="BW199" s="178"/>
      <c r="BX199" s="196"/>
      <c r="BY199" s="196"/>
      <c r="BZ199" s="196"/>
      <c r="CA199" s="196"/>
      <c r="CB199" s="178"/>
      <c r="CC199" s="178"/>
      <c r="CD199" s="202"/>
      <c r="CE199" s="202"/>
      <c r="CF199" s="178"/>
      <c r="CG199" s="196"/>
      <c r="CH199" s="178"/>
      <c r="CI199" s="178"/>
      <c r="CJ199" s="178"/>
      <c r="CK199" s="178"/>
      <c r="CL199" s="178"/>
      <c r="CM199" s="178"/>
      <c r="CN199" s="178"/>
      <c r="CO199" s="178"/>
      <c r="CP199" s="178"/>
      <c r="CQ199" s="178"/>
      <c r="CR199" s="178"/>
      <c r="CS199" s="178"/>
      <c r="CT199" s="178"/>
      <c r="CU199" s="178"/>
      <c r="CV199" s="178"/>
      <c r="CW199" s="178"/>
      <c r="CX199" s="178"/>
      <c r="CY199" s="178"/>
      <c r="CZ199" s="178"/>
      <c r="DA199" s="150"/>
    </row>
    <row r="200" spans="53:105" x14ac:dyDescent="0.2">
      <c r="BA200" s="518">
        <f t="shared" ca="1" si="22"/>
        <v>61</v>
      </c>
      <c r="BB200" s="174">
        <f t="shared" ca="1" si="23"/>
        <v>137</v>
      </c>
      <c r="BC200" s="525" t="e">
        <f ca="1">MATCH(BD200,OFFSET(Pinlist!$A$2,BC199*(BA200=BA199),0,$BM$23,1),0)+BC199*(BA200=BA199)</f>
        <v>#N/A</v>
      </c>
      <c r="BD200" s="167">
        <f t="shared" ca="1" si="24"/>
        <v>0</v>
      </c>
      <c r="BE200" s="191" t="e">
        <f ca="1">(OFFSET(Pinlist!$E$1,BC200,0)-$BN$16)*$BN$19</f>
        <v>#N/A</v>
      </c>
      <c r="BF200" s="192" t="e">
        <f ca="1">(OFFSET(Pinlist!$F$1,BC200,0)-$BO$16)*$BO$19</f>
        <v>#N/A</v>
      </c>
      <c r="BG200" s="1098" t="str">
        <f ca="1">IF(LEFT(BD200,2)="RF",OFFSET(Pinlist!$D$1,Chart!BC200,0)&amp;"_"&amp;OFFSET(Pinlist!$G$1,Chart!BC200,0),"")</f>
        <v/>
      </c>
      <c r="BH200" s="1098"/>
      <c r="BI200" s="178"/>
      <c r="BJ200" s="178"/>
      <c r="BK200" s="178"/>
      <c r="BL200" s="178"/>
      <c r="BM200" s="178"/>
      <c r="BN200" s="178"/>
      <c r="BO200" s="178"/>
      <c r="BP200" s="178"/>
      <c r="BQ200" s="196"/>
      <c r="BR200" s="196"/>
      <c r="BS200" s="196"/>
      <c r="BT200" s="196"/>
      <c r="BU200" s="196"/>
      <c r="BV200" s="196"/>
      <c r="BW200" s="178"/>
      <c r="BX200" s="196"/>
      <c r="BY200" s="196"/>
      <c r="BZ200" s="196"/>
      <c r="CA200" s="196"/>
      <c r="CB200" s="178"/>
      <c r="CC200" s="178"/>
      <c r="CD200" s="202"/>
      <c r="CE200" s="202"/>
      <c r="CF200" s="178"/>
      <c r="CG200" s="196"/>
      <c r="CH200" s="178"/>
      <c r="CI200" s="178"/>
      <c r="CJ200" s="178"/>
      <c r="CK200" s="178"/>
      <c r="CL200" s="178"/>
      <c r="CM200" s="178"/>
      <c r="CN200" s="178"/>
      <c r="CO200" s="178"/>
      <c r="CP200" s="178"/>
      <c r="CQ200" s="178"/>
      <c r="CR200" s="178"/>
      <c r="CS200" s="178"/>
      <c r="CT200" s="178"/>
      <c r="CU200" s="178"/>
      <c r="CV200" s="178"/>
      <c r="CW200" s="178"/>
      <c r="CX200" s="178"/>
      <c r="CY200" s="178"/>
      <c r="CZ200" s="178"/>
      <c r="DA200" s="150"/>
    </row>
    <row r="201" spans="53:105" x14ac:dyDescent="0.2">
      <c r="BA201" s="518">
        <f t="shared" ca="1" si="22"/>
        <v>61</v>
      </c>
      <c r="BB201" s="174">
        <f t="shared" ca="1" si="23"/>
        <v>138</v>
      </c>
      <c r="BC201" s="525" t="e">
        <f ca="1">MATCH(BD201,OFFSET(Pinlist!$A$2,BC200*(BA201=BA200),0,$BM$23,1),0)+BC200*(BA201=BA200)</f>
        <v>#N/A</v>
      </c>
      <c r="BD201" s="167">
        <f t="shared" ca="1" si="24"/>
        <v>0</v>
      </c>
      <c r="BE201" s="191" t="e">
        <f ca="1">(OFFSET(Pinlist!$E$1,BC201,0)-$BN$16)*$BN$19</f>
        <v>#N/A</v>
      </c>
      <c r="BF201" s="192" t="e">
        <f ca="1">(OFFSET(Pinlist!$F$1,BC201,0)-$BO$16)*$BO$19</f>
        <v>#N/A</v>
      </c>
      <c r="BG201" s="1098" t="str">
        <f ca="1">IF(LEFT(BD201,2)="RF",OFFSET(Pinlist!$D$1,Chart!BC201,0)&amp;"_"&amp;OFFSET(Pinlist!$G$1,Chart!BC201,0),"")</f>
        <v/>
      </c>
      <c r="BH201" s="1098"/>
      <c r="BI201" s="178"/>
      <c r="BJ201" s="178"/>
      <c r="BK201" s="178"/>
      <c r="BL201" s="178"/>
      <c r="BM201" s="178"/>
      <c r="BN201" s="178"/>
      <c r="BO201" s="178"/>
      <c r="BP201" s="178"/>
      <c r="BQ201" s="196"/>
      <c r="BR201" s="196"/>
      <c r="BS201" s="196"/>
      <c r="BT201" s="196"/>
      <c r="BU201" s="196"/>
      <c r="BV201" s="196"/>
      <c r="BW201" s="178"/>
      <c r="BX201" s="196"/>
      <c r="BY201" s="196"/>
      <c r="BZ201" s="196"/>
      <c r="CA201" s="196"/>
      <c r="CB201" s="178"/>
      <c r="CC201" s="178"/>
      <c r="CD201" s="202"/>
      <c r="CE201" s="202"/>
      <c r="CF201" s="178"/>
      <c r="CG201" s="196"/>
      <c r="CH201" s="178"/>
      <c r="CI201" s="178"/>
      <c r="CJ201" s="178"/>
      <c r="CK201" s="178"/>
      <c r="CL201" s="178"/>
      <c r="CM201" s="178"/>
      <c r="CN201" s="178"/>
      <c r="CO201" s="178"/>
      <c r="CP201" s="178"/>
      <c r="CQ201" s="178"/>
      <c r="CR201" s="178"/>
      <c r="CS201" s="178"/>
      <c r="CT201" s="178"/>
      <c r="CU201" s="178"/>
      <c r="CV201" s="178"/>
      <c r="CW201" s="178"/>
      <c r="CX201" s="178"/>
      <c r="CY201" s="178"/>
      <c r="CZ201" s="178"/>
      <c r="DA201" s="150"/>
    </row>
    <row r="202" spans="53:105" x14ac:dyDescent="0.2">
      <c r="BA202" s="518">
        <f t="shared" ca="1" si="22"/>
        <v>61</v>
      </c>
      <c r="BB202" s="174">
        <f t="shared" ca="1" si="23"/>
        <v>139</v>
      </c>
      <c r="BC202" s="525" t="e">
        <f ca="1">MATCH(BD202,OFFSET(Pinlist!$A$2,BC201*(BA202=BA201),0,$BM$23,1),0)+BC201*(BA202=BA201)</f>
        <v>#N/A</v>
      </c>
      <c r="BD202" s="167">
        <f t="shared" ca="1" si="24"/>
        <v>0</v>
      </c>
      <c r="BE202" s="191" t="e">
        <f ca="1">(OFFSET(Pinlist!$E$1,BC202,0)-$BN$16)*$BN$19</f>
        <v>#N/A</v>
      </c>
      <c r="BF202" s="192" t="e">
        <f ca="1">(OFFSET(Pinlist!$F$1,BC202,0)-$BO$16)*$BO$19</f>
        <v>#N/A</v>
      </c>
      <c r="BG202" s="1098" t="str">
        <f ca="1">IF(LEFT(BD202,2)="RF",OFFSET(Pinlist!$D$1,Chart!BC202,0)&amp;"_"&amp;OFFSET(Pinlist!$G$1,Chart!BC202,0),"")</f>
        <v/>
      </c>
      <c r="BH202" s="1098"/>
      <c r="BI202" s="178"/>
      <c r="BJ202" s="178"/>
      <c r="BK202" s="178"/>
      <c r="BL202" s="178"/>
      <c r="BM202" s="178"/>
      <c r="BN202" s="178"/>
      <c r="BO202" s="178"/>
      <c r="BP202" s="178"/>
      <c r="BQ202" s="196"/>
      <c r="BR202" s="196"/>
      <c r="BS202" s="196"/>
      <c r="BT202" s="196"/>
      <c r="BU202" s="196"/>
      <c r="BV202" s="196"/>
      <c r="BW202" s="178"/>
      <c r="BX202" s="196"/>
      <c r="BY202" s="196"/>
      <c r="BZ202" s="196"/>
      <c r="CA202" s="196"/>
      <c r="CB202" s="178"/>
      <c r="CC202" s="178"/>
      <c r="CD202" s="202"/>
      <c r="CE202" s="202"/>
      <c r="CF202" s="178"/>
      <c r="CG202" s="196"/>
      <c r="CH202" s="178"/>
      <c r="CI202" s="178"/>
      <c r="CJ202" s="178"/>
      <c r="CK202" s="178"/>
      <c r="CL202" s="178"/>
      <c r="CM202" s="178"/>
      <c r="CN202" s="178"/>
      <c r="CO202" s="178"/>
      <c r="CP202" s="178"/>
      <c r="CQ202" s="178"/>
      <c r="CR202" s="178"/>
      <c r="CS202" s="178"/>
      <c r="CT202" s="178"/>
      <c r="CU202" s="178"/>
      <c r="CV202" s="178"/>
      <c r="CW202" s="178"/>
      <c r="CX202" s="178"/>
      <c r="CY202" s="178"/>
      <c r="CZ202" s="178"/>
      <c r="DA202" s="150"/>
    </row>
    <row r="203" spans="53:105" x14ac:dyDescent="0.2">
      <c r="BA203" s="518">
        <f t="shared" ca="1" si="22"/>
        <v>61</v>
      </c>
      <c r="BB203" s="174">
        <f t="shared" ca="1" si="23"/>
        <v>140</v>
      </c>
      <c r="BC203" s="525" t="e">
        <f ca="1">MATCH(BD203,OFFSET(Pinlist!$A$2,BC202*(BA203=BA202),0,$BM$23,1),0)+BC202*(BA203=BA202)</f>
        <v>#N/A</v>
      </c>
      <c r="BD203" s="167">
        <f t="shared" ca="1" si="24"/>
        <v>0</v>
      </c>
      <c r="BE203" s="191" t="e">
        <f ca="1">(OFFSET(Pinlist!$E$1,BC203,0)-$BN$16)*$BN$19</f>
        <v>#N/A</v>
      </c>
      <c r="BF203" s="192" t="e">
        <f ca="1">(OFFSET(Pinlist!$F$1,BC203,0)-$BO$16)*$BO$19</f>
        <v>#N/A</v>
      </c>
      <c r="BG203" s="1098" t="str">
        <f ca="1">IF(LEFT(BD203,2)="RF",OFFSET(Pinlist!$D$1,Chart!BC203,0)&amp;"_"&amp;OFFSET(Pinlist!$G$1,Chart!BC203,0),"")</f>
        <v/>
      </c>
      <c r="BH203" s="1098"/>
      <c r="BI203" s="178"/>
      <c r="BJ203" s="178"/>
      <c r="BK203" s="178"/>
      <c r="BL203" s="178"/>
      <c r="BM203" s="178"/>
      <c r="BN203" s="178"/>
      <c r="BO203" s="178"/>
      <c r="BP203" s="178"/>
      <c r="BQ203" s="196"/>
      <c r="BR203" s="196"/>
      <c r="BS203" s="196"/>
      <c r="BT203" s="196"/>
      <c r="BU203" s="196"/>
      <c r="BV203" s="196"/>
      <c r="BW203" s="178"/>
      <c r="BX203" s="196"/>
      <c r="BY203" s="196"/>
      <c r="BZ203" s="196"/>
      <c r="CA203" s="196"/>
      <c r="CB203" s="178"/>
      <c r="CC203" s="178"/>
      <c r="CD203" s="202"/>
      <c r="CE203" s="202"/>
      <c r="CF203" s="178"/>
      <c r="CG203" s="196"/>
      <c r="CH203" s="178"/>
      <c r="CI203" s="178"/>
      <c r="CJ203" s="178"/>
      <c r="CK203" s="178"/>
      <c r="CL203" s="178"/>
      <c r="CM203" s="178"/>
      <c r="CN203" s="178"/>
      <c r="CO203" s="178"/>
      <c r="CP203" s="178"/>
      <c r="CQ203" s="178"/>
      <c r="CR203" s="178"/>
      <c r="CS203" s="178"/>
      <c r="CT203" s="178"/>
      <c r="CU203" s="178"/>
      <c r="CV203" s="178"/>
      <c r="CW203" s="178"/>
      <c r="CX203" s="178"/>
      <c r="CY203" s="178"/>
      <c r="CZ203" s="178"/>
      <c r="DA203" s="150"/>
    </row>
    <row r="204" spans="53:105" x14ac:dyDescent="0.2">
      <c r="BA204" s="518">
        <f t="shared" ca="1" si="22"/>
        <v>61</v>
      </c>
      <c r="BB204" s="174">
        <f t="shared" ca="1" si="23"/>
        <v>141</v>
      </c>
      <c r="BC204" s="525" t="e">
        <f ca="1">MATCH(BD204,OFFSET(Pinlist!$A$2,BC203*(BA204=BA203),0,$BM$23,1),0)+BC203*(BA204=BA203)</f>
        <v>#N/A</v>
      </c>
      <c r="BD204" s="167">
        <f t="shared" ca="1" si="24"/>
        <v>0</v>
      </c>
      <c r="BE204" s="191" t="e">
        <f ca="1">(OFFSET(Pinlist!$E$1,BC204,0)-$BN$16)*$BN$19</f>
        <v>#N/A</v>
      </c>
      <c r="BF204" s="192" t="e">
        <f ca="1">(OFFSET(Pinlist!$F$1,BC204,0)-$BO$16)*$BO$19</f>
        <v>#N/A</v>
      </c>
      <c r="BG204" s="1098" t="str">
        <f ca="1">IF(LEFT(BD204,2)="RF",OFFSET(Pinlist!$D$1,Chart!BC204,0)&amp;"_"&amp;OFFSET(Pinlist!$G$1,Chart!BC204,0),"")</f>
        <v/>
      </c>
      <c r="BH204" s="1098"/>
      <c r="BI204" s="178"/>
      <c r="BJ204" s="178"/>
      <c r="BK204" s="178"/>
      <c r="BL204" s="178"/>
      <c r="BM204" s="178"/>
      <c r="BN204" s="178"/>
      <c r="BO204" s="178"/>
      <c r="BP204" s="178"/>
      <c r="BQ204" s="196"/>
      <c r="BR204" s="196"/>
      <c r="BS204" s="196"/>
      <c r="BT204" s="196"/>
      <c r="BU204" s="196"/>
      <c r="BV204" s="196"/>
      <c r="BW204" s="178"/>
      <c r="BX204" s="196"/>
      <c r="BY204" s="196"/>
      <c r="BZ204" s="196"/>
      <c r="CA204" s="196"/>
      <c r="CB204" s="178"/>
      <c r="CC204" s="178"/>
      <c r="CD204" s="202"/>
      <c r="CE204" s="202"/>
      <c r="CF204" s="178"/>
      <c r="CG204" s="196"/>
      <c r="CH204" s="178"/>
      <c r="CI204" s="178"/>
      <c r="CJ204" s="178"/>
      <c r="CK204" s="178"/>
      <c r="CL204" s="178"/>
      <c r="CM204" s="178"/>
      <c r="CN204" s="178"/>
      <c r="CO204" s="178"/>
      <c r="CP204" s="178"/>
      <c r="CQ204" s="178"/>
      <c r="CR204" s="178"/>
      <c r="CS204" s="178"/>
      <c r="CT204" s="178"/>
      <c r="CU204" s="178"/>
      <c r="CV204" s="178"/>
      <c r="CW204" s="178"/>
      <c r="CX204" s="178"/>
      <c r="CY204" s="178"/>
      <c r="CZ204" s="178"/>
      <c r="DA204" s="150"/>
    </row>
    <row r="205" spans="53:105" x14ac:dyDescent="0.2">
      <c r="BA205" s="518">
        <f t="shared" ca="1" si="22"/>
        <v>61</v>
      </c>
      <c r="BB205" s="174">
        <f t="shared" ca="1" si="23"/>
        <v>142</v>
      </c>
      <c r="BC205" s="525" t="e">
        <f ca="1">MATCH(BD205,OFFSET(Pinlist!$A$2,BC204*(BA205=BA204),0,$BM$23,1),0)+BC204*(BA205=BA204)</f>
        <v>#N/A</v>
      </c>
      <c r="BD205" s="167">
        <f t="shared" ca="1" si="24"/>
        <v>0</v>
      </c>
      <c r="BE205" s="191" t="e">
        <f ca="1">(OFFSET(Pinlist!$E$1,BC205,0)-$BN$16)*$BN$19</f>
        <v>#N/A</v>
      </c>
      <c r="BF205" s="192" t="e">
        <f ca="1">(OFFSET(Pinlist!$F$1,BC205,0)-$BO$16)*$BO$19</f>
        <v>#N/A</v>
      </c>
      <c r="BG205" s="1098" t="str">
        <f ca="1">IF(LEFT(BD205,2)="RF",OFFSET(Pinlist!$D$1,Chart!BC205,0)&amp;"_"&amp;OFFSET(Pinlist!$G$1,Chart!BC205,0),"")</f>
        <v/>
      </c>
      <c r="BH205" s="1098"/>
      <c r="BI205" s="178"/>
      <c r="BJ205" s="178"/>
      <c r="BK205" s="178"/>
      <c r="BL205" s="178"/>
      <c r="BM205" s="178"/>
      <c r="BN205" s="178"/>
      <c r="BO205" s="178"/>
      <c r="BP205" s="178"/>
      <c r="BQ205" s="196"/>
      <c r="BR205" s="196"/>
      <c r="BS205" s="196"/>
      <c r="BT205" s="196"/>
      <c r="BU205" s="196"/>
      <c r="BV205" s="196"/>
      <c r="BW205" s="178"/>
      <c r="BX205" s="196"/>
      <c r="BY205" s="196"/>
      <c r="BZ205" s="196"/>
      <c r="CA205" s="196"/>
      <c r="CB205" s="178"/>
      <c r="CC205" s="178"/>
      <c r="CD205" s="202"/>
      <c r="CE205" s="202"/>
      <c r="CF205" s="178"/>
      <c r="CG205" s="196"/>
      <c r="CH205" s="178"/>
      <c r="CI205" s="178"/>
      <c r="CJ205" s="178"/>
      <c r="CK205" s="178"/>
      <c r="CL205" s="178"/>
      <c r="CM205" s="178"/>
      <c r="CN205" s="178"/>
      <c r="CO205" s="178"/>
      <c r="CP205" s="178"/>
      <c r="CQ205" s="178"/>
      <c r="CR205" s="178"/>
      <c r="CS205" s="178"/>
      <c r="CT205" s="178"/>
      <c r="CU205" s="178"/>
      <c r="CV205" s="178"/>
      <c r="CW205" s="178"/>
      <c r="CX205" s="178"/>
      <c r="CY205" s="178"/>
      <c r="CZ205" s="178"/>
      <c r="DA205" s="150"/>
    </row>
    <row r="206" spans="53:105" x14ac:dyDescent="0.2">
      <c r="BA206" s="518">
        <f t="shared" ca="1" si="22"/>
        <v>61</v>
      </c>
      <c r="BB206" s="174">
        <f t="shared" ca="1" si="23"/>
        <v>143</v>
      </c>
      <c r="BC206" s="525" t="e">
        <f ca="1">MATCH(BD206,OFFSET(Pinlist!$A$2,BC205*(BA206=BA205),0,$BM$23,1),0)+BC205*(BA206=BA205)</f>
        <v>#N/A</v>
      </c>
      <c r="BD206" s="167">
        <f t="shared" ca="1" si="24"/>
        <v>0</v>
      </c>
      <c r="BE206" s="191" t="e">
        <f ca="1">(OFFSET(Pinlist!$E$1,BC206,0)-$BN$16)*$BN$19</f>
        <v>#N/A</v>
      </c>
      <c r="BF206" s="192" t="e">
        <f ca="1">(OFFSET(Pinlist!$F$1,BC206,0)-$BO$16)*$BO$19</f>
        <v>#N/A</v>
      </c>
      <c r="BG206" s="1098" t="str">
        <f ca="1">IF(LEFT(BD206,2)="RF",OFFSET(Pinlist!$D$1,Chart!BC206,0)&amp;"_"&amp;OFFSET(Pinlist!$G$1,Chart!BC206,0),"")</f>
        <v/>
      </c>
      <c r="BH206" s="1098"/>
      <c r="BI206" s="178"/>
      <c r="BJ206" s="178"/>
      <c r="BK206" s="178"/>
      <c r="BL206" s="178"/>
      <c r="BM206" s="178"/>
      <c r="BN206" s="178"/>
      <c r="BO206" s="178"/>
      <c r="BP206" s="178"/>
      <c r="BQ206" s="196"/>
      <c r="BR206" s="196"/>
      <c r="BS206" s="196"/>
      <c r="BT206" s="196"/>
      <c r="BU206" s="196"/>
      <c r="BV206" s="196"/>
      <c r="BW206" s="178"/>
      <c r="BX206" s="196"/>
      <c r="BY206" s="196"/>
      <c r="BZ206" s="196"/>
      <c r="CA206" s="196"/>
      <c r="CB206" s="178"/>
      <c r="CC206" s="178"/>
      <c r="CD206" s="202"/>
      <c r="CE206" s="202"/>
      <c r="CF206" s="178"/>
      <c r="CG206" s="196"/>
      <c r="CH206" s="178"/>
      <c r="CI206" s="178"/>
      <c r="CJ206" s="178"/>
      <c r="CK206" s="178"/>
      <c r="CL206" s="178"/>
      <c r="CM206" s="178"/>
      <c r="CN206" s="178"/>
      <c r="CO206" s="178"/>
      <c r="CP206" s="178"/>
      <c r="CQ206" s="178"/>
      <c r="CR206" s="178"/>
      <c r="CS206" s="178"/>
      <c r="CT206" s="178"/>
      <c r="CU206" s="178"/>
      <c r="CV206" s="178"/>
      <c r="CW206" s="178"/>
      <c r="CX206" s="178"/>
      <c r="CY206" s="178"/>
      <c r="CZ206" s="178"/>
      <c r="DA206" s="150"/>
    </row>
    <row r="207" spans="53:105" x14ac:dyDescent="0.2">
      <c r="BA207" s="518">
        <f t="shared" ca="1" si="22"/>
        <v>61</v>
      </c>
      <c r="BB207" s="174">
        <f t="shared" ca="1" si="23"/>
        <v>144</v>
      </c>
      <c r="BC207" s="525" t="e">
        <f ca="1">MATCH(BD207,OFFSET(Pinlist!$A$2,BC206*(BA207=BA206),0,$BM$23,1),0)+BC206*(BA207=BA206)</f>
        <v>#N/A</v>
      </c>
      <c r="BD207" s="167">
        <f t="shared" ca="1" si="24"/>
        <v>0</v>
      </c>
      <c r="BE207" s="191" t="e">
        <f ca="1">(OFFSET(Pinlist!$E$1,BC207,0)-$BN$16)*$BN$19</f>
        <v>#N/A</v>
      </c>
      <c r="BF207" s="192" t="e">
        <f ca="1">(OFFSET(Pinlist!$F$1,BC207,0)-$BO$16)*$BO$19</f>
        <v>#N/A</v>
      </c>
      <c r="BG207" s="1098" t="str">
        <f ca="1">IF(LEFT(BD207,2)="RF",OFFSET(Pinlist!$D$1,Chart!BC207,0)&amp;"_"&amp;OFFSET(Pinlist!$G$1,Chart!BC207,0),"")</f>
        <v/>
      </c>
      <c r="BH207" s="1098"/>
      <c r="BI207" s="178"/>
      <c r="BJ207" s="178"/>
      <c r="BK207" s="178"/>
      <c r="BL207" s="178"/>
      <c r="BM207" s="178"/>
      <c r="BN207" s="178"/>
      <c r="BO207" s="178"/>
      <c r="BP207" s="178"/>
      <c r="BQ207" s="196"/>
      <c r="BR207" s="196"/>
      <c r="BS207" s="196"/>
      <c r="BT207" s="196"/>
      <c r="BU207" s="196"/>
      <c r="BV207" s="196"/>
      <c r="BW207" s="178"/>
      <c r="BX207" s="196"/>
      <c r="BY207" s="196"/>
      <c r="BZ207" s="196"/>
      <c r="CA207" s="196"/>
      <c r="CB207" s="178"/>
      <c r="CC207" s="178"/>
      <c r="CD207" s="202"/>
      <c r="CE207" s="202"/>
      <c r="CF207" s="178"/>
      <c r="CG207" s="196"/>
      <c r="CH207" s="178"/>
      <c r="CI207" s="178"/>
      <c r="CJ207" s="178"/>
      <c r="CK207" s="178"/>
      <c r="CL207" s="178"/>
      <c r="CM207" s="178"/>
      <c r="CN207" s="178"/>
      <c r="CO207" s="178"/>
      <c r="CP207" s="178"/>
      <c r="CQ207" s="178"/>
      <c r="CR207" s="178"/>
      <c r="CS207" s="178"/>
      <c r="CT207" s="178"/>
      <c r="CU207" s="178"/>
      <c r="CV207" s="178"/>
      <c r="CW207" s="178"/>
      <c r="CX207" s="178"/>
      <c r="CY207" s="178"/>
      <c r="CZ207" s="178"/>
      <c r="DA207" s="150"/>
    </row>
    <row r="208" spans="53:105" x14ac:dyDescent="0.2">
      <c r="BA208" s="518">
        <f t="shared" ca="1" si="22"/>
        <v>61</v>
      </c>
      <c r="BB208" s="174">
        <f t="shared" ca="1" si="23"/>
        <v>145</v>
      </c>
      <c r="BC208" s="525" t="e">
        <f ca="1">MATCH(BD208,OFFSET(Pinlist!$A$2,BC207*(BA208=BA207),0,$BM$23,1),0)+BC207*(BA208=BA207)</f>
        <v>#N/A</v>
      </c>
      <c r="BD208" s="167">
        <f t="shared" ca="1" si="24"/>
        <v>0</v>
      </c>
      <c r="BE208" s="191" t="e">
        <f ca="1">(OFFSET(Pinlist!$E$1,BC208,0)-$BN$16)*$BN$19</f>
        <v>#N/A</v>
      </c>
      <c r="BF208" s="192" t="e">
        <f ca="1">(OFFSET(Pinlist!$F$1,BC208,0)-$BO$16)*$BO$19</f>
        <v>#N/A</v>
      </c>
      <c r="BG208" s="1098" t="str">
        <f ca="1">IF(LEFT(BD208,2)="RF",OFFSET(Pinlist!$D$1,Chart!BC208,0)&amp;"_"&amp;OFFSET(Pinlist!$G$1,Chart!BC208,0),"")</f>
        <v/>
      </c>
      <c r="BH208" s="1098"/>
      <c r="BI208" s="178"/>
      <c r="BJ208" s="178"/>
      <c r="BK208" s="178"/>
      <c r="BL208" s="178"/>
      <c r="BM208" s="178"/>
      <c r="BN208" s="178"/>
      <c r="BO208" s="178"/>
      <c r="BP208" s="178"/>
      <c r="BQ208" s="196"/>
      <c r="BR208" s="196"/>
      <c r="BS208" s="196"/>
      <c r="BT208" s="196"/>
      <c r="BU208" s="196"/>
      <c r="BV208" s="196"/>
      <c r="BW208" s="178"/>
      <c r="BX208" s="196"/>
      <c r="BY208" s="196"/>
      <c r="BZ208" s="196"/>
      <c r="CA208" s="196"/>
      <c r="CB208" s="178"/>
      <c r="CC208" s="178"/>
      <c r="CD208" s="202"/>
      <c r="CE208" s="202"/>
      <c r="CF208" s="178"/>
      <c r="CG208" s="196"/>
      <c r="CH208" s="178"/>
      <c r="CI208" s="178"/>
      <c r="CJ208" s="178"/>
      <c r="CK208" s="178"/>
      <c r="CL208" s="178"/>
      <c r="CM208" s="178"/>
      <c r="CN208" s="178"/>
      <c r="CO208" s="178"/>
      <c r="CP208" s="178"/>
      <c r="CQ208" s="178"/>
      <c r="CR208" s="178"/>
      <c r="CS208" s="178"/>
      <c r="CT208" s="178"/>
      <c r="CU208" s="178"/>
      <c r="CV208" s="178"/>
      <c r="CW208" s="178"/>
      <c r="CX208" s="178"/>
      <c r="CY208" s="178"/>
      <c r="CZ208" s="178"/>
      <c r="DA208" s="150"/>
    </row>
    <row r="209" spans="53:105" x14ac:dyDescent="0.2">
      <c r="BA209" s="518">
        <f t="shared" ca="1" si="22"/>
        <v>61</v>
      </c>
      <c r="BB209" s="174">
        <f t="shared" ca="1" si="23"/>
        <v>146</v>
      </c>
      <c r="BC209" s="525" t="e">
        <f ca="1">MATCH(BD209,OFFSET(Pinlist!$A$2,BC208*(BA209=BA208),0,$BM$23,1),0)+BC208*(BA209=BA208)</f>
        <v>#N/A</v>
      </c>
      <c r="BD209" s="167">
        <f t="shared" ca="1" si="24"/>
        <v>0</v>
      </c>
      <c r="BE209" s="191" t="e">
        <f ca="1">(OFFSET(Pinlist!$E$1,BC209,0)-$BN$16)*$BN$19</f>
        <v>#N/A</v>
      </c>
      <c r="BF209" s="192" t="e">
        <f ca="1">(OFFSET(Pinlist!$F$1,BC209,0)-$BO$16)*$BO$19</f>
        <v>#N/A</v>
      </c>
      <c r="BG209" s="1098" t="str">
        <f ca="1">IF(LEFT(BD209,2)="RF",OFFSET(Pinlist!$D$1,Chart!BC209,0)&amp;"_"&amp;OFFSET(Pinlist!$G$1,Chart!BC209,0),"")</f>
        <v/>
      </c>
      <c r="BH209" s="1098"/>
      <c r="BI209" s="178"/>
      <c r="BJ209" s="178"/>
      <c r="BK209" s="178"/>
      <c r="BL209" s="178"/>
      <c r="BM209" s="178"/>
      <c r="BN209" s="178"/>
      <c r="BO209" s="178"/>
      <c r="BP209" s="178"/>
      <c r="BQ209" s="196"/>
      <c r="BR209" s="196"/>
      <c r="BS209" s="196"/>
      <c r="BT209" s="196"/>
      <c r="BU209" s="196"/>
      <c r="BV209" s="196"/>
      <c r="BW209" s="178"/>
      <c r="BX209" s="196"/>
      <c r="BY209" s="196"/>
      <c r="BZ209" s="196"/>
      <c r="CA209" s="196"/>
      <c r="CB209" s="178"/>
      <c r="CC209" s="178"/>
      <c r="CD209" s="202"/>
      <c r="CE209" s="202"/>
      <c r="CF209" s="178"/>
      <c r="CG209" s="196"/>
      <c r="CH209" s="178"/>
      <c r="CI209" s="178"/>
      <c r="CJ209" s="178"/>
      <c r="CK209" s="178"/>
      <c r="CL209" s="178"/>
      <c r="CM209" s="178"/>
      <c r="CN209" s="178"/>
      <c r="CO209" s="178"/>
      <c r="CP209" s="178"/>
      <c r="CQ209" s="178"/>
      <c r="CR209" s="178"/>
      <c r="CS209" s="178"/>
      <c r="CT209" s="178"/>
      <c r="CU209" s="178"/>
      <c r="CV209" s="178"/>
      <c r="CW209" s="178"/>
      <c r="CX209" s="178"/>
      <c r="CY209" s="178"/>
      <c r="CZ209" s="178"/>
      <c r="DA209" s="150"/>
    </row>
    <row r="210" spans="53:105" x14ac:dyDescent="0.2">
      <c r="BA210" s="518">
        <f t="shared" ca="1" si="22"/>
        <v>61</v>
      </c>
      <c r="BB210" s="174">
        <f t="shared" ca="1" si="23"/>
        <v>147</v>
      </c>
      <c r="BC210" s="525" t="e">
        <f ca="1">MATCH(BD210,OFFSET(Pinlist!$A$2,BC209*(BA210=BA209),0,$BM$23,1),0)+BC209*(BA210=BA209)</f>
        <v>#N/A</v>
      </c>
      <c r="BD210" s="167">
        <f t="shared" ca="1" si="24"/>
        <v>0</v>
      </c>
      <c r="BE210" s="191" t="e">
        <f ca="1">(OFFSET(Pinlist!$E$1,BC210,0)-$BN$16)*$BN$19</f>
        <v>#N/A</v>
      </c>
      <c r="BF210" s="192" t="e">
        <f ca="1">(OFFSET(Pinlist!$F$1,BC210,0)-$BO$16)*$BO$19</f>
        <v>#N/A</v>
      </c>
      <c r="BG210" s="1098" t="str">
        <f ca="1">IF(LEFT(BD210,2)="RF",OFFSET(Pinlist!$D$1,Chart!BC210,0)&amp;"_"&amp;OFFSET(Pinlist!$G$1,Chart!BC210,0),"")</f>
        <v/>
      </c>
      <c r="BH210" s="1098"/>
      <c r="BI210" s="178"/>
      <c r="BJ210" s="178"/>
      <c r="BK210" s="178"/>
      <c r="BL210" s="178"/>
      <c r="BM210" s="178"/>
      <c r="BN210" s="178"/>
      <c r="BO210" s="178"/>
      <c r="BP210" s="178"/>
      <c r="BQ210" s="196"/>
      <c r="BR210" s="196"/>
      <c r="BS210" s="196"/>
      <c r="BT210" s="196"/>
      <c r="BU210" s="196"/>
      <c r="BV210" s="196"/>
      <c r="BW210" s="178"/>
      <c r="BX210" s="196"/>
      <c r="BY210" s="196"/>
      <c r="BZ210" s="196"/>
      <c r="CA210" s="196"/>
      <c r="CB210" s="178"/>
      <c r="CC210" s="178"/>
      <c r="CD210" s="202"/>
      <c r="CE210" s="202"/>
      <c r="CF210" s="178"/>
      <c r="CG210" s="196"/>
      <c r="CH210" s="178"/>
      <c r="CI210" s="178"/>
      <c r="CJ210" s="178"/>
      <c r="CK210" s="178"/>
      <c r="CL210" s="178"/>
      <c r="CM210" s="178"/>
      <c r="CN210" s="178"/>
      <c r="CO210" s="178"/>
      <c r="CP210" s="178"/>
      <c r="CQ210" s="178"/>
      <c r="CR210" s="178"/>
      <c r="CS210" s="178"/>
      <c r="CT210" s="178"/>
      <c r="CU210" s="178"/>
      <c r="CV210" s="178"/>
      <c r="CW210" s="178"/>
      <c r="CX210" s="178"/>
      <c r="CY210" s="178"/>
      <c r="CZ210" s="178"/>
      <c r="DA210" s="150"/>
    </row>
    <row r="211" spans="53:105" x14ac:dyDescent="0.2">
      <c r="BA211" s="518">
        <f t="shared" ca="1" si="22"/>
        <v>61</v>
      </c>
      <c r="BB211" s="174">
        <f t="shared" ca="1" si="23"/>
        <v>148</v>
      </c>
      <c r="BC211" s="525" t="e">
        <f ca="1">MATCH(BD211,OFFSET(Pinlist!$A$2,BC210*(BA211=BA210),0,$BM$23,1),0)+BC210*(BA211=BA210)</f>
        <v>#N/A</v>
      </c>
      <c r="BD211" s="167">
        <f t="shared" ca="1" si="24"/>
        <v>0</v>
      </c>
      <c r="BE211" s="191" t="e">
        <f ca="1">(OFFSET(Pinlist!$E$1,BC211,0)-$BN$16)*$BN$19</f>
        <v>#N/A</v>
      </c>
      <c r="BF211" s="192" t="e">
        <f ca="1">(OFFSET(Pinlist!$F$1,BC211,0)-$BO$16)*$BO$19</f>
        <v>#N/A</v>
      </c>
      <c r="BG211" s="1098" t="str">
        <f ca="1">IF(LEFT(BD211,2)="RF",OFFSET(Pinlist!$D$1,Chart!BC211,0)&amp;"_"&amp;OFFSET(Pinlist!$G$1,Chart!BC211,0),"")</f>
        <v/>
      </c>
      <c r="BH211" s="1098"/>
      <c r="BI211" s="178"/>
      <c r="BJ211" s="178"/>
      <c r="BK211" s="178"/>
      <c r="BL211" s="178"/>
      <c r="BM211" s="178"/>
      <c r="BN211" s="178"/>
      <c r="BO211" s="178"/>
      <c r="BP211" s="178"/>
      <c r="BQ211" s="196"/>
      <c r="BR211" s="196"/>
      <c r="BS211" s="196"/>
      <c r="BT211" s="196"/>
      <c r="BU211" s="196"/>
      <c r="BV211" s="196"/>
      <c r="BW211" s="178"/>
      <c r="BX211" s="196"/>
      <c r="BY211" s="196"/>
      <c r="BZ211" s="196"/>
      <c r="CA211" s="196"/>
      <c r="CB211" s="178"/>
      <c r="CC211" s="178"/>
      <c r="CD211" s="202"/>
      <c r="CE211" s="202"/>
      <c r="CF211" s="178"/>
      <c r="CG211" s="196"/>
      <c r="CH211" s="178"/>
      <c r="CI211" s="178"/>
      <c r="CJ211" s="178"/>
      <c r="CK211" s="178"/>
      <c r="CL211" s="178"/>
      <c r="CM211" s="178"/>
      <c r="CN211" s="178"/>
      <c r="CO211" s="178"/>
      <c r="CP211" s="178"/>
      <c r="CQ211" s="178"/>
      <c r="CR211" s="178"/>
      <c r="CS211" s="178"/>
      <c r="CT211" s="178"/>
      <c r="CU211" s="178"/>
      <c r="CV211" s="178"/>
      <c r="CW211" s="178"/>
      <c r="CX211" s="178"/>
      <c r="CY211" s="178"/>
      <c r="CZ211" s="178"/>
      <c r="DA211" s="150"/>
    </row>
    <row r="212" spans="53:105" x14ac:dyDescent="0.2">
      <c r="BA212" s="518">
        <f t="shared" ca="1" si="22"/>
        <v>61</v>
      </c>
      <c r="BB212" s="174">
        <f t="shared" ca="1" si="23"/>
        <v>149</v>
      </c>
      <c r="BC212" s="525" t="e">
        <f ca="1">MATCH(BD212,OFFSET(Pinlist!$A$2,BC211*(BA212=BA211),0,$BM$23,1),0)+BC211*(BA212=BA211)</f>
        <v>#N/A</v>
      </c>
      <c r="BD212" s="167">
        <f t="shared" ca="1" si="24"/>
        <v>0</v>
      </c>
      <c r="BE212" s="191" t="e">
        <f ca="1">(OFFSET(Pinlist!$E$1,BC212,0)-$BN$16)*$BN$19</f>
        <v>#N/A</v>
      </c>
      <c r="BF212" s="192" t="e">
        <f ca="1">(OFFSET(Pinlist!$F$1,BC212,0)-$BO$16)*$BO$19</f>
        <v>#N/A</v>
      </c>
      <c r="BG212" s="1098" t="str">
        <f ca="1">IF(LEFT(BD212,2)="RF",OFFSET(Pinlist!$D$1,Chart!BC212,0)&amp;"_"&amp;OFFSET(Pinlist!$G$1,Chart!BC212,0),"")</f>
        <v/>
      </c>
      <c r="BH212" s="1098"/>
      <c r="BI212" s="178"/>
      <c r="BJ212" s="178"/>
      <c r="BK212" s="178"/>
      <c r="BL212" s="178"/>
      <c r="BM212" s="178"/>
      <c r="BN212" s="178"/>
      <c r="BO212" s="178"/>
      <c r="BP212" s="178"/>
      <c r="BQ212" s="196"/>
      <c r="BR212" s="196"/>
      <c r="BS212" s="196"/>
      <c r="BT212" s="196"/>
      <c r="BU212" s="196"/>
      <c r="BV212" s="196"/>
      <c r="BW212" s="178"/>
      <c r="BX212" s="196"/>
      <c r="BY212" s="196"/>
      <c r="BZ212" s="196"/>
      <c r="CA212" s="196"/>
      <c r="CB212" s="178"/>
      <c r="CC212" s="178"/>
      <c r="CD212" s="202"/>
      <c r="CE212" s="202"/>
      <c r="CF212" s="178"/>
      <c r="CG212" s="196"/>
      <c r="CH212" s="178"/>
      <c r="CI212" s="178"/>
      <c r="CJ212" s="178"/>
      <c r="CK212" s="178"/>
      <c r="CL212" s="178"/>
      <c r="CM212" s="178"/>
      <c r="CN212" s="178"/>
      <c r="CO212" s="178"/>
      <c r="CP212" s="178"/>
      <c r="CQ212" s="178"/>
      <c r="CR212" s="178"/>
      <c r="CS212" s="178"/>
      <c r="CT212" s="178"/>
      <c r="CU212" s="178"/>
      <c r="CV212" s="178"/>
      <c r="CW212" s="178"/>
      <c r="CX212" s="178"/>
      <c r="CY212" s="178"/>
      <c r="CZ212" s="178"/>
      <c r="DA212" s="150"/>
    </row>
    <row r="213" spans="53:105" x14ac:dyDescent="0.2">
      <c r="BA213" s="518">
        <f t="shared" ca="1" si="22"/>
        <v>61</v>
      </c>
      <c r="BB213" s="174">
        <f t="shared" ca="1" si="23"/>
        <v>150</v>
      </c>
      <c r="BC213" s="525" t="e">
        <f ca="1">MATCH(BD213,OFFSET(Pinlist!$A$2,BC212*(BA213=BA212),0,$BM$23,1),0)+BC212*(BA213=BA212)</f>
        <v>#N/A</v>
      </c>
      <c r="BD213" s="167">
        <f t="shared" ca="1" si="24"/>
        <v>0</v>
      </c>
      <c r="BE213" s="191" t="e">
        <f ca="1">(OFFSET(Pinlist!$E$1,BC213,0)-$BN$16)*$BN$19</f>
        <v>#N/A</v>
      </c>
      <c r="BF213" s="192" t="e">
        <f ca="1">(OFFSET(Pinlist!$F$1,BC213,0)-$BO$16)*$BO$19</f>
        <v>#N/A</v>
      </c>
      <c r="BG213" s="1098" t="str">
        <f ca="1">IF(LEFT(BD213,2)="RF",OFFSET(Pinlist!$D$1,Chart!BC213,0)&amp;"_"&amp;OFFSET(Pinlist!$G$1,Chart!BC213,0),"")</f>
        <v/>
      </c>
      <c r="BH213" s="1098"/>
      <c r="BI213" s="178"/>
      <c r="BJ213" s="178"/>
      <c r="BK213" s="178"/>
      <c r="BL213" s="178"/>
      <c r="BM213" s="178"/>
      <c r="BN213" s="178"/>
      <c r="BO213" s="178"/>
      <c r="BP213" s="178"/>
      <c r="BQ213" s="196"/>
      <c r="BR213" s="196"/>
      <c r="BS213" s="196"/>
      <c r="BT213" s="196"/>
      <c r="BU213" s="196"/>
      <c r="BV213" s="196"/>
      <c r="BW213" s="178"/>
      <c r="BX213" s="196"/>
      <c r="BY213" s="196"/>
      <c r="BZ213" s="196"/>
      <c r="CA213" s="196"/>
      <c r="CB213" s="178"/>
      <c r="CC213" s="178"/>
      <c r="CD213" s="202"/>
      <c r="CE213" s="202"/>
      <c r="CF213" s="178"/>
      <c r="CG213" s="196"/>
      <c r="CH213" s="178"/>
      <c r="CI213" s="178"/>
      <c r="CJ213" s="178"/>
      <c r="CK213" s="178"/>
      <c r="CL213" s="178"/>
      <c r="CM213" s="178"/>
      <c r="CN213" s="178"/>
      <c r="CO213" s="178"/>
      <c r="CP213" s="178"/>
      <c r="CQ213" s="178"/>
      <c r="CR213" s="178"/>
      <c r="CS213" s="178"/>
      <c r="CT213" s="178"/>
      <c r="CU213" s="178"/>
      <c r="CV213" s="178"/>
      <c r="CW213" s="178"/>
      <c r="CX213" s="178"/>
      <c r="CY213" s="178"/>
      <c r="CZ213" s="178"/>
      <c r="DA213" s="150"/>
    </row>
    <row r="214" spans="53:105" x14ac:dyDescent="0.2">
      <c r="BA214" s="518">
        <f t="shared" ca="1" si="22"/>
        <v>61</v>
      </c>
      <c r="BB214" s="209">
        <f t="shared" ca="1" si="23"/>
        <v>151</v>
      </c>
      <c r="BC214" s="525" t="e">
        <f ca="1">MATCH(BD214,OFFSET(Pinlist!$A$2,BC213*(BA214=BA213),0,$BM$23,1),0)+BC213*(BA214=BA213)</f>
        <v>#N/A</v>
      </c>
      <c r="BD214" s="210">
        <f t="shared" ca="1" si="24"/>
        <v>0</v>
      </c>
      <c r="BE214" s="191" t="e">
        <f ca="1">(OFFSET(Pinlist!$E$1,BC214,0)-$BN$16)*$BN$19</f>
        <v>#N/A</v>
      </c>
      <c r="BF214" s="192" t="e">
        <f ca="1">(OFFSET(Pinlist!$F$1,BC214,0)-$BO$16)*$BO$19</f>
        <v>#N/A</v>
      </c>
      <c r="BG214" s="1098" t="str">
        <f ca="1">IF(LEFT(BD214,2)="RF",OFFSET(Pinlist!$D$1,Chart!BC214,0)&amp;"_"&amp;OFFSET(Pinlist!$G$1,Chart!BC214,0),"")</f>
        <v/>
      </c>
      <c r="BH214" s="1098"/>
      <c r="BI214" s="178"/>
      <c r="BJ214" s="178"/>
      <c r="BK214" s="178"/>
      <c r="BL214" s="178"/>
      <c r="BM214" s="178"/>
      <c r="BN214" s="178"/>
      <c r="BO214" s="178"/>
      <c r="BP214" s="178"/>
      <c r="BQ214" s="196"/>
      <c r="BR214" s="196"/>
      <c r="BS214" s="196"/>
      <c r="BT214" s="196"/>
      <c r="BU214" s="196"/>
      <c r="BV214" s="196"/>
      <c r="BW214" s="178"/>
      <c r="BX214" s="196"/>
      <c r="BY214" s="196"/>
      <c r="BZ214" s="196"/>
      <c r="CA214" s="196"/>
      <c r="CB214" s="178"/>
      <c r="CC214" s="178"/>
      <c r="CD214" s="202"/>
      <c r="CE214" s="202"/>
      <c r="CF214" s="178"/>
      <c r="CG214" s="196"/>
      <c r="CH214" s="178"/>
      <c r="CI214" s="178"/>
      <c r="CJ214" s="178"/>
      <c r="CK214" s="178"/>
      <c r="CL214" s="178"/>
      <c r="CM214" s="178"/>
      <c r="CN214" s="178"/>
      <c r="CO214" s="178"/>
      <c r="CP214" s="178"/>
      <c r="CQ214" s="178"/>
      <c r="CR214" s="178"/>
      <c r="CS214" s="178"/>
      <c r="CT214" s="178"/>
      <c r="CU214" s="178"/>
      <c r="CV214" s="178"/>
      <c r="CW214" s="178"/>
      <c r="CX214" s="178"/>
      <c r="CY214" s="178"/>
      <c r="CZ214" s="178"/>
      <c r="DA214" s="150"/>
    </row>
    <row r="215" spans="53:105" x14ac:dyDescent="0.2">
      <c r="BA215" s="518">
        <f t="shared" ca="1" si="22"/>
        <v>61</v>
      </c>
      <c r="BB215" s="174">
        <f t="shared" ca="1" si="23"/>
        <v>152</v>
      </c>
      <c r="BC215" s="525" t="e">
        <f ca="1">MATCH(BD215,OFFSET(Pinlist!$A$2,BC214*(BA215=BA214),0,$BM$23,1),0)+BC214*(BA215=BA214)</f>
        <v>#N/A</v>
      </c>
      <c r="BD215" s="167">
        <f t="shared" ca="1" si="24"/>
        <v>0</v>
      </c>
      <c r="BE215" s="191" t="e">
        <f ca="1">(OFFSET(Pinlist!$E$1,BC215,0)-$BN$16)*$BN$19</f>
        <v>#N/A</v>
      </c>
      <c r="BF215" s="192" t="e">
        <f ca="1">(OFFSET(Pinlist!$F$1,BC215,0)-$BO$16)*$BO$19</f>
        <v>#N/A</v>
      </c>
      <c r="BG215" s="1098" t="str">
        <f ca="1">IF(LEFT(BD215,2)="RF",OFFSET(Pinlist!$D$1,Chart!BC215,0)&amp;"_"&amp;OFFSET(Pinlist!$G$1,Chart!BC215,0),"")</f>
        <v/>
      </c>
      <c r="BH215" s="1098"/>
      <c r="BI215" s="178"/>
      <c r="BJ215" s="178"/>
      <c r="BK215" s="178"/>
      <c r="BL215" s="178"/>
      <c r="BM215" s="178"/>
      <c r="BN215" s="178"/>
      <c r="BO215" s="178"/>
      <c r="BP215" s="178"/>
      <c r="BQ215" s="196"/>
      <c r="BR215" s="196"/>
      <c r="BS215" s="196"/>
      <c r="BT215" s="196"/>
      <c r="BU215" s="196"/>
      <c r="BV215" s="196"/>
      <c r="BW215" s="178"/>
      <c r="BX215" s="196"/>
      <c r="BY215" s="196"/>
      <c r="BZ215" s="196"/>
      <c r="CA215" s="196"/>
      <c r="CB215" s="178"/>
      <c r="CC215" s="178"/>
      <c r="CD215" s="202"/>
      <c r="CE215" s="202"/>
      <c r="CF215" s="178"/>
      <c r="CG215" s="196"/>
      <c r="CH215" s="178"/>
      <c r="CI215" s="178"/>
      <c r="CJ215" s="178"/>
      <c r="CK215" s="178"/>
      <c r="CL215" s="178"/>
      <c r="CM215" s="178"/>
      <c r="CN215" s="178"/>
      <c r="CO215" s="178"/>
      <c r="CP215" s="178"/>
      <c r="CQ215" s="178"/>
      <c r="CR215" s="178"/>
      <c r="CS215" s="178"/>
      <c r="CT215" s="178"/>
      <c r="CU215" s="178"/>
      <c r="CV215" s="178"/>
      <c r="CW215" s="178"/>
      <c r="CX215" s="178"/>
      <c r="CY215" s="178"/>
      <c r="CZ215" s="178"/>
      <c r="DA215" s="150"/>
    </row>
    <row r="216" spans="53:105" x14ac:dyDescent="0.2">
      <c r="BA216" s="518">
        <f t="shared" ca="1" si="22"/>
        <v>61</v>
      </c>
      <c r="BB216" s="174">
        <f t="shared" ca="1" si="23"/>
        <v>153</v>
      </c>
      <c r="BC216" s="525" t="e">
        <f ca="1">MATCH(BD216,OFFSET(Pinlist!$A$2,BC215*(BA216=BA215),0,$BM$23,1),0)+BC215*(BA216=BA215)</f>
        <v>#N/A</v>
      </c>
      <c r="BD216" s="167">
        <f t="shared" ca="1" si="24"/>
        <v>0</v>
      </c>
      <c r="BE216" s="191" t="e">
        <f ca="1">(OFFSET(Pinlist!$E$1,BC216,0)-$BN$16)*$BN$19</f>
        <v>#N/A</v>
      </c>
      <c r="BF216" s="192" t="e">
        <f ca="1">(OFFSET(Pinlist!$F$1,BC216,0)-$BO$16)*$BO$19</f>
        <v>#N/A</v>
      </c>
      <c r="BG216" s="1098" t="str">
        <f ca="1">IF(LEFT(BD216,2)="RF",OFFSET(Pinlist!$D$1,Chart!BC216,0)&amp;"_"&amp;OFFSET(Pinlist!$G$1,Chart!BC216,0),"")</f>
        <v/>
      </c>
      <c r="BH216" s="1098"/>
      <c r="BI216" s="178"/>
      <c r="BJ216" s="178"/>
      <c r="BK216" s="178"/>
      <c r="BL216" s="178"/>
      <c r="BM216" s="178"/>
      <c r="BN216" s="178"/>
      <c r="BO216" s="178"/>
      <c r="BP216" s="178"/>
      <c r="BQ216" s="196"/>
      <c r="BR216" s="196"/>
      <c r="BS216" s="196"/>
      <c r="BT216" s="196"/>
      <c r="BU216" s="196"/>
      <c r="BV216" s="196"/>
      <c r="BW216" s="178"/>
      <c r="BX216" s="196"/>
      <c r="BY216" s="196"/>
      <c r="BZ216" s="196"/>
      <c r="CA216" s="196"/>
      <c r="CB216" s="178"/>
      <c r="CC216" s="178"/>
      <c r="CD216" s="202"/>
      <c r="CE216" s="202"/>
      <c r="CF216" s="178"/>
      <c r="CG216" s="196"/>
      <c r="CH216" s="178"/>
      <c r="CI216" s="178"/>
      <c r="CJ216" s="178"/>
      <c r="CK216" s="178"/>
      <c r="CL216" s="178"/>
      <c r="CM216" s="178"/>
      <c r="CN216" s="178"/>
      <c r="CO216" s="178"/>
      <c r="CP216" s="178"/>
      <c r="CQ216" s="178"/>
      <c r="CR216" s="178"/>
      <c r="CS216" s="178"/>
      <c r="CT216" s="178"/>
      <c r="CU216" s="178"/>
      <c r="CV216" s="178"/>
      <c r="CW216" s="178"/>
      <c r="CX216" s="178"/>
      <c r="CY216" s="178"/>
      <c r="CZ216" s="178"/>
      <c r="DA216" s="150"/>
    </row>
    <row r="217" spans="53:105" x14ac:dyDescent="0.2">
      <c r="BA217" s="518">
        <f t="shared" ca="1" si="22"/>
        <v>61</v>
      </c>
      <c r="BB217" s="174">
        <f t="shared" ca="1" si="23"/>
        <v>154</v>
      </c>
      <c r="BC217" s="525" t="e">
        <f ca="1">MATCH(BD217,OFFSET(Pinlist!$A$2,BC216*(BA217=BA216),0,$BM$23,1),0)+BC216*(BA217=BA216)</f>
        <v>#N/A</v>
      </c>
      <c r="BD217" s="167">
        <f t="shared" ca="1" si="24"/>
        <v>0</v>
      </c>
      <c r="BE217" s="191" t="e">
        <f ca="1">(OFFSET(Pinlist!$E$1,BC217,0)-$BN$16)*$BN$19</f>
        <v>#N/A</v>
      </c>
      <c r="BF217" s="192" t="e">
        <f ca="1">(OFFSET(Pinlist!$F$1,BC217,0)-$BO$16)*$BO$19</f>
        <v>#N/A</v>
      </c>
      <c r="BG217" s="1098" t="str">
        <f ca="1">IF(LEFT(BD217,2)="RF",OFFSET(Pinlist!$D$1,Chart!BC217,0)&amp;"_"&amp;OFFSET(Pinlist!$G$1,Chart!BC217,0),"")</f>
        <v/>
      </c>
      <c r="BH217" s="1098"/>
      <c r="BI217" s="178"/>
      <c r="BJ217" s="178"/>
      <c r="BK217" s="178"/>
      <c r="BL217" s="178"/>
      <c r="BM217" s="178"/>
      <c r="BN217" s="178"/>
      <c r="BO217" s="178"/>
      <c r="BP217" s="178"/>
      <c r="BQ217" s="196"/>
      <c r="BR217" s="196"/>
      <c r="BS217" s="196"/>
      <c r="BT217" s="196"/>
      <c r="BU217" s="196"/>
      <c r="BV217" s="196"/>
      <c r="BW217" s="178"/>
      <c r="BX217" s="196"/>
      <c r="BY217" s="196"/>
      <c r="BZ217" s="196"/>
      <c r="CA217" s="196"/>
      <c r="CB217" s="178"/>
      <c r="CC217" s="178"/>
      <c r="CD217" s="202"/>
      <c r="CE217" s="202"/>
      <c r="CF217" s="178"/>
      <c r="CG217" s="196"/>
      <c r="CH217" s="178"/>
      <c r="CI217" s="178"/>
      <c r="CJ217" s="178"/>
      <c r="CK217" s="178"/>
      <c r="CL217" s="178"/>
      <c r="CM217" s="178"/>
      <c r="CN217" s="178"/>
      <c r="CO217" s="178"/>
      <c r="CP217" s="178"/>
      <c r="CQ217" s="178"/>
      <c r="CR217" s="178"/>
      <c r="CS217" s="178"/>
      <c r="CT217" s="178"/>
      <c r="CU217" s="178"/>
      <c r="CV217" s="178"/>
      <c r="CW217" s="178"/>
      <c r="CX217" s="178"/>
      <c r="CY217" s="178"/>
      <c r="CZ217" s="178"/>
      <c r="DA217" s="150"/>
    </row>
    <row r="218" spans="53:105" x14ac:dyDescent="0.2">
      <c r="BA218" s="518">
        <f t="shared" ca="1" si="22"/>
        <v>61</v>
      </c>
      <c r="BB218" s="174">
        <f t="shared" ca="1" si="23"/>
        <v>155</v>
      </c>
      <c r="BC218" s="525" t="e">
        <f ca="1">MATCH(BD218,OFFSET(Pinlist!$A$2,BC217*(BA218=BA217),0,$BM$23,1),0)+BC217*(BA218=BA217)</f>
        <v>#N/A</v>
      </c>
      <c r="BD218" s="167">
        <f t="shared" ca="1" si="24"/>
        <v>0</v>
      </c>
      <c r="BE218" s="191" t="e">
        <f ca="1">(OFFSET(Pinlist!$E$1,BC218,0)-$BN$16)*$BN$19</f>
        <v>#N/A</v>
      </c>
      <c r="BF218" s="192" t="e">
        <f ca="1">(OFFSET(Pinlist!$F$1,BC218,0)-$BO$16)*$BO$19</f>
        <v>#N/A</v>
      </c>
      <c r="BG218" s="1098" t="str">
        <f ca="1">IF(LEFT(BD218,2)="RF",OFFSET(Pinlist!$D$1,Chart!BC218,0)&amp;"_"&amp;OFFSET(Pinlist!$G$1,Chart!BC218,0),"")</f>
        <v/>
      </c>
      <c r="BH218" s="1098"/>
      <c r="BI218" s="178"/>
      <c r="BJ218" s="178"/>
      <c r="BK218" s="178"/>
      <c r="BL218" s="178"/>
      <c r="BM218" s="178"/>
      <c r="BN218" s="178"/>
      <c r="BO218" s="178"/>
      <c r="BP218" s="178"/>
      <c r="BQ218" s="196"/>
      <c r="BR218" s="196"/>
      <c r="BS218" s="196"/>
      <c r="BT218" s="196"/>
      <c r="BU218" s="196"/>
      <c r="BV218" s="196"/>
      <c r="BW218" s="178"/>
      <c r="BX218" s="196"/>
      <c r="BY218" s="196"/>
      <c r="BZ218" s="196"/>
      <c r="CA218" s="196"/>
      <c r="CB218" s="178"/>
      <c r="CC218" s="178"/>
      <c r="CD218" s="202"/>
      <c r="CE218" s="202"/>
      <c r="CF218" s="178"/>
      <c r="CG218" s="196"/>
      <c r="CH218" s="178"/>
      <c r="CI218" s="178"/>
      <c r="CJ218" s="178"/>
      <c r="CK218" s="178"/>
      <c r="CL218" s="178"/>
      <c r="CM218" s="178"/>
      <c r="CN218" s="178"/>
      <c r="CO218" s="178"/>
      <c r="CP218" s="178"/>
      <c r="CQ218" s="178"/>
      <c r="CR218" s="178"/>
      <c r="CS218" s="178"/>
      <c r="CT218" s="178"/>
      <c r="CU218" s="178"/>
      <c r="CV218" s="178"/>
      <c r="CW218" s="178"/>
      <c r="CX218" s="178"/>
      <c r="CY218" s="178"/>
      <c r="CZ218" s="178"/>
      <c r="DA218" s="150"/>
    </row>
    <row r="219" spans="53:105" x14ac:dyDescent="0.2">
      <c r="BA219" s="518">
        <f t="shared" ca="1" si="22"/>
        <v>61</v>
      </c>
      <c r="BB219" s="174">
        <f t="shared" ca="1" si="23"/>
        <v>156</v>
      </c>
      <c r="BC219" s="525" t="e">
        <f ca="1">MATCH(BD219,OFFSET(Pinlist!$A$2,BC218*(BA219=BA218),0,$BM$23,1),0)+BC218*(BA219=BA218)</f>
        <v>#N/A</v>
      </c>
      <c r="BD219" s="167">
        <f t="shared" ca="1" si="24"/>
        <v>0</v>
      </c>
      <c r="BE219" s="191" t="e">
        <f ca="1">(OFFSET(Pinlist!$E$1,BC219,0)-$BN$16)*$BN$19</f>
        <v>#N/A</v>
      </c>
      <c r="BF219" s="192" t="e">
        <f ca="1">(OFFSET(Pinlist!$F$1,BC219,0)-$BO$16)*$BO$19</f>
        <v>#N/A</v>
      </c>
      <c r="BG219" s="1098" t="str">
        <f ca="1">IF(LEFT(BD219,2)="RF",OFFSET(Pinlist!$D$1,Chart!BC219,0)&amp;"_"&amp;OFFSET(Pinlist!$G$1,Chart!BC219,0),"")</f>
        <v/>
      </c>
      <c r="BH219" s="1098"/>
      <c r="BI219" s="178"/>
      <c r="BJ219" s="178"/>
      <c r="BK219" s="178"/>
      <c r="BL219" s="178"/>
      <c r="BM219" s="178"/>
      <c r="BN219" s="178"/>
      <c r="BO219" s="178"/>
      <c r="BP219" s="178"/>
      <c r="BQ219" s="196"/>
      <c r="BR219" s="196"/>
      <c r="BS219" s="196"/>
      <c r="BT219" s="196"/>
      <c r="BU219" s="196"/>
      <c r="BV219" s="196"/>
      <c r="BW219" s="178"/>
      <c r="BX219" s="196"/>
      <c r="BY219" s="196"/>
      <c r="BZ219" s="196"/>
      <c r="CA219" s="196"/>
      <c r="CB219" s="178"/>
      <c r="CC219" s="178"/>
      <c r="CD219" s="202"/>
      <c r="CE219" s="202"/>
      <c r="CF219" s="178"/>
      <c r="CG219" s="196"/>
      <c r="CH219" s="178"/>
      <c r="CI219" s="178"/>
      <c r="CJ219" s="178"/>
      <c r="CK219" s="178"/>
      <c r="CL219" s="178"/>
      <c r="CM219" s="178"/>
      <c r="CN219" s="178"/>
      <c r="CO219" s="178"/>
      <c r="CP219" s="178"/>
      <c r="CQ219" s="178"/>
      <c r="CR219" s="178"/>
      <c r="CS219" s="178"/>
      <c r="CT219" s="178"/>
      <c r="CU219" s="178"/>
      <c r="CV219" s="178"/>
      <c r="CW219" s="178"/>
      <c r="CX219" s="178"/>
      <c r="CY219" s="178"/>
      <c r="CZ219" s="178"/>
      <c r="DA219" s="150"/>
    </row>
    <row r="220" spans="53:105" x14ac:dyDescent="0.2">
      <c r="BA220" s="518">
        <f t="shared" ca="1" si="22"/>
        <v>61</v>
      </c>
      <c r="BB220" s="174">
        <f t="shared" ca="1" si="23"/>
        <v>157</v>
      </c>
      <c r="BC220" s="525" t="e">
        <f ca="1">MATCH(BD220,OFFSET(Pinlist!$A$2,BC219*(BA220=BA219),0,$BM$23,1),0)+BC219*(BA220=BA219)</f>
        <v>#N/A</v>
      </c>
      <c r="BD220" s="167">
        <f t="shared" ca="1" si="24"/>
        <v>0</v>
      </c>
      <c r="BE220" s="191" t="e">
        <f ca="1">(OFFSET(Pinlist!$E$1,BC220,0)-$BN$16)*$BN$19</f>
        <v>#N/A</v>
      </c>
      <c r="BF220" s="192" t="e">
        <f ca="1">(OFFSET(Pinlist!$F$1,BC220,0)-$BO$16)*$BO$19</f>
        <v>#N/A</v>
      </c>
      <c r="BG220" s="1098" t="str">
        <f ca="1">IF(LEFT(BD220,2)="RF",OFFSET(Pinlist!$D$1,Chart!BC220,0)&amp;"_"&amp;OFFSET(Pinlist!$G$1,Chart!BC220,0),"")</f>
        <v/>
      </c>
      <c r="BH220" s="1098"/>
      <c r="BI220" s="178"/>
      <c r="BJ220" s="178"/>
      <c r="BK220" s="178"/>
      <c r="BL220" s="178"/>
      <c r="BM220" s="178"/>
      <c r="BN220" s="178"/>
      <c r="BO220" s="178"/>
      <c r="BP220" s="178"/>
      <c r="BQ220" s="196"/>
      <c r="BR220" s="196"/>
      <c r="BS220" s="196"/>
      <c r="BT220" s="196"/>
      <c r="BU220" s="196"/>
      <c r="BV220" s="196"/>
      <c r="BW220" s="178"/>
      <c r="BX220" s="196"/>
      <c r="BY220" s="196"/>
      <c r="BZ220" s="196"/>
      <c r="CA220" s="196"/>
      <c r="CB220" s="178"/>
      <c r="CC220" s="178"/>
      <c r="CD220" s="202"/>
      <c r="CE220" s="202"/>
      <c r="CF220" s="178"/>
      <c r="CG220" s="196"/>
      <c r="CH220" s="178"/>
      <c r="CI220" s="178"/>
      <c r="CJ220" s="178"/>
      <c r="CK220" s="178"/>
      <c r="CL220" s="178"/>
      <c r="CM220" s="178"/>
      <c r="CN220" s="178"/>
      <c r="CO220" s="178"/>
      <c r="CP220" s="178"/>
      <c r="CQ220" s="178"/>
      <c r="CR220" s="178"/>
      <c r="CS220" s="178"/>
      <c r="CT220" s="178"/>
      <c r="CU220" s="178"/>
      <c r="CV220" s="178"/>
      <c r="CW220" s="178"/>
      <c r="CX220" s="178"/>
      <c r="CY220" s="178"/>
      <c r="CZ220" s="178"/>
      <c r="DA220" s="150"/>
    </row>
    <row r="221" spans="53:105" x14ac:dyDescent="0.2">
      <c r="BA221" s="518">
        <f t="shared" ca="1" si="22"/>
        <v>61</v>
      </c>
      <c r="BB221" s="174">
        <f t="shared" ca="1" si="23"/>
        <v>158</v>
      </c>
      <c r="BC221" s="525" t="e">
        <f ca="1">MATCH(BD221,OFFSET(Pinlist!$A$2,BC220*(BA221=BA220),0,$BM$23,1),0)+BC220*(BA221=BA220)</f>
        <v>#N/A</v>
      </c>
      <c r="BD221" s="167">
        <f t="shared" ca="1" si="24"/>
        <v>0</v>
      </c>
      <c r="BE221" s="191" t="e">
        <f ca="1">(OFFSET(Pinlist!$E$1,BC221,0)-$BN$16)*$BN$19</f>
        <v>#N/A</v>
      </c>
      <c r="BF221" s="192" t="e">
        <f ca="1">(OFFSET(Pinlist!$F$1,BC221,0)-$BO$16)*$BO$19</f>
        <v>#N/A</v>
      </c>
      <c r="BG221" s="1098" t="str">
        <f ca="1">IF(LEFT(BD221,2)="RF",OFFSET(Pinlist!$D$1,Chart!BC221,0)&amp;"_"&amp;OFFSET(Pinlist!$G$1,Chart!BC221,0),"")</f>
        <v/>
      </c>
      <c r="BH221" s="1098"/>
      <c r="BI221" s="178"/>
      <c r="BJ221" s="178"/>
      <c r="BK221" s="178"/>
      <c r="BL221" s="178"/>
      <c r="BM221" s="178"/>
      <c r="BN221" s="178"/>
      <c r="BO221" s="178"/>
      <c r="BP221" s="178"/>
      <c r="BQ221" s="196"/>
      <c r="BR221" s="196"/>
      <c r="BS221" s="196"/>
      <c r="BT221" s="196"/>
      <c r="BU221" s="196"/>
      <c r="BV221" s="196"/>
      <c r="BW221" s="178"/>
      <c r="BX221" s="196"/>
      <c r="BY221" s="196"/>
      <c r="BZ221" s="196"/>
      <c r="CA221" s="196"/>
      <c r="CB221" s="178"/>
      <c r="CC221" s="178"/>
      <c r="CD221" s="202"/>
      <c r="CE221" s="202"/>
      <c r="CF221" s="178"/>
      <c r="CG221" s="196"/>
      <c r="CH221" s="178"/>
      <c r="CI221" s="178"/>
      <c r="CJ221" s="178"/>
      <c r="CK221" s="178"/>
      <c r="CL221" s="178"/>
      <c r="CM221" s="178"/>
      <c r="CN221" s="178"/>
      <c r="CO221" s="178"/>
      <c r="CP221" s="178"/>
      <c r="CQ221" s="178"/>
      <c r="CR221" s="178"/>
      <c r="CS221" s="178"/>
      <c r="CT221" s="178"/>
      <c r="CU221" s="178"/>
      <c r="CV221" s="178"/>
      <c r="CW221" s="178"/>
      <c r="CX221" s="178"/>
      <c r="CY221" s="178"/>
      <c r="CZ221" s="178"/>
      <c r="DA221" s="150"/>
    </row>
    <row r="222" spans="53:105" x14ac:dyDescent="0.2">
      <c r="BA222" s="518">
        <f t="shared" ca="1" si="22"/>
        <v>61</v>
      </c>
      <c r="BB222" s="174">
        <f t="shared" ca="1" si="23"/>
        <v>159</v>
      </c>
      <c r="BC222" s="525" t="e">
        <f ca="1">MATCH(BD222,OFFSET(Pinlist!$A$2,BC221*(BA222=BA221),0,$BM$23,1),0)+BC221*(BA222=BA221)</f>
        <v>#N/A</v>
      </c>
      <c r="BD222" s="167">
        <f t="shared" ca="1" si="24"/>
        <v>0</v>
      </c>
      <c r="BE222" s="191" t="e">
        <f ca="1">(OFFSET(Pinlist!$E$1,BC222,0)-$BN$16)*$BN$19</f>
        <v>#N/A</v>
      </c>
      <c r="BF222" s="192" t="e">
        <f ca="1">(OFFSET(Pinlist!$F$1,BC222,0)-$BO$16)*$BO$19</f>
        <v>#N/A</v>
      </c>
      <c r="BG222" s="1098" t="str">
        <f ca="1">IF(LEFT(BD222,2)="RF",OFFSET(Pinlist!$D$1,Chart!BC222,0)&amp;"_"&amp;OFFSET(Pinlist!$G$1,Chart!BC222,0),"")</f>
        <v/>
      </c>
      <c r="BH222" s="1098"/>
      <c r="BI222" s="178"/>
      <c r="BJ222" s="178"/>
      <c r="BK222" s="178"/>
      <c r="BL222" s="178"/>
      <c r="BM222" s="178"/>
      <c r="BN222" s="178"/>
      <c r="BO222" s="178"/>
      <c r="BP222" s="178"/>
      <c r="BQ222" s="196"/>
      <c r="BR222" s="196"/>
      <c r="BS222" s="196"/>
      <c r="BT222" s="196"/>
      <c r="BU222" s="196"/>
      <c r="BV222" s="196"/>
      <c r="BW222" s="178"/>
      <c r="BX222" s="196"/>
      <c r="BY222" s="196"/>
      <c r="BZ222" s="196"/>
      <c r="CA222" s="196"/>
      <c r="CB222" s="178"/>
      <c r="CC222" s="178"/>
      <c r="CD222" s="202"/>
      <c r="CE222" s="202"/>
      <c r="CF222" s="178"/>
      <c r="CG222" s="196"/>
      <c r="CH222" s="178"/>
      <c r="CI222" s="178"/>
      <c r="CJ222" s="178"/>
      <c r="CK222" s="178"/>
      <c r="CL222" s="178"/>
      <c r="CM222" s="178"/>
      <c r="CN222" s="178"/>
      <c r="CO222" s="178"/>
      <c r="CP222" s="178"/>
      <c r="CQ222" s="178"/>
      <c r="CR222" s="178"/>
      <c r="CS222" s="178"/>
      <c r="CT222" s="178"/>
      <c r="CU222" s="178"/>
      <c r="CV222" s="178"/>
      <c r="CW222" s="178"/>
      <c r="CX222" s="178"/>
      <c r="CY222" s="178"/>
      <c r="CZ222" s="178"/>
      <c r="DA222" s="150"/>
    </row>
    <row r="223" spans="53:105" x14ac:dyDescent="0.2">
      <c r="BA223" s="518">
        <f t="shared" ca="1" si="22"/>
        <v>61</v>
      </c>
      <c r="BB223" s="174">
        <f t="shared" ca="1" si="23"/>
        <v>160</v>
      </c>
      <c r="BC223" s="525" t="e">
        <f ca="1">MATCH(BD223,OFFSET(Pinlist!$A$2,BC222*(BA223=BA222),0,$BM$23,1),0)+BC222*(BA223=BA222)</f>
        <v>#N/A</v>
      </c>
      <c r="BD223" s="167">
        <f t="shared" ca="1" si="24"/>
        <v>0</v>
      </c>
      <c r="BE223" s="191" t="e">
        <f ca="1">(OFFSET(Pinlist!$E$1,BC223,0)-$BN$16)*$BN$19</f>
        <v>#N/A</v>
      </c>
      <c r="BF223" s="192" t="e">
        <f ca="1">(OFFSET(Pinlist!$F$1,BC223,0)-$BO$16)*$BO$19</f>
        <v>#N/A</v>
      </c>
      <c r="BG223" s="1098" t="str">
        <f ca="1">IF(LEFT(BD223,2)="RF",OFFSET(Pinlist!$D$1,Chart!BC223,0)&amp;"_"&amp;OFFSET(Pinlist!$G$1,Chart!BC223,0),"")</f>
        <v/>
      </c>
      <c r="BH223" s="1098"/>
      <c r="BI223" s="178"/>
      <c r="BJ223" s="178"/>
      <c r="BK223" s="178"/>
      <c r="BL223" s="178"/>
      <c r="BM223" s="178"/>
      <c r="BN223" s="178"/>
      <c r="BO223" s="178"/>
      <c r="BP223" s="178"/>
      <c r="BQ223" s="196"/>
      <c r="BR223" s="196"/>
      <c r="BS223" s="196"/>
      <c r="BT223" s="196"/>
      <c r="BU223" s="196"/>
      <c r="BV223" s="196"/>
      <c r="BW223" s="178"/>
      <c r="BX223" s="196"/>
      <c r="BY223" s="196"/>
      <c r="BZ223" s="196"/>
      <c r="CA223" s="196"/>
      <c r="CB223" s="178"/>
      <c r="CC223" s="178"/>
      <c r="CD223" s="202"/>
      <c r="CE223" s="202"/>
      <c r="CF223" s="178"/>
      <c r="CG223" s="196"/>
      <c r="CH223" s="178"/>
      <c r="CI223" s="178"/>
      <c r="CJ223" s="178"/>
      <c r="CK223" s="178"/>
      <c r="CL223" s="178"/>
      <c r="CM223" s="178"/>
      <c r="CN223" s="178"/>
      <c r="CO223" s="178"/>
      <c r="CP223" s="178"/>
      <c r="CQ223" s="178"/>
      <c r="CR223" s="178"/>
      <c r="CS223" s="178"/>
      <c r="CT223" s="178"/>
      <c r="CU223" s="178"/>
      <c r="CV223" s="178"/>
      <c r="CW223" s="178"/>
      <c r="CX223" s="178"/>
      <c r="CY223" s="178"/>
      <c r="CZ223" s="178"/>
      <c r="DA223" s="150"/>
    </row>
    <row r="224" spans="53:105" x14ac:dyDescent="0.2">
      <c r="BA224" s="518">
        <f t="shared" ca="1" si="22"/>
        <v>61</v>
      </c>
      <c r="BB224" s="174">
        <f t="shared" ca="1" si="23"/>
        <v>161</v>
      </c>
      <c r="BC224" s="525" t="e">
        <f ca="1">MATCH(BD224,OFFSET(Pinlist!$A$2,BC223*(BA224=BA223),0,$BM$23,1),0)+BC223*(BA224=BA223)</f>
        <v>#N/A</v>
      </c>
      <c r="BD224" s="167">
        <f t="shared" ca="1" si="24"/>
        <v>0</v>
      </c>
      <c r="BE224" s="191" t="e">
        <f ca="1">(OFFSET(Pinlist!$E$1,BC224,0)-$BN$16)*$BN$19</f>
        <v>#N/A</v>
      </c>
      <c r="BF224" s="192" t="e">
        <f ca="1">(OFFSET(Pinlist!$F$1,BC224,0)-$BO$16)*$BO$19</f>
        <v>#N/A</v>
      </c>
      <c r="BG224" s="1098" t="str">
        <f ca="1">IF(LEFT(BD224,2)="RF",OFFSET(Pinlist!$D$1,Chart!BC224,0)&amp;"_"&amp;OFFSET(Pinlist!$G$1,Chart!BC224,0),"")</f>
        <v/>
      </c>
      <c r="BH224" s="1098"/>
      <c r="BI224" s="178"/>
      <c r="BJ224" s="178"/>
      <c r="BK224" s="178"/>
      <c r="BL224" s="178"/>
      <c r="BM224" s="178"/>
      <c r="BN224" s="178"/>
      <c r="BO224" s="178"/>
      <c r="BP224" s="178"/>
      <c r="BQ224" s="196"/>
      <c r="BR224" s="196"/>
      <c r="BS224" s="196"/>
      <c r="BT224" s="196"/>
      <c r="BU224" s="196"/>
      <c r="BV224" s="196"/>
      <c r="BW224" s="178"/>
      <c r="BX224" s="196"/>
      <c r="BY224" s="196"/>
      <c r="BZ224" s="196"/>
      <c r="CA224" s="196"/>
      <c r="CB224" s="178"/>
      <c r="CC224" s="178"/>
      <c r="CD224" s="202"/>
      <c r="CE224" s="202"/>
      <c r="CF224" s="178"/>
      <c r="CG224" s="196"/>
      <c r="CH224" s="178"/>
      <c r="CI224" s="178"/>
      <c r="CJ224" s="178"/>
      <c r="CK224" s="178"/>
      <c r="CL224" s="178"/>
      <c r="CM224" s="178"/>
      <c r="CN224" s="178"/>
      <c r="CO224" s="178"/>
      <c r="CP224" s="178"/>
      <c r="CQ224" s="178"/>
      <c r="CR224" s="178"/>
      <c r="CS224" s="178"/>
      <c r="CT224" s="178"/>
      <c r="CU224" s="178"/>
      <c r="CV224" s="178"/>
      <c r="CW224" s="178"/>
      <c r="CX224" s="178"/>
      <c r="CY224" s="178"/>
      <c r="CZ224" s="178"/>
      <c r="DA224" s="150"/>
    </row>
    <row r="225" spans="53:105" x14ac:dyDescent="0.2">
      <c r="BA225" s="518">
        <f t="shared" ca="1" si="22"/>
        <v>61</v>
      </c>
      <c r="BB225" s="174">
        <f t="shared" ca="1" si="23"/>
        <v>162</v>
      </c>
      <c r="BC225" s="525" t="e">
        <f ca="1">MATCH(BD225,OFFSET(Pinlist!$A$2,BC224*(BA225=BA224),0,$BM$23,1),0)+BC224*(BA225=BA224)</f>
        <v>#N/A</v>
      </c>
      <c r="BD225" s="167">
        <f t="shared" ca="1" si="24"/>
        <v>0</v>
      </c>
      <c r="BE225" s="191" t="e">
        <f ca="1">(OFFSET(Pinlist!$E$1,BC225,0)-$BN$16)*$BN$19</f>
        <v>#N/A</v>
      </c>
      <c r="BF225" s="192" t="e">
        <f ca="1">(OFFSET(Pinlist!$F$1,BC225,0)-$BO$16)*$BO$19</f>
        <v>#N/A</v>
      </c>
      <c r="BG225" s="1098" t="str">
        <f ca="1">IF(LEFT(BD225,2)="RF",OFFSET(Pinlist!$D$1,Chart!BC225,0)&amp;"_"&amp;OFFSET(Pinlist!$G$1,Chart!BC225,0),"")</f>
        <v/>
      </c>
      <c r="BH225" s="1098"/>
      <c r="BI225" s="178"/>
      <c r="BJ225" s="178"/>
      <c r="BK225" s="178"/>
      <c r="BL225" s="178"/>
      <c r="BM225" s="178"/>
      <c r="BN225" s="178"/>
      <c r="BO225" s="178"/>
      <c r="BP225" s="178"/>
      <c r="BQ225" s="196"/>
      <c r="BR225" s="196"/>
      <c r="BS225" s="196"/>
      <c r="BT225" s="196"/>
      <c r="BU225" s="196"/>
      <c r="BV225" s="196"/>
      <c r="BW225" s="178"/>
      <c r="BX225" s="196"/>
      <c r="BY225" s="196"/>
      <c r="BZ225" s="196"/>
      <c r="CA225" s="196"/>
      <c r="CB225" s="178"/>
      <c r="CC225" s="178"/>
      <c r="CD225" s="202"/>
      <c r="CE225" s="202"/>
      <c r="CF225" s="178"/>
      <c r="CG225" s="196"/>
      <c r="CH225" s="178"/>
      <c r="CI225" s="178"/>
      <c r="CJ225" s="178"/>
      <c r="CK225" s="178"/>
      <c r="CL225" s="178"/>
      <c r="CM225" s="178"/>
      <c r="CN225" s="178"/>
      <c r="CO225" s="178"/>
      <c r="CP225" s="178"/>
      <c r="CQ225" s="178"/>
      <c r="CR225" s="178"/>
      <c r="CS225" s="178"/>
      <c r="CT225" s="178"/>
      <c r="CU225" s="178"/>
      <c r="CV225" s="178"/>
      <c r="CW225" s="178"/>
      <c r="CX225" s="178"/>
      <c r="CY225" s="178"/>
      <c r="CZ225" s="178"/>
      <c r="DA225" s="150"/>
    </row>
    <row r="226" spans="53:105" x14ac:dyDescent="0.2">
      <c r="BA226" s="518">
        <f t="shared" ca="1" si="22"/>
        <v>61</v>
      </c>
      <c r="BB226" s="174">
        <f t="shared" ca="1" si="23"/>
        <v>163</v>
      </c>
      <c r="BC226" s="525" t="e">
        <f ca="1">MATCH(BD226,OFFSET(Pinlist!$A$2,BC225*(BA226=BA225),0,$BM$23,1),0)+BC225*(BA226=BA225)</f>
        <v>#N/A</v>
      </c>
      <c r="BD226" s="167">
        <f t="shared" ca="1" si="24"/>
        <v>0</v>
      </c>
      <c r="BE226" s="191" t="e">
        <f ca="1">(OFFSET(Pinlist!$E$1,BC226,0)-$BN$16)*$BN$19</f>
        <v>#N/A</v>
      </c>
      <c r="BF226" s="192" t="e">
        <f ca="1">(OFFSET(Pinlist!$F$1,BC226,0)-$BO$16)*$BO$19</f>
        <v>#N/A</v>
      </c>
      <c r="BG226" s="1098" t="str">
        <f ca="1">IF(LEFT(BD226,2)="RF",OFFSET(Pinlist!$D$1,Chart!BC226,0)&amp;"_"&amp;OFFSET(Pinlist!$G$1,Chart!BC226,0),"")</f>
        <v/>
      </c>
      <c r="BH226" s="1098"/>
      <c r="BI226" s="178"/>
      <c r="BJ226" s="178"/>
      <c r="BK226" s="178"/>
      <c r="BL226" s="178"/>
      <c r="BM226" s="178"/>
      <c r="BN226" s="178"/>
      <c r="BO226" s="178"/>
      <c r="BP226" s="178"/>
      <c r="BQ226" s="196"/>
      <c r="BR226" s="196"/>
      <c r="BS226" s="196"/>
      <c r="BT226" s="196"/>
      <c r="BU226" s="196"/>
      <c r="BV226" s="196"/>
      <c r="BW226" s="178"/>
      <c r="BX226" s="196"/>
      <c r="BY226" s="196"/>
      <c r="BZ226" s="196"/>
      <c r="CA226" s="196"/>
      <c r="CB226" s="178"/>
      <c r="CC226" s="178"/>
      <c r="CD226" s="202"/>
      <c r="CE226" s="202"/>
      <c r="CF226" s="178"/>
      <c r="CG226" s="196"/>
      <c r="CH226" s="178"/>
      <c r="CI226" s="178"/>
      <c r="CJ226" s="178"/>
      <c r="CK226" s="178"/>
      <c r="CL226" s="178"/>
      <c r="CM226" s="178"/>
      <c r="CN226" s="178"/>
      <c r="CO226" s="178"/>
      <c r="CP226" s="178"/>
      <c r="CQ226" s="178"/>
      <c r="CR226" s="178"/>
      <c r="CS226" s="178"/>
      <c r="CT226" s="178"/>
      <c r="CU226" s="178"/>
      <c r="CV226" s="178"/>
      <c r="CW226" s="178"/>
      <c r="CX226" s="178"/>
      <c r="CY226" s="178"/>
      <c r="CZ226" s="178"/>
      <c r="DA226" s="150"/>
    </row>
    <row r="227" spans="53:105" x14ac:dyDescent="0.2">
      <c r="BA227" s="518">
        <f t="shared" ca="1" si="22"/>
        <v>61</v>
      </c>
      <c r="BB227" s="174">
        <f t="shared" ca="1" si="23"/>
        <v>164</v>
      </c>
      <c r="BC227" s="525" t="e">
        <f ca="1">MATCH(BD227,OFFSET(Pinlist!$A$2,BC226*(BA227=BA226),0,$BM$23,1),0)+BC226*(BA227=BA226)</f>
        <v>#N/A</v>
      </c>
      <c r="BD227" s="167">
        <f t="shared" ca="1" si="24"/>
        <v>0</v>
      </c>
      <c r="BE227" s="191" t="e">
        <f ca="1">(OFFSET(Pinlist!$E$1,BC227,0)-$BN$16)*$BN$19</f>
        <v>#N/A</v>
      </c>
      <c r="BF227" s="192" t="e">
        <f ca="1">(OFFSET(Pinlist!$F$1,BC227,0)-$BO$16)*$BO$19</f>
        <v>#N/A</v>
      </c>
      <c r="BG227" s="1098" t="str">
        <f ca="1">IF(LEFT(BD227,2)="RF",OFFSET(Pinlist!$D$1,Chart!BC227,0)&amp;"_"&amp;OFFSET(Pinlist!$G$1,Chart!BC227,0),"")</f>
        <v/>
      </c>
      <c r="BH227" s="1098"/>
      <c r="BI227" s="178"/>
      <c r="BJ227" s="178"/>
      <c r="BK227" s="178"/>
      <c r="BL227" s="178"/>
      <c r="BM227" s="178"/>
      <c r="BN227" s="178"/>
      <c r="BO227" s="178"/>
      <c r="BP227" s="178"/>
      <c r="BQ227" s="196"/>
      <c r="BR227" s="196"/>
      <c r="BS227" s="196"/>
      <c r="BT227" s="196"/>
      <c r="BU227" s="196"/>
      <c r="BV227" s="196"/>
      <c r="BW227" s="178"/>
      <c r="BX227" s="196"/>
      <c r="BY227" s="196"/>
      <c r="BZ227" s="196"/>
      <c r="CA227" s="196"/>
      <c r="CB227" s="178"/>
      <c r="CC227" s="178"/>
      <c r="CD227" s="202"/>
      <c r="CE227" s="202"/>
      <c r="CF227" s="178"/>
      <c r="CG227" s="196"/>
      <c r="CH227" s="178"/>
      <c r="CI227" s="178"/>
      <c r="CJ227" s="178"/>
      <c r="CK227" s="178"/>
      <c r="CL227" s="178"/>
      <c r="CM227" s="178"/>
      <c r="CN227" s="178"/>
      <c r="CO227" s="178"/>
      <c r="CP227" s="178"/>
      <c r="CQ227" s="178"/>
      <c r="CR227" s="178"/>
      <c r="CS227" s="178"/>
      <c r="CT227" s="178"/>
      <c r="CU227" s="178"/>
      <c r="CV227" s="178"/>
      <c r="CW227" s="178"/>
      <c r="CX227" s="178"/>
      <c r="CY227" s="178"/>
      <c r="CZ227" s="178"/>
      <c r="DA227" s="150"/>
    </row>
    <row r="228" spans="53:105" x14ac:dyDescent="0.2">
      <c r="BA228" s="518">
        <f t="shared" ca="1" si="22"/>
        <v>61</v>
      </c>
      <c r="BB228" s="174">
        <f t="shared" ca="1" si="23"/>
        <v>165</v>
      </c>
      <c r="BC228" s="525" t="e">
        <f ca="1">MATCH(BD228,OFFSET(Pinlist!$A$2,BC227*(BA228=BA227),0,$BM$23,1),0)+BC227*(BA228=BA227)</f>
        <v>#N/A</v>
      </c>
      <c r="BD228" s="167">
        <f t="shared" ca="1" si="24"/>
        <v>0</v>
      </c>
      <c r="BE228" s="191" t="e">
        <f ca="1">(OFFSET(Pinlist!$E$1,BC228,0)-$BN$16)*$BN$19</f>
        <v>#N/A</v>
      </c>
      <c r="BF228" s="192" t="e">
        <f ca="1">(OFFSET(Pinlist!$F$1,BC228,0)-$BO$16)*$BO$19</f>
        <v>#N/A</v>
      </c>
      <c r="BG228" s="1098" t="str">
        <f ca="1">IF(LEFT(BD228,2)="RF",OFFSET(Pinlist!$D$1,Chart!BC228,0)&amp;"_"&amp;OFFSET(Pinlist!$G$1,Chart!BC228,0),"")</f>
        <v/>
      </c>
      <c r="BH228" s="1098"/>
      <c r="BI228" s="178"/>
      <c r="BJ228" s="178"/>
      <c r="BK228" s="178"/>
      <c r="BL228" s="178"/>
      <c r="BM228" s="178"/>
      <c r="BN228" s="178"/>
      <c r="BO228" s="178"/>
      <c r="BP228" s="178"/>
      <c r="BQ228" s="196"/>
      <c r="BR228" s="196"/>
      <c r="BS228" s="196"/>
      <c r="BT228" s="196"/>
      <c r="BU228" s="196"/>
      <c r="BV228" s="196"/>
      <c r="BW228" s="178"/>
      <c r="BX228" s="196"/>
      <c r="BY228" s="196"/>
      <c r="BZ228" s="196"/>
      <c r="CA228" s="196"/>
      <c r="CB228" s="178"/>
      <c r="CC228" s="178"/>
      <c r="CD228" s="202"/>
      <c r="CE228" s="202"/>
      <c r="CF228" s="178"/>
      <c r="CG228" s="196"/>
      <c r="CH228" s="178"/>
      <c r="CI228" s="178"/>
      <c r="CJ228" s="178"/>
      <c r="CK228" s="178"/>
      <c r="CL228" s="178"/>
      <c r="CM228" s="178"/>
      <c r="CN228" s="178"/>
      <c r="CO228" s="178"/>
      <c r="CP228" s="178"/>
      <c r="CQ228" s="178"/>
      <c r="CR228" s="178"/>
      <c r="CS228" s="178"/>
      <c r="CT228" s="178"/>
      <c r="CU228" s="178"/>
      <c r="CV228" s="178"/>
      <c r="CW228" s="178"/>
      <c r="CX228" s="178"/>
      <c r="CY228" s="178"/>
      <c r="CZ228" s="178"/>
      <c r="DA228" s="150"/>
    </row>
    <row r="229" spans="53:105" x14ac:dyDescent="0.2">
      <c r="BA229" s="518">
        <f t="shared" ca="1" si="22"/>
        <v>61</v>
      </c>
      <c r="BB229" s="174">
        <f t="shared" ca="1" si="23"/>
        <v>166</v>
      </c>
      <c r="BC229" s="525" t="e">
        <f ca="1">MATCH(BD229,OFFSET(Pinlist!$A$2,BC228*(BA229=BA228),0,$BM$23,1),0)+BC228*(BA229=BA228)</f>
        <v>#N/A</v>
      </c>
      <c r="BD229" s="167">
        <f t="shared" ca="1" si="24"/>
        <v>0</v>
      </c>
      <c r="BE229" s="191" t="e">
        <f ca="1">(OFFSET(Pinlist!$E$1,BC229,0)-$BN$16)*$BN$19</f>
        <v>#N/A</v>
      </c>
      <c r="BF229" s="192" t="e">
        <f ca="1">(OFFSET(Pinlist!$F$1,BC229,0)-$BO$16)*$BO$19</f>
        <v>#N/A</v>
      </c>
      <c r="BG229" s="1098" t="str">
        <f ca="1">IF(LEFT(BD229,2)="RF",OFFSET(Pinlist!$D$1,Chart!BC229,0)&amp;"_"&amp;OFFSET(Pinlist!$G$1,Chart!BC229,0),"")</f>
        <v/>
      </c>
      <c r="BH229" s="1098"/>
      <c r="BI229" s="178"/>
      <c r="BJ229" s="178"/>
      <c r="BK229" s="178"/>
      <c r="BL229" s="178"/>
      <c r="BM229" s="178"/>
      <c r="BN229" s="178"/>
      <c r="BO229" s="178"/>
      <c r="BP229" s="178"/>
      <c r="BQ229" s="196"/>
      <c r="BR229" s="196"/>
      <c r="BS229" s="196"/>
      <c r="BT229" s="196"/>
      <c r="BU229" s="196"/>
      <c r="BV229" s="196"/>
      <c r="BW229" s="178"/>
      <c r="BX229" s="196"/>
      <c r="BY229" s="196"/>
      <c r="BZ229" s="196"/>
      <c r="CA229" s="196"/>
      <c r="CB229" s="178"/>
      <c r="CC229" s="178"/>
      <c r="CD229" s="202"/>
      <c r="CE229" s="202"/>
      <c r="CF229" s="178"/>
      <c r="CG229" s="196"/>
      <c r="CH229" s="178"/>
      <c r="CI229" s="178"/>
      <c r="CJ229" s="178"/>
      <c r="CK229" s="178"/>
      <c r="CL229" s="178"/>
      <c r="CM229" s="178"/>
      <c r="CN229" s="178"/>
      <c r="CO229" s="178"/>
      <c r="CP229" s="178"/>
      <c r="CQ229" s="178"/>
      <c r="CR229" s="178"/>
      <c r="CS229" s="178"/>
      <c r="CT229" s="178"/>
      <c r="CU229" s="178"/>
      <c r="CV229" s="178"/>
      <c r="CW229" s="178"/>
      <c r="CX229" s="178"/>
      <c r="CY229" s="178"/>
      <c r="CZ229" s="178"/>
      <c r="DA229" s="150"/>
    </row>
    <row r="230" spans="53:105" x14ac:dyDescent="0.2">
      <c r="BA230" s="518">
        <f t="shared" ca="1" si="22"/>
        <v>61</v>
      </c>
      <c r="BB230" s="174">
        <f t="shared" ca="1" si="23"/>
        <v>167</v>
      </c>
      <c r="BC230" s="525" t="e">
        <f ca="1">MATCH(BD230,OFFSET(Pinlist!$A$2,BC229*(BA230=BA229),0,$BM$23,1),0)+BC229*(BA230=BA229)</f>
        <v>#N/A</v>
      </c>
      <c r="BD230" s="167">
        <f t="shared" ca="1" si="24"/>
        <v>0</v>
      </c>
      <c r="BE230" s="191" t="e">
        <f ca="1">(OFFSET(Pinlist!$E$1,BC230,0)-$BN$16)*$BN$19</f>
        <v>#N/A</v>
      </c>
      <c r="BF230" s="192" t="e">
        <f ca="1">(OFFSET(Pinlist!$F$1,BC230,0)-$BO$16)*$BO$19</f>
        <v>#N/A</v>
      </c>
      <c r="BG230" s="1098" t="str">
        <f ca="1">IF(LEFT(BD230,2)="RF",OFFSET(Pinlist!$D$1,Chart!BC230,0)&amp;"_"&amp;OFFSET(Pinlist!$G$1,Chart!BC230,0),"")</f>
        <v/>
      </c>
      <c r="BH230" s="1098"/>
      <c r="BI230" s="178"/>
      <c r="BJ230" s="178"/>
      <c r="BK230" s="178"/>
      <c r="BL230" s="178"/>
      <c r="BM230" s="178"/>
      <c r="BN230" s="178"/>
      <c r="BO230" s="178"/>
      <c r="BP230" s="178"/>
      <c r="BQ230" s="196"/>
      <c r="BR230" s="196"/>
      <c r="BS230" s="196"/>
      <c r="BT230" s="196"/>
      <c r="BU230" s="196"/>
      <c r="BV230" s="196"/>
      <c r="BW230" s="178"/>
      <c r="BX230" s="196"/>
      <c r="BY230" s="196"/>
      <c r="BZ230" s="196"/>
      <c r="CA230" s="196"/>
      <c r="CB230" s="178"/>
      <c r="CC230" s="178"/>
      <c r="CD230" s="202"/>
      <c r="CE230" s="202"/>
      <c r="CF230" s="178"/>
      <c r="CG230" s="196"/>
      <c r="CH230" s="178"/>
      <c r="CI230" s="178"/>
      <c r="CJ230" s="178"/>
      <c r="CK230" s="178"/>
      <c r="CL230" s="178"/>
      <c r="CM230" s="178"/>
      <c r="CN230" s="178"/>
      <c r="CO230" s="178"/>
      <c r="CP230" s="178"/>
      <c r="CQ230" s="178"/>
      <c r="CR230" s="178"/>
      <c r="CS230" s="178"/>
      <c r="CT230" s="178"/>
      <c r="CU230" s="178"/>
      <c r="CV230" s="178"/>
      <c r="CW230" s="178"/>
      <c r="CX230" s="178"/>
      <c r="CY230" s="178"/>
      <c r="CZ230" s="178"/>
      <c r="DA230" s="150"/>
    </row>
    <row r="231" spans="53:105" x14ac:dyDescent="0.2">
      <c r="BA231" s="518">
        <f t="shared" ca="1" si="22"/>
        <v>61</v>
      </c>
      <c r="BB231" s="174">
        <f t="shared" ca="1" si="23"/>
        <v>168</v>
      </c>
      <c r="BC231" s="525" t="e">
        <f ca="1">MATCH(BD231,OFFSET(Pinlist!$A$2,BC230*(BA231=BA230),0,$BM$23,1),0)+BC230*(BA231=BA230)</f>
        <v>#N/A</v>
      </c>
      <c r="BD231" s="167">
        <f t="shared" ca="1" si="24"/>
        <v>0</v>
      </c>
      <c r="BE231" s="191" t="e">
        <f ca="1">(OFFSET(Pinlist!$E$1,BC231,0)-$BN$16)*$BN$19</f>
        <v>#N/A</v>
      </c>
      <c r="BF231" s="192" t="e">
        <f ca="1">(OFFSET(Pinlist!$F$1,BC231,0)-$BO$16)*$BO$19</f>
        <v>#N/A</v>
      </c>
      <c r="BG231" s="1098" t="str">
        <f ca="1">IF(LEFT(BD231,2)="RF",OFFSET(Pinlist!$D$1,Chart!BC231,0)&amp;"_"&amp;OFFSET(Pinlist!$G$1,Chart!BC231,0),"")</f>
        <v/>
      </c>
      <c r="BH231" s="1098"/>
      <c r="BI231" s="178"/>
      <c r="BJ231" s="178"/>
      <c r="BK231" s="178"/>
      <c r="BL231" s="178"/>
      <c r="BM231" s="178"/>
      <c r="BN231" s="178"/>
      <c r="BO231" s="178"/>
      <c r="BP231" s="178"/>
      <c r="BQ231" s="196"/>
      <c r="BR231" s="196"/>
      <c r="BS231" s="196"/>
      <c r="BT231" s="196"/>
      <c r="BU231" s="196"/>
      <c r="BV231" s="196"/>
      <c r="BW231" s="178"/>
      <c r="BX231" s="196"/>
      <c r="BY231" s="196"/>
      <c r="BZ231" s="196"/>
      <c r="CA231" s="196"/>
      <c r="CB231" s="178"/>
      <c r="CC231" s="178"/>
      <c r="CD231" s="202"/>
      <c r="CE231" s="202"/>
      <c r="CF231" s="178"/>
      <c r="CG231" s="196"/>
      <c r="CH231" s="178"/>
      <c r="CI231" s="178"/>
      <c r="CJ231" s="178"/>
      <c r="CK231" s="178"/>
      <c r="CL231" s="178"/>
      <c r="CM231" s="178"/>
      <c r="CN231" s="178"/>
      <c r="CO231" s="178"/>
      <c r="CP231" s="178"/>
      <c r="CQ231" s="178"/>
      <c r="CR231" s="178"/>
      <c r="CS231" s="178"/>
      <c r="CT231" s="178"/>
      <c r="CU231" s="178"/>
      <c r="CV231" s="178"/>
      <c r="CW231" s="178"/>
      <c r="CX231" s="178"/>
      <c r="CY231" s="178"/>
      <c r="CZ231" s="178"/>
      <c r="DA231" s="150"/>
    </row>
    <row r="232" spans="53:105" x14ac:dyDescent="0.2">
      <c r="BA232" s="518">
        <f t="shared" ca="1" si="22"/>
        <v>61</v>
      </c>
      <c r="BB232" s="174">
        <f t="shared" ca="1" si="23"/>
        <v>169</v>
      </c>
      <c r="BC232" s="525" t="e">
        <f ca="1">MATCH(BD232,OFFSET(Pinlist!$A$2,BC231*(BA232=BA231),0,$BM$23,1),0)+BC231*(BA232=BA231)</f>
        <v>#N/A</v>
      </c>
      <c r="BD232" s="167">
        <f t="shared" ca="1" si="24"/>
        <v>0</v>
      </c>
      <c r="BE232" s="191" t="e">
        <f ca="1">(OFFSET(Pinlist!$E$1,BC232,0)-$BN$16)*$BN$19</f>
        <v>#N/A</v>
      </c>
      <c r="BF232" s="192" t="e">
        <f ca="1">(OFFSET(Pinlist!$F$1,BC232,0)-$BO$16)*$BO$19</f>
        <v>#N/A</v>
      </c>
      <c r="BG232" s="1098" t="str">
        <f ca="1">IF(LEFT(BD232,2)="RF",OFFSET(Pinlist!$D$1,Chart!BC232,0)&amp;"_"&amp;OFFSET(Pinlist!$G$1,Chart!BC232,0),"")</f>
        <v/>
      </c>
      <c r="BH232" s="1098"/>
      <c r="BI232" s="178"/>
      <c r="BJ232" s="178"/>
      <c r="BK232" s="178"/>
      <c r="BL232" s="178"/>
      <c r="BM232" s="178"/>
      <c r="BN232" s="178"/>
      <c r="BO232" s="178"/>
      <c r="BP232" s="178"/>
      <c r="BQ232" s="196"/>
      <c r="BR232" s="196"/>
      <c r="BS232" s="196"/>
      <c r="BT232" s="196"/>
      <c r="BU232" s="196"/>
      <c r="BV232" s="196"/>
      <c r="BW232" s="178"/>
      <c r="BX232" s="196"/>
      <c r="BY232" s="196"/>
      <c r="BZ232" s="196"/>
      <c r="CA232" s="196"/>
      <c r="CB232" s="178"/>
      <c r="CC232" s="178"/>
      <c r="CD232" s="202"/>
      <c r="CE232" s="202"/>
      <c r="CF232" s="178"/>
      <c r="CG232" s="196"/>
      <c r="CH232" s="178"/>
      <c r="CI232" s="178"/>
      <c r="CJ232" s="178"/>
      <c r="CK232" s="178"/>
      <c r="CL232" s="178"/>
      <c r="CM232" s="178"/>
      <c r="CN232" s="178"/>
      <c r="CO232" s="178"/>
      <c r="CP232" s="178"/>
      <c r="CQ232" s="178"/>
      <c r="CR232" s="178"/>
      <c r="CS232" s="178"/>
      <c r="CT232" s="178"/>
      <c r="CU232" s="178"/>
      <c r="CV232" s="178"/>
      <c r="CW232" s="178"/>
      <c r="CX232" s="178"/>
      <c r="CY232" s="178"/>
      <c r="CZ232" s="178"/>
      <c r="DA232" s="150"/>
    </row>
    <row r="233" spans="53:105" x14ac:dyDescent="0.2">
      <c r="BA233" s="518">
        <f t="shared" ca="1" si="22"/>
        <v>61</v>
      </c>
      <c r="BB233" s="174">
        <f t="shared" ca="1" si="23"/>
        <v>170</v>
      </c>
      <c r="BC233" s="525" t="e">
        <f ca="1">MATCH(BD233,OFFSET(Pinlist!$A$2,BC232*(BA233=BA232),0,$BM$23,1),0)+BC232*(BA233=BA232)</f>
        <v>#N/A</v>
      </c>
      <c r="BD233" s="167">
        <f t="shared" ca="1" si="24"/>
        <v>0</v>
      </c>
      <c r="BE233" s="191" t="e">
        <f ca="1">(OFFSET(Pinlist!$E$1,BC233,0)-$BN$16)*$BN$19</f>
        <v>#N/A</v>
      </c>
      <c r="BF233" s="192" t="e">
        <f ca="1">(OFFSET(Pinlist!$F$1,BC233,0)-$BO$16)*$BO$19</f>
        <v>#N/A</v>
      </c>
      <c r="BG233" s="1098" t="str">
        <f ca="1">IF(LEFT(BD233,2)="RF",OFFSET(Pinlist!$D$1,Chart!BC233,0)&amp;"_"&amp;OFFSET(Pinlist!$G$1,Chart!BC233,0),"")</f>
        <v/>
      </c>
      <c r="BH233" s="1098"/>
      <c r="BI233" s="178"/>
      <c r="BJ233" s="178"/>
      <c r="BK233" s="178"/>
      <c r="BL233" s="178"/>
      <c r="BM233" s="178"/>
      <c r="BN233" s="178"/>
      <c r="BO233" s="178"/>
      <c r="BP233" s="178"/>
      <c r="BQ233" s="196"/>
      <c r="BR233" s="196"/>
      <c r="BS233" s="196"/>
      <c r="BT233" s="196"/>
      <c r="BU233" s="196"/>
      <c r="BV233" s="196"/>
      <c r="BW233" s="178"/>
      <c r="BX233" s="196"/>
      <c r="BY233" s="196"/>
      <c r="BZ233" s="196"/>
      <c r="CA233" s="196"/>
      <c r="CB233" s="178"/>
      <c r="CC233" s="178"/>
      <c r="CD233" s="202"/>
      <c r="CE233" s="202"/>
      <c r="CF233" s="178"/>
      <c r="CG233" s="196"/>
      <c r="CH233" s="178"/>
      <c r="CI233" s="178"/>
      <c r="CJ233" s="178"/>
      <c r="CK233" s="178"/>
      <c r="CL233" s="178"/>
      <c r="CM233" s="178"/>
      <c r="CN233" s="178"/>
      <c r="CO233" s="178"/>
      <c r="CP233" s="178"/>
      <c r="CQ233" s="178"/>
      <c r="CR233" s="178"/>
      <c r="CS233" s="178"/>
      <c r="CT233" s="178"/>
      <c r="CU233" s="178"/>
      <c r="CV233" s="178"/>
      <c r="CW233" s="178"/>
      <c r="CX233" s="178"/>
      <c r="CY233" s="178"/>
      <c r="CZ233" s="178"/>
      <c r="DA233" s="150"/>
    </row>
    <row r="234" spans="53:105" x14ac:dyDescent="0.2">
      <c r="BA234" s="518">
        <f t="shared" ca="1" si="22"/>
        <v>61</v>
      </c>
      <c r="BB234" s="174">
        <f t="shared" ca="1" si="23"/>
        <v>171</v>
      </c>
      <c r="BC234" s="525" t="e">
        <f ca="1">MATCH(BD234,OFFSET(Pinlist!$A$2,BC233*(BA234=BA233),0,$BM$23,1),0)+BC233*(BA234=BA233)</f>
        <v>#N/A</v>
      </c>
      <c r="BD234" s="167">
        <f t="shared" ca="1" si="24"/>
        <v>0</v>
      </c>
      <c r="BE234" s="191" t="e">
        <f ca="1">(OFFSET(Pinlist!$E$1,BC234,0)-$BN$16)*$BN$19</f>
        <v>#N/A</v>
      </c>
      <c r="BF234" s="192" t="e">
        <f ca="1">(OFFSET(Pinlist!$F$1,BC234,0)-$BO$16)*$BO$19</f>
        <v>#N/A</v>
      </c>
      <c r="BG234" s="1098" t="str">
        <f ca="1">IF(LEFT(BD234,2)="RF",OFFSET(Pinlist!$D$1,Chart!BC234,0)&amp;"_"&amp;OFFSET(Pinlist!$G$1,Chart!BC234,0),"")</f>
        <v/>
      </c>
      <c r="BH234" s="1098"/>
      <c r="BI234" s="178"/>
      <c r="BJ234" s="178"/>
      <c r="BK234" s="178"/>
      <c r="BL234" s="178"/>
      <c r="BM234" s="178"/>
      <c r="BN234" s="178"/>
      <c r="BO234" s="178"/>
      <c r="BP234" s="178"/>
      <c r="BQ234" s="196"/>
      <c r="BR234" s="196"/>
      <c r="BS234" s="196"/>
      <c r="BT234" s="196"/>
      <c r="BU234" s="196"/>
      <c r="BV234" s="196"/>
      <c r="BW234" s="178"/>
      <c r="BX234" s="196"/>
      <c r="BY234" s="196"/>
      <c r="BZ234" s="196"/>
      <c r="CA234" s="196"/>
      <c r="CB234" s="178"/>
      <c r="CC234" s="178"/>
      <c r="CD234" s="202"/>
      <c r="CE234" s="202"/>
      <c r="CF234" s="178"/>
      <c r="CG234" s="196"/>
      <c r="CH234" s="178"/>
      <c r="CI234" s="178"/>
      <c r="CJ234" s="178"/>
      <c r="CK234" s="178"/>
      <c r="CL234" s="178"/>
      <c r="CM234" s="178"/>
      <c r="CN234" s="178"/>
      <c r="CO234" s="178"/>
      <c r="CP234" s="178"/>
      <c r="CQ234" s="178"/>
      <c r="CR234" s="178"/>
      <c r="CS234" s="178"/>
      <c r="CT234" s="178"/>
      <c r="CU234" s="178"/>
      <c r="CV234" s="178"/>
      <c r="CW234" s="178"/>
      <c r="CX234" s="178"/>
      <c r="CY234" s="178"/>
      <c r="CZ234" s="178"/>
      <c r="DA234" s="150"/>
    </row>
    <row r="235" spans="53:105" x14ac:dyDescent="0.2">
      <c r="BA235" s="518">
        <f t="shared" ca="1" si="22"/>
        <v>61</v>
      </c>
      <c r="BB235" s="174">
        <f t="shared" ca="1" si="23"/>
        <v>172</v>
      </c>
      <c r="BC235" s="525" t="e">
        <f ca="1">MATCH(BD235,OFFSET(Pinlist!$A$2,BC234*(BA235=BA234),0,$BM$23,1),0)+BC234*(BA235=BA234)</f>
        <v>#N/A</v>
      </c>
      <c r="BD235" s="167">
        <f t="shared" ca="1" si="24"/>
        <v>0</v>
      </c>
      <c r="BE235" s="191" t="e">
        <f ca="1">(OFFSET(Pinlist!$E$1,BC235,0)-$BN$16)*$BN$19</f>
        <v>#N/A</v>
      </c>
      <c r="BF235" s="192" t="e">
        <f ca="1">(OFFSET(Pinlist!$F$1,BC235,0)-$BO$16)*$BO$19</f>
        <v>#N/A</v>
      </c>
      <c r="BG235" s="1098" t="str">
        <f ca="1">IF(LEFT(BD235,2)="RF",OFFSET(Pinlist!$D$1,Chart!BC235,0)&amp;"_"&amp;OFFSET(Pinlist!$G$1,Chart!BC235,0),"")</f>
        <v/>
      </c>
      <c r="BH235" s="1098"/>
      <c r="BI235" s="178"/>
      <c r="BJ235" s="178"/>
      <c r="BK235" s="178"/>
      <c r="BL235" s="178"/>
      <c r="BM235" s="178"/>
      <c r="BN235" s="178"/>
      <c r="BO235" s="178"/>
      <c r="BP235" s="178"/>
      <c r="BQ235" s="196"/>
      <c r="BR235" s="196"/>
      <c r="BS235" s="196"/>
      <c r="BT235" s="196"/>
      <c r="BU235" s="196"/>
      <c r="BV235" s="196"/>
      <c r="BW235" s="178"/>
      <c r="BX235" s="196"/>
      <c r="BY235" s="196"/>
      <c r="BZ235" s="196"/>
      <c r="CA235" s="196"/>
      <c r="CB235" s="178"/>
      <c r="CC235" s="178"/>
      <c r="CD235" s="202"/>
      <c r="CE235" s="202"/>
      <c r="CF235" s="178"/>
      <c r="CG235" s="196"/>
      <c r="CH235" s="178"/>
      <c r="CI235" s="178"/>
      <c r="CJ235" s="178"/>
      <c r="CK235" s="178"/>
      <c r="CL235" s="178"/>
      <c r="CM235" s="178"/>
      <c r="CN235" s="178"/>
      <c r="CO235" s="178"/>
      <c r="CP235" s="178"/>
      <c r="CQ235" s="178"/>
      <c r="CR235" s="178"/>
      <c r="CS235" s="178"/>
      <c r="CT235" s="178"/>
      <c r="CU235" s="178"/>
      <c r="CV235" s="178"/>
      <c r="CW235" s="178"/>
      <c r="CX235" s="178"/>
      <c r="CY235" s="178"/>
      <c r="CZ235" s="178"/>
      <c r="DA235" s="150"/>
    </row>
    <row r="236" spans="53:105" x14ac:dyDescent="0.2">
      <c r="BA236" s="518">
        <f t="shared" ca="1" si="22"/>
        <v>61</v>
      </c>
      <c r="BB236" s="174">
        <f t="shared" ca="1" si="23"/>
        <v>173</v>
      </c>
      <c r="BC236" s="525" t="e">
        <f ca="1">MATCH(BD236,OFFSET(Pinlist!$A$2,BC235*(BA236=BA235),0,$BM$23,1),0)+BC235*(BA236=BA235)</f>
        <v>#N/A</v>
      </c>
      <c r="BD236" s="167">
        <f t="shared" ca="1" si="24"/>
        <v>0</v>
      </c>
      <c r="BE236" s="191" t="e">
        <f ca="1">(OFFSET(Pinlist!$E$1,BC236,0)-$BN$16)*$BN$19</f>
        <v>#N/A</v>
      </c>
      <c r="BF236" s="192" t="e">
        <f ca="1">(OFFSET(Pinlist!$F$1,BC236,0)-$BO$16)*$BO$19</f>
        <v>#N/A</v>
      </c>
      <c r="BG236" s="1098" t="str">
        <f ca="1">IF(LEFT(BD236,2)="RF",OFFSET(Pinlist!$D$1,Chart!BC236,0)&amp;"_"&amp;OFFSET(Pinlist!$G$1,Chart!BC236,0),"")</f>
        <v/>
      </c>
      <c r="BH236" s="1098"/>
      <c r="BI236" s="178"/>
      <c r="BJ236" s="178"/>
      <c r="BK236" s="178"/>
      <c r="BL236" s="178"/>
      <c r="BM236" s="178"/>
      <c r="BN236" s="178"/>
      <c r="BO236" s="178"/>
      <c r="BP236" s="178"/>
      <c r="BQ236" s="196"/>
      <c r="BR236" s="196"/>
      <c r="BS236" s="196"/>
      <c r="BT236" s="196"/>
      <c r="BU236" s="196"/>
      <c r="BV236" s="196"/>
      <c r="BW236" s="178"/>
      <c r="BX236" s="196"/>
      <c r="BY236" s="196"/>
      <c r="BZ236" s="196"/>
      <c r="CA236" s="196"/>
      <c r="CB236" s="178"/>
      <c r="CC236" s="178"/>
      <c r="CD236" s="202"/>
      <c r="CE236" s="202"/>
      <c r="CF236" s="178"/>
      <c r="CG236" s="196"/>
      <c r="CH236" s="178"/>
      <c r="CI236" s="178"/>
      <c r="CJ236" s="178"/>
      <c r="CK236" s="178"/>
      <c r="CL236" s="178"/>
      <c r="CM236" s="178"/>
      <c r="CN236" s="178"/>
      <c r="CO236" s="178"/>
      <c r="CP236" s="178"/>
      <c r="CQ236" s="178"/>
      <c r="CR236" s="178"/>
      <c r="CS236" s="178"/>
      <c r="CT236" s="178"/>
      <c r="CU236" s="178"/>
      <c r="CV236" s="178"/>
      <c r="CW236" s="178"/>
      <c r="CX236" s="178"/>
      <c r="CY236" s="178"/>
      <c r="CZ236" s="178"/>
      <c r="DA236" s="150"/>
    </row>
    <row r="237" spans="53:105" x14ac:dyDescent="0.2">
      <c r="BA237" s="518">
        <f t="shared" ca="1" si="22"/>
        <v>61</v>
      </c>
      <c r="BB237" s="174">
        <f t="shared" ca="1" si="23"/>
        <v>174</v>
      </c>
      <c r="BC237" s="525" t="e">
        <f ca="1">MATCH(BD237,OFFSET(Pinlist!$A$2,BC236*(BA237=BA236),0,$BM$23,1),0)+BC236*(BA237=BA236)</f>
        <v>#N/A</v>
      </c>
      <c r="BD237" s="167">
        <f t="shared" ca="1" si="24"/>
        <v>0</v>
      </c>
      <c r="BE237" s="191" t="e">
        <f ca="1">(OFFSET(Pinlist!$E$1,BC237,0)-$BN$16)*$BN$19</f>
        <v>#N/A</v>
      </c>
      <c r="BF237" s="192" t="e">
        <f ca="1">(OFFSET(Pinlist!$F$1,BC237,0)-$BO$16)*$BO$19</f>
        <v>#N/A</v>
      </c>
      <c r="BG237" s="1098" t="str">
        <f ca="1">IF(LEFT(BD237,2)="RF",OFFSET(Pinlist!$D$1,Chart!BC237,0)&amp;"_"&amp;OFFSET(Pinlist!$G$1,Chart!BC237,0),"")</f>
        <v/>
      </c>
      <c r="BH237" s="1098"/>
      <c r="BI237" s="178"/>
      <c r="BJ237" s="178"/>
      <c r="BK237" s="178"/>
      <c r="BL237" s="178"/>
      <c r="BM237" s="178"/>
      <c r="BN237" s="178"/>
      <c r="BO237" s="178"/>
      <c r="BP237" s="178"/>
      <c r="BQ237" s="196"/>
      <c r="BR237" s="196"/>
      <c r="BS237" s="196"/>
      <c r="BT237" s="196"/>
      <c r="BU237" s="196"/>
      <c r="BV237" s="196"/>
      <c r="BW237" s="178"/>
      <c r="BX237" s="196"/>
      <c r="BY237" s="196"/>
      <c r="BZ237" s="196"/>
      <c r="CA237" s="196"/>
      <c r="CB237" s="178"/>
      <c r="CC237" s="178"/>
      <c r="CD237" s="202"/>
      <c r="CE237" s="202"/>
      <c r="CF237" s="178"/>
      <c r="CG237" s="196"/>
      <c r="CH237" s="178"/>
      <c r="CI237" s="178"/>
      <c r="CJ237" s="178"/>
      <c r="CK237" s="178"/>
      <c r="CL237" s="178"/>
      <c r="CM237" s="178"/>
      <c r="CN237" s="178"/>
      <c r="CO237" s="178"/>
      <c r="CP237" s="178"/>
      <c r="CQ237" s="178"/>
      <c r="CR237" s="178"/>
      <c r="CS237" s="178"/>
      <c r="CT237" s="178"/>
      <c r="CU237" s="178"/>
      <c r="CV237" s="178"/>
      <c r="CW237" s="178"/>
      <c r="CX237" s="178"/>
      <c r="CY237" s="178"/>
      <c r="CZ237" s="178"/>
      <c r="DA237" s="150"/>
    </row>
    <row r="238" spans="53:105" x14ac:dyDescent="0.2">
      <c r="BA238" s="518">
        <f t="shared" ca="1" si="22"/>
        <v>61</v>
      </c>
      <c r="BB238" s="174">
        <f t="shared" ca="1" si="23"/>
        <v>175</v>
      </c>
      <c r="BC238" s="525" t="e">
        <f ca="1">MATCH(BD238,OFFSET(Pinlist!$A$2,BC237*(BA238=BA237),0,$BM$23,1),0)+BC237*(BA238=BA237)</f>
        <v>#N/A</v>
      </c>
      <c r="BD238" s="167">
        <f t="shared" ca="1" si="24"/>
        <v>0</v>
      </c>
      <c r="BE238" s="191" t="e">
        <f ca="1">(OFFSET(Pinlist!$E$1,BC238,0)-$BN$16)*$BN$19</f>
        <v>#N/A</v>
      </c>
      <c r="BF238" s="192" t="e">
        <f ca="1">(OFFSET(Pinlist!$F$1,BC238,0)-$BO$16)*$BO$19</f>
        <v>#N/A</v>
      </c>
      <c r="BG238" s="1098" t="str">
        <f ca="1">IF(LEFT(BD238,2)="RF",OFFSET(Pinlist!$D$1,Chart!BC238,0)&amp;"_"&amp;OFFSET(Pinlist!$G$1,Chart!BC238,0),"")</f>
        <v/>
      </c>
      <c r="BH238" s="1098"/>
      <c r="BI238" s="178"/>
      <c r="BJ238" s="178"/>
      <c r="BK238" s="178"/>
      <c r="BL238" s="178"/>
      <c r="BM238" s="178"/>
      <c r="BN238" s="178"/>
      <c r="BO238" s="178"/>
      <c r="BP238" s="178"/>
      <c r="BQ238" s="196"/>
      <c r="BR238" s="196"/>
      <c r="BS238" s="196"/>
      <c r="BT238" s="196"/>
      <c r="BU238" s="196"/>
      <c r="BV238" s="196"/>
      <c r="BW238" s="178"/>
      <c r="BX238" s="196"/>
      <c r="BY238" s="196"/>
      <c r="BZ238" s="196"/>
      <c r="CA238" s="196"/>
      <c r="CB238" s="178"/>
      <c r="CC238" s="178"/>
      <c r="CD238" s="202"/>
      <c r="CE238" s="202"/>
      <c r="CF238" s="178"/>
      <c r="CG238" s="196"/>
      <c r="CH238" s="178"/>
      <c r="CI238" s="178"/>
      <c r="CJ238" s="178"/>
      <c r="CK238" s="178"/>
      <c r="CL238" s="178"/>
      <c r="CM238" s="178"/>
      <c r="CN238" s="178"/>
      <c r="CO238" s="178"/>
      <c r="CP238" s="178"/>
      <c r="CQ238" s="178"/>
      <c r="CR238" s="178"/>
      <c r="CS238" s="178"/>
      <c r="CT238" s="178"/>
      <c r="CU238" s="178"/>
      <c r="CV238" s="178"/>
      <c r="CW238" s="178"/>
      <c r="CX238" s="178"/>
      <c r="CY238" s="178"/>
      <c r="CZ238" s="178"/>
      <c r="DA238" s="150"/>
    </row>
    <row r="239" spans="53:105" x14ac:dyDescent="0.2">
      <c r="BA239" s="518">
        <f t="shared" ca="1" si="22"/>
        <v>61</v>
      </c>
      <c r="BB239" s="174">
        <f t="shared" ca="1" si="23"/>
        <v>176</v>
      </c>
      <c r="BC239" s="525" t="e">
        <f ca="1">MATCH(BD239,OFFSET(Pinlist!$A$2,BC238*(BA239=BA238),0,$BM$23,1),0)+BC238*(BA239=BA238)</f>
        <v>#N/A</v>
      </c>
      <c r="BD239" s="167">
        <f t="shared" ca="1" si="24"/>
        <v>0</v>
      </c>
      <c r="BE239" s="191" t="e">
        <f ca="1">(OFFSET(Pinlist!$E$1,BC239,0)-$BN$16)*$BN$19</f>
        <v>#N/A</v>
      </c>
      <c r="BF239" s="192" t="e">
        <f ca="1">(OFFSET(Pinlist!$F$1,BC239,0)-$BO$16)*$BO$19</f>
        <v>#N/A</v>
      </c>
      <c r="BG239" s="1098" t="str">
        <f ca="1">IF(LEFT(BD239,2)="RF",OFFSET(Pinlist!$D$1,Chart!BC239,0)&amp;"_"&amp;OFFSET(Pinlist!$G$1,Chart!BC239,0),"")</f>
        <v/>
      </c>
      <c r="BH239" s="1098"/>
      <c r="BI239" s="178"/>
      <c r="BJ239" s="178"/>
      <c r="BK239" s="178"/>
      <c r="BL239" s="178"/>
      <c r="BM239" s="178"/>
      <c r="BN239" s="178"/>
      <c r="BO239" s="178"/>
      <c r="BP239" s="178"/>
      <c r="BQ239" s="196"/>
      <c r="BR239" s="196"/>
      <c r="BS239" s="196"/>
      <c r="BT239" s="196"/>
      <c r="BU239" s="196"/>
      <c r="BV239" s="196"/>
      <c r="BW239" s="178"/>
      <c r="BX239" s="196"/>
      <c r="BY239" s="196"/>
      <c r="BZ239" s="196"/>
      <c r="CA239" s="196"/>
      <c r="CB239" s="178"/>
      <c r="CC239" s="178"/>
      <c r="CD239" s="202"/>
      <c r="CE239" s="202"/>
      <c r="CF239" s="178"/>
      <c r="CG239" s="196"/>
      <c r="CH239" s="178"/>
      <c r="CI239" s="178"/>
      <c r="CJ239" s="178"/>
      <c r="CK239" s="178"/>
      <c r="CL239" s="178"/>
      <c r="CM239" s="178"/>
      <c r="CN239" s="178"/>
      <c r="CO239" s="178"/>
      <c r="CP239" s="178"/>
      <c r="CQ239" s="178"/>
      <c r="CR239" s="178"/>
      <c r="CS239" s="178"/>
      <c r="CT239" s="178"/>
      <c r="CU239" s="178"/>
      <c r="CV239" s="178"/>
      <c r="CW239" s="178"/>
      <c r="CX239" s="178"/>
      <c r="CY239" s="178"/>
      <c r="CZ239" s="178"/>
      <c r="DA239" s="150"/>
    </row>
    <row r="240" spans="53:105" x14ac:dyDescent="0.2">
      <c r="BA240" s="518">
        <f t="shared" ca="1" si="22"/>
        <v>61</v>
      </c>
      <c r="BB240" s="174">
        <f t="shared" ca="1" si="23"/>
        <v>177</v>
      </c>
      <c r="BC240" s="525" t="e">
        <f ca="1">MATCH(BD240,OFFSET(Pinlist!$A$2,BC239*(BA240=BA239),0,$BM$23,1),0)+BC239*(BA240=BA239)</f>
        <v>#N/A</v>
      </c>
      <c r="BD240" s="167">
        <f t="shared" ca="1" si="24"/>
        <v>0</v>
      </c>
      <c r="BE240" s="191" t="e">
        <f ca="1">(OFFSET(Pinlist!$E$1,BC240,0)-$BN$16)*$BN$19</f>
        <v>#N/A</v>
      </c>
      <c r="BF240" s="192" t="e">
        <f ca="1">(OFFSET(Pinlist!$F$1,BC240,0)-$BO$16)*$BO$19</f>
        <v>#N/A</v>
      </c>
      <c r="BG240" s="1098" t="str">
        <f ca="1">IF(LEFT(BD240,2)="RF",OFFSET(Pinlist!$D$1,Chart!BC240,0)&amp;"_"&amp;OFFSET(Pinlist!$G$1,Chart!BC240,0),"")</f>
        <v/>
      </c>
      <c r="BH240" s="1098"/>
      <c r="BI240" s="178"/>
      <c r="BJ240" s="178"/>
      <c r="BK240" s="178"/>
      <c r="BL240" s="178"/>
      <c r="BM240" s="178"/>
      <c r="BN240" s="178"/>
      <c r="BO240" s="178"/>
      <c r="BP240" s="178"/>
      <c r="BQ240" s="196"/>
      <c r="BR240" s="196"/>
      <c r="BS240" s="196"/>
      <c r="BT240" s="196"/>
      <c r="BU240" s="196"/>
      <c r="BV240" s="196"/>
      <c r="BW240" s="178"/>
      <c r="BX240" s="196"/>
      <c r="BY240" s="196"/>
      <c r="BZ240" s="196"/>
      <c r="CA240" s="196"/>
      <c r="CB240" s="178"/>
      <c r="CC240" s="178"/>
      <c r="CD240" s="202"/>
      <c r="CE240" s="202"/>
      <c r="CF240" s="178"/>
      <c r="CG240" s="196"/>
      <c r="CH240" s="178"/>
      <c r="CI240" s="178"/>
      <c r="CJ240" s="178"/>
      <c r="CK240" s="178"/>
      <c r="CL240" s="178"/>
      <c r="CM240" s="178"/>
      <c r="CN240" s="178"/>
      <c r="CO240" s="178"/>
      <c r="CP240" s="178"/>
      <c r="CQ240" s="178"/>
      <c r="CR240" s="178"/>
      <c r="CS240" s="178"/>
      <c r="CT240" s="178"/>
      <c r="CU240" s="178"/>
      <c r="CV240" s="178"/>
      <c r="CW240" s="178"/>
      <c r="CX240" s="178"/>
      <c r="CY240" s="178"/>
      <c r="CZ240" s="178"/>
      <c r="DA240" s="150"/>
    </row>
    <row r="241" spans="53:105" x14ac:dyDescent="0.2">
      <c r="BA241" s="518">
        <f t="shared" ca="1" si="22"/>
        <v>61</v>
      </c>
      <c r="BB241" s="174">
        <f t="shared" ca="1" si="23"/>
        <v>178</v>
      </c>
      <c r="BC241" s="525" t="e">
        <f ca="1">MATCH(BD241,OFFSET(Pinlist!$A$2,BC240*(BA241=BA240),0,$BM$23,1),0)+BC240*(BA241=BA240)</f>
        <v>#N/A</v>
      </c>
      <c r="BD241" s="167">
        <f t="shared" ca="1" si="24"/>
        <v>0</v>
      </c>
      <c r="BE241" s="191" t="e">
        <f ca="1">(OFFSET(Pinlist!$E$1,BC241,0)-$BN$16)*$BN$19</f>
        <v>#N/A</v>
      </c>
      <c r="BF241" s="192" t="e">
        <f ca="1">(OFFSET(Pinlist!$F$1,BC241,0)-$BO$16)*$BO$19</f>
        <v>#N/A</v>
      </c>
      <c r="BG241" s="1098" t="str">
        <f ca="1">IF(LEFT(BD241,2)="RF",OFFSET(Pinlist!$D$1,Chart!BC241,0)&amp;"_"&amp;OFFSET(Pinlist!$G$1,Chart!BC241,0),"")</f>
        <v/>
      </c>
      <c r="BH241" s="1098"/>
      <c r="BI241" s="178"/>
      <c r="BJ241" s="178"/>
      <c r="BK241" s="178"/>
      <c r="BL241" s="178"/>
      <c r="BM241" s="178"/>
      <c r="BN241" s="178"/>
      <c r="BO241" s="178"/>
      <c r="BP241" s="178"/>
      <c r="BQ241" s="196"/>
      <c r="BR241" s="196"/>
      <c r="BS241" s="196"/>
      <c r="BT241" s="196"/>
      <c r="BU241" s="196"/>
      <c r="BV241" s="196"/>
      <c r="BW241" s="178"/>
      <c r="BX241" s="196"/>
      <c r="BY241" s="196"/>
      <c r="BZ241" s="196"/>
      <c r="CA241" s="196"/>
      <c r="CB241" s="178"/>
      <c r="CC241" s="178"/>
      <c r="CD241" s="202"/>
      <c r="CE241" s="202"/>
      <c r="CF241" s="178"/>
      <c r="CG241" s="196"/>
      <c r="CH241" s="178"/>
      <c r="CI241" s="178"/>
      <c r="CJ241" s="178"/>
      <c r="CK241" s="178"/>
      <c r="CL241" s="178"/>
      <c r="CM241" s="178"/>
      <c r="CN241" s="178"/>
      <c r="CO241" s="178"/>
      <c r="CP241" s="178"/>
      <c r="CQ241" s="178"/>
      <c r="CR241" s="178"/>
      <c r="CS241" s="178"/>
      <c r="CT241" s="178"/>
      <c r="CU241" s="178"/>
      <c r="CV241" s="178"/>
      <c r="CW241" s="178"/>
      <c r="CX241" s="178"/>
      <c r="CY241" s="178"/>
      <c r="CZ241" s="178"/>
      <c r="DA241" s="150"/>
    </row>
    <row r="242" spans="53:105" x14ac:dyDescent="0.2">
      <c r="BA242" s="518">
        <f t="shared" ca="1" si="22"/>
        <v>61</v>
      </c>
      <c r="BB242" s="174">
        <f t="shared" ca="1" si="23"/>
        <v>179</v>
      </c>
      <c r="BC242" s="525" t="e">
        <f ca="1">MATCH(BD242,OFFSET(Pinlist!$A$2,BC241*(BA242=BA241),0,$BM$23,1),0)+BC241*(BA242=BA241)</f>
        <v>#N/A</v>
      </c>
      <c r="BD242" s="167">
        <f t="shared" ca="1" si="24"/>
        <v>0</v>
      </c>
      <c r="BE242" s="191" t="e">
        <f ca="1">(OFFSET(Pinlist!$E$1,BC242,0)-$BN$16)*$BN$19</f>
        <v>#N/A</v>
      </c>
      <c r="BF242" s="192" t="e">
        <f ca="1">(OFFSET(Pinlist!$F$1,BC242,0)-$BO$16)*$BO$19</f>
        <v>#N/A</v>
      </c>
      <c r="BG242" s="1098" t="str">
        <f ca="1">IF(LEFT(BD242,2)="RF",OFFSET(Pinlist!$D$1,Chart!BC242,0)&amp;"_"&amp;OFFSET(Pinlist!$G$1,Chart!BC242,0),"")</f>
        <v/>
      </c>
      <c r="BH242" s="1098"/>
      <c r="BI242" s="178"/>
      <c r="BJ242" s="178"/>
      <c r="BK242" s="178"/>
      <c r="BL242" s="178"/>
      <c r="BM242" s="178"/>
      <c r="BN242" s="178"/>
      <c r="BO242" s="178"/>
      <c r="BP242" s="178"/>
      <c r="BQ242" s="196"/>
      <c r="BR242" s="196"/>
      <c r="BS242" s="196"/>
      <c r="BT242" s="196"/>
      <c r="BU242" s="196"/>
      <c r="BV242" s="196"/>
      <c r="BW242" s="178"/>
      <c r="BX242" s="196"/>
      <c r="BY242" s="196"/>
      <c r="BZ242" s="196"/>
      <c r="CA242" s="196"/>
      <c r="CB242" s="178"/>
      <c r="CC242" s="178"/>
      <c r="CD242" s="202"/>
      <c r="CE242" s="202"/>
      <c r="CF242" s="178"/>
      <c r="CG242" s="196"/>
      <c r="CH242" s="178"/>
      <c r="CI242" s="178"/>
      <c r="CJ242" s="178"/>
      <c r="CK242" s="178"/>
      <c r="CL242" s="178"/>
      <c r="CM242" s="178"/>
      <c r="CN242" s="178"/>
      <c r="CO242" s="178"/>
      <c r="CP242" s="178"/>
      <c r="CQ242" s="178"/>
      <c r="CR242" s="178"/>
      <c r="CS242" s="178"/>
      <c r="CT242" s="178"/>
      <c r="CU242" s="178"/>
      <c r="CV242" s="178"/>
      <c r="CW242" s="178"/>
      <c r="CX242" s="178"/>
      <c r="CY242" s="178"/>
      <c r="CZ242" s="178"/>
      <c r="DA242" s="150"/>
    </row>
    <row r="243" spans="53:105" x14ac:dyDescent="0.2">
      <c r="BA243" s="518">
        <f t="shared" ca="1" si="22"/>
        <v>61</v>
      </c>
      <c r="BB243" s="174">
        <f t="shared" ca="1" si="23"/>
        <v>180</v>
      </c>
      <c r="BC243" s="525" t="e">
        <f ca="1">MATCH(BD243,OFFSET(Pinlist!$A$2,BC242*(BA243=BA242),0,$BM$23,1),0)+BC242*(BA243=BA242)</f>
        <v>#N/A</v>
      </c>
      <c r="BD243" s="167">
        <f t="shared" ca="1" si="24"/>
        <v>0</v>
      </c>
      <c r="BE243" s="191" t="e">
        <f ca="1">(OFFSET(Pinlist!$E$1,BC243,0)-$BN$16)*$BN$19</f>
        <v>#N/A</v>
      </c>
      <c r="BF243" s="192" t="e">
        <f ca="1">(OFFSET(Pinlist!$F$1,BC243,0)-$BO$16)*$BO$19</f>
        <v>#N/A</v>
      </c>
      <c r="BG243" s="1098" t="str">
        <f ca="1">IF(LEFT(BD243,2)="RF",OFFSET(Pinlist!$D$1,Chart!BC243,0)&amp;"_"&amp;OFFSET(Pinlist!$G$1,Chart!BC243,0),"")</f>
        <v/>
      </c>
      <c r="BH243" s="1098"/>
      <c r="BI243" s="178"/>
      <c r="BJ243" s="178"/>
      <c r="BK243" s="178"/>
      <c r="BL243" s="178"/>
      <c r="BM243" s="178"/>
      <c r="BN243" s="178"/>
      <c r="BO243" s="178"/>
      <c r="BP243" s="178"/>
      <c r="BQ243" s="196"/>
      <c r="BR243" s="196"/>
      <c r="BS243" s="196"/>
      <c r="BT243" s="196"/>
      <c r="BU243" s="196"/>
      <c r="BV243" s="196"/>
      <c r="BW243" s="178"/>
      <c r="BX243" s="196"/>
      <c r="BY243" s="196"/>
      <c r="BZ243" s="196"/>
      <c r="CA243" s="196"/>
      <c r="CB243" s="178"/>
      <c r="CC243" s="178"/>
      <c r="CD243" s="202"/>
      <c r="CE243" s="202"/>
      <c r="CF243" s="178"/>
      <c r="CG243" s="196"/>
      <c r="CH243" s="178"/>
      <c r="CI243" s="178"/>
      <c r="CJ243" s="178"/>
      <c r="CK243" s="178"/>
      <c r="CL243" s="178"/>
      <c r="CM243" s="178"/>
      <c r="CN243" s="178"/>
      <c r="CO243" s="178"/>
      <c r="CP243" s="178"/>
      <c r="CQ243" s="178"/>
      <c r="CR243" s="178"/>
      <c r="CS243" s="178"/>
      <c r="CT243" s="178"/>
      <c r="CU243" s="178"/>
      <c r="CV243" s="178"/>
      <c r="CW243" s="178"/>
      <c r="CX243" s="178"/>
      <c r="CY243" s="178"/>
      <c r="CZ243" s="178"/>
      <c r="DA243" s="150"/>
    </row>
    <row r="244" spans="53:105" x14ac:dyDescent="0.2">
      <c r="BA244" s="518">
        <f t="shared" ca="1" si="22"/>
        <v>61</v>
      </c>
      <c r="BB244" s="174">
        <f t="shared" ca="1" si="23"/>
        <v>181</v>
      </c>
      <c r="BC244" s="525" t="e">
        <f ca="1">MATCH(BD244,OFFSET(Pinlist!$A$2,BC243*(BA244=BA243),0,$BM$23,1),0)+BC243*(BA244=BA243)</f>
        <v>#N/A</v>
      </c>
      <c r="BD244" s="167">
        <f t="shared" ca="1" si="24"/>
        <v>0</v>
      </c>
      <c r="BE244" s="191" t="e">
        <f ca="1">(OFFSET(Pinlist!$E$1,BC244,0)-$BN$16)*$BN$19</f>
        <v>#N/A</v>
      </c>
      <c r="BF244" s="192" t="e">
        <f ca="1">(OFFSET(Pinlist!$F$1,BC244,0)-$BO$16)*$BO$19</f>
        <v>#N/A</v>
      </c>
      <c r="BG244" s="1098" t="str">
        <f ca="1">IF(LEFT(BD244,2)="RF",OFFSET(Pinlist!$D$1,Chart!BC244,0)&amp;"_"&amp;OFFSET(Pinlist!$G$1,Chart!BC244,0),"")</f>
        <v/>
      </c>
      <c r="BH244" s="1098"/>
      <c r="BI244" s="178"/>
      <c r="BJ244" s="178"/>
      <c r="BK244" s="178"/>
      <c r="BL244" s="178"/>
      <c r="BM244" s="178"/>
      <c r="BN244" s="178"/>
      <c r="BO244" s="178"/>
      <c r="BP244" s="178"/>
      <c r="BQ244" s="196"/>
      <c r="BR244" s="196"/>
      <c r="BS244" s="196"/>
      <c r="BT244" s="196"/>
      <c r="BU244" s="196"/>
      <c r="BV244" s="196"/>
      <c r="BW244" s="178"/>
      <c r="BX244" s="196"/>
      <c r="BY244" s="196"/>
      <c r="BZ244" s="196"/>
      <c r="CA244" s="196"/>
      <c r="CB244" s="178"/>
      <c r="CC244" s="178"/>
      <c r="CD244" s="202"/>
      <c r="CE244" s="202"/>
      <c r="CF244" s="178"/>
      <c r="CG244" s="196"/>
      <c r="CH244" s="178"/>
      <c r="CI244" s="178"/>
      <c r="CJ244" s="178"/>
      <c r="CK244" s="178"/>
      <c r="CL244" s="178"/>
      <c r="CM244" s="178"/>
      <c r="CN244" s="178"/>
      <c r="CO244" s="178"/>
      <c r="CP244" s="178"/>
      <c r="CQ244" s="178"/>
      <c r="CR244" s="178"/>
      <c r="CS244" s="178"/>
      <c r="CT244" s="178"/>
      <c r="CU244" s="178"/>
      <c r="CV244" s="178"/>
      <c r="CW244" s="178"/>
      <c r="CX244" s="178"/>
      <c r="CY244" s="178"/>
      <c r="CZ244" s="178"/>
      <c r="DA244" s="150"/>
    </row>
    <row r="245" spans="53:105" x14ac:dyDescent="0.2">
      <c r="BA245" s="518">
        <f t="shared" ca="1" si="22"/>
        <v>61</v>
      </c>
      <c r="BB245" s="174">
        <f t="shared" ca="1" si="23"/>
        <v>182</v>
      </c>
      <c r="BC245" s="525" t="e">
        <f ca="1">MATCH(BD245,OFFSET(Pinlist!$A$2,BC244*(BA245=BA244),0,$BM$23,1),0)+BC244*(BA245=BA244)</f>
        <v>#N/A</v>
      </c>
      <c r="BD245" s="167">
        <f t="shared" ca="1" si="24"/>
        <v>0</v>
      </c>
      <c r="BE245" s="191" t="e">
        <f ca="1">(OFFSET(Pinlist!$E$1,BC245,0)-$BN$16)*$BN$19</f>
        <v>#N/A</v>
      </c>
      <c r="BF245" s="192" t="e">
        <f ca="1">(OFFSET(Pinlist!$F$1,BC245,0)-$BO$16)*$BO$19</f>
        <v>#N/A</v>
      </c>
      <c r="BG245" s="1098" t="str">
        <f ca="1">IF(LEFT(BD245,2)="RF",OFFSET(Pinlist!$D$1,Chart!BC245,0)&amp;"_"&amp;OFFSET(Pinlist!$G$1,Chart!BC245,0),"")</f>
        <v/>
      </c>
      <c r="BH245" s="1098"/>
      <c r="BI245" s="178"/>
      <c r="BJ245" s="178"/>
      <c r="BK245" s="178"/>
      <c r="BL245" s="178"/>
      <c r="BM245" s="178"/>
      <c r="BN245" s="178"/>
      <c r="BO245" s="178"/>
      <c r="BP245" s="178"/>
      <c r="BQ245" s="196"/>
      <c r="BR245" s="196"/>
      <c r="BS245" s="196"/>
      <c r="BT245" s="196"/>
      <c r="BU245" s="196"/>
      <c r="BV245" s="196"/>
      <c r="BW245" s="178"/>
      <c r="BX245" s="196"/>
      <c r="BY245" s="196"/>
      <c r="BZ245" s="196"/>
      <c r="CA245" s="196"/>
      <c r="CB245" s="178"/>
      <c r="CC245" s="178"/>
      <c r="CD245" s="202"/>
      <c r="CE245" s="202"/>
      <c r="CF245" s="178"/>
      <c r="CG245" s="196"/>
      <c r="CH245" s="178"/>
      <c r="CI245" s="178"/>
      <c r="CJ245" s="178"/>
      <c r="CK245" s="178"/>
      <c r="CL245" s="178"/>
      <c r="CM245" s="178"/>
      <c r="CN245" s="178"/>
      <c r="CO245" s="178"/>
      <c r="CP245" s="178"/>
      <c r="CQ245" s="178"/>
      <c r="CR245" s="178"/>
      <c r="CS245" s="178"/>
      <c r="CT245" s="178"/>
      <c r="CU245" s="178"/>
      <c r="CV245" s="178"/>
      <c r="CW245" s="178"/>
      <c r="CX245" s="178"/>
      <c r="CY245" s="178"/>
      <c r="CZ245" s="178"/>
      <c r="DA245" s="150"/>
    </row>
    <row r="246" spans="53:105" x14ac:dyDescent="0.2">
      <c r="BA246" s="518">
        <f t="shared" ca="1" si="22"/>
        <v>61</v>
      </c>
      <c r="BB246" s="174">
        <f t="shared" ca="1" si="23"/>
        <v>183</v>
      </c>
      <c r="BC246" s="525" t="e">
        <f ca="1">MATCH(BD246,OFFSET(Pinlist!$A$2,BC245*(BA246=BA245),0,$BM$23,1),0)+BC245*(BA246=BA245)</f>
        <v>#N/A</v>
      </c>
      <c r="BD246" s="167">
        <f t="shared" ca="1" si="24"/>
        <v>0</v>
      </c>
      <c r="BE246" s="191" t="e">
        <f ca="1">(OFFSET(Pinlist!$E$1,BC246,0)-$BN$16)*$BN$19</f>
        <v>#N/A</v>
      </c>
      <c r="BF246" s="192" t="e">
        <f ca="1">(OFFSET(Pinlist!$F$1,BC246,0)-$BO$16)*$BO$19</f>
        <v>#N/A</v>
      </c>
      <c r="BG246" s="1098" t="str">
        <f ca="1">IF(LEFT(BD246,2)="RF",OFFSET(Pinlist!$D$1,Chart!BC246,0)&amp;"_"&amp;OFFSET(Pinlist!$G$1,Chart!BC246,0),"")</f>
        <v/>
      </c>
      <c r="BH246" s="1098"/>
      <c r="BI246" s="178"/>
      <c r="BJ246" s="178"/>
      <c r="BK246" s="178"/>
      <c r="BL246" s="178"/>
      <c r="BM246" s="178"/>
      <c r="BN246" s="178"/>
      <c r="BO246" s="178"/>
      <c r="BP246" s="178"/>
      <c r="BQ246" s="196"/>
      <c r="BR246" s="196"/>
      <c r="BS246" s="196"/>
      <c r="BT246" s="196"/>
      <c r="BU246" s="196"/>
      <c r="BV246" s="196"/>
      <c r="BW246" s="178"/>
      <c r="BX246" s="196"/>
      <c r="BY246" s="196"/>
      <c r="BZ246" s="196"/>
      <c r="CA246" s="196"/>
      <c r="CB246" s="178"/>
      <c r="CC246" s="178"/>
      <c r="CD246" s="202"/>
      <c r="CE246" s="202"/>
      <c r="CF246" s="178"/>
      <c r="CG246" s="196"/>
      <c r="CH246" s="178"/>
      <c r="CI246" s="178"/>
      <c r="CJ246" s="178"/>
      <c r="CK246" s="178"/>
      <c r="CL246" s="178"/>
      <c r="CM246" s="178"/>
      <c r="CN246" s="178"/>
      <c r="CO246" s="178"/>
      <c r="CP246" s="178"/>
      <c r="CQ246" s="178"/>
      <c r="CR246" s="178"/>
      <c r="CS246" s="178"/>
      <c r="CT246" s="178"/>
      <c r="CU246" s="178"/>
      <c r="CV246" s="178"/>
      <c r="CW246" s="178"/>
      <c r="CX246" s="178"/>
      <c r="CY246" s="178"/>
      <c r="CZ246" s="178"/>
      <c r="DA246" s="150"/>
    </row>
    <row r="247" spans="53:105" x14ac:dyDescent="0.2">
      <c r="BA247" s="518">
        <f t="shared" ca="1" si="22"/>
        <v>61</v>
      </c>
      <c r="BB247" s="174">
        <f t="shared" ca="1" si="23"/>
        <v>184</v>
      </c>
      <c r="BC247" s="525" t="e">
        <f ca="1">MATCH(BD247,OFFSET(Pinlist!$A$2,BC246*(BA247=BA246),0,$BM$23,1),0)+BC246*(BA247=BA246)</f>
        <v>#N/A</v>
      </c>
      <c r="BD247" s="167">
        <f t="shared" ca="1" si="24"/>
        <v>0</v>
      </c>
      <c r="BE247" s="191" t="e">
        <f ca="1">(OFFSET(Pinlist!$E$1,BC247,0)-$BN$16)*$BN$19</f>
        <v>#N/A</v>
      </c>
      <c r="BF247" s="192" t="e">
        <f ca="1">(OFFSET(Pinlist!$F$1,BC247,0)-$BO$16)*$BO$19</f>
        <v>#N/A</v>
      </c>
      <c r="BG247" s="1098" t="str">
        <f ca="1">IF(LEFT(BD247,2)="RF",OFFSET(Pinlist!$D$1,Chart!BC247,0)&amp;"_"&amp;OFFSET(Pinlist!$G$1,Chart!BC247,0),"")</f>
        <v/>
      </c>
      <c r="BH247" s="1098"/>
      <c r="BI247" s="178"/>
      <c r="BJ247" s="178"/>
      <c r="BK247" s="178"/>
      <c r="BL247" s="178"/>
      <c r="BM247" s="178"/>
      <c r="BN247" s="178"/>
      <c r="BO247" s="178"/>
      <c r="BP247" s="178"/>
      <c r="BQ247" s="196"/>
      <c r="BR247" s="196"/>
      <c r="BS247" s="196"/>
      <c r="BT247" s="196"/>
      <c r="BU247" s="196"/>
      <c r="BV247" s="196"/>
      <c r="BW247" s="178"/>
      <c r="BX247" s="196"/>
      <c r="BY247" s="196"/>
      <c r="BZ247" s="196"/>
      <c r="CA247" s="196"/>
      <c r="CB247" s="178"/>
      <c r="CC247" s="178"/>
      <c r="CD247" s="202"/>
      <c r="CE247" s="202"/>
      <c r="CF247" s="178"/>
      <c r="CG247" s="196"/>
      <c r="CH247" s="178"/>
      <c r="CI247" s="178"/>
      <c r="CJ247" s="178"/>
      <c r="CK247" s="178"/>
      <c r="CL247" s="178"/>
      <c r="CM247" s="178"/>
      <c r="CN247" s="178"/>
      <c r="CO247" s="178"/>
      <c r="CP247" s="178"/>
      <c r="CQ247" s="178"/>
      <c r="CR247" s="178"/>
      <c r="CS247" s="178"/>
      <c r="CT247" s="178"/>
      <c r="CU247" s="178"/>
      <c r="CV247" s="178"/>
      <c r="CW247" s="178"/>
      <c r="CX247" s="178"/>
      <c r="CY247" s="178"/>
      <c r="CZ247" s="178"/>
      <c r="DA247" s="150"/>
    </row>
    <row r="248" spans="53:105" x14ac:dyDescent="0.2">
      <c r="BA248" s="518">
        <f t="shared" ca="1" si="22"/>
        <v>61</v>
      </c>
      <c r="BB248" s="174">
        <f t="shared" ca="1" si="23"/>
        <v>185</v>
      </c>
      <c r="BC248" s="525" t="e">
        <f ca="1">MATCH(BD248,OFFSET(Pinlist!$A$2,BC247*(BA248=BA247),0,$BM$23,1),0)+BC247*(BA248=BA247)</f>
        <v>#N/A</v>
      </c>
      <c r="BD248" s="167">
        <f t="shared" ca="1" si="24"/>
        <v>0</v>
      </c>
      <c r="BE248" s="191" t="e">
        <f ca="1">(OFFSET(Pinlist!$E$1,BC248,0)-$BN$16)*$BN$19</f>
        <v>#N/A</v>
      </c>
      <c r="BF248" s="192" t="e">
        <f ca="1">(OFFSET(Pinlist!$F$1,BC248,0)-$BO$16)*$BO$19</f>
        <v>#N/A</v>
      </c>
      <c r="BG248" s="1098" t="str">
        <f ca="1">IF(LEFT(BD248,2)="RF",OFFSET(Pinlist!$D$1,Chart!BC248,0)&amp;"_"&amp;OFFSET(Pinlist!$G$1,Chart!BC248,0),"")</f>
        <v/>
      </c>
      <c r="BH248" s="1098"/>
      <c r="BI248" s="178"/>
      <c r="BJ248" s="178"/>
      <c r="BK248" s="178"/>
      <c r="BL248" s="178"/>
      <c r="BM248" s="178"/>
      <c r="BN248" s="178"/>
      <c r="BO248" s="178"/>
      <c r="BP248" s="178"/>
      <c r="BQ248" s="196"/>
      <c r="BR248" s="196"/>
      <c r="BS248" s="196"/>
      <c r="BT248" s="196"/>
      <c r="BU248" s="196"/>
      <c r="BV248" s="196"/>
      <c r="BW248" s="178"/>
      <c r="BX248" s="196"/>
      <c r="BY248" s="196"/>
      <c r="BZ248" s="196"/>
      <c r="CA248" s="196"/>
      <c r="CB248" s="178"/>
      <c r="CC248" s="178"/>
      <c r="CD248" s="202"/>
      <c r="CE248" s="202"/>
      <c r="CF248" s="178"/>
      <c r="CG248" s="196"/>
      <c r="CH248" s="178"/>
      <c r="CI248" s="178"/>
      <c r="CJ248" s="178"/>
      <c r="CK248" s="178"/>
      <c r="CL248" s="178"/>
      <c r="CM248" s="178"/>
      <c r="CN248" s="178"/>
      <c r="CO248" s="178"/>
      <c r="CP248" s="178"/>
      <c r="CQ248" s="178"/>
      <c r="CR248" s="178"/>
      <c r="CS248" s="178"/>
      <c r="CT248" s="178"/>
      <c r="CU248" s="178"/>
      <c r="CV248" s="178"/>
      <c r="CW248" s="178"/>
      <c r="CX248" s="178"/>
      <c r="CY248" s="178"/>
      <c r="CZ248" s="178"/>
      <c r="DA248" s="150"/>
    </row>
    <row r="249" spans="53:105" x14ac:dyDescent="0.2">
      <c r="BA249" s="518">
        <f t="shared" ca="1" si="22"/>
        <v>61</v>
      </c>
      <c r="BB249" s="174">
        <f t="shared" ca="1" si="23"/>
        <v>186</v>
      </c>
      <c r="BC249" s="525" t="e">
        <f ca="1">MATCH(BD249,OFFSET(Pinlist!$A$2,BC248*(BA249=BA248),0,$BM$23,1),0)+BC248*(BA249=BA248)</f>
        <v>#N/A</v>
      </c>
      <c r="BD249" s="167">
        <f t="shared" ca="1" si="24"/>
        <v>0</v>
      </c>
      <c r="BE249" s="191" t="e">
        <f ca="1">(OFFSET(Pinlist!$E$1,BC249,0)-$BN$16)*$BN$19</f>
        <v>#N/A</v>
      </c>
      <c r="BF249" s="192" t="e">
        <f ca="1">(OFFSET(Pinlist!$F$1,BC249,0)-$BO$16)*$BO$19</f>
        <v>#N/A</v>
      </c>
      <c r="BG249" s="1098" t="str">
        <f ca="1">IF(LEFT(BD249,2)="RF",OFFSET(Pinlist!$D$1,Chart!BC249,0)&amp;"_"&amp;OFFSET(Pinlist!$G$1,Chart!BC249,0),"")</f>
        <v/>
      </c>
      <c r="BH249" s="1098"/>
      <c r="BI249" s="178"/>
      <c r="BJ249" s="178"/>
      <c r="BK249" s="178"/>
      <c r="BL249" s="178"/>
      <c r="BM249" s="178"/>
      <c r="BN249" s="178"/>
      <c r="BO249" s="178"/>
      <c r="BP249" s="178"/>
      <c r="BQ249" s="196"/>
      <c r="BR249" s="196"/>
      <c r="BS249" s="196"/>
      <c r="BT249" s="196"/>
      <c r="BU249" s="196"/>
      <c r="BV249" s="196"/>
      <c r="BW249" s="178"/>
      <c r="BX249" s="196"/>
      <c r="BY249" s="196"/>
      <c r="BZ249" s="196"/>
      <c r="CA249" s="196"/>
      <c r="CB249" s="178"/>
      <c r="CC249" s="178"/>
      <c r="CD249" s="202"/>
      <c r="CE249" s="202"/>
      <c r="CF249" s="178"/>
      <c r="CG249" s="196"/>
      <c r="CH249" s="178"/>
      <c r="CI249" s="178"/>
      <c r="CJ249" s="178"/>
      <c r="CK249" s="178"/>
      <c r="CL249" s="178"/>
      <c r="CM249" s="178"/>
      <c r="CN249" s="178"/>
      <c r="CO249" s="178"/>
      <c r="CP249" s="178"/>
      <c r="CQ249" s="178"/>
      <c r="CR249" s="178"/>
      <c r="CS249" s="178"/>
      <c r="CT249" s="178"/>
      <c r="CU249" s="178"/>
      <c r="CV249" s="178"/>
      <c r="CW249" s="178"/>
      <c r="CX249" s="178"/>
      <c r="CY249" s="178"/>
      <c r="CZ249" s="178"/>
      <c r="DA249" s="150"/>
    </row>
    <row r="250" spans="53:105" x14ac:dyDescent="0.2">
      <c r="BA250" s="518">
        <f t="shared" ca="1" si="22"/>
        <v>61</v>
      </c>
      <c r="BB250" s="174">
        <f t="shared" ca="1" si="23"/>
        <v>187</v>
      </c>
      <c r="BC250" s="525" t="e">
        <f ca="1">MATCH(BD250,OFFSET(Pinlist!$A$2,BC249*(BA250=BA249),0,$BM$23,1),0)+BC249*(BA250=BA249)</f>
        <v>#N/A</v>
      </c>
      <c r="BD250" s="167">
        <f t="shared" ca="1" si="24"/>
        <v>0</v>
      </c>
      <c r="BE250" s="191" t="e">
        <f ca="1">(OFFSET(Pinlist!$E$1,BC250,0)-$BN$16)*$BN$19</f>
        <v>#N/A</v>
      </c>
      <c r="BF250" s="192" t="e">
        <f ca="1">(OFFSET(Pinlist!$F$1,BC250,0)-$BO$16)*$BO$19</f>
        <v>#N/A</v>
      </c>
      <c r="BG250" s="1098" t="str">
        <f ca="1">IF(LEFT(BD250,2)="RF",OFFSET(Pinlist!$D$1,Chart!BC250,0)&amp;"_"&amp;OFFSET(Pinlist!$G$1,Chart!BC250,0),"")</f>
        <v/>
      </c>
      <c r="BH250" s="1098"/>
      <c r="BI250" s="178"/>
      <c r="BJ250" s="178"/>
      <c r="BK250" s="178"/>
      <c r="BL250" s="178"/>
      <c r="BM250" s="178"/>
      <c r="BN250" s="178"/>
      <c r="BO250" s="178"/>
      <c r="BP250" s="178"/>
      <c r="BQ250" s="196"/>
      <c r="BR250" s="196"/>
      <c r="BS250" s="196"/>
      <c r="BT250" s="196"/>
      <c r="BU250" s="196"/>
      <c r="BV250" s="196"/>
      <c r="BW250" s="178"/>
      <c r="BX250" s="196"/>
      <c r="BY250" s="196"/>
      <c r="BZ250" s="196"/>
      <c r="CA250" s="196"/>
      <c r="CB250" s="178"/>
      <c r="CC250" s="178"/>
      <c r="CD250" s="202"/>
      <c r="CE250" s="202"/>
      <c r="CF250" s="178"/>
      <c r="CG250" s="196"/>
      <c r="CH250" s="178"/>
      <c r="CI250" s="178"/>
      <c r="CJ250" s="178"/>
      <c r="CK250" s="178"/>
      <c r="CL250" s="178"/>
      <c r="CM250" s="178"/>
      <c r="CN250" s="178"/>
      <c r="CO250" s="178"/>
      <c r="CP250" s="178"/>
      <c r="CQ250" s="178"/>
      <c r="CR250" s="178"/>
      <c r="CS250" s="178"/>
      <c r="CT250" s="178"/>
      <c r="CU250" s="178"/>
      <c r="CV250" s="178"/>
      <c r="CW250" s="178"/>
      <c r="CX250" s="178"/>
      <c r="CY250" s="178"/>
      <c r="CZ250" s="178"/>
      <c r="DA250" s="150"/>
    </row>
    <row r="251" spans="53:105" x14ac:dyDescent="0.2">
      <c r="BA251" s="518">
        <f t="shared" ca="1" si="22"/>
        <v>61</v>
      </c>
      <c r="BB251" s="174">
        <f t="shared" ca="1" si="23"/>
        <v>188</v>
      </c>
      <c r="BC251" s="525" t="e">
        <f ca="1">MATCH(BD251,OFFSET(Pinlist!$A$2,BC250*(BA251=BA250),0,$BM$23,1),0)+BC250*(BA251=BA250)</f>
        <v>#N/A</v>
      </c>
      <c r="BD251" s="167">
        <f t="shared" ca="1" si="24"/>
        <v>0</v>
      </c>
      <c r="BE251" s="191" t="e">
        <f ca="1">(OFFSET(Pinlist!$E$1,BC251,0)-$BN$16)*$BN$19</f>
        <v>#N/A</v>
      </c>
      <c r="BF251" s="192" t="e">
        <f ca="1">(OFFSET(Pinlist!$F$1,BC251,0)-$BO$16)*$BO$19</f>
        <v>#N/A</v>
      </c>
      <c r="BG251" s="1098" t="str">
        <f ca="1">IF(LEFT(BD251,2)="RF",OFFSET(Pinlist!$D$1,Chart!BC251,0)&amp;"_"&amp;OFFSET(Pinlist!$G$1,Chart!BC251,0),"")</f>
        <v/>
      </c>
      <c r="BH251" s="1098"/>
      <c r="BI251" s="178"/>
      <c r="BJ251" s="178"/>
      <c r="BK251" s="178"/>
      <c r="BL251" s="178"/>
      <c r="BM251" s="178"/>
      <c r="BN251" s="178"/>
      <c r="BO251" s="178"/>
      <c r="BP251" s="178"/>
      <c r="BQ251" s="196"/>
      <c r="BR251" s="196"/>
      <c r="BS251" s="196"/>
      <c r="BT251" s="196"/>
      <c r="BU251" s="196"/>
      <c r="BV251" s="196"/>
      <c r="BW251" s="178"/>
      <c r="BX251" s="196"/>
      <c r="BY251" s="196"/>
      <c r="BZ251" s="196"/>
      <c r="CA251" s="196"/>
      <c r="CB251" s="178"/>
      <c r="CC251" s="178"/>
      <c r="CD251" s="202"/>
      <c r="CE251" s="202"/>
      <c r="CF251" s="178"/>
      <c r="CG251" s="196"/>
      <c r="CH251" s="178"/>
      <c r="CI251" s="178"/>
      <c r="CJ251" s="178"/>
      <c r="CK251" s="178"/>
      <c r="CL251" s="178"/>
      <c r="CM251" s="178"/>
      <c r="CN251" s="178"/>
      <c r="CO251" s="178"/>
      <c r="CP251" s="178"/>
      <c r="CQ251" s="178"/>
      <c r="CR251" s="178"/>
      <c r="CS251" s="178"/>
      <c r="CT251" s="178"/>
      <c r="CU251" s="178"/>
      <c r="CV251" s="178"/>
      <c r="CW251" s="178"/>
      <c r="CX251" s="178"/>
      <c r="CY251" s="178"/>
      <c r="CZ251" s="178"/>
      <c r="DA251" s="150"/>
    </row>
    <row r="252" spans="53:105" x14ac:dyDescent="0.2">
      <c r="BA252" s="518">
        <f t="shared" ca="1" si="22"/>
        <v>61</v>
      </c>
      <c r="BB252" s="174">
        <f t="shared" ca="1" si="23"/>
        <v>189</v>
      </c>
      <c r="BC252" s="525" t="e">
        <f ca="1">MATCH(BD252,OFFSET(Pinlist!$A$2,BC251*(BA252=BA251),0,$BM$23,1),0)+BC251*(BA252=BA251)</f>
        <v>#N/A</v>
      </c>
      <c r="BD252" s="167">
        <f t="shared" ca="1" si="24"/>
        <v>0</v>
      </c>
      <c r="BE252" s="191" t="e">
        <f ca="1">(OFFSET(Pinlist!$E$1,BC252,0)-$BN$16)*$BN$19</f>
        <v>#N/A</v>
      </c>
      <c r="BF252" s="192" t="e">
        <f ca="1">(OFFSET(Pinlist!$F$1,BC252,0)-$BO$16)*$BO$19</f>
        <v>#N/A</v>
      </c>
      <c r="BG252" s="1098" t="str">
        <f ca="1">IF(LEFT(BD252,2)="RF",OFFSET(Pinlist!$D$1,Chart!BC252,0)&amp;"_"&amp;OFFSET(Pinlist!$G$1,Chart!BC252,0),"")</f>
        <v/>
      </c>
      <c r="BH252" s="1098"/>
      <c r="BI252" s="178"/>
      <c r="BJ252" s="178"/>
      <c r="BK252" s="178"/>
      <c r="BL252" s="178"/>
      <c r="BM252" s="178"/>
      <c r="BN252" s="178"/>
      <c r="BO252" s="178"/>
      <c r="BP252" s="178"/>
      <c r="BQ252" s="196"/>
      <c r="BR252" s="196"/>
      <c r="BS252" s="196"/>
      <c r="BT252" s="196"/>
      <c r="BU252" s="196"/>
      <c r="BV252" s="196"/>
      <c r="BW252" s="178"/>
      <c r="BX252" s="196"/>
      <c r="BY252" s="196"/>
      <c r="BZ252" s="196"/>
      <c r="CA252" s="196"/>
      <c r="CB252" s="178"/>
      <c r="CC252" s="178"/>
      <c r="CD252" s="202"/>
      <c r="CE252" s="202"/>
      <c r="CF252" s="178"/>
      <c r="CG252" s="196"/>
      <c r="CH252" s="178"/>
      <c r="CI252" s="178"/>
      <c r="CJ252" s="178"/>
      <c r="CK252" s="178"/>
      <c r="CL252" s="178"/>
      <c r="CM252" s="178"/>
      <c r="CN252" s="178"/>
      <c r="CO252" s="178"/>
      <c r="CP252" s="178"/>
      <c r="CQ252" s="178"/>
      <c r="CR252" s="178"/>
      <c r="CS252" s="178"/>
      <c r="CT252" s="178"/>
      <c r="CU252" s="178"/>
      <c r="CV252" s="178"/>
      <c r="CW252" s="178"/>
      <c r="CX252" s="178"/>
      <c r="CY252" s="178"/>
      <c r="CZ252" s="178"/>
      <c r="DA252" s="150"/>
    </row>
    <row r="253" spans="53:105" x14ac:dyDescent="0.2">
      <c r="BA253" s="518">
        <f t="shared" ca="1" si="22"/>
        <v>61</v>
      </c>
      <c r="BB253" s="174">
        <f t="shared" ca="1" si="23"/>
        <v>190</v>
      </c>
      <c r="BC253" s="525" t="e">
        <f ca="1">MATCH(BD253,OFFSET(Pinlist!$A$2,BC252*(BA253=BA252),0,$BM$23,1),0)+BC252*(BA253=BA252)</f>
        <v>#N/A</v>
      </c>
      <c r="BD253" s="167">
        <f t="shared" ca="1" si="24"/>
        <v>0</v>
      </c>
      <c r="BE253" s="191" t="e">
        <f ca="1">(OFFSET(Pinlist!$E$1,BC253,0)-$BN$16)*$BN$19</f>
        <v>#N/A</v>
      </c>
      <c r="BF253" s="192" t="e">
        <f ca="1">(OFFSET(Pinlist!$F$1,BC253,0)-$BO$16)*$BO$19</f>
        <v>#N/A</v>
      </c>
      <c r="BG253" s="1098" t="str">
        <f ca="1">IF(LEFT(BD253,2)="RF",OFFSET(Pinlist!$D$1,Chart!BC253,0)&amp;"_"&amp;OFFSET(Pinlist!$G$1,Chart!BC253,0),"")</f>
        <v/>
      </c>
      <c r="BH253" s="1098"/>
      <c r="BI253" s="178"/>
      <c r="BJ253" s="178"/>
      <c r="BK253" s="178"/>
      <c r="BL253" s="178"/>
      <c r="BM253" s="178"/>
      <c r="BN253" s="178"/>
      <c r="BO253" s="178"/>
      <c r="BP253" s="178"/>
      <c r="BQ253" s="196"/>
      <c r="BR253" s="196"/>
      <c r="BS253" s="196"/>
      <c r="BT253" s="196"/>
      <c r="BU253" s="196"/>
      <c r="BV253" s="196"/>
      <c r="BW253" s="178"/>
      <c r="BX253" s="196"/>
      <c r="BY253" s="196"/>
      <c r="BZ253" s="196"/>
      <c r="CA253" s="196"/>
      <c r="CB253" s="178"/>
      <c r="CC253" s="178"/>
      <c r="CD253" s="202"/>
      <c r="CE253" s="202"/>
      <c r="CF253" s="178"/>
      <c r="CG253" s="196"/>
      <c r="CH253" s="178"/>
      <c r="CI253" s="178"/>
      <c r="CJ253" s="178"/>
      <c r="CK253" s="178"/>
      <c r="CL253" s="178"/>
      <c r="CM253" s="178"/>
      <c r="CN253" s="178"/>
      <c r="CO253" s="178"/>
      <c r="CP253" s="178"/>
      <c r="CQ253" s="178"/>
      <c r="CR253" s="178"/>
      <c r="CS253" s="178"/>
      <c r="CT253" s="178"/>
      <c r="CU253" s="178"/>
      <c r="CV253" s="178"/>
      <c r="CW253" s="178"/>
      <c r="CX253" s="178"/>
      <c r="CY253" s="178"/>
      <c r="CZ253" s="178"/>
      <c r="DA253" s="150"/>
    </row>
    <row r="254" spans="53:105" x14ac:dyDescent="0.2">
      <c r="BA254" s="518">
        <f t="shared" ca="1" si="22"/>
        <v>61</v>
      </c>
      <c r="BB254" s="174">
        <f t="shared" ca="1" si="23"/>
        <v>191</v>
      </c>
      <c r="BC254" s="525" t="e">
        <f ca="1">MATCH(BD254,OFFSET(Pinlist!$A$2,BC253*(BA254=BA253),0,$BM$23,1),0)+BC253*(BA254=BA253)</f>
        <v>#N/A</v>
      </c>
      <c r="BD254" s="167">
        <f t="shared" ca="1" si="24"/>
        <v>0</v>
      </c>
      <c r="BE254" s="191" t="e">
        <f ca="1">(OFFSET(Pinlist!$E$1,BC254,0)-$BN$16)*$BN$19</f>
        <v>#N/A</v>
      </c>
      <c r="BF254" s="192" t="e">
        <f ca="1">(OFFSET(Pinlist!$F$1,BC254,0)-$BO$16)*$BO$19</f>
        <v>#N/A</v>
      </c>
      <c r="BG254" s="1098" t="str">
        <f ca="1">IF(LEFT(BD254,2)="RF",OFFSET(Pinlist!$D$1,Chart!BC254,0)&amp;"_"&amp;OFFSET(Pinlist!$G$1,Chart!BC254,0),"")</f>
        <v/>
      </c>
      <c r="BH254" s="1098"/>
      <c r="BI254" s="178"/>
      <c r="BJ254" s="178"/>
      <c r="BK254" s="178"/>
      <c r="BL254" s="178"/>
      <c r="BM254" s="178"/>
      <c r="BN254" s="178"/>
      <c r="BO254" s="178"/>
      <c r="BP254" s="178"/>
      <c r="BQ254" s="196"/>
      <c r="BR254" s="196"/>
      <c r="BS254" s="196"/>
      <c r="BT254" s="196"/>
      <c r="BU254" s="196"/>
      <c r="BV254" s="196"/>
      <c r="BW254" s="178"/>
      <c r="BX254" s="196"/>
      <c r="BY254" s="196"/>
      <c r="BZ254" s="196"/>
      <c r="CA254" s="196"/>
      <c r="CB254" s="178"/>
      <c r="CC254" s="178"/>
      <c r="CD254" s="202"/>
      <c r="CE254" s="202"/>
      <c r="CF254" s="178"/>
      <c r="CG254" s="196"/>
      <c r="CH254" s="178"/>
      <c r="CI254" s="178"/>
      <c r="CJ254" s="178"/>
      <c r="CK254" s="178"/>
      <c r="CL254" s="178"/>
      <c r="CM254" s="178"/>
      <c r="CN254" s="178"/>
      <c r="CO254" s="178"/>
      <c r="CP254" s="178"/>
      <c r="CQ254" s="178"/>
      <c r="CR254" s="178"/>
      <c r="CS254" s="178"/>
      <c r="CT254" s="178"/>
      <c r="CU254" s="178"/>
      <c r="CV254" s="178"/>
      <c r="CW254" s="178"/>
      <c r="CX254" s="178"/>
      <c r="CY254" s="178"/>
      <c r="CZ254" s="178"/>
      <c r="DA254" s="150"/>
    </row>
    <row r="255" spans="53:105" x14ac:dyDescent="0.2">
      <c r="BA255" s="518">
        <f t="shared" ca="1" si="22"/>
        <v>61</v>
      </c>
      <c r="BB255" s="174">
        <f t="shared" ca="1" si="23"/>
        <v>192</v>
      </c>
      <c r="BC255" s="525" t="e">
        <f ca="1">MATCH(BD255,OFFSET(Pinlist!$A$2,BC254*(BA255=BA254),0,$BM$23,1),0)+BC254*(BA255=BA254)</f>
        <v>#N/A</v>
      </c>
      <c r="BD255" s="167">
        <f t="shared" ca="1" si="24"/>
        <v>0</v>
      </c>
      <c r="BE255" s="191" t="e">
        <f ca="1">(OFFSET(Pinlist!$E$1,BC255,0)-$BN$16)*$BN$19</f>
        <v>#N/A</v>
      </c>
      <c r="BF255" s="192" t="e">
        <f ca="1">(OFFSET(Pinlist!$F$1,BC255,0)-$BO$16)*$BO$19</f>
        <v>#N/A</v>
      </c>
      <c r="BG255" s="1098" t="str">
        <f ca="1">IF(LEFT(BD255,2)="RF",OFFSET(Pinlist!$D$1,Chart!BC255,0)&amp;"_"&amp;OFFSET(Pinlist!$G$1,Chart!BC255,0),"")</f>
        <v/>
      </c>
      <c r="BH255" s="1098"/>
      <c r="BI255" s="178"/>
      <c r="BJ255" s="178"/>
      <c r="BK255" s="178"/>
      <c r="BL255" s="178"/>
      <c r="BM255" s="178"/>
      <c r="BN255" s="178"/>
      <c r="BO255" s="178"/>
      <c r="BP255" s="178"/>
      <c r="BQ255" s="196"/>
      <c r="BR255" s="196"/>
      <c r="BS255" s="196"/>
      <c r="BT255" s="196"/>
      <c r="BU255" s="196"/>
      <c r="BV255" s="196"/>
      <c r="BW255" s="178"/>
      <c r="BX255" s="196"/>
      <c r="BY255" s="196"/>
      <c r="BZ255" s="196"/>
      <c r="CA255" s="196"/>
      <c r="CB255" s="178"/>
      <c r="CC255" s="178"/>
      <c r="CD255" s="202"/>
      <c r="CE255" s="202"/>
      <c r="CF255" s="178"/>
      <c r="CG255" s="196"/>
      <c r="CH255" s="178"/>
      <c r="CI255" s="178"/>
      <c r="CJ255" s="178"/>
      <c r="CK255" s="178"/>
      <c r="CL255" s="178"/>
      <c r="CM255" s="178"/>
      <c r="CN255" s="178"/>
      <c r="CO255" s="178"/>
      <c r="CP255" s="178"/>
      <c r="CQ255" s="178"/>
      <c r="CR255" s="178"/>
      <c r="CS255" s="178"/>
      <c r="CT255" s="178"/>
      <c r="CU255" s="178"/>
      <c r="CV255" s="178"/>
      <c r="CW255" s="178"/>
      <c r="CX255" s="178"/>
      <c r="CY255" s="178"/>
      <c r="CZ255" s="178"/>
      <c r="DA255" s="150"/>
    </row>
    <row r="256" spans="53:105" x14ac:dyDescent="0.2">
      <c r="BA256" s="518">
        <f t="shared" ca="1" si="22"/>
        <v>61</v>
      </c>
      <c r="BB256" s="174">
        <f t="shared" ca="1" si="23"/>
        <v>193</v>
      </c>
      <c r="BC256" s="525" t="e">
        <f ca="1">MATCH(BD256,OFFSET(Pinlist!$A$2,BC255*(BA256=BA255),0,$BM$23,1),0)+BC255*(BA256=BA255)</f>
        <v>#N/A</v>
      </c>
      <c r="BD256" s="167">
        <f t="shared" ca="1" si="24"/>
        <v>0</v>
      </c>
      <c r="BE256" s="191" t="e">
        <f ca="1">(OFFSET(Pinlist!$E$1,BC256,0)-$BN$16)*$BN$19</f>
        <v>#N/A</v>
      </c>
      <c r="BF256" s="192" t="e">
        <f ca="1">(OFFSET(Pinlist!$F$1,BC256,0)-$BO$16)*$BO$19</f>
        <v>#N/A</v>
      </c>
      <c r="BG256" s="1098" t="str">
        <f ca="1">IF(LEFT(BD256,2)="RF",OFFSET(Pinlist!$D$1,Chart!BC256,0)&amp;"_"&amp;OFFSET(Pinlist!$G$1,Chart!BC256,0),"")</f>
        <v/>
      </c>
      <c r="BH256" s="1098"/>
      <c r="BI256" s="178"/>
      <c r="BJ256" s="178"/>
      <c r="BK256" s="178"/>
      <c r="BL256" s="178"/>
      <c r="BM256" s="178"/>
      <c r="BN256" s="178"/>
      <c r="BO256" s="178"/>
      <c r="BP256" s="178"/>
      <c r="BQ256" s="196"/>
      <c r="BR256" s="196"/>
      <c r="BS256" s="196"/>
      <c r="BT256" s="196"/>
      <c r="BU256" s="196"/>
      <c r="BV256" s="196"/>
      <c r="BW256" s="178"/>
      <c r="BX256" s="196"/>
      <c r="BY256" s="196"/>
      <c r="BZ256" s="196"/>
      <c r="CA256" s="196"/>
      <c r="CB256" s="178"/>
      <c r="CC256" s="178"/>
      <c r="CD256" s="202"/>
      <c r="CE256" s="202"/>
      <c r="CF256" s="178"/>
      <c r="CG256" s="196"/>
      <c r="CH256" s="178"/>
      <c r="CI256" s="178"/>
      <c r="CJ256" s="178"/>
      <c r="CK256" s="178"/>
      <c r="CL256" s="178"/>
      <c r="CM256" s="178"/>
      <c r="CN256" s="178"/>
      <c r="CO256" s="178"/>
      <c r="CP256" s="178"/>
      <c r="CQ256" s="178"/>
      <c r="CR256" s="178"/>
      <c r="CS256" s="178"/>
      <c r="CT256" s="178"/>
      <c r="CU256" s="178"/>
      <c r="CV256" s="178"/>
      <c r="CW256" s="178"/>
      <c r="CX256" s="178"/>
      <c r="CY256" s="178"/>
      <c r="CZ256" s="178"/>
      <c r="DA256" s="150"/>
    </row>
    <row r="257" spans="53:105" x14ac:dyDescent="0.2">
      <c r="BA257" s="518">
        <f t="shared" ca="1" si="22"/>
        <v>61</v>
      </c>
      <c r="BB257" s="174">
        <f t="shared" ca="1" si="23"/>
        <v>194</v>
      </c>
      <c r="BC257" s="525" t="e">
        <f ca="1">MATCH(BD257,OFFSET(Pinlist!$A$2,BC256*(BA257=BA256),0,$BM$23,1),0)+BC256*(BA257=BA256)</f>
        <v>#N/A</v>
      </c>
      <c r="BD257" s="167">
        <f t="shared" ca="1" si="24"/>
        <v>0</v>
      </c>
      <c r="BE257" s="191" t="e">
        <f ca="1">(OFFSET(Pinlist!$E$1,BC257,0)-$BN$16)*$BN$19</f>
        <v>#N/A</v>
      </c>
      <c r="BF257" s="192" t="e">
        <f ca="1">(OFFSET(Pinlist!$F$1,BC257,0)-$BO$16)*$BO$19</f>
        <v>#N/A</v>
      </c>
      <c r="BG257" s="1098" t="str">
        <f ca="1">IF(LEFT(BD257,2)="RF",OFFSET(Pinlist!$D$1,Chart!BC257,0)&amp;"_"&amp;OFFSET(Pinlist!$G$1,Chart!BC257,0),"")</f>
        <v/>
      </c>
      <c r="BH257" s="1098"/>
      <c r="BI257" s="178"/>
      <c r="BJ257" s="178"/>
      <c r="BK257" s="178"/>
      <c r="BL257" s="178"/>
      <c r="BM257" s="178"/>
      <c r="BN257" s="178"/>
      <c r="BO257" s="178"/>
      <c r="BP257" s="178"/>
      <c r="BQ257" s="196"/>
      <c r="BR257" s="196"/>
      <c r="BS257" s="196"/>
      <c r="BT257" s="196"/>
      <c r="BU257" s="196"/>
      <c r="BV257" s="196"/>
      <c r="BW257" s="178"/>
      <c r="BX257" s="196"/>
      <c r="BY257" s="196"/>
      <c r="BZ257" s="196"/>
      <c r="CA257" s="196"/>
      <c r="CB257" s="178"/>
      <c r="CC257" s="178"/>
      <c r="CD257" s="202"/>
      <c r="CE257" s="202"/>
      <c r="CF257" s="178"/>
      <c r="CG257" s="196"/>
      <c r="CH257" s="178"/>
      <c r="CI257" s="178"/>
      <c r="CJ257" s="178"/>
      <c r="CK257" s="178"/>
      <c r="CL257" s="178"/>
      <c r="CM257" s="178"/>
      <c r="CN257" s="178"/>
      <c r="CO257" s="178"/>
      <c r="CP257" s="178"/>
      <c r="CQ257" s="178"/>
      <c r="CR257" s="178"/>
      <c r="CS257" s="178"/>
      <c r="CT257" s="178"/>
      <c r="CU257" s="178"/>
      <c r="CV257" s="178"/>
      <c r="CW257" s="178"/>
      <c r="CX257" s="178"/>
      <c r="CY257" s="178"/>
      <c r="CZ257" s="178"/>
      <c r="DA257" s="150"/>
    </row>
    <row r="258" spans="53:105" x14ac:dyDescent="0.2">
      <c r="BA258" s="518">
        <f t="shared" ca="1" si="22"/>
        <v>61</v>
      </c>
      <c r="BB258" s="174">
        <f t="shared" ca="1" si="23"/>
        <v>195</v>
      </c>
      <c r="BC258" s="525" t="e">
        <f ca="1">MATCH(BD258,OFFSET(Pinlist!$A$2,BC257*(BA258=BA257),0,$BM$23,1),0)+BC257*(BA258=BA257)</f>
        <v>#N/A</v>
      </c>
      <c r="BD258" s="167">
        <f t="shared" ca="1" si="24"/>
        <v>0</v>
      </c>
      <c r="BE258" s="191" t="e">
        <f ca="1">(OFFSET(Pinlist!$E$1,BC258,0)-$BN$16)*$BN$19</f>
        <v>#N/A</v>
      </c>
      <c r="BF258" s="192" t="e">
        <f ca="1">(OFFSET(Pinlist!$F$1,BC258,0)-$BO$16)*$BO$19</f>
        <v>#N/A</v>
      </c>
      <c r="BG258" s="1098" t="str">
        <f ca="1">IF(LEFT(BD258,2)="RF",OFFSET(Pinlist!$D$1,Chart!BC258,0)&amp;"_"&amp;OFFSET(Pinlist!$G$1,Chart!BC258,0),"")</f>
        <v/>
      </c>
      <c r="BH258" s="1098"/>
      <c r="BI258" s="178"/>
      <c r="BJ258" s="178"/>
      <c r="BK258" s="178"/>
      <c r="BL258" s="178"/>
      <c r="BM258" s="178"/>
      <c r="BN258" s="178"/>
      <c r="BO258" s="178"/>
      <c r="BP258" s="178"/>
      <c r="BQ258" s="196"/>
      <c r="BR258" s="196"/>
      <c r="BS258" s="196"/>
      <c r="BT258" s="196"/>
      <c r="BU258" s="196"/>
      <c r="BV258" s="196"/>
      <c r="BW258" s="178"/>
      <c r="BX258" s="196"/>
      <c r="BY258" s="196"/>
      <c r="BZ258" s="196"/>
      <c r="CA258" s="196"/>
      <c r="CB258" s="178"/>
      <c r="CC258" s="178"/>
      <c r="CD258" s="202"/>
      <c r="CE258" s="202"/>
      <c r="CF258" s="178"/>
      <c r="CG258" s="196"/>
      <c r="CH258" s="178"/>
      <c r="CI258" s="178"/>
      <c r="CJ258" s="178"/>
      <c r="CK258" s="178"/>
      <c r="CL258" s="178"/>
      <c r="CM258" s="178"/>
      <c r="CN258" s="178"/>
      <c r="CO258" s="178"/>
      <c r="CP258" s="178"/>
      <c r="CQ258" s="178"/>
      <c r="CR258" s="178"/>
      <c r="CS258" s="178"/>
      <c r="CT258" s="178"/>
      <c r="CU258" s="178"/>
      <c r="CV258" s="178"/>
      <c r="CW258" s="178"/>
      <c r="CX258" s="178"/>
      <c r="CY258" s="178"/>
      <c r="CZ258" s="178"/>
      <c r="DA258" s="150"/>
    </row>
    <row r="259" spans="53:105" x14ac:dyDescent="0.2">
      <c r="BA259" s="518">
        <f t="shared" ca="1" si="22"/>
        <v>61</v>
      </c>
      <c r="BB259" s="174">
        <f t="shared" ca="1" si="23"/>
        <v>196</v>
      </c>
      <c r="BC259" s="525" t="e">
        <f ca="1">MATCH(BD259,OFFSET(Pinlist!$A$2,BC258*(BA259=BA258),0,$BM$23,1),0)+BC258*(BA259=BA258)</f>
        <v>#N/A</v>
      </c>
      <c r="BD259" s="167">
        <f t="shared" ca="1" si="24"/>
        <v>0</v>
      </c>
      <c r="BE259" s="191" t="e">
        <f ca="1">(OFFSET(Pinlist!$E$1,BC259,0)-$BN$16)*$BN$19</f>
        <v>#N/A</v>
      </c>
      <c r="BF259" s="192" t="e">
        <f ca="1">(OFFSET(Pinlist!$F$1,BC259,0)-$BO$16)*$BO$19</f>
        <v>#N/A</v>
      </c>
      <c r="BG259" s="1098" t="str">
        <f ca="1">IF(LEFT(BD259,2)="RF",OFFSET(Pinlist!$D$1,Chart!BC259,0)&amp;"_"&amp;OFFSET(Pinlist!$G$1,Chart!BC259,0),"")</f>
        <v/>
      </c>
      <c r="BH259" s="1098"/>
      <c r="BI259" s="178"/>
      <c r="BJ259" s="178"/>
      <c r="BK259" s="178"/>
      <c r="BL259" s="178"/>
      <c r="BM259" s="178"/>
      <c r="BN259" s="178"/>
      <c r="BO259" s="178"/>
      <c r="BP259" s="178"/>
      <c r="BQ259" s="196"/>
      <c r="BR259" s="196"/>
      <c r="BS259" s="196"/>
      <c r="BT259" s="196"/>
      <c r="BU259" s="196"/>
      <c r="BV259" s="196"/>
      <c r="BW259" s="178"/>
      <c r="BX259" s="196"/>
      <c r="BY259" s="196"/>
      <c r="BZ259" s="196"/>
      <c r="CA259" s="196"/>
      <c r="CB259" s="178"/>
      <c r="CC259" s="178"/>
      <c r="CD259" s="202"/>
      <c r="CE259" s="202"/>
      <c r="CF259" s="178"/>
      <c r="CG259" s="196"/>
      <c r="CH259" s="178"/>
      <c r="CI259" s="178"/>
      <c r="CJ259" s="178"/>
      <c r="CK259" s="178"/>
      <c r="CL259" s="178"/>
      <c r="CM259" s="178"/>
      <c r="CN259" s="178"/>
      <c r="CO259" s="178"/>
      <c r="CP259" s="178"/>
      <c r="CQ259" s="178"/>
      <c r="CR259" s="178"/>
      <c r="CS259" s="178"/>
      <c r="CT259" s="178"/>
      <c r="CU259" s="178"/>
      <c r="CV259" s="178"/>
      <c r="CW259" s="178"/>
      <c r="CX259" s="178"/>
      <c r="CY259" s="178"/>
      <c r="CZ259" s="178"/>
      <c r="DA259" s="150"/>
    </row>
    <row r="260" spans="53:105" x14ac:dyDescent="0.2">
      <c r="BA260" s="518">
        <f t="shared" ref="BA260:BA323" ca="1" si="25">BA259+(BB259=OFFSET($BZ$3,BA259,0))</f>
        <v>61</v>
      </c>
      <c r="BB260" s="174">
        <f t="shared" ref="BB260:BB323" ca="1" si="26">IF(BA260=BA259,BB259+1,1)</f>
        <v>197</v>
      </c>
      <c r="BC260" s="525" t="e">
        <f ca="1">MATCH(BD260,OFFSET(Pinlist!$A$2,BC259*(BA260=BA259),0,$BM$23,1),0)+BC259*(BA260=BA259)</f>
        <v>#N/A</v>
      </c>
      <c r="BD260" s="167">
        <f t="shared" ref="BD260:BD323" ca="1" si="27">OFFSET($BY$3,BA260,0)</f>
        <v>0</v>
      </c>
      <c r="BE260" s="191" t="e">
        <f ca="1">(OFFSET(Pinlist!$E$1,BC260,0)-$BN$16)*$BN$19</f>
        <v>#N/A</v>
      </c>
      <c r="BF260" s="192" t="e">
        <f ca="1">(OFFSET(Pinlist!$F$1,BC260,0)-$BO$16)*$BO$19</f>
        <v>#N/A</v>
      </c>
      <c r="BG260" s="1098" t="str">
        <f ca="1">IF(LEFT(BD260,2)="RF",OFFSET(Pinlist!$D$1,Chart!BC260,0)&amp;"_"&amp;OFFSET(Pinlist!$G$1,Chart!BC260,0),"")</f>
        <v/>
      </c>
      <c r="BH260" s="1098"/>
      <c r="BI260" s="178"/>
      <c r="BJ260" s="178"/>
      <c r="BK260" s="178"/>
      <c r="BL260" s="178"/>
      <c r="BM260" s="178"/>
      <c r="BN260" s="178"/>
      <c r="BO260" s="178"/>
      <c r="BP260" s="178"/>
      <c r="BQ260" s="196"/>
      <c r="BR260" s="196"/>
      <c r="BS260" s="196"/>
      <c r="BT260" s="196"/>
      <c r="BU260" s="196"/>
      <c r="BV260" s="196"/>
      <c r="BW260" s="178"/>
      <c r="BX260" s="196"/>
      <c r="BY260" s="196"/>
      <c r="BZ260" s="196"/>
      <c r="CA260" s="196"/>
      <c r="CB260" s="178"/>
      <c r="CC260" s="178"/>
      <c r="CD260" s="202"/>
      <c r="CE260" s="202"/>
      <c r="CF260" s="178"/>
      <c r="CG260" s="196"/>
      <c r="CH260" s="178"/>
      <c r="CI260" s="178"/>
      <c r="CJ260" s="178"/>
      <c r="CK260" s="178"/>
      <c r="CL260" s="178"/>
      <c r="CM260" s="178"/>
      <c r="CN260" s="178"/>
      <c r="CO260" s="178"/>
      <c r="CP260" s="178"/>
      <c r="CQ260" s="178"/>
      <c r="CR260" s="178"/>
      <c r="CS260" s="178"/>
      <c r="CT260" s="178"/>
      <c r="CU260" s="178"/>
      <c r="CV260" s="178"/>
      <c r="CW260" s="178"/>
      <c r="CX260" s="178"/>
      <c r="CY260" s="178"/>
      <c r="CZ260" s="178"/>
      <c r="DA260" s="150"/>
    </row>
    <row r="261" spans="53:105" x14ac:dyDescent="0.2">
      <c r="BA261" s="518">
        <f t="shared" ca="1" si="25"/>
        <v>61</v>
      </c>
      <c r="BB261" s="174">
        <f t="shared" ca="1" si="26"/>
        <v>198</v>
      </c>
      <c r="BC261" s="525" t="e">
        <f ca="1">MATCH(BD261,OFFSET(Pinlist!$A$2,BC260*(BA261=BA260),0,$BM$23,1),0)+BC260*(BA261=BA260)</f>
        <v>#N/A</v>
      </c>
      <c r="BD261" s="167">
        <f t="shared" ca="1" si="27"/>
        <v>0</v>
      </c>
      <c r="BE261" s="191" t="e">
        <f ca="1">(OFFSET(Pinlist!$E$1,BC261,0)-$BN$16)*$BN$19</f>
        <v>#N/A</v>
      </c>
      <c r="BF261" s="192" t="e">
        <f ca="1">(OFFSET(Pinlist!$F$1,BC261,0)-$BO$16)*$BO$19</f>
        <v>#N/A</v>
      </c>
      <c r="BG261" s="1098" t="str">
        <f ca="1">IF(LEFT(BD261,2)="RF",OFFSET(Pinlist!$D$1,Chart!BC261,0)&amp;"_"&amp;OFFSET(Pinlist!$G$1,Chart!BC261,0),"")</f>
        <v/>
      </c>
      <c r="BH261" s="1098"/>
      <c r="BI261" s="178"/>
      <c r="BJ261" s="178"/>
      <c r="BK261" s="178"/>
      <c r="BL261" s="178"/>
      <c r="BM261" s="178"/>
      <c r="BN261" s="178"/>
      <c r="BO261" s="178"/>
      <c r="BP261" s="178"/>
      <c r="BQ261" s="196"/>
      <c r="BR261" s="196"/>
      <c r="BS261" s="196"/>
      <c r="BT261" s="196"/>
      <c r="BU261" s="196"/>
      <c r="BV261" s="196"/>
      <c r="BW261" s="178"/>
      <c r="BX261" s="196"/>
      <c r="BY261" s="196"/>
      <c r="BZ261" s="196"/>
      <c r="CA261" s="196"/>
      <c r="CB261" s="178"/>
      <c r="CC261" s="178"/>
      <c r="CD261" s="202"/>
      <c r="CE261" s="202"/>
      <c r="CF261" s="178"/>
      <c r="CG261" s="196"/>
      <c r="CH261" s="178"/>
      <c r="CI261" s="178"/>
      <c r="CJ261" s="178"/>
      <c r="CK261" s="178"/>
      <c r="CL261" s="178"/>
      <c r="CM261" s="178"/>
      <c r="CN261" s="178"/>
      <c r="CO261" s="178"/>
      <c r="CP261" s="178"/>
      <c r="CQ261" s="178"/>
      <c r="CR261" s="178"/>
      <c r="CS261" s="178"/>
      <c r="CT261" s="178"/>
      <c r="CU261" s="178"/>
      <c r="CV261" s="178"/>
      <c r="CW261" s="178"/>
      <c r="CX261" s="178"/>
      <c r="CY261" s="178"/>
      <c r="CZ261" s="178"/>
      <c r="DA261" s="150"/>
    </row>
    <row r="262" spans="53:105" x14ac:dyDescent="0.2">
      <c r="BA262" s="518">
        <f t="shared" ca="1" si="25"/>
        <v>61</v>
      </c>
      <c r="BB262" s="174">
        <f t="shared" ca="1" si="26"/>
        <v>199</v>
      </c>
      <c r="BC262" s="525" t="e">
        <f ca="1">MATCH(BD262,OFFSET(Pinlist!$A$2,BC261*(BA262=BA261),0,$BM$23,1),0)+BC261*(BA262=BA261)</f>
        <v>#N/A</v>
      </c>
      <c r="BD262" s="167">
        <f t="shared" ca="1" si="27"/>
        <v>0</v>
      </c>
      <c r="BE262" s="191" t="e">
        <f ca="1">(OFFSET(Pinlist!$E$1,BC262,0)-$BN$16)*$BN$19</f>
        <v>#N/A</v>
      </c>
      <c r="BF262" s="192" t="e">
        <f ca="1">(OFFSET(Pinlist!$F$1,BC262,0)-$BO$16)*$BO$19</f>
        <v>#N/A</v>
      </c>
      <c r="BG262" s="1098" t="str">
        <f ca="1">IF(LEFT(BD262,2)="RF",OFFSET(Pinlist!$D$1,Chart!BC262,0)&amp;"_"&amp;OFFSET(Pinlist!$G$1,Chart!BC262,0),"")</f>
        <v/>
      </c>
      <c r="BH262" s="1098"/>
      <c r="BI262" s="178"/>
      <c r="BJ262" s="178"/>
      <c r="BK262" s="178"/>
      <c r="BL262" s="178"/>
      <c r="BM262" s="178"/>
      <c r="BN262" s="178"/>
      <c r="BO262" s="178"/>
      <c r="BP262" s="178"/>
      <c r="BQ262" s="196"/>
      <c r="BR262" s="196"/>
      <c r="BS262" s="196"/>
      <c r="BT262" s="196"/>
      <c r="BU262" s="196"/>
      <c r="BV262" s="196"/>
      <c r="BW262" s="178"/>
      <c r="BX262" s="196"/>
      <c r="BY262" s="196"/>
      <c r="BZ262" s="196"/>
      <c r="CA262" s="196"/>
      <c r="CB262" s="178"/>
      <c r="CC262" s="178"/>
      <c r="CD262" s="202"/>
      <c r="CE262" s="202"/>
      <c r="CF262" s="178"/>
      <c r="CG262" s="196"/>
      <c r="CH262" s="178"/>
      <c r="CI262" s="178"/>
      <c r="CJ262" s="178"/>
      <c r="CK262" s="178"/>
      <c r="CL262" s="178"/>
      <c r="CM262" s="178"/>
      <c r="CN262" s="178"/>
      <c r="CO262" s="178"/>
      <c r="CP262" s="178"/>
      <c r="CQ262" s="178"/>
      <c r="CR262" s="178"/>
      <c r="CS262" s="178"/>
      <c r="CT262" s="178"/>
      <c r="CU262" s="178"/>
      <c r="CV262" s="178"/>
      <c r="CW262" s="178"/>
      <c r="CX262" s="178"/>
      <c r="CY262" s="178"/>
      <c r="CZ262" s="178"/>
      <c r="DA262" s="150"/>
    </row>
    <row r="263" spans="53:105" x14ac:dyDescent="0.2">
      <c r="BA263" s="518">
        <f t="shared" ca="1" si="25"/>
        <v>61</v>
      </c>
      <c r="BB263" s="174">
        <f t="shared" ca="1" si="26"/>
        <v>200</v>
      </c>
      <c r="BC263" s="525" t="e">
        <f ca="1">MATCH(BD263,OFFSET(Pinlist!$A$2,BC262*(BA263=BA262),0,$BM$23,1),0)+BC262*(BA263=BA262)</f>
        <v>#N/A</v>
      </c>
      <c r="BD263" s="167">
        <f t="shared" ca="1" si="27"/>
        <v>0</v>
      </c>
      <c r="BE263" s="191" t="e">
        <f ca="1">(OFFSET(Pinlist!$E$1,BC263,0)-$BN$16)*$BN$19</f>
        <v>#N/A</v>
      </c>
      <c r="BF263" s="192" t="e">
        <f ca="1">(OFFSET(Pinlist!$F$1,BC263,0)-$BO$16)*$BO$19</f>
        <v>#N/A</v>
      </c>
      <c r="BG263" s="1098" t="str">
        <f ca="1">IF(LEFT(BD263,2)="RF",OFFSET(Pinlist!$D$1,Chart!BC263,0)&amp;"_"&amp;OFFSET(Pinlist!$G$1,Chart!BC263,0),"")</f>
        <v/>
      </c>
      <c r="BH263" s="1098"/>
      <c r="BI263" s="178"/>
      <c r="BJ263" s="178"/>
      <c r="BK263" s="178"/>
      <c r="BL263" s="178"/>
      <c r="BM263" s="178"/>
      <c r="BN263" s="178"/>
      <c r="BO263" s="178"/>
      <c r="BP263" s="178"/>
      <c r="BQ263" s="196"/>
      <c r="BR263" s="196"/>
      <c r="BS263" s="196"/>
      <c r="BT263" s="196"/>
      <c r="BU263" s="196"/>
      <c r="BV263" s="196"/>
      <c r="BW263" s="178"/>
      <c r="BX263" s="196"/>
      <c r="BY263" s="196"/>
      <c r="BZ263" s="196"/>
      <c r="CA263" s="196"/>
      <c r="CB263" s="178"/>
      <c r="CC263" s="178"/>
      <c r="CD263" s="202"/>
      <c r="CE263" s="202"/>
      <c r="CF263" s="178"/>
      <c r="CG263" s="196"/>
      <c r="CH263" s="178"/>
      <c r="CI263" s="178"/>
      <c r="CJ263" s="178"/>
      <c r="CK263" s="178"/>
      <c r="CL263" s="178"/>
      <c r="CM263" s="178"/>
      <c r="CN263" s="178"/>
      <c r="CO263" s="178"/>
      <c r="CP263" s="178"/>
      <c r="CQ263" s="178"/>
      <c r="CR263" s="178"/>
      <c r="CS263" s="178"/>
      <c r="CT263" s="178"/>
      <c r="CU263" s="178"/>
      <c r="CV263" s="178"/>
      <c r="CW263" s="178"/>
      <c r="CX263" s="178"/>
      <c r="CY263" s="178"/>
      <c r="CZ263" s="178"/>
      <c r="DA263" s="150"/>
    </row>
    <row r="264" spans="53:105" x14ac:dyDescent="0.2">
      <c r="BA264" s="518">
        <f t="shared" ca="1" si="25"/>
        <v>61</v>
      </c>
      <c r="BB264" s="174">
        <f t="shared" ca="1" si="26"/>
        <v>201</v>
      </c>
      <c r="BC264" s="525" t="e">
        <f ca="1">MATCH(BD264,OFFSET(Pinlist!$A$2,BC263*(BA264=BA263),0,$BM$23,1),0)+BC263*(BA264=BA263)</f>
        <v>#N/A</v>
      </c>
      <c r="BD264" s="167">
        <f t="shared" ca="1" si="27"/>
        <v>0</v>
      </c>
      <c r="BE264" s="191" t="e">
        <f ca="1">(OFFSET(Pinlist!$E$1,BC264,0)-$BN$16)*$BN$19</f>
        <v>#N/A</v>
      </c>
      <c r="BF264" s="192" t="e">
        <f ca="1">(OFFSET(Pinlist!$F$1,BC264,0)-$BO$16)*$BO$19</f>
        <v>#N/A</v>
      </c>
      <c r="BG264" s="1098" t="str">
        <f ca="1">IF(LEFT(BD264,2)="RF",OFFSET(Pinlist!$D$1,Chart!BC264,0)&amp;"_"&amp;OFFSET(Pinlist!$G$1,Chart!BC264,0),"")</f>
        <v/>
      </c>
      <c r="BH264" s="1098"/>
      <c r="BI264" s="178"/>
      <c r="BJ264" s="178"/>
      <c r="BK264" s="178"/>
      <c r="BL264" s="178"/>
      <c r="BM264" s="178"/>
      <c r="BN264" s="178"/>
      <c r="BO264" s="178"/>
      <c r="BP264" s="178"/>
      <c r="BQ264" s="196"/>
      <c r="BR264" s="196"/>
      <c r="BS264" s="196"/>
      <c r="BT264" s="196"/>
      <c r="BU264" s="196"/>
      <c r="BV264" s="196"/>
      <c r="BW264" s="178"/>
      <c r="BX264" s="196"/>
      <c r="BY264" s="196"/>
      <c r="BZ264" s="196"/>
      <c r="CA264" s="196"/>
      <c r="CB264" s="178"/>
      <c r="CC264" s="178"/>
      <c r="CD264" s="202"/>
      <c r="CE264" s="202"/>
      <c r="CF264" s="178"/>
      <c r="CG264" s="196"/>
      <c r="CH264" s="178"/>
      <c r="CI264" s="178"/>
      <c r="CJ264" s="178"/>
      <c r="CK264" s="178"/>
      <c r="CL264" s="178"/>
      <c r="CM264" s="178"/>
      <c r="CN264" s="178"/>
      <c r="CO264" s="178"/>
      <c r="CP264" s="178"/>
      <c r="CQ264" s="178"/>
      <c r="CR264" s="178"/>
      <c r="CS264" s="178"/>
      <c r="CT264" s="178"/>
      <c r="CU264" s="178"/>
      <c r="CV264" s="178"/>
      <c r="CW264" s="178"/>
      <c r="CX264" s="178"/>
      <c r="CY264" s="178"/>
      <c r="CZ264" s="178"/>
      <c r="DA264" s="150"/>
    </row>
    <row r="265" spans="53:105" x14ac:dyDescent="0.2">
      <c r="BA265" s="518">
        <f t="shared" ca="1" si="25"/>
        <v>61</v>
      </c>
      <c r="BB265" s="174">
        <f t="shared" ca="1" si="26"/>
        <v>202</v>
      </c>
      <c r="BC265" s="525" t="e">
        <f ca="1">MATCH(BD265,OFFSET(Pinlist!$A$2,BC264*(BA265=BA264),0,$BM$23,1),0)+BC264*(BA265=BA264)</f>
        <v>#N/A</v>
      </c>
      <c r="BD265" s="167">
        <f t="shared" ca="1" si="27"/>
        <v>0</v>
      </c>
      <c r="BE265" s="191" t="e">
        <f ca="1">(OFFSET(Pinlist!$E$1,BC265,0)-$BN$16)*$BN$19</f>
        <v>#N/A</v>
      </c>
      <c r="BF265" s="192" t="e">
        <f ca="1">(OFFSET(Pinlist!$F$1,BC265,0)-$BO$16)*$BO$19</f>
        <v>#N/A</v>
      </c>
      <c r="BG265" s="1098" t="str">
        <f ca="1">IF(LEFT(BD265,2)="RF",OFFSET(Pinlist!$D$1,Chart!BC265,0)&amp;"_"&amp;OFFSET(Pinlist!$G$1,Chart!BC265,0),"")</f>
        <v/>
      </c>
      <c r="BH265" s="1098"/>
      <c r="BI265" s="178"/>
      <c r="BJ265" s="178"/>
      <c r="BK265" s="178"/>
      <c r="BL265" s="178"/>
      <c r="BM265" s="178"/>
      <c r="BN265" s="178"/>
      <c r="BO265" s="178"/>
      <c r="BP265" s="178"/>
      <c r="BQ265" s="196"/>
      <c r="BR265" s="196"/>
      <c r="BS265" s="196"/>
      <c r="BT265" s="196"/>
      <c r="BU265" s="196"/>
      <c r="BV265" s="196"/>
      <c r="BW265" s="178"/>
      <c r="BX265" s="196"/>
      <c r="BY265" s="196"/>
      <c r="BZ265" s="196"/>
      <c r="CA265" s="196"/>
      <c r="CB265" s="178"/>
      <c r="CC265" s="178"/>
      <c r="CD265" s="202"/>
      <c r="CE265" s="202"/>
      <c r="CF265" s="178"/>
      <c r="CG265" s="196"/>
      <c r="CH265" s="178"/>
      <c r="CI265" s="178"/>
      <c r="CJ265" s="178"/>
      <c r="CK265" s="178"/>
      <c r="CL265" s="178"/>
      <c r="CM265" s="178"/>
      <c r="CN265" s="178"/>
      <c r="CO265" s="178"/>
      <c r="CP265" s="178"/>
      <c r="CQ265" s="178"/>
      <c r="CR265" s="178"/>
      <c r="CS265" s="178"/>
      <c r="CT265" s="178"/>
      <c r="CU265" s="178"/>
      <c r="CV265" s="178"/>
      <c r="CW265" s="178"/>
      <c r="CX265" s="178"/>
      <c r="CY265" s="178"/>
      <c r="CZ265" s="178"/>
      <c r="DA265" s="150"/>
    </row>
    <row r="266" spans="53:105" x14ac:dyDescent="0.2">
      <c r="BA266" s="518">
        <f t="shared" ca="1" si="25"/>
        <v>61</v>
      </c>
      <c r="BB266" s="174">
        <f t="shared" ca="1" si="26"/>
        <v>203</v>
      </c>
      <c r="BC266" s="525" t="e">
        <f ca="1">MATCH(BD266,OFFSET(Pinlist!$A$2,BC265*(BA266=BA265),0,$BM$23,1),0)+BC265*(BA266=BA265)</f>
        <v>#N/A</v>
      </c>
      <c r="BD266" s="167">
        <f t="shared" ca="1" si="27"/>
        <v>0</v>
      </c>
      <c r="BE266" s="191" t="e">
        <f ca="1">(OFFSET(Pinlist!$E$1,BC266,0)-$BN$16)*$BN$19</f>
        <v>#N/A</v>
      </c>
      <c r="BF266" s="192" t="e">
        <f ca="1">(OFFSET(Pinlist!$F$1,BC266,0)-$BO$16)*$BO$19</f>
        <v>#N/A</v>
      </c>
      <c r="BG266" s="1098" t="str">
        <f ca="1">IF(LEFT(BD266,2)="RF",OFFSET(Pinlist!$D$1,Chart!BC266,0)&amp;"_"&amp;OFFSET(Pinlist!$G$1,Chart!BC266,0),"")</f>
        <v/>
      </c>
      <c r="BH266" s="1098"/>
      <c r="BI266" s="178"/>
      <c r="BJ266" s="178"/>
      <c r="BK266" s="178"/>
      <c r="BL266" s="178"/>
      <c r="BM266" s="178"/>
      <c r="BN266" s="178"/>
      <c r="BO266" s="178"/>
      <c r="BP266" s="178"/>
      <c r="BQ266" s="196"/>
      <c r="BR266" s="196"/>
      <c r="BS266" s="196"/>
      <c r="BT266" s="196"/>
      <c r="BU266" s="196"/>
      <c r="BV266" s="196"/>
      <c r="BW266" s="178"/>
      <c r="BX266" s="196"/>
      <c r="BY266" s="196"/>
      <c r="BZ266" s="196"/>
      <c r="CA266" s="196"/>
      <c r="CB266" s="178"/>
      <c r="CC266" s="178"/>
      <c r="CD266" s="202"/>
      <c r="CE266" s="202"/>
      <c r="CF266" s="178"/>
      <c r="CG266" s="196"/>
      <c r="CH266" s="178"/>
      <c r="CI266" s="178"/>
      <c r="CJ266" s="178"/>
      <c r="CK266" s="178"/>
      <c r="CL266" s="178"/>
      <c r="CM266" s="178"/>
      <c r="CN266" s="178"/>
      <c r="CO266" s="178"/>
      <c r="CP266" s="178"/>
      <c r="CQ266" s="178"/>
      <c r="CR266" s="178"/>
      <c r="CS266" s="178"/>
      <c r="CT266" s="178"/>
      <c r="CU266" s="178"/>
      <c r="CV266" s="178"/>
      <c r="CW266" s="178"/>
      <c r="CX266" s="178"/>
      <c r="CY266" s="178"/>
      <c r="CZ266" s="178"/>
      <c r="DA266" s="150"/>
    </row>
    <row r="267" spans="53:105" x14ac:dyDescent="0.2">
      <c r="BA267" s="518">
        <f t="shared" ca="1" si="25"/>
        <v>61</v>
      </c>
      <c r="BB267" s="174">
        <f t="shared" ca="1" si="26"/>
        <v>204</v>
      </c>
      <c r="BC267" s="525" t="e">
        <f ca="1">MATCH(BD267,OFFSET(Pinlist!$A$2,BC266*(BA267=BA266),0,$BM$23,1),0)+BC266*(BA267=BA266)</f>
        <v>#N/A</v>
      </c>
      <c r="BD267" s="167">
        <f t="shared" ca="1" si="27"/>
        <v>0</v>
      </c>
      <c r="BE267" s="191" t="e">
        <f ca="1">(OFFSET(Pinlist!$E$1,BC267,0)-$BN$16)*$BN$19</f>
        <v>#N/A</v>
      </c>
      <c r="BF267" s="192" t="e">
        <f ca="1">(OFFSET(Pinlist!$F$1,BC267,0)-$BO$16)*$BO$19</f>
        <v>#N/A</v>
      </c>
      <c r="BG267" s="1098" t="str">
        <f ca="1">IF(LEFT(BD267,2)="RF",OFFSET(Pinlist!$D$1,Chart!BC267,0)&amp;"_"&amp;OFFSET(Pinlist!$G$1,Chart!BC267,0),"")</f>
        <v/>
      </c>
      <c r="BH267" s="1098"/>
      <c r="BI267" s="178"/>
      <c r="BJ267" s="178"/>
      <c r="BK267" s="178"/>
      <c r="BL267" s="178"/>
      <c r="BM267" s="178"/>
      <c r="BN267" s="178"/>
      <c r="BO267" s="178"/>
      <c r="BP267" s="178"/>
      <c r="BQ267" s="196"/>
      <c r="BR267" s="196"/>
      <c r="BS267" s="196"/>
      <c r="BT267" s="196"/>
      <c r="BU267" s="196"/>
      <c r="BV267" s="196"/>
      <c r="BW267" s="178"/>
      <c r="BX267" s="196"/>
      <c r="BY267" s="196"/>
      <c r="BZ267" s="196"/>
      <c r="CA267" s="196"/>
      <c r="CB267" s="178"/>
      <c r="CC267" s="178"/>
      <c r="CD267" s="202"/>
      <c r="CE267" s="202"/>
      <c r="CF267" s="178"/>
      <c r="CG267" s="196"/>
      <c r="CH267" s="178"/>
      <c r="CI267" s="178"/>
      <c r="CJ267" s="178"/>
      <c r="CK267" s="178"/>
      <c r="CL267" s="178"/>
      <c r="CM267" s="178"/>
      <c r="CN267" s="178"/>
      <c r="CO267" s="178"/>
      <c r="CP267" s="178"/>
      <c r="CQ267" s="178"/>
      <c r="CR267" s="178"/>
      <c r="CS267" s="178"/>
      <c r="CT267" s="178"/>
      <c r="CU267" s="178"/>
      <c r="CV267" s="178"/>
      <c r="CW267" s="178"/>
      <c r="CX267" s="178"/>
      <c r="CY267" s="178"/>
      <c r="CZ267" s="178"/>
      <c r="DA267" s="150"/>
    </row>
    <row r="268" spans="53:105" x14ac:dyDescent="0.2">
      <c r="BA268" s="518">
        <f t="shared" ca="1" si="25"/>
        <v>61</v>
      </c>
      <c r="BB268" s="174">
        <f t="shared" ca="1" si="26"/>
        <v>205</v>
      </c>
      <c r="BC268" s="525" t="e">
        <f ca="1">MATCH(BD268,OFFSET(Pinlist!$A$2,BC267*(BA268=BA267),0,$BM$23,1),0)+BC267*(BA268=BA267)</f>
        <v>#N/A</v>
      </c>
      <c r="BD268" s="167">
        <f t="shared" ca="1" si="27"/>
        <v>0</v>
      </c>
      <c r="BE268" s="191" t="e">
        <f ca="1">(OFFSET(Pinlist!$E$1,BC268,0)-$BN$16)*$BN$19</f>
        <v>#N/A</v>
      </c>
      <c r="BF268" s="192" t="e">
        <f ca="1">(OFFSET(Pinlist!$F$1,BC268,0)-$BO$16)*$BO$19</f>
        <v>#N/A</v>
      </c>
      <c r="BG268" s="1098" t="str">
        <f ca="1">IF(LEFT(BD268,2)="RF",OFFSET(Pinlist!$D$1,Chart!BC268,0)&amp;"_"&amp;OFFSET(Pinlist!$G$1,Chart!BC268,0),"")</f>
        <v/>
      </c>
      <c r="BH268" s="1098"/>
      <c r="BI268" s="178"/>
      <c r="BJ268" s="178"/>
      <c r="BK268" s="178"/>
      <c r="BL268" s="178"/>
      <c r="BM268" s="178"/>
      <c r="BN268" s="178"/>
      <c r="BO268" s="178"/>
      <c r="BP268" s="178"/>
      <c r="BQ268" s="196"/>
      <c r="BR268" s="196"/>
      <c r="BS268" s="196"/>
      <c r="BT268" s="196"/>
      <c r="BU268" s="196"/>
      <c r="BV268" s="196"/>
      <c r="BW268" s="178"/>
      <c r="BX268" s="196"/>
      <c r="BY268" s="196"/>
      <c r="BZ268" s="196"/>
      <c r="CA268" s="196"/>
      <c r="CB268" s="178"/>
      <c r="CC268" s="178"/>
      <c r="CD268" s="202"/>
      <c r="CE268" s="202"/>
      <c r="CF268" s="178"/>
      <c r="CG268" s="196"/>
      <c r="CH268" s="178"/>
      <c r="CI268" s="178"/>
      <c r="CJ268" s="178"/>
      <c r="CK268" s="178"/>
      <c r="CL268" s="178"/>
      <c r="CM268" s="178"/>
      <c r="CN268" s="178"/>
      <c r="CO268" s="178"/>
      <c r="CP268" s="178"/>
      <c r="CQ268" s="178"/>
      <c r="CR268" s="178"/>
      <c r="CS268" s="178"/>
      <c r="CT268" s="178"/>
      <c r="CU268" s="178"/>
      <c r="CV268" s="178"/>
      <c r="CW268" s="178"/>
      <c r="CX268" s="178"/>
      <c r="CY268" s="178"/>
      <c r="CZ268" s="178"/>
      <c r="DA268" s="150"/>
    </row>
    <row r="269" spans="53:105" x14ac:dyDescent="0.2">
      <c r="BA269" s="518">
        <f t="shared" ca="1" si="25"/>
        <v>61</v>
      </c>
      <c r="BB269" s="174">
        <f t="shared" ca="1" si="26"/>
        <v>206</v>
      </c>
      <c r="BC269" s="525" t="e">
        <f ca="1">MATCH(BD269,OFFSET(Pinlist!$A$2,BC268*(BA269=BA268),0,$BM$23,1),0)+BC268*(BA269=BA268)</f>
        <v>#N/A</v>
      </c>
      <c r="BD269" s="167">
        <f t="shared" ca="1" si="27"/>
        <v>0</v>
      </c>
      <c r="BE269" s="191" t="e">
        <f ca="1">(OFFSET(Pinlist!$E$1,BC269,0)-$BN$16)*$BN$19</f>
        <v>#N/A</v>
      </c>
      <c r="BF269" s="192" t="e">
        <f ca="1">(OFFSET(Pinlist!$F$1,BC269,0)-$BO$16)*$BO$19</f>
        <v>#N/A</v>
      </c>
      <c r="BG269" s="1098" t="str">
        <f ca="1">IF(LEFT(BD269,2)="RF",OFFSET(Pinlist!$D$1,Chart!BC269,0)&amp;"_"&amp;OFFSET(Pinlist!$G$1,Chart!BC269,0),"")</f>
        <v/>
      </c>
      <c r="BH269" s="1098"/>
      <c r="BI269" s="178"/>
      <c r="BJ269" s="178"/>
      <c r="BK269" s="178"/>
      <c r="BL269" s="178"/>
      <c r="BM269" s="178"/>
      <c r="BN269" s="178"/>
      <c r="BO269" s="178"/>
      <c r="BP269" s="178"/>
      <c r="BQ269" s="196"/>
      <c r="BR269" s="196"/>
      <c r="BS269" s="196"/>
      <c r="BT269" s="196"/>
      <c r="BU269" s="196"/>
      <c r="BV269" s="196"/>
      <c r="BW269" s="178"/>
      <c r="BX269" s="196"/>
      <c r="BY269" s="196"/>
      <c r="BZ269" s="196"/>
      <c r="CA269" s="196"/>
      <c r="CB269" s="178"/>
      <c r="CC269" s="178"/>
      <c r="CD269" s="202"/>
      <c r="CE269" s="202"/>
      <c r="CF269" s="178"/>
      <c r="CG269" s="196"/>
      <c r="CH269" s="178"/>
      <c r="CI269" s="178"/>
      <c r="CJ269" s="178"/>
      <c r="CK269" s="178"/>
      <c r="CL269" s="178"/>
      <c r="CM269" s="178"/>
      <c r="CN269" s="178"/>
      <c r="CO269" s="178"/>
      <c r="CP269" s="178"/>
      <c r="CQ269" s="178"/>
      <c r="CR269" s="178"/>
      <c r="CS269" s="178"/>
      <c r="CT269" s="178"/>
      <c r="CU269" s="178"/>
      <c r="CV269" s="178"/>
      <c r="CW269" s="178"/>
      <c r="CX269" s="178"/>
      <c r="CY269" s="178"/>
      <c r="CZ269" s="178"/>
      <c r="DA269" s="150"/>
    </row>
    <row r="270" spans="53:105" x14ac:dyDescent="0.2">
      <c r="BA270" s="518">
        <f t="shared" ca="1" si="25"/>
        <v>61</v>
      </c>
      <c r="BB270" s="174">
        <f t="shared" ca="1" si="26"/>
        <v>207</v>
      </c>
      <c r="BC270" s="525" t="e">
        <f ca="1">MATCH(BD270,OFFSET(Pinlist!$A$2,BC269*(BA270=BA269),0,$BM$23,1),0)+BC269*(BA270=BA269)</f>
        <v>#N/A</v>
      </c>
      <c r="BD270" s="167">
        <f t="shared" ca="1" si="27"/>
        <v>0</v>
      </c>
      <c r="BE270" s="191" t="e">
        <f ca="1">(OFFSET(Pinlist!$E$1,BC270,0)-$BN$16)*$BN$19</f>
        <v>#N/A</v>
      </c>
      <c r="BF270" s="192" t="e">
        <f ca="1">(OFFSET(Pinlist!$F$1,BC270,0)-$BO$16)*$BO$19</f>
        <v>#N/A</v>
      </c>
      <c r="BG270" s="1098" t="str">
        <f ca="1">IF(LEFT(BD270,2)="RF",OFFSET(Pinlist!$D$1,Chart!BC270,0)&amp;"_"&amp;OFFSET(Pinlist!$G$1,Chart!BC270,0),"")</f>
        <v/>
      </c>
      <c r="BH270" s="1098"/>
      <c r="BI270" s="178"/>
      <c r="BJ270" s="178"/>
      <c r="BK270" s="178"/>
      <c r="BL270" s="178"/>
      <c r="BM270" s="178"/>
      <c r="BN270" s="178"/>
      <c r="BO270" s="178"/>
      <c r="BP270" s="178"/>
      <c r="BQ270" s="196"/>
      <c r="BR270" s="196"/>
      <c r="BS270" s="196"/>
      <c r="BT270" s="196"/>
      <c r="BU270" s="196"/>
      <c r="BV270" s="196"/>
      <c r="BW270" s="178"/>
      <c r="BX270" s="196"/>
      <c r="BY270" s="196"/>
      <c r="BZ270" s="196"/>
      <c r="CA270" s="196"/>
      <c r="CB270" s="178"/>
      <c r="CC270" s="178"/>
      <c r="CD270" s="202"/>
      <c r="CE270" s="202"/>
      <c r="CF270" s="178"/>
      <c r="CG270" s="196"/>
      <c r="CH270" s="178"/>
      <c r="CI270" s="178"/>
      <c r="CJ270" s="178"/>
      <c r="CK270" s="178"/>
      <c r="CL270" s="178"/>
      <c r="CM270" s="178"/>
      <c r="CN270" s="178"/>
      <c r="CO270" s="178"/>
      <c r="CP270" s="178"/>
      <c r="CQ270" s="178"/>
      <c r="CR270" s="178"/>
      <c r="CS270" s="178"/>
      <c r="CT270" s="178"/>
      <c r="CU270" s="178"/>
      <c r="CV270" s="178"/>
      <c r="CW270" s="178"/>
      <c r="CX270" s="178"/>
      <c r="CY270" s="178"/>
      <c r="CZ270" s="178"/>
      <c r="DA270" s="150"/>
    </row>
    <row r="271" spans="53:105" x14ac:dyDescent="0.2">
      <c r="BA271" s="518">
        <f t="shared" ca="1" si="25"/>
        <v>61</v>
      </c>
      <c r="BB271" s="174">
        <f t="shared" ca="1" si="26"/>
        <v>208</v>
      </c>
      <c r="BC271" s="525" t="e">
        <f ca="1">MATCH(BD271,OFFSET(Pinlist!$A$2,BC270*(BA271=BA270),0,$BM$23,1),0)+BC270*(BA271=BA270)</f>
        <v>#N/A</v>
      </c>
      <c r="BD271" s="167">
        <f t="shared" ca="1" si="27"/>
        <v>0</v>
      </c>
      <c r="BE271" s="191" t="e">
        <f ca="1">(OFFSET(Pinlist!$E$1,BC271,0)-$BN$16)*$BN$19</f>
        <v>#N/A</v>
      </c>
      <c r="BF271" s="192" t="e">
        <f ca="1">(OFFSET(Pinlist!$F$1,BC271,0)-$BO$16)*$BO$19</f>
        <v>#N/A</v>
      </c>
      <c r="BG271" s="1098" t="str">
        <f ca="1">IF(LEFT(BD271,2)="RF",OFFSET(Pinlist!$D$1,Chart!BC271,0)&amp;"_"&amp;OFFSET(Pinlist!$G$1,Chart!BC271,0),"")</f>
        <v/>
      </c>
      <c r="BH271" s="1098"/>
      <c r="BI271" s="178"/>
      <c r="BJ271" s="178"/>
      <c r="BK271" s="178"/>
      <c r="BL271" s="178"/>
      <c r="BM271" s="178"/>
      <c r="BN271" s="178"/>
      <c r="BO271" s="178"/>
      <c r="BP271" s="178"/>
      <c r="BQ271" s="196"/>
      <c r="BR271" s="196"/>
      <c r="BS271" s="196"/>
      <c r="BT271" s="196"/>
      <c r="BU271" s="196"/>
      <c r="BV271" s="196"/>
      <c r="BW271" s="178"/>
      <c r="BX271" s="196"/>
      <c r="BY271" s="196"/>
      <c r="BZ271" s="196"/>
      <c r="CA271" s="196"/>
      <c r="CB271" s="178"/>
      <c r="CC271" s="178"/>
      <c r="CD271" s="202"/>
      <c r="CE271" s="202"/>
      <c r="CF271" s="178"/>
      <c r="CG271" s="196"/>
      <c r="CH271" s="178"/>
      <c r="CI271" s="178"/>
      <c r="CJ271" s="178"/>
      <c r="CK271" s="178"/>
      <c r="CL271" s="178"/>
      <c r="CM271" s="178"/>
      <c r="CN271" s="178"/>
      <c r="CO271" s="178"/>
      <c r="CP271" s="178"/>
      <c r="CQ271" s="178"/>
      <c r="CR271" s="178"/>
      <c r="CS271" s="178"/>
      <c r="CT271" s="178"/>
      <c r="CU271" s="178"/>
      <c r="CV271" s="178"/>
      <c r="CW271" s="178"/>
      <c r="CX271" s="178"/>
      <c r="CY271" s="178"/>
      <c r="CZ271" s="178"/>
      <c r="DA271" s="150"/>
    </row>
    <row r="272" spans="53:105" x14ac:dyDescent="0.2">
      <c r="BA272" s="518">
        <f t="shared" ca="1" si="25"/>
        <v>61</v>
      </c>
      <c r="BB272" s="174">
        <f t="shared" ca="1" si="26"/>
        <v>209</v>
      </c>
      <c r="BC272" s="525" t="e">
        <f ca="1">MATCH(BD272,OFFSET(Pinlist!$A$2,BC271*(BA272=BA271),0,$BM$23,1),0)+BC271*(BA272=BA271)</f>
        <v>#N/A</v>
      </c>
      <c r="BD272" s="167">
        <f t="shared" ca="1" si="27"/>
        <v>0</v>
      </c>
      <c r="BE272" s="191" t="e">
        <f ca="1">(OFFSET(Pinlist!$E$1,BC272,0)-$BN$16)*$BN$19</f>
        <v>#N/A</v>
      </c>
      <c r="BF272" s="192" t="e">
        <f ca="1">(OFFSET(Pinlist!$F$1,BC272,0)-$BO$16)*$BO$19</f>
        <v>#N/A</v>
      </c>
      <c r="BG272" s="1098" t="str">
        <f ca="1">IF(LEFT(BD272,2)="RF",OFFSET(Pinlist!$D$1,Chart!BC272,0)&amp;"_"&amp;OFFSET(Pinlist!$G$1,Chart!BC272,0),"")</f>
        <v/>
      </c>
      <c r="BH272" s="1098"/>
      <c r="BI272" s="178"/>
      <c r="BJ272" s="178"/>
      <c r="BK272" s="178"/>
      <c r="BL272" s="178"/>
      <c r="BM272" s="178"/>
      <c r="BN272" s="178"/>
      <c r="BO272" s="178"/>
      <c r="BP272" s="178"/>
      <c r="BQ272" s="196"/>
      <c r="BR272" s="196"/>
      <c r="BS272" s="196"/>
      <c r="BT272" s="196"/>
      <c r="BU272" s="196"/>
      <c r="BV272" s="196"/>
      <c r="BW272" s="178"/>
      <c r="BX272" s="196"/>
      <c r="BY272" s="196"/>
      <c r="BZ272" s="196"/>
      <c r="CA272" s="196"/>
      <c r="CB272" s="178"/>
      <c r="CC272" s="178"/>
      <c r="CD272" s="202"/>
      <c r="CE272" s="202"/>
      <c r="CF272" s="178"/>
      <c r="CG272" s="196"/>
      <c r="CH272" s="178"/>
      <c r="CI272" s="178"/>
      <c r="CJ272" s="178"/>
      <c r="CK272" s="178"/>
      <c r="CL272" s="178"/>
      <c r="CM272" s="178"/>
      <c r="CN272" s="178"/>
      <c r="CO272" s="178"/>
      <c r="CP272" s="178"/>
      <c r="CQ272" s="178"/>
      <c r="CR272" s="178"/>
      <c r="CS272" s="178"/>
      <c r="CT272" s="178"/>
      <c r="CU272" s="178"/>
      <c r="CV272" s="178"/>
      <c r="CW272" s="178"/>
      <c r="CX272" s="178"/>
      <c r="CY272" s="178"/>
      <c r="CZ272" s="178"/>
      <c r="DA272" s="150"/>
    </row>
    <row r="273" spans="53:105" x14ac:dyDescent="0.2">
      <c r="BA273" s="518">
        <f t="shared" ca="1" si="25"/>
        <v>61</v>
      </c>
      <c r="BB273" s="174">
        <f t="shared" ca="1" si="26"/>
        <v>210</v>
      </c>
      <c r="BC273" s="525" t="e">
        <f ca="1">MATCH(BD273,OFFSET(Pinlist!$A$2,BC272*(BA273=BA272),0,$BM$23,1),0)+BC272*(BA273=BA272)</f>
        <v>#N/A</v>
      </c>
      <c r="BD273" s="167">
        <f t="shared" ca="1" si="27"/>
        <v>0</v>
      </c>
      <c r="BE273" s="191" t="e">
        <f ca="1">(OFFSET(Pinlist!$E$1,BC273,0)-$BN$16)*$BN$19</f>
        <v>#N/A</v>
      </c>
      <c r="BF273" s="192" t="e">
        <f ca="1">(OFFSET(Pinlist!$F$1,BC273,0)-$BO$16)*$BO$19</f>
        <v>#N/A</v>
      </c>
      <c r="BG273" s="1098" t="str">
        <f ca="1">IF(LEFT(BD273,2)="RF",OFFSET(Pinlist!$D$1,Chart!BC273,0)&amp;"_"&amp;OFFSET(Pinlist!$G$1,Chart!BC273,0),"")</f>
        <v/>
      </c>
      <c r="BH273" s="1098"/>
      <c r="BI273" s="178"/>
      <c r="BJ273" s="178"/>
      <c r="BK273" s="178"/>
      <c r="BL273" s="178"/>
      <c r="BM273" s="178"/>
      <c r="BN273" s="178"/>
      <c r="BO273" s="178"/>
      <c r="BP273" s="178"/>
      <c r="BQ273" s="196"/>
      <c r="BR273" s="196"/>
      <c r="BS273" s="196"/>
      <c r="BT273" s="196"/>
      <c r="BU273" s="196"/>
      <c r="BV273" s="196"/>
      <c r="BW273" s="178"/>
      <c r="BX273" s="196"/>
      <c r="BY273" s="196"/>
      <c r="BZ273" s="196"/>
      <c r="CA273" s="196"/>
      <c r="CB273" s="178"/>
      <c r="CC273" s="178"/>
      <c r="CD273" s="202"/>
      <c r="CE273" s="202"/>
      <c r="CF273" s="178"/>
      <c r="CG273" s="196"/>
      <c r="CH273" s="178"/>
      <c r="CI273" s="178"/>
      <c r="CJ273" s="178"/>
      <c r="CK273" s="178"/>
      <c r="CL273" s="178"/>
      <c r="CM273" s="178"/>
      <c r="CN273" s="178"/>
      <c r="CO273" s="178"/>
      <c r="CP273" s="178"/>
      <c r="CQ273" s="178"/>
      <c r="CR273" s="178"/>
      <c r="CS273" s="178"/>
      <c r="CT273" s="178"/>
      <c r="CU273" s="178"/>
      <c r="CV273" s="178"/>
      <c r="CW273" s="178"/>
      <c r="CX273" s="178"/>
      <c r="CY273" s="178"/>
      <c r="CZ273" s="178"/>
      <c r="DA273" s="150"/>
    </row>
    <row r="274" spans="53:105" x14ac:dyDescent="0.2">
      <c r="BA274" s="518">
        <f t="shared" ca="1" si="25"/>
        <v>61</v>
      </c>
      <c r="BB274" s="174">
        <f t="shared" ca="1" si="26"/>
        <v>211</v>
      </c>
      <c r="BC274" s="525" t="e">
        <f ca="1">MATCH(BD274,OFFSET(Pinlist!$A$2,BC273*(BA274=BA273),0,$BM$23,1),0)+BC273*(BA274=BA273)</f>
        <v>#N/A</v>
      </c>
      <c r="BD274" s="167">
        <f t="shared" ca="1" si="27"/>
        <v>0</v>
      </c>
      <c r="BE274" s="191" t="e">
        <f ca="1">(OFFSET(Pinlist!$E$1,BC274,0)-$BN$16)*$BN$19</f>
        <v>#N/A</v>
      </c>
      <c r="BF274" s="192" t="e">
        <f ca="1">(OFFSET(Pinlist!$F$1,BC274,0)-$BO$16)*$BO$19</f>
        <v>#N/A</v>
      </c>
      <c r="BG274" s="1098" t="str">
        <f ca="1">IF(LEFT(BD274,2)="RF",OFFSET(Pinlist!$D$1,Chart!BC274,0)&amp;"_"&amp;OFFSET(Pinlist!$G$1,Chart!BC274,0),"")</f>
        <v/>
      </c>
      <c r="BH274" s="1098"/>
      <c r="BI274" s="178"/>
      <c r="BJ274" s="178"/>
      <c r="BK274" s="178"/>
      <c r="BL274" s="178"/>
      <c r="BM274" s="178"/>
      <c r="BN274" s="178"/>
      <c r="BO274" s="178"/>
      <c r="BP274" s="178"/>
      <c r="BQ274" s="196"/>
      <c r="BR274" s="196"/>
      <c r="BS274" s="196"/>
      <c r="BT274" s="196"/>
      <c r="BU274" s="196"/>
      <c r="BV274" s="196"/>
      <c r="BW274" s="178"/>
      <c r="BX274" s="196"/>
      <c r="BY274" s="196"/>
      <c r="BZ274" s="196"/>
      <c r="CA274" s="196"/>
      <c r="CB274" s="178"/>
      <c r="CC274" s="178"/>
      <c r="CD274" s="202"/>
      <c r="CE274" s="202"/>
      <c r="CF274" s="178"/>
      <c r="CG274" s="196"/>
      <c r="CH274" s="178"/>
      <c r="CI274" s="178"/>
      <c r="CJ274" s="178"/>
      <c r="CK274" s="178"/>
      <c r="CL274" s="178"/>
      <c r="CM274" s="178"/>
      <c r="CN274" s="178"/>
      <c r="CO274" s="178"/>
      <c r="CP274" s="178"/>
      <c r="CQ274" s="178"/>
      <c r="CR274" s="178"/>
      <c r="CS274" s="178"/>
      <c r="CT274" s="178"/>
      <c r="CU274" s="178"/>
      <c r="CV274" s="178"/>
      <c r="CW274" s="178"/>
      <c r="CX274" s="178"/>
      <c r="CY274" s="178"/>
      <c r="CZ274" s="178"/>
      <c r="DA274" s="150"/>
    </row>
    <row r="275" spans="53:105" x14ac:dyDescent="0.2">
      <c r="BA275" s="518">
        <f t="shared" ca="1" si="25"/>
        <v>61</v>
      </c>
      <c r="BB275" s="174">
        <f t="shared" ca="1" si="26"/>
        <v>212</v>
      </c>
      <c r="BC275" s="525" t="e">
        <f ca="1">MATCH(BD275,OFFSET(Pinlist!$A$2,BC274*(BA275=BA274),0,$BM$23,1),0)+BC274*(BA275=BA274)</f>
        <v>#N/A</v>
      </c>
      <c r="BD275" s="167">
        <f t="shared" ca="1" si="27"/>
        <v>0</v>
      </c>
      <c r="BE275" s="191" t="e">
        <f ca="1">(OFFSET(Pinlist!$E$1,BC275,0)-$BN$16)*$BN$19</f>
        <v>#N/A</v>
      </c>
      <c r="BF275" s="192" t="e">
        <f ca="1">(OFFSET(Pinlist!$F$1,BC275,0)-$BO$16)*$BO$19</f>
        <v>#N/A</v>
      </c>
      <c r="BG275" s="1098" t="str">
        <f ca="1">IF(LEFT(BD275,2)="RF",OFFSET(Pinlist!$D$1,Chart!BC275,0)&amp;"_"&amp;OFFSET(Pinlist!$G$1,Chart!BC275,0),"")</f>
        <v/>
      </c>
      <c r="BH275" s="1098"/>
      <c r="BI275" s="178"/>
      <c r="BJ275" s="178"/>
      <c r="BK275" s="178"/>
      <c r="BL275" s="178"/>
      <c r="BM275" s="178"/>
      <c r="BN275" s="178"/>
      <c r="BO275" s="178"/>
      <c r="BP275" s="178"/>
      <c r="BQ275" s="196"/>
      <c r="BR275" s="196"/>
      <c r="BS275" s="196"/>
      <c r="BT275" s="196"/>
      <c r="BU275" s="196"/>
      <c r="BV275" s="196"/>
      <c r="BW275" s="178"/>
      <c r="BX275" s="196"/>
      <c r="BY275" s="196"/>
      <c r="BZ275" s="196"/>
      <c r="CA275" s="196"/>
      <c r="CB275" s="178"/>
      <c r="CC275" s="178"/>
      <c r="CD275" s="202"/>
      <c r="CE275" s="202"/>
      <c r="CF275" s="178"/>
      <c r="CG275" s="196"/>
      <c r="CH275" s="178"/>
      <c r="CI275" s="178"/>
      <c r="CJ275" s="178"/>
      <c r="CK275" s="178"/>
      <c r="CL275" s="178"/>
      <c r="CM275" s="178"/>
      <c r="CN275" s="178"/>
      <c r="CO275" s="178"/>
      <c r="CP275" s="178"/>
      <c r="CQ275" s="178"/>
      <c r="CR275" s="178"/>
      <c r="CS275" s="178"/>
      <c r="CT275" s="178"/>
      <c r="CU275" s="178"/>
      <c r="CV275" s="178"/>
      <c r="CW275" s="178"/>
      <c r="CX275" s="178"/>
      <c r="CY275" s="178"/>
      <c r="CZ275" s="178"/>
      <c r="DA275" s="150"/>
    </row>
    <row r="276" spans="53:105" x14ac:dyDescent="0.2">
      <c r="BA276" s="518">
        <f t="shared" ca="1" si="25"/>
        <v>61</v>
      </c>
      <c r="BB276" s="174">
        <f t="shared" ca="1" si="26"/>
        <v>213</v>
      </c>
      <c r="BC276" s="525" t="e">
        <f ca="1">MATCH(BD276,OFFSET(Pinlist!$A$2,BC275*(BA276=BA275),0,$BM$23,1),0)+BC275*(BA276=BA275)</f>
        <v>#N/A</v>
      </c>
      <c r="BD276" s="167">
        <f t="shared" ca="1" si="27"/>
        <v>0</v>
      </c>
      <c r="BE276" s="191" t="e">
        <f ca="1">(OFFSET(Pinlist!$E$1,BC276,0)-$BN$16)*$BN$19</f>
        <v>#N/A</v>
      </c>
      <c r="BF276" s="192" t="e">
        <f ca="1">(OFFSET(Pinlist!$F$1,BC276,0)-$BO$16)*$BO$19</f>
        <v>#N/A</v>
      </c>
      <c r="BG276" s="1098" t="str">
        <f ca="1">IF(LEFT(BD276,2)="RF",OFFSET(Pinlist!$D$1,Chart!BC276,0)&amp;"_"&amp;OFFSET(Pinlist!$G$1,Chart!BC276,0),"")</f>
        <v/>
      </c>
      <c r="BH276" s="1098"/>
      <c r="BI276" s="178"/>
      <c r="BJ276" s="178"/>
      <c r="BK276" s="178"/>
      <c r="BL276" s="178"/>
      <c r="BM276" s="178"/>
      <c r="BN276" s="178"/>
      <c r="BO276" s="178"/>
      <c r="BP276" s="178"/>
      <c r="BQ276" s="196"/>
      <c r="BR276" s="196"/>
      <c r="BS276" s="196"/>
      <c r="BT276" s="196"/>
      <c r="BU276" s="196"/>
      <c r="BV276" s="196"/>
      <c r="BW276" s="178"/>
      <c r="BX276" s="196"/>
      <c r="BY276" s="196"/>
      <c r="BZ276" s="196"/>
      <c r="CA276" s="196"/>
      <c r="CB276" s="178"/>
      <c r="CC276" s="178"/>
      <c r="CD276" s="202"/>
      <c r="CE276" s="202"/>
      <c r="CF276" s="178"/>
      <c r="CG276" s="196"/>
      <c r="CH276" s="178"/>
      <c r="CI276" s="178"/>
      <c r="CJ276" s="178"/>
      <c r="CK276" s="178"/>
      <c r="CL276" s="178"/>
      <c r="CM276" s="178"/>
      <c r="CN276" s="178"/>
      <c r="CO276" s="178"/>
      <c r="CP276" s="178"/>
      <c r="CQ276" s="178"/>
      <c r="CR276" s="178"/>
      <c r="CS276" s="178"/>
      <c r="CT276" s="178"/>
      <c r="CU276" s="178"/>
      <c r="CV276" s="178"/>
      <c r="CW276" s="178"/>
      <c r="CX276" s="178"/>
      <c r="CY276" s="178"/>
      <c r="CZ276" s="178"/>
      <c r="DA276" s="150"/>
    </row>
    <row r="277" spans="53:105" x14ac:dyDescent="0.2">
      <c r="BA277" s="518">
        <f t="shared" ca="1" si="25"/>
        <v>61</v>
      </c>
      <c r="BB277" s="174">
        <f t="shared" ca="1" si="26"/>
        <v>214</v>
      </c>
      <c r="BC277" s="525" t="e">
        <f ca="1">MATCH(BD277,OFFSET(Pinlist!$A$2,BC276*(BA277=BA276),0,$BM$23,1),0)+BC276*(BA277=BA276)</f>
        <v>#N/A</v>
      </c>
      <c r="BD277" s="167">
        <f t="shared" ca="1" si="27"/>
        <v>0</v>
      </c>
      <c r="BE277" s="191" t="e">
        <f ca="1">(OFFSET(Pinlist!$E$1,BC277,0)-$BN$16)*$BN$19</f>
        <v>#N/A</v>
      </c>
      <c r="BF277" s="192" t="e">
        <f ca="1">(OFFSET(Pinlist!$F$1,BC277,0)-$BO$16)*$BO$19</f>
        <v>#N/A</v>
      </c>
      <c r="BG277" s="1098" t="str">
        <f ca="1">IF(LEFT(BD277,2)="RF",OFFSET(Pinlist!$D$1,Chart!BC277,0)&amp;"_"&amp;OFFSET(Pinlist!$G$1,Chart!BC277,0),"")</f>
        <v/>
      </c>
      <c r="BH277" s="1098"/>
      <c r="BI277" s="178"/>
      <c r="BJ277" s="178"/>
      <c r="BK277" s="178"/>
      <c r="BL277" s="178"/>
      <c r="BM277" s="178"/>
      <c r="BN277" s="178"/>
      <c r="BO277" s="178"/>
      <c r="BP277" s="178"/>
      <c r="BQ277" s="196"/>
      <c r="BR277" s="196"/>
      <c r="BS277" s="196"/>
      <c r="BT277" s="196"/>
      <c r="BU277" s="196"/>
      <c r="BV277" s="196"/>
      <c r="BW277" s="178"/>
      <c r="BX277" s="196"/>
      <c r="BY277" s="196"/>
      <c r="BZ277" s="196"/>
      <c r="CA277" s="196"/>
      <c r="CB277" s="178"/>
      <c r="CC277" s="178"/>
      <c r="CD277" s="202"/>
      <c r="CE277" s="202"/>
      <c r="CF277" s="178"/>
      <c r="CG277" s="196"/>
      <c r="CH277" s="178"/>
      <c r="CI277" s="178"/>
      <c r="CJ277" s="178"/>
      <c r="CK277" s="178"/>
      <c r="CL277" s="178"/>
      <c r="CM277" s="178"/>
      <c r="CN277" s="178"/>
      <c r="CO277" s="178"/>
      <c r="CP277" s="178"/>
      <c r="CQ277" s="178"/>
      <c r="CR277" s="178"/>
      <c r="CS277" s="178"/>
      <c r="CT277" s="178"/>
      <c r="CU277" s="178"/>
      <c r="CV277" s="178"/>
      <c r="CW277" s="178"/>
      <c r="CX277" s="178"/>
      <c r="CY277" s="178"/>
      <c r="CZ277" s="178"/>
      <c r="DA277" s="150"/>
    </row>
    <row r="278" spans="53:105" x14ac:dyDescent="0.2">
      <c r="BA278" s="518">
        <f t="shared" ca="1" si="25"/>
        <v>61</v>
      </c>
      <c r="BB278" s="174">
        <f t="shared" ca="1" si="26"/>
        <v>215</v>
      </c>
      <c r="BC278" s="525" t="e">
        <f ca="1">MATCH(BD278,OFFSET(Pinlist!$A$2,BC277*(BA278=BA277),0,$BM$23,1),0)+BC277*(BA278=BA277)</f>
        <v>#N/A</v>
      </c>
      <c r="BD278" s="167">
        <f t="shared" ca="1" si="27"/>
        <v>0</v>
      </c>
      <c r="BE278" s="191" t="e">
        <f ca="1">(OFFSET(Pinlist!$E$1,BC278,0)-$BN$16)*$BN$19</f>
        <v>#N/A</v>
      </c>
      <c r="BF278" s="192" t="e">
        <f ca="1">(OFFSET(Pinlist!$F$1,BC278,0)-$BO$16)*$BO$19</f>
        <v>#N/A</v>
      </c>
      <c r="BG278" s="1098" t="str">
        <f ca="1">IF(LEFT(BD278,2)="RF",OFFSET(Pinlist!$D$1,Chart!BC278,0)&amp;"_"&amp;OFFSET(Pinlist!$G$1,Chart!BC278,0),"")</f>
        <v/>
      </c>
      <c r="BH278" s="1098"/>
      <c r="BI278" s="178"/>
      <c r="BJ278" s="178"/>
      <c r="BK278" s="178"/>
      <c r="BL278" s="178"/>
      <c r="BM278" s="178"/>
      <c r="BN278" s="178"/>
      <c r="BO278" s="178"/>
      <c r="BP278" s="178"/>
      <c r="BQ278" s="196"/>
      <c r="BR278" s="196"/>
      <c r="BS278" s="196"/>
      <c r="BT278" s="196"/>
      <c r="BU278" s="196"/>
      <c r="BV278" s="196"/>
      <c r="BW278" s="178"/>
      <c r="BX278" s="196"/>
      <c r="BY278" s="196"/>
      <c r="BZ278" s="196"/>
      <c r="CA278" s="196"/>
      <c r="CB278" s="178"/>
      <c r="CC278" s="178"/>
      <c r="CD278" s="202"/>
      <c r="CE278" s="202"/>
      <c r="CF278" s="178"/>
      <c r="CG278" s="196"/>
      <c r="CH278" s="178"/>
      <c r="CI278" s="178"/>
      <c r="CJ278" s="178"/>
      <c r="CK278" s="178"/>
      <c r="CL278" s="178"/>
      <c r="CM278" s="178"/>
      <c r="CN278" s="178"/>
      <c r="CO278" s="178"/>
      <c r="CP278" s="178"/>
      <c r="CQ278" s="178"/>
      <c r="CR278" s="178"/>
      <c r="CS278" s="178"/>
      <c r="CT278" s="178"/>
      <c r="CU278" s="178"/>
      <c r="CV278" s="178"/>
      <c r="CW278" s="178"/>
      <c r="CX278" s="178"/>
      <c r="CY278" s="178"/>
      <c r="CZ278" s="178"/>
      <c r="DA278" s="150"/>
    </row>
    <row r="279" spans="53:105" x14ac:dyDescent="0.2">
      <c r="BA279" s="518">
        <f t="shared" ca="1" si="25"/>
        <v>61</v>
      </c>
      <c r="BB279" s="174">
        <f t="shared" ca="1" si="26"/>
        <v>216</v>
      </c>
      <c r="BC279" s="525" t="e">
        <f ca="1">MATCH(BD279,OFFSET(Pinlist!$A$2,BC278*(BA279=BA278),0,$BM$23,1),0)+BC278*(BA279=BA278)</f>
        <v>#N/A</v>
      </c>
      <c r="BD279" s="167">
        <f t="shared" ca="1" si="27"/>
        <v>0</v>
      </c>
      <c r="BE279" s="191" t="e">
        <f ca="1">(OFFSET(Pinlist!$E$1,BC279,0)-$BN$16)*$BN$19</f>
        <v>#N/A</v>
      </c>
      <c r="BF279" s="192" t="e">
        <f ca="1">(OFFSET(Pinlist!$F$1,BC279,0)-$BO$16)*$BO$19</f>
        <v>#N/A</v>
      </c>
      <c r="BG279" s="1098" t="str">
        <f ca="1">IF(LEFT(BD279,2)="RF",OFFSET(Pinlist!$D$1,Chart!BC279,0)&amp;"_"&amp;OFFSET(Pinlist!$G$1,Chart!BC279,0),"")</f>
        <v/>
      </c>
      <c r="BH279" s="1098"/>
      <c r="BI279" s="178"/>
      <c r="BJ279" s="178"/>
      <c r="BK279" s="178"/>
      <c r="BL279" s="178"/>
      <c r="BM279" s="178"/>
      <c r="BN279" s="178"/>
      <c r="BO279" s="178"/>
      <c r="BP279" s="178"/>
      <c r="BQ279" s="196"/>
      <c r="BR279" s="196"/>
      <c r="BS279" s="196"/>
      <c r="BT279" s="196"/>
      <c r="BU279" s="196"/>
      <c r="BV279" s="196"/>
      <c r="BW279" s="178"/>
      <c r="BX279" s="196"/>
      <c r="BY279" s="196"/>
      <c r="BZ279" s="196"/>
      <c r="CA279" s="196"/>
      <c r="CB279" s="178"/>
      <c r="CC279" s="178"/>
      <c r="CD279" s="202"/>
      <c r="CE279" s="202"/>
      <c r="CF279" s="178"/>
      <c r="CG279" s="196"/>
      <c r="CH279" s="178"/>
      <c r="CI279" s="178"/>
      <c r="CJ279" s="178"/>
      <c r="CK279" s="178"/>
      <c r="CL279" s="178"/>
      <c r="CM279" s="178"/>
      <c r="CN279" s="178"/>
      <c r="CO279" s="178"/>
      <c r="CP279" s="178"/>
      <c r="CQ279" s="178"/>
      <c r="CR279" s="178"/>
      <c r="CS279" s="178"/>
      <c r="CT279" s="178"/>
      <c r="CU279" s="178"/>
      <c r="CV279" s="178"/>
      <c r="CW279" s="178"/>
      <c r="CX279" s="178"/>
      <c r="CY279" s="178"/>
      <c r="CZ279" s="178"/>
      <c r="DA279" s="150"/>
    </row>
    <row r="280" spans="53:105" x14ac:dyDescent="0.2">
      <c r="BA280" s="518">
        <f t="shared" ca="1" si="25"/>
        <v>61</v>
      </c>
      <c r="BB280" s="174">
        <f t="shared" ca="1" si="26"/>
        <v>217</v>
      </c>
      <c r="BC280" s="525" t="e">
        <f ca="1">MATCH(BD280,OFFSET(Pinlist!$A$2,BC279*(BA280=BA279),0,$BM$23,1),0)+BC279*(BA280=BA279)</f>
        <v>#N/A</v>
      </c>
      <c r="BD280" s="167">
        <f t="shared" ca="1" si="27"/>
        <v>0</v>
      </c>
      <c r="BE280" s="191" t="e">
        <f ca="1">(OFFSET(Pinlist!$E$1,BC280,0)-$BN$16)*$BN$19</f>
        <v>#N/A</v>
      </c>
      <c r="BF280" s="192" t="e">
        <f ca="1">(OFFSET(Pinlist!$F$1,BC280,0)-$BO$16)*$BO$19</f>
        <v>#N/A</v>
      </c>
      <c r="BG280" s="1098" t="str">
        <f ca="1">IF(LEFT(BD280,2)="RF",OFFSET(Pinlist!$D$1,Chart!BC280,0)&amp;"_"&amp;OFFSET(Pinlist!$G$1,Chart!BC280,0),"")</f>
        <v/>
      </c>
      <c r="BH280" s="1098"/>
      <c r="BI280" s="178"/>
      <c r="BJ280" s="178"/>
      <c r="BK280" s="178"/>
      <c r="BL280" s="178"/>
      <c r="BM280" s="178"/>
      <c r="BN280" s="178"/>
      <c r="BO280" s="178"/>
      <c r="BP280" s="178"/>
      <c r="BQ280" s="196"/>
      <c r="BR280" s="196"/>
      <c r="BS280" s="196"/>
      <c r="BT280" s="196"/>
      <c r="BU280" s="196"/>
      <c r="BV280" s="196"/>
      <c r="BW280" s="178"/>
      <c r="BX280" s="196"/>
      <c r="BY280" s="196"/>
      <c r="BZ280" s="196"/>
      <c r="CA280" s="196"/>
      <c r="CB280" s="178"/>
      <c r="CC280" s="178"/>
      <c r="CD280" s="202"/>
      <c r="CE280" s="202"/>
      <c r="CF280" s="178"/>
      <c r="CG280" s="196"/>
      <c r="CH280" s="178"/>
      <c r="CI280" s="178"/>
      <c r="CJ280" s="178"/>
      <c r="CK280" s="178"/>
      <c r="CL280" s="178"/>
      <c r="CM280" s="178"/>
      <c r="CN280" s="178"/>
      <c r="CO280" s="178"/>
      <c r="CP280" s="178"/>
      <c r="CQ280" s="178"/>
      <c r="CR280" s="178"/>
      <c r="CS280" s="178"/>
      <c r="CT280" s="178"/>
      <c r="CU280" s="178"/>
      <c r="CV280" s="178"/>
      <c r="CW280" s="178"/>
      <c r="CX280" s="178"/>
      <c r="CY280" s="178"/>
      <c r="CZ280" s="178"/>
      <c r="DA280" s="150"/>
    </row>
    <row r="281" spans="53:105" x14ac:dyDescent="0.2">
      <c r="BA281" s="518">
        <f t="shared" ca="1" si="25"/>
        <v>61</v>
      </c>
      <c r="BB281" s="174">
        <f t="shared" ca="1" si="26"/>
        <v>218</v>
      </c>
      <c r="BC281" s="525" t="e">
        <f ca="1">MATCH(BD281,OFFSET(Pinlist!$A$2,BC280*(BA281=BA280),0,$BM$23,1),0)+BC280*(BA281=BA280)</f>
        <v>#N/A</v>
      </c>
      <c r="BD281" s="167">
        <f t="shared" ca="1" si="27"/>
        <v>0</v>
      </c>
      <c r="BE281" s="191" t="e">
        <f ca="1">(OFFSET(Pinlist!$E$1,BC281,0)-$BN$16)*$BN$19</f>
        <v>#N/A</v>
      </c>
      <c r="BF281" s="192" t="e">
        <f ca="1">(OFFSET(Pinlist!$F$1,BC281,0)-$BO$16)*$BO$19</f>
        <v>#N/A</v>
      </c>
      <c r="BG281" s="1098" t="str">
        <f ca="1">IF(LEFT(BD281,2)="RF",OFFSET(Pinlist!$D$1,Chart!BC281,0)&amp;"_"&amp;OFFSET(Pinlist!$G$1,Chart!BC281,0),"")</f>
        <v/>
      </c>
      <c r="BH281" s="1098"/>
      <c r="BI281" s="178"/>
      <c r="BJ281" s="178"/>
      <c r="BK281" s="178"/>
      <c r="BL281" s="178"/>
      <c r="BM281" s="178"/>
      <c r="BN281" s="178"/>
      <c r="BO281" s="178"/>
      <c r="BP281" s="178"/>
      <c r="BQ281" s="196"/>
      <c r="BR281" s="196"/>
      <c r="BS281" s="196"/>
      <c r="BT281" s="196"/>
      <c r="BU281" s="196"/>
      <c r="BV281" s="196"/>
      <c r="BW281" s="178"/>
      <c r="BX281" s="196"/>
      <c r="BY281" s="196"/>
      <c r="BZ281" s="196"/>
      <c r="CA281" s="196"/>
      <c r="CB281" s="178"/>
      <c r="CC281" s="178"/>
      <c r="CD281" s="202"/>
      <c r="CE281" s="202"/>
      <c r="CF281" s="178"/>
      <c r="CG281" s="196"/>
      <c r="CH281" s="178"/>
      <c r="CI281" s="178"/>
      <c r="CJ281" s="178"/>
      <c r="CK281" s="178"/>
      <c r="CL281" s="178"/>
      <c r="CM281" s="178"/>
      <c r="CN281" s="178"/>
      <c r="CO281" s="178"/>
      <c r="CP281" s="178"/>
      <c r="CQ281" s="178"/>
      <c r="CR281" s="178"/>
      <c r="CS281" s="178"/>
      <c r="CT281" s="178"/>
      <c r="CU281" s="178"/>
      <c r="CV281" s="178"/>
      <c r="CW281" s="178"/>
      <c r="CX281" s="178"/>
      <c r="CY281" s="178"/>
      <c r="CZ281" s="178"/>
      <c r="DA281" s="150"/>
    </row>
    <row r="282" spans="53:105" x14ac:dyDescent="0.2">
      <c r="BA282" s="518">
        <f t="shared" ca="1" si="25"/>
        <v>61</v>
      </c>
      <c r="BB282" s="174">
        <f t="shared" ca="1" si="26"/>
        <v>219</v>
      </c>
      <c r="BC282" s="525" t="e">
        <f ca="1">MATCH(BD282,OFFSET(Pinlist!$A$2,BC281*(BA282=BA281),0,$BM$23,1),0)+BC281*(BA282=BA281)</f>
        <v>#N/A</v>
      </c>
      <c r="BD282" s="167">
        <f t="shared" ca="1" si="27"/>
        <v>0</v>
      </c>
      <c r="BE282" s="191" t="e">
        <f ca="1">(OFFSET(Pinlist!$E$1,BC282,0)-$BN$16)*$BN$19</f>
        <v>#N/A</v>
      </c>
      <c r="BF282" s="192" t="e">
        <f ca="1">(OFFSET(Pinlist!$F$1,BC282,0)-$BO$16)*$BO$19</f>
        <v>#N/A</v>
      </c>
      <c r="BG282" s="1098" t="str">
        <f ca="1">IF(LEFT(BD282,2)="RF",OFFSET(Pinlist!$D$1,Chart!BC282,0)&amp;"_"&amp;OFFSET(Pinlist!$G$1,Chart!BC282,0),"")</f>
        <v/>
      </c>
      <c r="BH282" s="1098"/>
      <c r="BI282" s="178"/>
      <c r="BJ282" s="178"/>
      <c r="BK282" s="178"/>
      <c r="BL282" s="178"/>
      <c r="BM282" s="178"/>
      <c r="BN282" s="178"/>
      <c r="BO282" s="178"/>
      <c r="BP282" s="178"/>
      <c r="BQ282" s="196"/>
      <c r="BR282" s="196"/>
      <c r="BS282" s="196"/>
      <c r="BT282" s="196"/>
      <c r="BU282" s="196"/>
      <c r="BV282" s="196"/>
      <c r="BW282" s="178"/>
      <c r="BX282" s="196"/>
      <c r="BY282" s="196"/>
      <c r="BZ282" s="196"/>
      <c r="CA282" s="196"/>
      <c r="CB282" s="178"/>
      <c r="CC282" s="178"/>
      <c r="CD282" s="202"/>
      <c r="CE282" s="202"/>
      <c r="CF282" s="178"/>
      <c r="CG282" s="196"/>
      <c r="CH282" s="178"/>
      <c r="CI282" s="178"/>
      <c r="CJ282" s="178"/>
      <c r="CK282" s="178"/>
      <c r="CL282" s="178"/>
      <c r="CM282" s="178"/>
      <c r="CN282" s="178"/>
      <c r="CO282" s="178"/>
      <c r="CP282" s="178"/>
      <c r="CQ282" s="178"/>
      <c r="CR282" s="178"/>
      <c r="CS282" s="178"/>
      <c r="CT282" s="178"/>
      <c r="CU282" s="178"/>
      <c r="CV282" s="178"/>
      <c r="CW282" s="178"/>
      <c r="CX282" s="178"/>
      <c r="CY282" s="178"/>
      <c r="CZ282" s="178"/>
      <c r="DA282" s="150"/>
    </row>
    <row r="283" spans="53:105" x14ac:dyDescent="0.2">
      <c r="BA283" s="518">
        <f t="shared" ca="1" si="25"/>
        <v>61</v>
      </c>
      <c r="BB283" s="174">
        <f t="shared" ca="1" si="26"/>
        <v>220</v>
      </c>
      <c r="BC283" s="525" t="e">
        <f ca="1">MATCH(BD283,OFFSET(Pinlist!$A$2,BC282*(BA283=BA282),0,$BM$23,1),0)+BC282*(BA283=BA282)</f>
        <v>#N/A</v>
      </c>
      <c r="BD283" s="167">
        <f t="shared" ca="1" si="27"/>
        <v>0</v>
      </c>
      <c r="BE283" s="191" t="e">
        <f ca="1">(OFFSET(Pinlist!$E$1,BC283,0)-$BN$16)*$BN$19</f>
        <v>#N/A</v>
      </c>
      <c r="BF283" s="192" t="e">
        <f ca="1">(OFFSET(Pinlist!$F$1,BC283,0)-$BO$16)*$BO$19</f>
        <v>#N/A</v>
      </c>
      <c r="BG283" s="1098" t="str">
        <f ca="1">IF(LEFT(BD283,2)="RF",OFFSET(Pinlist!$D$1,Chart!BC283,0)&amp;"_"&amp;OFFSET(Pinlist!$G$1,Chart!BC283,0),"")</f>
        <v/>
      </c>
      <c r="BH283" s="1098"/>
      <c r="BI283" s="178"/>
      <c r="BJ283" s="178"/>
      <c r="BK283" s="178"/>
      <c r="BL283" s="178"/>
      <c r="BM283" s="178"/>
      <c r="BN283" s="178"/>
      <c r="BO283" s="178"/>
      <c r="BP283" s="178"/>
      <c r="BQ283" s="196"/>
      <c r="BR283" s="196"/>
      <c r="BS283" s="196"/>
      <c r="BT283" s="196"/>
      <c r="BU283" s="196"/>
      <c r="BV283" s="196"/>
      <c r="BW283" s="178"/>
      <c r="BX283" s="196"/>
      <c r="BY283" s="196"/>
      <c r="BZ283" s="196"/>
      <c r="CA283" s="196"/>
      <c r="CB283" s="178"/>
      <c r="CC283" s="178"/>
      <c r="CD283" s="202"/>
      <c r="CE283" s="202"/>
      <c r="CF283" s="178"/>
      <c r="CG283" s="196"/>
      <c r="CH283" s="178"/>
      <c r="CI283" s="178"/>
      <c r="CJ283" s="178"/>
      <c r="CK283" s="178"/>
      <c r="CL283" s="178"/>
      <c r="CM283" s="178"/>
      <c r="CN283" s="178"/>
      <c r="CO283" s="178"/>
      <c r="CP283" s="178"/>
      <c r="CQ283" s="178"/>
      <c r="CR283" s="178"/>
      <c r="CS283" s="178"/>
      <c r="CT283" s="178"/>
      <c r="CU283" s="178"/>
      <c r="CV283" s="178"/>
      <c r="CW283" s="178"/>
      <c r="CX283" s="178"/>
      <c r="CY283" s="178"/>
      <c r="CZ283" s="178"/>
      <c r="DA283" s="150"/>
    </row>
    <row r="284" spans="53:105" x14ac:dyDescent="0.2">
      <c r="BA284" s="518">
        <f t="shared" ca="1" si="25"/>
        <v>61</v>
      </c>
      <c r="BB284" s="174">
        <f t="shared" ca="1" si="26"/>
        <v>221</v>
      </c>
      <c r="BC284" s="525" t="e">
        <f ca="1">MATCH(BD284,OFFSET(Pinlist!$A$2,BC283*(BA284=BA283),0,$BM$23,1),0)+BC283*(BA284=BA283)</f>
        <v>#N/A</v>
      </c>
      <c r="BD284" s="167">
        <f t="shared" ca="1" si="27"/>
        <v>0</v>
      </c>
      <c r="BE284" s="191" t="e">
        <f ca="1">(OFFSET(Pinlist!$E$1,BC284,0)-$BN$16)*$BN$19</f>
        <v>#N/A</v>
      </c>
      <c r="BF284" s="192" t="e">
        <f ca="1">(OFFSET(Pinlist!$F$1,BC284,0)-$BO$16)*$BO$19</f>
        <v>#N/A</v>
      </c>
      <c r="BG284" s="1098" t="str">
        <f ca="1">IF(LEFT(BD284,2)="RF",OFFSET(Pinlist!$D$1,Chart!BC284,0)&amp;"_"&amp;OFFSET(Pinlist!$G$1,Chart!BC284,0),"")</f>
        <v/>
      </c>
      <c r="BH284" s="1098"/>
      <c r="BI284" s="178"/>
      <c r="BJ284" s="178"/>
      <c r="BK284" s="178"/>
      <c r="BL284" s="178"/>
      <c r="BM284" s="178"/>
      <c r="BN284" s="178"/>
      <c r="BO284" s="178"/>
      <c r="BP284" s="178"/>
      <c r="BQ284" s="196"/>
      <c r="BR284" s="196"/>
      <c r="BS284" s="196"/>
      <c r="BT284" s="196"/>
      <c r="BU284" s="196"/>
      <c r="BV284" s="196"/>
      <c r="BW284" s="178"/>
      <c r="BX284" s="196"/>
      <c r="BY284" s="196"/>
      <c r="BZ284" s="196"/>
      <c r="CA284" s="196"/>
      <c r="CB284" s="178"/>
      <c r="CC284" s="178"/>
      <c r="CD284" s="202"/>
      <c r="CE284" s="202"/>
      <c r="CF284" s="178"/>
      <c r="CG284" s="196"/>
      <c r="CH284" s="178"/>
      <c r="CI284" s="178"/>
      <c r="CJ284" s="178"/>
      <c r="CK284" s="178"/>
      <c r="CL284" s="178"/>
      <c r="CM284" s="178"/>
      <c r="CN284" s="178"/>
      <c r="CO284" s="178"/>
      <c r="CP284" s="178"/>
      <c r="CQ284" s="178"/>
      <c r="CR284" s="178"/>
      <c r="CS284" s="178"/>
      <c r="CT284" s="178"/>
      <c r="CU284" s="178"/>
      <c r="CV284" s="178"/>
      <c r="CW284" s="178"/>
      <c r="CX284" s="178"/>
      <c r="CY284" s="178"/>
      <c r="CZ284" s="178"/>
      <c r="DA284" s="150"/>
    </row>
    <row r="285" spans="53:105" x14ac:dyDescent="0.2">
      <c r="BA285" s="518">
        <f t="shared" ca="1" si="25"/>
        <v>61</v>
      </c>
      <c r="BB285" s="174">
        <f t="shared" ca="1" si="26"/>
        <v>222</v>
      </c>
      <c r="BC285" s="525" t="e">
        <f ca="1">MATCH(BD285,OFFSET(Pinlist!$A$2,BC284*(BA285=BA284),0,$BM$23,1),0)+BC284*(BA285=BA284)</f>
        <v>#N/A</v>
      </c>
      <c r="BD285" s="167">
        <f t="shared" ca="1" si="27"/>
        <v>0</v>
      </c>
      <c r="BE285" s="191" t="e">
        <f ca="1">(OFFSET(Pinlist!$E$1,BC285,0)-$BN$16)*$BN$19</f>
        <v>#N/A</v>
      </c>
      <c r="BF285" s="192" t="e">
        <f ca="1">(OFFSET(Pinlist!$F$1,BC285,0)-$BO$16)*$BO$19</f>
        <v>#N/A</v>
      </c>
      <c r="BG285" s="1098" t="str">
        <f ca="1">IF(LEFT(BD285,2)="RF",OFFSET(Pinlist!$D$1,Chart!BC285,0)&amp;"_"&amp;OFFSET(Pinlist!$G$1,Chart!BC285,0),"")</f>
        <v/>
      </c>
      <c r="BH285" s="1098"/>
      <c r="BI285" s="178"/>
      <c r="BJ285" s="178"/>
      <c r="BK285" s="178"/>
      <c r="BL285" s="178"/>
      <c r="BM285" s="178"/>
      <c r="BN285" s="178"/>
      <c r="BO285" s="178"/>
      <c r="BP285" s="178"/>
      <c r="BQ285" s="196"/>
      <c r="BR285" s="196"/>
      <c r="BS285" s="196"/>
      <c r="BT285" s="196"/>
      <c r="BU285" s="196"/>
      <c r="BV285" s="196"/>
      <c r="BW285" s="178"/>
      <c r="BX285" s="196"/>
      <c r="BY285" s="196"/>
      <c r="BZ285" s="196"/>
      <c r="CA285" s="196"/>
      <c r="CB285" s="178"/>
      <c r="CC285" s="178"/>
      <c r="CD285" s="202"/>
      <c r="CE285" s="202"/>
      <c r="CF285" s="178"/>
      <c r="CG285" s="196"/>
      <c r="CH285" s="178"/>
      <c r="CI285" s="178"/>
      <c r="CJ285" s="178"/>
      <c r="CK285" s="178"/>
      <c r="CL285" s="178"/>
      <c r="CM285" s="178"/>
      <c r="CN285" s="178"/>
      <c r="CO285" s="178"/>
      <c r="CP285" s="178"/>
      <c r="CQ285" s="178"/>
      <c r="CR285" s="178"/>
      <c r="CS285" s="178"/>
      <c r="CT285" s="178"/>
      <c r="CU285" s="178"/>
      <c r="CV285" s="178"/>
      <c r="CW285" s="178"/>
      <c r="CX285" s="178"/>
      <c r="CY285" s="178"/>
      <c r="CZ285" s="178"/>
      <c r="DA285" s="150"/>
    </row>
    <row r="286" spans="53:105" x14ac:dyDescent="0.2">
      <c r="BA286" s="518">
        <f t="shared" ca="1" si="25"/>
        <v>61</v>
      </c>
      <c r="BB286" s="174">
        <f t="shared" ca="1" si="26"/>
        <v>223</v>
      </c>
      <c r="BC286" s="525" t="e">
        <f ca="1">MATCH(BD286,OFFSET(Pinlist!$A$2,BC285*(BA286=BA285),0,$BM$23,1),0)+BC285*(BA286=BA285)</f>
        <v>#N/A</v>
      </c>
      <c r="BD286" s="167">
        <f t="shared" ca="1" si="27"/>
        <v>0</v>
      </c>
      <c r="BE286" s="191" t="e">
        <f ca="1">(OFFSET(Pinlist!$E$1,BC286,0)-$BN$16)*$BN$19</f>
        <v>#N/A</v>
      </c>
      <c r="BF286" s="192" t="e">
        <f ca="1">(OFFSET(Pinlist!$F$1,BC286,0)-$BO$16)*$BO$19</f>
        <v>#N/A</v>
      </c>
      <c r="BG286" s="1098" t="str">
        <f ca="1">IF(LEFT(BD286,2)="RF",OFFSET(Pinlist!$D$1,Chart!BC286,0)&amp;"_"&amp;OFFSET(Pinlist!$G$1,Chart!BC286,0),"")</f>
        <v/>
      </c>
      <c r="BH286" s="1098"/>
      <c r="BI286" s="178"/>
      <c r="BJ286" s="178"/>
      <c r="BK286" s="178"/>
      <c r="BL286" s="178"/>
      <c r="BM286" s="178"/>
      <c r="BN286" s="178"/>
      <c r="BO286" s="178"/>
      <c r="BP286" s="178"/>
      <c r="BQ286" s="196"/>
      <c r="BR286" s="196"/>
      <c r="BS286" s="196"/>
      <c r="BT286" s="196"/>
      <c r="BU286" s="196"/>
      <c r="BV286" s="196"/>
      <c r="BW286" s="178"/>
      <c r="BX286" s="196"/>
      <c r="BY286" s="196"/>
      <c r="BZ286" s="196"/>
      <c r="CA286" s="196"/>
      <c r="CB286" s="178"/>
      <c r="CC286" s="178"/>
      <c r="CD286" s="202"/>
      <c r="CE286" s="202"/>
      <c r="CF286" s="178"/>
      <c r="CG286" s="196"/>
      <c r="CH286" s="178"/>
      <c r="CI286" s="178"/>
      <c r="CJ286" s="178"/>
      <c r="CK286" s="178"/>
      <c r="CL286" s="178"/>
      <c r="CM286" s="178"/>
      <c r="CN286" s="178"/>
      <c r="CO286" s="178"/>
      <c r="CP286" s="178"/>
      <c r="CQ286" s="178"/>
      <c r="CR286" s="178"/>
      <c r="CS286" s="178"/>
      <c r="CT286" s="178"/>
      <c r="CU286" s="178"/>
      <c r="CV286" s="178"/>
      <c r="CW286" s="178"/>
      <c r="CX286" s="178"/>
      <c r="CY286" s="178"/>
      <c r="CZ286" s="178"/>
      <c r="DA286" s="150"/>
    </row>
    <row r="287" spans="53:105" x14ac:dyDescent="0.2">
      <c r="BA287" s="518">
        <f t="shared" ca="1" si="25"/>
        <v>61</v>
      </c>
      <c r="BB287" s="174">
        <f t="shared" ca="1" si="26"/>
        <v>224</v>
      </c>
      <c r="BC287" s="525" t="e">
        <f ca="1">MATCH(BD287,OFFSET(Pinlist!$A$2,BC286*(BA287=BA286),0,$BM$23,1),0)+BC286*(BA287=BA286)</f>
        <v>#N/A</v>
      </c>
      <c r="BD287" s="167">
        <f t="shared" ca="1" si="27"/>
        <v>0</v>
      </c>
      <c r="BE287" s="191" t="e">
        <f ca="1">(OFFSET(Pinlist!$E$1,BC287,0)-$BN$16)*$BN$19</f>
        <v>#N/A</v>
      </c>
      <c r="BF287" s="192" t="e">
        <f ca="1">(OFFSET(Pinlist!$F$1,BC287,0)-$BO$16)*$BO$19</f>
        <v>#N/A</v>
      </c>
      <c r="BG287" s="1098" t="str">
        <f ca="1">IF(LEFT(BD287,2)="RF",OFFSET(Pinlist!$D$1,Chart!BC287,0)&amp;"_"&amp;OFFSET(Pinlist!$G$1,Chart!BC287,0),"")</f>
        <v/>
      </c>
      <c r="BH287" s="1098"/>
      <c r="BI287" s="178"/>
      <c r="BJ287" s="178"/>
      <c r="BK287" s="178"/>
      <c r="BL287" s="178"/>
      <c r="BM287" s="178"/>
      <c r="BN287" s="178"/>
      <c r="BO287" s="178"/>
      <c r="BP287" s="178"/>
      <c r="BQ287" s="196"/>
      <c r="BR287" s="196"/>
      <c r="BS287" s="196"/>
      <c r="BT287" s="196"/>
      <c r="BU287" s="196"/>
      <c r="BV287" s="196"/>
      <c r="BW287" s="178"/>
      <c r="BX287" s="196"/>
      <c r="BY287" s="196"/>
      <c r="BZ287" s="196"/>
      <c r="CA287" s="196"/>
      <c r="CB287" s="178"/>
      <c r="CC287" s="178"/>
      <c r="CD287" s="202"/>
      <c r="CE287" s="202"/>
      <c r="CF287" s="178"/>
      <c r="CG287" s="196"/>
      <c r="CH287" s="178"/>
      <c r="CI287" s="178"/>
      <c r="CJ287" s="178"/>
      <c r="CK287" s="178"/>
      <c r="CL287" s="178"/>
      <c r="CM287" s="178"/>
      <c r="CN287" s="178"/>
      <c r="CO287" s="178"/>
      <c r="CP287" s="178"/>
      <c r="CQ287" s="178"/>
      <c r="CR287" s="178"/>
      <c r="CS287" s="178"/>
      <c r="CT287" s="178"/>
      <c r="CU287" s="178"/>
      <c r="CV287" s="178"/>
      <c r="CW287" s="178"/>
      <c r="CX287" s="178"/>
      <c r="CY287" s="178"/>
      <c r="CZ287" s="178"/>
      <c r="DA287" s="150"/>
    </row>
    <row r="288" spans="53:105" x14ac:dyDescent="0.2">
      <c r="BA288" s="518">
        <f t="shared" ca="1" si="25"/>
        <v>61</v>
      </c>
      <c r="BB288" s="174">
        <f t="shared" ca="1" si="26"/>
        <v>225</v>
      </c>
      <c r="BC288" s="525" t="e">
        <f ca="1">MATCH(BD288,OFFSET(Pinlist!$A$2,BC287*(BA288=BA287),0,$BM$23,1),0)+BC287*(BA288=BA287)</f>
        <v>#N/A</v>
      </c>
      <c r="BD288" s="167">
        <f t="shared" ca="1" si="27"/>
        <v>0</v>
      </c>
      <c r="BE288" s="191" t="e">
        <f ca="1">(OFFSET(Pinlist!$E$1,BC288,0)-$BN$16)*$BN$19</f>
        <v>#N/A</v>
      </c>
      <c r="BF288" s="192" t="e">
        <f ca="1">(OFFSET(Pinlist!$F$1,BC288,0)-$BO$16)*$BO$19</f>
        <v>#N/A</v>
      </c>
      <c r="BG288" s="1098" t="str">
        <f ca="1">IF(LEFT(BD288,2)="RF",OFFSET(Pinlist!$D$1,Chart!BC288,0)&amp;"_"&amp;OFFSET(Pinlist!$G$1,Chart!BC288,0),"")</f>
        <v/>
      </c>
      <c r="BH288" s="1098"/>
      <c r="BI288" s="178"/>
      <c r="BJ288" s="178"/>
      <c r="BK288" s="178"/>
      <c r="BL288" s="178"/>
      <c r="BM288" s="178"/>
      <c r="BN288" s="178"/>
      <c r="BO288" s="178"/>
      <c r="BP288" s="178"/>
      <c r="BQ288" s="196"/>
      <c r="BR288" s="196"/>
      <c r="BS288" s="196"/>
      <c r="BT288" s="196"/>
      <c r="BU288" s="196"/>
      <c r="BV288" s="196"/>
      <c r="BW288" s="178"/>
      <c r="BX288" s="196"/>
      <c r="BY288" s="196"/>
      <c r="BZ288" s="196"/>
      <c r="CA288" s="196"/>
      <c r="CB288" s="178"/>
      <c r="CC288" s="178"/>
      <c r="CD288" s="202"/>
      <c r="CE288" s="202"/>
      <c r="CF288" s="178"/>
      <c r="CG288" s="196"/>
      <c r="CH288" s="178"/>
      <c r="CI288" s="178"/>
      <c r="CJ288" s="178"/>
      <c r="CK288" s="178"/>
      <c r="CL288" s="178"/>
      <c r="CM288" s="178"/>
      <c r="CN288" s="178"/>
      <c r="CO288" s="178"/>
      <c r="CP288" s="178"/>
      <c r="CQ288" s="178"/>
      <c r="CR288" s="178"/>
      <c r="CS288" s="178"/>
      <c r="CT288" s="178"/>
      <c r="CU288" s="178"/>
      <c r="CV288" s="178"/>
      <c r="CW288" s="178"/>
      <c r="CX288" s="178"/>
      <c r="CY288" s="178"/>
      <c r="CZ288" s="178"/>
      <c r="DA288" s="150"/>
    </row>
    <row r="289" spans="53:105" x14ac:dyDescent="0.2">
      <c r="BA289" s="518">
        <f t="shared" ca="1" si="25"/>
        <v>61</v>
      </c>
      <c r="BB289" s="174">
        <f t="shared" ca="1" si="26"/>
        <v>226</v>
      </c>
      <c r="BC289" s="525" t="e">
        <f ca="1">MATCH(BD289,OFFSET(Pinlist!$A$2,BC288*(BA289=BA288),0,$BM$23,1),0)+BC288*(BA289=BA288)</f>
        <v>#N/A</v>
      </c>
      <c r="BD289" s="167">
        <f t="shared" ca="1" si="27"/>
        <v>0</v>
      </c>
      <c r="BE289" s="191" t="e">
        <f ca="1">(OFFSET(Pinlist!$E$1,BC289,0)-$BN$16)*$BN$19</f>
        <v>#N/A</v>
      </c>
      <c r="BF289" s="192" t="e">
        <f ca="1">(OFFSET(Pinlist!$F$1,BC289,0)-$BO$16)*$BO$19</f>
        <v>#N/A</v>
      </c>
      <c r="BG289" s="1098" t="str">
        <f ca="1">IF(LEFT(BD289,2)="RF",OFFSET(Pinlist!$D$1,Chart!BC289,0)&amp;"_"&amp;OFFSET(Pinlist!$G$1,Chart!BC289,0),"")</f>
        <v/>
      </c>
      <c r="BH289" s="1098"/>
      <c r="BI289" s="178"/>
      <c r="BJ289" s="178"/>
      <c r="BK289" s="178"/>
      <c r="BL289" s="178"/>
      <c r="BM289" s="178"/>
      <c r="BN289" s="178"/>
      <c r="BO289" s="178"/>
      <c r="BP289" s="178"/>
      <c r="BQ289" s="196"/>
      <c r="BR289" s="196"/>
      <c r="BS289" s="196"/>
      <c r="BT289" s="196"/>
      <c r="BU289" s="196"/>
      <c r="BV289" s="196"/>
      <c r="BW289" s="178"/>
      <c r="BX289" s="196"/>
      <c r="BY289" s="196"/>
      <c r="BZ289" s="196"/>
      <c r="CA289" s="196"/>
      <c r="CB289" s="178"/>
      <c r="CC289" s="178"/>
      <c r="CD289" s="202"/>
      <c r="CE289" s="202"/>
      <c r="CF289" s="178"/>
      <c r="CG289" s="196"/>
      <c r="CH289" s="178"/>
      <c r="CI289" s="178"/>
      <c r="CJ289" s="178"/>
      <c r="CK289" s="178"/>
      <c r="CL289" s="178"/>
      <c r="CM289" s="178"/>
      <c r="CN289" s="178"/>
      <c r="CO289" s="178"/>
      <c r="CP289" s="178"/>
      <c r="CQ289" s="178"/>
      <c r="CR289" s="178"/>
      <c r="CS289" s="178"/>
      <c r="CT289" s="178"/>
      <c r="CU289" s="178"/>
      <c r="CV289" s="178"/>
      <c r="CW289" s="178"/>
      <c r="CX289" s="178"/>
      <c r="CY289" s="178"/>
      <c r="CZ289" s="178"/>
      <c r="DA289" s="150"/>
    </row>
    <row r="290" spans="53:105" x14ac:dyDescent="0.2">
      <c r="BA290" s="518">
        <f t="shared" ca="1" si="25"/>
        <v>61</v>
      </c>
      <c r="BB290" s="174">
        <f t="shared" ca="1" si="26"/>
        <v>227</v>
      </c>
      <c r="BC290" s="525" t="e">
        <f ca="1">MATCH(BD290,OFFSET(Pinlist!$A$2,BC289*(BA290=BA289),0,$BM$23,1),0)+BC289*(BA290=BA289)</f>
        <v>#N/A</v>
      </c>
      <c r="BD290" s="167">
        <f t="shared" ca="1" si="27"/>
        <v>0</v>
      </c>
      <c r="BE290" s="191" t="e">
        <f ca="1">(OFFSET(Pinlist!$E$1,BC290,0)-$BN$16)*$BN$19</f>
        <v>#N/A</v>
      </c>
      <c r="BF290" s="192" t="e">
        <f ca="1">(OFFSET(Pinlist!$F$1,BC290,0)-$BO$16)*$BO$19</f>
        <v>#N/A</v>
      </c>
      <c r="BG290" s="1098" t="str">
        <f ca="1">IF(LEFT(BD290,2)="RF",OFFSET(Pinlist!$D$1,Chart!BC290,0)&amp;"_"&amp;OFFSET(Pinlist!$G$1,Chart!BC290,0),"")</f>
        <v/>
      </c>
      <c r="BH290" s="1098"/>
      <c r="BI290" s="178"/>
      <c r="BJ290" s="178"/>
      <c r="BK290" s="178"/>
      <c r="BL290" s="178"/>
      <c r="BM290" s="178"/>
      <c r="BN290" s="178"/>
      <c r="BO290" s="178"/>
      <c r="BP290" s="178"/>
      <c r="BQ290" s="196"/>
      <c r="BR290" s="196"/>
      <c r="BS290" s="196"/>
      <c r="BT290" s="196"/>
      <c r="BU290" s="196"/>
      <c r="BV290" s="196"/>
      <c r="BW290" s="178"/>
      <c r="BX290" s="196"/>
      <c r="BY290" s="196"/>
      <c r="BZ290" s="196"/>
      <c r="CA290" s="196"/>
      <c r="CB290" s="178"/>
      <c r="CC290" s="178"/>
      <c r="CD290" s="202"/>
      <c r="CE290" s="202"/>
      <c r="CF290" s="178"/>
      <c r="CG290" s="196"/>
      <c r="CH290" s="178"/>
      <c r="CI290" s="178"/>
      <c r="CJ290" s="178"/>
      <c r="CK290" s="178"/>
      <c r="CL290" s="178"/>
      <c r="CM290" s="178"/>
      <c r="CN290" s="178"/>
      <c r="CO290" s="178"/>
      <c r="CP290" s="178"/>
      <c r="CQ290" s="178"/>
      <c r="CR290" s="178"/>
      <c r="CS290" s="178"/>
      <c r="CT290" s="178"/>
      <c r="CU290" s="178"/>
      <c r="CV290" s="178"/>
      <c r="CW290" s="178"/>
      <c r="CX290" s="178"/>
      <c r="CY290" s="178"/>
      <c r="CZ290" s="178"/>
      <c r="DA290" s="150"/>
    </row>
    <row r="291" spans="53:105" x14ac:dyDescent="0.2">
      <c r="BA291" s="518">
        <f t="shared" ca="1" si="25"/>
        <v>61</v>
      </c>
      <c r="BB291" s="174">
        <f t="shared" ca="1" si="26"/>
        <v>228</v>
      </c>
      <c r="BC291" s="525" t="e">
        <f ca="1">MATCH(BD291,OFFSET(Pinlist!$A$2,BC290*(BA291=BA290),0,$BM$23,1),0)+BC290*(BA291=BA290)</f>
        <v>#N/A</v>
      </c>
      <c r="BD291" s="167">
        <f t="shared" ca="1" si="27"/>
        <v>0</v>
      </c>
      <c r="BE291" s="191" t="e">
        <f ca="1">(OFFSET(Pinlist!$E$1,BC291,0)-$BN$16)*$BN$19</f>
        <v>#N/A</v>
      </c>
      <c r="BF291" s="192" t="e">
        <f ca="1">(OFFSET(Pinlist!$F$1,BC291,0)-$BO$16)*$BO$19</f>
        <v>#N/A</v>
      </c>
      <c r="BG291" s="1098" t="str">
        <f ca="1">IF(LEFT(BD291,2)="RF",OFFSET(Pinlist!$D$1,Chart!BC291,0)&amp;"_"&amp;OFFSET(Pinlist!$G$1,Chart!BC291,0),"")</f>
        <v/>
      </c>
      <c r="BH291" s="1098"/>
      <c r="BI291" s="178"/>
      <c r="BJ291" s="178"/>
      <c r="BK291" s="178"/>
      <c r="BL291" s="178"/>
      <c r="BM291" s="178"/>
      <c r="BN291" s="178"/>
      <c r="BO291" s="178"/>
      <c r="BP291" s="178"/>
      <c r="BQ291" s="196"/>
      <c r="BR291" s="196"/>
      <c r="BS291" s="196"/>
      <c r="BT291" s="196"/>
      <c r="BU291" s="196"/>
      <c r="BV291" s="196"/>
      <c r="BW291" s="178"/>
      <c r="BX291" s="196"/>
      <c r="BY291" s="196"/>
      <c r="BZ291" s="196"/>
      <c r="CA291" s="196"/>
      <c r="CB291" s="178"/>
      <c r="CC291" s="178"/>
      <c r="CD291" s="202"/>
      <c r="CE291" s="202"/>
      <c r="CF291" s="178"/>
      <c r="CG291" s="196"/>
      <c r="CH291" s="178"/>
      <c r="CI291" s="178"/>
      <c r="CJ291" s="178"/>
      <c r="CK291" s="178"/>
      <c r="CL291" s="178"/>
      <c r="CM291" s="178"/>
      <c r="CN291" s="178"/>
      <c r="CO291" s="178"/>
      <c r="CP291" s="178"/>
      <c r="CQ291" s="178"/>
      <c r="CR291" s="178"/>
      <c r="CS291" s="178"/>
      <c r="CT291" s="178"/>
      <c r="CU291" s="178"/>
      <c r="CV291" s="178"/>
      <c r="CW291" s="178"/>
      <c r="CX291" s="178"/>
      <c r="CY291" s="178"/>
      <c r="CZ291" s="178"/>
      <c r="DA291" s="150"/>
    </row>
    <row r="292" spans="53:105" x14ac:dyDescent="0.2">
      <c r="BA292" s="518">
        <f t="shared" ca="1" si="25"/>
        <v>61</v>
      </c>
      <c r="BB292" s="174">
        <f t="shared" ca="1" si="26"/>
        <v>229</v>
      </c>
      <c r="BC292" s="525" t="e">
        <f ca="1">MATCH(BD292,OFFSET(Pinlist!$A$2,BC291*(BA292=BA291),0,$BM$23,1),0)+BC291*(BA292=BA291)</f>
        <v>#N/A</v>
      </c>
      <c r="BD292" s="167">
        <f t="shared" ca="1" si="27"/>
        <v>0</v>
      </c>
      <c r="BE292" s="191" t="e">
        <f ca="1">(OFFSET(Pinlist!$E$1,BC292,0)-$BN$16)*$BN$19</f>
        <v>#N/A</v>
      </c>
      <c r="BF292" s="192" t="e">
        <f ca="1">(OFFSET(Pinlist!$F$1,BC292,0)-$BO$16)*$BO$19</f>
        <v>#N/A</v>
      </c>
      <c r="BG292" s="1098" t="str">
        <f ca="1">IF(LEFT(BD292,2)="RF",OFFSET(Pinlist!$D$1,Chart!BC292,0)&amp;"_"&amp;OFFSET(Pinlist!$G$1,Chart!BC292,0),"")</f>
        <v/>
      </c>
      <c r="BH292" s="1098"/>
      <c r="BI292" s="178"/>
      <c r="BJ292" s="178"/>
      <c r="BK292" s="178"/>
      <c r="BL292" s="178"/>
      <c r="BM292" s="178"/>
      <c r="BN292" s="178"/>
      <c r="BO292" s="178"/>
      <c r="BP292" s="178"/>
      <c r="BQ292" s="196"/>
      <c r="BR292" s="196"/>
      <c r="BS292" s="196"/>
      <c r="BT292" s="196"/>
      <c r="BU292" s="196"/>
      <c r="BV292" s="196"/>
      <c r="BW292" s="178"/>
      <c r="BX292" s="196"/>
      <c r="BY292" s="196"/>
      <c r="BZ292" s="196"/>
      <c r="CA292" s="196"/>
      <c r="CB292" s="178"/>
      <c r="CC292" s="178"/>
      <c r="CD292" s="202"/>
      <c r="CE292" s="202"/>
      <c r="CF292" s="178"/>
      <c r="CG292" s="196"/>
      <c r="CH292" s="178"/>
      <c r="CI292" s="178"/>
      <c r="CJ292" s="178"/>
      <c r="CK292" s="178"/>
      <c r="CL292" s="178"/>
      <c r="CM292" s="178"/>
      <c r="CN292" s="178"/>
      <c r="CO292" s="178"/>
      <c r="CP292" s="178"/>
      <c r="CQ292" s="178"/>
      <c r="CR292" s="178"/>
      <c r="CS292" s="178"/>
      <c r="CT292" s="178"/>
      <c r="CU292" s="178"/>
      <c r="CV292" s="178"/>
      <c r="CW292" s="178"/>
      <c r="CX292" s="178"/>
      <c r="CY292" s="178"/>
      <c r="CZ292" s="178"/>
      <c r="DA292" s="150"/>
    </row>
    <row r="293" spans="53:105" x14ac:dyDescent="0.2">
      <c r="BA293" s="518">
        <f t="shared" ca="1" si="25"/>
        <v>61</v>
      </c>
      <c r="BB293" s="174">
        <f t="shared" ca="1" si="26"/>
        <v>230</v>
      </c>
      <c r="BC293" s="525" t="e">
        <f ca="1">MATCH(BD293,OFFSET(Pinlist!$A$2,BC292*(BA293=BA292),0,$BM$23,1),0)+BC292*(BA293=BA292)</f>
        <v>#N/A</v>
      </c>
      <c r="BD293" s="167">
        <f t="shared" ca="1" si="27"/>
        <v>0</v>
      </c>
      <c r="BE293" s="191" t="e">
        <f ca="1">(OFFSET(Pinlist!$E$1,BC293,0)-$BN$16)*$BN$19</f>
        <v>#N/A</v>
      </c>
      <c r="BF293" s="192" t="e">
        <f ca="1">(OFFSET(Pinlist!$F$1,BC293,0)-$BO$16)*$BO$19</f>
        <v>#N/A</v>
      </c>
      <c r="BG293" s="1098" t="str">
        <f ca="1">IF(LEFT(BD293,2)="RF",OFFSET(Pinlist!$D$1,Chart!BC293,0)&amp;"_"&amp;OFFSET(Pinlist!$G$1,Chart!BC293,0),"")</f>
        <v/>
      </c>
      <c r="BH293" s="1098"/>
      <c r="BI293" s="178"/>
      <c r="BJ293" s="178"/>
      <c r="BK293" s="178"/>
      <c r="BL293" s="178"/>
      <c r="BM293" s="178"/>
      <c r="BN293" s="178"/>
      <c r="BO293" s="178"/>
      <c r="BP293" s="178"/>
      <c r="BQ293" s="196"/>
      <c r="BR293" s="196"/>
      <c r="BS293" s="196"/>
      <c r="BT293" s="196"/>
      <c r="BU293" s="196"/>
      <c r="BV293" s="196"/>
      <c r="BW293" s="178"/>
      <c r="BX293" s="196"/>
      <c r="BY293" s="196"/>
      <c r="BZ293" s="196"/>
      <c r="CA293" s="196"/>
      <c r="CB293" s="178"/>
      <c r="CC293" s="178"/>
      <c r="CD293" s="202"/>
      <c r="CE293" s="202"/>
      <c r="CF293" s="178"/>
      <c r="CG293" s="196"/>
      <c r="CH293" s="178"/>
      <c r="CI293" s="178"/>
      <c r="CJ293" s="178"/>
      <c r="CK293" s="178"/>
      <c r="CL293" s="178"/>
      <c r="CM293" s="178"/>
      <c r="CN293" s="178"/>
      <c r="CO293" s="178"/>
      <c r="CP293" s="178"/>
      <c r="CQ293" s="178"/>
      <c r="CR293" s="178"/>
      <c r="CS293" s="178"/>
      <c r="CT293" s="178"/>
      <c r="CU293" s="178"/>
      <c r="CV293" s="178"/>
      <c r="CW293" s="178"/>
      <c r="CX293" s="178"/>
      <c r="CY293" s="178"/>
      <c r="CZ293" s="178"/>
      <c r="DA293" s="150"/>
    </row>
    <row r="294" spans="53:105" x14ac:dyDescent="0.2">
      <c r="BA294" s="518">
        <f t="shared" ca="1" si="25"/>
        <v>61</v>
      </c>
      <c r="BB294" s="174">
        <f t="shared" ca="1" si="26"/>
        <v>231</v>
      </c>
      <c r="BC294" s="525" t="e">
        <f ca="1">MATCH(BD294,OFFSET(Pinlist!$A$2,BC293*(BA294=BA293),0,$BM$23,1),0)+BC293*(BA294=BA293)</f>
        <v>#N/A</v>
      </c>
      <c r="BD294" s="167">
        <f t="shared" ca="1" si="27"/>
        <v>0</v>
      </c>
      <c r="BE294" s="191" t="e">
        <f ca="1">(OFFSET(Pinlist!$E$1,BC294,0)-$BN$16)*$BN$19</f>
        <v>#N/A</v>
      </c>
      <c r="BF294" s="192" t="e">
        <f ca="1">(OFFSET(Pinlist!$F$1,BC294,0)-$BO$16)*$BO$19</f>
        <v>#N/A</v>
      </c>
      <c r="BG294" s="1098" t="str">
        <f ca="1">IF(LEFT(BD294,2)="RF",OFFSET(Pinlist!$D$1,Chart!BC294,0)&amp;"_"&amp;OFFSET(Pinlist!$G$1,Chart!BC294,0),"")</f>
        <v/>
      </c>
      <c r="BH294" s="1098"/>
      <c r="BI294" s="178"/>
      <c r="BJ294" s="178"/>
      <c r="BK294" s="178"/>
      <c r="BL294" s="178"/>
      <c r="BM294" s="178"/>
      <c r="BN294" s="178"/>
      <c r="BO294" s="178"/>
      <c r="BP294" s="178"/>
      <c r="BQ294" s="196"/>
      <c r="BR294" s="196"/>
      <c r="BS294" s="196"/>
      <c r="BT294" s="196"/>
      <c r="BU294" s="196"/>
      <c r="BV294" s="196"/>
      <c r="BW294" s="178"/>
      <c r="BX294" s="196"/>
      <c r="BY294" s="196"/>
      <c r="BZ294" s="196"/>
      <c r="CA294" s="196"/>
      <c r="CB294" s="178"/>
      <c r="CC294" s="178"/>
      <c r="CD294" s="202"/>
      <c r="CE294" s="202"/>
      <c r="CF294" s="178"/>
      <c r="CG294" s="196"/>
      <c r="CH294" s="178"/>
      <c r="CI294" s="178"/>
      <c r="CJ294" s="178"/>
      <c r="CK294" s="178"/>
      <c r="CL294" s="178"/>
      <c r="CM294" s="178"/>
      <c r="CN294" s="178"/>
      <c r="CO294" s="178"/>
      <c r="CP294" s="178"/>
      <c r="CQ294" s="178"/>
      <c r="CR294" s="178"/>
      <c r="CS294" s="178"/>
      <c r="CT294" s="178"/>
      <c r="CU294" s="178"/>
      <c r="CV294" s="178"/>
      <c r="CW294" s="178"/>
      <c r="CX294" s="178"/>
      <c r="CY294" s="178"/>
      <c r="CZ294" s="178"/>
      <c r="DA294" s="150"/>
    </row>
    <row r="295" spans="53:105" x14ac:dyDescent="0.2">
      <c r="BA295" s="518">
        <f t="shared" ca="1" si="25"/>
        <v>61</v>
      </c>
      <c r="BB295" s="174">
        <f t="shared" ca="1" si="26"/>
        <v>232</v>
      </c>
      <c r="BC295" s="525" t="e">
        <f ca="1">MATCH(BD295,OFFSET(Pinlist!$A$2,BC294*(BA295=BA294),0,$BM$23,1),0)+BC294*(BA295=BA294)</f>
        <v>#N/A</v>
      </c>
      <c r="BD295" s="167">
        <f t="shared" ca="1" si="27"/>
        <v>0</v>
      </c>
      <c r="BE295" s="191" t="e">
        <f ca="1">(OFFSET(Pinlist!$E$1,BC295,0)-$BN$16)*$BN$19</f>
        <v>#N/A</v>
      </c>
      <c r="BF295" s="192" t="e">
        <f ca="1">(OFFSET(Pinlist!$F$1,BC295,0)-$BO$16)*$BO$19</f>
        <v>#N/A</v>
      </c>
      <c r="BG295" s="1098" t="str">
        <f ca="1">IF(LEFT(BD295,2)="RF",OFFSET(Pinlist!$D$1,Chart!BC295,0)&amp;"_"&amp;OFFSET(Pinlist!$G$1,Chart!BC295,0),"")</f>
        <v/>
      </c>
      <c r="BH295" s="1098"/>
      <c r="BI295" s="178"/>
      <c r="BJ295" s="178"/>
      <c r="BK295" s="178"/>
      <c r="BL295" s="178"/>
      <c r="BM295" s="178"/>
      <c r="BN295" s="178"/>
      <c r="BO295" s="178"/>
      <c r="BP295" s="178"/>
      <c r="BQ295" s="196"/>
      <c r="BR295" s="196"/>
      <c r="BS295" s="196"/>
      <c r="BT295" s="196"/>
      <c r="BU295" s="196"/>
      <c r="BV295" s="196"/>
      <c r="BW295" s="178"/>
      <c r="BX295" s="196"/>
      <c r="BY295" s="196"/>
      <c r="BZ295" s="196"/>
      <c r="CA295" s="196"/>
      <c r="CB295" s="178"/>
      <c r="CC295" s="178"/>
      <c r="CD295" s="202"/>
      <c r="CE295" s="202"/>
      <c r="CF295" s="178"/>
      <c r="CG295" s="196"/>
      <c r="CH295" s="178"/>
      <c r="CI295" s="178"/>
      <c r="CJ295" s="178"/>
      <c r="CK295" s="178"/>
      <c r="CL295" s="178"/>
      <c r="CM295" s="178"/>
      <c r="CN295" s="178"/>
      <c r="CO295" s="178"/>
      <c r="CP295" s="178"/>
      <c r="CQ295" s="178"/>
      <c r="CR295" s="178"/>
      <c r="CS295" s="178"/>
      <c r="CT295" s="178"/>
      <c r="CU295" s="178"/>
      <c r="CV295" s="178"/>
      <c r="CW295" s="178"/>
      <c r="CX295" s="178"/>
      <c r="CY295" s="178"/>
      <c r="CZ295" s="178"/>
      <c r="DA295" s="150"/>
    </row>
    <row r="296" spans="53:105" x14ac:dyDescent="0.2">
      <c r="BA296" s="518">
        <f t="shared" ca="1" si="25"/>
        <v>61</v>
      </c>
      <c r="BB296" s="174">
        <f t="shared" ca="1" si="26"/>
        <v>233</v>
      </c>
      <c r="BC296" s="525" t="e">
        <f ca="1">MATCH(BD296,OFFSET(Pinlist!$A$2,BC295*(BA296=BA295),0,$BM$23,1),0)+BC295*(BA296=BA295)</f>
        <v>#N/A</v>
      </c>
      <c r="BD296" s="167">
        <f t="shared" ca="1" si="27"/>
        <v>0</v>
      </c>
      <c r="BE296" s="191" t="e">
        <f ca="1">(OFFSET(Pinlist!$E$1,BC296,0)-$BN$16)*$BN$19</f>
        <v>#N/A</v>
      </c>
      <c r="BF296" s="192" t="e">
        <f ca="1">(OFFSET(Pinlist!$F$1,BC296,0)-$BO$16)*$BO$19</f>
        <v>#N/A</v>
      </c>
      <c r="BG296" s="1098" t="str">
        <f ca="1">IF(LEFT(BD296,2)="RF",OFFSET(Pinlist!$D$1,Chart!BC296,0)&amp;"_"&amp;OFFSET(Pinlist!$G$1,Chart!BC296,0),"")</f>
        <v/>
      </c>
      <c r="BH296" s="1098"/>
      <c r="BI296" s="178"/>
      <c r="BJ296" s="178"/>
      <c r="BK296" s="178"/>
      <c r="BL296" s="178"/>
      <c r="BM296" s="178"/>
      <c r="BN296" s="178"/>
      <c r="BO296" s="178"/>
      <c r="BP296" s="178"/>
      <c r="BQ296" s="196"/>
      <c r="BR296" s="196"/>
      <c r="BS296" s="196"/>
      <c r="BT296" s="196"/>
      <c r="BU296" s="196"/>
      <c r="BV296" s="196"/>
      <c r="BW296" s="178"/>
      <c r="BX296" s="196"/>
      <c r="BY296" s="196"/>
      <c r="BZ296" s="196"/>
      <c r="CA296" s="196"/>
      <c r="CB296" s="178"/>
      <c r="CC296" s="178"/>
      <c r="CD296" s="202"/>
      <c r="CE296" s="202"/>
      <c r="CF296" s="178"/>
      <c r="CG296" s="196"/>
      <c r="CH296" s="178"/>
      <c r="CI296" s="178"/>
      <c r="CJ296" s="178"/>
      <c r="CK296" s="178"/>
      <c r="CL296" s="178"/>
      <c r="CM296" s="178"/>
      <c r="CN296" s="178"/>
      <c r="CO296" s="178"/>
      <c r="CP296" s="178"/>
      <c r="CQ296" s="178"/>
      <c r="CR296" s="178"/>
      <c r="CS296" s="178"/>
      <c r="CT296" s="178"/>
      <c r="CU296" s="178"/>
      <c r="CV296" s="178"/>
      <c r="CW296" s="178"/>
      <c r="CX296" s="178"/>
      <c r="CY296" s="178"/>
      <c r="CZ296" s="178"/>
      <c r="DA296" s="150"/>
    </row>
    <row r="297" spans="53:105" x14ac:dyDescent="0.2">
      <c r="BA297" s="518">
        <f t="shared" ca="1" si="25"/>
        <v>61</v>
      </c>
      <c r="BB297" s="174">
        <f t="shared" ca="1" si="26"/>
        <v>234</v>
      </c>
      <c r="BC297" s="525" t="e">
        <f ca="1">MATCH(BD297,OFFSET(Pinlist!$A$2,BC296*(BA297=BA296),0,$BM$23,1),0)+BC296*(BA297=BA296)</f>
        <v>#N/A</v>
      </c>
      <c r="BD297" s="167">
        <f t="shared" ca="1" si="27"/>
        <v>0</v>
      </c>
      <c r="BE297" s="191" t="e">
        <f ca="1">(OFFSET(Pinlist!$E$1,BC297,0)-$BN$16)*$BN$19</f>
        <v>#N/A</v>
      </c>
      <c r="BF297" s="192" t="e">
        <f ca="1">(OFFSET(Pinlist!$F$1,BC297,0)-$BO$16)*$BO$19</f>
        <v>#N/A</v>
      </c>
      <c r="BG297" s="1098" t="str">
        <f ca="1">IF(LEFT(BD297,2)="RF",OFFSET(Pinlist!$D$1,Chart!BC297,0)&amp;"_"&amp;OFFSET(Pinlist!$G$1,Chart!BC297,0),"")</f>
        <v/>
      </c>
      <c r="BH297" s="1098"/>
      <c r="BI297" s="178"/>
      <c r="BJ297" s="178"/>
      <c r="BK297" s="178"/>
      <c r="BL297" s="178"/>
      <c r="BM297" s="178"/>
      <c r="BN297" s="178"/>
      <c r="BO297" s="178"/>
      <c r="BP297" s="178"/>
      <c r="BQ297" s="196"/>
      <c r="BR297" s="196"/>
      <c r="BS297" s="196"/>
      <c r="BT297" s="196"/>
      <c r="BU297" s="196"/>
      <c r="BV297" s="196"/>
      <c r="BW297" s="178"/>
      <c r="BX297" s="196"/>
      <c r="BY297" s="196"/>
      <c r="BZ297" s="196"/>
      <c r="CA297" s="196"/>
      <c r="CB297" s="178"/>
      <c r="CC297" s="178"/>
      <c r="CD297" s="202"/>
      <c r="CE297" s="202"/>
      <c r="CF297" s="178"/>
      <c r="CG297" s="196"/>
      <c r="CH297" s="178"/>
      <c r="CI297" s="178"/>
      <c r="CJ297" s="178"/>
      <c r="CK297" s="178"/>
      <c r="CL297" s="178"/>
      <c r="CM297" s="178"/>
      <c r="CN297" s="178"/>
      <c r="CO297" s="178"/>
      <c r="CP297" s="178"/>
      <c r="CQ297" s="178"/>
      <c r="CR297" s="178"/>
      <c r="CS297" s="178"/>
      <c r="CT297" s="178"/>
      <c r="CU297" s="178"/>
      <c r="CV297" s="178"/>
      <c r="CW297" s="178"/>
      <c r="CX297" s="178"/>
      <c r="CY297" s="178"/>
      <c r="CZ297" s="178"/>
      <c r="DA297" s="150"/>
    </row>
    <row r="298" spans="53:105" x14ac:dyDescent="0.2">
      <c r="BA298" s="518">
        <f t="shared" ca="1" si="25"/>
        <v>61</v>
      </c>
      <c r="BB298" s="174">
        <f t="shared" ca="1" si="26"/>
        <v>235</v>
      </c>
      <c r="BC298" s="525" t="e">
        <f ca="1">MATCH(BD298,OFFSET(Pinlist!$A$2,BC297*(BA298=BA297),0,$BM$23,1),0)+BC297*(BA298=BA297)</f>
        <v>#N/A</v>
      </c>
      <c r="BD298" s="167">
        <f t="shared" ca="1" si="27"/>
        <v>0</v>
      </c>
      <c r="BE298" s="191" t="e">
        <f ca="1">(OFFSET(Pinlist!$E$1,BC298,0)-$BN$16)*$BN$19</f>
        <v>#N/A</v>
      </c>
      <c r="BF298" s="192" t="e">
        <f ca="1">(OFFSET(Pinlist!$F$1,BC298,0)-$BO$16)*$BO$19</f>
        <v>#N/A</v>
      </c>
      <c r="BG298" s="1098" t="str">
        <f ca="1">IF(LEFT(BD298,2)="RF",OFFSET(Pinlist!$D$1,Chart!BC298,0)&amp;"_"&amp;OFFSET(Pinlist!$G$1,Chart!BC298,0),"")</f>
        <v/>
      </c>
      <c r="BH298" s="1098"/>
      <c r="BI298" s="178"/>
      <c r="BJ298" s="178"/>
      <c r="BK298" s="178"/>
      <c r="BL298" s="178"/>
      <c r="BM298" s="178"/>
      <c r="BN298" s="178"/>
      <c r="BO298" s="178"/>
      <c r="BP298" s="178"/>
      <c r="BQ298" s="196"/>
      <c r="BR298" s="196"/>
      <c r="BS298" s="196"/>
      <c r="BT298" s="196"/>
      <c r="BU298" s="196"/>
      <c r="BV298" s="196"/>
      <c r="BW298" s="178"/>
      <c r="BX298" s="196"/>
      <c r="BY298" s="196"/>
      <c r="BZ298" s="196"/>
      <c r="CA298" s="196"/>
      <c r="CB298" s="178"/>
      <c r="CC298" s="178"/>
      <c r="CD298" s="202"/>
      <c r="CE298" s="202"/>
      <c r="CF298" s="178"/>
      <c r="CG298" s="196"/>
      <c r="CH298" s="178"/>
      <c r="CI298" s="178"/>
      <c r="CJ298" s="178"/>
      <c r="CK298" s="178"/>
      <c r="CL298" s="178"/>
      <c r="CM298" s="178"/>
      <c r="CN298" s="178"/>
      <c r="CO298" s="178"/>
      <c r="CP298" s="178"/>
      <c r="CQ298" s="178"/>
      <c r="CR298" s="178"/>
      <c r="CS298" s="178"/>
      <c r="CT298" s="178"/>
      <c r="CU298" s="178"/>
      <c r="CV298" s="178"/>
      <c r="CW298" s="178"/>
      <c r="CX298" s="178"/>
      <c r="CY298" s="178"/>
      <c r="CZ298" s="178"/>
      <c r="DA298" s="150"/>
    </row>
    <row r="299" spans="53:105" x14ac:dyDescent="0.2">
      <c r="BA299" s="518">
        <f t="shared" ca="1" si="25"/>
        <v>61</v>
      </c>
      <c r="BB299" s="174">
        <f t="shared" ca="1" si="26"/>
        <v>236</v>
      </c>
      <c r="BC299" s="525" t="e">
        <f ca="1">MATCH(BD299,OFFSET(Pinlist!$A$2,BC298*(BA299=BA298),0,$BM$23,1),0)+BC298*(BA299=BA298)</f>
        <v>#N/A</v>
      </c>
      <c r="BD299" s="167">
        <f t="shared" ca="1" si="27"/>
        <v>0</v>
      </c>
      <c r="BE299" s="191" t="e">
        <f ca="1">(OFFSET(Pinlist!$E$1,BC299,0)-$BN$16)*$BN$19</f>
        <v>#N/A</v>
      </c>
      <c r="BF299" s="192" t="e">
        <f ca="1">(OFFSET(Pinlist!$F$1,BC299,0)-$BO$16)*$BO$19</f>
        <v>#N/A</v>
      </c>
      <c r="BG299" s="1098" t="str">
        <f ca="1">IF(LEFT(BD299,2)="RF",OFFSET(Pinlist!$D$1,Chart!BC299,0)&amp;"_"&amp;OFFSET(Pinlist!$G$1,Chart!BC299,0),"")</f>
        <v/>
      </c>
      <c r="BH299" s="1098"/>
      <c r="BI299" s="178"/>
      <c r="BJ299" s="178"/>
      <c r="BK299" s="178"/>
      <c r="BL299" s="178"/>
      <c r="BM299" s="178"/>
      <c r="BN299" s="178"/>
      <c r="BO299" s="178"/>
      <c r="BP299" s="178"/>
      <c r="BQ299" s="196"/>
      <c r="BR299" s="196"/>
      <c r="BS299" s="196"/>
      <c r="BT299" s="196"/>
      <c r="BU299" s="196"/>
      <c r="BV299" s="196"/>
      <c r="BW299" s="178"/>
      <c r="BX299" s="196"/>
      <c r="BY299" s="196"/>
      <c r="BZ299" s="196"/>
      <c r="CA299" s="196"/>
      <c r="CB299" s="178"/>
      <c r="CC299" s="178"/>
      <c r="CD299" s="202"/>
      <c r="CE299" s="202"/>
      <c r="CF299" s="178"/>
      <c r="CG299" s="196"/>
      <c r="CH299" s="178"/>
      <c r="CI299" s="178"/>
      <c r="CJ299" s="178"/>
      <c r="CK299" s="178"/>
      <c r="CL299" s="178"/>
      <c r="CM299" s="178"/>
      <c r="CN299" s="178"/>
      <c r="CO299" s="178"/>
      <c r="CP299" s="178"/>
      <c r="CQ299" s="178"/>
      <c r="CR299" s="178"/>
      <c r="CS299" s="178"/>
      <c r="CT299" s="178"/>
      <c r="CU299" s="178"/>
      <c r="CV299" s="178"/>
      <c r="CW299" s="178"/>
      <c r="CX299" s="178"/>
      <c r="CY299" s="178"/>
      <c r="CZ299" s="178"/>
      <c r="DA299" s="150"/>
    </row>
    <row r="300" spans="53:105" x14ac:dyDescent="0.2">
      <c r="BA300" s="518">
        <f t="shared" ca="1" si="25"/>
        <v>61</v>
      </c>
      <c r="BB300" s="174">
        <f t="shared" ca="1" si="26"/>
        <v>237</v>
      </c>
      <c r="BC300" s="525" t="e">
        <f ca="1">MATCH(BD300,OFFSET(Pinlist!$A$2,BC299*(BA300=BA299),0,$BM$23,1),0)+BC299*(BA300=BA299)</f>
        <v>#N/A</v>
      </c>
      <c r="BD300" s="167">
        <f t="shared" ca="1" si="27"/>
        <v>0</v>
      </c>
      <c r="BE300" s="191" t="e">
        <f ca="1">(OFFSET(Pinlist!$E$1,BC300,0)-$BN$16)*$BN$19</f>
        <v>#N/A</v>
      </c>
      <c r="BF300" s="192" t="e">
        <f ca="1">(OFFSET(Pinlist!$F$1,BC300,0)-$BO$16)*$BO$19</f>
        <v>#N/A</v>
      </c>
      <c r="BG300" s="1098" t="str">
        <f ca="1">IF(LEFT(BD300,2)="RF",OFFSET(Pinlist!$D$1,Chart!BC300,0)&amp;"_"&amp;OFFSET(Pinlist!$G$1,Chart!BC300,0),"")</f>
        <v/>
      </c>
      <c r="BH300" s="1098"/>
      <c r="BI300" s="178"/>
      <c r="BJ300" s="178"/>
      <c r="BK300" s="178"/>
      <c r="BL300" s="178"/>
      <c r="BM300" s="178"/>
      <c r="BN300" s="178"/>
      <c r="BO300" s="178"/>
      <c r="BP300" s="178"/>
      <c r="BQ300" s="196"/>
      <c r="BR300" s="196"/>
      <c r="BS300" s="196"/>
      <c r="BT300" s="196"/>
      <c r="BU300" s="196"/>
      <c r="BV300" s="196"/>
      <c r="BW300" s="178"/>
      <c r="BX300" s="196"/>
      <c r="BY300" s="196"/>
      <c r="BZ300" s="196"/>
      <c r="CA300" s="196"/>
      <c r="CB300" s="178"/>
      <c r="CC300" s="178"/>
      <c r="CD300" s="202"/>
      <c r="CE300" s="202"/>
      <c r="CF300" s="178"/>
      <c r="CG300" s="196"/>
      <c r="CH300" s="178"/>
      <c r="CI300" s="178"/>
      <c r="CJ300" s="178"/>
      <c r="CK300" s="178"/>
      <c r="CL300" s="178"/>
      <c r="CM300" s="178"/>
      <c r="CN300" s="178"/>
      <c r="CO300" s="178"/>
      <c r="CP300" s="178"/>
      <c r="CQ300" s="178"/>
      <c r="CR300" s="178"/>
      <c r="CS300" s="178"/>
      <c r="CT300" s="178"/>
      <c r="CU300" s="178"/>
      <c r="CV300" s="178"/>
      <c r="CW300" s="178"/>
      <c r="CX300" s="178"/>
      <c r="CY300" s="178"/>
      <c r="CZ300" s="178"/>
      <c r="DA300" s="150"/>
    </row>
    <row r="301" spans="53:105" x14ac:dyDescent="0.2">
      <c r="BA301" s="518">
        <f t="shared" ca="1" si="25"/>
        <v>61</v>
      </c>
      <c r="BB301" s="174">
        <f t="shared" ca="1" si="26"/>
        <v>238</v>
      </c>
      <c r="BC301" s="525" t="e">
        <f ca="1">MATCH(BD301,OFFSET(Pinlist!$A$2,BC300*(BA301=BA300),0,$BM$23,1),0)+BC300*(BA301=BA300)</f>
        <v>#N/A</v>
      </c>
      <c r="BD301" s="167">
        <f t="shared" ca="1" si="27"/>
        <v>0</v>
      </c>
      <c r="BE301" s="191" t="e">
        <f ca="1">(OFFSET(Pinlist!$E$1,BC301,0)-$BN$16)*$BN$19</f>
        <v>#N/A</v>
      </c>
      <c r="BF301" s="192" t="e">
        <f ca="1">(OFFSET(Pinlist!$F$1,BC301,0)-$BO$16)*$BO$19</f>
        <v>#N/A</v>
      </c>
      <c r="BG301" s="1098" t="str">
        <f ca="1">IF(LEFT(BD301,2)="RF",OFFSET(Pinlist!$D$1,Chart!BC301,0)&amp;"_"&amp;OFFSET(Pinlist!$G$1,Chart!BC301,0),"")</f>
        <v/>
      </c>
      <c r="BH301" s="1098"/>
      <c r="BI301" s="178"/>
      <c r="BJ301" s="178"/>
      <c r="BK301" s="178"/>
      <c r="BL301" s="178"/>
      <c r="BM301" s="178"/>
      <c r="BN301" s="178"/>
      <c r="BO301" s="178"/>
      <c r="BP301" s="178"/>
      <c r="BQ301" s="196"/>
      <c r="BR301" s="196"/>
      <c r="BS301" s="196"/>
      <c r="BT301" s="196"/>
      <c r="BU301" s="196"/>
      <c r="BV301" s="196"/>
      <c r="BW301" s="178"/>
      <c r="BX301" s="196"/>
      <c r="BY301" s="196"/>
      <c r="BZ301" s="196"/>
      <c r="CA301" s="196"/>
      <c r="CB301" s="178"/>
      <c r="CC301" s="178"/>
      <c r="CD301" s="202"/>
      <c r="CE301" s="202"/>
      <c r="CF301" s="178"/>
      <c r="CG301" s="196"/>
      <c r="CH301" s="178"/>
      <c r="CI301" s="178"/>
      <c r="CJ301" s="178"/>
      <c r="CK301" s="178"/>
      <c r="CL301" s="178"/>
      <c r="CM301" s="178"/>
      <c r="CN301" s="178"/>
      <c r="CO301" s="178"/>
      <c r="CP301" s="178"/>
      <c r="CQ301" s="178"/>
      <c r="CR301" s="178"/>
      <c r="CS301" s="178"/>
      <c r="CT301" s="178"/>
      <c r="CU301" s="178"/>
      <c r="CV301" s="178"/>
      <c r="CW301" s="178"/>
      <c r="CX301" s="178"/>
      <c r="CY301" s="178"/>
      <c r="CZ301" s="178"/>
      <c r="DA301" s="150"/>
    </row>
    <row r="302" spans="53:105" x14ac:dyDescent="0.2">
      <c r="BA302" s="518">
        <f t="shared" ca="1" si="25"/>
        <v>61</v>
      </c>
      <c r="BB302" s="174">
        <f t="shared" ca="1" si="26"/>
        <v>239</v>
      </c>
      <c r="BC302" s="525" t="e">
        <f ca="1">MATCH(BD302,OFFSET(Pinlist!$A$2,BC301*(BA302=BA301),0,$BM$23,1),0)+BC301*(BA302=BA301)</f>
        <v>#N/A</v>
      </c>
      <c r="BD302" s="167">
        <f t="shared" ca="1" si="27"/>
        <v>0</v>
      </c>
      <c r="BE302" s="191" t="e">
        <f ca="1">(OFFSET(Pinlist!$E$1,BC302,0)-$BN$16)*$BN$19</f>
        <v>#N/A</v>
      </c>
      <c r="BF302" s="192" t="e">
        <f ca="1">(OFFSET(Pinlist!$F$1,BC302,0)-$BO$16)*$BO$19</f>
        <v>#N/A</v>
      </c>
      <c r="BG302" s="1098" t="str">
        <f ca="1">IF(LEFT(BD302,2)="RF",OFFSET(Pinlist!$D$1,Chart!BC302,0)&amp;"_"&amp;OFFSET(Pinlist!$G$1,Chart!BC302,0),"")</f>
        <v/>
      </c>
      <c r="BH302" s="1098"/>
      <c r="BI302" s="178"/>
      <c r="BJ302" s="178"/>
      <c r="BK302" s="178"/>
      <c r="BL302" s="178"/>
      <c r="BM302" s="178"/>
      <c r="BN302" s="178"/>
      <c r="BO302" s="178"/>
      <c r="BP302" s="178"/>
      <c r="BQ302" s="196"/>
      <c r="BR302" s="196"/>
      <c r="BS302" s="196"/>
      <c r="BT302" s="196"/>
      <c r="BU302" s="196"/>
      <c r="BV302" s="196"/>
      <c r="BW302" s="178"/>
      <c r="BX302" s="196"/>
      <c r="BY302" s="196"/>
      <c r="BZ302" s="196"/>
      <c r="CA302" s="196"/>
      <c r="CB302" s="178"/>
      <c r="CC302" s="178"/>
      <c r="CD302" s="202"/>
      <c r="CE302" s="202"/>
      <c r="CF302" s="178"/>
      <c r="CG302" s="196"/>
      <c r="CH302" s="178"/>
      <c r="CI302" s="178"/>
      <c r="CJ302" s="178"/>
      <c r="CK302" s="178"/>
      <c r="CL302" s="178"/>
      <c r="CM302" s="178"/>
      <c r="CN302" s="178"/>
      <c r="CO302" s="178"/>
      <c r="CP302" s="178"/>
      <c r="CQ302" s="178"/>
      <c r="CR302" s="178"/>
      <c r="CS302" s="178"/>
      <c r="CT302" s="178"/>
      <c r="CU302" s="178"/>
      <c r="CV302" s="178"/>
      <c r="CW302" s="178"/>
      <c r="CX302" s="178"/>
      <c r="CY302" s="178"/>
      <c r="CZ302" s="178"/>
      <c r="DA302" s="150"/>
    </row>
    <row r="303" spans="53:105" x14ac:dyDescent="0.2">
      <c r="BA303" s="518">
        <f t="shared" ca="1" si="25"/>
        <v>61</v>
      </c>
      <c r="BB303" s="174">
        <f t="shared" ca="1" si="26"/>
        <v>240</v>
      </c>
      <c r="BC303" s="525" t="e">
        <f ca="1">MATCH(BD303,OFFSET(Pinlist!$A$2,BC302*(BA303=BA302),0,$BM$23,1),0)+BC302*(BA303=BA302)</f>
        <v>#N/A</v>
      </c>
      <c r="BD303" s="167">
        <f t="shared" ca="1" si="27"/>
        <v>0</v>
      </c>
      <c r="BE303" s="191" t="e">
        <f ca="1">(OFFSET(Pinlist!$E$1,BC303,0)-$BN$16)*$BN$19</f>
        <v>#N/A</v>
      </c>
      <c r="BF303" s="192" t="e">
        <f ca="1">(OFFSET(Pinlist!$F$1,BC303,0)-$BO$16)*$BO$19</f>
        <v>#N/A</v>
      </c>
      <c r="BG303" s="1098" t="str">
        <f ca="1">IF(LEFT(BD303,2)="RF",OFFSET(Pinlist!$D$1,Chart!BC303,0)&amp;"_"&amp;OFFSET(Pinlist!$G$1,Chart!BC303,0),"")</f>
        <v/>
      </c>
      <c r="BH303" s="1098"/>
      <c r="BI303" s="178"/>
      <c r="BJ303" s="178"/>
      <c r="BK303" s="178"/>
      <c r="BL303" s="178"/>
      <c r="BM303" s="178"/>
      <c r="BN303" s="178"/>
      <c r="BO303" s="178"/>
      <c r="BP303" s="178"/>
      <c r="BQ303" s="196"/>
      <c r="BR303" s="196"/>
      <c r="BS303" s="196"/>
      <c r="BT303" s="196"/>
      <c r="BU303" s="196"/>
      <c r="BV303" s="196"/>
      <c r="BW303" s="178"/>
      <c r="BX303" s="196"/>
      <c r="BY303" s="196"/>
      <c r="BZ303" s="196"/>
      <c r="CA303" s="196"/>
      <c r="CB303" s="178"/>
      <c r="CC303" s="178"/>
      <c r="CD303" s="202"/>
      <c r="CE303" s="202"/>
      <c r="CF303" s="178"/>
      <c r="CG303" s="196"/>
      <c r="CH303" s="178"/>
      <c r="CI303" s="178"/>
      <c r="CJ303" s="178"/>
      <c r="CK303" s="178"/>
      <c r="CL303" s="178"/>
      <c r="CM303" s="178"/>
      <c r="CN303" s="178"/>
      <c r="CO303" s="178"/>
      <c r="CP303" s="178"/>
      <c r="CQ303" s="178"/>
      <c r="CR303" s="178"/>
      <c r="CS303" s="178"/>
      <c r="CT303" s="178"/>
      <c r="CU303" s="178"/>
      <c r="CV303" s="178"/>
      <c r="CW303" s="178"/>
      <c r="CX303" s="178"/>
      <c r="CY303" s="178"/>
      <c r="CZ303" s="178"/>
      <c r="DA303" s="150"/>
    </row>
    <row r="304" spans="53:105" x14ac:dyDescent="0.2">
      <c r="BA304" s="518">
        <f t="shared" ca="1" si="25"/>
        <v>61</v>
      </c>
      <c r="BB304" s="174">
        <f t="shared" ca="1" si="26"/>
        <v>241</v>
      </c>
      <c r="BC304" s="525" t="e">
        <f ca="1">MATCH(BD304,OFFSET(Pinlist!$A$2,BC303*(BA304=BA303),0,$BM$23,1),0)+BC303*(BA304=BA303)</f>
        <v>#N/A</v>
      </c>
      <c r="BD304" s="167">
        <f t="shared" ca="1" si="27"/>
        <v>0</v>
      </c>
      <c r="BE304" s="191" t="e">
        <f ca="1">(OFFSET(Pinlist!$E$1,BC304,0)-$BN$16)*$BN$19</f>
        <v>#N/A</v>
      </c>
      <c r="BF304" s="192" t="e">
        <f ca="1">(OFFSET(Pinlist!$F$1,BC304,0)-$BO$16)*$BO$19</f>
        <v>#N/A</v>
      </c>
      <c r="BG304" s="1098" t="str">
        <f ca="1">IF(LEFT(BD304,2)="RF",OFFSET(Pinlist!$D$1,Chart!BC304,0)&amp;"_"&amp;OFFSET(Pinlist!$G$1,Chart!BC304,0),"")</f>
        <v/>
      </c>
      <c r="BH304" s="1098"/>
      <c r="BI304" s="178"/>
      <c r="BJ304" s="178"/>
      <c r="BK304" s="178"/>
      <c r="BL304" s="178"/>
      <c r="BM304" s="178"/>
      <c r="BN304" s="178"/>
      <c r="BO304" s="178"/>
      <c r="BP304" s="178"/>
      <c r="BQ304" s="196"/>
      <c r="BR304" s="196"/>
      <c r="BS304" s="196"/>
      <c r="BT304" s="196"/>
      <c r="BU304" s="196"/>
      <c r="BV304" s="196"/>
      <c r="BW304" s="178"/>
      <c r="BX304" s="196"/>
      <c r="BY304" s="196"/>
      <c r="BZ304" s="196"/>
      <c r="CA304" s="196"/>
      <c r="CB304" s="178"/>
      <c r="CC304" s="178"/>
      <c r="CD304" s="202"/>
      <c r="CE304" s="202"/>
      <c r="CF304" s="178"/>
      <c r="CG304" s="196"/>
      <c r="CH304" s="178"/>
      <c r="CI304" s="178"/>
      <c r="CJ304" s="178"/>
      <c r="CK304" s="178"/>
      <c r="CL304" s="178"/>
      <c r="CM304" s="178"/>
      <c r="CN304" s="178"/>
      <c r="CO304" s="178"/>
      <c r="CP304" s="178"/>
      <c r="CQ304" s="178"/>
      <c r="CR304" s="178"/>
      <c r="CS304" s="178"/>
      <c r="CT304" s="178"/>
      <c r="CU304" s="178"/>
      <c r="CV304" s="178"/>
      <c r="CW304" s="178"/>
      <c r="CX304" s="178"/>
      <c r="CY304" s="178"/>
      <c r="CZ304" s="178"/>
      <c r="DA304" s="150"/>
    </row>
    <row r="305" spans="53:105" x14ac:dyDescent="0.2">
      <c r="BA305" s="518">
        <f t="shared" ca="1" si="25"/>
        <v>61</v>
      </c>
      <c r="BB305" s="174">
        <f t="shared" ca="1" si="26"/>
        <v>242</v>
      </c>
      <c r="BC305" s="525" t="e">
        <f ca="1">MATCH(BD305,OFFSET(Pinlist!$A$2,BC304*(BA305=BA304),0,$BM$23,1),0)+BC304*(BA305=BA304)</f>
        <v>#N/A</v>
      </c>
      <c r="BD305" s="167">
        <f t="shared" ca="1" si="27"/>
        <v>0</v>
      </c>
      <c r="BE305" s="191" t="e">
        <f ca="1">(OFFSET(Pinlist!$E$1,BC305,0)-$BN$16)*$BN$19</f>
        <v>#N/A</v>
      </c>
      <c r="BF305" s="192" t="e">
        <f ca="1">(OFFSET(Pinlist!$F$1,BC305,0)-$BO$16)*$BO$19</f>
        <v>#N/A</v>
      </c>
      <c r="BG305" s="1098" t="str">
        <f ca="1">IF(LEFT(BD305,2)="RF",OFFSET(Pinlist!$D$1,Chart!BC305,0)&amp;"_"&amp;OFFSET(Pinlist!$G$1,Chart!BC305,0),"")</f>
        <v/>
      </c>
      <c r="BH305" s="1098"/>
      <c r="BI305" s="178"/>
      <c r="BJ305" s="178"/>
      <c r="BK305" s="178"/>
      <c r="BL305" s="178"/>
      <c r="BM305" s="178"/>
      <c r="BN305" s="178"/>
      <c r="BO305" s="178"/>
      <c r="BP305" s="178"/>
      <c r="BQ305" s="196"/>
      <c r="BR305" s="196"/>
      <c r="BS305" s="196"/>
      <c r="BT305" s="196"/>
      <c r="BU305" s="196"/>
      <c r="BV305" s="196"/>
      <c r="BW305" s="178"/>
      <c r="BX305" s="196"/>
      <c r="BY305" s="196"/>
      <c r="BZ305" s="196"/>
      <c r="CA305" s="196"/>
      <c r="CB305" s="178"/>
      <c r="CC305" s="178"/>
      <c r="CD305" s="202"/>
      <c r="CE305" s="202"/>
      <c r="CF305" s="178"/>
      <c r="CG305" s="196"/>
      <c r="CH305" s="178"/>
      <c r="CI305" s="178"/>
      <c r="CJ305" s="178"/>
      <c r="CK305" s="178"/>
      <c r="CL305" s="178"/>
      <c r="CM305" s="178"/>
      <c r="CN305" s="178"/>
      <c r="CO305" s="178"/>
      <c r="CP305" s="178"/>
      <c r="CQ305" s="178"/>
      <c r="CR305" s="178"/>
      <c r="CS305" s="178"/>
      <c r="CT305" s="178"/>
      <c r="CU305" s="178"/>
      <c r="CV305" s="178"/>
      <c r="CW305" s="178"/>
      <c r="CX305" s="178"/>
      <c r="CY305" s="178"/>
      <c r="CZ305" s="178"/>
      <c r="DA305" s="150"/>
    </row>
    <row r="306" spans="53:105" x14ac:dyDescent="0.2">
      <c r="BA306" s="518">
        <f t="shared" ca="1" si="25"/>
        <v>61</v>
      </c>
      <c r="BB306" s="174">
        <f t="shared" ca="1" si="26"/>
        <v>243</v>
      </c>
      <c r="BC306" s="525" t="e">
        <f ca="1">MATCH(BD306,OFFSET(Pinlist!$A$2,BC305*(BA306=BA305),0,$BM$23,1),0)+BC305*(BA306=BA305)</f>
        <v>#N/A</v>
      </c>
      <c r="BD306" s="167">
        <f t="shared" ca="1" si="27"/>
        <v>0</v>
      </c>
      <c r="BE306" s="191" t="e">
        <f ca="1">(OFFSET(Pinlist!$E$1,BC306,0)-$BN$16)*$BN$19</f>
        <v>#N/A</v>
      </c>
      <c r="BF306" s="192" t="e">
        <f ca="1">(OFFSET(Pinlist!$F$1,BC306,0)-$BO$16)*$BO$19</f>
        <v>#N/A</v>
      </c>
      <c r="BG306" s="1098" t="str">
        <f ca="1">IF(LEFT(BD306,2)="RF",OFFSET(Pinlist!$D$1,Chart!BC306,0)&amp;"_"&amp;OFFSET(Pinlist!$G$1,Chart!BC306,0),"")</f>
        <v/>
      </c>
      <c r="BH306" s="1098"/>
      <c r="BI306" s="178"/>
      <c r="BJ306" s="178"/>
      <c r="BK306" s="178"/>
      <c r="BL306" s="178"/>
      <c r="BM306" s="178"/>
      <c r="BN306" s="178"/>
      <c r="BO306" s="178"/>
      <c r="BP306" s="178"/>
      <c r="BQ306" s="196"/>
      <c r="BR306" s="196"/>
      <c r="BS306" s="196"/>
      <c r="BT306" s="196"/>
      <c r="BU306" s="196"/>
      <c r="BV306" s="196"/>
      <c r="BW306" s="178"/>
      <c r="BX306" s="196"/>
      <c r="BY306" s="196"/>
      <c r="BZ306" s="196"/>
      <c r="CA306" s="196"/>
      <c r="CB306" s="178"/>
      <c r="CC306" s="178"/>
      <c r="CD306" s="202"/>
      <c r="CE306" s="202"/>
      <c r="CF306" s="178"/>
      <c r="CG306" s="196"/>
      <c r="CH306" s="178"/>
      <c r="CI306" s="178"/>
      <c r="CJ306" s="178"/>
      <c r="CK306" s="178"/>
      <c r="CL306" s="178"/>
      <c r="CM306" s="178"/>
      <c r="CN306" s="178"/>
      <c r="CO306" s="178"/>
      <c r="CP306" s="178"/>
      <c r="CQ306" s="178"/>
      <c r="CR306" s="178"/>
      <c r="CS306" s="178"/>
      <c r="CT306" s="178"/>
      <c r="CU306" s="178"/>
      <c r="CV306" s="178"/>
      <c r="CW306" s="178"/>
      <c r="CX306" s="178"/>
      <c r="CY306" s="178"/>
      <c r="CZ306" s="178"/>
      <c r="DA306" s="150"/>
    </row>
    <row r="307" spans="53:105" x14ac:dyDescent="0.2">
      <c r="BA307" s="518">
        <f t="shared" ca="1" si="25"/>
        <v>61</v>
      </c>
      <c r="BB307" s="174">
        <f t="shared" ca="1" si="26"/>
        <v>244</v>
      </c>
      <c r="BC307" s="525" t="e">
        <f ca="1">MATCH(BD307,OFFSET(Pinlist!$A$2,BC306*(BA307=BA306),0,$BM$23,1),0)+BC306*(BA307=BA306)</f>
        <v>#N/A</v>
      </c>
      <c r="BD307" s="167">
        <f t="shared" ca="1" si="27"/>
        <v>0</v>
      </c>
      <c r="BE307" s="191" t="e">
        <f ca="1">(OFFSET(Pinlist!$E$1,BC307,0)-$BN$16)*$BN$19</f>
        <v>#N/A</v>
      </c>
      <c r="BF307" s="192" t="e">
        <f ca="1">(OFFSET(Pinlist!$F$1,BC307,0)-$BO$16)*$BO$19</f>
        <v>#N/A</v>
      </c>
      <c r="BG307" s="1098" t="str">
        <f ca="1">IF(LEFT(BD307,2)="RF",OFFSET(Pinlist!$D$1,Chart!BC307,0)&amp;"_"&amp;OFFSET(Pinlist!$G$1,Chart!BC307,0),"")</f>
        <v/>
      </c>
      <c r="BH307" s="1098"/>
      <c r="BI307" s="178"/>
      <c r="BJ307" s="178"/>
      <c r="BK307" s="178"/>
      <c r="BL307" s="178"/>
      <c r="BM307" s="178"/>
      <c r="BN307" s="178"/>
      <c r="BO307" s="178"/>
      <c r="BP307" s="178"/>
      <c r="BQ307" s="196"/>
      <c r="BR307" s="196"/>
      <c r="BS307" s="196"/>
      <c r="BT307" s="196"/>
      <c r="BU307" s="196"/>
      <c r="BV307" s="196"/>
      <c r="BW307" s="178"/>
      <c r="BX307" s="196"/>
      <c r="BY307" s="196"/>
      <c r="BZ307" s="196"/>
      <c r="CA307" s="196"/>
      <c r="CB307" s="178"/>
      <c r="CC307" s="178"/>
      <c r="CD307" s="202"/>
      <c r="CE307" s="202"/>
      <c r="CF307" s="178"/>
      <c r="CG307" s="196"/>
      <c r="CH307" s="178"/>
      <c r="CI307" s="178"/>
      <c r="CJ307" s="178"/>
      <c r="CK307" s="178"/>
      <c r="CL307" s="178"/>
      <c r="CM307" s="178"/>
      <c r="CN307" s="178"/>
      <c r="CO307" s="178"/>
      <c r="CP307" s="178"/>
      <c r="CQ307" s="178"/>
      <c r="CR307" s="178"/>
      <c r="CS307" s="178"/>
      <c r="CT307" s="178"/>
      <c r="CU307" s="178"/>
      <c r="CV307" s="178"/>
      <c r="CW307" s="178"/>
      <c r="CX307" s="178"/>
      <c r="CY307" s="178"/>
      <c r="CZ307" s="178"/>
      <c r="DA307" s="150"/>
    </row>
    <row r="308" spans="53:105" x14ac:dyDescent="0.2">
      <c r="BA308" s="518">
        <f t="shared" ca="1" si="25"/>
        <v>61</v>
      </c>
      <c r="BB308" s="174">
        <f t="shared" ca="1" si="26"/>
        <v>245</v>
      </c>
      <c r="BC308" s="525" t="e">
        <f ca="1">MATCH(BD308,OFFSET(Pinlist!$A$2,BC307*(BA308=BA307),0,$BM$23,1),0)+BC307*(BA308=BA307)</f>
        <v>#N/A</v>
      </c>
      <c r="BD308" s="167">
        <f t="shared" ca="1" si="27"/>
        <v>0</v>
      </c>
      <c r="BE308" s="191" t="e">
        <f ca="1">(OFFSET(Pinlist!$E$1,BC308,0)-$BN$16)*$BN$19</f>
        <v>#N/A</v>
      </c>
      <c r="BF308" s="192" t="e">
        <f ca="1">(OFFSET(Pinlist!$F$1,BC308,0)-$BO$16)*$BO$19</f>
        <v>#N/A</v>
      </c>
      <c r="BG308" s="1098" t="str">
        <f ca="1">IF(LEFT(BD308,2)="RF",OFFSET(Pinlist!$D$1,Chart!BC308,0)&amp;"_"&amp;OFFSET(Pinlist!$G$1,Chart!BC308,0),"")</f>
        <v/>
      </c>
      <c r="BH308" s="1098"/>
      <c r="BI308" s="178"/>
      <c r="BJ308" s="178"/>
      <c r="BK308" s="178"/>
      <c r="BL308" s="178"/>
      <c r="BM308" s="178"/>
      <c r="BN308" s="178"/>
      <c r="BO308" s="178"/>
      <c r="BP308" s="178"/>
      <c r="BQ308" s="196"/>
      <c r="BR308" s="196"/>
      <c r="BS308" s="196"/>
      <c r="BT308" s="196"/>
      <c r="BU308" s="196"/>
      <c r="BV308" s="196"/>
      <c r="BW308" s="178"/>
      <c r="BX308" s="196"/>
      <c r="BY308" s="196"/>
      <c r="BZ308" s="196"/>
      <c r="CA308" s="196"/>
      <c r="CB308" s="178"/>
      <c r="CC308" s="178"/>
      <c r="CD308" s="202"/>
      <c r="CE308" s="202"/>
      <c r="CF308" s="178"/>
      <c r="CG308" s="196"/>
      <c r="CH308" s="178"/>
      <c r="CI308" s="178"/>
      <c r="CJ308" s="178"/>
      <c r="CK308" s="178"/>
      <c r="CL308" s="178"/>
      <c r="CM308" s="178"/>
      <c r="CN308" s="178"/>
      <c r="CO308" s="178"/>
      <c r="CP308" s="178"/>
      <c r="CQ308" s="178"/>
      <c r="CR308" s="178"/>
      <c r="CS308" s="178"/>
      <c r="CT308" s="178"/>
      <c r="CU308" s="178"/>
      <c r="CV308" s="178"/>
      <c r="CW308" s="178"/>
      <c r="CX308" s="178"/>
      <c r="CY308" s="178"/>
      <c r="CZ308" s="178"/>
      <c r="DA308" s="150"/>
    </row>
    <row r="309" spans="53:105" x14ac:dyDescent="0.2">
      <c r="BA309" s="518">
        <f t="shared" ca="1" si="25"/>
        <v>61</v>
      </c>
      <c r="BB309" s="174">
        <f t="shared" ca="1" si="26"/>
        <v>246</v>
      </c>
      <c r="BC309" s="525" t="e">
        <f ca="1">MATCH(BD309,OFFSET(Pinlist!$A$2,BC308*(BA309=BA308),0,$BM$23,1),0)+BC308*(BA309=BA308)</f>
        <v>#N/A</v>
      </c>
      <c r="BD309" s="167">
        <f t="shared" ca="1" si="27"/>
        <v>0</v>
      </c>
      <c r="BE309" s="191" t="e">
        <f ca="1">(OFFSET(Pinlist!$E$1,BC309,0)-$BN$16)*$BN$19</f>
        <v>#N/A</v>
      </c>
      <c r="BF309" s="192" t="e">
        <f ca="1">(OFFSET(Pinlist!$F$1,BC309,0)-$BO$16)*$BO$19</f>
        <v>#N/A</v>
      </c>
      <c r="BG309" s="1098" t="str">
        <f ca="1">IF(LEFT(BD309,2)="RF",OFFSET(Pinlist!$D$1,Chart!BC309,0)&amp;"_"&amp;OFFSET(Pinlist!$G$1,Chart!BC309,0),"")</f>
        <v/>
      </c>
      <c r="BH309" s="1098"/>
      <c r="BI309" s="178"/>
      <c r="BJ309" s="178"/>
      <c r="BK309" s="178"/>
      <c r="BL309" s="178"/>
      <c r="BM309" s="178"/>
      <c r="BN309" s="178"/>
      <c r="BO309" s="178"/>
      <c r="BP309" s="178"/>
      <c r="BQ309" s="196"/>
      <c r="BR309" s="196"/>
      <c r="BS309" s="196"/>
      <c r="BT309" s="196"/>
      <c r="BU309" s="196"/>
      <c r="BV309" s="196"/>
      <c r="BW309" s="178"/>
      <c r="BX309" s="196"/>
      <c r="BY309" s="196"/>
      <c r="BZ309" s="196"/>
      <c r="CA309" s="196"/>
      <c r="CB309" s="178"/>
      <c r="CC309" s="178"/>
      <c r="CD309" s="202"/>
      <c r="CE309" s="202"/>
      <c r="CF309" s="178"/>
      <c r="CG309" s="196"/>
      <c r="CH309" s="178"/>
      <c r="CI309" s="178"/>
      <c r="CJ309" s="178"/>
      <c r="CK309" s="178"/>
      <c r="CL309" s="178"/>
      <c r="CM309" s="178"/>
      <c r="CN309" s="178"/>
      <c r="CO309" s="178"/>
      <c r="CP309" s="178"/>
      <c r="CQ309" s="178"/>
      <c r="CR309" s="178"/>
      <c r="CS309" s="178"/>
      <c r="CT309" s="178"/>
      <c r="CU309" s="178"/>
      <c r="CV309" s="178"/>
      <c r="CW309" s="178"/>
      <c r="CX309" s="178"/>
      <c r="CY309" s="178"/>
      <c r="CZ309" s="178"/>
      <c r="DA309" s="150"/>
    </row>
    <row r="310" spans="53:105" x14ac:dyDescent="0.2">
      <c r="BA310" s="518">
        <f t="shared" ca="1" si="25"/>
        <v>61</v>
      </c>
      <c r="BB310" s="174">
        <f t="shared" ca="1" si="26"/>
        <v>247</v>
      </c>
      <c r="BC310" s="525" t="e">
        <f ca="1">MATCH(BD310,OFFSET(Pinlist!$A$2,BC309*(BA310=BA309),0,$BM$23,1),0)+BC309*(BA310=BA309)</f>
        <v>#N/A</v>
      </c>
      <c r="BD310" s="167">
        <f t="shared" ca="1" si="27"/>
        <v>0</v>
      </c>
      <c r="BE310" s="191" t="e">
        <f ca="1">(OFFSET(Pinlist!$E$1,BC310,0)-$BN$16)*$BN$19</f>
        <v>#N/A</v>
      </c>
      <c r="BF310" s="192" t="e">
        <f ca="1">(OFFSET(Pinlist!$F$1,BC310,0)-$BO$16)*$BO$19</f>
        <v>#N/A</v>
      </c>
      <c r="BG310" s="1098" t="str">
        <f ca="1">IF(LEFT(BD310,2)="RF",OFFSET(Pinlist!$D$1,Chart!BC310,0)&amp;"_"&amp;OFFSET(Pinlist!$G$1,Chart!BC310,0),"")</f>
        <v/>
      </c>
      <c r="BH310" s="1098"/>
      <c r="BI310" s="178"/>
      <c r="BJ310" s="178"/>
      <c r="BK310" s="178"/>
      <c r="BL310" s="178"/>
      <c r="BM310" s="178"/>
      <c r="BN310" s="178"/>
      <c r="BO310" s="178"/>
      <c r="BP310" s="178"/>
      <c r="BQ310" s="196"/>
      <c r="BR310" s="196"/>
      <c r="BS310" s="196"/>
      <c r="BT310" s="196"/>
      <c r="BU310" s="196"/>
      <c r="BV310" s="196"/>
      <c r="BW310" s="178"/>
      <c r="BX310" s="196"/>
      <c r="BY310" s="196"/>
      <c r="BZ310" s="196"/>
      <c r="CA310" s="196"/>
      <c r="CB310" s="178"/>
      <c r="CC310" s="178"/>
      <c r="CD310" s="202"/>
      <c r="CE310" s="202"/>
      <c r="CF310" s="178"/>
      <c r="CG310" s="196"/>
      <c r="CH310" s="178"/>
      <c r="CI310" s="178"/>
      <c r="CJ310" s="178"/>
      <c r="CK310" s="178"/>
      <c r="CL310" s="178"/>
      <c r="CM310" s="178"/>
      <c r="CN310" s="178"/>
      <c r="CO310" s="178"/>
      <c r="CP310" s="178"/>
      <c r="CQ310" s="178"/>
      <c r="CR310" s="178"/>
      <c r="CS310" s="178"/>
      <c r="CT310" s="178"/>
      <c r="CU310" s="178"/>
      <c r="CV310" s="178"/>
      <c r="CW310" s="178"/>
      <c r="CX310" s="178"/>
      <c r="CY310" s="178"/>
      <c r="CZ310" s="178"/>
      <c r="DA310" s="150"/>
    </row>
    <row r="311" spans="53:105" x14ac:dyDescent="0.2">
      <c r="BA311" s="518">
        <f t="shared" ca="1" si="25"/>
        <v>61</v>
      </c>
      <c r="BB311" s="174">
        <f t="shared" ca="1" si="26"/>
        <v>248</v>
      </c>
      <c r="BC311" s="525" t="e">
        <f ca="1">MATCH(BD311,OFFSET(Pinlist!$A$2,BC310*(BA311=BA310),0,$BM$23,1),0)+BC310*(BA311=BA310)</f>
        <v>#N/A</v>
      </c>
      <c r="BD311" s="167">
        <f t="shared" ca="1" si="27"/>
        <v>0</v>
      </c>
      <c r="BE311" s="191" t="e">
        <f ca="1">(OFFSET(Pinlist!$E$1,BC311,0)-$BN$16)*$BN$19</f>
        <v>#N/A</v>
      </c>
      <c r="BF311" s="192" t="e">
        <f ca="1">(OFFSET(Pinlist!$F$1,BC311,0)-$BO$16)*$BO$19</f>
        <v>#N/A</v>
      </c>
      <c r="BG311" s="1098" t="str">
        <f ca="1">IF(LEFT(BD311,2)="RF",OFFSET(Pinlist!$D$1,Chart!BC311,0)&amp;"_"&amp;OFFSET(Pinlist!$G$1,Chart!BC311,0),"")</f>
        <v/>
      </c>
      <c r="BH311" s="1098"/>
      <c r="BI311" s="178"/>
      <c r="BJ311" s="178"/>
      <c r="BK311" s="178"/>
      <c r="BL311" s="178"/>
      <c r="BM311" s="178"/>
      <c r="BN311" s="178"/>
      <c r="BO311" s="178"/>
      <c r="BP311" s="178"/>
      <c r="BQ311" s="196"/>
      <c r="BR311" s="196"/>
      <c r="BS311" s="196"/>
      <c r="BT311" s="196"/>
      <c r="BU311" s="196"/>
      <c r="BV311" s="196"/>
      <c r="BW311" s="178"/>
      <c r="BX311" s="196"/>
      <c r="BY311" s="196"/>
      <c r="BZ311" s="196"/>
      <c r="CA311" s="196"/>
      <c r="CB311" s="178"/>
      <c r="CC311" s="178"/>
      <c r="CD311" s="202"/>
      <c r="CE311" s="202"/>
      <c r="CF311" s="178"/>
      <c r="CG311" s="196"/>
      <c r="CH311" s="178"/>
      <c r="CI311" s="178"/>
      <c r="CJ311" s="178"/>
      <c r="CK311" s="178"/>
      <c r="CL311" s="178"/>
      <c r="CM311" s="178"/>
      <c r="CN311" s="178"/>
      <c r="CO311" s="178"/>
      <c r="CP311" s="178"/>
      <c r="CQ311" s="178"/>
      <c r="CR311" s="178"/>
      <c r="CS311" s="178"/>
      <c r="CT311" s="178"/>
      <c r="CU311" s="178"/>
      <c r="CV311" s="178"/>
      <c r="CW311" s="178"/>
      <c r="CX311" s="178"/>
      <c r="CY311" s="178"/>
      <c r="CZ311" s="178"/>
      <c r="DA311" s="150"/>
    </row>
    <row r="312" spans="53:105" x14ac:dyDescent="0.2">
      <c r="BA312" s="518">
        <f t="shared" ca="1" si="25"/>
        <v>61</v>
      </c>
      <c r="BB312" s="174">
        <f t="shared" ca="1" si="26"/>
        <v>249</v>
      </c>
      <c r="BC312" s="525" t="e">
        <f ca="1">MATCH(BD312,OFFSET(Pinlist!$A$2,BC311*(BA312=BA311),0,$BM$23,1),0)+BC311*(BA312=BA311)</f>
        <v>#N/A</v>
      </c>
      <c r="BD312" s="167">
        <f t="shared" ca="1" si="27"/>
        <v>0</v>
      </c>
      <c r="BE312" s="191" t="e">
        <f ca="1">(OFFSET(Pinlist!$E$1,BC312,0)-$BN$16)*$BN$19</f>
        <v>#N/A</v>
      </c>
      <c r="BF312" s="192" t="e">
        <f ca="1">(OFFSET(Pinlist!$F$1,BC312,0)-$BO$16)*$BO$19</f>
        <v>#N/A</v>
      </c>
      <c r="BG312" s="1098" t="str">
        <f ca="1">IF(LEFT(BD312,2)="RF",OFFSET(Pinlist!$D$1,Chart!BC312,0)&amp;"_"&amp;OFFSET(Pinlist!$G$1,Chart!BC312,0),"")</f>
        <v/>
      </c>
      <c r="BH312" s="1098"/>
      <c r="BI312" s="178"/>
      <c r="BJ312" s="178"/>
      <c r="BK312" s="178"/>
      <c r="BL312" s="178"/>
      <c r="BM312" s="178"/>
      <c r="BN312" s="178"/>
      <c r="BO312" s="178"/>
      <c r="BP312" s="178"/>
      <c r="BQ312" s="196"/>
      <c r="BR312" s="196"/>
      <c r="BS312" s="196"/>
      <c r="BT312" s="196"/>
      <c r="BU312" s="196"/>
      <c r="BV312" s="196"/>
      <c r="BW312" s="178"/>
      <c r="BX312" s="196"/>
      <c r="BY312" s="196"/>
      <c r="BZ312" s="196"/>
      <c r="CA312" s="196"/>
      <c r="CB312" s="178"/>
      <c r="CC312" s="178"/>
      <c r="CD312" s="202"/>
      <c r="CE312" s="202"/>
      <c r="CF312" s="178"/>
      <c r="CG312" s="196"/>
      <c r="CH312" s="178"/>
      <c r="CI312" s="178"/>
      <c r="CJ312" s="178"/>
      <c r="CK312" s="178"/>
      <c r="CL312" s="178"/>
      <c r="CM312" s="178"/>
      <c r="CN312" s="178"/>
      <c r="CO312" s="178"/>
      <c r="CP312" s="178"/>
      <c r="CQ312" s="178"/>
      <c r="CR312" s="178"/>
      <c r="CS312" s="178"/>
      <c r="CT312" s="178"/>
      <c r="CU312" s="178"/>
      <c r="CV312" s="178"/>
      <c r="CW312" s="178"/>
      <c r="CX312" s="178"/>
      <c r="CY312" s="178"/>
      <c r="CZ312" s="178"/>
      <c r="DA312" s="150"/>
    </row>
    <row r="313" spans="53:105" x14ac:dyDescent="0.2">
      <c r="BA313" s="518">
        <f t="shared" ca="1" si="25"/>
        <v>61</v>
      </c>
      <c r="BB313" s="174">
        <f t="shared" ca="1" si="26"/>
        <v>250</v>
      </c>
      <c r="BC313" s="525" t="e">
        <f ca="1">MATCH(BD313,OFFSET(Pinlist!$A$2,BC312*(BA313=BA312),0,$BM$23,1),0)+BC312*(BA313=BA312)</f>
        <v>#N/A</v>
      </c>
      <c r="BD313" s="167">
        <f t="shared" ca="1" si="27"/>
        <v>0</v>
      </c>
      <c r="BE313" s="191" t="e">
        <f ca="1">(OFFSET(Pinlist!$E$1,BC313,0)-$BN$16)*$BN$19</f>
        <v>#N/A</v>
      </c>
      <c r="BF313" s="192" t="e">
        <f ca="1">(OFFSET(Pinlist!$F$1,BC313,0)-$BO$16)*$BO$19</f>
        <v>#N/A</v>
      </c>
      <c r="BG313" s="1098" t="str">
        <f ca="1">IF(LEFT(BD313,2)="RF",OFFSET(Pinlist!$D$1,Chart!BC313,0)&amp;"_"&amp;OFFSET(Pinlist!$G$1,Chart!BC313,0),"")</f>
        <v/>
      </c>
      <c r="BH313" s="1098"/>
      <c r="BI313" s="178"/>
      <c r="BJ313" s="178"/>
      <c r="BK313" s="178"/>
      <c r="BL313" s="178"/>
      <c r="BM313" s="178"/>
      <c r="BN313" s="178"/>
      <c r="BO313" s="178"/>
      <c r="BP313" s="178"/>
      <c r="BQ313" s="196"/>
      <c r="BR313" s="196"/>
      <c r="BS313" s="196"/>
      <c r="BT313" s="196"/>
      <c r="BU313" s="196"/>
      <c r="BV313" s="196"/>
      <c r="BW313" s="178"/>
      <c r="BX313" s="196"/>
      <c r="BY313" s="196"/>
      <c r="BZ313" s="196"/>
      <c r="CA313" s="196"/>
      <c r="CB313" s="178"/>
      <c r="CC313" s="178"/>
      <c r="CD313" s="202"/>
      <c r="CE313" s="202"/>
      <c r="CF313" s="178"/>
      <c r="CG313" s="196"/>
      <c r="CH313" s="178"/>
      <c r="CI313" s="178"/>
      <c r="CJ313" s="178"/>
      <c r="CK313" s="178"/>
      <c r="CL313" s="178"/>
      <c r="CM313" s="178"/>
      <c r="CN313" s="178"/>
      <c r="CO313" s="178"/>
      <c r="CP313" s="178"/>
      <c r="CQ313" s="178"/>
      <c r="CR313" s="178"/>
      <c r="CS313" s="178"/>
      <c r="CT313" s="178"/>
      <c r="CU313" s="178"/>
      <c r="CV313" s="178"/>
      <c r="CW313" s="178"/>
      <c r="CX313" s="178"/>
      <c r="CY313" s="178"/>
      <c r="CZ313" s="178"/>
      <c r="DA313" s="150"/>
    </row>
    <row r="314" spans="53:105" x14ac:dyDescent="0.2">
      <c r="BA314" s="518">
        <f t="shared" ca="1" si="25"/>
        <v>61</v>
      </c>
      <c r="BB314" s="174">
        <f t="shared" ca="1" si="26"/>
        <v>251</v>
      </c>
      <c r="BC314" s="525" t="e">
        <f ca="1">MATCH(BD314,OFFSET(Pinlist!$A$2,BC313*(BA314=BA313),0,$BM$23,1),0)+BC313*(BA314=BA313)</f>
        <v>#N/A</v>
      </c>
      <c r="BD314" s="167">
        <f t="shared" ca="1" si="27"/>
        <v>0</v>
      </c>
      <c r="BE314" s="191" t="e">
        <f ca="1">(OFFSET(Pinlist!$E$1,BC314,0)-$BN$16)*$BN$19</f>
        <v>#N/A</v>
      </c>
      <c r="BF314" s="192" t="e">
        <f ca="1">(OFFSET(Pinlist!$F$1,BC314,0)-$BO$16)*$BO$19</f>
        <v>#N/A</v>
      </c>
      <c r="BG314" s="1098" t="str">
        <f ca="1">IF(LEFT(BD314,2)="RF",OFFSET(Pinlist!$D$1,Chart!BC314,0)&amp;"_"&amp;OFFSET(Pinlist!$G$1,Chart!BC314,0),"")</f>
        <v/>
      </c>
      <c r="BH314" s="1098"/>
      <c r="BI314" s="178"/>
      <c r="BJ314" s="178"/>
      <c r="BK314" s="178"/>
      <c r="BL314" s="178"/>
      <c r="BM314" s="178"/>
      <c r="BN314" s="178"/>
      <c r="BO314" s="178"/>
      <c r="BP314" s="178"/>
      <c r="BQ314" s="196"/>
      <c r="BR314" s="196"/>
      <c r="BS314" s="196"/>
      <c r="BT314" s="196"/>
      <c r="BU314" s="196"/>
      <c r="BV314" s="196"/>
      <c r="BW314" s="178"/>
      <c r="BX314" s="196"/>
      <c r="BY314" s="196"/>
      <c r="BZ314" s="196"/>
      <c r="CA314" s="196"/>
      <c r="CB314" s="178"/>
      <c r="CC314" s="178"/>
      <c r="CD314" s="202"/>
      <c r="CE314" s="202"/>
      <c r="CF314" s="178"/>
      <c r="CG314" s="196"/>
      <c r="CH314" s="178"/>
      <c r="CI314" s="178"/>
      <c r="CJ314" s="178"/>
      <c r="CK314" s="178"/>
      <c r="CL314" s="178"/>
      <c r="CM314" s="178"/>
      <c r="CN314" s="178"/>
      <c r="CO314" s="178"/>
      <c r="CP314" s="178"/>
      <c r="CQ314" s="178"/>
      <c r="CR314" s="178"/>
      <c r="CS314" s="178"/>
      <c r="CT314" s="178"/>
      <c r="CU314" s="178"/>
      <c r="CV314" s="178"/>
      <c r="CW314" s="178"/>
      <c r="CX314" s="178"/>
      <c r="CY314" s="178"/>
      <c r="CZ314" s="178"/>
      <c r="DA314" s="150"/>
    </row>
    <row r="315" spans="53:105" x14ac:dyDescent="0.2">
      <c r="BA315" s="518">
        <f t="shared" ca="1" si="25"/>
        <v>61</v>
      </c>
      <c r="BB315" s="174">
        <f t="shared" ca="1" si="26"/>
        <v>252</v>
      </c>
      <c r="BC315" s="525" t="e">
        <f ca="1">MATCH(BD315,OFFSET(Pinlist!$A$2,BC314*(BA315=BA314),0,$BM$23,1),0)+BC314*(BA315=BA314)</f>
        <v>#N/A</v>
      </c>
      <c r="BD315" s="167">
        <f t="shared" ca="1" si="27"/>
        <v>0</v>
      </c>
      <c r="BE315" s="191" t="e">
        <f ca="1">(OFFSET(Pinlist!$E$1,BC315,0)-$BN$16)*$BN$19</f>
        <v>#N/A</v>
      </c>
      <c r="BF315" s="192" t="e">
        <f ca="1">(OFFSET(Pinlist!$F$1,BC315,0)-$BO$16)*$BO$19</f>
        <v>#N/A</v>
      </c>
      <c r="BG315" s="1098" t="str">
        <f ca="1">IF(LEFT(BD315,2)="RF",OFFSET(Pinlist!$D$1,Chart!BC315,0)&amp;"_"&amp;OFFSET(Pinlist!$G$1,Chart!BC315,0),"")</f>
        <v/>
      </c>
      <c r="BH315" s="1098"/>
      <c r="BI315" s="178"/>
      <c r="BJ315" s="178"/>
      <c r="BK315" s="178"/>
      <c r="BL315" s="178"/>
      <c r="BM315" s="178"/>
      <c r="BN315" s="178"/>
      <c r="BO315" s="178"/>
      <c r="BP315" s="178"/>
      <c r="BQ315" s="196"/>
      <c r="BR315" s="196"/>
      <c r="BS315" s="196"/>
      <c r="BT315" s="196"/>
      <c r="BU315" s="196"/>
      <c r="BV315" s="196"/>
      <c r="BW315" s="178"/>
      <c r="BX315" s="196"/>
      <c r="BY315" s="196"/>
      <c r="BZ315" s="196"/>
      <c r="CA315" s="196"/>
      <c r="CB315" s="178"/>
      <c r="CC315" s="178"/>
      <c r="CD315" s="202"/>
      <c r="CE315" s="202"/>
      <c r="CF315" s="178"/>
      <c r="CG315" s="196"/>
      <c r="CH315" s="178"/>
      <c r="CI315" s="178"/>
      <c r="CJ315" s="178"/>
      <c r="CK315" s="178"/>
      <c r="CL315" s="178"/>
      <c r="CM315" s="178"/>
      <c r="CN315" s="178"/>
      <c r="CO315" s="178"/>
      <c r="CP315" s="178"/>
      <c r="CQ315" s="178"/>
      <c r="CR315" s="178"/>
      <c r="CS315" s="178"/>
      <c r="CT315" s="178"/>
      <c r="CU315" s="178"/>
      <c r="CV315" s="178"/>
      <c r="CW315" s="178"/>
      <c r="CX315" s="178"/>
      <c r="CY315" s="178"/>
      <c r="CZ315" s="178"/>
      <c r="DA315" s="150"/>
    </row>
    <row r="316" spans="53:105" x14ac:dyDescent="0.2">
      <c r="BA316" s="518">
        <f t="shared" ca="1" si="25"/>
        <v>61</v>
      </c>
      <c r="BB316" s="174">
        <f t="shared" ca="1" si="26"/>
        <v>253</v>
      </c>
      <c r="BC316" s="525" t="e">
        <f ca="1">MATCH(BD316,OFFSET(Pinlist!$A$2,BC315*(BA316=BA315),0,$BM$23,1),0)+BC315*(BA316=BA315)</f>
        <v>#N/A</v>
      </c>
      <c r="BD316" s="167">
        <f t="shared" ca="1" si="27"/>
        <v>0</v>
      </c>
      <c r="BE316" s="191" t="e">
        <f ca="1">(OFFSET(Pinlist!$E$1,BC316,0)-$BN$16)*$BN$19</f>
        <v>#N/A</v>
      </c>
      <c r="BF316" s="192" t="e">
        <f ca="1">(OFFSET(Pinlist!$F$1,BC316,0)-$BO$16)*$BO$19</f>
        <v>#N/A</v>
      </c>
      <c r="BG316" s="1098" t="str">
        <f ca="1">IF(LEFT(BD316,2)="RF",OFFSET(Pinlist!$D$1,Chart!BC316,0)&amp;"_"&amp;OFFSET(Pinlist!$G$1,Chart!BC316,0),"")</f>
        <v/>
      </c>
      <c r="BH316" s="1098"/>
      <c r="BI316" s="178"/>
      <c r="BJ316" s="178"/>
      <c r="BK316" s="178"/>
      <c r="BL316" s="178"/>
      <c r="BM316" s="178"/>
      <c r="BN316" s="178"/>
      <c r="BO316" s="178"/>
      <c r="BP316" s="178"/>
      <c r="BQ316" s="196"/>
      <c r="BR316" s="196"/>
      <c r="BS316" s="196"/>
      <c r="BT316" s="196"/>
      <c r="BU316" s="196"/>
      <c r="BV316" s="196"/>
      <c r="BW316" s="178"/>
      <c r="BX316" s="196"/>
      <c r="BY316" s="196"/>
      <c r="BZ316" s="196"/>
      <c r="CA316" s="196"/>
      <c r="CB316" s="178"/>
      <c r="CC316" s="178"/>
      <c r="CD316" s="202"/>
      <c r="CE316" s="202"/>
      <c r="CF316" s="178"/>
      <c r="CG316" s="196"/>
      <c r="CH316" s="178"/>
      <c r="CI316" s="178"/>
      <c r="CJ316" s="178"/>
      <c r="CK316" s="178"/>
      <c r="CL316" s="178"/>
      <c r="CM316" s="178"/>
      <c r="CN316" s="178"/>
      <c r="CO316" s="178"/>
      <c r="CP316" s="178"/>
      <c r="CQ316" s="178"/>
      <c r="CR316" s="178"/>
      <c r="CS316" s="178"/>
      <c r="CT316" s="178"/>
      <c r="CU316" s="178"/>
      <c r="CV316" s="178"/>
      <c r="CW316" s="178"/>
      <c r="CX316" s="178"/>
      <c r="CY316" s="178"/>
      <c r="CZ316" s="178"/>
      <c r="DA316" s="150"/>
    </row>
    <row r="317" spans="53:105" x14ac:dyDescent="0.2">
      <c r="BA317" s="518">
        <f t="shared" ca="1" si="25"/>
        <v>61</v>
      </c>
      <c r="BB317" s="174">
        <f t="shared" ca="1" si="26"/>
        <v>254</v>
      </c>
      <c r="BC317" s="525" t="e">
        <f ca="1">MATCH(BD317,OFFSET(Pinlist!$A$2,BC316*(BA317=BA316),0,$BM$23,1),0)+BC316*(BA317=BA316)</f>
        <v>#N/A</v>
      </c>
      <c r="BD317" s="167">
        <f t="shared" ca="1" si="27"/>
        <v>0</v>
      </c>
      <c r="BE317" s="191" t="e">
        <f ca="1">(OFFSET(Pinlist!$E$1,BC317,0)-$BN$16)*$BN$19</f>
        <v>#N/A</v>
      </c>
      <c r="BF317" s="192" t="e">
        <f ca="1">(OFFSET(Pinlist!$F$1,BC317,0)-$BO$16)*$BO$19</f>
        <v>#N/A</v>
      </c>
      <c r="BG317" s="1098" t="str">
        <f ca="1">IF(LEFT(BD317,2)="RF",OFFSET(Pinlist!$D$1,Chart!BC317,0)&amp;"_"&amp;OFFSET(Pinlist!$G$1,Chart!BC317,0),"")</f>
        <v/>
      </c>
      <c r="BH317" s="1098"/>
      <c r="BI317" s="178"/>
      <c r="BJ317" s="178"/>
      <c r="BK317" s="178"/>
      <c r="BL317" s="178"/>
      <c r="BM317" s="178"/>
      <c r="BN317" s="178"/>
      <c r="BO317" s="178"/>
      <c r="BP317" s="178"/>
      <c r="BQ317" s="196"/>
      <c r="BR317" s="196"/>
      <c r="BS317" s="196"/>
      <c r="BT317" s="196"/>
      <c r="BU317" s="196"/>
      <c r="BV317" s="196"/>
      <c r="BW317" s="178"/>
      <c r="BX317" s="196"/>
      <c r="BY317" s="196"/>
      <c r="BZ317" s="196"/>
      <c r="CA317" s="196"/>
      <c r="CB317" s="178"/>
      <c r="CC317" s="178"/>
      <c r="CD317" s="202"/>
      <c r="CE317" s="202"/>
      <c r="CF317" s="178"/>
      <c r="CG317" s="196"/>
      <c r="CH317" s="178"/>
      <c r="CI317" s="178"/>
      <c r="CJ317" s="178"/>
      <c r="CK317" s="178"/>
      <c r="CL317" s="178"/>
      <c r="CM317" s="178"/>
      <c r="CN317" s="178"/>
      <c r="CO317" s="178"/>
      <c r="CP317" s="178"/>
      <c r="CQ317" s="178"/>
      <c r="CR317" s="178"/>
      <c r="CS317" s="178"/>
      <c r="CT317" s="178"/>
      <c r="CU317" s="178"/>
      <c r="CV317" s="178"/>
      <c r="CW317" s="178"/>
      <c r="CX317" s="178"/>
      <c r="CY317" s="178"/>
      <c r="CZ317" s="178"/>
      <c r="DA317" s="150"/>
    </row>
    <row r="318" spans="53:105" x14ac:dyDescent="0.2">
      <c r="BA318" s="518">
        <f t="shared" ca="1" si="25"/>
        <v>61</v>
      </c>
      <c r="BB318" s="174">
        <f t="shared" ca="1" si="26"/>
        <v>255</v>
      </c>
      <c r="BC318" s="525" t="e">
        <f ca="1">MATCH(BD318,OFFSET(Pinlist!$A$2,BC317*(BA318=BA317),0,$BM$23,1),0)+BC317*(BA318=BA317)</f>
        <v>#N/A</v>
      </c>
      <c r="BD318" s="167">
        <f t="shared" ca="1" si="27"/>
        <v>0</v>
      </c>
      <c r="BE318" s="191" t="e">
        <f ca="1">(OFFSET(Pinlist!$E$1,BC318,0)-$BN$16)*$BN$19</f>
        <v>#N/A</v>
      </c>
      <c r="BF318" s="192" t="e">
        <f ca="1">(OFFSET(Pinlist!$F$1,BC318,0)-$BO$16)*$BO$19</f>
        <v>#N/A</v>
      </c>
      <c r="BG318" s="1098" t="str">
        <f ca="1">IF(LEFT(BD318,2)="RF",OFFSET(Pinlist!$D$1,Chart!BC318,0)&amp;"_"&amp;OFFSET(Pinlist!$G$1,Chart!BC318,0),"")</f>
        <v/>
      </c>
      <c r="BH318" s="1098"/>
      <c r="BI318" s="178"/>
      <c r="BJ318" s="178"/>
      <c r="BK318" s="178"/>
      <c r="BL318" s="178"/>
      <c r="BM318" s="178"/>
      <c r="BN318" s="178"/>
      <c r="BO318" s="178"/>
      <c r="BP318" s="178"/>
      <c r="BQ318" s="196"/>
      <c r="BR318" s="196"/>
      <c r="BS318" s="196"/>
      <c r="BT318" s="196"/>
      <c r="BU318" s="196"/>
      <c r="BV318" s="196"/>
      <c r="BW318" s="178"/>
      <c r="BX318" s="196"/>
      <c r="BY318" s="196"/>
      <c r="BZ318" s="196"/>
      <c r="CA318" s="196"/>
      <c r="CB318" s="178"/>
      <c r="CC318" s="178"/>
      <c r="CD318" s="202"/>
      <c r="CE318" s="202"/>
      <c r="CF318" s="178"/>
      <c r="CG318" s="196"/>
      <c r="CH318" s="178"/>
      <c r="CI318" s="178"/>
      <c r="CJ318" s="178"/>
      <c r="CK318" s="178"/>
      <c r="CL318" s="178"/>
      <c r="CM318" s="178"/>
      <c r="CN318" s="178"/>
      <c r="CO318" s="178"/>
      <c r="CP318" s="178"/>
      <c r="CQ318" s="178"/>
      <c r="CR318" s="178"/>
      <c r="CS318" s="178"/>
      <c r="CT318" s="178"/>
      <c r="CU318" s="178"/>
      <c r="CV318" s="178"/>
      <c r="CW318" s="178"/>
      <c r="CX318" s="178"/>
      <c r="CY318" s="178"/>
      <c r="CZ318" s="178"/>
      <c r="DA318" s="150"/>
    </row>
    <row r="319" spans="53:105" x14ac:dyDescent="0.2">
      <c r="BA319" s="518">
        <f t="shared" ca="1" si="25"/>
        <v>61</v>
      </c>
      <c r="BB319" s="174">
        <f t="shared" ca="1" si="26"/>
        <v>256</v>
      </c>
      <c r="BC319" s="525" t="e">
        <f ca="1">MATCH(BD319,OFFSET(Pinlist!$A$2,BC318*(BA319=BA318),0,$BM$23,1),0)+BC318*(BA319=BA318)</f>
        <v>#N/A</v>
      </c>
      <c r="BD319" s="167">
        <f t="shared" ca="1" si="27"/>
        <v>0</v>
      </c>
      <c r="BE319" s="191" t="e">
        <f ca="1">(OFFSET(Pinlist!$E$1,BC319,0)-$BN$16)*$BN$19</f>
        <v>#N/A</v>
      </c>
      <c r="BF319" s="192" t="e">
        <f ca="1">(OFFSET(Pinlist!$F$1,BC319,0)-$BO$16)*$BO$19</f>
        <v>#N/A</v>
      </c>
      <c r="BG319" s="1098" t="str">
        <f ca="1">IF(LEFT(BD319,2)="RF",OFFSET(Pinlist!$D$1,Chart!BC319,0)&amp;"_"&amp;OFFSET(Pinlist!$G$1,Chart!BC319,0),"")</f>
        <v/>
      </c>
      <c r="BH319" s="1098"/>
      <c r="BI319" s="178"/>
      <c r="BJ319" s="178"/>
      <c r="BK319" s="178"/>
      <c r="BL319" s="178"/>
      <c r="BM319" s="178"/>
      <c r="BN319" s="178"/>
      <c r="BO319" s="178"/>
      <c r="BP319" s="178"/>
      <c r="BQ319" s="196"/>
      <c r="BR319" s="196"/>
      <c r="BS319" s="196"/>
      <c r="BT319" s="196"/>
      <c r="BU319" s="196"/>
      <c r="BV319" s="196"/>
      <c r="BW319" s="178"/>
      <c r="BX319" s="196"/>
      <c r="BY319" s="196"/>
      <c r="BZ319" s="196"/>
      <c r="CA319" s="196"/>
      <c r="CB319" s="178"/>
      <c r="CC319" s="178"/>
      <c r="CD319" s="202"/>
      <c r="CE319" s="202"/>
      <c r="CF319" s="178"/>
      <c r="CG319" s="196"/>
      <c r="CH319" s="178"/>
      <c r="CI319" s="178"/>
      <c r="CJ319" s="178"/>
      <c r="CK319" s="178"/>
      <c r="CL319" s="178"/>
      <c r="CM319" s="178"/>
      <c r="CN319" s="178"/>
      <c r="CO319" s="178"/>
      <c r="CP319" s="178"/>
      <c r="CQ319" s="178"/>
      <c r="CR319" s="178"/>
      <c r="CS319" s="178"/>
      <c r="CT319" s="178"/>
      <c r="CU319" s="178"/>
      <c r="CV319" s="178"/>
      <c r="CW319" s="178"/>
      <c r="CX319" s="178"/>
      <c r="CY319" s="178"/>
      <c r="CZ319" s="178"/>
      <c r="DA319" s="150"/>
    </row>
    <row r="320" spans="53:105" x14ac:dyDescent="0.2">
      <c r="BA320" s="518">
        <f t="shared" ca="1" si="25"/>
        <v>61</v>
      </c>
      <c r="BB320" s="174">
        <f t="shared" ca="1" si="26"/>
        <v>257</v>
      </c>
      <c r="BC320" s="525" t="e">
        <f ca="1">MATCH(BD320,OFFSET(Pinlist!$A$2,BC319*(BA320=BA319),0,$BM$23,1),0)+BC319*(BA320=BA319)</f>
        <v>#N/A</v>
      </c>
      <c r="BD320" s="167">
        <f t="shared" ca="1" si="27"/>
        <v>0</v>
      </c>
      <c r="BE320" s="191" t="e">
        <f ca="1">(OFFSET(Pinlist!$E$1,BC320,0)-$BN$16)*$BN$19</f>
        <v>#N/A</v>
      </c>
      <c r="BF320" s="192" t="e">
        <f ca="1">(OFFSET(Pinlist!$F$1,BC320,0)-$BO$16)*$BO$19</f>
        <v>#N/A</v>
      </c>
      <c r="BG320" s="1098" t="str">
        <f ca="1">IF(LEFT(BD320,2)="RF",OFFSET(Pinlist!$D$1,Chart!BC320,0)&amp;"_"&amp;OFFSET(Pinlist!$G$1,Chart!BC320,0),"")</f>
        <v/>
      </c>
      <c r="BH320" s="1098"/>
      <c r="BI320" s="178"/>
      <c r="BJ320" s="178"/>
      <c r="BK320" s="178"/>
      <c r="BL320" s="178"/>
      <c r="BM320" s="178"/>
      <c r="BN320" s="178"/>
      <c r="BO320" s="178"/>
      <c r="BP320" s="178"/>
      <c r="BQ320" s="196"/>
      <c r="BR320" s="196"/>
      <c r="BS320" s="196"/>
      <c r="BT320" s="196"/>
      <c r="BU320" s="196"/>
      <c r="BV320" s="196"/>
      <c r="BW320" s="178"/>
      <c r="BX320" s="196"/>
      <c r="BY320" s="196"/>
      <c r="BZ320" s="196"/>
      <c r="CA320" s="196"/>
      <c r="CB320" s="178"/>
      <c r="CC320" s="178"/>
      <c r="CD320" s="202"/>
      <c r="CE320" s="202"/>
      <c r="CF320" s="178"/>
      <c r="CG320" s="196"/>
      <c r="CH320" s="178"/>
      <c r="CI320" s="178"/>
      <c r="CJ320" s="178"/>
      <c r="CK320" s="178"/>
      <c r="CL320" s="178"/>
      <c r="CM320" s="178"/>
      <c r="CN320" s="178"/>
      <c r="CO320" s="178"/>
      <c r="CP320" s="178"/>
      <c r="CQ320" s="178"/>
      <c r="CR320" s="178"/>
      <c r="CS320" s="178"/>
      <c r="CT320" s="178"/>
      <c r="CU320" s="178"/>
      <c r="CV320" s="178"/>
      <c r="CW320" s="178"/>
      <c r="CX320" s="178"/>
      <c r="CY320" s="178"/>
      <c r="CZ320" s="178"/>
      <c r="DA320" s="150"/>
    </row>
    <row r="321" spans="53:105" x14ac:dyDescent="0.2">
      <c r="BA321" s="518">
        <f t="shared" ca="1" si="25"/>
        <v>61</v>
      </c>
      <c r="BB321" s="174">
        <f t="shared" ca="1" si="26"/>
        <v>258</v>
      </c>
      <c r="BC321" s="525" t="e">
        <f ca="1">MATCH(BD321,OFFSET(Pinlist!$A$2,BC320*(BA321=BA320),0,$BM$23,1),0)+BC320*(BA321=BA320)</f>
        <v>#N/A</v>
      </c>
      <c r="BD321" s="167">
        <f t="shared" ca="1" si="27"/>
        <v>0</v>
      </c>
      <c r="BE321" s="191" t="e">
        <f ca="1">(OFFSET(Pinlist!$E$1,BC321,0)-$BN$16)*$BN$19</f>
        <v>#N/A</v>
      </c>
      <c r="BF321" s="192" t="e">
        <f ca="1">(OFFSET(Pinlist!$F$1,BC321,0)-$BO$16)*$BO$19</f>
        <v>#N/A</v>
      </c>
      <c r="BG321" s="1098" t="str">
        <f ca="1">IF(LEFT(BD321,2)="RF",OFFSET(Pinlist!$D$1,Chart!BC321,0)&amp;"_"&amp;OFFSET(Pinlist!$G$1,Chart!BC321,0),"")</f>
        <v/>
      </c>
      <c r="BH321" s="1098"/>
      <c r="BI321" s="178"/>
      <c r="BJ321" s="178"/>
      <c r="BK321" s="178"/>
      <c r="BL321" s="178"/>
      <c r="BM321" s="178"/>
      <c r="BN321" s="178"/>
      <c r="BO321" s="178"/>
      <c r="BP321" s="178"/>
      <c r="BQ321" s="196"/>
      <c r="BR321" s="196"/>
      <c r="BS321" s="196"/>
      <c r="BT321" s="196"/>
      <c r="BU321" s="196"/>
      <c r="BV321" s="196"/>
      <c r="BW321" s="178"/>
      <c r="BX321" s="196"/>
      <c r="BY321" s="196"/>
      <c r="BZ321" s="196"/>
      <c r="CA321" s="196"/>
      <c r="CB321" s="178"/>
      <c r="CC321" s="178"/>
      <c r="CD321" s="202"/>
      <c r="CE321" s="202"/>
      <c r="CF321" s="178"/>
      <c r="CG321" s="196"/>
      <c r="CH321" s="178"/>
      <c r="CI321" s="178"/>
      <c r="CJ321" s="178"/>
      <c r="CK321" s="178"/>
      <c r="CL321" s="178"/>
      <c r="CM321" s="178"/>
      <c r="CN321" s="178"/>
      <c r="CO321" s="178"/>
      <c r="CP321" s="178"/>
      <c r="CQ321" s="178"/>
      <c r="CR321" s="178"/>
      <c r="CS321" s="178"/>
      <c r="CT321" s="178"/>
      <c r="CU321" s="178"/>
      <c r="CV321" s="178"/>
      <c r="CW321" s="178"/>
      <c r="CX321" s="178"/>
      <c r="CY321" s="178"/>
      <c r="CZ321" s="178"/>
      <c r="DA321" s="150"/>
    </row>
    <row r="322" spans="53:105" x14ac:dyDescent="0.2">
      <c r="BA322" s="518">
        <f t="shared" ca="1" si="25"/>
        <v>61</v>
      </c>
      <c r="BB322" s="174">
        <f t="shared" ca="1" si="26"/>
        <v>259</v>
      </c>
      <c r="BC322" s="525" t="e">
        <f ca="1">MATCH(BD322,OFFSET(Pinlist!$A$2,BC321*(BA322=BA321),0,$BM$23,1),0)+BC321*(BA322=BA321)</f>
        <v>#N/A</v>
      </c>
      <c r="BD322" s="167">
        <f t="shared" ca="1" si="27"/>
        <v>0</v>
      </c>
      <c r="BE322" s="191" t="e">
        <f ca="1">(OFFSET(Pinlist!$E$1,BC322,0)-$BN$16)*$BN$19</f>
        <v>#N/A</v>
      </c>
      <c r="BF322" s="192" t="e">
        <f ca="1">(OFFSET(Pinlist!$F$1,BC322,0)-$BO$16)*$BO$19</f>
        <v>#N/A</v>
      </c>
      <c r="BG322" s="1098" t="str">
        <f ca="1">IF(LEFT(BD322,2)="RF",OFFSET(Pinlist!$D$1,Chart!BC322,0)&amp;"_"&amp;OFFSET(Pinlist!$G$1,Chart!BC322,0),"")</f>
        <v/>
      </c>
      <c r="BH322" s="1098"/>
      <c r="BI322" s="178"/>
      <c r="BJ322" s="178"/>
      <c r="BK322" s="178"/>
      <c r="BL322" s="178"/>
      <c r="BM322" s="178"/>
      <c r="BN322" s="178"/>
      <c r="BO322" s="178"/>
      <c r="BP322" s="178"/>
      <c r="BQ322" s="196"/>
      <c r="BR322" s="196"/>
      <c r="BS322" s="196"/>
      <c r="BT322" s="196"/>
      <c r="BU322" s="196"/>
      <c r="BV322" s="196"/>
      <c r="BW322" s="178"/>
      <c r="BX322" s="196"/>
      <c r="BY322" s="196"/>
      <c r="BZ322" s="196"/>
      <c r="CA322" s="196"/>
      <c r="CB322" s="178"/>
      <c r="CC322" s="178"/>
      <c r="CD322" s="202"/>
      <c r="CE322" s="202"/>
      <c r="CF322" s="178"/>
      <c r="CG322" s="196"/>
      <c r="CH322" s="178"/>
      <c r="CI322" s="178"/>
      <c r="CJ322" s="178"/>
      <c r="CK322" s="178"/>
      <c r="CL322" s="178"/>
      <c r="CM322" s="178"/>
      <c r="CN322" s="178"/>
      <c r="CO322" s="178"/>
      <c r="CP322" s="178"/>
      <c r="CQ322" s="178"/>
      <c r="CR322" s="178"/>
      <c r="CS322" s="178"/>
      <c r="CT322" s="178"/>
      <c r="CU322" s="178"/>
      <c r="CV322" s="178"/>
      <c r="CW322" s="178"/>
      <c r="CX322" s="178"/>
      <c r="CY322" s="178"/>
      <c r="CZ322" s="178"/>
      <c r="DA322" s="150"/>
    </row>
    <row r="323" spans="53:105" x14ac:dyDescent="0.2">
      <c r="BA323" s="518">
        <f t="shared" ca="1" si="25"/>
        <v>61</v>
      </c>
      <c r="BB323" s="174">
        <f t="shared" ca="1" si="26"/>
        <v>260</v>
      </c>
      <c r="BC323" s="525" t="e">
        <f ca="1">MATCH(BD323,OFFSET(Pinlist!$A$2,BC322*(BA323=BA322),0,$BM$23,1),0)+BC322*(BA323=BA322)</f>
        <v>#N/A</v>
      </c>
      <c r="BD323" s="167">
        <f t="shared" ca="1" si="27"/>
        <v>0</v>
      </c>
      <c r="BE323" s="191" t="e">
        <f ca="1">(OFFSET(Pinlist!$E$1,BC323,0)-$BN$16)*$BN$19</f>
        <v>#N/A</v>
      </c>
      <c r="BF323" s="192" t="e">
        <f ca="1">(OFFSET(Pinlist!$F$1,BC323,0)-$BO$16)*$BO$19</f>
        <v>#N/A</v>
      </c>
      <c r="BG323" s="1098" t="str">
        <f ca="1">IF(LEFT(BD323,2)="RF",OFFSET(Pinlist!$D$1,Chart!BC323,0)&amp;"_"&amp;OFFSET(Pinlist!$G$1,Chart!BC323,0),"")</f>
        <v/>
      </c>
      <c r="BH323" s="1098"/>
      <c r="BI323" s="178"/>
      <c r="BJ323" s="178"/>
      <c r="BK323" s="178"/>
      <c r="BL323" s="178"/>
      <c r="BM323" s="178"/>
      <c r="BN323" s="178"/>
      <c r="BO323" s="178"/>
      <c r="BP323" s="178"/>
      <c r="BQ323" s="196"/>
      <c r="BR323" s="196"/>
      <c r="BS323" s="196"/>
      <c r="BT323" s="196"/>
      <c r="BU323" s="196"/>
      <c r="BV323" s="196"/>
      <c r="BW323" s="178"/>
      <c r="BX323" s="196"/>
      <c r="BY323" s="196"/>
      <c r="BZ323" s="196"/>
      <c r="CA323" s="196"/>
      <c r="CB323" s="178"/>
      <c r="CC323" s="178"/>
      <c r="CD323" s="202"/>
      <c r="CE323" s="202"/>
      <c r="CF323" s="178"/>
      <c r="CG323" s="196"/>
      <c r="CH323" s="178"/>
      <c r="CI323" s="178"/>
      <c r="CJ323" s="178"/>
      <c r="CK323" s="178"/>
      <c r="CL323" s="178"/>
      <c r="CM323" s="178"/>
      <c r="CN323" s="178"/>
      <c r="CO323" s="178"/>
      <c r="CP323" s="178"/>
      <c r="CQ323" s="178"/>
      <c r="CR323" s="178"/>
      <c r="CS323" s="178"/>
      <c r="CT323" s="178"/>
      <c r="CU323" s="178"/>
      <c r="CV323" s="178"/>
      <c r="CW323" s="178"/>
      <c r="CX323" s="178"/>
      <c r="CY323" s="178"/>
      <c r="CZ323" s="178"/>
      <c r="DA323" s="150"/>
    </row>
    <row r="324" spans="53:105" x14ac:dyDescent="0.2">
      <c r="BA324" s="518">
        <f t="shared" ref="BA324:BA387" ca="1" si="28">BA323+(BB323=OFFSET($BZ$3,BA323,0))</f>
        <v>61</v>
      </c>
      <c r="BB324" s="174">
        <f t="shared" ref="BB324:BB387" ca="1" si="29">IF(BA324=BA323,BB323+1,1)</f>
        <v>261</v>
      </c>
      <c r="BC324" s="525" t="e">
        <f ca="1">MATCH(BD324,OFFSET(Pinlist!$A$2,BC323*(BA324=BA323),0,$BM$23,1),0)+BC323*(BA324=BA323)</f>
        <v>#N/A</v>
      </c>
      <c r="BD324" s="167">
        <f t="shared" ref="BD324:BD387" ca="1" si="30">OFFSET($BY$3,BA324,0)</f>
        <v>0</v>
      </c>
      <c r="BE324" s="191" t="e">
        <f ca="1">(OFFSET(Pinlist!$E$1,BC324,0)-$BN$16)*$BN$19</f>
        <v>#N/A</v>
      </c>
      <c r="BF324" s="192" t="e">
        <f ca="1">(OFFSET(Pinlist!$F$1,BC324,0)-$BO$16)*$BO$19</f>
        <v>#N/A</v>
      </c>
      <c r="BG324" s="1098" t="str">
        <f ca="1">IF(LEFT(BD324,2)="RF",OFFSET(Pinlist!$D$1,Chart!BC324,0)&amp;"_"&amp;OFFSET(Pinlist!$G$1,Chart!BC324,0),"")</f>
        <v/>
      </c>
      <c r="BH324" s="1098"/>
      <c r="BI324" s="178"/>
      <c r="BJ324" s="178"/>
      <c r="BK324" s="178"/>
      <c r="BL324" s="178"/>
      <c r="BM324" s="178"/>
      <c r="BN324" s="178"/>
      <c r="BO324" s="178"/>
      <c r="BP324" s="178"/>
      <c r="BQ324" s="196"/>
      <c r="BR324" s="196"/>
      <c r="BS324" s="196"/>
      <c r="BT324" s="196"/>
      <c r="BU324" s="196"/>
      <c r="BV324" s="196"/>
      <c r="BW324" s="178"/>
      <c r="BX324" s="196"/>
      <c r="BY324" s="196"/>
      <c r="BZ324" s="196"/>
      <c r="CA324" s="196"/>
      <c r="CB324" s="178"/>
      <c r="CC324" s="178"/>
      <c r="CD324" s="202"/>
      <c r="CE324" s="202"/>
      <c r="CF324" s="178"/>
      <c r="CG324" s="196"/>
      <c r="CH324" s="178"/>
      <c r="CI324" s="178"/>
      <c r="CJ324" s="178"/>
      <c r="CK324" s="178"/>
      <c r="CL324" s="178"/>
      <c r="CM324" s="178"/>
      <c r="CN324" s="178"/>
      <c r="CO324" s="178"/>
      <c r="CP324" s="178"/>
      <c r="CQ324" s="178"/>
      <c r="CR324" s="178"/>
      <c r="CS324" s="178"/>
      <c r="CT324" s="178"/>
      <c r="CU324" s="178"/>
      <c r="CV324" s="178"/>
      <c r="CW324" s="178"/>
      <c r="CX324" s="178"/>
      <c r="CY324" s="178"/>
      <c r="CZ324" s="178"/>
      <c r="DA324" s="150"/>
    </row>
    <row r="325" spans="53:105" x14ac:dyDescent="0.2">
      <c r="BA325" s="518">
        <f t="shared" ca="1" si="28"/>
        <v>61</v>
      </c>
      <c r="BB325" s="174">
        <f t="shared" ca="1" si="29"/>
        <v>262</v>
      </c>
      <c r="BC325" s="525" t="e">
        <f ca="1">MATCH(BD325,OFFSET(Pinlist!$A$2,BC324*(BA325=BA324),0,$BM$23,1),0)+BC324*(BA325=BA324)</f>
        <v>#N/A</v>
      </c>
      <c r="BD325" s="167">
        <f t="shared" ca="1" si="30"/>
        <v>0</v>
      </c>
      <c r="BE325" s="191" t="e">
        <f ca="1">(OFFSET(Pinlist!$E$1,BC325,0)-$BN$16)*$BN$19</f>
        <v>#N/A</v>
      </c>
      <c r="BF325" s="192" t="e">
        <f ca="1">(OFFSET(Pinlist!$F$1,BC325,0)-$BO$16)*$BO$19</f>
        <v>#N/A</v>
      </c>
      <c r="BG325" s="1098" t="str">
        <f ca="1">IF(LEFT(BD325,2)="RF",OFFSET(Pinlist!$D$1,Chart!BC325,0)&amp;"_"&amp;OFFSET(Pinlist!$G$1,Chart!BC325,0),"")</f>
        <v/>
      </c>
      <c r="BH325" s="1098"/>
      <c r="BI325" s="178"/>
      <c r="BJ325" s="178"/>
      <c r="BK325" s="178"/>
      <c r="BL325" s="178"/>
      <c r="BM325" s="178"/>
      <c r="BN325" s="178"/>
      <c r="BO325" s="178"/>
      <c r="BP325" s="178"/>
      <c r="BQ325" s="196"/>
      <c r="BR325" s="196"/>
      <c r="BS325" s="196"/>
      <c r="BT325" s="196"/>
      <c r="BU325" s="196"/>
      <c r="BV325" s="196"/>
      <c r="BW325" s="178"/>
      <c r="BX325" s="196"/>
      <c r="BY325" s="196"/>
      <c r="BZ325" s="196"/>
      <c r="CA325" s="196"/>
      <c r="CB325" s="178"/>
      <c r="CC325" s="178"/>
      <c r="CD325" s="202"/>
      <c r="CE325" s="202"/>
      <c r="CF325" s="178"/>
      <c r="CG325" s="196"/>
      <c r="CH325" s="178"/>
      <c r="CI325" s="178"/>
      <c r="CJ325" s="178"/>
      <c r="CK325" s="178"/>
      <c r="CL325" s="178"/>
      <c r="CM325" s="178"/>
      <c r="CN325" s="178"/>
      <c r="CO325" s="178"/>
      <c r="CP325" s="178"/>
      <c r="CQ325" s="178"/>
      <c r="CR325" s="178"/>
      <c r="CS325" s="178"/>
      <c r="CT325" s="178"/>
      <c r="CU325" s="178"/>
      <c r="CV325" s="178"/>
      <c r="CW325" s="178"/>
      <c r="CX325" s="178"/>
      <c r="CY325" s="178"/>
      <c r="CZ325" s="178"/>
      <c r="DA325" s="150"/>
    </row>
    <row r="326" spans="53:105" x14ac:dyDescent="0.2">
      <c r="BA326" s="518">
        <f t="shared" ca="1" si="28"/>
        <v>61</v>
      </c>
      <c r="BB326" s="174">
        <f t="shared" ca="1" si="29"/>
        <v>263</v>
      </c>
      <c r="BC326" s="525" t="e">
        <f ca="1">MATCH(BD326,OFFSET(Pinlist!$A$2,BC325*(BA326=BA325),0,$BM$23,1),0)+BC325*(BA326=BA325)</f>
        <v>#N/A</v>
      </c>
      <c r="BD326" s="167">
        <f t="shared" ca="1" si="30"/>
        <v>0</v>
      </c>
      <c r="BE326" s="191" t="e">
        <f ca="1">(OFFSET(Pinlist!$E$1,BC326,0)-$BN$16)*$BN$19</f>
        <v>#N/A</v>
      </c>
      <c r="BF326" s="192" t="e">
        <f ca="1">(OFFSET(Pinlist!$F$1,BC326,0)-$BO$16)*$BO$19</f>
        <v>#N/A</v>
      </c>
      <c r="BG326" s="1098" t="str">
        <f ca="1">IF(LEFT(BD326,2)="RF",OFFSET(Pinlist!$D$1,Chart!BC326,0)&amp;"_"&amp;OFFSET(Pinlist!$G$1,Chart!BC326,0),"")</f>
        <v/>
      </c>
      <c r="BH326" s="1098"/>
      <c r="BI326" s="178"/>
      <c r="BJ326" s="178"/>
      <c r="BK326" s="178"/>
      <c r="BL326" s="178"/>
      <c r="BM326" s="178"/>
      <c r="BN326" s="178"/>
      <c r="BO326" s="178"/>
      <c r="BP326" s="178"/>
      <c r="BQ326" s="196"/>
      <c r="BR326" s="196"/>
      <c r="BS326" s="196"/>
      <c r="BT326" s="196"/>
      <c r="BU326" s="196"/>
      <c r="BV326" s="196"/>
      <c r="BW326" s="178"/>
      <c r="BX326" s="196"/>
      <c r="BY326" s="196"/>
      <c r="BZ326" s="196"/>
      <c r="CA326" s="196"/>
      <c r="CB326" s="178"/>
      <c r="CC326" s="178"/>
      <c r="CD326" s="202"/>
      <c r="CE326" s="202"/>
      <c r="CF326" s="178"/>
      <c r="CG326" s="196"/>
      <c r="CH326" s="178"/>
      <c r="CI326" s="178"/>
      <c r="CJ326" s="178"/>
      <c r="CK326" s="178"/>
      <c r="CL326" s="178"/>
      <c r="CM326" s="178"/>
      <c r="CN326" s="178"/>
      <c r="CO326" s="178"/>
      <c r="CP326" s="178"/>
      <c r="CQ326" s="178"/>
      <c r="CR326" s="178"/>
      <c r="CS326" s="178"/>
      <c r="CT326" s="178"/>
      <c r="CU326" s="178"/>
      <c r="CV326" s="178"/>
      <c r="CW326" s="178"/>
      <c r="CX326" s="178"/>
      <c r="CY326" s="178"/>
      <c r="CZ326" s="178"/>
      <c r="DA326" s="150"/>
    </row>
    <row r="327" spans="53:105" x14ac:dyDescent="0.2">
      <c r="BA327" s="518">
        <f t="shared" ca="1" si="28"/>
        <v>61</v>
      </c>
      <c r="BB327" s="174">
        <f t="shared" ca="1" si="29"/>
        <v>264</v>
      </c>
      <c r="BC327" s="525" t="e">
        <f ca="1">MATCH(BD327,OFFSET(Pinlist!$A$2,BC326*(BA327=BA326),0,$BM$23,1),0)+BC326*(BA327=BA326)</f>
        <v>#N/A</v>
      </c>
      <c r="BD327" s="167">
        <f t="shared" ca="1" si="30"/>
        <v>0</v>
      </c>
      <c r="BE327" s="191" t="e">
        <f ca="1">(OFFSET(Pinlist!$E$1,BC327,0)-$BN$16)*$BN$19</f>
        <v>#N/A</v>
      </c>
      <c r="BF327" s="192" t="e">
        <f ca="1">(OFFSET(Pinlist!$F$1,BC327,0)-$BO$16)*$BO$19</f>
        <v>#N/A</v>
      </c>
      <c r="BG327" s="1098" t="str">
        <f ca="1">IF(LEFT(BD327,2)="RF",OFFSET(Pinlist!$D$1,Chart!BC327,0)&amp;"_"&amp;OFFSET(Pinlist!$G$1,Chart!BC327,0),"")</f>
        <v/>
      </c>
      <c r="BH327" s="1098"/>
      <c r="BI327" s="178"/>
      <c r="BJ327" s="178"/>
      <c r="BK327" s="178"/>
      <c r="BL327" s="178"/>
      <c r="BM327" s="178"/>
      <c r="BN327" s="178"/>
      <c r="BO327" s="178"/>
      <c r="BP327" s="178"/>
      <c r="BQ327" s="196"/>
      <c r="BR327" s="196"/>
      <c r="BS327" s="196"/>
      <c r="BT327" s="196"/>
      <c r="BU327" s="196"/>
      <c r="BV327" s="196"/>
      <c r="BW327" s="178"/>
      <c r="BX327" s="196"/>
      <c r="BY327" s="196"/>
      <c r="BZ327" s="196"/>
      <c r="CA327" s="196"/>
      <c r="CB327" s="178"/>
      <c r="CC327" s="178"/>
      <c r="CD327" s="202"/>
      <c r="CE327" s="202"/>
      <c r="CF327" s="178"/>
      <c r="CG327" s="196"/>
      <c r="CH327" s="178"/>
      <c r="CI327" s="178"/>
      <c r="CJ327" s="178"/>
      <c r="CK327" s="178"/>
      <c r="CL327" s="178"/>
      <c r="CM327" s="178"/>
      <c r="CN327" s="178"/>
      <c r="CO327" s="178"/>
      <c r="CP327" s="178"/>
      <c r="CQ327" s="178"/>
      <c r="CR327" s="178"/>
      <c r="CS327" s="178"/>
      <c r="CT327" s="178"/>
      <c r="CU327" s="178"/>
      <c r="CV327" s="178"/>
      <c r="CW327" s="178"/>
      <c r="CX327" s="178"/>
      <c r="CY327" s="178"/>
      <c r="CZ327" s="178"/>
      <c r="DA327" s="150"/>
    </row>
    <row r="328" spans="53:105" x14ac:dyDescent="0.2">
      <c r="BA328" s="518">
        <f t="shared" ca="1" si="28"/>
        <v>61</v>
      </c>
      <c r="BB328" s="174">
        <f t="shared" ca="1" si="29"/>
        <v>265</v>
      </c>
      <c r="BC328" s="525" t="e">
        <f ca="1">MATCH(BD328,OFFSET(Pinlist!$A$2,BC327*(BA328=BA327),0,$BM$23,1),0)+BC327*(BA328=BA327)</f>
        <v>#N/A</v>
      </c>
      <c r="BD328" s="167">
        <f t="shared" ca="1" si="30"/>
        <v>0</v>
      </c>
      <c r="BE328" s="191" t="e">
        <f ca="1">(OFFSET(Pinlist!$E$1,BC328,0)-$BN$16)*$BN$19</f>
        <v>#N/A</v>
      </c>
      <c r="BF328" s="192" t="e">
        <f ca="1">(OFFSET(Pinlist!$F$1,BC328,0)-$BO$16)*$BO$19</f>
        <v>#N/A</v>
      </c>
      <c r="BG328" s="1098" t="str">
        <f ca="1">IF(LEFT(BD328,2)="RF",OFFSET(Pinlist!$D$1,Chart!BC328,0)&amp;"_"&amp;OFFSET(Pinlist!$G$1,Chart!BC328,0),"")</f>
        <v/>
      </c>
      <c r="BH328" s="1098"/>
      <c r="BI328" s="178"/>
      <c r="BJ328" s="178"/>
      <c r="BK328" s="178"/>
      <c r="BL328" s="178"/>
      <c r="BM328" s="178"/>
      <c r="BN328" s="178"/>
      <c r="BO328" s="178"/>
      <c r="BP328" s="178"/>
      <c r="BQ328" s="196"/>
      <c r="BR328" s="196"/>
      <c r="BS328" s="196"/>
      <c r="BT328" s="196"/>
      <c r="BU328" s="196"/>
      <c r="BV328" s="196"/>
      <c r="BW328" s="178"/>
      <c r="BX328" s="196"/>
      <c r="BY328" s="196"/>
      <c r="BZ328" s="196"/>
      <c r="CA328" s="196"/>
      <c r="CB328" s="178"/>
      <c r="CC328" s="178"/>
      <c r="CD328" s="202"/>
      <c r="CE328" s="202"/>
      <c r="CF328" s="178"/>
      <c r="CG328" s="196"/>
      <c r="CH328" s="178"/>
      <c r="CI328" s="178"/>
      <c r="CJ328" s="178"/>
      <c r="CK328" s="178"/>
      <c r="CL328" s="178"/>
      <c r="CM328" s="178"/>
      <c r="CN328" s="178"/>
      <c r="CO328" s="178"/>
      <c r="CP328" s="178"/>
      <c r="CQ328" s="178"/>
      <c r="CR328" s="178"/>
      <c r="CS328" s="178"/>
      <c r="CT328" s="178"/>
      <c r="CU328" s="178"/>
      <c r="CV328" s="178"/>
      <c r="CW328" s="178"/>
      <c r="CX328" s="178"/>
      <c r="CY328" s="178"/>
      <c r="CZ328" s="178"/>
      <c r="DA328" s="150"/>
    </row>
    <row r="329" spans="53:105" x14ac:dyDescent="0.2">
      <c r="BA329" s="518">
        <f t="shared" ca="1" si="28"/>
        <v>61</v>
      </c>
      <c r="BB329" s="174">
        <f t="shared" ca="1" si="29"/>
        <v>266</v>
      </c>
      <c r="BC329" s="525" t="e">
        <f ca="1">MATCH(BD329,OFFSET(Pinlist!$A$2,BC328*(BA329=BA328),0,$BM$23,1),0)+BC328*(BA329=BA328)</f>
        <v>#N/A</v>
      </c>
      <c r="BD329" s="167">
        <f t="shared" ca="1" si="30"/>
        <v>0</v>
      </c>
      <c r="BE329" s="191" t="e">
        <f ca="1">(OFFSET(Pinlist!$E$1,BC329,0)-$BN$16)*$BN$19</f>
        <v>#N/A</v>
      </c>
      <c r="BF329" s="192" t="e">
        <f ca="1">(OFFSET(Pinlist!$F$1,BC329,0)-$BO$16)*$BO$19</f>
        <v>#N/A</v>
      </c>
      <c r="BG329" s="1098" t="str">
        <f ca="1">IF(LEFT(BD329,2)="RF",OFFSET(Pinlist!$D$1,Chart!BC329,0)&amp;"_"&amp;OFFSET(Pinlist!$G$1,Chart!BC329,0),"")</f>
        <v/>
      </c>
      <c r="BH329" s="1098"/>
      <c r="BI329" s="178"/>
      <c r="BJ329" s="178"/>
      <c r="BK329" s="178"/>
      <c r="BL329" s="178"/>
      <c r="BM329" s="178"/>
      <c r="BN329" s="178"/>
      <c r="BO329" s="178"/>
      <c r="BP329" s="178"/>
      <c r="BQ329" s="196"/>
      <c r="BR329" s="196"/>
      <c r="BS329" s="196"/>
      <c r="BT329" s="196"/>
      <c r="BU329" s="196"/>
      <c r="BV329" s="196"/>
      <c r="BW329" s="178"/>
      <c r="BX329" s="196"/>
      <c r="BY329" s="196"/>
      <c r="BZ329" s="196"/>
      <c r="CA329" s="196"/>
      <c r="CB329" s="178"/>
      <c r="CC329" s="178"/>
      <c r="CD329" s="202"/>
      <c r="CE329" s="202"/>
      <c r="CF329" s="178"/>
      <c r="CG329" s="196"/>
      <c r="CH329" s="178"/>
      <c r="CI329" s="178"/>
      <c r="CJ329" s="178"/>
      <c r="CK329" s="178"/>
      <c r="CL329" s="178"/>
      <c r="CM329" s="178"/>
      <c r="CN329" s="178"/>
      <c r="CO329" s="178"/>
      <c r="CP329" s="178"/>
      <c r="CQ329" s="178"/>
      <c r="CR329" s="178"/>
      <c r="CS329" s="178"/>
      <c r="CT329" s="178"/>
      <c r="CU329" s="178"/>
      <c r="CV329" s="178"/>
      <c r="CW329" s="178"/>
      <c r="CX329" s="178"/>
      <c r="CY329" s="178"/>
      <c r="CZ329" s="178"/>
      <c r="DA329" s="150"/>
    </row>
    <row r="330" spans="53:105" x14ac:dyDescent="0.2">
      <c r="BA330" s="518">
        <f t="shared" ca="1" si="28"/>
        <v>61</v>
      </c>
      <c r="BB330" s="174">
        <f t="shared" ca="1" si="29"/>
        <v>267</v>
      </c>
      <c r="BC330" s="525" t="e">
        <f ca="1">MATCH(BD330,OFFSET(Pinlist!$A$2,BC329*(BA330=BA329),0,$BM$23,1),0)+BC329*(BA330=BA329)</f>
        <v>#N/A</v>
      </c>
      <c r="BD330" s="167">
        <f t="shared" ca="1" si="30"/>
        <v>0</v>
      </c>
      <c r="BE330" s="191" t="e">
        <f ca="1">(OFFSET(Pinlist!$E$1,BC330,0)-$BN$16)*$BN$19</f>
        <v>#N/A</v>
      </c>
      <c r="BF330" s="192" t="e">
        <f ca="1">(OFFSET(Pinlist!$F$1,BC330,0)-$BO$16)*$BO$19</f>
        <v>#N/A</v>
      </c>
      <c r="BG330" s="1098" t="str">
        <f ca="1">IF(LEFT(BD330,2)="RF",OFFSET(Pinlist!$D$1,Chart!BC330,0)&amp;"_"&amp;OFFSET(Pinlist!$G$1,Chart!BC330,0),"")</f>
        <v/>
      </c>
      <c r="BH330" s="1098"/>
      <c r="BI330" s="178"/>
      <c r="BJ330" s="178"/>
      <c r="BK330" s="178"/>
      <c r="BL330" s="178"/>
      <c r="BM330" s="178"/>
      <c r="BN330" s="178"/>
      <c r="BO330" s="178"/>
      <c r="BP330" s="178"/>
      <c r="BQ330" s="196"/>
      <c r="BR330" s="196"/>
      <c r="BS330" s="196"/>
      <c r="BT330" s="196"/>
      <c r="BU330" s="196"/>
      <c r="BV330" s="196"/>
      <c r="BW330" s="178"/>
      <c r="BX330" s="196"/>
      <c r="BY330" s="196"/>
      <c r="BZ330" s="196"/>
      <c r="CA330" s="196"/>
      <c r="CB330" s="178"/>
      <c r="CC330" s="178"/>
      <c r="CD330" s="202"/>
      <c r="CE330" s="202"/>
      <c r="CF330" s="178"/>
      <c r="CG330" s="196"/>
      <c r="CH330" s="178"/>
      <c r="CI330" s="178"/>
      <c r="CJ330" s="178"/>
      <c r="CK330" s="178"/>
      <c r="CL330" s="178"/>
      <c r="CM330" s="178"/>
      <c r="CN330" s="178"/>
      <c r="CO330" s="178"/>
      <c r="CP330" s="178"/>
      <c r="CQ330" s="178"/>
      <c r="CR330" s="178"/>
      <c r="CS330" s="178"/>
      <c r="CT330" s="178"/>
      <c r="CU330" s="178"/>
      <c r="CV330" s="178"/>
      <c r="CW330" s="178"/>
      <c r="CX330" s="178"/>
      <c r="CY330" s="178"/>
      <c r="CZ330" s="178"/>
      <c r="DA330" s="150"/>
    </row>
    <row r="331" spans="53:105" x14ac:dyDescent="0.2">
      <c r="BA331" s="518">
        <f t="shared" ca="1" si="28"/>
        <v>61</v>
      </c>
      <c r="BB331" s="174">
        <f t="shared" ca="1" si="29"/>
        <v>268</v>
      </c>
      <c r="BC331" s="525" t="e">
        <f ca="1">MATCH(BD331,OFFSET(Pinlist!$A$2,BC330*(BA331=BA330),0,$BM$23,1),0)+BC330*(BA331=BA330)</f>
        <v>#N/A</v>
      </c>
      <c r="BD331" s="167">
        <f t="shared" ca="1" si="30"/>
        <v>0</v>
      </c>
      <c r="BE331" s="191" t="e">
        <f ca="1">(OFFSET(Pinlist!$E$1,BC331,0)-$BN$16)*$BN$19</f>
        <v>#N/A</v>
      </c>
      <c r="BF331" s="192" t="e">
        <f ca="1">(OFFSET(Pinlist!$F$1,BC331,0)-$BO$16)*$BO$19</f>
        <v>#N/A</v>
      </c>
      <c r="BG331" s="1098" t="str">
        <f ca="1">IF(LEFT(BD331,2)="RF",OFFSET(Pinlist!$D$1,Chart!BC331,0)&amp;"_"&amp;OFFSET(Pinlist!$G$1,Chart!BC331,0),"")</f>
        <v/>
      </c>
      <c r="BH331" s="1098"/>
      <c r="BI331" s="178"/>
      <c r="BJ331" s="178"/>
      <c r="BK331" s="178"/>
      <c r="BL331" s="178"/>
      <c r="BM331" s="178"/>
      <c r="BN331" s="178"/>
      <c r="BO331" s="178"/>
      <c r="BP331" s="178"/>
      <c r="BQ331" s="196"/>
      <c r="BR331" s="196"/>
      <c r="BS331" s="196"/>
      <c r="BT331" s="196"/>
      <c r="BU331" s="196"/>
      <c r="BV331" s="196"/>
      <c r="BW331" s="178"/>
      <c r="BX331" s="196"/>
      <c r="BY331" s="196"/>
      <c r="BZ331" s="196"/>
      <c r="CA331" s="196"/>
      <c r="CB331" s="178"/>
      <c r="CC331" s="178"/>
      <c r="CD331" s="202"/>
      <c r="CE331" s="202"/>
      <c r="CF331" s="178"/>
      <c r="CG331" s="196"/>
      <c r="CH331" s="178"/>
      <c r="CI331" s="178"/>
      <c r="CJ331" s="178"/>
      <c r="CK331" s="178"/>
      <c r="CL331" s="178"/>
      <c r="CM331" s="178"/>
      <c r="CN331" s="178"/>
      <c r="CO331" s="178"/>
      <c r="CP331" s="178"/>
      <c r="CQ331" s="178"/>
      <c r="CR331" s="178"/>
      <c r="CS331" s="178"/>
      <c r="CT331" s="178"/>
      <c r="CU331" s="178"/>
      <c r="CV331" s="178"/>
      <c r="CW331" s="178"/>
      <c r="CX331" s="178"/>
      <c r="CY331" s="178"/>
      <c r="CZ331" s="178"/>
      <c r="DA331" s="150"/>
    </row>
    <row r="332" spans="53:105" x14ac:dyDescent="0.2">
      <c r="BA332" s="518">
        <f t="shared" ca="1" si="28"/>
        <v>61</v>
      </c>
      <c r="BB332" s="174">
        <f t="shared" ca="1" si="29"/>
        <v>269</v>
      </c>
      <c r="BC332" s="525" t="e">
        <f ca="1">MATCH(BD332,OFFSET(Pinlist!$A$2,BC331*(BA332=BA331),0,$BM$23,1),0)+BC331*(BA332=BA331)</f>
        <v>#N/A</v>
      </c>
      <c r="BD332" s="167">
        <f t="shared" ca="1" si="30"/>
        <v>0</v>
      </c>
      <c r="BE332" s="191" t="e">
        <f ca="1">(OFFSET(Pinlist!$E$1,BC332,0)-$BN$16)*$BN$19</f>
        <v>#N/A</v>
      </c>
      <c r="BF332" s="192" t="e">
        <f ca="1">(OFFSET(Pinlist!$F$1,BC332,0)-$BO$16)*$BO$19</f>
        <v>#N/A</v>
      </c>
      <c r="BG332" s="1098" t="str">
        <f ca="1">IF(LEFT(BD332,2)="RF",OFFSET(Pinlist!$D$1,Chart!BC332,0)&amp;"_"&amp;OFFSET(Pinlist!$G$1,Chart!BC332,0),"")</f>
        <v/>
      </c>
      <c r="BH332" s="1098"/>
      <c r="BI332" s="178"/>
      <c r="BJ332" s="178"/>
      <c r="BK332" s="178"/>
      <c r="BL332" s="178"/>
      <c r="BM332" s="178"/>
      <c r="BN332" s="178"/>
      <c r="BO332" s="178"/>
      <c r="BP332" s="178"/>
      <c r="BQ332" s="196"/>
      <c r="BR332" s="196"/>
      <c r="BS332" s="196"/>
      <c r="BT332" s="196"/>
      <c r="BU332" s="196"/>
      <c r="BV332" s="196"/>
      <c r="BW332" s="178"/>
      <c r="BX332" s="196"/>
      <c r="BY332" s="196"/>
      <c r="BZ332" s="196"/>
      <c r="CA332" s="196"/>
      <c r="CB332" s="178"/>
      <c r="CC332" s="178"/>
      <c r="CD332" s="202"/>
      <c r="CE332" s="202"/>
      <c r="CF332" s="178"/>
      <c r="CG332" s="196"/>
      <c r="CH332" s="178"/>
      <c r="CI332" s="178"/>
      <c r="CJ332" s="178"/>
      <c r="CK332" s="178"/>
      <c r="CL332" s="178"/>
      <c r="CM332" s="178"/>
      <c r="CN332" s="178"/>
      <c r="CO332" s="178"/>
      <c r="CP332" s="178"/>
      <c r="CQ332" s="178"/>
      <c r="CR332" s="178"/>
      <c r="CS332" s="178"/>
      <c r="CT332" s="178"/>
      <c r="CU332" s="178"/>
      <c r="CV332" s="178"/>
      <c r="CW332" s="178"/>
      <c r="CX332" s="178"/>
      <c r="CY332" s="178"/>
      <c r="CZ332" s="178"/>
      <c r="DA332" s="150"/>
    </row>
    <row r="333" spans="53:105" x14ac:dyDescent="0.2">
      <c r="BA333" s="518">
        <f t="shared" ca="1" si="28"/>
        <v>61</v>
      </c>
      <c r="BB333" s="174">
        <f t="shared" ca="1" si="29"/>
        <v>270</v>
      </c>
      <c r="BC333" s="525" t="e">
        <f ca="1">MATCH(BD333,OFFSET(Pinlist!$A$2,BC332*(BA333=BA332),0,$BM$23,1),0)+BC332*(BA333=BA332)</f>
        <v>#N/A</v>
      </c>
      <c r="BD333" s="167">
        <f t="shared" ca="1" si="30"/>
        <v>0</v>
      </c>
      <c r="BE333" s="191" t="e">
        <f ca="1">(OFFSET(Pinlist!$E$1,BC333,0)-$BN$16)*$BN$19</f>
        <v>#N/A</v>
      </c>
      <c r="BF333" s="192" t="e">
        <f ca="1">(OFFSET(Pinlist!$F$1,BC333,0)-$BO$16)*$BO$19</f>
        <v>#N/A</v>
      </c>
      <c r="BG333" s="1098" t="str">
        <f ca="1">IF(LEFT(BD333,2)="RF",OFFSET(Pinlist!$D$1,Chart!BC333,0)&amp;"_"&amp;OFFSET(Pinlist!$G$1,Chart!BC333,0),"")</f>
        <v/>
      </c>
      <c r="BH333" s="1098"/>
      <c r="BI333" s="178"/>
      <c r="BJ333" s="178"/>
      <c r="BK333" s="178"/>
      <c r="BL333" s="178"/>
      <c r="BM333" s="178"/>
      <c r="BN333" s="178"/>
      <c r="BO333" s="178"/>
      <c r="BP333" s="178"/>
      <c r="BQ333" s="196"/>
      <c r="BR333" s="196"/>
      <c r="BS333" s="196"/>
      <c r="BT333" s="196"/>
      <c r="BU333" s="196"/>
      <c r="BV333" s="196"/>
      <c r="BW333" s="178"/>
      <c r="BX333" s="196"/>
      <c r="BY333" s="196"/>
      <c r="BZ333" s="196"/>
      <c r="CA333" s="196"/>
      <c r="CB333" s="178"/>
      <c r="CC333" s="178"/>
      <c r="CD333" s="202"/>
      <c r="CE333" s="202"/>
      <c r="CF333" s="178"/>
      <c r="CG333" s="196"/>
      <c r="CH333" s="178"/>
      <c r="CI333" s="178"/>
      <c r="CJ333" s="178"/>
      <c r="CK333" s="178"/>
      <c r="CL333" s="178"/>
      <c r="CM333" s="178"/>
      <c r="CN333" s="178"/>
      <c r="CO333" s="178"/>
      <c r="CP333" s="178"/>
      <c r="CQ333" s="178"/>
      <c r="CR333" s="178"/>
      <c r="CS333" s="178"/>
      <c r="CT333" s="178"/>
      <c r="CU333" s="178"/>
      <c r="CV333" s="178"/>
      <c r="CW333" s="178"/>
      <c r="CX333" s="178"/>
      <c r="CY333" s="178"/>
      <c r="CZ333" s="178"/>
      <c r="DA333" s="150"/>
    </row>
    <row r="334" spans="53:105" x14ac:dyDescent="0.2">
      <c r="BA334" s="518">
        <f t="shared" ca="1" si="28"/>
        <v>61</v>
      </c>
      <c r="BB334" s="174">
        <f t="shared" ca="1" si="29"/>
        <v>271</v>
      </c>
      <c r="BC334" s="525" t="e">
        <f ca="1">MATCH(BD334,OFFSET(Pinlist!$A$2,BC333*(BA334=BA333),0,$BM$23,1),0)+BC333*(BA334=BA333)</f>
        <v>#N/A</v>
      </c>
      <c r="BD334" s="167">
        <f t="shared" ca="1" si="30"/>
        <v>0</v>
      </c>
      <c r="BE334" s="191" t="e">
        <f ca="1">(OFFSET(Pinlist!$E$1,BC334,0)-$BN$16)*$BN$19</f>
        <v>#N/A</v>
      </c>
      <c r="BF334" s="192" t="e">
        <f ca="1">(OFFSET(Pinlist!$F$1,BC334,0)-$BO$16)*$BO$19</f>
        <v>#N/A</v>
      </c>
      <c r="BG334" s="1098" t="str">
        <f ca="1">IF(LEFT(BD334,2)="RF",OFFSET(Pinlist!$D$1,Chart!BC334,0)&amp;"_"&amp;OFFSET(Pinlist!$G$1,Chart!BC334,0),"")</f>
        <v/>
      </c>
      <c r="BH334" s="1098"/>
      <c r="BI334" s="178"/>
      <c r="BJ334" s="178"/>
      <c r="BK334" s="178"/>
      <c r="BL334" s="178"/>
      <c r="BM334" s="178"/>
      <c r="BN334" s="178"/>
      <c r="BO334" s="178"/>
      <c r="BP334" s="178"/>
      <c r="BQ334" s="196"/>
      <c r="BR334" s="196"/>
      <c r="BS334" s="196"/>
      <c r="BT334" s="196"/>
      <c r="BU334" s="196"/>
      <c r="BV334" s="196"/>
      <c r="BW334" s="178"/>
      <c r="BX334" s="196"/>
      <c r="BY334" s="196"/>
      <c r="BZ334" s="196"/>
      <c r="CA334" s="196"/>
      <c r="CB334" s="178"/>
      <c r="CC334" s="178"/>
      <c r="CD334" s="202"/>
      <c r="CE334" s="202"/>
      <c r="CF334" s="178"/>
      <c r="CG334" s="196"/>
      <c r="CH334" s="178"/>
      <c r="CI334" s="178"/>
      <c r="CJ334" s="178"/>
      <c r="CK334" s="178"/>
      <c r="CL334" s="178"/>
      <c r="CM334" s="178"/>
      <c r="CN334" s="178"/>
      <c r="CO334" s="178"/>
      <c r="CP334" s="178"/>
      <c r="CQ334" s="178"/>
      <c r="CR334" s="178"/>
      <c r="CS334" s="178"/>
      <c r="CT334" s="178"/>
      <c r="CU334" s="178"/>
      <c r="CV334" s="178"/>
      <c r="CW334" s="178"/>
      <c r="CX334" s="178"/>
      <c r="CY334" s="178"/>
      <c r="CZ334" s="178"/>
      <c r="DA334" s="150"/>
    </row>
    <row r="335" spans="53:105" x14ac:dyDescent="0.2">
      <c r="BA335" s="518">
        <f t="shared" ca="1" si="28"/>
        <v>61</v>
      </c>
      <c r="BB335" s="174">
        <f t="shared" ca="1" si="29"/>
        <v>272</v>
      </c>
      <c r="BC335" s="525" t="e">
        <f ca="1">MATCH(BD335,OFFSET(Pinlist!$A$2,BC334*(BA335=BA334),0,$BM$23,1),0)+BC334*(BA335=BA334)</f>
        <v>#N/A</v>
      </c>
      <c r="BD335" s="167">
        <f t="shared" ca="1" si="30"/>
        <v>0</v>
      </c>
      <c r="BE335" s="191" t="e">
        <f ca="1">(OFFSET(Pinlist!$E$1,BC335,0)-$BN$16)*$BN$19</f>
        <v>#N/A</v>
      </c>
      <c r="BF335" s="192" t="e">
        <f ca="1">(OFFSET(Pinlist!$F$1,BC335,0)-$BO$16)*$BO$19</f>
        <v>#N/A</v>
      </c>
      <c r="BG335" s="1098" t="str">
        <f ca="1">IF(LEFT(BD335,2)="RF",OFFSET(Pinlist!$D$1,Chart!BC335,0)&amp;"_"&amp;OFFSET(Pinlist!$G$1,Chart!BC335,0),"")</f>
        <v/>
      </c>
      <c r="BH335" s="1098"/>
      <c r="BI335" s="178"/>
      <c r="BJ335" s="178"/>
      <c r="BK335" s="178"/>
      <c r="BL335" s="178"/>
      <c r="BM335" s="178"/>
      <c r="BN335" s="178"/>
      <c r="BO335" s="178"/>
      <c r="BP335" s="178"/>
      <c r="BQ335" s="196"/>
      <c r="BR335" s="196"/>
      <c r="BS335" s="196"/>
      <c r="BT335" s="196"/>
      <c r="BU335" s="196"/>
      <c r="BV335" s="196"/>
      <c r="BW335" s="178"/>
      <c r="BX335" s="196"/>
      <c r="BY335" s="196"/>
      <c r="BZ335" s="196"/>
      <c r="CA335" s="196"/>
      <c r="CB335" s="178"/>
      <c r="CC335" s="178"/>
      <c r="CD335" s="202"/>
      <c r="CE335" s="202"/>
      <c r="CF335" s="178"/>
      <c r="CG335" s="196"/>
      <c r="CH335" s="178"/>
      <c r="CI335" s="178"/>
      <c r="CJ335" s="178"/>
      <c r="CK335" s="178"/>
      <c r="CL335" s="178"/>
      <c r="CM335" s="178"/>
      <c r="CN335" s="178"/>
      <c r="CO335" s="178"/>
      <c r="CP335" s="178"/>
      <c r="CQ335" s="178"/>
      <c r="CR335" s="178"/>
      <c r="CS335" s="178"/>
      <c r="CT335" s="178"/>
      <c r="CU335" s="178"/>
      <c r="CV335" s="178"/>
      <c r="CW335" s="178"/>
      <c r="CX335" s="178"/>
      <c r="CY335" s="178"/>
      <c r="CZ335" s="178"/>
      <c r="DA335" s="150"/>
    </row>
    <row r="336" spans="53:105" x14ac:dyDescent="0.2">
      <c r="BA336" s="518">
        <f t="shared" ca="1" si="28"/>
        <v>61</v>
      </c>
      <c r="BB336" s="174">
        <f t="shared" ca="1" si="29"/>
        <v>273</v>
      </c>
      <c r="BC336" s="525" t="e">
        <f ca="1">MATCH(BD336,OFFSET(Pinlist!$A$2,BC335*(BA336=BA335),0,$BM$23,1),0)+BC335*(BA336=BA335)</f>
        <v>#N/A</v>
      </c>
      <c r="BD336" s="167">
        <f t="shared" ca="1" si="30"/>
        <v>0</v>
      </c>
      <c r="BE336" s="191" t="e">
        <f ca="1">(OFFSET(Pinlist!$E$1,BC336,0)-$BN$16)*$BN$19</f>
        <v>#N/A</v>
      </c>
      <c r="BF336" s="192" t="e">
        <f ca="1">(OFFSET(Pinlist!$F$1,BC336,0)-$BO$16)*$BO$19</f>
        <v>#N/A</v>
      </c>
      <c r="BG336" s="1098" t="str">
        <f ca="1">IF(LEFT(BD336,2)="RF",OFFSET(Pinlist!$D$1,Chart!BC336,0)&amp;"_"&amp;OFFSET(Pinlist!$G$1,Chart!BC336,0),"")</f>
        <v/>
      </c>
      <c r="BH336" s="1098"/>
      <c r="BI336" s="178"/>
      <c r="BJ336" s="178"/>
      <c r="BK336" s="178"/>
      <c r="BL336" s="178"/>
      <c r="BM336" s="178"/>
      <c r="BN336" s="178"/>
      <c r="BO336" s="178"/>
      <c r="BP336" s="178"/>
      <c r="BQ336" s="196"/>
      <c r="BR336" s="196"/>
      <c r="BS336" s="196"/>
      <c r="BT336" s="196"/>
      <c r="BU336" s="196"/>
      <c r="BV336" s="196"/>
      <c r="BW336" s="178"/>
      <c r="BX336" s="196"/>
      <c r="BY336" s="196"/>
      <c r="BZ336" s="196"/>
      <c r="CA336" s="196"/>
      <c r="CB336" s="178"/>
      <c r="CC336" s="178"/>
      <c r="CD336" s="202"/>
      <c r="CE336" s="202"/>
      <c r="CF336" s="178"/>
      <c r="CG336" s="196"/>
      <c r="CH336" s="178"/>
      <c r="CI336" s="178"/>
      <c r="CJ336" s="178"/>
      <c r="CK336" s="178"/>
      <c r="CL336" s="178"/>
      <c r="CM336" s="178"/>
      <c r="CN336" s="178"/>
      <c r="CO336" s="178"/>
      <c r="CP336" s="178"/>
      <c r="CQ336" s="178"/>
      <c r="CR336" s="178"/>
      <c r="CS336" s="178"/>
      <c r="CT336" s="178"/>
      <c r="CU336" s="178"/>
      <c r="CV336" s="178"/>
      <c r="CW336" s="178"/>
      <c r="CX336" s="178"/>
      <c r="CY336" s="178"/>
      <c r="CZ336" s="178"/>
      <c r="DA336" s="150"/>
    </row>
    <row r="337" spans="53:105" x14ac:dyDescent="0.2">
      <c r="BA337" s="518">
        <f t="shared" ca="1" si="28"/>
        <v>61</v>
      </c>
      <c r="BB337" s="174">
        <f t="shared" ca="1" si="29"/>
        <v>274</v>
      </c>
      <c r="BC337" s="525" t="e">
        <f ca="1">MATCH(BD337,OFFSET(Pinlist!$A$2,BC336*(BA337=BA336),0,$BM$23,1),0)+BC336*(BA337=BA336)</f>
        <v>#N/A</v>
      </c>
      <c r="BD337" s="167">
        <f t="shared" ca="1" si="30"/>
        <v>0</v>
      </c>
      <c r="BE337" s="191" t="e">
        <f ca="1">(OFFSET(Pinlist!$E$1,BC337,0)-$BN$16)*$BN$19</f>
        <v>#N/A</v>
      </c>
      <c r="BF337" s="192" t="e">
        <f ca="1">(OFFSET(Pinlist!$F$1,BC337,0)-$BO$16)*$BO$19</f>
        <v>#N/A</v>
      </c>
      <c r="BG337" s="1098" t="str">
        <f ca="1">IF(LEFT(BD337,2)="RF",OFFSET(Pinlist!$D$1,Chart!BC337,0)&amp;"_"&amp;OFFSET(Pinlist!$G$1,Chart!BC337,0),"")</f>
        <v/>
      </c>
      <c r="BH337" s="1098"/>
      <c r="BI337" s="178"/>
      <c r="BJ337" s="178"/>
      <c r="BK337" s="178"/>
      <c r="BL337" s="178"/>
      <c r="BM337" s="178"/>
      <c r="BN337" s="178"/>
      <c r="BO337" s="178"/>
      <c r="BP337" s="178"/>
      <c r="BQ337" s="196"/>
      <c r="BR337" s="196"/>
      <c r="BS337" s="196"/>
      <c r="BT337" s="196"/>
      <c r="BU337" s="196"/>
      <c r="BV337" s="196"/>
      <c r="BW337" s="178"/>
      <c r="BX337" s="196"/>
      <c r="BY337" s="196"/>
      <c r="BZ337" s="196"/>
      <c r="CA337" s="196"/>
      <c r="CB337" s="178"/>
      <c r="CC337" s="178"/>
      <c r="CD337" s="202"/>
      <c r="CE337" s="202"/>
      <c r="CF337" s="178"/>
      <c r="CG337" s="196"/>
      <c r="CH337" s="178"/>
      <c r="CI337" s="178"/>
      <c r="CJ337" s="178"/>
      <c r="CK337" s="178"/>
      <c r="CL337" s="178"/>
      <c r="CM337" s="178"/>
      <c r="CN337" s="178"/>
      <c r="CO337" s="178"/>
      <c r="CP337" s="178"/>
      <c r="CQ337" s="178"/>
      <c r="CR337" s="178"/>
      <c r="CS337" s="178"/>
      <c r="CT337" s="178"/>
      <c r="CU337" s="178"/>
      <c r="CV337" s="178"/>
      <c r="CW337" s="178"/>
      <c r="CX337" s="178"/>
      <c r="CY337" s="178"/>
      <c r="CZ337" s="178"/>
      <c r="DA337" s="150"/>
    </row>
    <row r="338" spans="53:105" x14ac:dyDescent="0.2">
      <c r="BA338" s="518">
        <f t="shared" ca="1" si="28"/>
        <v>61</v>
      </c>
      <c r="BB338" s="174">
        <f t="shared" ca="1" si="29"/>
        <v>275</v>
      </c>
      <c r="BC338" s="525" t="e">
        <f ca="1">MATCH(BD338,OFFSET(Pinlist!$A$2,BC337*(BA338=BA337),0,$BM$23,1),0)+BC337*(BA338=BA337)</f>
        <v>#N/A</v>
      </c>
      <c r="BD338" s="167">
        <f t="shared" ca="1" si="30"/>
        <v>0</v>
      </c>
      <c r="BE338" s="191" t="e">
        <f ca="1">(OFFSET(Pinlist!$E$1,BC338,0)-$BN$16)*$BN$19</f>
        <v>#N/A</v>
      </c>
      <c r="BF338" s="192" t="e">
        <f ca="1">(OFFSET(Pinlist!$F$1,BC338,0)-$BO$16)*$BO$19</f>
        <v>#N/A</v>
      </c>
      <c r="BG338" s="1098" t="str">
        <f ca="1">IF(LEFT(BD338,2)="RF",OFFSET(Pinlist!$D$1,Chart!BC338,0)&amp;"_"&amp;OFFSET(Pinlist!$G$1,Chart!BC338,0),"")</f>
        <v/>
      </c>
      <c r="BH338" s="1098"/>
      <c r="BI338" s="178"/>
      <c r="BJ338" s="178"/>
      <c r="BK338" s="178"/>
      <c r="BL338" s="178"/>
      <c r="BM338" s="178"/>
      <c r="BN338" s="178"/>
      <c r="BO338" s="178"/>
      <c r="BP338" s="178"/>
      <c r="BQ338" s="196"/>
      <c r="BR338" s="196"/>
      <c r="BS338" s="196"/>
      <c r="BT338" s="196"/>
      <c r="BU338" s="196"/>
      <c r="BV338" s="196"/>
      <c r="BW338" s="178"/>
      <c r="BX338" s="196"/>
      <c r="BY338" s="196"/>
      <c r="BZ338" s="196"/>
      <c r="CA338" s="196"/>
      <c r="CB338" s="178"/>
      <c r="CC338" s="178"/>
      <c r="CD338" s="202"/>
      <c r="CE338" s="202"/>
      <c r="CF338" s="178"/>
      <c r="CG338" s="196"/>
      <c r="CH338" s="178"/>
      <c r="CI338" s="178"/>
      <c r="CJ338" s="178"/>
      <c r="CK338" s="178"/>
      <c r="CL338" s="178"/>
      <c r="CM338" s="178"/>
      <c r="CN338" s="178"/>
      <c r="CO338" s="178"/>
      <c r="CP338" s="178"/>
      <c r="CQ338" s="178"/>
      <c r="CR338" s="178"/>
      <c r="CS338" s="178"/>
      <c r="CT338" s="178"/>
      <c r="CU338" s="178"/>
      <c r="CV338" s="178"/>
      <c r="CW338" s="178"/>
      <c r="CX338" s="178"/>
      <c r="CY338" s="178"/>
      <c r="CZ338" s="178"/>
      <c r="DA338" s="150"/>
    </row>
    <row r="339" spans="53:105" x14ac:dyDescent="0.2">
      <c r="BA339" s="518">
        <f t="shared" ca="1" si="28"/>
        <v>61</v>
      </c>
      <c r="BB339" s="174">
        <f t="shared" ca="1" si="29"/>
        <v>276</v>
      </c>
      <c r="BC339" s="525" t="e">
        <f ca="1">MATCH(BD339,OFFSET(Pinlist!$A$2,BC338*(BA339=BA338),0,$BM$23,1),0)+BC338*(BA339=BA338)</f>
        <v>#N/A</v>
      </c>
      <c r="BD339" s="167">
        <f t="shared" ca="1" si="30"/>
        <v>0</v>
      </c>
      <c r="BE339" s="191" t="e">
        <f ca="1">(OFFSET(Pinlist!$E$1,BC339,0)-$BN$16)*$BN$19</f>
        <v>#N/A</v>
      </c>
      <c r="BF339" s="192" t="e">
        <f ca="1">(OFFSET(Pinlist!$F$1,BC339,0)-$BO$16)*$BO$19</f>
        <v>#N/A</v>
      </c>
      <c r="BG339" s="1098" t="str">
        <f ca="1">IF(LEFT(BD339,2)="RF",OFFSET(Pinlist!$D$1,Chart!BC339,0)&amp;"_"&amp;OFFSET(Pinlist!$G$1,Chart!BC339,0),"")</f>
        <v/>
      </c>
      <c r="BH339" s="1098"/>
      <c r="BI339" s="178"/>
      <c r="BJ339" s="178"/>
      <c r="BK339" s="178"/>
      <c r="BL339" s="178"/>
      <c r="BM339" s="178"/>
      <c r="BN339" s="178"/>
      <c r="BO339" s="178"/>
      <c r="BP339" s="178"/>
      <c r="BQ339" s="196"/>
      <c r="BR339" s="196"/>
      <c r="BS339" s="196"/>
      <c r="BT339" s="196"/>
      <c r="BU339" s="196"/>
      <c r="BV339" s="196"/>
      <c r="BW339" s="178"/>
      <c r="BX339" s="196"/>
      <c r="BY339" s="196"/>
      <c r="BZ339" s="196"/>
      <c r="CA339" s="196"/>
      <c r="CB339" s="178"/>
      <c r="CC339" s="178"/>
      <c r="CD339" s="202"/>
      <c r="CE339" s="202"/>
      <c r="CF339" s="178"/>
      <c r="CG339" s="196"/>
      <c r="CH339" s="178"/>
      <c r="CI339" s="178"/>
      <c r="CJ339" s="178"/>
      <c r="CK339" s="178"/>
      <c r="CL339" s="178"/>
      <c r="CM339" s="178"/>
      <c r="CN339" s="178"/>
      <c r="CO339" s="178"/>
      <c r="CP339" s="178"/>
      <c r="CQ339" s="178"/>
      <c r="CR339" s="178"/>
      <c r="CS339" s="178"/>
      <c r="CT339" s="178"/>
      <c r="CU339" s="178"/>
      <c r="CV339" s="178"/>
      <c r="CW339" s="178"/>
      <c r="CX339" s="178"/>
      <c r="CY339" s="178"/>
      <c r="CZ339" s="178"/>
      <c r="DA339" s="150"/>
    </row>
    <row r="340" spans="53:105" x14ac:dyDescent="0.2">
      <c r="BA340" s="518">
        <f t="shared" ca="1" si="28"/>
        <v>61</v>
      </c>
      <c r="BB340" s="174">
        <f t="shared" ca="1" si="29"/>
        <v>277</v>
      </c>
      <c r="BC340" s="525" t="e">
        <f ca="1">MATCH(BD340,OFFSET(Pinlist!$A$2,BC339*(BA340=BA339),0,$BM$23,1),0)+BC339*(BA340=BA339)</f>
        <v>#N/A</v>
      </c>
      <c r="BD340" s="167">
        <f t="shared" ca="1" si="30"/>
        <v>0</v>
      </c>
      <c r="BE340" s="191" t="e">
        <f ca="1">(OFFSET(Pinlist!$E$1,BC340,0)-$BN$16)*$BN$19</f>
        <v>#N/A</v>
      </c>
      <c r="BF340" s="192" t="e">
        <f ca="1">(OFFSET(Pinlist!$F$1,BC340,0)-$BO$16)*$BO$19</f>
        <v>#N/A</v>
      </c>
      <c r="BG340" s="1098" t="str">
        <f ca="1">IF(LEFT(BD340,2)="RF",OFFSET(Pinlist!$D$1,Chart!BC340,0)&amp;"_"&amp;OFFSET(Pinlist!$G$1,Chart!BC340,0),"")</f>
        <v/>
      </c>
      <c r="BH340" s="1098"/>
      <c r="BI340" s="178"/>
      <c r="BJ340" s="178"/>
      <c r="BK340" s="178"/>
      <c r="BL340" s="178"/>
      <c r="BM340" s="178"/>
      <c r="BN340" s="178"/>
      <c r="BO340" s="178"/>
      <c r="BP340" s="178"/>
      <c r="BQ340" s="196"/>
      <c r="BR340" s="196"/>
      <c r="BS340" s="196"/>
      <c r="BT340" s="196"/>
      <c r="BU340" s="196"/>
      <c r="BV340" s="196"/>
      <c r="BW340" s="178"/>
      <c r="BX340" s="196"/>
      <c r="BY340" s="196"/>
      <c r="BZ340" s="196"/>
      <c r="CA340" s="196"/>
      <c r="CB340" s="178"/>
      <c r="CC340" s="178"/>
      <c r="CD340" s="202"/>
      <c r="CE340" s="202"/>
      <c r="CF340" s="178"/>
      <c r="CG340" s="196"/>
      <c r="CH340" s="178"/>
      <c r="CI340" s="178"/>
      <c r="CJ340" s="178"/>
      <c r="CK340" s="178"/>
      <c r="CL340" s="178"/>
      <c r="CM340" s="178"/>
      <c r="CN340" s="178"/>
      <c r="CO340" s="178"/>
      <c r="CP340" s="178"/>
      <c r="CQ340" s="178"/>
      <c r="CR340" s="178"/>
      <c r="CS340" s="178"/>
      <c r="CT340" s="178"/>
      <c r="CU340" s="178"/>
      <c r="CV340" s="178"/>
      <c r="CW340" s="178"/>
      <c r="CX340" s="178"/>
      <c r="CY340" s="178"/>
      <c r="CZ340" s="178"/>
      <c r="DA340" s="150"/>
    </row>
    <row r="341" spans="53:105" x14ac:dyDescent="0.2">
      <c r="BA341" s="518">
        <f t="shared" ca="1" si="28"/>
        <v>61</v>
      </c>
      <c r="BB341" s="174">
        <f t="shared" ca="1" si="29"/>
        <v>278</v>
      </c>
      <c r="BC341" s="525" t="e">
        <f ca="1">MATCH(BD341,OFFSET(Pinlist!$A$2,BC340*(BA341=BA340),0,$BM$23,1),0)+BC340*(BA341=BA340)</f>
        <v>#N/A</v>
      </c>
      <c r="BD341" s="167">
        <f t="shared" ca="1" si="30"/>
        <v>0</v>
      </c>
      <c r="BE341" s="191" t="e">
        <f ca="1">(OFFSET(Pinlist!$E$1,BC341,0)-$BN$16)*$BN$19</f>
        <v>#N/A</v>
      </c>
      <c r="BF341" s="192" t="e">
        <f ca="1">(OFFSET(Pinlist!$F$1,BC341,0)-$BO$16)*$BO$19</f>
        <v>#N/A</v>
      </c>
      <c r="BG341" s="1098" t="str">
        <f ca="1">IF(LEFT(BD341,2)="RF",OFFSET(Pinlist!$D$1,Chart!BC341,0)&amp;"_"&amp;OFFSET(Pinlist!$G$1,Chart!BC341,0),"")</f>
        <v/>
      </c>
      <c r="BH341" s="1098"/>
      <c r="BI341" s="178"/>
      <c r="BJ341" s="178"/>
      <c r="BK341" s="178"/>
      <c r="BL341" s="178"/>
      <c r="BM341" s="178"/>
      <c r="BN341" s="178"/>
      <c r="BO341" s="178"/>
      <c r="BP341" s="178"/>
      <c r="BQ341" s="196"/>
      <c r="BR341" s="196"/>
      <c r="BS341" s="196"/>
      <c r="BT341" s="196"/>
      <c r="BU341" s="196"/>
      <c r="BV341" s="196"/>
      <c r="BW341" s="178"/>
      <c r="BX341" s="196"/>
      <c r="BY341" s="196"/>
      <c r="BZ341" s="196"/>
      <c r="CA341" s="196"/>
      <c r="CB341" s="178"/>
      <c r="CC341" s="178"/>
      <c r="CD341" s="202"/>
      <c r="CE341" s="202"/>
      <c r="CF341" s="178"/>
      <c r="CG341" s="196"/>
      <c r="CH341" s="178"/>
      <c r="CI341" s="178"/>
      <c r="CJ341" s="178"/>
      <c r="CK341" s="178"/>
      <c r="CL341" s="178"/>
      <c r="CM341" s="178"/>
      <c r="CN341" s="178"/>
      <c r="CO341" s="178"/>
      <c r="CP341" s="178"/>
      <c r="CQ341" s="178"/>
      <c r="CR341" s="178"/>
      <c r="CS341" s="178"/>
      <c r="CT341" s="178"/>
      <c r="CU341" s="178"/>
      <c r="CV341" s="178"/>
      <c r="CW341" s="178"/>
      <c r="CX341" s="178"/>
      <c r="CY341" s="178"/>
      <c r="CZ341" s="178"/>
      <c r="DA341" s="150"/>
    </row>
    <row r="342" spans="53:105" x14ac:dyDescent="0.2">
      <c r="BA342" s="518">
        <f t="shared" ca="1" si="28"/>
        <v>61</v>
      </c>
      <c r="BB342" s="174">
        <f t="shared" ca="1" si="29"/>
        <v>279</v>
      </c>
      <c r="BC342" s="525" t="e">
        <f ca="1">MATCH(BD342,OFFSET(Pinlist!$A$2,BC341*(BA342=BA341),0,$BM$23,1),0)+BC341*(BA342=BA341)</f>
        <v>#N/A</v>
      </c>
      <c r="BD342" s="167">
        <f t="shared" ca="1" si="30"/>
        <v>0</v>
      </c>
      <c r="BE342" s="191" t="e">
        <f ca="1">(OFFSET(Pinlist!$E$1,BC342,0)-$BN$16)*$BN$19</f>
        <v>#N/A</v>
      </c>
      <c r="BF342" s="192" t="e">
        <f ca="1">(OFFSET(Pinlist!$F$1,BC342,0)-$BO$16)*$BO$19</f>
        <v>#N/A</v>
      </c>
      <c r="BG342" s="1098" t="str">
        <f ca="1">IF(LEFT(BD342,2)="RF",OFFSET(Pinlist!$D$1,Chart!BC342,0)&amp;"_"&amp;OFFSET(Pinlist!$G$1,Chart!BC342,0),"")</f>
        <v/>
      </c>
      <c r="BH342" s="1098"/>
      <c r="BI342" s="178"/>
      <c r="BJ342" s="178"/>
      <c r="BK342" s="178"/>
      <c r="BL342" s="178"/>
      <c r="BM342" s="178"/>
      <c r="BN342" s="178"/>
      <c r="BO342" s="178"/>
      <c r="BP342" s="178"/>
      <c r="BQ342" s="196"/>
      <c r="BR342" s="196"/>
      <c r="BS342" s="196"/>
      <c r="BT342" s="196"/>
      <c r="BU342" s="196"/>
      <c r="BV342" s="196"/>
      <c r="BW342" s="178"/>
      <c r="BX342" s="196"/>
      <c r="BY342" s="196"/>
      <c r="BZ342" s="196"/>
      <c r="CA342" s="196"/>
      <c r="CB342" s="178"/>
      <c r="CC342" s="178"/>
      <c r="CD342" s="202"/>
      <c r="CE342" s="202"/>
      <c r="CF342" s="178"/>
      <c r="CG342" s="196"/>
      <c r="CH342" s="178"/>
      <c r="CI342" s="178"/>
      <c r="CJ342" s="178"/>
      <c r="CK342" s="178"/>
      <c r="CL342" s="178"/>
      <c r="CM342" s="178"/>
      <c r="CN342" s="178"/>
      <c r="CO342" s="178"/>
      <c r="CP342" s="178"/>
      <c r="CQ342" s="178"/>
      <c r="CR342" s="178"/>
      <c r="CS342" s="178"/>
      <c r="CT342" s="178"/>
      <c r="CU342" s="178"/>
      <c r="CV342" s="178"/>
      <c r="CW342" s="178"/>
      <c r="CX342" s="178"/>
      <c r="CY342" s="178"/>
      <c r="CZ342" s="178"/>
      <c r="DA342" s="150"/>
    </row>
    <row r="343" spans="53:105" x14ac:dyDescent="0.2">
      <c r="BA343" s="518">
        <f t="shared" ca="1" si="28"/>
        <v>61</v>
      </c>
      <c r="BB343" s="174">
        <f t="shared" ca="1" si="29"/>
        <v>280</v>
      </c>
      <c r="BC343" s="525" t="e">
        <f ca="1">MATCH(BD343,OFFSET(Pinlist!$A$2,BC342*(BA343=BA342),0,$BM$23,1),0)+BC342*(BA343=BA342)</f>
        <v>#N/A</v>
      </c>
      <c r="BD343" s="167">
        <f t="shared" ca="1" si="30"/>
        <v>0</v>
      </c>
      <c r="BE343" s="191" t="e">
        <f ca="1">(OFFSET(Pinlist!$E$1,BC343,0)-$BN$16)*$BN$19</f>
        <v>#N/A</v>
      </c>
      <c r="BF343" s="192" t="e">
        <f ca="1">(OFFSET(Pinlist!$F$1,BC343,0)-$BO$16)*$BO$19</f>
        <v>#N/A</v>
      </c>
      <c r="BG343" s="1098" t="str">
        <f ca="1">IF(LEFT(BD343,2)="RF",OFFSET(Pinlist!$D$1,Chart!BC343,0)&amp;"_"&amp;OFFSET(Pinlist!$G$1,Chart!BC343,0),"")</f>
        <v/>
      </c>
      <c r="BH343" s="1098"/>
      <c r="BI343" s="178"/>
      <c r="BJ343" s="178"/>
      <c r="BK343" s="178"/>
      <c r="BL343" s="178"/>
      <c r="BM343" s="178"/>
      <c r="BN343" s="178"/>
      <c r="BO343" s="178"/>
      <c r="BP343" s="178"/>
      <c r="BQ343" s="196"/>
      <c r="BR343" s="196"/>
      <c r="BS343" s="196"/>
      <c r="BT343" s="196"/>
      <c r="BU343" s="196"/>
      <c r="BV343" s="196"/>
      <c r="BW343" s="178"/>
      <c r="BX343" s="196"/>
      <c r="BY343" s="196"/>
      <c r="BZ343" s="196"/>
      <c r="CA343" s="196"/>
      <c r="CB343" s="178"/>
      <c r="CC343" s="178"/>
      <c r="CD343" s="202"/>
      <c r="CE343" s="202"/>
      <c r="CF343" s="178"/>
      <c r="CG343" s="196"/>
      <c r="CH343" s="178"/>
      <c r="CI343" s="178"/>
      <c r="CJ343" s="178"/>
      <c r="CK343" s="178"/>
      <c r="CL343" s="178"/>
      <c r="CM343" s="178"/>
      <c r="CN343" s="178"/>
      <c r="CO343" s="178"/>
      <c r="CP343" s="178"/>
      <c r="CQ343" s="178"/>
      <c r="CR343" s="178"/>
      <c r="CS343" s="178"/>
      <c r="CT343" s="178"/>
      <c r="CU343" s="178"/>
      <c r="CV343" s="178"/>
      <c r="CW343" s="178"/>
      <c r="CX343" s="178"/>
      <c r="CY343" s="178"/>
      <c r="CZ343" s="178"/>
      <c r="DA343" s="150"/>
    </row>
    <row r="344" spans="53:105" x14ac:dyDescent="0.2">
      <c r="BA344" s="518">
        <f t="shared" ca="1" si="28"/>
        <v>61</v>
      </c>
      <c r="BB344" s="174">
        <f t="shared" ca="1" si="29"/>
        <v>281</v>
      </c>
      <c r="BC344" s="525" t="e">
        <f ca="1">MATCH(BD344,OFFSET(Pinlist!$A$2,BC343*(BA344=BA343),0,$BM$23,1),0)+BC343*(BA344=BA343)</f>
        <v>#N/A</v>
      </c>
      <c r="BD344" s="167">
        <f t="shared" ca="1" si="30"/>
        <v>0</v>
      </c>
      <c r="BE344" s="191" t="e">
        <f ca="1">(OFFSET(Pinlist!$E$1,BC344,0)-$BN$16)*$BN$19</f>
        <v>#N/A</v>
      </c>
      <c r="BF344" s="192" t="e">
        <f ca="1">(OFFSET(Pinlist!$F$1,BC344,0)-$BO$16)*$BO$19</f>
        <v>#N/A</v>
      </c>
      <c r="BG344" s="1098" t="str">
        <f ca="1">IF(LEFT(BD344,2)="RF",OFFSET(Pinlist!$D$1,Chart!BC344,0)&amp;"_"&amp;OFFSET(Pinlist!$G$1,Chart!BC344,0),"")</f>
        <v/>
      </c>
      <c r="BH344" s="1098"/>
      <c r="BI344" s="178"/>
      <c r="BJ344" s="178"/>
      <c r="BK344" s="178"/>
      <c r="BL344" s="178"/>
      <c r="BM344" s="178"/>
      <c r="BN344" s="178"/>
      <c r="BO344" s="178"/>
      <c r="BP344" s="178"/>
      <c r="BQ344" s="196"/>
      <c r="BR344" s="196"/>
      <c r="BS344" s="196"/>
      <c r="BT344" s="196"/>
      <c r="BU344" s="196"/>
      <c r="BV344" s="196"/>
      <c r="BW344" s="178"/>
      <c r="BX344" s="196"/>
      <c r="BY344" s="196"/>
      <c r="BZ344" s="196"/>
      <c r="CA344" s="196"/>
      <c r="CB344" s="178"/>
      <c r="CC344" s="178"/>
      <c r="CD344" s="202"/>
      <c r="CE344" s="202"/>
      <c r="CF344" s="178"/>
      <c r="CG344" s="196"/>
      <c r="CH344" s="178"/>
      <c r="CI344" s="178"/>
      <c r="CJ344" s="178"/>
      <c r="CK344" s="178"/>
      <c r="CL344" s="178"/>
      <c r="CM344" s="178"/>
      <c r="CN344" s="178"/>
      <c r="CO344" s="178"/>
      <c r="CP344" s="178"/>
      <c r="CQ344" s="178"/>
      <c r="CR344" s="178"/>
      <c r="CS344" s="178"/>
      <c r="CT344" s="178"/>
      <c r="CU344" s="178"/>
      <c r="CV344" s="178"/>
      <c r="CW344" s="178"/>
      <c r="CX344" s="178"/>
      <c r="CY344" s="178"/>
      <c r="CZ344" s="178"/>
      <c r="DA344" s="150"/>
    </row>
    <row r="345" spans="53:105" x14ac:dyDescent="0.2">
      <c r="BA345" s="518">
        <f t="shared" ca="1" si="28"/>
        <v>61</v>
      </c>
      <c r="BB345" s="174">
        <f t="shared" ca="1" si="29"/>
        <v>282</v>
      </c>
      <c r="BC345" s="525" t="e">
        <f ca="1">MATCH(BD345,OFFSET(Pinlist!$A$2,BC344*(BA345=BA344),0,$BM$23,1),0)+BC344*(BA345=BA344)</f>
        <v>#N/A</v>
      </c>
      <c r="BD345" s="167">
        <f t="shared" ca="1" si="30"/>
        <v>0</v>
      </c>
      <c r="BE345" s="191" t="e">
        <f ca="1">(OFFSET(Pinlist!$E$1,BC345,0)-$BN$16)*$BN$19</f>
        <v>#N/A</v>
      </c>
      <c r="BF345" s="192" t="e">
        <f ca="1">(OFFSET(Pinlist!$F$1,BC345,0)-$BO$16)*$BO$19</f>
        <v>#N/A</v>
      </c>
      <c r="BG345" s="1098" t="str">
        <f ca="1">IF(LEFT(BD345,2)="RF",OFFSET(Pinlist!$D$1,Chart!BC345,0)&amp;"_"&amp;OFFSET(Pinlist!$G$1,Chart!BC345,0),"")</f>
        <v/>
      </c>
      <c r="BH345" s="1098"/>
      <c r="BI345" s="178"/>
      <c r="BJ345" s="178"/>
      <c r="BK345" s="178"/>
      <c r="BL345" s="178"/>
      <c r="BM345" s="178"/>
      <c r="BN345" s="178"/>
      <c r="BO345" s="178"/>
      <c r="BP345" s="178"/>
      <c r="BQ345" s="196"/>
      <c r="BR345" s="196"/>
      <c r="BS345" s="196"/>
      <c r="BT345" s="196"/>
      <c r="BU345" s="196"/>
      <c r="BV345" s="196"/>
      <c r="BW345" s="178"/>
      <c r="BX345" s="196"/>
      <c r="BY345" s="196"/>
      <c r="BZ345" s="196"/>
      <c r="CA345" s="196"/>
      <c r="CB345" s="178"/>
      <c r="CC345" s="178"/>
      <c r="CD345" s="202"/>
      <c r="CE345" s="202"/>
      <c r="CF345" s="178"/>
      <c r="CG345" s="196"/>
      <c r="CH345" s="178"/>
      <c r="CI345" s="178"/>
      <c r="CJ345" s="178"/>
      <c r="CK345" s="178"/>
      <c r="CL345" s="178"/>
      <c r="CM345" s="178"/>
      <c r="CN345" s="178"/>
      <c r="CO345" s="178"/>
      <c r="CP345" s="178"/>
      <c r="CQ345" s="178"/>
      <c r="CR345" s="178"/>
      <c r="CS345" s="178"/>
      <c r="CT345" s="178"/>
      <c r="CU345" s="178"/>
      <c r="CV345" s="178"/>
      <c r="CW345" s="178"/>
      <c r="CX345" s="178"/>
      <c r="CY345" s="178"/>
      <c r="CZ345" s="178"/>
      <c r="DA345" s="150"/>
    </row>
    <row r="346" spans="53:105" x14ac:dyDescent="0.2">
      <c r="BA346" s="518">
        <f t="shared" ca="1" si="28"/>
        <v>61</v>
      </c>
      <c r="BB346" s="174">
        <f t="shared" ca="1" si="29"/>
        <v>283</v>
      </c>
      <c r="BC346" s="525" t="e">
        <f ca="1">MATCH(BD346,OFFSET(Pinlist!$A$2,BC345*(BA346=BA345),0,$BM$23,1),0)+BC345*(BA346=BA345)</f>
        <v>#N/A</v>
      </c>
      <c r="BD346" s="167">
        <f t="shared" ca="1" si="30"/>
        <v>0</v>
      </c>
      <c r="BE346" s="191" t="e">
        <f ca="1">(OFFSET(Pinlist!$E$1,BC346,0)-$BN$16)*$BN$19</f>
        <v>#N/A</v>
      </c>
      <c r="BF346" s="192" t="e">
        <f ca="1">(OFFSET(Pinlist!$F$1,BC346,0)-$BO$16)*$BO$19</f>
        <v>#N/A</v>
      </c>
      <c r="BG346" s="1098" t="str">
        <f ca="1">IF(LEFT(BD346,2)="RF",OFFSET(Pinlist!$D$1,Chart!BC346,0)&amp;"_"&amp;OFFSET(Pinlist!$G$1,Chart!BC346,0),"")</f>
        <v/>
      </c>
      <c r="BH346" s="1098"/>
      <c r="BI346" s="178"/>
      <c r="BJ346" s="178"/>
      <c r="BK346" s="178"/>
      <c r="BL346" s="178"/>
      <c r="BM346" s="178"/>
      <c r="BN346" s="178"/>
      <c r="BO346" s="178"/>
      <c r="BP346" s="178"/>
      <c r="BQ346" s="196"/>
      <c r="BR346" s="196"/>
      <c r="BS346" s="196"/>
      <c r="BT346" s="196"/>
      <c r="BU346" s="196"/>
      <c r="BV346" s="196"/>
      <c r="BW346" s="178"/>
      <c r="BX346" s="196"/>
      <c r="BY346" s="196"/>
      <c r="BZ346" s="196"/>
      <c r="CA346" s="196"/>
      <c r="CB346" s="178"/>
      <c r="CC346" s="178"/>
      <c r="CD346" s="202"/>
      <c r="CE346" s="202"/>
      <c r="CF346" s="178"/>
      <c r="CG346" s="196"/>
      <c r="CH346" s="178"/>
      <c r="CI346" s="178"/>
      <c r="CJ346" s="178"/>
      <c r="CK346" s="178"/>
      <c r="CL346" s="178"/>
      <c r="CM346" s="178"/>
      <c r="CN346" s="178"/>
      <c r="CO346" s="178"/>
      <c r="CP346" s="178"/>
      <c r="CQ346" s="178"/>
      <c r="CR346" s="178"/>
      <c r="CS346" s="178"/>
      <c r="CT346" s="178"/>
      <c r="CU346" s="178"/>
      <c r="CV346" s="178"/>
      <c r="CW346" s="178"/>
      <c r="CX346" s="178"/>
      <c r="CY346" s="178"/>
      <c r="CZ346" s="178"/>
      <c r="DA346" s="150"/>
    </row>
    <row r="347" spans="53:105" x14ac:dyDescent="0.2">
      <c r="BA347" s="518">
        <f t="shared" ca="1" si="28"/>
        <v>61</v>
      </c>
      <c r="BB347" s="174">
        <f t="shared" ca="1" si="29"/>
        <v>284</v>
      </c>
      <c r="BC347" s="525" t="e">
        <f ca="1">MATCH(BD347,OFFSET(Pinlist!$A$2,BC346*(BA347=BA346),0,$BM$23,1),0)+BC346*(BA347=BA346)</f>
        <v>#N/A</v>
      </c>
      <c r="BD347" s="167">
        <f t="shared" ca="1" si="30"/>
        <v>0</v>
      </c>
      <c r="BE347" s="191" t="e">
        <f ca="1">(OFFSET(Pinlist!$E$1,BC347,0)-$BN$16)*$BN$19</f>
        <v>#N/A</v>
      </c>
      <c r="BF347" s="192" t="e">
        <f ca="1">(OFFSET(Pinlist!$F$1,BC347,0)-$BO$16)*$BO$19</f>
        <v>#N/A</v>
      </c>
      <c r="BG347" s="1098" t="str">
        <f ca="1">IF(LEFT(BD347,2)="RF",OFFSET(Pinlist!$D$1,Chart!BC347,0)&amp;"_"&amp;OFFSET(Pinlist!$G$1,Chart!BC347,0),"")</f>
        <v/>
      </c>
      <c r="BH347" s="1098"/>
      <c r="BI347" s="178"/>
      <c r="BJ347" s="178"/>
      <c r="BK347" s="178"/>
      <c r="BL347" s="178"/>
      <c r="BM347" s="178"/>
      <c r="BN347" s="178"/>
      <c r="BO347" s="178"/>
      <c r="BP347" s="178"/>
      <c r="BQ347" s="196"/>
      <c r="BR347" s="196"/>
      <c r="BS347" s="196"/>
      <c r="BT347" s="196"/>
      <c r="BU347" s="196"/>
      <c r="BV347" s="196"/>
      <c r="BW347" s="178"/>
      <c r="BX347" s="196"/>
      <c r="BY347" s="196"/>
      <c r="BZ347" s="196"/>
      <c r="CA347" s="196"/>
      <c r="CB347" s="178"/>
      <c r="CC347" s="178"/>
      <c r="CD347" s="202"/>
      <c r="CE347" s="202"/>
      <c r="CF347" s="178"/>
      <c r="CG347" s="196"/>
      <c r="CH347" s="178"/>
      <c r="CI347" s="178"/>
      <c r="CJ347" s="178"/>
      <c r="CK347" s="178"/>
      <c r="CL347" s="178"/>
      <c r="CM347" s="178"/>
      <c r="CN347" s="178"/>
      <c r="CO347" s="178"/>
      <c r="CP347" s="178"/>
      <c r="CQ347" s="178"/>
      <c r="CR347" s="178"/>
      <c r="CS347" s="178"/>
      <c r="CT347" s="178"/>
      <c r="CU347" s="178"/>
      <c r="CV347" s="178"/>
      <c r="CW347" s="178"/>
      <c r="CX347" s="178"/>
      <c r="CY347" s="178"/>
      <c r="CZ347" s="178"/>
      <c r="DA347" s="150"/>
    </row>
    <row r="348" spans="53:105" x14ac:dyDescent="0.2">
      <c r="BA348" s="518">
        <f t="shared" ca="1" si="28"/>
        <v>61</v>
      </c>
      <c r="BB348" s="174">
        <f t="shared" ca="1" si="29"/>
        <v>285</v>
      </c>
      <c r="BC348" s="525" t="e">
        <f ca="1">MATCH(BD348,OFFSET(Pinlist!$A$2,BC347*(BA348=BA347),0,$BM$23,1),0)+BC347*(BA348=BA347)</f>
        <v>#N/A</v>
      </c>
      <c r="BD348" s="167">
        <f t="shared" ca="1" si="30"/>
        <v>0</v>
      </c>
      <c r="BE348" s="191" t="e">
        <f ca="1">(OFFSET(Pinlist!$E$1,BC348,0)-$BN$16)*$BN$19</f>
        <v>#N/A</v>
      </c>
      <c r="BF348" s="192" t="e">
        <f ca="1">(OFFSET(Pinlist!$F$1,BC348,0)-$BO$16)*$BO$19</f>
        <v>#N/A</v>
      </c>
      <c r="BG348" s="1098" t="str">
        <f ca="1">IF(LEFT(BD348,2)="RF",OFFSET(Pinlist!$D$1,Chart!BC348,0)&amp;"_"&amp;OFFSET(Pinlist!$G$1,Chart!BC348,0),"")</f>
        <v/>
      </c>
      <c r="BH348" s="1098"/>
      <c r="BI348" s="178"/>
      <c r="BJ348" s="178"/>
      <c r="BK348" s="178"/>
      <c r="BL348" s="178"/>
      <c r="BM348" s="178"/>
      <c r="BN348" s="178"/>
      <c r="BO348" s="178"/>
      <c r="BP348" s="178"/>
      <c r="BQ348" s="196"/>
      <c r="BR348" s="196"/>
      <c r="BS348" s="196"/>
      <c r="BT348" s="196"/>
      <c r="BU348" s="196"/>
      <c r="BV348" s="196"/>
      <c r="BW348" s="178"/>
      <c r="BX348" s="196"/>
      <c r="BY348" s="196"/>
      <c r="BZ348" s="196"/>
      <c r="CA348" s="196"/>
      <c r="CB348" s="178"/>
      <c r="CC348" s="178"/>
      <c r="CD348" s="202"/>
      <c r="CE348" s="202"/>
      <c r="CF348" s="178"/>
      <c r="CG348" s="196"/>
      <c r="CH348" s="178"/>
      <c r="CI348" s="178"/>
      <c r="CJ348" s="178"/>
      <c r="CK348" s="178"/>
      <c r="CL348" s="178"/>
      <c r="CM348" s="178"/>
      <c r="CN348" s="178"/>
      <c r="CO348" s="178"/>
      <c r="CP348" s="178"/>
      <c r="CQ348" s="178"/>
      <c r="CR348" s="178"/>
      <c r="CS348" s="178"/>
      <c r="CT348" s="178"/>
      <c r="CU348" s="178"/>
      <c r="CV348" s="178"/>
      <c r="CW348" s="178"/>
      <c r="CX348" s="178"/>
      <c r="CY348" s="178"/>
      <c r="CZ348" s="178"/>
      <c r="DA348" s="150"/>
    </row>
    <row r="349" spans="53:105" x14ac:dyDescent="0.2">
      <c r="BA349" s="518">
        <f t="shared" ca="1" si="28"/>
        <v>61</v>
      </c>
      <c r="BB349" s="174">
        <f t="shared" ca="1" si="29"/>
        <v>286</v>
      </c>
      <c r="BC349" s="525" t="e">
        <f ca="1">MATCH(BD349,OFFSET(Pinlist!$A$2,BC348*(BA349=BA348),0,$BM$23,1),0)+BC348*(BA349=BA348)</f>
        <v>#N/A</v>
      </c>
      <c r="BD349" s="167">
        <f t="shared" ca="1" si="30"/>
        <v>0</v>
      </c>
      <c r="BE349" s="191" t="e">
        <f ca="1">(OFFSET(Pinlist!$E$1,BC349,0)-$BN$16)*$BN$19</f>
        <v>#N/A</v>
      </c>
      <c r="BF349" s="192" t="e">
        <f ca="1">(OFFSET(Pinlist!$F$1,BC349,0)-$BO$16)*$BO$19</f>
        <v>#N/A</v>
      </c>
      <c r="BG349" s="1098" t="str">
        <f ca="1">IF(LEFT(BD349,2)="RF",OFFSET(Pinlist!$D$1,Chart!BC349,0)&amp;"_"&amp;OFFSET(Pinlist!$G$1,Chart!BC349,0),"")</f>
        <v/>
      </c>
      <c r="BH349" s="1098"/>
      <c r="BI349" s="178"/>
      <c r="BJ349" s="178"/>
      <c r="BK349" s="178"/>
      <c r="BL349" s="178"/>
      <c r="BM349" s="178"/>
      <c r="BN349" s="178"/>
      <c r="BO349" s="178"/>
      <c r="BP349" s="178"/>
      <c r="BQ349" s="196"/>
      <c r="BR349" s="196"/>
      <c r="BS349" s="196"/>
      <c r="BT349" s="196"/>
      <c r="BU349" s="196"/>
      <c r="BV349" s="196"/>
      <c r="BW349" s="178"/>
      <c r="BX349" s="196"/>
      <c r="BY349" s="196"/>
      <c r="BZ349" s="196"/>
      <c r="CA349" s="196"/>
      <c r="CB349" s="178"/>
      <c r="CC349" s="178"/>
      <c r="CD349" s="202"/>
      <c r="CE349" s="202"/>
      <c r="CF349" s="178"/>
      <c r="CG349" s="196"/>
      <c r="CH349" s="178"/>
      <c r="CI349" s="178"/>
      <c r="CJ349" s="178"/>
      <c r="CK349" s="178"/>
      <c r="CL349" s="178"/>
      <c r="CM349" s="178"/>
      <c r="CN349" s="178"/>
      <c r="CO349" s="178"/>
      <c r="CP349" s="178"/>
      <c r="CQ349" s="178"/>
      <c r="CR349" s="178"/>
      <c r="CS349" s="178"/>
      <c r="CT349" s="178"/>
      <c r="CU349" s="178"/>
      <c r="CV349" s="178"/>
      <c r="CW349" s="178"/>
      <c r="CX349" s="178"/>
      <c r="CY349" s="178"/>
      <c r="CZ349" s="178"/>
      <c r="DA349" s="150"/>
    </row>
    <row r="350" spans="53:105" x14ac:dyDescent="0.2">
      <c r="BA350" s="518">
        <f t="shared" ca="1" si="28"/>
        <v>61</v>
      </c>
      <c r="BB350" s="174">
        <f t="shared" ca="1" si="29"/>
        <v>287</v>
      </c>
      <c r="BC350" s="525" t="e">
        <f ca="1">MATCH(BD350,OFFSET(Pinlist!$A$2,BC349*(BA350=BA349),0,$BM$23,1),0)+BC349*(BA350=BA349)</f>
        <v>#N/A</v>
      </c>
      <c r="BD350" s="167">
        <f t="shared" ca="1" si="30"/>
        <v>0</v>
      </c>
      <c r="BE350" s="191" t="e">
        <f ca="1">(OFFSET(Pinlist!$E$1,BC350,0)-$BN$16)*$BN$19</f>
        <v>#N/A</v>
      </c>
      <c r="BF350" s="192" t="e">
        <f ca="1">(OFFSET(Pinlist!$F$1,BC350,0)-$BO$16)*$BO$19</f>
        <v>#N/A</v>
      </c>
      <c r="BG350" s="1098" t="str">
        <f ca="1">IF(LEFT(BD350,2)="RF",OFFSET(Pinlist!$D$1,Chart!BC350,0)&amp;"_"&amp;OFFSET(Pinlist!$G$1,Chart!BC350,0),"")</f>
        <v/>
      </c>
      <c r="BH350" s="1098"/>
      <c r="BI350" s="178"/>
      <c r="BJ350" s="178"/>
      <c r="BK350" s="178"/>
      <c r="BL350" s="178"/>
      <c r="BM350" s="178"/>
      <c r="BN350" s="178"/>
      <c r="BO350" s="178"/>
      <c r="BP350" s="178"/>
      <c r="BQ350" s="196"/>
      <c r="BR350" s="196"/>
      <c r="BS350" s="196"/>
      <c r="BT350" s="196"/>
      <c r="BU350" s="196"/>
      <c r="BV350" s="196"/>
      <c r="BW350" s="178"/>
      <c r="BX350" s="196"/>
      <c r="BY350" s="196"/>
      <c r="BZ350" s="196"/>
      <c r="CA350" s="196"/>
      <c r="CB350" s="178"/>
      <c r="CC350" s="178"/>
      <c r="CD350" s="202"/>
      <c r="CE350" s="202"/>
      <c r="CF350" s="178"/>
      <c r="CG350" s="196"/>
      <c r="CH350" s="178"/>
      <c r="CI350" s="178"/>
      <c r="CJ350" s="178"/>
      <c r="CK350" s="178"/>
      <c r="CL350" s="178"/>
      <c r="CM350" s="178"/>
      <c r="CN350" s="178"/>
      <c r="CO350" s="178"/>
      <c r="CP350" s="178"/>
      <c r="CQ350" s="178"/>
      <c r="CR350" s="178"/>
      <c r="CS350" s="178"/>
      <c r="CT350" s="178"/>
      <c r="CU350" s="178"/>
      <c r="CV350" s="178"/>
      <c r="CW350" s="178"/>
      <c r="CX350" s="178"/>
      <c r="CY350" s="178"/>
      <c r="CZ350" s="178"/>
      <c r="DA350" s="150"/>
    </row>
    <row r="351" spans="53:105" x14ac:dyDescent="0.2">
      <c r="BA351" s="518">
        <f t="shared" ca="1" si="28"/>
        <v>61</v>
      </c>
      <c r="BB351" s="174">
        <f t="shared" ca="1" si="29"/>
        <v>288</v>
      </c>
      <c r="BC351" s="525" t="e">
        <f ca="1">MATCH(BD351,OFFSET(Pinlist!$A$2,BC350*(BA351=BA350),0,$BM$23,1),0)+BC350*(BA351=BA350)</f>
        <v>#N/A</v>
      </c>
      <c r="BD351" s="167">
        <f t="shared" ca="1" si="30"/>
        <v>0</v>
      </c>
      <c r="BE351" s="191" t="e">
        <f ca="1">(OFFSET(Pinlist!$E$1,BC351,0)-$BN$16)*$BN$19</f>
        <v>#N/A</v>
      </c>
      <c r="BF351" s="192" t="e">
        <f ca="1">(OFFSET(Pinlist!$F$1,BC351,0)-$BO$16)*$BO$19</f>
        <v>#N/A</v>
      </c>
      <c r="BG351" s="1098" t="str">
        <f ca="1">IF(LEFT(BD351,2)="RF",OFFSET(Pinlist!$D$1,Chart!BC351,0)&amp;"_"&amp;OFFSET(Pinlist!$G$1,Chart!BC351,0),"")</f>
        <v/>
      </c>
      <c r="BH351" s="1098"/>
      <c r="BI351" s="178"/>
      <c r="BJ351" s="178"/>
      <c r="BK351" s="178"/>
      <c r="BL351" s="178"/>
      <c r="BM351" s="178"/>
      <c r="BN351" s="178"/>
      <c r="BO351" s="178"/>
      <c r="BP351" s="178"/>
      <c r="BQ351" s="196"/>
      <c r="BR351" s="196"/>
      <c r="BS351" s="196"/>
      <c r="BT351" s="196"/>
      <c r="BU351" s="196"/>
      <c r="BV351" s="196"/>
      <c r="BW351" s="178"/>
      <c r="BX351" s="196"/>
      <c r="BY351" s="196"/>
      <c r="BZ351" s="196"/>
      <c r="CA351" s="196"/>
      <c r="CB351" s="178"/>
      <c r="CC351" s="178"/>
      <c r="CD351" s="202"/>
      <c r="CE351" s="202"/>
      <c r="CF351" s="178"/>
      <c r="CG351" s="196"/>
      <c r="CH351" s="178"/>
      <c r="CI351" s="178"/>
      <c r="CJ351" s="178"/>
      <c r="CK351" s="178"/>
      <c r="CL351" s="178"/>
      <c r="CM351" s="178"/>
      <c r="CN351" s="178"/>
      <c r="CO351" s="178"/>
      <c r="CP351" s="178"/>
      <c r="CQ351" s="178"/>
      <c r="CR351" s="178"/>
      <c r="CS351" s="178"/>
      <c r="CT351" s="178"/>
      <c r="CU351" s="178"/>
      <c r="CV351" s="178"/>
      <c r="CW351" s="178"/>
      <c r="CX351" s="178"/>
      <c r="CY351" s="178"/>
      <c r="CZ351" s="178"/>
      <c r="DA351" s="150"/>
    </row>
    <row r="352" spans="53:105" x14ac:dyDescent="0.2">
      <c r="BA352" s="518">
        <f t="shared" ca="1" si="28"/>
        <v>61</v>
      </c>
      <c r="BB352" s="174">
        <f t="shared" ca="1" si="29"/>
        <v>289</v>
      </c>
      <c r="BC352" s="525" t="e">
        <f ca="1">MATCH(BD352,OFFSET(Pinlist!$A$2,BC351*(BA352=BA351),0,$BM$23,1),0)+BC351*(BA352=BA351)</f>
        <v>#N/A</v>
      </c>
      <c r="BD352" s="167">
        <f t="shared" ca="1" si="30"/>
        <v>0</v>
      </c>
      <c r="BE352" s="191" t="e">
        <f ca="1">(OFFSET(Pinlist!$E$1,BC352,0)-$BN$16)*$BN$19</f>
        <v>#N/A</v>
      </c>
      <c r="BF352" s="192" t="e">
        <f ca="1">(OFFSET(Pinlist!$F$1,BC352,0)-$BO$16)*$BO$19</f>
        <v>#N/A</v>
      </c>
      <c r="BG352" s="1098" t="str">
        <f ca="1">IF(LEFT(BD352,2)="RF",OFFSET(Pinlist!$D$1,Chart!BC352,0)&amp;"_"&amp;OFFSET(Pinlist!$G$1,Chart!BC352,0),"")</f>
        <v/>
      </c>
      <c r="BH352" s="1098"/>
      <c r="BI352" s="178"/>
      <c r="BJ352" s="178"/>
      <c r="BK352" s="178"/>
      <c r="BL352" s="178"/>
      <c r="BM352" s="178"/>
      <c r="BN352" s="178"/>
      <c r="BO352" s="178"/>
      <c r="BP352" s="178"/>
      <c r="BQ352" s="196"/>
      <c r="BR352" s="196"/>
      <c r="BS352" s="196"/>
      <c r="BT352" s="196"/>
      <c r="BU352" s="196"/>
      <c r="BV352" s="196"/>
      <c r="BW352" s="178"/>
      <c r="BX352" s="196"/>
      <c r="BY352" s="196"/>
      <c r="BZ352" s="196"/>
      <c r="CA352" s="196"/>
      <c r="CB352" s="178"/>
      <c r="CC352" s="178"/>
      <c r="CD352" s="202"/>
      <c r="CE352" s="202"/>
      <c r="CF352" s="178"/>
      <c r="CG352" s="196"/>
      <c r="CH352" s="178"/>
      <c r="CI352" s="178"/>
      <c r="CJ352" s="178"/>
      <c r="CK352" s="178"/>
      <c r="CL352" s="178"/>
      <c r="CM352" s="178"/>
      <c r="CN352" s="178"/>
      <c r="CO352" s="178"/>
      <c r="CP352" s="178"/>
      <c r="CQ352" s="178"/>
      <c r="CR352" s="178"/>
      <c r="CS352" s="178"/>
      <c r="CT352" s="178"/>
      <c r="CU352" s="178"/>
      <c r="CV352" s="178"/>
      <c r="CW352" s="178"/>
      <c r="CX352" s="178"/>
      <c r="CY352" s="178"/>
      <c r="CZ352" s="178"/>
      <c r="DA352" s="150"/>
    </row>
    <row r="353" spans="53:105" x14ac:dyDescent="0.2">
      <c r="BA353" s="518">
        <f t="shared" ca="1" si="28"/>
        <v>61</v>
      </c>
      <c r="BB353" s="174">
        <f t="shared" ca="1" si="29"/>
        <v>290</v>
      </c>
      <c r="BC353" s="525" t="e">
        <f ca="1">MATCH(BD353,OFFSET(Pinlist!$A$2,BC352*(BA353=BA352),0,$BM$23,1),0)+BC352*(BA353=BA352)</f>
        <v>#N/A</v>
      </c>
      <c r="BD353" s="167">
        <f t="shared" ca="1" si="30"/>
        <v>0</v>
      </c>
      <c r="BE353" s="191" t="e">
        <f ca="1">(OFFSET(Pinlist!$E$1,BC353,0)-$BN$16)*$BN$19</f>
        <v>#N/A</v>
      </c>
      <c r="BF353" s="192" t="e">
        <f ca="1">(OFFSET(Pinlist!$F$1,BC353,0)-$BO$16)*$BO$19</f>
        <v>#N/A</v>
      </c>
      <c r="BG353" s="1098" t="str">
        <f ca="1">IF(LEFT(BD353,2)="RF",OFFSET(Pinlist!$D$1,Chart!BC353,0)&amp;"_"&amp;OFFSET(Pinlist!$G$1,Chart!BC353,0),"")</f>
        <v/>
      </c>
      <c r="BH353" s="1098"/>
      <c r="BI353" s="178"/>
      <c r="BJ353" s="178"/>
      <c r="BK353" s="178"/>
      <c r="BL353" s="178"/>
      <c r="BM353" s="178"/>
      <c r="BN353" s="178"/>
      <c r="BO353" s="178"/>
      <c r="BP353" s="178"/>
      <c r="BQ353" s="196"/>
      <c r="BR353" s="196"/>
      <c r="BS353" s="196"/>
      <c r="BT353" s="196"/>
      <c r="BU353" s="196"/>
      <c r="BV353" s="196"/>
      <c r="BW353" s="178"/>
      <c r="BX353" s="196"/>
      <c r="BY353" s="196"/>
      <c r="BZ353" s="196"/>
      <c r="CA353" s="196"/>
      <c r="CB353" s="178"/>
      <c r="CC353" s="178"/>
      <c r="CD353" s="202"/>
      <c r="CE353" s="202"/>
      <c r="CF353" s="178"/>
      <c r="CG353" s="196"/>
      <c r="CH353" s="178"/>
      <c r="CI353" s="178"/>
      <c r="CJ353" s="178"/>
      <c r="CK353" s="178"/>
      <c r="CL353" s="178"/>
      <c r="CM353" s="178"/>
      <c r="CN353" s="178"/>
      <c r="CO353" s="178"/>
      <c r="CP353" s="178"/>
      <c r="CQ353" s="178"/>
      <c r="CR353" s="178"/>
      <c r="CS353" s="178"/>
      <c r="CT353" s="178"/>
      <c r="CU353" s="178"/>
      <c r="CV353" s="178"/>
      <c r="CW353" s="178"/>
      <c r="CX353" s="178"/>
      <c r="CY353" s="178"/>
      <c r="CZ353" s="178"/>
      <c r="DA353" s="150"/>
    </row>
    <row r="354" spans="53:105" x14ac:dyDescent="0.2">
      <c r="BA354" s="518">
        <f t="shared" ca="1" si="28"/>
        <v>61</v>
      </c>
      <c r="BB354" s="174">
        <f t="shared" ca="1" si="29"/>
        <v>291</v>
      </c>
      <c r="BC354" s="525" t="e">
        <f ca="1">MATCH(BD354,OFFSET(Pinlist!$A$2,BC353*(BA354=BA353),0,$BM$23,1),0)+BC353*(BA354=BA353)</f>
        <v>#N/A</v>
      </c>
      <c r="BD354" s="167">
        <f t="shared" ca="1" si="30"/>
        <v>0</v>
      </c>
      <c r="BE354" s="191" t="e">
        <f ca="1">(OFFSET(Pinlist!$E$1,BC354,0)-$BN$16)*$BN$19</f>
        <v>#N/A</v>
      </c>
      <c r="BF354" s="192" t="e">
        <f ca="1">(OFFSET(Pinlist!$F$1,BC354,0)-$BO$16)*$BO$19</f>
        <v>#N/A</v>
      </c>
      <c r="BG354" s="1098" t="str">
        <f ca="1">IF(LEFT(BD354,2)="RF",OFFSET(Pinlist!$D$1,Chart!BC354,0)&amp;"_"&amp;OFFSET(Pinlist!$G$1,Chart!BC354,0),"")</f>
        <v/>
      </c>
      <c r="BH354" s="1098"/>
      <c r="BI354" s="178"/>
      <c r="BJ354" s="178"/>
      <c r="BK354" s="178"/>
      <c r="BL354" s="178"/>
      <c r="BM354" s="178"/>
      <c r="BN354" s="178"/>
      <c r="BO354" s="178"/>
      <c r="BP354" s="178"/>
      <c r="BQ354" s="196"/>
      <c r="BR354" s="196"/>
      <c r="BS354" s="196"/>
      <c r="BT354" s="196"/>
      <c r="BU354" s="196"/>
      <c r="BV354" s="196"/>
      <c r="BW354" s="178"/>
      <c r="BX354" s="196"/>
      <c r="BY354" s="196"/>
      <c r="BZ354" s="196"/>
      <c r="CA354" s="196"/>
      <c r="CB354" s="178"/>
      <c r="CC354" s="178"/>
      <c r="CD354" s="202"/>
      <c r="CE354" s="202"/>
      <c r="CF354" s="178"/>
      <c r="CG354" s="196"/>
      <c r="CH354" s="178"/>
      <c r="CI354" s="178"/>
      <c r="CJ354" s="178"/>
      <c r="CK354" s="178"/>
      <c r="CL354" s="178"/>
      <c r="CM354" s="178"/>
      <c r="CN354" s="178"/>
      <c r="CO354" s="178"/>
      <c r="CP354" s="178"/>
      <c r="CQ354" s="178"/>
      <c r="CR354" s="178"/>
      <c r="CS354" s="178"/>
      <c r="CT354" s="178"/>
      <c r="CU354" s="178"/>
      <c r="CV354" s="178"/>
      <c r="CW354" s="178"/>
      <c r="CX354" s="178"/>
      <c r="CY354" s="178"/>
      <c r="CZ354" s="178"/>
      <c r="DA354" s="150"/>
    </row>
    <row r="355" spans="53:105" x14ac:dyDescent="0.2">
      <c r="BA355" s="518">
        <f t="shared" ca="1" si="28"/>
        <v>61</v>
      </c>
      <c r="BB355" s="174">
        <f t="shared" ca="1" si="29"/>
        <v>292</v>
      </c>
      <c r="BC355" s="525" t="e">
        <f ca="1">MATCH(BD355,OFFSET(Pinlist!$A$2,BC354*(BA355=BA354),0,$BM$23,1),0)+BC354*(BA355=BA354)</f>
        <v>#N/A</v>
      </c>
      <c r="BD355" s="167">
        <f t="shared" ca="1" si="30"/>
        <v>0</v>
      </c>
      <c r="BE355" s="191" t="e">
        <f ca="1">(OFFSET(Pinlist!$E$1,BC355,0)-$BN$16)*$BN$19</f>
        <v>#N/A</v>
      </c>
      <c r="BF355" s="192" t="e">
        <f ca="1">(OFFSET(Pinlist!$F$1,BC355,0)-$BO$16)*$BO$19</f>
        <v>#N/A</v>
      </c>
      <c r="BG355" s="1098" t="str">
        <f ca="1">IF(LEFT(BD355,2)="RF",OFFSET(Pinlist!$D$1,Chart!BC355,0)&amp;"_"&amp;OFFSET(Pinlist!$G$1,Chart!BC355,0),"")</f>
        <v/>
      </c>
      <c r="BH355" s="1098"/>
      <c r="BI355" s="178"/>
      <c r="BJ355" s="178"/>
      <c r="BK355" s="178"/>
      <c r="BL355" s="178"/>
      <c r="BM355" s="178"/>
      <c r="BN355" s="178"/>
      <c r="BO355" s="178"/>
      <c r="BP355" s="178"/>
      <c r="BQ355" s="196"/>
      <c r="BR355" s="196"/>
      <c r="BS355" s="196"/>
      <c r="BT355" s="196"/>
      <c r="BU355" s="196"/>
      <c r="BV355" s="196"/>
      <c r="BW355" s="178"/>
      <c r="BX355" s="196"/>
      <c r="BY355" s="196"/>
      <c r="BZ355" s="196"/>
      <c r="CA355" s="196"/>
      <c r="CB355" s="178"/>
      <c r="CC355" s="178"/>
      <c r="CD355" s="202"/>
      <c r="CE355" s="202"/>
      <c r="CF355" s="178"/>
      <c r="CG355" s="196"/>
      <c r="CH355" s="178"/>
      <c r="CI355" s="178"/>
      <c r="CJ355" s="178"/>
      <c r="CK355" s="178"/>
      <c r="CL355" s="178"/>
      <c r="CM355" s="178"/>
      <c r="CN355" s="178"/>
      <c r="CO355" s="178"/>
      <c r="CP355" s="178"/>
      <c r="CQ355" s="178"/>
      <c r="CR355" s="178"/>
      <c r="CS355" s="178"/>
      <c r="CT355" s="178"/>
      <c r="CU355" s="178"/>
      <c r="CV355" s="178"/>
      <c r="CW355" s="178"/>
      <c r="CX355" s="178"/>
      <c r="CY355" s="178"/>
      <c r="CZ355" s="178"/>
      <c r="DA355" s="150"/>
    </row>
    <row r="356" spans="53:105" x14ac:dyDescent="0.2">
      <c r="BA356" s="518">
        <f t="shared" ca="1" si="28"/>
        <v>61</v>
      </c>
      <c r="BB356" s="174">
        <f t="shared" ca="1" si="29"/>
        <v>293</v>
      </c>
      <c r="BC356" s="525" t="e">
        <f ca="1">MATCH(BD356,OFFSET(Pinlist!$A$2,BC355*(BA356=BA355),0,$BM$23,1),0)+BC355*(BA356=BA355)</f>
        <v>#N/A</v>
      </c>
      <c r="BD356" s="167">
        <f t="shared" ca="1" si="30"/>
        <v>0</v>
      </c>
      <c r="BE356" s="191" t="e">
        <f ca="1">(OFFSET(Pinlist!$E$1,BC356,0)-$BN$16)*$BN$19</f>
        <v>#N/A</v>
      </c>
      <c r="BF356" s="192" t="e">
        <f ca="1">(OFFSET(Pinlist!$F$1,BC356,0)-$BO$16)*$BO$19</f>
        <v>#N/A</v>
      </c>
      <c r="BG356" s="1098" t="str">
        <f ca="1">IF(LEFT(BD356,2)="RF",OFFSET(Pinlist!$D$1,Chart!BC356,0)&amp;"_"&amp;OFFSET(Pinlist!$G$1,Chart!BC356,0),"")</f>
        <v/>
      </c>
      <c r="BH356" s="1098"/>
      <c r="BI356" s="178"/>
      <c r="BJ356" s="178"/>
      <c r="BK356" s="178"/>
      <c r="BL356" s="178"/>
      <c r="BM356" s="178"/>
      <c r="BN356" s="178"/>
      <c r="BO356" s="178"/>
      <c r="BP356" s="178"/>
      <c r="BQ356" s="196"/>
      <c r="BR356" s="196"/>
      <c r="BS356" s="196"/>
      <c r="BT356" s="196"/>
      <c r="BU356" s="196"/>
      <c r="BV356" s="196"/>
      <c r="BW356" s="178"/>
      <c r="BX356" s="196"/>
      <c r="BY356" s="196"/>
      <c r="BZ356" s="196"/>
      <c r="CA356" s="196"/>
      <c r="CB356" s="178"/>
      <c r="CC356" s="178"/>
      <c r="CD356" s="202"/>
      <c r="CE356" s="202"/>
      <c r="CF356" s="178"/>
      <c r="CG356" s="196"/>
      <c r="CH356" s="178"/>
      <c r="CI356" s="178"/>
      <c r="CJ356" s="178"/>
      <c r="CK356" s="178"/>
      <c r="CL356" s="178"/>
      <c r="CM356" s="178"/>
      <c r="CN356" s="178"/>
      <c r="CO356" s="178"/>
      <c r="CP356" s="178"/>
      <c r="CQ356" s="178"/>
      <c r="CR356" s="178"/>
      <c r="CS356" s="178"/>
      <c r="CT356" s="178"/>
      <c r="CU356" s="178"/>
      <c r="CV356" s="178"/>
      <c r="CW356" s="178"/>
      <c r="CX356" s="178"/>
      <c r="CY356" s="178"/>
      <c r="CZ356" s="178"/>
      <c r="DA356" s="150"/>
    </row>
    <row r="357" spans="53:105" x14ac:dyDescent="0.2">
      <c r="BA357" s="518">
        <f t="shared" ca="1" si="28"/>
        <v>61</v>
      </c>
      <c r="BB357" s="174">
        <f t="shared" ca="1" si="29"/>
        <v>294</v>
      </c>
      <c r="BC357" s="525" t="e">
        <f ca="1">MATCH(BD357,OFFSET(Pinlist!$A$2,BC356*(BA357=BA356),0,$BM$23,1),0)+BC356*(BA357=BA356)</f>
        <v>#N/A</v>
      </c>
      <c r="BD357" s="167">
        <f t="shared" ca="1" si="30"/>
        <v>0</v>
      </c>
      <c r="BE357" s="191" t="e">
        <f ca="1">(OFFSET(Pinlist!$E$1,BC357,0)-$BN$16)*$BN$19</f>
        <v>#N/A</v>
      </c>
      <c r="BF357" s="192" t="e">
        <f ca="1">(OFFSET(Pinlist!$F$1,BC357,0)-$BO$16)*$BO$19</f>
        <v>#N/A</v>
      </c>
      <c r="BG357" s="1098" t="str">
        <f ca="1">IF(LEFT(BD357,2)="RF",OFFSET(Pinlist!$D$1,Chart!BC357,0)&amp;"_"&amp;OFFSET(Pinlist!$G$1,Chart!BC357,0),"")</f>
        <v/>
      </c>
      <c r="BH357" s="1098"/>
      <c r="BI357" s="178"/>
      <c r="BJ357" s="178"/>
      <c r="BK357" s="178"/>
      <c r="BL357" s="178"/>
      <c r="BM357" s="178"/>
      <c r="BN357" s="178"/>
      <c r="BO357" s="178"/>
      <c r="BP357" s="178"/>
      <c r="BQ357" s="196"/>
      <c r="BR357" s="196"/>
      <c r="BS357" s="196"/>
      <c r="BT357" s="196"/>
      <c r="BU357" s="196"/>
      <c r="BV357" s="196"/>
      <c r="BW357" s="178"/>
      <c r="BX357" s="196"/>
      <c r="BY357" s="196"/>
      <c r="BZ357" s="196"/>
      <c r="CA357" s="196"/>
      <c r="CB357" s="178"/>
      <c r="CC357" s="178"/>
      <c r="CD357" s="202"/>
      <c r="CE357" s="202"/>
      <c r="CF357" s="178"/>
      <c r="CG357" s="196"/>
      <c r="CH357" s="178"/>
      <c r="CI357" s="178"/>
      <c r="CJ357" s="178"/>
      <c r="CK357" s="178"/>
      <c r="CL357" s="178"/>
      <c r="CM357" s="178"/>
      <c r="CN357" s="178"/>
      <c r="CO357" s="178"/>
      <c r="CP357" s="178"/>
      <c r="CQ357" s="178"/>
      <c r="CR357" s="178"/>
      <c r="CS357" s="178"/>
      <c r="CT357" s="178"/>
      <c r="CU357" s="178"/>
      <c r="CV357" s="178"/>
      <c r="CW357" s="178"/>
      <c r="CX357" s="178"/>
      <c r="CY357" s="178"/>
      <c r="CZ357" s="178"/>
      <c r="DA357" s="150"/>
    </row>
    <row r="358" spans="53:105" x14ac:dyDescent="0.2">
      <c r="BA358" s="518">
        <f t="shared" ca="1" si="28"/>
        <v>61</v>
      </c>
      <c r="BB358" s="174">
        <f t="shared" ca="1" si="29"/>
        <v>295</v>
      </c>
      <c r="BC358" s="525" t="e">
        <f ca="1">MATCH(BD358,OFFSET(Pinlist!$A$2,BC357*(BA358=BA357),0,$BM$23,1),0)+BC357*(BA358=BA357)</f>
        <v>#N/A</v>
      </c>
      <c r="BD358" s="167">
        <f t="shared" ca="1" si="30"/>
        <v>0</v>
      </c>
      <c r="BE358" s="191" t="e">
        <f ca="1">(OFFSET(Pinlist!$E$1,BC358,0)-$BN$16)*$BN$19</f>
        <v>#N/A</v>
      </c>
      <c r="BF358" s="192" t="e">
        <f ca="1">(OFFSET(Pinlist!$F$1,BC358,0)-$BO$16)*$BO$19</f>
        <v>#N/A</v>
      </c>
      <c r="BG358" s="1098" t="str">
        <f ca="1">IF(LEFT(BD358,2)="RF",OFFSET(Pinlist!$D$1,Chart!BC358,0)&amp;"_"&amp;OFFSET(Pinlist!$G$1,Chart!BC358,0),"")</f>
        <v/>
      </c>
      <c r="BH358" s="1098"/>
      <c r="BI358" s="178"/>
      <c r="BJ358" s="178"/>
      <c r="BK358" s="178"/>
      <c r="BL358" s="178"/>
      <c r="BM358" s="178"/>
      <c r="BN358" s="178"/>
      <c r="BO358" s="178"/>
      <c r="BP358" s="178"/>
      <c r="BQ358" s="196"/>
      <c r="BR358" s="196"/>
      <c r="BS358" s="196"/>
      <c r="BT358" s="196"/>
      <c r="BU358" s="196"/>
      <c r="BV358" s="196"/>
      <c r="BW358" s="178"/>
      <c r="BX358" s="196"/>
      <c r="BY358" s="196"/>
      <c r="BZ358" s="196"/>
      <c r="CA358" s="196"/>
      <c r="CB358" s="178"/>
      <c r="CC358" s="178"/>
      <c r="CD358" s="202"/>
      <c r="CE358" s="202"/>
      <c r="CF358" s="178"/>
      <c r="CG358" s="196"/>
      <c r="CH358" s="178"/>
      <c r="CI358" s="178"/>
      <c r="CJ358" s="178"/>
      <c r="CK358" s="178"/>
      <c r="CL358" s="178"/>
      <c r="CM358" s="178"/>
      <c r="CN358" s="178"/>
      <c r="CO358" s="178"/>
      <c r="CP358" s="178"/>
      <c r="CQ358" s="178"/>
      <c r="CR358" s="178"/>
      <c r="CS358" s="178"/>
      <c r="CT358" s="178"/>
      <c r="CU358" s="178"/>
      <c r="CV358" s="178"/>
      <c r="CW358" s="178"/>
      <c r="CX358" s="178"/>
      <c r="CY358" s="178"/>
      <c r="CZ358" s="178"/>
      <c r="DA358" s="150"/>
    </row>
    <row r="359" spans="53:105" x14ac:dyDescent="0.2">
      <c r="BA359" s="518">
        <f t="shared" ca="1" si="28"/>
        <v>61</v>
      </c>
      <c r="BB359" s="174">
        <f t="shared" ca="1" si="29"/>
        <v>296</v>
      </c>
      <c r="BC359" s="525" t="e">
        <f ca="1">MATCH(BD359,OFFSET(Pinlist!$A$2,BC358*(BA359=BA358),0,$BM$23,1),0)+BC358*(BA359=BA358)</f>
        <v>#N/A</v>
      </c>
      <c r="BD359" s="167">
        <f t="shared" ca="1" si="30"/>
        <v>0</v>
      </c>
      <c r="BE359" s="191" t="e">
        <f ca="1">(OFFSET(Pinlist!$E$1,BC359,0)-$BN$16)*$BN$19</f>
        <v>#N/A</v>
      </c>
      <c r="BF359" s="192" t="e">
        <f ca="1">(OFFSET(Pinlist!$F$1,BC359,0)-$BO$16)*$BO$19</f>
        <v>#N/A</v>
      </c>
      <c r="BG359" s="1098" t="str">
        <f ca="1">IF(LEFT(BD359,2)="RF",OFFSET(Pinlist!$D$1,Chart!BC359,0)&amp;"_"&amp;OFFSET(Pinlist!$G$1,Chart!BC359,0),"")</f>
        <v/>
      </c>
      <c r="BH359" s="1098"/>
      <c r="BI359" s="178"/>
      <c r="BJ359" s="178"/>
      <c r="BK359" s="178"/>
      <c r="BL359" s="178"/>
      <c r="BM359" s="178"/>
      <c r="BN359" s="178"/>
      <c r="BO359" s="178"/>
      <c r="BP359" s="178"/>
      <c r="BQ359" s="196"/>
      <c r="BR359" s="196"/>
      <c r="BS359" s="196"/>
      <c r="BT359" s="196"/>
      <c r="BU359" s="196"/>
      <c r="BV359" s="196"/>
      <c r="BW359" s="178"/>
      <c r="BX359" s="196"/>
      <c r="BY359" s="196"/>
      <c r="BZ359" s="196"/>
      <c r="CA359" s="196"/>
      <c r="CB359" s="178"/>
      <c r="CC359" s="178"/>
      <c r="CD359" s="202"/>
      <c r="CE359" s="202"/>
      <c r="CF359" s="178"/>
      <c r="CG359" s="196"/>
      <c r="CH359" s="178"/>
      <c r="CI359" s="178"/>
      <c r="CJ359" s="178"/>
      <c r="CK359" s="178"/>
      <c r="CL359" s="178"/>
      <c r="CM359" s="178"/>
      <c r="CN359" s="178"/>
      <c r="CO359" s="178"/>
      <c r="CP359" s="178"/>
      <c r="CQ359" s="178"/>
      <c r="CR359" s="178"/>
      <c r="CS359" s="178"/>
      <c r="CT359" s="178"/>
      <c r="CU359" s="178"/>
      <c r="CV359" s="178"/>
      <c r="CW359" s="178"/>
      <c r="CX359" s="178"/>
      <c r="CY359" s="178"/>
      <c r="CZ359" s="178"/>
      <c r="DA359" s="150"/>
    </row>
    <row r="360" spans="53:105" x14ac:dyDescent="0.2">
      <c r="BA360" s="518">
        <f t="shared" ca="1" si="28"/>
        <v>61</v>
      </c>
      <c r="BB360" s="174">
        <f t="shared" ca="1" si="29"/>
        <v>297</v>
      </c>
      <c r="BC360" s="525" t="e">
        <f ca="1">MATCH(BD360,OFFSET(Pinlist!$A$2,BC359*(BA360=BA359),0,$BM$23,1),0)+BC359*(BA360=BA359)</f>
        <v>#N/A</v>
      </c>
      <c r="BD360" s="167">
        <f t="shared" ca="1" si="30"/>
        <v>0</v>
      </c>
      <c r="BE360" s="191" t="e">
        <f ca="1">(OFFSET(Pinlist!$E$1,BC360,0)-$BN$16)*$BN$19</f>
        <v>#N/A</v>
      </c>
      <c r="BF360" s="192" t="e">
        <f ca="1">(OFFSET(Pinlist!$F$1,BC360,0)-$BO$16)*$BO$19</f>
        <v>#N/A</v>
      </c>
      <c r="BG360" s="1098" t="str">
        <f ca="1">IF(LEFT(BD360,2)="RF",OFFSET(Pinlist!$D$1,Chart!BC360,0)&amp;"_"&amp;OFFSET(Pinlist!$G$1,Chart!BC360,0),"")</f>
        <v/>
      </c>
      <c r="BH360" s="1098"/>
      <c r="BI360" s="178"/>
      <c r="BJ360" s="178"/>
      <c r="BK360" s="178"/>
      <c r="BL360" s="178"/>
      <c r="BM360" s="178"/>
      <c r="BN360" s="178"/>
      <c r="BO360" s="178"/>
      <c r="BP360" s="178"/>
      <c r="BQ360" s="196"/>
      <c r="BR360" s="196"/>
      <c r="BS360" s="196"/>
      <c r="BT360" s="196"/>
      <c r="BU360" s="196"/>
      <c r="BV360" s="196"/>
      <c r="BW360" s="178"/>
      <c r="BX360" s="196"/>
      <c r="BY360" s="196"/>
      <c r="BZ360" s="196"/>
      <c r="CA360" s="196"/>
      <c r="CB360" s="178"/>
      <c r="CC360" s="178"/>
      <c r="CD360" s="202"/>
      <c r="CE360" s="202"/>
      <c r="CF360" s="178"/>
      <c r="CG360" s="196"/>
      <c r="CH360" s="178"/>
      <c r="CI360" s="178"/>
      <c r="CJ360" s="178"/>
      <c r="CK360" s="178"/>
      <c r="CL360" s="178"/>
      <c r="CM360" s="178"/>
      <c r="CN360" s="178"/>
      <c r="CO360" s="178"/>
      <c r="CP360" s="178"/>
      <c r="CQ360" s="178"/>
      <c r="CR360" s="178"/>
      <c r="CS360" s="178"/>
      <c r="CT360" s="178"/>
      <c r="CU360" s="178"/>
      <c r="CV360" s="178"/>
      <c r="CW360" s="178"/>
      <c r="CX360" s="178"/>
      <c r="CY360" s="178"/>
      <c r="CZ360" s="178"/>
      <c r="DA360" s="150"/>
    </row>
    <row r="361" spans="53:105" x14ac:dyDescent="0.2">
      <c r="BA361" s="518">
        <f t="shared" ca="1" si="28"/>
        <v>61</v>
      </c>
      <c r="BB361" s="174">
        <f t="shared" ca="1" si="29"/>
        <v>298</v>
      </c>
      <c r="BC361" s="525" t="e">
        <f ca="1">MATCH(BD361,OFFSET(Pinlist!$A$2,BC360*(BA361=BA360),0,$BM$23,1),0)+BC360*(BA361=BA360)</f>
        <v>#N/A</v>
      </c>
      <c r="BD361" s="167">
        <f t="shared" ca="1" si="30"/>
        <v>0</v>
      </c>
      <c r="BE361" s="191" t="e">
        <f ca="1">(OFFSET(Pinlist!$E$1,BC361,0)-$BN$16)*$BN$19</f>
        <v>#N/A</v>
      </c>
      <c r="BF361" s="192" t="e">
        <f ca="1">(OFFSET(Pinlist!$F$1,BC361,0)-$BO$16)*$BO$19</f>
        <v>#N/A</v>
      </c>
      <c r="BG361" s="1098" t="str">
        <f ca="1">IF(LEFT(BD361,2)="RF",OFFSET(Pinlist!$D$1,Chart!BC361,0)&amp;"_"&amp;OFFSET(Pinlist!$G$1,Chart!BC361,0),"")</f>
        <v/>
      </c>
      <c r="BH361" s="1098"/>
      <c r="BI361" s="178"/>
      <c r="BJ361" s="178"/>
      <c r="BK361" s="178"/>
      <c r="BL361" s="178"/>
      <c r="BM361" s="178"/>
      <c r="BN361" s="178"/>
      <c r="BO361" s="178"/>
      <c r="BP361" s="178"/>
      <c r="BQ361" s="196"/>
      <c r="BR361" s="196"/>
      <c r="BS361" s="196"/>
      <c r="BT361" s="196"/>
      <c r="BU361" s="196"/>
      <c r="BV361" s="196"/>
      <c r="BW361" s="178"/>
      <c r="BX361" s="196"/>
      <c r="BY361" s="196"/>
      <c r="BZ361" s="196"/>
      <c r="CA361" s="196"/>
      <c r="CB361" s="178"/>
      <c r="CC361" s="178"/>
      <c r="CD361" s="202"/>
      <c r="CE361" s="202"/>
      <c r="CF361" s="178"/>
      <c r="CG361" s="196"/>
      <c r="CH361" s="178"/>
      <c r="CI361" s="178"/>
      <c r="CJ361" s="178"/>
      <c r="CK361" s="178"/>
      <c r="CL361" s="178"/>
      <c r="CM361" s="178"/>
      <c r="CN361" s="178"/>
      <c r="CO361" s="178"/>
      <c r="CP361" s="178"/>
      <c r="CQ361" s="178"/>
      <c r="CR361" s="178"/>
      <c r="CS361" s="178"/>
      <c r="CT361" s="178"/>
      <c r="CU361" s="178"/>
      <c r="CV361" s="178"/>
      <c r="CW361" s="178"/>
      <c r="CX361" s="178"/>
      <c r="CY361" s="178"/>
      <c r="CZ361" s="178"/>
      <c r="DA361" s="150"/>
    </row>
    <row r="362" spans="53:105" x14ac:dyDescent="0.2">
      <c r="BA362" s="518">
        <f t="shared" ca="1" si="28"/>
        <v>61</v>
      </c>
      <c r="BB362" s="174">
        <f t="shared" ca="1" si="29"/>
        <v>299</v>
      </c>
      <c r="BC362" s="525" t="e">
        <f ca="1">MATCH(BD362,OFFSET(Pinlist!$A$2,BC361*(BA362=BA361),0,$BM$23,1),0)+BC361*(BA362=BA361)</f>
        <v>#N/A</v>
      </c>
      <c r="BD362" s="167">
        <f t="shared" ca="1" si="30"/>
        <v>0</v>
      </c>
      <c r="BE362" s="191" t="e">
        <f ca="1">(OFFSET(Pinlist!$E$1,BC362,0)-$BN$16)*$BN$19</f>
        <v>#N/A</v>
      </c>
      <c r="BF362" s="192" t="e">
        <f ca="1">(OFFSET(Pinlist!$F$1,BC362,0)-$BO$16)*$BO$19</f>
        <v>#N/A</v>
      </c>
      <c r="BG362" s="1098" t="str">
        <f ca="1">IF(LEFT(BD362,2)="RF",OFFSET(Pinlist!$D$1,Chart!BC362,0)&amp;"_"&amp;OFFSET(Pinlist!$G$1,Chart!BC362,0),"")</f>
        <v/>
      </c>
      <c r="BH362" s="1098"/>
      <c r="BI362" s="178"/>
      <c r="BJ362" s="178"/>
      <c r="BK362" s="178"/>
      <c r="BL362" s="178"/>
      <c r="BM362" s="178"/>
      <c r="BN362" s="178"/>
      <c r="BO362" s="178"/>
      <c r="BP362" s="178"/>
      <c r="BQ362" s="196"/>
      <c r="BR362" s="196"/>
      <c r="BS362" s="196"/>
      <c r="BT362" s="196"/>
      <c r="BU362" s="196"/>
      <c r="BV362" s="196"/>
      <c r="BW362" s="178"/>
      <c r="BX362" s="196"/>
      <c r="BY362" s="196"/>
      <c r="BZ362" s="196"/>
      <c r="CA362" s="196"/>
      <c r="CB362" s="178"/>
      <c r="CC362" s="178"/>
      <c r="CD362" s="202"/>
      <c r="CE362" s="202"/>
      <c r="CF362" s="178"/>
      <c r="CG362" s="196"/>
      <c r="CH362" s="178"/>
      <c r="CI362" s="178"/>
      <c r="CJ362" s="178"/>
      <c r="CK362" s="178"/>
      <c r="CL362" s="178"/>
      <c r="CM362" s="178"/>
      <c r="CN362" s="178"/>
      <c r="CO362" s="178"/>
      <c r="CP362" s="178"/>
      <c r="CQ362" s="178"/>
      <c r="CR362" s="178"/>
      <c r="CS362" s="178"/>
      <c r="CT362" s="178"/>
      <c r="CU362" s="178"/>
      <c r="CV362" s="178"/>
      <c r="CW362" s="178"/>
      <c r="CX362" s="178"/>
      <c r="CY362" s="178"/>
      <c r="CZ362" s="178"/>
      <c r="DA362" s="150"/>
    </row>
    <row r="363" spans="53:105" x14ac:dyDescent="0.2">
      <c r="BA363" s="518">
        <f t="shared" ca="1" si="28"/>
        <v>61</v>
      </c>
      <c r="BB363" s="174">
        <f t="shared" ca="1" si="29"/>
        <v>300</v>
      </c>
      <c r="BC363" s="525" t="e">
        <f ca="1">MATCH(BD363,OFFSET(Pinlist!$A$2,BC362*(BA363=BA362),0,$BM$23,1),0)+BC362*(BA363=BA362)</f>
        <v>#N/A</v>
      </c>
      <c r="BD363" s="167">
        <f t="shared" ca="1" si="30"/>
        <v>0</v>
      </c>
      <c r="BE363" s="191" t="e">
        <f ca="1">(OFFSET(Pinlist!$E$1,BC363,0)-$BN$16)*$BN$19</f>
        <v>#N/A</v>
      </c>
      <c r="BF363" s="192" t="e">
        <f ca="1">(OFFSET(Pinlist!$F$1,BC363,0)-$BO$16)*$BO$19</f>
        <v>#N/A</v>
      </c>
      <c r="BG363" s="1098" t="str">
        <f ca="1">IF(LEFT(BD363,2)="RF",OFFSET(Pinlist!$D$1,Chart!BC363,0)&amp;"_"&amp;OFFSET(Pinlist!$G$1,Chart!BC363,0),"")</f>
        <v/>
      </c>
      <c r="BH363" s="1098"/>
      <c r="BI363" s="178"/>
      <c r="BJ363" s="178"/>
      <c r="BK363" s="178"/>
      <c r="BL363" s="178"/>
      <c r="BM363" s="178"/>
      <c r="BN363" s="178"/>
      <c r="BO363" s="178"/>
      <c r="BP363" s="178"/>
      <c r="BQ363" s="196"/>
      <c r="BR363" s="196"/>
      <c r="BS363" s="196"/>
      <c r="BT363" s="196"/>
      <c r="BU363" s="196"/>
      <c r="BV363" s="196"/>
      <c r="BW363" s="178"/>
      <c r="BX363" s="196"/>
      <c r="BY363" s="196"/>
      <c r="BZ363" s="196"/>
      <c r="CA363" s="196"/>
      <c r="CB363" s="178"/>
      <c r="CC363" s="178"/>
      <c r="CD363" s="202"/>
      <c r="CE363" s="202"/>
      <c r="CF363" s="178"/>
      <c r="CG363" s="196"/>
      <c r="CH363" s="178"/>
      <c r="CI363" s="178"/>
      <c r="CJ363" s="178"/>
      <c r="CK363" s="178"/>
      <c r="CL363" s="178"/>
      <c r="CM363" s="178"/>
      <c r="CN363" s="178"/>
      <c r="CO363" s="178"/>
      <c r="CP363" s="178"/>
      <c r="CQ363" s="178"/>
      <c r="CR363" s="178"/>
      <c r="CS363" s="178"/>
      <c r="CT363" s="178"/>
      <c r="CU363" s="178"/>
      <c r="CV363" s="178"/>
      <c r="CW363" s="178"/>
      <c r="CX363" s="178"/>
      <c r="CY363" s="178"/>
      <c r="CZ363" s="178"/>
      <c r="DA363" s="150"/>
    </row>
    <row r="364" spans="53:105" x14ac:dyDescent="0.2">
      <c r="BA364" s="518">
        <f t="shared" ca="1" si="28"/>
        <v>61</v>
      </c>
      <c r="BB364" s="174">
        <f t="shared" ca="1" si="29"/>
        <v>301</v>
      </c>
      <c r="BC364" s="525" t="e">
        <f ca="1">MATCH(BD364,OFFSET(Pinlist!$A$2,BC363*(BA364=BA363),0,$BM$23,1),0)+BC363*(BA364=BA363)</f>
        <v>#N/A</v>
      </c>
      <c r="BD364" s="167">
        <f t="shared" ca="1" si="30"/>
        <v>0</v>
      </c>
      <c r="BE364" s="191" t="e">
        <f ca="1">(OFFSET(Pinlist!$E$1,BC364,0)-$BN$16)*$BN$19</f>
        <v>#N/A</v>
      </c>
      <c r="BF364" s="192" t="e">
        <f ca="1">(OFFSET(Pinlist!$F$1,BC364,0)-$BO$16)*$BO$19</f>
        <v>#N/A</v>
      </c>
      <c r="BG364" s="1098" t="str">
        <f ca="1">IF(LEFT(BD364,2)="RF",OFFSET(Pinlist!$D$1,Chart!BC364,0)&amp;"_"&amp;OFFSET(Pinlist!$G$1,Chart!BC364,0),"")</f>
        <v/>
      </c>
      <c r="BH364" s="1098"/>
      <c r="BI364" s="178"/>
      <c r="BJ364" s="178"/>
      <c r="BK364" s="178"/>
      <c r="BL364" s="178"/>
      <c r="BM364" s="178"/>
      <c r="BN364" s="178"/>
      <c r="BO364" s="178"/>
      <c r="BP364" s="178"/>
      <c r="BQ364" s="196"/>
      <c r="BR364" s="196"/>
      <c r="BS364" s="196"/>
      <c r="BT364" s="196"/>
      <c r="BU364" s="196"/>
      <c r="BV364" s="196"/>
      <c r="BW364" s="178"/>
      <c r="BX364" s="196"/>
      <c r="BY364" s="196"/>
      <c r="BZ364" s="196"/>
      <c r="CA364" s="196"/>
      <c r="CB364" s="178"/>
      <c r="CC364" s="178"/>
      <c r="CD364" s="202"/>
      <c r="CE364" s="202"/>
      <c r="CF364" s="178"/>
      <c r="CG364" s="196"/>
      <c r="CH364" s="178"/>
      <c r="CI364" s="178"/>
      <c r="CJ364" s="178"/>
      <c r="CK364" s="178"/>
      <c r="CL364" s="178"/>
      <c r="CM364" s="178"/>
      <c r="CN364" s="178"/>
      <c r="CO364" s="178"/>
      <c r="CP364" s="178"/>
      <c r="CQ364" s="178"/>
      <c r="CR364" s="178"/>
      <c r="CS364" s="178"/>
      <c r="CT364" s="178"/>
      <c r="CU364" s="178"/>
      <c r="CV364" s="178"/>
      <c r="CW364" s="178"/>
      <c r="CX364" s="178"/>
      <c r="CY364" s="178"/>
      <c r="CZ364" s="178"/>
      <c r="DA364" s="150"/>
    </row>
    <row r="365" spans="53:105" x14ac:dyDescent="0.2">
      <c r="BA365" s="518">
        <f t="shared" ca="1" si="28"/>
        <v>61</v>
      </c>
      <c r="BB365" s="174">
        <f t="shared" ca="1" si="29"/>
        <v>302</v>
      </c>
      <c r="BC365" s="525" t="e">
        <f ca="1">MATCH(BD365,OFFSET(Pinlist!$A$2,BC364*(BA365=BA364),0,$BM$23,1),0)+BC364*(BA365=BA364)</f>
        <v>#N/A</v>
      </c>
      <c r="BD365" s="167">
        <f t="shared" ca="1" si="30"/>
        <v>0</v>
      </c>
      <c r="BE365" s="191" t="e">
        <f ca="1">(OFFSET(Pinlist!$E$1,BC365,0)-$BN$16)*$BN$19</f>
        <v>#N/A</v>
      </c>
      <c r="BF365" s="192" t="e">
        <f ca="1">(OFFSET(Pinlist!$F$1,BC365,0)-$BO$16)*$BO$19</f>
        <v>#N/A</v>
      </c>
      <c r="BG365" s="1098" t="str">
        <f ca="1">IF(LEFT(BD365,2)="RF",OFFSET(Pinlist!$D$1,Chart!BC365,0)&amp;"_"&amp;OFFSET(Pinlist!$G$1,Chart!BC365,0),"")</f>
        <v/>
      </c>
      <c r="BH365" s="1098"/>
      <c r="BI365" s="178"/>
      <c r="BJ365" s="178"/>
      <c r="BK365" s="178"/>
      <c r="BL365" s="178"/>
      <c r="BM365" s="178"/>
      <c r="BN365" s="178"/>
      <c r="BO365" s="178"/>
      <c r="BP365" s="178"/>
      <c r="BQ365" s="196"/>
      <c r="BR365" s="196"/>
      <c r="BS365" s="196"/>
      <c r="BT365" s="196"/>
      <c r="BU365" s="196"/>
      <c r="BV365" s="196"/>
      <c r="BW365" s="178"/>
      <c r="BX365" s="196"/>
      <c r="BY365" s="196"/>
      <c r="BZ365" s="196"/>
      <c r="CA365" s="196"/>
      <c r="CB365" s="178"/>
      <c r="CC365" s="178"/>
      <c r="CD365" s="202"/>
      <c r="CE365" s="202"/>
      <c r="CF365" s="178"/>
      <c r="CG365" s="196"/>
      <c r="CH365" s="178"/>
      <c r="CI365" s="178"/>
      <c r="CJ365" s="178"/>
      <c r="CK365" s="178"/>
      <c r="CL365" s="178"/>
      <c r="CM365" s="178"/>
      <c r="CN365" s="178"/>
      <c r="CO365" s="178"/>
      <c r="CP365" s="178"/>
      <c r="CQ365" s="178"/>
      <c r="CR365" s="178"/>
      <c r="CS365" s="178"/>
      <c r="CT365" s="178"/>
      <c r="CU365" s="178"/>
      <c r="CV365" s="178"/>
      <c r="CW365" s="178"/>
      <c r="CX365" s="178"/>
      <c r="CY365" s="178"/>
      <c r="CZ365" s="178"/>
      <c r="DA365" s="150"/>
    </row>
    <row r="366" spans="53:105" x14ac:dyDescent="0.2">
      <c r="BA366" s="518">
        <f t="shared" ca="1" si="28"/>
        <v>61</v>
      </c>
      <c r="BB366" s="174">
        <f t="shared" ca="1" si="29"/>
        <v>303</v>
      </c>
      <c r="BC366" s="525" t="e">
        <f ca="1">MATCH(BD366,OFFSET(Pinlist!$A$2,BC365*(BA366=BA365),0,$BM$23,1),0)+BC365*(BA366=BA365)</f>
        <v>#N/A</v>
      </c>
      <c r="BD366" s="167">
        <f t="shared" ca="1" si="30"/>
        <v>0</v>
      </c>
      <c r="BE366" s="191" t="e">
        <f ca="1">(OFFSET(Pinlist!$E$1,BC366,0)-$BN$16)*$BN$19</f>
        <v>#N/A</v>
      </c>
      <c r="BF366" s="192" t="e">
        <f ca="1">(OFFSET(Pinlist!$F$1,BC366,0)-$BO$16)*$BO$19</f>
        <v>#N/A</v>
      </c>
      <c r="BG366" s="1098" t="str">
        <f ca="1">IF(LEFT(BD366,2)="RF",OFFSET(Pinlist!$D$1,Chart!BC366,0)&amp;"_"&amp;OFFSET(Pinlist!$G$1,Chart!BC366,0),"")</f>
        <v/>
      </c>
      <c r="BH366" s="1098"/>
      <c r="BI366" s="178"/>
      <c r="BJ366" s="178"/>
      <c r="BK366" s="178"/>
      <c r="BL366" s="178"/>
      <c r="BM366" s="178"/>
      <c r="BN366" s="178"/>
      <c r="BO366" s="178"/>
      <c r="BP366" s="178"/>
      <c r="BQ366" s="196"/>
      <c r="BR366" s="196"/>
      <c r="BS366" s="196"/>
      <c r="BT366" s="196"/>
      <c r="BU366" s="196"/>
      <c r="BV366" s="196"/>
      <c r="BW366" s="178"/>
      <c r="BX366" s="196"/>
      <c r="BY366" s="196"/>
      <c r="BZ366" s="196"/>
      <c r="CA366" s="196"/>
      <c r="CB366" s="178"/>
      <c r="CC366" s="178"/>
      <c r="CD366" s="202"/>
      <c r="CE366" s="202"/>
      <c r="CF366" s="178"/>
      <c r="CG366" s="196"/>
      <c r="CH366" s="178"/>
      <c r="CI366" s="178"/>
      <c r="CJ366" s="178"/>
      <c r="CK366" s="178"/>
      <c r="CL366" s="178"/>
      <c r="CM366" s="178"/>
      <c r="CN366" s="178"/>
      <c r="CO366" s="178"/>
      <c r="CP366" s="178"/>
      <c r="CQ366" s="178"/>
      <c r="CR366" s="178"/>
      <c r="CS366" s="178"/>
      <c r="CT366" s="178"/>
      <c r="CU366" s="178"/>
      <c r="CV366" s="178"/>
      <c r="CW366" s="178"/>
      <c r="CX366" s="178"/>
      <c r="CY366" s="178"/>
      <c r="CZ366" s="178"/>
      <c r="DA366" s="150"/>
    </row>
    <row r="367" spans="53:105" x14ac:dyDescent="0.2">
      <c r="BA367" s="518">
        <f t="shared" ca="1" si="28"/>
        <v>61</v>
      </c>
      <c r="BB367" s="174">
        <f t="shared" ca="1" si="29"/>
        <v>304</v>
      </c>
      <c r="BC367" s="525" t="e">
        <f ca="1">MATCH(BD367,OFFSET(Pinlist!$A$2,BC366*(BA367=BA366),0,$BM$23,1),0)+BC366*(BA367=BA366)</f>
        <v>#N/A</v>
      </c>
      <c r="BD367" s="167">
        <f t="shared" ca="1" si="30"/>
        <v>0</v>
      </c>
      <c r="BE367" s="191" t="e">
        <f ca="1">(OFFSET(Pinlist!$E$1,BC367,0)-$BN$16)*$BN$19</f>
        <v>#N/A</v>
      </c>
      <c r="BF367" s="192" t="e">
        <f ca="1">(OFFSET(Pinlist!$F$1,BC367,0)-$BO$16)*$BO$19</f>
        <v>#N/A</v>
      </c>
      <c r="BG367" s="1098" t="str">
        <f ca="1">IF(LEFT(BD367,2)="RF",OFFSET(Pinlist!$D$1,Chart!BC367,0)&amp;"_"&amp;OFFSET(Pinlist!$G$1,Chart!BC367,0),"")</f>
        <v/>
      </c>
      <c r="BH367" s="1098"/>
      <c r="BI367" s="178"/>
      <c r="BJ367" s="178"/>
      <c r="BK367" s="178"/>
      <c r="BL367" s="178"/>
      <c r="BM367" s="178"/>
      <c r="BN367" s="178"/>
      <c r="BO367" s="178"/>
      <c r="BP367" s="178"/>
      <c r="BQ367" s="196"/>
      <c r="BR367" s="196"/>
      <c r="BS367" s="196"/>
      <c r="BT367" s="196"/>
      <c r="BU367" s="196"/>
      <c r="BV367" s="196"/>
      <c r="BW367" s="178"/>
      <c r="BX367" s="196"/>
      <c r="BY367" s="196"/>
      <c r="BZ367" s="196"/>
      <c r="CA367" s="196"/>
      <c r="CB367" s="178"/>
      <c r="CC367" s="178"/>
      <c r="CD367" s="202"/>
      <c r="CE367" s="202"/>
      <c r="CF367" s="178"/>
      <c r="CG367" s="196"/>
      <c r="CH367" s="178"/>
      <c r="CI367" s="178"/>
      <c r="CJ367" s="178"/>
      <c r="CK367" s="178"/>
      <c r="CL367" s="178"/>
      <c r="CM367" s="178"/>
      <c r="CN367" s="178"/>
      <c r="CO367" s="178"/>
      <c r="CP367" s="178"/>
      <c r="CQ367" s="178"/>
      <c r="CR367" s="178"/>
      <c r="CS367" s="178"/>
      <c r="CT367" s="178"/>
      <c r="CU367" s="178"/>
      <c r="CV367" s="178"/>
      <c r="CW367" s="178"/>
      <c r="CX367" s="178"/>
      <c r="CY367" s="178"/>
      <c r="CZ367" s="178"/>
      <c r="DA367" s="150"/>
    </row>
    <row r="368" spans="53:105" x14ac:dyDescent="0.2">
      <c r="BA368" s="518">
        <f t="shared" ca="1" si="28"/>
        <v>61</v>
      </c>
      <c r="BB368" s="174">
        <f t="shared" ca="1" si="29"/>
        <v>305</v>
      </c>
      <c r="BC368" s="525" t="e">
        <f ca="1">MATCH(BD368,OFFSET(Pinlist!$A$2,BC367*(BA368=BA367),0,$BM$23,1),0)+BC367*(BA368=BA367)</f>
        <v>#N/A</v>
      </c>
      <c r="BD368" s="167">
        <f t="shared" ca="1" si="30"/>
        <v>0</v>
      </c>
      <c r="BE368" s="191" t="e">
        <f ca="1">(OFFSET(Pinlist!$E$1,BC368,0)-$BN$16)*$BN$19</f>
        <v>#N/A</v>
      </c>
      <c r="BF368" s="192" t="e">
        <f ca="1">(OFFSET(Pinlist!$F$1,BC368,0)-$BO$16)*$BO$19</f>
        <v>#N/A</v>
      </c>
      <c r="BG368" s="1098" t="str">
        <f ca="1">IF(LEFT(BD368,2)="RF",OFFSET(Pinlist!$D$1,Chart!BC368,0)&amp;"_"&amp;OFFSET(Pinlist!$G$1,Chart!BC368,0),"")</f>
        <v/>
      </c>
      <c r="BH368" s="1098"/>
      <c r="BI368" s="178"/>
      <c r="BJ368" s="178"/>
      <c r="BK368" s="178"/>
      <c r="BL368" s="178"/>
      <c r="BM368" s="178"/>
      <c r="BN368" s="178"/>
      <c r="BO368" s="178"/>
      <c r="BP368" s="178"/>
      <c r="BQ368" s="196"/>
      <c r="BR368" s="196"/>
      <c r="BS368" s="196"/>
      <c r="BT368" s="196"/>
      <c r="BU368" s="196"/>
      <c r="BV368" s="196"/>
      <c r="BW368" s="178"/>
      <c r="BX368" s="196"/>
      <c r="BY368" s="196"/>
      <c r="BZ368" s="196"/>
      <c r="CA368" s="196"/>
      <c r="CB368" s="178"/>
      <c r="CC368" s="178"/>
      <c r="CD368" s="202"/>
      <c r="CE368" s="202"/>
      <c r="CF368" s="178"/>
      <c r="CG368" s="196"/>
      <c r="CH368" s="178"/>
      <c r="CI368" s="178"/>
      <c r="CJ368" s="178"/>
      <c r="CK368" s="178"/>
      <c r="CL368" s="178"/>
      <c r="CM368" s="178"/>
      <c r="CN368" s="178"/>
      <c r="CO368" s="178"/>
      <c r="CP368" s="178"/>
      <c r="CQ368" s="178"/>
      <c r="CR368" s="178"/>
      <c r="CS368" s="178"/>
      <c r="CT368" s="178"/>
      <c r="CU368" s="178"/>
      <c r="CV368" s="178"/>
      <c r="CW368" s="178"/>
      <c r="CX368" s="178"/>
      <c r="CY368" s="178"/>
      <c r="CZ368" s="178"/>
      <c r="DA368" s="150"/>
    </row>
    <row r="369" spans="53:105" x14ac:dyDescent="0.2">
      <c r="BA369" s="518">
        <f t="shared" ca="1" si="28"/>
        <v>61</v>
      </c>
      <c r="BB369" s="174">
        <f t="shared" ca="1" si="29"/>
        <v>306</v>
      </c>
      <c r="BC369" s="525" t="e">
        <f ca="1">MATCH(BD369,OFFSET(Pinlist!$A$2,BC368*(BA369=BA368),0,$BM$23,1),0)+BC368*(BA369=BA368)</f>
        <v>#N/A</v>
      </c>
      <c r="BD369" s="167">
        <f t="shared" ca="1" si="30"/>
        <v>0</v>
      </c>
      <c r="BE369" s="191" t="e">
        <f ca="1">(OFFSET(Pinlist!$E$1,BC369,0)-$BN$16)*$BN$19</f>
        <v>#N/A</v>
      </c>
      <c r="BF369" s="192" t="e">
        <f ca="1">(OFFSET(Pinlist!$F$1,BC369,0)-$BO$16)*$BO$19</f>
        <v>#N/A</v>
      </c>
      <c r="BG369" s="1098" t="str">
        <f ca="1">IF(LEFT(BD369,2)="RF",OFFSET(Pinlist!$D$1,Chart!BC369,0)&amp;"_"&amp;OFFSET(Pinlist!$G$1,Chart!BC369,0),"")</f>
        <v/>
      </c>
      <c r="BH369" s="1098"/>
      <c r="BI369" s="178"/>
      <c r="BJ369" s="178"/>
      <c r="BK369" s="178"/>
      <c r="BL369" s="178"/>
      <c r="BM369" s="178"/>
      <c r="BN369" s="178"/>
      <c r="BO369" s="178"/>
      <c r="BP369" s="178"/>
      <c r="BQ369" s="196"/>
      <c r="BR369" s="196"/>
      <c r="BS369" s="196"/>
      <c r="BT369" s="196"/>
      <c r="BU369" s="196"/>
      <c r="BV369" s="196"/>
      <c r="BW369" s="178"/>
      <c r="BX369" s="196"/>
      <c r="BY369" s="196"/>
      <c r="BZ369" s="196"/>
      <c r="CA369" s="196"/>
      <c r="CB369" s="178"/>
      <c r="CC369" s="178"/>
      <c r="CD369" s="202"/>
      <c r="CE369" s="202"/>
      <c r="CF369" s="178"/>
      <c r="CG369" s="196"/>
      <c r="CH369" s="178"/>
      <c r="CI369" s="178"/>
      <c r="CJ369" s="178"/>
      <c r="CK369" s="178"/>
      <c r="CL369" s="178"/>
      <c r="CM369" s="178"/>
      <c r="CN369" s="178"/>
      <c r="CO369" s="178"/>
      <c r="CP369" s="178"/>
      <c r="CQ369" s="178"/>
      <c r="CR369" s="178"/>
      <c r="CS369" s="178"/>
      <c r="CT369" s="178"/>
      <c r="CU369" s="178"/>
      <c r="CV369" s="178"/>
      <c r="CW369" s="178"/>
      <c r="CX369" s="178"/>
      <c r="CY369" s="178"/>
      <c r="CZ369" s="178"/>
      <c r="DA369" s="150"/>
    </row>
    <row r="370" spans="53:105" x14ac:dyDescent="0.2">
      <c r="BA370" s="518">
        <f t="shared" ca="1" si="28"/>
        <v>61</v>
      </c>
      <c r="BB370" s="174">
        <f t="shared" ca="1" si="29"/>
        <v>307</v>
      </c>
      <c r="BC370" s="525" t="e">
        <f ca="1">MATCH(BD370,OFFSET(Pinlist!$A$2,BC369*(BA370=BA369),0,$BM$23,1),0)+BC369*(BA370=BA369)</f>
        <v>#N/A</v>
      </c>
      <c r="BD370" s="167">
        <f t="shared" ca="1" si="30"/>
        <v>0</v>
      </c>
      <c r="BE370" s="191" t="e">
        <f ca="1">(OFFSET(Pinlist!$E$1,BC370,0)-$BN$16)*$BN$19</f>
        <v>#N/A</v>
      </c>
      <c r="BF370" s="192" t="e">
        <f ca="1">(OFFSET(Pinlist!$F$1,BC370,0)-$BO$16)*$BO$19</f>
        <v>#N/A</v>
      </c>
      <c r="BG370" s="1098" t="str">
        <f ca="1">IF(LEFT(BD370,2)="RF",OFFSET(Pinlist!$D$1,Chart!BC370,0)&amp;"_"&amp;OFFSET(Pinlist!$G$1,Chart!BC370,0),"")</f>
        <v/>
      </c>
      <c r="BH370" s="1098"/>
      <c r="BI370" s="178"/>
      <c r="BJ370" s="178"/>
      <c r="BK370" s="178"/>
      <c r="BL370" s="178"/>
      <c r="BM370" s="178"/>
      <c r="BN370" s="178"/>
      <c r="BO370" s="178"/>
      <c r="BP370" s="178"/>
      <c r="BQ370" s="196"/>
      <c r="BR370" s="196"/>
      <c r="BS370" s="196"/>
      <c r="BT370" s="196"/>
      <c r="BU370" s="196"/>
      <c r="BV370" s="196"/>
      <c r="BW370" s="178"/>
      <c r="BX370" s="196"/>
      <c r="BY370" s="196"/>
      <c r="BZ370" s="196"/>
      <c r="CA370" s="196"/>
      <c r="CB370" s="178"/>
      <c r="CC370" s="178"/>
      <c r="CD370" s="202"/>
      <c r="CE370" s="202"/>
      <c r="CF370" s="178"/>
      <c r="CG370" s="196"/>
      <c r="CH370" s="178"/>
      <c r="CI370" s="178"/>
      <c r="CJ370" s="178"/>
      <c r="CK370" s="178"/>
      <c r="CL370" s="178"/>
      <c r="CM370" s="178"/>
      <c r="CN370" s="178"/>
      <c r="CO370" s="178"/>
      <c r="CP370" s="178"/>
      <c r="CQ370" s="178"/>
      <c r="CR370" s="178"/>
      <c r="CS370" s="178"/>
      <c r="CT370" s="178"/>
      <c r="CU370" s="178"/>
      <c r="CV370" s="178"/>
      <c r="CW370" s="178"/>
      <c r="CX370" s="178"/>
      <c r="CY370" s="178"/>
      <c r="CZ370" s="178"/>
      <c r="DA370" s="150"/>
    </row>
    <row r="371" spans="53:105" x14ac:dyDescent="0.2">
      <c r="BA371" s="518">
        <f t="shared" ca="1" si="28"/>
        <v>61</v>
      </c>
      <c r="BB371" s="174">
        <f t="shared" ca="1" si="29"/>
        <v>308</v>
      </c>
      <c r="BC371" s="525" t="e">
        <f ca="1">MATCH(BD371,OFFSET(Pinlist!$A$2,BC370*(BA371=BA370),0,$BM$23,1),0)+BC370*(BA371=BA370)</f>
        <v>#N/A</v>
      </c>
      <c r="BD371" s="167">
        <f t="shared" ca="1" si="30"/>
        <v>0</v>
      </c>
      <c r="BE371" s="191" t="e">
        <f ca="1">(OFFSET(Pinlist!$E$1,BC371,0)-$BN$16)*$BN$19</f>
        <v>#N/A</v>
      </c>
      <c r="BF371" s="192" t="e">
        <f ca="1">(OFFSET(Pinlist!$F$1,BC371,0)-$BO$16)*$BO$19</f>
        <v>#N/A</v>
      </c>
      <c r="BG371" s="1098" t="str">
        <f ca="1">IF(LEFT(BD371,2)="RF",OFFSET(Pinlist!$D$1,Chart!BC371,0)&amp;"_"&amp;OFFSET(Pinlist!$G$1,Chart!BC371,0),"")</f>
        <v/>
      </c>
      <c r="BH371" s="1098"/>
      <c r="BI371" s="178"/>
      <c r="BJ371" s="178"/>
      <c r="BK371" s="178"/>
      <c r="BL371" s="178"/>
      <c r="BM371" s="178"/>
      <c r="BN371" s="178"/>
      <c r="BO371" s="178"/>
      <c r="BP371" s="178"/>
      <c r="BQ371" s="196"/>
      <c r="BR371" s="196"/>
      <c r="BS371" s="196"/>
      <c r="BT371" s="196"/>
      <c r="BU371" s="196"/>
      <c r="BV371" s="196"/>
      <c r="BW371" s="178"/>
      <c r="BX371" s="196"/>
      <c r="BY371" s="196"/>
      <c r="BZ371" s="196"/>
      <c r="CA371" s="196"/>
      <c r="CB371" s="178"/>
      <c r="CC371" s="178"/>
      <c r="CD371" s="202"/>
      <c r="CE371" s="202"/>
      <c r="CF371" s="178"/>
      <c r="CG371" s="196"/>
      <c r="CH371" s="178"/>
      <c r="CI371" s="178"/>
      <c r="CJ371" s="178"/>
      <c r="CK371" s="178"/>
      <c r="CL371" s="178"/>
      <c r="CM371" s="178"/>
      <c r="CN371" s="178"/>
      <c r="CO371" s="178"/>
      <c r="CP371" s="178"/>
      <c r="CQ371" s="178"/>
      <c r="CR371" s="178"/>
      <c r="CS371" s="178"/>
      <c r="CT371" s="178"/>
      <c r="CU371" s="178"/>
      <c r="CV371" s="178"/>
      <c r="CW371" s="178"/>
      <c r="CX371" s="178"/>
      <c r="CY371" s="178"/>
      <c r="CZ371" s="178"/>
      <c r="DA371" s="150"/>
    </row>
    <row r="372" spans="53:105" x14ac:dyDescent="0.2">
      <c r="BA372" s="518">
        <f t="shared" ca="1" si="28"/>
        <v>61</v>
      </c>
      <c r="BB372" s="174">
        <f t="shared" ca="1" si="29"/>
        <v>309</v>
      </c>
      <c r="BC372" s="525" t="e">
        <f ca="1">MATCH(BD372,OFFSET(Pinlist!$A$2,BC371*(BA372=BA371),0,$BM$23,1),0)+BC371*(BA372=BA371)</f>
        <v>#N/A</v>
      </c>
      <c r="BD372" s="167">
        <f t="shared" ca="1" si="30"/>
        <v>0</v>
      </c>
      <c r="BE372" s="191" t="e">
        <f ca="1">(OFFSET(Pinlist!$E$1,BC372,0)-$BN$16)*$BN$19</f>
        <v>#N/A</v>
      </c>
      <c r="BF372" s="192" t="e">
        <f ca="1">(OFFSET(Pinlist!$F$1,BC372,0)-$BO$16)*$BO$19</f>
        <v>#N/A</v>
      </c>
      <c r="BG372" s="1098" t="str">
        <f ca="1">IF(LEFT(BD372,2)="RF",OFFSET(Pinlist!$D$1,Chart!BC372,0)&amp;"_"&amp;OFFSET(Pinlist!$G$1,Chart!BC372,0),"")</f>
        <v/>
      </c>
      <c r="BH372" s="1098"/>
      <c r="BI372" s="178"/>
      <c r="BJ372" s="178"/>
      <c r="BK372" s="178"/>
      <c r="BL372" s="178"/>
      <c r="BM372" s="178"/>
      <c r="BN372" s="178"/>
      <c r="BO372" s="178"/>
      <c r="BP372" s="178"/>
      <c r="BQ372" s="196"/>
      <c r="BR372" s="196"/>
      <c r="BS372" s="196"/>
      <c r="BT372" s="196"/>
      <c r="BU372" s="196"/>
      <c r="BV372" s="196"/>
      <c r="BW372" s="178"/>
      <c r="BX372" s="196"/>
      <c r="BY372" s="196"/>
      <c r="BZ372" s="196"/>
      <c r="CA372" s="196"/>
      <c r="CB372" s="178"/>
      <c r="CC372" s="178"/>
      <c r="CD372" s="202"/>
      <c r="CE372" s="202"/>
      <c r="CF372" s="178"/>
      <c r="CG372" s="196"/>
      <c r="CH372" s="178"/>
      <c r="CI372" s="178"/>
      <c r="CJ372" s="178"/>
      <c r="CK372" s="178"/>
      <c r="CL372" s="178"/>
      <c r="CM372" s="178"/>
      <c r="CN372" s="178"/>
      <c r="CO372" s="178"/>
      <c r="CP372" s="178"/>
      <c r="CQ372" s="178"/>
      <c r="CR372" s="178"/>
      <c r="CS372" s="178"/>
      <c r="CT372" s="178"/>
      <c r="CU372" s="178"/>
      <c r="CV372" s="178"/>
      <c r="CW372" s="178"/>
      <c r="CX372" s="178"/>
      <c r="CY372" s="178"/>
      <c r="CZ372" s="178"/>
      <c r="DA372" s="150"/>
    </row>
    <row r="373" spans="53:105" x14ac:dyDescent="0.2">
      <c r="BA373" s="518">
        <f t="shared" ca="1" si="28"/>
        <v>61</v>
      </c>
      <c r="BB373" s="174">
        <f t="shared" ca="1" si="29"/>
        <v>310</v>
      </c>
      <c r="BC373" s="525" t="e">
        <f ca="1">MATCH(BD373,OFFSET(Pinlist!$A$2,BC372*(BA373=BA372),0,$BM$23,1),0)+BC372*(BA373=BA372)</f>
        <v>#N/A</v>
      </c>
      <c r="BD373" s="167">
        <f t="shared" ca="1" si="30"/>
        <v>0</v>
      </c>
      <c r="BE373" s="191" t="e">
        <f ca="1">(OFFSET(Pinlist!$E$1,BC373,0)-$BN$16)*$BN$19</f>
        <v>#N/A</v>
      </c>
      <c r="BF373" s="192" t="e">
        <f ca="1">(OFFSET(Pinlist!$F$1,BC373,0)-$BO$16)*$BO$19</f>
        <v>#N/A</v>
      </c>
      <c r="BG373" s="1098" t="str">
        <f ca="1">IF(LEFT(BD373,2)="RF",OFFSET(Pinlist!$D$1,Chart!BC373,0)&amp;"_"&amp;OFFSET(Pinlist!$G$1,Chart!BC373,0),"")</f>
        <v/>
      </c>
      <c r="BH373" s="1098"/>
      <c r="BI373" s="178"/>
      <c r="BJ373" s="178"/>
      <c r="BK373" s="178"/>
      <c r="BL373" s="178"/>
      <c r="BM373" s="178"/>
      <c r="BN373" s="178"/>
      <c r="BO373" s="178"/>
      <c r="BP373" s="178"/>
      <c r="BQ373" s="196"/>
      <c r="BR373" s="196"/>
      <c r="BS373" s="196"/>
      <c r="BT373" s="196"/>
      <c r="BU373" s="196"/>
      <c r="BV373" s="196"/>
      <c r="BW373" s="178"/>
      <c r="BX373" s="196"/>
      <c r="BY373" s="196"/>
      <c r="BZ373" s="196"/>
      <c r="CA373" s="196"/>
      <c r="CB373" s="178"/>
      <c r="CC373" s="178"/>
      <c r="CD373" s="202"/>
      <c r="CE373" s="202"/>
      <c r="CF373" s="178"/>
      <c r="CG373" s="196"/>
      <c r="CH373" s="178"/>
      <c r="CI373" s="178"/>
      <c r="CJ373" s="178"/>
      <c r="CK373" s="178"/>
      <c r="CL373" s="178"/>
      <c r="CM373" s="178"/>
      <c r="CN373" s="178"/>
      <c r="CO373" s="178"/>
      <c r="CP373" s="178"/>
      <c r="CQ373" s="178"/>
      <c r="CR373" s="178"/>
      <c r="CS373" s="178"/>
      <c r="CT373" s="178"/>
      <c r="CU373" s="178"/>
      <c r="CV373" s="178"/>
      <c r="CW373" s="178"/>
      <c r="CX373" s="178"/>
      <c r="CY373" s="178"/>
      <c r="CZ373" s="178"/>
      <c r="DA373" s="150"/>
    </row>
    <row r="374" spans="53:105" x14ac:dyDescent="0.2">
      <c r="BA374" s="518">
        <f t="shared" ca="1" si="28"/>
        <v>61</v>
      </c>
      <c r="BB374" s="174">
        <f t="shared" ca="1" si="29"/>
        <v>311</v>
      </c>
      <c r="BC374" s="525" t="e">
        <f ca="1">MATCH(BD374,OFFSET(Pinlist!$A$2,BC373*(BA374=BA373),0,$BM$23,1),0)+BC373*(BA374=BA373)</f>
        <v>#N/A</v>
      </c>
      <c r="BD374" s="167">
        <f t="shared" ca="1" si="30"/>
        <v>0</v>
      </c>
      <c r="BE374" s="191" t="e">
        <f ca="1">(OFFSET(Pinlist!$E$1,BC374,0)-$BN$16)*$BN$19</f>
        <v>#N/A</v>
      </c>
      <c r="BF374" s="192" t="e">
        <f ca="1">(OFFSET(Pinlist!$F$1,BC374,0)-$BO$16)*$BO$19</f>
        <v>#N/A</v>
      </c>
      <c r="BG374" s="1098" t="str">
        <f ca="1">IF(LEFT(BD374,2)="RF",OFFSET(Pinlist!$D$1,Chart!BC374,0)&amp;"_"&amp;OFFSET(Pinlist!$G$1,Chart!BC374,0),"")</f>
        <v/>
      </c>
      <c r="BH374" s="1098"/>
      <c r="BI374" s="178"/>
      <c r="BJ374" s="178"/>
      <c r="BK374" s="178"/>
      <c r="BL374" s="178"/>
      <c r="BM374" s="178"/>
      <c r="BN374" s="178"/>
      <c r="BO374" s="178"/>
      <c r="BP374" s="178"/>
      <c r="BQ374" s="196"/>
      <c r="BR374" s="196"/>
      <c r="BS374" s="196"/>
      <c r="BT374" s="196"/>
      <c r="BU374" s="196"/>
      <c r="BV374" s="196"/>
      <c r="BW374" s="178"/>
      <c r="BX374" s="196"/>
      <c r="BY374" s="196"/>
      <c r="BZ374" s="196"/>
      <c r="CA374" s="196"/>
      <c r="CB374" s="178"/>
      <c r="CC374" s="178"/>
      <c r="CD374" s="202"/>
      <c r="CE374" s="202"/>
      <c r="CF374" s="178"/>
      <c r="CG374" s="196"/>
      <c r="CH374" s="178"/>
      <c r="CI374" s="178"/>
      <c r="CJ374" s="178"/>
      <c r="CK374" s="178"/>
      <c r="CL374" s="178"/>
      <c r="CM374" s="178"/>
      <c r="CN374" s="178"/>
      <c r="CO374" s="178"/>
      <c r="CP374" s="178"/>
      <c r="CQ374" s="178"/>
      <c r="CR374" s="178"/>
      <c r="CS374" s="178"/>
      <c r="CT374" s="178"/>
      <c r="CU374" s="178"/>
      <c r="CV374" s="178"/>
      <c r="CW374" s="178"/>
      <c r="CX374" s="178"/>
      <c r="CY374" s="178"/>
      <c r="CZ374" s="178"/>
      <c r="DA374" s="150"/>
    </row>
    <row r="375" spans="53:105" x14ac:dyDescent="0.2">
      <c r="BA375" s="518">
        <f t="shared" ca="1" si="28"/>
        <v>61</v>
      </c>
      <c r="BB375" s="174">
        <f t="shared" ca="1" si="29"/>
        <v>312</v>
      </c>
      <c r="BC375" s="525" t="e">
        <f ca="1">MATCH(BD375,OFFSET(Pinlist!$A$2,BC374*(BA375=BA374),0,$BM$23,1),0)+BC374*(BA375=BA374)</f>
        <v>#N/A</v>
      </c>
      <c r="BD375" s="167">
        <f t="shared" ca="1" si="30"/>
        <v>0</v>
      </c>
      <c r="BE375" s="191" t="e">
        <f ca="1">(OFFSET(Pinlist!$E$1,BC375,0)-$BN$16)*$BN$19</f>
        <v>#N/A</v>
      </c>
      <c r="BF375" s="192" t="e">
        <f ca="1">(OFFSET(Pinlist!$F$1,BC375,0)-$BO$16)*$BO$19</f>
        <v>#N/A</v>
      </c>
      <c r="BG375" s="1098" t="str">
        <f ca="1">IF(LEFT(BD375,2)="RF",OFFSET(Pinlist!$D$1,Chart!BC375,0)&amp;"_"&amp;OFFSET(Pinlist!$G$1,Chart!BC375,0),"")</f>
        <v/>
      </c>
      <c r="BH375" s="1098"/>
      <c r="BI375" s="178"/>
      <c r="BJ375" s="178"/>
      <c r="BK375" s="178"/>
      <c r="BL375" s="178"/>
      <c r="BM375" s="178"/>
      <c r="BN375" s="178"/>
      <c r="BO375" s="178"/>
      <c r="BP375" s="178"/>
      <c r="BQ375" s="196"/>
      <c r="BR375" s="196"/>
      <c r="BS375" s="196"/>
      <c r="BT375" s="196"/>
      <c r="BU375" s="196"/>
      <c r="BV375" s="196"/>
      <c r="BW375" s="178"/>
      <c r="BX375" s="196"/>
      <c r="BY375" s="196"/>
      <c r="BZ375" s="196"/>
      <c r="CA375" s="196"/>
      <c r="CB375" s="178"/>
      <c r="CC375" s="178"/>
      <c r="CD375" s="202"/>
      <c r="CE375" s="202"/>
      <c r="CF375" s="178"/>
      <c r="CG375" s="196"/>
      <c r="CH375" s="178"/>
      <c r="CI375" s="178"/>
      <c r="CJ375" s="178"/>
      <c r="CK375" s="178"/>
      <c r="CL375" s="178"/>
      <c r="CM375" s="178"/>
      <c r="CN375" s="178"/>
      <c r="CO375" s="178"/>
      <c r="CP375" s="178"/>
      <c r="CQ375" s="178"/>
      <c r="CR375" s="178"/>
      <c r="CS375" s="178"/>
      <c r="CT375" s="178"/>
      <c r="CU375" s="178"/>
      <c r="CV375" s="178"/>
      <c r="CW375" s="178"/>
      <c r="CX375" s="178"/>
      <c r="CY375" s="178"/>
      <c r="CZ375" s="178"/>
      <c r="DA375" s="150"/>
    </row>
    <row r="376" spans="53:105" x14ac:dyDescent="0.2">
      <c r="BA376" s="518">
        <f t="shared" ca="1" si="28"/>
        <v>61</v>
      </c>
      <c r="BB376" s="174">
        <f t="shared" ca="1" si="29"/>
        <v>313</v>
      </c>
      <c r="BC376" s="525" t="e">
        <f ca="1">MATCH(BD376,OFFSET(Pinlist!$A$2,BC375*(BA376=BA375),0,$BM$23,1),0)+BC375*(BA376=BA375)</f>
        <v>#N/A</v>
      </c>
      <c r="BD376" s="167">
        <f t="shared" ca="1" si="30"/>
        <v>0</v>
      </c>
      <c r="BE376" s="191" t="e">
        <f ca="1">(OFFSET(Pinlist!$E$1,BC376,0)-$BN$16)*$BN$19</f>
        <v>#N/A</v>
      </c>
      <c r="BF376" s="192" t="e">
        <f ca="1">(OFFSET(Pinlist!$F$1,BC376,0)-$BO$16)*$BO$19</f>
        <v>#N/A</v>
      </c>
      <c r="BG376" s="1098" t="str">
        <f ca="1">IF(LEFT(BD376,2)="RF",OFFSET(Pinlist!$D$1,Chart!BC376,0)&amp;"_"&amp;OFFSET(Pinlist!$G$1,Chart!BC376,0),"")</f>
        <v/>
      </c>
      <c r="BH376" s="1098"/>
      <c r="BI376" s="178"/>
      <c r="BJ376" s="178"/>
      <c r="BK376" s="178"/>
      <c r="BL376" s="178"/>
      <c r="BM376" s="178"/>
      <c r="BN376" s="178"/>
      <c r="BO376" s="178"/>
      <c r="BP376" s="178"/>
      <c r="BQ376" s="196"/>
      <c r="BR376" s="196"/>
      <c r="BS376" s="196"/>
      <c r="BT376" s="196"/>
      <c r="BU376" s="196"/>
      <c r="BV376" s="196"/>
      <c r="BW376" s="178"/>
      <c r="BX376" s="196"/>
      <c r="BY376" s="196"/>
      <c r="BZ376" s="196"/>
      <c r="CA376" s="196"/>
      <c r="CB376" s="178"/>
      <c r="CC376" s="178"/>
      <c r="CD376" s="202"/>
      <c r="CE376" s="202"/>
      <c r="CF376" s="178"/>
      <c r="CG376" s="196"/>
      <c r="CH376" s="178"/>
      <c r="CI376" s="178"/>
      <c r="CJ376" s="178"/>
      <c r="CK376" s="178"/>
      <c r="CL376" s="178"/>
      <c r="CM376" s="178"/>
      <c r="CN376" s="178"/>
      <c r="CO376" s="178"/>
      <c r="CP376" s="178"/>
      <c r="CQ376" s="178"/>
      <c r="CR376" s="178"/>
      <c r="CS376" s="178"/>
      <c r="CT376" s="178"/>
      <c r="CU376" s="178"/>
      <c r="CV376" s="178"/>
      <c r="CW376" s="178"/>
      <c r="CX376" s="178"/>
      <c r="CY376" s="178"/>
      <c r="CZ376" s="178"/>
      <c r="DA376" s="150"/>
    </row>
    <row r="377" spans="53:105" x14ac:dyDescent="0.2">
      <c r="BA377" s="518">
        <f t="shared" ca="1" si="28"/>
        <v>61</v>
      </c>
      <c r="BB377" s="174">
        <f t="shared" ca="1" si="29"/>
        <v>314</v>
      </c>
      <c r="BC377" s="525" t="e">
        <f ca="1">MATCH(BD377,OFFSET(Pinlist!$A$2,BC376*(BA377=BA376),0,$BM$23,1),0)+BC376*(BA377=BA376)</f>
        <v>#N/A</v>
      </c>
      <c r="BD377" s="167">
        <f t="shared" ca="1" si="30"/>
        <v>0</v>
      </c>
      <c r="BE377" s="191" t="e">
        <f ca="1">(OFFSET(Pinlist!$E$1,BC377,0)-$BN$16)*$BN$19</f>
        <v>#N/A</v>
      </c>
      <c r="BF377" s="192" t="e">
        <f ca="1">(OFFSET(Pinlist!$F$1,BC377,0)-$BO$16)*$BO$19</f>
        <v>#N/A</v>
      </c>
      <c r="BG377" s="1098" t="str">
        <f ca="1">IF(LEFT(BD377,2)="RF",OFFSET(Pinlist!$D$1,Chart!BC377,0)&amp;"_"&amp;OFFSET(Pinlist!$G$1,Chart!BC377,0),"")</f>
        <v/>
      </c>
      <c r="BH377" s="1098"/>
      <c r="BI377" s="178"/>
      <c r="BJ377" s="178"/>
      <c r="BK377" s="178"/>
      <c r="BL377" s="178"/>
      <c r="BM377" s="178"/>
      <c r="BN377" s="178"/>
      <c r="BO377" s="178"/>
      <c r="BP377" s="178"/>
      <c r="BQ377" s="196"/>
      <c r="BR377" s="196"/>
      <c r="BS377" s="196"/>
      <c r="BT377" s="196"/>
      <c r="BU377" s="196"/>
      <c r="BV377" s="196"/>
      <c r="BW377" s="178"/>
      <c r="BX377" s="196"/>
      <c r="BY377" s="196"/>
      <c r="BZ377" s="196"/>
      <c r="CA377" s="196"/>
      <c r="CB377" s="178"/>
      <c r="CC377" s="178"/>
      <c r="CD377" s="202"/>
      <c r="CE377" s="202"/>
      <c r="CF377" s="178"/>
      <c r="CG377" s="196"/>
      <c r="CH377" s="178"/>
      <c r="CI377" s="178"/>
      <c r="CJ377" s="178"/>
      <c r="CK377" s="178"/>
      <c r="CL377" s="178"/>
      <c r="CM377" s="178"/>
      <c r="CN377" s="178"/>
      <c r="CO377" s="178"/>
      <c r="CP377" s="178"/>
      <c r="CQ377" s="178"/>
      <c r="CR377" s="178"/>
      <c r="CS377" s="178"/>
      <c r="CT377" s="178"/>
      <c r="CU377" s="178"/>
      <c r="CV377" s="178"/>
      <c r="CW377" s="178"/>
      <c r="CX377" s="178"/>
      <c r="CY377" s="178"/>
      <c r="CZ377" s="178"/>
      <c r="DA377" s="150"/>
    </row>
    <row r="378" spans="53:105" x14ac:dyDescent="0.2">
      <c r="BA378" s="518">
        <f t="shared" ca="1" si="28"/>
        <v>61</v>
      </c>
      <c r="BB378" s="174">
        <f t="shared" ca="1" si="29"/>
        <v>315</v>
      </c>
      <c r="BC378" s="525" t="e">
        <f ca="1">MATCH(BD378,OFFSET(Pinlist!$A$2,BC377*(BA378=BA377),0,$BM$23,1),0)+BC377*(BA378=BA377)</f>
        <v>#N/A</v>
      </c>
      <c r="BD378" s="167">
        <f t="shared" ca="1" si="30"/>
        <v>0</v>
      </c>
      <c r="BE378" s="191" t="e">
        <f ca="1">(OFFSET(Pinlist!$E$1,BC378,0)-$BN$16)*$BN$19</f>
        <v>#N/A</v>
      </c>
      <c r="BF378" s="192" t="e">
        <f ca="1">(OFFSET(Pinlist!$F$1,BC378,0)-$BO$16)*$BO$19</f>
        <v>#N/A</v>
      </c>
      <c r="BG378" s="1098" t="str">
        <f ca="1">IF(LEFT(BD378,2)="RF",OFFSET(Pinlist!$D$1,Chart!BC378,0)&amp;"_"&amp;OFFSET(Pinlist!$G$1,Chart!BC378,0),"")</f>
        <v/>
      </c>
      <c r="BH378" s="1098"/>
      <c r="BI378" s="178"/>
      <c r="BJ378" s="178"/>
      <c r="BK378" s="178"/>
      <c r="BL378" s="178"/>
      <c r="BM378" s="178"/>
      <c r="BN378" s="178"/>
      <c r="BO378" s="178"/>
      <c r="BP378" s="178"/>
      <c r="BQ378" s="196"/>
      <c r="BR378" s="196"/>
      <c r="BS378" s="196"/>
      <c r="BT378" s="196"/>
      <c r="BU378" s="196"/>
      <c r="BV378" s="196"/>
      <c r="BW378" s="178"/>
      <c r="BX378" s="196"/>
      <c r="BY378" s="196"/>
      <c r="BZ378" s="196"/>
      <c r="CA378" s="196"/>
      <c r="CB378" s="178"/>
      <c r="CC378" s="178"/>
      <c r="CD378" s="202"/>
      <c r="CE378" s="202"/>
      <c r="CF378" s="178"/>
      <c r="CG378" s="196"/>
      <c r="CH378" s="178"/>
      <c r="CI378" s="178"/>
      <c r="CJ378" s="178"/>
      <c r="CK378" s="178"/>
      <c r="CL378" s="178"/>
      <c r="CM378" s="178"/>
      <c r="CN378" s="178"/>
      <c r="CO378" s="178"/>
      <c r="CP378" s="178"/>
      <c r="CQ378" s="178"/>
      <c r="CR378" s="178"/>
      <c r="CS378" s="178"/>
      <c r="CT378" s="178"/>
      <c r="CU378" s="178"/>
      <c r="CV378" s="178"/>
      <c r="CW378" s="178"/>
      <c r="CX378" s="178"/>
      <c r="CY378" s="178"/>
      <c r="CZ378" s="178"/>
      <c r="DA378" s="150"/>
    </row>
    <row r="379" spans="53:105" x14ac:dyDescent="0.2">
      <c r="BA379" s="518">
        <f t="shared" ca="1" si="28"/>
        <v>61</v>
      </c>
      <c r="BB379" s="174">
        <f t="shared" ca="1" si="29"/>
        <v>316</v>
      </c>
      <c r="BC379" s="525" t="e">
        <f ca="1">MATCH(BD379,OFFSET(Pinlist!$A$2,BC378*(BA379=BA378),0,$BM$23,1),0)+BC378*(BA379=BA378)</f>
        <v>#N/A</v>
      </c>
      <c r="BD379" s="167">
        <f t="shared" ca="1" si="30"/>
        <v>0</v>
      </c>
      <c r="BE379" s="191" t="e">
        <f ca="1">(OFFSET(Pinlist!$E$1,BC379,0)-$BN$16)*$BN$19</f>
        <v>#N/A</v>
      </c>
      <c r="BF379" s="192" t="e">
        <f ca="1">(OFFSET(Pinlist!$F$1,BC379,0)-$BO$16)*$BO$19</f>
        <v>#N/A</v>
      </c>
      <c r="BG379" s="1098" t="str">
        <f ca="1">IF(LEFT(BD379,2)="RF",OFFSET(Pinlist!$D$1,Chart!BC379,0)&amp;"_"&amp;OFFSET(Pinlist!$G$1,Chart!BC379,0),"")</f>
        <v/>
      </c>
      <c r="BH379" s="1098"/>
      <c r="BI379" s="178"/>
      <c r="BJ379" s="178"/>
      <c r="BK379" s="178"/>
      <c r="BL379" s="178"/>
      <c r="BM379" s="178"/>
      <c r="BN379" s="178"/>
      <c r="BO379" s="178"/>
      <c r="BP379" s="178"/>
      <c r="BQ379" s="196"/>
      <c r="BR379" s="196"/>
      <c r="BS379" s="196"/>
      <c r="BT379" s="196"/>
      <c r="BU379" s="196"/>
      <c r="BV379" s="196"/>
      <c r="BW379" s="178"/>
      <c r="BX379" s="196"/>
      <c r="BY379" s="196"/>
      <c r="BZ379" s="196"/>
      <c r="CA379" s="196"/>
      <c r="CB379" s="178"/>
      <c r="CC379" s="178"/>
      <c r="CD379" s="202"/>
      <c r="CE379" s="202"/>
      <c r="CF379" s="178"/>
      <c r="CG379" s="196"/>
      <c r="CH379" s="178"/>
      <c r="CI379" s="178"/>
      <c r="CJ379" s="178"/>
      <c r="CK379" s="178"/>
      <c r="CL379" s="178"/>
      <c r="CM379" s="178"/>
      <c r="CN379" s="178"/>
      <c r="CO379" s="178"/>
      <c r="CP379" s="178"/>
      <c r="CQ379" s="178"/>
      <c r="CR379" s="178"/>
      <c r="CS379" s="178"/>
      <c r="CT379" s="178"/>
      <c r="CU379" s="178"/>
      <c r="CV379" s="178"/>
      <c r="CW379" s="178"/>
      <c r="CX379" s="178"/>
      <c r="CY379" s="178"/>
      <c r="CZ379" s="178"/>
      <c r="DA379" s="150"/>
    </row>
    <row r="380" spans="53:105" x14ac:dyDescent="0.2">
      <c r="BA380" s="518">
        <f t="shared" ca="1" si="28"/>
        <v>61</v>
      </c>
      <c r="BB380" s="174">
        <f t="shared" ca="1" si="29"/>
        <v>317</v>
      </c>
      <c r="BC380" s="525" t="e">
        <f ca="1">MATCH(BD380,OFFSET(Pinlist!$A$2,BC379*(BA380=BA379),0,$BM$23,1),0)+BC379*(BA380=BA379)</f>
        <v>#N/A</v>
      </c>
      <c r="BD380" s="167">
        <f t="shared" ca="1" si="30"/>
        <v>0</v>
      </c>
      <c r="BE380" s="191" t="e">
        <f ca="1">(OFFSET(Pinlist!$E$1,BC380,0)-$BN$16)*$BN$19</f>
        <v>#N/A</v>
      </c>
      <c r="BF380" s="192" t="e">
        <f ca="1">(OFFSET(Pinlist!$F$1,BC380,0)-$BO$16)*$BO$19</f>
        <v>#N/A</v>
      </c>
      <c r="BG380" s="1098" t="str">
        <f ca="1">IF(LEFT(BD380,2)="RF",OFFSET(Pinlist!$D$1,Chart!BC380,0)&amp;"_"&amp;OFFSET(Pinlist!$G$1,Chart!BC380,0),"")</f>
        <v/>
      </c>
      <c r="BH380" s="1098"/>
      <c r="BI380" s="178"/>
      <c r="BJ380" s="178"/>
      <c r="BK380" s="178"/>
      <c r="BL380" s="178"/>
      <c r="BM380" s="178"/>
      <c r="BN380" s="178"/>
      <c r="BO380" s="178"/>
      <c r="BP380" s="178"/>
      <c r="BQ380" s="196"/>
      <c r="BR380" s="196"/>
      <c r="BS380" s="196"/>
      <c r="BT380" s="196"/>
      <c r="BU380" s="196"/>
      <c r="BV380" s="196"/>
      <c r="BW380" s="178"/>
      <c r="BX380" s="196"/>
      <c r="BY380" s="196"/>
      <c r="BZ380" s="196"/>
      <c r="CA380" s="196"/>
      <c r="CB380" s="178"/>
      <c r="CC380" s="178"/>
      <c r="CD380" s="202"/>
      <c r="CE380" s="202"/>
      <c r="CF380" s="178"/>
      <c r="CG380" s="196"/>
      <c r="CH380" s="178"/>
      <c r="CI380" s="178"/>
      <c r="CJ380" s="178"/>
      <c r="CK380" s="178"/>
      <c r="CL380" s="178"/>
      <c r="CM380" s="178"/>
      <c r="CN380" s="178"/>
      <c r="CO380" s="178"/>
      <c r="CP380" s="178"/>
      <c r="CQ380" s="178"/>
      <c r="CR380" s="178"/>
      <c r="CS380" s="178"/>
      <c r="CT380" s="178"/>
      <c r="CU380" s="178"/>
      <c r="CV380" s="178"/>
      <c r="CW380" s="178"/>
      <c r="CX380" s="178"/>
      <c r="CY380" s="178"/>
      <c r="CZ380" s="178"/>
      <c r="DA380" s="150"/>
    </row>
    <row r="381" spans="53:105" x14ac:dyDescent="0.2">
      <c r="BA381" s="518">
        <f t="shared" ca="1" si="28"/>
        <v>61</v>
      </c>
      <c r="BB381" s="174">
        <f t="shared" ca="1" si="29"/>
        <v>318</v>
      </c>
      <c r="BC381" s="525" t="e">
        <f ca="1">MATCH(BD381,OFFSET(Pinlist!$A$2,BC380*(BA381=BA380),0,$BM$23,1),0)+BC380*(BA381=BA380)</f>
        <v>#N/A</v>
      </c>
      <c r="BD381" s="167">
        <f t="shared" ca="1" si="30"/>
        <v>0</v>
      </c>
      <c r="BE381" s="191" t="e">
        <f ca="1">(OFFSET(Pinlist!$E$1,BC381,0)-$BN$16)*$BN$19</f>
        <v>#N/A</v>
      </c>
      <c r="BF381" s="192" t="e">
        <f ca="1">(OFFSET(Pinlist!$F$1,BC381,0)-$BO$16)*$BO$19</f>
        <v>#N/A</v>
      </c>
      <c r="BG381" s="1098" t="str">
        <f ca="1">IF(LEFT(BD381,2)="RF",OFFSET(Pinlist!$D$1,Chart!BC381,0)&amp;"_"&amp;OFFSET(Pinlist!$G$1,Chart!BC381,0),"")</f>
        <v/>
      </c>
      <c r="BH381" s="1098"/>
      <c r="BI381" s="178"/>
      <c r="BJ381" s="178"/>
      <c r="BK381" s="178"/>
      <c r="BL381" s="178"/>
      <c r="BM381" s="178"/>
      <c r="BN381" s="178"/>
      <c r="BO381" s="178"/>
      <c r="BP381" s="178"/>
      <c r="BQ381" s="196"/>
      <c r="BR381" s="196"/>
      <c r="BS381" s="196"/>
      <c r="BT381" s="196"/>
      <c r="BU381" s="196"/>
      <c r="BV381" s="196"/>
      <c r="BW381" s="178"/>
      <c r="BX381" s="196"/>
      <c r="BY381" s="196"/>
      <c r="BZ381" s="196"/>
      <c r="CA381" s="196"/>
      <c r="CB381" s="178"/>
      <c r="CC381" s="178"/>
      <c r="CD381" s="202"/>
      <c r="CE381" s="202"/>
      <c r="CF381" s="178"/>
      <c r="CG381" s="196"/>
      <c r="CH381" s="178"/>
      <c r="CI381" s="178"/>
      <c r="CJ381" s="178"/>
      <c r="CK381" s="178"/>
      <c r="CL381" s="178"/>
      <c r="CM381" s="178"/>
      <c r="CN381" s="178"/>
      <c r="CO381" s="178"/>
      <c r="CP381" s="178"/>
      <c r="CQ381" s="178"/>
      <c r="CR381" s="178"/>
      <c r="CS381" s="178"/>
      <c r="CT381" s="178"/>
      <c r="CU381" s="178"/>
      <c r="CV381" s="178"/>
      <c r="CW381" s="178"/>
      <c r="CX381" s="178"/>
      <c r="CY381" s="178"/>
      <c r="CZ381" s="178"/>
      <c r="DA381" s="150"/>
    </row>
    <row r="382" spans="53:105" x14ac:dyDescent="0.2">
      <c r="BA382" s="518">
        <f t="shared" ca="1" si="28"/>
        <v>61</v>
      </c>
      <c r="BB382" s="174">
        <f t="shared" ca="1" si="29"/>
        <v>319</v>
      </c>
      <c r="BC382" s="525" t="e">
        <f ca="1">MATCH(BD382,OFFSET(Pinlist!$A$2,BC381*(BA382=BA381),0,$BM$23,1),0)+BC381*(BA382=BA381)</f>
        <v>#N/A</v>
      </c>
      <c r="BD382" s="167">
        <f t="shared" ca="1" si="30"/>
        <v>0</v>
      </c>
      <c r="BE382" s="191" t="e">
        <f ca="1">(OFFSET(Pinlist!$E$1,BC382,0)-$BN$16)*$BN$19</f>
        <v>#N/A</v>
      </c>
      <c r="BF382" s="192" t="e">
        <f ca="1">(OFFSET(Pinlist!$F$1,BC382,0)-$BO$16)*$BO$19</f>
        <v>#N/A</v>
      </c>
      <c r="BG382" s="1098" t="str">
        <f ca="1">IF(LEFT(BD382,2)="RF",OFFSET(Pinlist!$D$1,Chart!BC382,0)&amp;"_"&amp;OFFSET(Pinlist!$G$1,Chart!BC382,0),"")</f>
        <v/>
      </c>
      <c r="BH382" s="1098"/>
      <c r="BI382" s="178"/>
      <c r="BJ382" s="178"/>
      <c r="BK382" s="178"/>
      <c r="BL382" s="178"/>
      <c r="BM382" s="178"/>
      <c r="BN382" s="178"/>
      <c r="BO382" s="178"/>
      <c r="BP382" s="178"/>
      <c r="BQ382" s="196"/>
      <c r="BR382" s="196"/>
      <c r="BS382" s="196"/>
      <c r="BT382" s="196"/>
      <c r="BU382" s="196"/>
      <c r="BV382" s="196"/>
      <c r="BW382" s="178"/>
      <c r="BX382" s="196"/>
      <c r="BY382" s="196"/>
      <c r="BZ382" s="196"/>
      <c r="CA382" s="196"/>
      <c r="CB382" s="178"/>
      <c r="CC382" s="178"/>
      <c r="CD382" s="202"/>
      <c r="CE382" s="202"/>
      <c r="CF382" s="178"/>
      <c r="CG382" s="196"/>
      <c r="CH382" s="178"/>
      <c r="CI382" s="178"/>
      <c r="CJ382" s="178"/>
      <c r="CK382" s="178"/>
      <c r="CL382" s="178"/>
      <c r="CM382" s="178"/>
      <c r="CN382" s="178"/>
      <c r="CO382" s="178"/>
      <c r="CP382" s="178"/>
      <c r="CQ382" s="178"/>
      <c r="CR382" s="178"/>
      <c r="CS382" s="178"/>
      <c r="CT382" s="178"/>
      <c r="CU382" s="178"/>
      <c r="CV382" s="178"/>
      <c r="CW382" s="178"/>
      <c r="CX382" s="178"/>
      <c r="CY382" s="178"/>
      <c r="CZ382" s="178"/>
      <c r="DA382" s="150"/>
    </row>
    <row r="383" spans="53:105" x14ac:dyDescent="0.2">
      <c r="BA383" s="518">
        <f t="shared" ca="1" si="28"/>
        <v>61</v>
      </c>
      <c r="BB383" s="174">
        <f t="shared" ca="1" si="29"/>
        <v>320</v>
      </c>
      <c r="BC383" s="525" t="e">
        <f ca="1">MATCH(BD383,OFFSET(Pinlist!$A$2,BC382*(BA383=BA382),0,$BM$23,1),0)+BC382*(BA383=BA382)</f>
        <v>#N/A</v>
      </c>
      <c r="BD383" s="167">
        <f t="shared" ca="1" si="30"/>
        <v>0</v>
      </c>
      <c r="BE383" s="191" t="e">
        <f ca="1">(OFFSET(Pinlist!$E$1,BC383,0)-$BN$16)*$BN$19</f>
        <v>#N/A</v>
      </c>
      <c r="BF383" s="192" t="e">
        <f ca="1">(OFFSET(Pinlist!$F$1,BC383,0)-$BO$16)*$BO$19</f>
        <v>#N/A</v>
      </c>
      <c r="BG383" s="1098" t="str">
        <f ca="1">IF(LEFT(BD383,2)="RF",OFFSET(Pinlist!$D$1,Chart!BC383,0)&amp;"_"&amp;OFFSET(Pinlist!$G$1,Chart!BC383,0),"")</f>
        <v/>
      </c>
      <c r="BH383" s="1098"/>
      <c r="BI383" s="178"/>
      <c r="BJ383" s="178"/>
      <c r="BK383" s="178"/>
      <c r="BL383" s="178"/>
      <c r="BM383" s="178"/>
      <c r="BN383" s="178"/>
      <c r="BO383" s="178"/>
      <c r="BP383" s="178"/>
      <c r="BQ383" s="196"/>
      <c r="BR383" s="196"/>
      <c r="BS383" s="196"/>
      <c r="BT383" s="196"/>
      <c r="BU383" s="196"/>
      <c r="BV383" s="196"/>
      <c r="BW383" s="178"/>
      <c r="BX383" s="196"/>
      <c r="BY383" s="196"/>
      <c r="BZ383" s="196"/>
      <c r="CA383" s="196"/>
      <c r="CB383" s="178"/>
      <c r="CC383" s="178"/>
      <c r="CD383" s="202"/>
      <c r="CE383" s="202"/>
      <c r="CF383" s="178"/>
      <c r="CG383" s="196"/>
      <c r="CH383" s="178"/>
      <c r="CI383" s="178"/>
      <c r="CJ383" s="178"/>
      <c r="CK383" s="178"/>
      <c r="CL383" s="178"/>
      <c r="CM383" s="178"/>
      <c r="CN383" s="178"/>
      <c r="CO383" s="178"/>
      <c r="CP383" s="178"/>
      <c r="CQ383" s="178"/>
      <c r="CR383" s="178"/>
      <c r="CS383" s="178"/>
      <c r="CT383" s="178"/>
      <c r="CU383" s="178"/>
      <c r="CV383" s="178"/>
      <c r="CW383" s="178"/>
      <c r="CX383" s="178"/>
      <c r="CY383" s="178"/>
      <c r="CZ383" s="178"/>
      <c r="DA383" s="150"/>
    </row>
    <row r="384" spans="53:105" x14ac:dyDescent="0.2">
      <c r="BA384" s="518">
        <f t="shared" ca="1" si="28"/>
        <v>61</v>
      </c>
      <c r="BB384" s="174">
        <f t="shared" ca="1" si="29"/>
        <v>321</v>
      </c>
      <c r="BC384" s="525" t="e">
        <f ca="1">MATCH(BD384,OFFSET(Pinlist!$A$2,BC383*(BA384=BA383),0,$BM$23,1),0)+BC383*(BA384=BA383)</f>
        <v>#N/A</v>
      </c>
      <c r="BD384" s="167">
        <f t="shared" ca="1" si="30"/>
        <v>0</v>
      </c>
      <c r="BE384" s="191" t="e">
        <f ca="1">(OFFSET(Pinlist!$E$1,BC384,0)-$BN$16)*$BN$19</f>
        <v>#N/A</v>
      </c>
      <c r="BF384" s="192" t="e">
        <f ca="1">(OFFSET(Pinlist!$F$1,BC384,0)-$BO$16)*$BO$19</f>
        <v>#N/A</v>
      </c>
      <c r="BG384" s="1098" t="str">
        <f ca="1">IF(LEFT(BD384,2)="RF",OFFSET(Pinlist!$D$1,Chart!BC384,0)&amp;"_"&amp;OFFSET(Pinlist!$G$1,Chart!BC384,0),"")</f>
        <v/>
      </c>
      <c r="BH384" s="1098"/>
      <c r="BI384" s="178"/>
      <c r="BJ384" s="178"/>
      <c r="BK384" s="178"/>
      <c r="BL384" s="178"/>
      <c r="BM384" s="178"/>
      <c r="BN384" s="178"/>
      <c r="BO384" s="178"/>
      <c r="BP384" s="178"/>
      <c r="BQ384" s="196"/>
      <c r="BR384" s="196"/>
      <c r="BS384" s="196"/>
      <c r="BT384" s="196"/>
      <c r="BU384" s="196"/>
      <c r="BV384" s="196"/>
      <c r="BW384" s="178"/>
      <c r="BX384" s="196"/>
      <c r="BY384" s="196"/>
      <c r="BZ384" s="196"/>
      <c r="CA384" s="196"/>
      <c r="CB384" s="178"/>
      <c r="CC384" s="178"/>
      <c r="CD384" s="202"/>
      <c r="CE384" s="202"/>
      <c r="CF384" s="178"/>
      <c r="CG384" s="196"/>
      <c r="CH384" s="178"/>
      <c r="CI384" s="178"/>
      <c r="CJ384" s="178"/>
      <c r="CK384" s="178"/>
      <c r="CL384" s="178"/>
      <c r="CM384" s="178"/>
      <c r="CN384" s="178"/>
      <c r="CO384" s="178"/>
      <c r="CP384" s="178"/>
      <c r="CQ384" s="178"/>
      <c r="CR384" s="178"/>
      <c r="CS384" s="178"/>
      <c r="CT384" s="178"/>
      <c r="CU384" s="178"/>
      <c r="CV384" s="178"/>
      <c r="CW384" s="178"/>
      <c r="CX384" s="178"/>
      <c r="CY384" s="178"/>
      <c r="CZ384" s="178"/>
      <c r="DA384" s="150"/>
    </row>
    <row r="385" spans="53:105" x14ac:dyDescent="0.2">
      <c r="BA385" s="518">
        <f t="shared" ca="1" si="28"/>
        <v>61</v>
      </c>
      <c r="BB385" s="174">
        <f t="shared" ca="1" si="29"/>
        <v>322</v>
      </c>
      <c r="BC385" s="525" t="e">
        <f ca="1">MATCH(BD385,OFFSET(Pinlist!$A$2,BC384*(BA385=BA384),0,$BM$23,1),0)+BC384*(BA385=BA384)</f>
        <v>#N/A</v>
      </c>
      <c r="BD385" s="167">
        <f t="shared" ca="1" si="30"/>
        <v>0</v>
      </c>
      <c r="BE385" s="191" t="e">
        <f ca="1">(OFFSET(Pinlist!$E$1,BC385,0)-$BN$16)*$BN$19</f>
        <v>#N/A</v>
      </c>
      <c r="BF385" s="192" t="e">
        <f ca="1">(OFFSET(Pinlist!$F$1,BC385,0)-$BO$16)*$BO$19</f>
        <v>#N/A</v>
      </c>
      <c r="BG385" s="1098" t="str">
        <f ca="1">IF(LEFT(BD385,2)="RF",OFFSET(Pinlist!$D$1,Chart!BC385,0)&amp;"_"&amp;OFFSET(Pinlist!$G$1,Chart!BC385,0),"")</f>
        <v/>
      </c>
      <c r="BH385" s="1098"/>
      <c r="BI385" s="178"/>
      <c r="BJ385" s="178"/>
      <c r="BK385" s="178"/>
      <c r="BL385" s="178"/>
      <c r="BM385" s="178"/>
      <c r="BN385" s="178"/>
      <c r="BO385" s="178"/>
      <c r="BP385" s="178"/>
      <c r="BQ385" s="196"/>
      <c r="BR385" s="196"/>
      <c r="BS385" s="196"/>
      <c r="BT385" s="196"/>
      <c r="BU385" s="196"/>
      <c r="BV385" s="196"/>
      <c r="BW385" s="178"/>
      <c r="BX385" s="196"/>
      <c r="BY385" s="196"/>
      <c r="BZ385" s="196"/>
      <c r="CA385" s="196"/>
      <c r="CB385" s="178"/>
      <c r="CC385" s="178"/>
      <c r="CD385" s="202"/>
      <c r="CE385" s="202"/>
      <c r="CF385" s="178"/>
      <c r="CG385" s="196"/>
      <c r="CH385" s="178"/>
      <c r="CI385" s="178"/>
      <c r="CJ385" s="178"/>
      <c r="CK385" s="178"/>
      <c r="CL385" s="178"/>
      <c r="CM385" s="178"/>
      <c r="CN385" s="178"/>
      <c r="CO385" s="178"/>
      <c r="CP385" s="178"/>
      <c r="CQ385" s="178"/>
      <c r="CR385" s="178"/>
      <c r="CS385" s="178"/>
      <c r="CT385" s="178"/>
      <c r="CU385" s="178"/>
      <c r="CV385" s="178"/>
      <c r="CW385" s="178"/>
      <c r="CX385" s="178"/>
      <c r="CY385" s="178"/>
      <c r="CZ385" s="178"/>
      <c r="DA385" s="150"/>
    </row>
    <row r="386" spans="53:105" x14ac:dyDescent="0.2">
      <c r="BA386" s="518">
        <f t="shared" ca="1" si="28"/>
        <v>61</v>
      </c>
      <c r="BB386" s="174">
        <f t="shared" ca="1" si="29"/>
        <v>323</v>
      </c>
      <c r="BC386" s="525" t="e">
        <f ca="1">MATCH(BD386,OFFSET(Pinlist!$A$2,BC385*(BA386=BA385),0,$BM$23,1),0)+BC385*(BA386=BA385)</f>
        <v>#N/A</v>
      </c>
      <c r="BD386" s="167">
        <f t="shared" ca="1" si="30"/>
        <v>0</v>
      </c>
      <c r="BE386" s="191" t="e">
        <f ca="1">(OFFSET(Pinlist!$E$1,BC386,0)-$BN$16)*$BN$19</f>
        <v>#N/A</v>
      </c>
      <c r="BF386" s="192" t="e">
        <f ca="1">(OFFSET(Pinlist!$F$1,BC386,0)-$BO$16)*$BO$19</f>
        <v>#N/A</v>
      </c>
      <c r="BG386" s="1098" t="str">
        <f ca="1">IF(LEFT(BD386,2)="RF",OFFSET(Pinlist!$D$1,Chart!BC386,0)&amp;"_"&amp;OFFSET(Pinlist!$G$1,Chart!BC386,0),"")</f>
        <v/>
      </c>
      <c r="BH386" s="1098"/>
      <c r="BI386" s="178"/>
      <c r="BJ386" s="178"/>
      <c r="BK386" s="178"/>
      <c r="BL386" s="178"/>
      <c r="BM386" s="178"/>
      <c r="BN386" s="178"/>
      <c r="BO386" s="178"/>
      <c r="BP386" s="178"/>
      <c r="BQ386" s="196"/>
      <c r="BR386" s="196"/>
      <c r="BS386" s="196"/>
      <c r="BT386" s="196"/>
      <c r="BU386" s="196"/>
      <c r="BV386" s="196"/>
      <c r="BW386" s="178"/>
      <c r="BX386" s="196"/>
      <c r="BY386" s="196"/>
      <c r="BZ386" s="196"/>
      <c r="CA386" s="196"/>
      <c r="CB386" s="178"/>
      <c r="CC386" s="178"/>
      <c r="CD386" s="202"/>
      <c r="CE386" s="202"/>
      <c r="CF386" s="178"/>
      <c r="CG386" s="196"/>
      <c r="CH386" s="178"/>
      <c r="CI386" s="178"/>
      <c r="CJ386" s="178"/>
      <c r="CK386" s="178"/>
      <c r="CL386" s="178"/>
      <c r="CM386" s="178"/>
      <c r="CN386" s="178"/>
      <c r="CO386" s="178"/>
      <c r="CP386" s="178"/>
      <c r="CQ386" s="178"/>
      <c r="CR386" s="178"/>
      <c r="CS386" s="178"/>
      <c r="CT386" s="178"/>
      <c r="CU386" s="178"/>
      <c r="CV386" s="178"/>
      <c r="CW386" s="178"/>
      <c r="CX386" s="178"/>
      <c r="CY386" s="178"/>
      <c r="CZ386" s="178"/>
      <c r="DA386" s="150"/>
    </row>
    <row r="387" spans="53:105" x14ac:dyDescent="0.2">
      <c r="BA387" s="518">
        <f t="shared" ca="1" si="28"/>
        <v>61</v>
      </c>
      <c r="BB387" s="174">
        <f t="shared" ca="1" si="29"/>
        <v>324</v>
      </c>
      <c r="BC387" s="525" t="e">
        <f ca="1">MATCH(BD387,OFFSET(Pinlist!$A$2,BC386*(BA387=BA386),0,$BM$23,1),0)+BC386*(BA387=BA386)</f>
        <v>#N/A</v>
      </c>
      <c r="BD387" s="167">
        <f t="shared" ca="1" si="30"/>
        <v>0</v>
      </c>
      <c r="BE387" s="191" t="e">
        <f ca="1">(OFFSET(Pinlist!$E$1,BC387,0)-$BN$16)*$BN$19</f>
        <v>#N/A</v>
      </c>
      <c r="BF387" s="192" t="e">
        <f ca="1">(OFFSET(Pinlist!$F$1,BC387,0)-$BO$16)*$BO$19</f>
        <v>#N/A</v>
      </c>
      <c r="BG387" s="1098" t="str">
        <f ca="1">IF(LEFT(BD387,2)="RF",OFFSET(Pinlist!$D$1,Chart!BC387,0)&amp;"_"&amp;OFFSET(Pinlist!$G$1,Chart!BC387,0),"")</f>
        <v/>
      </c>
      <c r="BH387" s="1098"/>
      <c r="BI387" s="178"/>
      <c r="BJ387" s="178"/>
      <c r="BK387" s="178"/>
      <c r="BL387" s="178"/>
      <c r="BM387" s="178"/>
      <c r="BN387" s="178"/>
      <c r="BO387" s="178"/>
      <c r="BP387" s="178"/>
      <c r="BQ387" s="196"/>
      <c r="BR387" s="196"/>
      <c r="BS387" s="196"/>
      <c r="BT387" s="196"/>
      <c r="BU387" s="196"/>
      <c r="BV387" s="196"/>
      <c r="BW387" s="178"/>
      <c r="BX387" s="196"/>
      <c r="BY387" s="196"/>
      <c r="BZ387" s="196"/>
      <c r="CA387" s="196"/>
      <c r="CB387" s="178"/>
      <c r="CC387" s="178"/>
      <c r="CD387" s="202"/>
      <c r="CE387" s="202"/>
      <c r="CF387" s="178"/>
      <c r="CG387" s="196"/>
      <c r="CH387" s="178"/>
      <c r="CI387" s="178"/>
      <c r="CJ387" s="178"/>
      <c r="CK387" s="178"/>
      <c r="CL387" s="178"/>
      <c r="CM387" s="178"/>
      <c r="CN387" s="178"/>
      <c r="CO387" s="178"/>
      <c r="CP387" s="178"/>
      <c r="CQ387" s="178"/>
      <c r="CR387" s="178"/>
      <c r="CS387" s="178"/>
      <c r="CT387" s="178"/>
      <c r="CU387" s="178"/>
      <c r="CV387" s="178"/>
      <c r="CW387" s="178"/>
      <c r="CX387" s="178"/>
      <c r="CY387" s="178"/>
      <c r="CZ387" s="178"/>
      <c r="DA387" s="150"/>
    </row>
    <row r="388" spans="53:105" x14ac:dyDescent="0.2">
      <c r="BA388" s="518">
        <f t="shared" ref="BA388:BA451" ca="1" si="31">BA387+(BB387=OFFSET($BZ$3,BA387,0))</f>
        <v>61</v>
      </c>
      <c r="BB388" s="174">
        <f t="shared" ref="BB388:BB451" ca="1" si="32">IF(BA388=BA387,BB387+1,1)</f>
        <v>325</v>
      </c>
      <c r="BC388" s="525" t="e">
        <f ca="1">MATCH(BD388,OFFSET(Pinlist!$A$2,BC387*(BA388=BA387),0,$BM$23,1),0)+BC387*(BA388=BA387)</f>
        <v>#N/A</v>
      </c>
      <c r="BD388" s="167">
        <f t="shared" ref="BD388:BD451" ca="1" si="33">OFFSET($BY$3,BA388,0)</f>
        <v>0</v>
      </c>
      <c r="BE388" s="191" t="e">
        <f ca="1">(OFFSET(Pinlist!$E$1,BC388,0)-$BN$16)*$BN$19</f>
        <v>#N/A</v>
      </c>
      <c r="BF388" s="192" t="e">
        <f ca="1">(OFFSET(Pinlist!$F$1,BC388,0)-$BO$16)*$BO$19</f>
        <v>#N/A</v>
      </c>
      <c r="BG388" s="1098" t="str">
        <f ca="1">IF(LEFT(BD388,2)="RF",OFFSET(Pinlist!$D$1,Chart!BC388,0)&amp;"_"&amp;OFFSET(Pinlist!$G$1,Chart!BC388,0),"")</f>
        <v/>
      </c>
      <c r="BH388" s="1098"/>
      <c r="BI388" s="178"/>
      <c r="BJ388" s="178"/>
      <c r="BK388" s="178"/>
      <c r="BL388" s="178"/>
      <c r="BM388" s="178"/>
      <c r="BN388" s="178"/>
      <c r="BO388" s="178"/>
      <c r="BP388" s="178"/>
      <c r="BQ388" s="196"/>
      <c r="BR388" s="196"/>
      <c r="BS388" s="196"/>
      <c r="BT388" s="196"/>
      <c r="BU388" s="196"/>
      <c r="BV388" s="196"/>
      <c r="BW388" s="178"/>
      <c r="BX388" s="196"/>
      <c r="BY388" s="196"/>
      <c r="BZ388" s="196"/>
      <c r="CA388" s="196"/>
      <c r="CB388" s="178"/>
      <c r="CC388" s="178"/>
      <c r="CD388" s="202"/>
      <c r="CE388" s="202"/>
      <c r="CF388" s="178"/>
      <c r="CG388" s="196"/>
      <c r="CH388" s="178"/>
      <c r="CI388" s="178"/>
      <c r="CJ388" s="178"/>
      <c r="CK388" s="178"/>
      <c r="CL388" s="178"/>
      <c r="CM388" s="178"/>
      <c r="CN388" s="178"/>
      <c r="CO388" s="178"/>
      <c r="CP388" s="178"/>
      <c r="CQ388" s="178"/>
      <c r="CR388" s="178"/>
      <c r="CS388" s="178"/>
      <c r="CT388" s="178"/>
      <c r="CU388" s="178"/>
      <c r="CV388" s="178"/>
      <c r="CW388" s="178"/>
      <c r="CX388" s="178"/>
      <c r="CY388" s="178"/>
      <c r="CZ388" s="178"/>
      <c r="DA388" s="150"/>
    </row>
    <row r="389" spans="53:105" x14ac:dyDescent="0.2">
      <c r="BA389" s="518">
        <f t="shared" ca="1" si="31"/>
        <v>61</v>
      </c>
      <c r="BB389" s="174">
        <f t="shared" ca="1" si="32"/>
        <v>326</v>
      </c>
      <c r="BC389" s="525" t="e">
        <f ca="1">MATCH(BD389,OFFSET(Pinlist!$A$2,BC388*(BA389=BA388),0,$BM$23,1),0)+BC388*(BA389=BA388)</f>
        <v>#N/A</v>
      </c>
      <c r="BD389" s="167">
        <f t="shared" ca="1" si="33"/>
        <v>0</v>
      </c>
      <c r="BE389" s="191" t="e">
        <f ca="1">(OFFSET(Pinlist!$E$1,BC389,0)-$BN$16)*$BN$19</f>
        <v>#N/A</v>
      </c>
      <c r="BF389" s="192" t="e">
        <f ca="1">(OFFSET(Pinlist!$F$1,BC389,0)-$BO$16)*$BO$19</f>
        <v>#N/A</v>
      </c>
      <c r="BG389" s="1098" t="str">
        <f ca="1">IF(LEFT(BD389,2)="RF",OFFSET(Pinlist!$D$1,Chart!BC389,0)&amp;"_"&amp;OFFSET(Pinlist!$G$1,Chart!BC389,0),"")</f>
        <v/>
      </c>
      <c r="BH389" s="1098"/>
      <c r="BI389" s="178"/>
      <c r="BJ389" s="178"/>
      <c r="BK389" s="178"/>
      <c r="BL389" s="178"/>
      <c r="BM389" s="178"/>
      <c r="BN389" s="178"/>
      <c r="BO389" s="178"/>
      <c r="BP389" s="178"/>
      <c r="BQ389" s="196"/>
      <c r="BR389" s="196"/>
      <c r="BS389" s="196"/>
      <c r="BT389" s="196"/>
      <c r="BU389" s="196"/>
      <c r="BV389" s="196"/>
      <c r="BW389" s="178"/>
      <c r="BX389" s="196"/>
      <c r="BY389" s="196"/>
      <c r="BZ389" s="196"/>
      <c r="CA389" s="196"/>
      <c r="CB389" s="178"/>
      <c r="CC389" s="178"/>
      <c r="CD389" s="202"/>
      <c r="CE389" s="202"/>
      <c r="CF389" s="178"/>
      <c r="CG389" s="196"/>
      <c r="CH389" s="178"/>
      <c r="CI389" s="178"/>
      <c r="CJ389" s="178"/>
      <c r="CK389" s="178"/>
      <c r="CL389" s="178"/>
      <c r="CM389" s="178"/>
      <c r="CN389" s="178"/>
      <c r="CO389" s="178"/>
      <c r="CP389" s="178"/>
      <c r="CQ389" s="178"/>
      <c r="CR389" s="178"/>
      <c r="CS389" s="178"/>
      <c r="CT389" s="178"/>
      <c r="CU389" s="178"/>
      <c r="CV389" s="178"/>
      <c r="CW389" s="178"/>
      <c r="CX389" s="178"/>
      <c r="CY389" s="178"/>
      <c r="CZ389" s="178"/>
      <c r="DA389" s="150"/>
    </row>
    <row r="390" spans="53:105" x14ac:dyDescent="0.2">
      <c r="BA390" s="518">
        <f t="shared" ca="1" si="31"/>
        <v>61</v>
      </c>
      <c r="BB390" s="174">
        <f t="shared" ca="1" si="32"/>
        <v>327</v>
      </c>
      <c r="BC390" s="525" t="e">
        <f ca="1">MATCH(BD390,OFFSET(Pinlist!$A$2,BC389*(BA390=BA389),0,$BM$23,1),0)+BC389*(BA390=BA389)</f>
        <v>#N/A</v>
      </c>
      <c r="BD390" s="167">
        <f t="shared" ca="1" si="33"/>
        <v>0</v>
      </c>
      <c r="BE390" s="191" t="e">
        <f ca="1">(OFFSET(Pinlist!$E$1,BC390,0)-$BN$16)*$BN$19</f>
        <v>#N/A</v>
      </c>
      <c r="BF390" s="192" t="e">
        <f ca="1">(OFFSET(Pinlist!$F$1,BC390,0)-$BO$16)*$BO$19</f>
        <v>#N/A</v>
      </c>
      <c r="BG390" s="1098" t="str">
        <f ca="1">IF(LEFT(BD390,2)="RF",OFFSET(Pinlist!$D$1,Chart!BC390,0)&amp;"_"&amp;OFFSET(Pinlist!$G$1,Chart!BC390,0),"")</f>
        <v/>
      </c>
      <c r="BH390" s="1098"/>
      <c r="BI390" s="178"/>
      <c r="BJ390" s="178"/>
      <c r="BK390" s="178"/>
      <c r="BL390" s="178"/>
      <c r="BM390" s="178"/>
      <c r="BN390" s="178"/>
      <c r="BO390" s="178"/>
      <c r="BP390" s="178"/>
      <c r="BQ390" s="196"/>
      <c r="BR390" s="196"/>
      <c r="BS390" s="196"/>
      <c r="BT390" s="196"/>
      <c r="BU390" s="196"/>
      <c r="BV390" s="196"/>
      <c r="BW390" s="178"/>
      <c r="BX390" s="196"/>
      <c r="BY390" s="196"/>
      <c r="BZ390" s="196"/>
      <c r="CA390" s="196"/>
      <c r="CB390" s="178"/>
      <c r="CC390" s="178"/>
      <c r="CD390" s="202"/>
      <c r="CE390" s="202"/>
      <c r="CF390" s="178"/>
      <c r="CG390" s="196"/>
      <c r="CH390" s="178"/>
      <c r="CI390" s="178"/>
      <c r="CJ390" s="178"/>
      <c r="CK390" s="178"/>
      <c r="CL390" s="178"/>
      <c r="CM390" s="178"/>
      <c r="CN390" s="178"/>
      <c r="CO390" s="178"/>
      <c r="CP390" s="178"/>
      <c r="CQ390" s="178"/>
      <c r="CR390" s="178"/>
      <c r="CS390" s="178"/>
      <c r="CT390" s="178"/>
      <c r="CU390" s="178"/>
      <c r="CV390" s="178"/>
      <c r="CW390" s="178"/>
      <c r="CX390" s="178"/>
      <c r="CY390" s="178"/>
      <c r="CZ390" s="178"/>
      <c r="DA390" s="150"/>
    </row>
    <row r="391" spans="53:105" x14ac:dyDescent="0.2">
      <c r="BA391" s="518">
        <f t="shared" ca="1" si="31"/>
        <v>61</v>
      </c>
      <c r="BB391" s="174">
        <f t="shared" ca="1" si="32"/>
        <v>328</v>
      </c>
      <c r="BC391" s="525" t="e">
        <f ca="1">MATCH(BD391,OFFSET(Pinlist!$A$2,BC390*(BA391=BA390),0,$BM$23,1),0)+BC390*(BA391=BA390)</f>
        <v>#N/A</v>
      </c>
      <c r="BD391" s="167">
        <f t="shared" ca="1" si="33"/>
        <v>0</v>
      </c>
      <c r="BE391" s="191" t="e">
        <f ca="1">(OFFSET(Pinlist!$E$1,BC391,0)-$BN$16)*$BN$19</f>
        <v>#N/A</v>
      </c>
      <c r="BF391" s="192" t="e">
        <f ca="1">(OFFSET(Pinlist!$F$1,BC391,0)-$BO$16)*$BO$19</f>
        <v>#N/A</v>
      </c>
      <c r="BG391" s="1098" t="str">
        <f ca="1">IF(LEFT(BD391,2)="RF",OFFSET(Pinlist!$D$1,Chart!BC391,0)&amp;"_"&amp;OFFSET(Pinlist!$G$1,Chart!BC391,0),"")</f>
        <v/>
      </c>
      <c r="BH391" s="1098"/>
      <c r="BI391" s="178"/>
      <c r="BJ391" s="178"/>
      <c r="BK391" s="178"/>
      <c r="BL391" s="178"/>
      <c r="BM391" s="178"/>
      <c r="BN391" s="178"/>
      <c r="BO391" s="178"/>
      <c r="BP391" s="178"/>
      <c r="BQ391" s="196"/>
      <c r="BR391" s="196"/>
      <c r="BS391" s="196"/>
      <c r="BT391" s="196"/>
      <c r="BU391" s="196"/>
      <c r="BV391" s="196"/>
      <c r="BW391" s="178"/>
      <c r="BX391" s="196"/>
      <c r="BY391" s="196"/>
      <c r="BZ391" s="196"/>
      <c r="CA391" s="196"/>
      <c r="CB391" s="178"/>
      <c r="CC391" s="178"/>
      <c r="CD391" s="202"/>
      <c r="CE391" s="202"/>
      <c r="CF391" s="178"/>
      <c r="CG391" s="196"/>
      <c r="CH391" s="178"/>
      <c r="CI391" s="178"/>
      <c r="CJ391" s="178"/>
      <c r="CK391" s="178"/>
      <c r="CL391" s="178"/>
      <c r="CM391" s="178"/>
      <c r="CN391" s="178"/>
      <c r="CO391" s="178"/>
      <c r="CP391" s="178"/>
      <c r="CQ391" s="178"/>
      <c r="CR391" s="178"/>
      <c r="CS391" s="178"/>
      <c r="CT391" s="178"/>
      <c r="CU391" s="178"/>
      <c r="CV391" s="178"/>
      <c r="CW391" s="178"/>
      <c r="CX391" s="178"/>
      <c r="CY391" s="178"/>
      <c r="CZ391" s="178"/>
      <c r="DA391" s="150"/>
    </row>
    <row r="392" spans="53:105" x14ac:dyDescent="0.2">
      <c r="BA392" s="518">
        <f t="shared" ca="1" si="31"/>
        <v>61</v>
      </c>
      <c r="BB392" s="174">
        <f t="shared" ca="1" si="32"/>
        <v>329</v>
      </c>
      <c r="BC392" s="525" t="e">
        <f ca="1">MATCH(BD392,OFFSET(Pinlist!$A$2,BC391*(BA392=BA391),0,$BM$23,1),0)+BC391*(BA392=BA391)</f>
        <v>#N/A</v>
      </c>
      <c r="BD392" s="167">
        <f t="shared" ca="1" si="33"/>
        <v>0</v>
      </c>
      <c r="BE392" s="191" t="e">
        <f ca="1">(OFFSET(Pinlist!$E$1,BC392,0)-$BN$16)*$BN$19</f>
        <v>#N/A</v>
      </c>
      <c r="BF392" s="192" t="e">
        <f ca="1">(OFFSET(Pinlist!$F$1,BC392,0)-$BO$16)*$BO$19</f>
        <v>#N/A</v>
      </c>
      <c r="BG392" s="1098" t="str">
        <f ca="1">IF(LEFT(BD392,2)="RF",OFFSET(Pinlist!$D$1,Chart!BC392,0)&amp;"_"&amp;OFFSET(Pinlist!$G$1,Chart!BC392,0),"")</f>
        <v/>
      </c>
      <c r="BH392" s="1098"/>
      <c r="BI392" s="178"/>
      <c r="BJ392" s="178"/>
      <c r="BK392" s="178"/>
      <c r="BL392" s="178"/>
      <c r="BM392" s="178"/>
      <c r="BN392" s="178"/>
      <c r="BO392" s="178"/>
      <c r="BP392" s="178"/>
      <c r="BQ392" s="196"/>
      <c r="BR392" s="196"/>
      <c r="BS392" s="196"/>
      <c r="BT392" s="196"/>
      <c r="BU392" s="196"/>
      <c r="BV392" s="196"/>
      <c r="BW392" s="178"/>
      <c r="BX392" s="196"/>
      <c r="BY392" s="196"/>
      <c r="BZ392" s="196"/>
      <c r="CA392" s="196"/>
      <c r="CB392" s="178"/>
      <c r="CC392" s="178"/>
      <c r="CD392" s="202"/>
      <c r="CE392" s="202"/>
      <c r="CF392" s="178"/>
      <c r="CG392" s="196"/>
      <c r="CH392" s="178"/>
      <c r="CI392" s="178"/>
      <c r="CJ392" s="178"/>
      <c r="CK392" s="178"/>
      <c r="CL392" s="178"/>
      <c r="CM392" s="178"/>
      <c r="CN392" s="178"/>
      <c r="CO392" s="178"/>
      <c r="CP392" s="178"/>
      <c r="CQ392" s="178"/>
      <c r="CR392" s="178"/>
      <c r="CS392" s="178"/>
      <c r="CT392" s="178"/>
      <c r="CU392" s="178"/>
      <c r="CV392" s="178"/>
      <c r="CW392" s="178"/>
      <c r="CX392" s="178"/>
      <c r="CY392" s="178"/>
      <c r="CZ392" s="178"/>
      <c r="DA392" s="150"/>
    </row>
    <row r="393" spans="53:105" x14ac:dyDescent="0.2">
      <c r="BA393" s="518">
        <f t="shared" ca="1" si="31"/>
        <v>61</v>
      </c>
      <c r="BB393" s="174">
        <f t="shared" ca="1" si="32"/>
        <v>330</v>
      </c>
      <c r="BC393" s="525" t="e">
        <f ca="1">MATCH(BD393,OFFSET(Pinlist!$A$2,BC392*(BA393=BA392),0,$BM$23,1),0)+BC392*(BA393=BA392)</f>
        <v>#N/A</v>
      </c>
      <c r="BD393" s="167">
        <f t="shared" ca="1" si="33"/>
        <v>0</v>
      </c>
      <c r="BE393" s="191" t="e">
        <f ca="1">(OFFSET(Pinlist!$E$1,BC393,0)-$BN$16)*$BN$19</f>
        <v>#N/A</v>
      </c>
      <c r="BF393" s="192" t="e">
        <f ca="1">(OFFSET(Pinlist!$F$1,BC393,0)-$BO$16)*$BO$19</f>
        <v>#N/A</v>
      </c>
      <c r="BG393" s="1098" t="str">
        <f ca="1">IF(LEFT(BD393,2)="RF",OFFSET(Pinlist!$D$1,Chart!BC393,0)&amp;"_"&amp;OFFSET(Pinlist!$G$1,Chart!BC393,0),"")</f>
        <v/>
      </c>
      <c r="BH393" s="1098"/>
      <c r="BI393" s="178"/>
      <c r="BJ393" s="178"/>
      <c r="BK393" s="178"/>
      <c r="BL393" s="178"/>
      <c r="BM393" s="178"/>
      <c r="BN393" s="178"/>
      <c r="BO393" s="178"/>
      <c r="BP393" s="178"/>
      <c r="BQ393" s="196"/>
      <c r="BR393" s="196"/>
      <c r="BS393" s="196"/>
      <c r="BT393" s="196"/>
      <c r="BU393" s="196"/>
      <c r="BV393" s="196"/>
      <c r="BW393" s="178"/>
      <c r="BX393" s="196"/>
      <c r="BY393" s="196"/>
      <c r="BZ393" s="196"/>
      <c r="CA393" s="196"/>
      <c r="CB393" s="178"/>
      <c r="CC393" s="178"/>
      <c r="CD393" s="202"/>
      <c r="CE393" s="202"/>
      <c r="CF393" s="178"/>
      <c r="CG393" s="196"/>
      <c r="CH393" s="178"/>
      <c r="CI393" s="178"/>
      <c r="CJ393" s="178"/>
      <c r="CK393" s="178"/>
      <c r="CL393" s="178"/>
      <c r="CM393" s="178"/>
      <c r="CN393" s="178"/>
      <c r="CO393" s="178"/>
      <c r="CP393" s="178"/>
      <c r="CQ393" s="178"/>
      <c r="CR393" s="178"/>
      <c r="CS393" s="178"/>
      <c r="CT393" s="178"/>
      <c r="CU393" s="178"/>
      <c r="CV393" s="178"/>
      <c r="CW393" s="178"/>
      <c r="CX393" s="178"/>
      <c r="CY393" s="178"/>
      <c r="CZ393" s="178"/>
      <c r="DA393" s="150"/>
    </row>
    <row r="394" spans="53:105" x14ac:dyDescent="0.2">
      <c r="BA394" s="518">
        <f t="shared" ca="1" si="31"/>
        <v>61</v>
      </c>
      <c r="BB394" s="174">
        <f t="shared" ca="1" si="32"/>
        <v>331</v>
      </c>
      <c r="BC394" s="525" t="e">
        <f ca="1">MATCH(BD394,OFFSET(Pinlist!$A$2,BC393*(BA394=BA393),0,$BM$23,1),0)+BC393*(BA394=BA393)</f>
        <v>#N/A</v>
      </c>
      <c r="BD394" s="167">
        <f t="shared" ca="1" si="33"/>
        <v>0</v>
      </c>
      <c r="BE394" s="191" t="e">
        <f ca="1">(OFFSET(Pinlist!$E$1,BC394,0)-$BN$16)*$BN$19</f>
        <v>#N/A</v>
      </c>
      <c r="BF394" s="192" t="e">
        <f ca="1">(OFFSET(Pinlist!$F$1,BC394,0)-$BO$16)*$BO$19</f>
        <v>#N/A</v>
      </c>
      <c r="BG394" s="1098" t="str">
        <f ca="1">IF(LEFT(BD394,2)="RF",OFFSET(Pinlist!$D$1,Chart!BC394,0)&amp;"_"&amp;OFFSET(Pinlist!$G$1,Chart!BC394,0),"")</f>
        <v/>
      </c>
      <c r="BH394" s="1098"/>
      <c r="BI394" s="178"/>
      <c r="BJ394" s="178"/>
      <c r="BK394" s="178"/>
      <c r="BL394" s="178"/>
      <c r="BM394" s="178"/>
      <c r="BN394" s="178"/>
      <c r="BO394" s="178"/>
      <c r="BP394" s="178"/>
      <c r="BQ394" s="196"/>
      <c r="BR394" s="196"/>
      <c r="BS394" s="196"/>
      <c r="BT394" s="196"/>
      <c r="BU394" s="196"/>
      <c r="BV394" s="196"/>
      <c r="BW394" s="178"/>
      <c r="BX394" s="196"/>
      <c r="BY394" s="196"/>
      <c r="BZ394" s="196"/>
      <c r="CA394" s="196"/>
      <c r="CB394" s="178"/>
      <c r="CC394" s="178"/>
      <c r="CD394" s="202"/>
      <c r="CE394" s="202"/>
      <c r="CF394" s="178"/>
      <c r="CG394" s="196"/>
      <c r="CH394" s="178"/>
      <c r="CI394" s="178"/>
      <c r="CJ394" s="178"/>
      <c r="CK394" s="178"/>
      <c r="CL394" s="178"/>
      <c r="CM394" s="178"/>
      <c r="CN394" s="178"/>
      <c r="CO394" s="178"/>
      <c r="CP394" s="178"/>
      <c r="CQ394" s="178"/>
      <c r="CR394" s="178"/>
      <c r="CS394" s="178"/>
      <c r="CT394" s="178"/>
      <c r="CU394" s="178"/>
      <c r="CV394" s="178"/>
      <c r="CW394" s="178"/>
      <c r="CX394" s="178"/>
      <c r="CY394" s="178"/>
      <c r="CZ394" s="178"/>
      <c r="DA394" s="150"/>
    </row>
    <row r="395" spans="53:105" x14ac:dyDescent="0.2">
      <c r="BA395" s="518">
        <f t="shared" ca="1" si="31"/>
        <v>61</v>
      </c>
      <c r="BB395" s="174">
        <f t="shared" ca="1" si="32"/>
        <v>332</v>
      </c>
      <c r="BC395" s="525" t="e">
        <f ca="1">MATCH(BD395,OFFSET(Pinlist!$A$2,BC394*(BA395=BA394),0,$BM$23,1),0)+BC394*(BA395=BA394)</f>
        <v>#N/A</v>
      </c>
      <c r="BD395" s="167">
        <f t="shared" ca="1" si="33"/>
        <v>0</v>
      </c>
      <c r="BE395" s="191" t="e">
        <f ca="1">(OFFSET(Pinlist!$E$1,BC395,0)-$BN$16)*$BN$19</f>
        <v>#N/A</v>
      </c>
      <c r="BF395" s="192" t="e">
        <f ca="1">(OFFSET(Pinlist!$F$1,BC395,0)-$BO$16)*$BO$19</f>
        <v>#N/A</v>
      </c>
      <c r="BG395" s="1098" t="str">
        <f ca="1">IF(LEFT(BD395,2)="RF",OFFSET(Pinlist!$D$1,Chart!BC395,0)&amp;"_"&amp;OFFSET(Pinlist!$G$1,Chart!BC395,0),"")</f>
        <v/>
      </c>
      <c r="BH395" s="1098"/>
      <c r="BI395" s="178"/>
      <c r="BJ395" s="178"/>
      <c r="BK395" s="178"/>
      <c r="BL395" s="178"/>
      <c r="BM395" s="178"/>
      <c r="BN395" s="178"/>
      <c r="BO395" s="178"/>
      <c r="BP395" s="178"/>
      <c r="BQ395" s="196"/>
      <c r="BR395" s="196"/>
      <c r="BS395" s="196"/>
      <c r="BT395" s="196"/>
      <c r="BU395" s="196"/>
      <c r="BV395" s="196"/>
      <c r="BW395" s="178"/>
      <c r="BX395" s="196"/>
      <c r="BY395" s="196"/>
      <c r="BZ395" s="196"/>
      <c r="CA395" s="196"/>
      <c r="CB395" s="178"/>
      <c r="CC395" s="178"/>
      <c r="CD395" s="202"/>
      <c r="CE395" s="202"/>
      <c r="CF395" s="178"/>
      <c r="CG395" s="196"/>
      <c r="CH395" s="178"/>
      <c r="CI395" s="178"/>
      <c r="CJ395" s="178"/>
      <c r="CK395" s="178"/>
      <c r="CL395" s="178"/>
      <c r="CM395" s="178"/>
      <c r="CN395" s="178"/>
      <c r="CO395" s="178"/>
      <c r="CP395" s="178"/>
      <c r="CQ395" s="178"/>
      <c r="CR395" s="178"/>
      <c r="CS395" s="178"/>
      <c r="CT395" s="178"/>
      <c r="CU395" s="178"/>
      <c r="CV395" s="178"/>
      <c r="CW395" s="178"/>
      <c r="CX395" s="178"/>
      <c r="CY395" s="178"/>
      <c r="CZ395" s="178"/>
      <c r="DA395" s="150"/>
    </row>
    <row r="396" spans="53:105" x14ac:dyDescent="0.2">
      <c r="BA396" s="518">
        <f t="shared" ca="1" si="31"/>
        <v>61</v>
      </c>
      <c r="BB396" s="174">
        <f t="shared" ca="1" si="32"/>
        <v>333</v>
      </c>
      <c r="BC396" s="525" t="e">
        <f ca="1">MATCH(BD396,OFFSET(Pinlist!$A$2,BC395*(BA396=BA395),0,$BM$23,1),0)+BC395*(BA396=BA395)</f>
        <v>#N/A</v>
      </c>
      <c r="BD396" s="167">
        <f t="shared" ca="1" si="33"/>
        <v>0</v>
      </c>
      <c r="BE396" s="191" t="e">
        <f ca="1">(OFFSET(Pinlist!$E$1,BC396,0)-$BN$16)*$BN$19</f>
        <v>#N/A</v>
      </c>
      <c r="BF396" s="192" t="e">
        <f ca="1">(OFFSET(Pinlist!$F$1,BC396,0)-$BO$16)*$BO$19</f>
        <v>#N/A</v>
      </c>
      <c r="BG396" s="1098" t="str">
        <f ca="1">IF(LEFT(BD396,2)="RF",OFFSET(Pinlist!$D$1,Chart!BC396,0)&amp;"_"&amp;OFFSET(Pinlist!$G$1,Chart!BC396,0),"")</f>
        <v/>
      </c>
      <c r="BH396" s="1098"/>
      <c r="BI396" s="178"/>
      <c r="BJ396" s="178"/>
      <c r="BK396" s="178"/>
      <c r="BL396" s="178"/>
      <c r="BM396" s="178"/>
      <c r="BN396" s="178"/>
      <c r="BO396" s="178"/>
      <c r="BP396" s="178"/>
      <c r="BQ396" s="196"/>
      <c r="BR396" s="196"/>
      <c r="BS396" s="196"/>
      <c r="BT396" s="196"/>
      <c r="BU396" s="196"/>
      <c r="BV396" s="196"/>
      <c r="BW396" s="178"/>
      <c r="BX396" s="196"/>
      <c r="BY396" s="196"/>
      <c r="BZ396" s="196"/>
      <c r="CA396" s="196"/>
      <c r="CB396" s="178"/>
      <c r="CC396" s="178"/>
      <c r="CD396" s="202"/>
      <c r="CE396" s="202"/>
      <c r="CF396" s="178"/>
      <c r="CG396" s="196"/>
      <c r="CH396" s="178"/>
      <c r="CI396" s="178"/>
      <c r="CJ396" s="178"/>
      <c r="CK396" s="178"/>
      <c r="CL396" s="178"/>
      <c r="CM396" s="178"/>
      <c r="CN396" s="178"/>
      <c r="CO396" s="178"/>
      <c r="CP396" s="178"/>
      <c r="CQ396" s="178"/>
      <c r="CR396" s="178"/>
      <c r="CS396" s="178"/>
      <c r="CT396" s="178"/>
      <c r="CU396" s="178"/>
      <c r="CV396" s="178"/>
      <c r="CW396" s="178"/>
      <c r="CX396" s="178"/>
      <c r="CY396" s="178"/>
      <c r="CZ396" s="178"/>
      <c r="DA396" s="150"/>
    </row>
    <row r="397" spans="53:105" x14ac:dyDescent="0.2">
      <c r="BA397" s="518">
        <f t="shared" ca="1" si="31"/>
        <v>61</v>
      </c>
      <c r="BB397" s="174">
        <f t="shared" ca="1" si="32"/>
        <v>334</v>
      </c>
      <c r="BC397" s="525" t="e">
        <f ca="1">MATCH(BD397,OFFSET(Pinlist!$A$2,BC396*(BA397=BA396),0,$BM$23,1),0)+BC396*(BA397=BA396)</f>
        <v>#N/A</v>
      </c>
      <c r="BD397" s="167">
        <f t="shared" ca="1" si="33"/>
        <v>0</v>
      </c>
      <c r="BE397" s="191" t="e">
        <f ca="1">(OFFSET(Pinlist!$E$1,BC397,0)-$BN$16)*$BN$19</f>
        <v>#N/A</v>
      </c>
      <c r="BF397" s="192" t="e">
        <f ca="1">(OFFSET(Pinlist!$F$1,BC397,0)-$BO$16)*$BO$19</f>
        <v>#N/A</v>
      </c>
      <c r="BG397" s="1098" t="str">
        <f ca="1">IF(LEFT(BD397,2)="RF",OFFSET(Pinlist!$D$1,Chart!BC397,0)&amp;"_"&amp;OFFSET(Pinlist!$G$1,Chart!BC397,0),"")</f>
        <v/>
      </c>
      <c r="BH397" s="1098"/>
      <c r="BI397" s="178"/>
      <c r="BJ397" s="178"/>
      <c r="BK397" s="178"/>
      <c r="BL397" s="178"/>
      <c r="BM397" s="178"/>
      <c r="BN397" s="178"/>
      <c r="BO397" s="178"/>
      <c r="BP397" s="178"/>
      <c r="BQ397" s="196"/>
      <c r="BR397" s="196"/>
      <c r="BS397" s="196"/>
      <c r="BT397" s="196"/>
      <c r="BU397" s="196"/>
      <c r="BV397" s="196"/>
      <c r="BW397" s="178"/>
      <c r="BX397" s="196"/>
      <c r="BY397" s="196"/>
      <c r="BZ397" s="196"/>
      <c r="CA397" s="196"/>
      <c r="CB397" s="178"/>
      <c r="CC397" s="178"/>
      <c r="CD397" s="202"/>
      <c r="CE397" s="202"/>
      <c r="CF397" s="178"/>
      <c r="CG397" s="196"/>
      <c r="CH397" s="178"/>
      <c r="CI397" s="178"/>
      <c r="CJ397" s="178"/>
      <c r="CK397" s="178"/>
      <c r="CL397" s="178"/>
      <c r="CM397" s="178"/>
      <c r="CN397" s="178"/>
      <c r="CO397" s="178"/>
      <c r="CP397" s="178"/>
      <c r="CQ397" s="178"/>
      <c r="CR397" s="178"/>
      <c r="CS397" s="178"/>
      <c r="CT397" s="178"/>
      <c r="CU397" s="178"/>
      <c r="CV397" s="178"/>
      <c r="CW397" s="178"/>
      <c r="CX397" s="178"/>
      <c r="CY397" s="178"/>
      <c r="CZ397" s="178"/>
      <c r="DA397" s="150"/>
    </row>
    <row r="398" spans="53:105" x14ac:dyDescent="0.2">
      <c r="BA398" s="518">
        <f t="shared" ca="1" si="31"/>
        <v>61</v>
      </c>
      <c r="BB398" s="174">
        <f t="shared" ca="1" si="32"/>
        <v>335</v>
      </c>
      <c r="BC398" s="525" t="e">
        <f ca="1">MATCH(BD398,OFFSET(Pinlist!$A$2,BC397*(BA398=BA397),0,$BM$23,1),0)+BC397*(BA398=BA397)</f>
        <v>#N/A</v>
      </c>
      <c r="BD398" s="167">
        <f t="shared" ca="1" si="33"/>
        <v>0</v>
      </c>
      <c r="BE398" s="191" t="e">
        <f ca="1">(OFFSET(Pinlist!$E$1,BC398,0)-$BN$16)*$BN$19</f>
        <v>#N/A</v>
      </c>
      <c r="BF398" s="192" t="e">
        <f ca="1">(OFFSET(Pinlist!$F$1,BC398,0)-$BO$16)*$BO$19</f>
        <v>#N/A</v>
      </c>
      <c r="BG398" s="1098" t="str">
        <f ca="1">IF(LEFT(BD398,2)="RF",OFFSET(Pinlist!$D$1,Chart!BC398,0)&amp;"_"&amp;OFFSET(Pinlist!$G$1,Chart!BC398,0),"")</f>
        <v/>
      </c>
      <c r="BH398" s="1098"/>
      <c r="BI398" s="178"/>
      <c r="BJ398" s="178"/>
      <c r="BK398" s="178"/>
      <c r="BL398" s="178"/>
      <c r="BM398" s="178"/>
      <c r="BN398" s="178"/>
      <c r="BO398" s="178"/>
      <c r="BP398" s="178"/>
      <c r="BQ398" s="196"/>
      <c r="BR398" s="196"/>
      <c r="BS398" s="196"/>
      <c r="BT398" s="196"/>
      <c r="BU398" s="196"/>
      <c r="BV398" s="196"/>
      <c r="BW398" s="178"/>
      <c r="BX398" s="196"/>
      <c r="BY398" s="196"/>
      <c r="BZ398" s="196"/>
      <c r="CA398" s="196"/>
      <c r="CB398" s="178"/>
      <c r="CC398" s="178"/>
      <c r="CD398" s="202"/>
      <c r="CE398" s="202"/>
      <c r="CF398" s="178"/>
      <c r="CG398" s="196"/>
      <c r="CH398" s="178"/>
      <c r="CI398" s="178"/>
      <c r="CJ398" s="178"/>
      <c r="CK398" s="178"/>
      <c r="CL398" s="178"/>
      <c r="CM398" s="178"/>
      <c r="CN398" s="178"/>
      <c r="CO398" s="178"/>
      <c r="CP398" s="178"/>
      <c r="CQ398" s="178"/>
      <c r="CR398" s="178"/>
      <c r="CS398" s="178"/>
      <c r="CT398" s="178"/>
      <c r="CU398" s="178"/>
      <c r="CV398" s="178"/>
      <c r="CW398" s="178"/>
      <c r="CX398" s="178"/>
      <c r="CY398" s="178"/>
      <c r="CZ398" s="178"/>
      <c r="DA398" s="150"/>
    </row>
    <row r="399" spans="53:105" x14ac:dyDescent="0.2">
      <c r="BA399" s="518">
        <f t="shared" ca="1" si="31"/>
        <v>61</v>
      </c>
      <c r="BB399" s="174">
        <f t="shared" ca="1" si="32"/>
        <v>336</v>
      </c>
      <c r="BC399" s="525" t="e">
        <f ca="1">MATCH(BD399,OFFSET(Pinlist!$A$2,BC398*(BA399=BA398),0,$BM$23,1),0)+BC398*(BA399=BA398)</f>
        <v>#N/A</v>
      </c>
      <c r="BD399" s="167">
        <f t="shared" ca="1" si="33"/>
        <v>0</v>
      </c>
      <c r="BE399" s="191" t="e">
        <f ca="1">(OFFSET(Pinlist!$E$1,BC399,0)-$BN$16)*$BN$19</f>
        <v>#N/A</v>
      </c>
      <c r="BF399" s="192" t="e">
        <f ca="1">(OFFSET(Pinlist!$F$1,BC399,0)-$BO$16)*$BO$19</f>
        <v>#N/A</v>
      </c>
      <c r="BG399" s="1098" t="str">
        <f ca="1">IF(LEFT(BD399,2)="RF",OFFSET(Pinlist!$D$1,Chart!BC399,0)&amp;"_"&amp;OFFSET(Pinlist!$G$1,Chart!BC399,0),"")</f>
        <v/>
      </c>
      <c r="BH399" s="1098"/>
      <c r="BI399" s="178"/>
      <c r="BJ399" s="178"/>
      <c r="BK399" s="178"/>
      <c r="BL399" s="178"/>
      <c r="BM399" s="178"/>
      <c r="BN399" s="178"/>
      <c r="BO399" s="178"/>
      <c r="BP399" s="178"/>
      <c r="BQ399" s="196"/>
      <c r="BR399" s="196"/>
      <c r="BS399" s="196"/>
      <c r="BT399" s="196"/>
      <c r="BU399" s="196"/>
      <c r="BV399" s="196"/>
      <c r="BW399" s="178"/>
      <c r="BX399" s="196"/>
      <c r="BY399" s="196"/>
      <c r="BZ399" s="196"/>
      <c r="CA399" s="196"/>
      <c r="CB399" s="178"/>
      <c r="CC399" s="178"/>
      <c r="CD399" s="202"/>
      <c r="CE399" s="202"/>
      <c r="CF399" s="178"/>
      <c r="CG399" s="196"/>
      <c r="CH399" s="178"/>
      <c r="CI399" s="178"/>
      <c r="CJ399" s="178"/>
      <c r="CK399" s="178"/>
      <c r="CL399" s="178"/>
      <c r="CM399" s="178"/>
      <c r="CN399" s="178"/>
      <c r="CO399" s="178"/>
      <c r="CP399" s="178"/>
      <c r="CQ399" s="178"/>
      <c r="CR399" s="178"/>
      <c r="CS399" s="178"/>
      <c r="CT399" s="178"/>
      <c r="CU399" s="178"/>
      <c r="CV399" s="178"/>
      <c r="CW399" s="178"/>
      <c r="CX399" s="178"/>
      <c r="CY399" s="178"/>
      <c r="CZ399" s="178"/>
      <c r="DA399" s="150"/>
    </row>
    <row r="400" spans="53:105" x14ac:dyDescent="0.2">
      <c r="BA400" s="518">
        <f t="shared" ca="1" si="31"/>
        <v>61</v>
      </c>
      <c r="BB400" s="174">
        <f t="shared" ca="1" si="32"/>
        <v>337</v>
      </c>
      <c r="BC400" s="525" t="e">
        <f ca="1">MATCH(BD400,OFFSET(Pinlist!$A$2,BC399*(BA400=BA399),0,$BM$23,1),0)+BC399*(BA400=BA399)</f>
        <v>#N/A</v>
      </c>
      <c r="BD400" s="167">
        <f t="shared" ca="1" si="33"/>
        <v>0</v>
      </c>
      <c r="BE400" s="191" t="e">
        <f ca="1">(OFFSET(Pinlist!$E$1,BC400,0)-$BN$16)*$BN$19</f>
        <v>#N/A</v>
      </c>
      <c r="BF400" s="192" t="e">
        <f ca="1">(OFFSET(Pinlist!$F$1,BC400,0)-$BO$16)*$BO$19</f>
        <v>#N/A</v>
      </c>
      <c r="BG400" s="1098" t="str">
        <f ca="1">IF(LEFT(BD400,2)="RF",OFFSET(Pinlist!$D$1,Chart!BC400,0)&amp;"_"&amp;OFFSET(Pinlist!$G$1,Chart!BC400,0),"")</f>
        <v/>
      </c>
      <c r="BH400" s="1098"/>
      <c r="BI400" s="178"/>
      <c r="BJ400" s="178"/>
      <c r="BK400" s="178"/>
      <c r="BL400" s="178"/>
      <c r="BM400" s="178"/>
      <c r="BN400" s="178"/>
      <c r="BO400" s="178"/>
      <c r="BP400" s="178"/>
      <c r="BQ400" s="196"/>
      <c r="BR400" s="196"/>
      <c r="BS400" s="196"/>
      <c r="BT400" s="196"/>
      <c r="BU400" s="196"/>
      <c r="BV400" s="196"/>
      <c r="BW400" s="178"/>
      <c r="BX400" s="196"/>
      <c r="BY400" s="196"/>
      <c r="BZ400" s="196"/>
      <c r="CA400" s="196"/>
      <c r="CB400" s="178"/>
      <c r="CC400" s="178"/>
      <c r="CD400" s="202"/>
      <c r="CE400" s="202"/>
      <c r="CF400" s="178"/>
      <c r="CG400" s="196"/>
      <c r="CH400" s="178"/>
      <c r="CI400" s="178"/>
      <c r="CJ400" s="178"/>
      <c r="CK400" s="178"/>
      <c r="CL400" s="178"/>
      <c r="CM400" s="178"/>
      <c r="CN400" s="178"/>
      <c r="CO400" s="178"/>
      <c r="CP400" s="178"/>
      <c r="CQ400" s="178"/>
      <c r="CR400" s="178"/>
      <c r="CS400" s="178"/>
      <c r="CT400" s="178"/>
      <c r="CU400" s="178"/>
      <c r="CV400" s="178"/>
      <c r="CW400" s="178"/>
      <c r="CX400" s="178"/>
      <c r="CY400" s="178"/>
      <c r="CZ400" s="178"/>
      <c r="DA400" s="150"/>
    </row>
    <row r="401" spans="53:105" x14ac:dyDescent="0.2">
      <c r="BA401" s="518">
        <f t="shared" ca="1" si="31"/>
        <v>61</v>
      </c>
      <c r="BB401" s="174">
        <f t="shared" ca="1" si="32"/>
        <v>338</v>
      </c>
      <c r="BC401" s="525" t="e">
        <f ca="1">MATCH(BD401,OFFSET(Pinlist!$A$2,BC400*(BA401=BA400),0,$BM$23,1),0)+BC400*(BA401=BA400)</f>
        <v>#N/A</v>
      </c>
      <c r="BD401" s="167">
        <f t="shared" ca="1" si="33"/>
        <v>0</v>
      </c>
      <c r="BE401" s="191" t="e">
        <f ca="1">(OFFSET(Pinlist!$E$1,BC401,0)-$BN$16)*$BN$19</f>
        <v>#N/A</v>
      </c>
      <c r="BF401" s="192" t="e">
        <f ca="1">(OFFSET(Pinlist!$F$1,BC401,0)-$BO$16)*$BO$19</f>
        <v>#N/A</v>
      </c>
      <c r="BG401" s="1098" t="str">
        <f ca="1">IF(LEFT(BD401,2)="RF",OFFSET(Pinlist!$D$1,Chart!BC401,0)&amp;"_"&amp;OFFSET(Pinlist!$G$1,Chart!BC401,0),"")</f>
        <v/>
      </c>
      <c r="BH401" s="1098"/>
      <c r="BI401" s="178"/>
      <c r="BJ401" s="178"/>
      <c r="BK401" s="178"/>
      <c r="BL401" s="178"/>
      <c r="BM401" s="178"/>
      <c r="BN401" s="178"/>
      <c r="BO401" s="178"/>
      <c r="BP401" s="178"/>
      <c r="BQ401" s="196"/>
      <c r="BR401" s="196"/>
      <c r="BS401" s="196"/>
      <c r="BT401" s="196"/>
      <c r="BU401" s="196"/>
      <c r="BV401" s="196"/>
      <c r="BW401" s="178"/>
      <c r="BX401" s="196"/>
      <c r="BY401" s="196"/>
      <c r="BZ401" s="196"/>
      <c r="CA401" s="196"/>
      <c r="CB401" s="178"/>
      <c r="CC401" s="178"/>
      <c r="CD401" s="202"/>
      <c r="CE401" s="202"/>
      <c r="CF401" s="178"/>
      <c r="CG401" s="196"/>
      <c r="CH401" s="178"/>
      <c r="CI401" s="178"/>
      <c r="CJ401" s="178"/>
      <c r="CK401" s="178"/>
      <c r="CL401" s="178"/>
      <c r="CM401" s="178"/>
      <c r="CN401" s="178"/>
      <c r="CO401" s="178"/>
      <c r="CP401" s="178"/>
      <c r="CQ401" s="178"/>
      <c r="CR401" s="178"/>
      <c r="CS401" s="178"/>
      <c r="CT401" s="178"/>
      <c r="CU401" s="178"/>
      <c r="CV401" s="178"/>
      <c r="CW401" s="178"/>
      <c r="CX401" s="178"/>
      <c r="CY401" s="178"/>
      <c r="CZ401" s="178"/>
      <c r="DA401" s="150"/>
    </row>
    <row r="402" spans="53:105" x14ac:dyDescent="0.2">
      <c r="BA402" s="518">
        <f t="shared" ca="1" si="31"/>
        <v>61</v>
      </c>
      <c r="BB402" s="174">
        <f t="shared" ca="1" si="32"/>
        <v>339</v>
      </c>
      <c r="BC402" s="525" t="e">
        <f ca="1">MATCH(BD402,OFFSET(Pinlist!$A$2,BC401*(BA402=BA401),0,$BM$23,1),0)+BC401*(BA402=BA401)</f>
        <v>#N/A</v>
      </c>
      <c r="BD402" s="167">
        <f t="shared" ca="1" si="33"/>
        <v>0</v>
      </c>
      <c r="BE402" s="191" t="e">
        <f ca="1">(OFFSET(Pinlist!$E$1,BC402,0)-$BN$16)*$BN$19</f>
        <v>#N/A</v>
      </c>
      <c r="BF402" s="192" t="e">
        <f ca="1">(OFFSET(Pinlist!$F$1,BC402,0)-$BO$16)*$BO$19</f>
        <v>#N/A</v>
      </c>
      <c r="BG402" s="1098" t="str">
        <f ca="1">IF(LEFT(BD402,2)="RF",OFFSET(Pinlist!$D$1,Chart!BC402,0)&amp;"_"&amp;OFFSET(Pinlist!$G$1,Chart!BC402,0),"")</f>
        <v/>
      </c>
      <c r="BH402" s="1098"/>
      <c r="BI402" s="178"/>
      <c r="BJ402" s="178"/>
      <c r="BK402" s="178"/>
      <c r="BL402" s="178"/>
      <c r="BM402" s="178"/>
      <c r="BN402" s="178"/>
      <c r="BO402" s="178"/>
      <c r="BP402" s="178"/>
      <c r="BQ402" s="196"/>
      <c r="BR402" s="196"/>
      <c r="BS402" s="196"/>
      <c r="BT402" s="196"/>
      <c r="BU402" s="196"/>
      <c r="BV402" s="196"/>
      <c r="BW402" s="178"/>
      <c r="BX402" s="196"/>
      <c r="BY402" s="196"/>
      <c r="BZ402" s="196"/>
      <c r="CA402" s="196"/>
      <c r="CB402" s="178"/>
      <c r="CC402" s="178"/>
      <c r="CD402" s="202"/>
      <c r="CE402" s="202"/>
      <c r="CF402" s="178"/>
      <c r="CG402" s="196"/>
      <c r="CH402" s="178"/>
      <c r="CI402" s="178"/>
      <c r="CJ402" s="178"/>
      <c r="CK402" s="178"/>
      <c r="CL402" s="178"/>
      <c r="CM402" s="178"/>
      <c r="CN402" s="178"/>
      <c r="CO402" s="178"/>
      <c r="CP402" s="178"/>
      <c r="CQ402" s="178"/>
      <c r="CR402" s="178"/>
      <c r="CS402" s="178"/>
      <c r="CT402" s="178"/>
      <c r="CU402" s="178"/>
      <c r="CV402" s="178"/>
      <c r="CW402" s="178"/>
      <c r="CX402" s="178"/>
      <c r="CY402" s="178"/>
      <c r="CZ402" s="178"/>
      <c r="DA402" s="150"/>
    </row>
    <row r="403" spans="53:105" x14ac:dyDescent="0.2">
      <c r="BA403" s="518">
        <f t="shared" ca="1" si="31"/>
        <v>61</v>
      </c>
      <c r="BB403" s="174">
        <f t="shared" ca="1" si="32"/>
        <v>340</v>
      </c>
      <c r="BC403" s="525" t="e">
        <f ca="1">MATCH(BD403,OFFSET(Pinlist!$A$2,BC402*(BA403=BA402),0,$BM$23,1),0)+BC402*(BA403=BA402)</f>
        <v>#N/A</v>
      </c>
      <c r="BD403" s="167">
        <f t="shared" ca="1" si="33"/>
        <v>0</v>
      </c>
      <c r="BE403" s="191" t="e">
        <f ca="1">(OFFSET(Pinlist!$E$1,BC403,0)-$BN$16)*$BN$19</f>
        <v>#N/A</v>
      </c>
      <c r="BF403" s="192" t="e">
        <f ca="1">(OFFSET(Pinlist!$F$1,BC403,0)-$BO$16)*$BO$19</f>
        <v>#N/A</v>
      </c>
      <c r="BG403" s="1098" t="str">
        <f ca="1">IF(LEFT(BD403,2)="RF",OFFSET(Pinlist!$D$1,Chart!BC403,0)&amp;"_"&amp;OFFSET(Pinlist!$G$1,Chart!BC403,0),"")</f>
        <v/>
      </c>
      <c r="BH403" s="1098"/>
      <c r="BI403" s="178"/>
      <c r="BJ403" s="178"/>
      <c r="BK403" s="178"/>
      <c r="BL403" s="178"/>
      <c r="BM403" s="178"/>
      <c r="BN403" s="178"/>
      <c r="BO403" s="178"/>
      <c r="BP403" s="178"/>
      <c r="BQ403" s="196"/>
      <c r="BR403" s="196"/>
      <c r="BS403" s="196"/>
      <c r="BT403" s="196"/>
      <c r="BU403" s="196"/>
      <c r="BV403" s="196"/>
      <c r="BW403" s="178"/>
      <c r="BX403" s="196"/>
      <c r="BY403" s="196"/>
      <c r="BZ403" s="196"/>
      <c r="CA403" s="196"/>
      <c r="CB403" s="178"/>
      <c r="CC403" s="178"/>
      <c r="CD403" s="202"/>
      <c r="CE403" s="202"/>
      <c r="CF403" s="178"/>
      <c r="CG403" s="196"/>
      <c r="CH403" s="178"/>
      <c r="CI403" s="178"/>
      <c r="CJ403" s="178"/>
      <c r="CK403" s="178"/>
      <c r="CL403" s="178"/>
      <c r="CM403" s="178"/>
      <c r="CN403" s="178"/>
      <c r="CO403" s="178"/>
      <c r="CP403" s="178"/>
      <c r="CQ403" s="178"/>
      <c r="CR403" s="178"/>
      <c r="CS403" s="178"/>
      <c r="CT403" s="178"/>
      <c r="CU403" s="178"/>
      <c r="CV403" s="178"/>
      <c r="CW403" s="178"/>
      <c r="CX403" s="178"/>
      <c r="CY403" s="178"/>
      <c r="CZ403" s="178"/>
      <c r="DA403" s="150"/>
    </row>
    <row r="404" spans="53:105" x14ac:dyDescent="0.2">
      <c r="BA404" s="518">
        <f t="shared" ca="1" si="31"/>
        <v>61</v>
      </c>
      <c r="BB404" s="174">
        <f t="shared" ca="1" si="32"/>
        <v>341</v>
      </c>
      <c r="BC404" s="525" t="e">
        <f ca="1">MATCH(BD404,OFFSET(Pinlist!$A$2,BC403*(BA404=BA403),0,$BM$23,1),0)+BC403*(BA404=BA403)</f>
        <v>#N/A</v>
      </c>
      <c r="BD404" s="167">
        <f t="shared" ca="1" si="33"/>
        <v>0</v>
      </c>
      <c r="BE404" s="191" t="e">
        <f ca="1">(OFFSET(Pinlist!$E$1,BC404,0)-$BN$16)*$BN$19</f>
        <v>#N/A</v>
      </c>
      <c r="BF404" s="192" t="e">
        <f ca="1">(OFFSET(Pinlist!$F$1,BC404,0)-$BO$16)*$BO$19</f>
        <v>#N/A</v>
      </c>
      <c r="BG404" s="1098" t="str">
        <f ca="1">IF(LEFT(BD404,2)="RF",OFFSET(Pinlist!$D$1,Chart!BC404,0)&amp;"_"&amp;OFFSET(Pinlist!$G$1,Chart!BC404,0),"")</f>
        <v/>
      </c>
      <c r="BH404" s="1098"/>
      <c r="BI404" s="178"/>
      <c r="BJ404" s="178"/>
      <c r="BK404" s="178"/>
      <c r="BL404" s="178"/>
      <c r="BM404" s="178"/>
      <c r="BN404" s="178"/>
      <c r="BO404" s="178"/>
      <c r="BP404" s="178"/>
      <c r="BQ404" s="196"/>
      <c r="BR404" s="196"/>
      <c r="BS404" s="196"/>
      <c r="BT404" s="196"/>
      <c r="BU404" s="196"/>
      <c r="BV404" s="196"/>
      <c r="BW404" s="178"/>
      <c r="BX404" s="196"/>
      <c r="BY404" s="196"/>
      <c r="BZ404" s="196"/>
      <c r="CA404" s="196"/>
      <c r="CB404" s="178"/>
      <c r="CC404" s="178"/>
      <c r="CD404" s="202"/>
      <c r="CE404" s="202"/>
      <c r="CF404" s="178"/>
      <c r="CG404" s="196"/>
      <c r="CH404" s="178"/>
      <c r="CI404" s="178"/>
      <c r="CJ404" s="178"/>
      <c r="CK404" s="178"/>
      <c r="CL404" s="178"/>
      <c r="CM404" s="178"/>
      <c r="CN404" s="178"/>
      <c r="CO404" s="178"/>
      <c r="CP404" s="178"/>
      <c r="CQ404" s="178"/>
      <c r="CR404" s="178"/>
      <c r="CS404" s="178"/>
      <c r="CT404" s="178"/>
      <c r="CU404" s="178"/>
      <c r="CV404" s="178"/>
      <c r="CW404" s="178"/>
      <c r="CX404" s="178"/>
      <c r="CY404" s="178"/>
      <c r="CZ404" s="178"/>
      <c r="DA404" s="150"/>
    </row>
    <row r="405" spans="53:105" x14ac:dyDescent="0.2">
      <c r="BA405" s="518">
        <f t="shared" ca="1" si="31"/>
        <v>61</v>
      </c>
      <c r="BB405" s="174">
        <f t="shared" ca="1" si="32"/>
        <v>342</v>
      </c>
      <c r="BC405" s="525" t="e">
        <f ca="1">MATCH(BD405,OFFSET(Pinlist!$A$2,BC404*(BA405=BA404),0,$BM$23,1),0)+BC404*(BA405=BA404)</f>
        <v>#N/A</v>
      </c>
      <c r="BD405" s="167">
        <f t="shared" ca="1" si="33"/>
        <v>0</v>
      </c>
      <c r="BE405" s="191" t="e">
        <f ca="1">(OFFSET(Pinlist!$E$1,BC405,0)-$BN$16)*$BN$19</f>
        <v>#N/A</v>
      </c>
      <c r="BF405" s="192" t="e">
        <f ca="1">(OFFSET(Pinlist!$F$1,BC405,0)-$BO$16)*$BO$19</f>
        <v>#N/A</v>
      </c>
      <c r="BG405" s="1098" t="str">
        <f ca="1">IF(LEFT(BD405,2)="RF",OFFSET(Pinlist!$D$1,Chart!BC405,0)&amp;"_"&amp;OFFSET(Pinlist!$G$1,Chart!BC405,0),"")</f>
        <v/>
      </c>
      <c r="BH405" s="1098"/>
      <c r="BI405" s="178"/>
      <c r="BJ405" s="178"/>
      <c r="BK405" s="178"/>
      <c r="BL405" s="178"/>
      <c r="BM405" s="178"/>
      <c r="BN405" s="178"/>
      <c r="BO405" s="178"/>
      <c r="BP405" s="178"/>
      <c r="BQ405" s="196"/>
      <c r="BR405" s="196"/>
      <c r="BS405" s="196"/>
      <c r="BT405" s="196"/>
      <c r="BU405" s="196"/>
      <c r="BV405" s="196"/>
      <c r="BW405" s="178"/>
      <c r="BX405" s="196"/>
      <c r="BY405" s="196"/>
      <c r="BZ405" s="196"/>
      <c r="CA405" s="196"/>
      <c r="CB405" s="178"/>
      <c r="CC405" s="178"/>
      <c r="CD405" s="202"/>
      <c r="CE405" s="202"/>
      <c r="CF405" s="178"/>
      <c r="CG405" s="196"/>
      <c r="CH405" s="178"/>
      <c r="CI405" s="178"/>
      <c r="CJ405" s="178"/>
      <c r="CK405" s="178"/>
      <c r="CL405" s="178"/>
      <c r="CM405" s="178"/>
      <c r="CN405" s="178"/>
      <c r="CO405" s="178"/>
      <c r="CP405" s="178"/>
      <c r="CQ405" s="178"/>
      <c r="CR405" s="178"/>
      <c r="CS405" s="178"/>
      <c r="CT405" s="178"/>
      <c r="CU405" s="178"/>
      <c r="CV405" s="178"/>
      <c r="CW405" s="178"/>
      <c r="CX405" s="178"/>
      <c r="CY405" s="178"/>
      <c r="CZ405" s="178"/>
      <c r="DA405" s="150"/>
    </row>
    <row r="406" spans="53:105" x14ac:dyDescent="0.2">
      <c r="BA406" s="518">
        <f t="shared" ca="1" si="31"/>
        <v>61</v>
      </c>
      <c r="BB406" s="174">
        <f t="shared" ca="1" si="32"/>
        <v>343</v>
      </c>
      <c r="BC406" s="525" t="e">
        <f ca="1">MATCH(BD406,OFFSET(Pinlist!$A$2,BC405*(BA406=BA405),0,$BM$23,1),0)+BC405*(BA406=BA405)</f>
        <v>#N/A</v>
      </c>
      <c r="BD406" s="167">
        <f t="shared" ca="1" si="33"/>
        <v>0</v>
      </c>
      <c r="BE406" s="191" t="e">
        <f ca="1">(OFFSET(Pinlist!$E$1,BC406,0)-$BN$16)*$BN$19</f>
        <v>#N/A</v>
      </c>
      <c r="BF406" s="192" t="e">
        <f ca="1">(OFFSET(Pinlist!$F$1,BC406,0)-$BO$16)*$BO$19</f>
        <v>#N/A</v>
      </c>
      <c r="BG406" s="1098" t="str">
        <f ca="1">IF(LEFT(BD406,2)="RF",OFFSET(Pinlist!$D$1,Chart!BC406,0)&amp;"_"&amp;OFFSET(Pinlist!$G$1,Chart!BC406,0),"")</f>
        <v/>
      </c>
      <c r="BH406" s="1098"/>
      <c r="BI406" s="178"/>
      <c r="BJ406" s="178"/>
      <c r="BK406" s="178"/>
      <c r="BL406" s="178"/>
      <c r="BM406" s="178"/>
      <c r="BN406" s="178"/>
      <c r="BO406" s="178"/>
      <c r="BP406" s="178"/>
      <c r="BQ406" s="196"/>
      <c r="BR406" s="196"/>
      <c r="BS406" s="196"/>
      <c r="BT406" s="196"/>
      <c r="BU406" s="196"/>
      <c r="BV406" s="196"/>
      <c r="BW406" s="178"/>
      <c r="BX406" s="196"/>
      <c r="BY406" s="196"/>
      <c r="BZ406" s="196"/>
      <c r="CA406" s="196"/>
      <c r="CB406" s="178"/>
      <c r="CC406" s="178"/>
      <c r="CD406" s="202"/>
      <c r="CE406" s="202"/>
      <c r="CF406" s="178"/>
      <c r="CG406" s="196"/>
      <c r="CH406" s="178"/>
      <c r="CI406" s="178"/>
      <c r="CJ406" s="178"/>
      <c r="CK406" s="178"/>
      <c r="CL406" s="178"/>
      <c r="CM406" s="178"/>
      <c r="CN406" s="178"/>
      <c r="CO406" s="178"/>
      <c r="CP406" s="178"/>
      <c r="CQ406" s="178"/>
      <c r="CR406" s="178"/>
      <c r="CS406" s="178"/>
      <c r="CT406" s="178"/>
      <c r="CU406" s="178"/>
      <c r="CV406" s="178"/>
      <c r="CW406" s="178"/>
      <c r="CX406" s="178"/>
      <c r="CY406" s="178"/>
      <c r="CZ406" s="178"/>
      <c r="DA406" s="150"/>
    </row>
    <row r="407" spans="53:105" x14ac:dyDescent="0.2">
      <c r="BA407" s="518">
        <f t="shared" ca="1" si="31"/>
        <v>61</v>
      </c>
      <c r="BB407" s="174">
        <f t="shared" ca="1" si="32"/>
        <v>344</v>
      </c>
      <c r="BC407" s="525" t="e">
        <f ca="1">MATCH(BD407,OFFSET(Pinlist!$A$2,BC406*(BA407=BA406),0,$BM$23,1),0)+BC406*(BA407=BA406)</f>
        <v>#N/A</v>
      </c>
      <c r="BD407" s="167">
        <f t="shared" ca="1" si="33"/>
        <v>0</v>
      </c>
      <c r="BE407" s="191" t="e">
        <f ca="1">(OFFSET(Pinlist!$E$1,BC407,0)-$BN$16)*$BN$19</f>
        <v>#N/A</v>
      </c>
      <c r="BF407" s="192" t="e">
        <f ca="1">(OFFSET(Pinlist!$F$1,BC407,0)-$BO$16)*$BO$19</f>
        <v>#N/A</v>
      </c>
      <c r="BG407" s="1098" t="str">
        <f ca="1">IF(LEFT(BD407,2)="RF",OFFSET(Pinlist!$D$1,Chart!BC407,0)&amp;"_"&amp;OFFSET(Pinlist!$G$1,Chart!BC407,0),"")</f>
        <v/>
      </c>
      <c r="BH407" s="1098"/>
      <c r="BI407" s="178"/>
      <c r="BJ407" s="178"/>
      <c r="BK407" s="178"/>
      <c r="BL407" s="178"/>
      <c r="BM407" s="178"/>
      <c r="BN407" s="178"/>
      <c r="BO407" s="178"/>
      <c r="BP407" s="178"/>
      <c r="BQ407" s="196"/>
      <c r="BR407" s="196"/>
      <c r="BS407" s="196"/>
      <c r="BT407" s="196"/>
      <c r="BU407" s="196"/>
      <c r="BV407" s="196"/>
      <c r="BW407" s="178"/>
      <c r="BX407" s="196"/>
      <c r="BY407" s="196"/>
      <c r="BZ407" s="196"/>
      <c r="CA407" s="196"/>
      <c r="CB407" s="178"/>
      <c r="CC407" s="178"/>
      <c r="CD407" s="202"/>
      <c r="CE407" s="202"/>
      <c r="CF407" s="178"/>
      <c r="CG407" s="196"/>
      <c r="CH407" s="178"/>
      <c r="CI407" s="178"/>
      <c r="CJ407" s="178"/>
      <c r="CK407" s="178"/>
      <c r="CL407" s="178"/>
      <c r="CM407" s="178"/>
      <c r="CN407" s="178"/>
      <c r="CO407" s="178"/>
      <c r="CP407" s="178"/>
      <c r="CQ407" s="178"/>
      <c r="CR407" s="178"/>
      <c r="CS407" s="178"/>
      <c r="CT407" s="178"/>
      <c r="CU407" s="178"/>
      <c r="CV407" s="178"/>
      <c r="CW407" s="178"/>
      <c r="CX407" s="178"/>
      <c r="CY407" s="178"/>
      <c r="CZ407" s="178"/>
      <c r="DA407" s="150"/>
    </row>
    <row r="408" spans="53:105" x14ac:dyDescent="0.2">
      <c r="BA408" s="518">
        <f t="shared" ca="1" si="31"/>
        <v>61</v>
      </c>
      <c r="BB408" s="174">
        <f t="shared" ca="1" si="32"/>
        <v>345</v>
      </c>
      <c r="BC408" s="525" t="e">
        <f ca="1">MATCH(BD408,OFFSET(Pinlist!$A$2,BC407*(BA408=BA407),0,$BM$23,1),0)+BC407*(BA408=BA407)</f>
        <v>#N/A</v>
      </c>
      <c r="BD408" s="167">
        <f t="shared" ca="1" si="33"/>
        <v>0</v>
      </c>
      <c r="BE408" s="191" t="e">
        <f ca="1">(OFFSET(Pinlist!$E$1,BC408,0)-$BN$16)*$BN$19</f>
        <v>#N/A</v>
      </c>
      <c r="BF408" s="192" t="e">
        <f ca="1">(OFFSET(Pinlist!$F$1,BC408,0)-$BO$16)*$BO$19</f>
        <v>#N/A</v>
      </c>
      <c r="BG408" s="1098" t="str">
        <f ca="1">IF(LEFT(BD408,2)="RF",OFFSET(Pinlist!$D$1,Chart!BC408,0)&amp;"_"&amp;OFFSET(Pinlist!$G$1,Chart!BC408,0),"")</f>
        <v/>
      </c>
      <c r="BH408" s="1098"/>
      <c r="BI408" s="178"/>
      <c r="BJ408" s="178"/>
      <c r="BK408" s="178"/>
      <c r="BL408" s="178"/>
      <c r="BM408" s="178"/>
      <c r="BN408" s="178"/>
      <c r="BO408" s="178"/>
      <c r="BP408" s="178"/>
      <c r="BQ408" s="196"/>
      <c r="BR408" s="196"/>
      <c r="BS408" s="196"/>
      <c r="BT408" s="196"/>
      <c r="BU408" s="196"/>
      <c r="BV408" s="196"/>
      <c r="BW408" s="178"/>
      <c r="BX408" s="196"/>
      <c r="BY408" s="196"/>
      <c r="BZ408" s="196"/>
      <c r="CA408" s="196"/>
      <c r="CB408" s="178"/>
      <c r="CC408" s="178"/>
      <c r="CD408" s="202"/>
      <c r="CE408" s="202"/>
      <c r="CF408" s="178"/>
      <c r="CG408" s="196"/>
      <c r="CH408" s="178"/>
      <c r="CI408" s="178"/>
      <c r="CJ408" s="178"/>
      <c r="CK408" s="178"/>
      <c r="CL408" s="178"/>
      <c r="CM408" s="178"/>
      <c r="CN408" s="178"/>
      <c r="CO408" s="178"/>
      <c r="CP408" s="178"/>
      <c r="CQ408" s="178"/>
      <c r="CR408" s="178"/>
      <c r="CS408" s="178"/>
      <c r="CT408" s="178"/>
      <c r="CU408" s="178"/>
      <c r="CV408" s="178"/>
      <c r="CW408" s="178"/>
      <c r="CX408" s="178"/>
      <c r="CY408" s="178"/>
      <c r="CZ408" s="178"/>
      <c r="DA408" s="150"/>
    </row>
    <row r="409" spans="53:105" x14ac:dyDescent="0.2">
      <c r="BA409" s="518">
        <f t="shared" ca="1" si="31"/>
        <v>61</v>
      </c>
      <c r="BB409" s="174">
        <f t="shared" ca="1" si="32"/>
        <v>346</v>
      </c>
      <c r="BC409" s="525" t="e">
        <f ca="1">MATCH(BD409,OFFSET(Pinlist!$A$2,BC408*(BA409=BA408),0,$BM$23,1),0)+BC408*(BA409=BA408)</f>
        <v>#N/A</v>
      </c>
      <c r="BD409" s="167">
        <f t="shared" ca="1" si="33"/>
        <v>0</v>
      </c>
      <c r="BE409" s="191" t="e">
        <f ca="1">(OFFSET(Pinlist!$E$1,BC409,0)-$BN$16)*$BN$19</f>
        <v>#N/A</v>
      </c>
      <c r="BF409" s="192" t="e">
        <f ca="1">(OFFSET(Pinlist!$F$1,BC409,0)-$BO$16)*$BO$19</f>
        <v>#N/A</v>
      </c>
      <c r="BG409" s="1098" t="str">
        <f ca="1">IF(LEFT(BD409,2)="RF",OFFSET(Pinlist!$D$1,Chart!BC409,0)&amp;"_"&amp;OFFSET(Pinlist!$G$1,Chart!BC409,0),"")</f>
        <v/>
      </c>
      <c r="BH409" s="1098"/>
      <c r="BI409" s="178"/>
      <c r="BJ409" s="178"/>
      <c r="BK409" s="178"/>
      <c r="BL409" s="178"/>
      <c r="BM409" s="178"/>
      <c r="BN409" s="178"/>
      <c r="BO409" s="178"/>
      <c r="BP409" s="178"/>
      <c r="BQ409" s="196"/>
      <c r="BR409" s="196"/>
      <c r="BS409" s="196"/>
      <c r="BT409" s="196"/>
      <c r="BU409" s="196"/>
      <c r="BV409" s="196"/>
      <c r="BW409" s="178"/>
      <c r="BX409" s="196"/>
      <c r="BY409" s="196"/>
      <c r="BZ409" s="196"/>
      <c r="CA409" s="196"/>
      <c r="CB409" s="178"/>
      <c r="CC409" s="178"/>
      <c r="CD409" s="202"/>
      <c r="CE409" s="202"/>
      <c r="CF409" s="178"/>
      <c r="CG409" s="196"/>
      <c r="CH409" s="178"/>
      <c r="CI409" s="178"/>
      <c r="CJ409" s="178"/>
      <c r="CK409" s="178"/>
      <c r="CL409" s="178"/>
      <c r="CM409" s="178"/>
      <c r="CN409" s="178"/>
      <c r="CO409" s="178"/>
      <c r="CP409" s="178"/>
      <c r="CQ409" s="178"/>
      <c r="CR409" s="178"/>
      <c r="CS409" s="178"/>
      <c r="CT409" s="178"/>
      <c r="CU409" s="178"/>
      <c r="CV409" s="178"/>
      <c r="CW409" s="178"/>
      <c r="CX409" s="178"/>
      <c r="CY409" s="178"/>
      <c r="CZ409" s="178"/>
      <c r="DA409" s="150"/>
    </row>
    <row r="410" spans="53:105" x14ac:dyDescent="0.2">
      <c r="BA410" s="518">
        <f t="shared" ca="1" si="31"/>
        <v>61</v>
      </c>
      <c r="BB410" s="174">
        <f t="shared" ca="1" si="32"/>
        <v>347</v>
      </c>
      <c r="BC410" s="525" t="e">
        <f ca="1">MATCH(BD410,OFFSET(Pinlist!$A$2,BC409*(BA410=BA409),0,$BM$23,1),0)+BC409*(BA410=BA409)</f>
        <v>#N/A</v>
      </c>
      <c r="BD410" s="167">
        <f t="shared" ca="1" si="33"/>
        <v>0</v>
      </c>
      <c r="BE410" s="191" t="e">
        <f ca="1">(OFFSET(Pinlist!$E$1,BC410,0)-$BN$16)*$BN$19</f>
        <v>#N/A</v>
      </c>
      <c r="BF410" s="192" t="e">
        <f ca="1">(OFFSET(Pinlist!$F$1,BC410,0)-$BO$16)*$BO$19</f>
        <v>#N/A</v>
      </c>
      <c r="BG410" s="1098" t="str">
        <f ca="1">IF(LEFT(BD410,2)="RF",OFFSET(Pinlist!$D$1,Chart!BC410,0)&amp;"_"&amp;OFFSET(Pinlist!$G$1,Chart!BC410,0),"")</f>
        <v/>
      </c>
      <c r="BH410" s="1098"/>
      <c r="BI410" s="178"/>
      <c r="BJ410" s="178"/>
      <c r="BK410" s="178"/>
      <c r="BL410" s="178"/>
      <c r="BM410" s="178"/>
      <c r="BN410" s="178"/>
      <c r="BO410" s="178"/>
      <c r="BP410" s="178"/>
      <c r="BQ410" s="196"/>
      <c r="BR410" s="196"/>
      <c r="BS410" s="196"/>
      <c r="BT410" s="196"/>
      <c r="BU410" s="196"/>
      <c r="BV410" s="196"/>
      <c r="BW410" s="178"/>
      <c r="BX410" s="196"/>
      <c r="BY410" s="196"/>
      <c r="BZ410" s="196"/>
      <c r="CA410" s="196"/>
      <c r="CB410" s="178"/>
      <c r="CC410" s="178"/>
      <c r="CD410" s="202"/>
      <c r="CE410" s="202"/>
      <c r="CF410" s="178"/>
      <c r="CG410" s="196"/>
      <c r="CH410" s="178"/>
      <c r="CI410" s="178"/>
      <c r="CJ410" s="178"/>
      <c r="CK410" s="178"/>
      <c r="CL410" s="178"/>
      <c r="CM410" s="178"/>
      <c r="CN410" s="178"/>
      <c r="CO410" s="178"/>
      <c r="CP410" s="178"/>
      <c r="CQ410" s="178"/>
      <c r="CR410" s="178"/>
      <c r="CS410" s="178"/>
      <c r="CT410" s="178"/>
      <c r="CU410" s="178"/>
      <c r="CV410" s="178"/>
      <c r="CW410" s="178"/>
      <c r="CX410" s="178"/>
      <c r="CY410" s="178"/>
      <c r="CZ410" s="178"/>
      <c r="DA410" s="150"/>
    </row>
    <row r="411" spans="53:105" x14ac:dyDescent="0.2">
      <c r="BA411" s="518">
        <f t="shared" ca="1" si="31"/>
        <v>61</v>
      </c>
      <c r="BB411" s="174">
        <f t="shared" ca="1" si="32"/>
        <v>348</v>
      </c>
      <c r="BC411" s="525" t="e">
        <f ca="1">MATCH(BD411,OFFSET(Pinlist!$A$2,BC410*(BA411=BA410),0,$BM$23,1),0)+BC410*(BA411=BA410)</f>
        <v>#N/A</v>
      </c>
      <c r="BD411" s="167">
        <f t="shared" ca="1" si="33"/>
        <v>0</v>
      </c>
      <c r="BE411" s="191" t="e">
        <f ca="1">(OFFSET(Pinlist!$E$1,BC411,0)-$BN$16)*$BN$19</f>
        <v>#N/A</v>
      </c>
      <c r="BF411" s="192" t="e">
        <f ca="1">(OFFSET(Pinlist!$F$1,BC411,0)-$BO$16)*$BO$19</f>
        <v>#N/A</v>
      </c>
      <c r="BG411" s="1098" t="str">
        <f ca="1">IF(LEFT(BD411,2)="RF",OFFSET(Pinlist!$D$1,Chart!BC411,0)&amp;"_"&amp;OFFSET(Pinlist!$G$1,Chart!BC411,0),"")</f>
        <v/>
      </c>
      <c r="BH411" s="1098"/>
      <c r="BI411" s="178"/>
      <c r="BJ411" s="178"/>
      <c r="BK411" s="178"/>
      <c r="BL411" s="178"/>
      <c r="BM411" s="178"/>
      <c r="BN411" s="178"/>
      <c r="BO411" s="178"/>
      <c r="BP411" s="178"/>
      <c r="BQ411" s="196"/>
      <c r="BR411" s="196"/>
      <c r="BS411" s="196"/>
      <c r="BT411" s="196"/>
      <c r="BU411" s="196"/>
      <c r="BV411" s="196"/>
      <c r="BW411" s="178"/>
      <c r="BX411" s="196"/>
      <c r="BY411" s="196"/>
      <c r="BZ411" s="196"/>
      <c r="CA411" s="196"/>
      <c r="CB411" s="178"/>
      <c r="CC411" s="178"/>
      <c r="CD411" s="202"/>
      <c r="CE411" s="202"/>
      <c r="CF411" s="178"/>
      <c r="CG411" s="196"/>
      <c r="CH411" s="178"/>
      <c r="CI411" s="178"/>
      <c r="CJ411" s="178"/>
      <c r="CK411" s="178"/>
      <c r="CL411" s="178"/>
      <c r="CM411" s="178"/>
      <c r="CN411" s="178"/>
      <c r="CO411" s="178"/>
      <c r="CP411" s="178"/>
      <c r="CQ411" s="178"/>
      <c r="CR411" s="178"/>
      <c r="CS411" s="178"/>
      <c r="CT411" s="178"/>
      <c r="CU411" s="178"/>
      <c r="CV411" s="178"/>
      <c r="CW411" s="178"/>
      <c r="CX411" s="178"/>
      <c r="CY411" s="178"/>
      <c r="CZ411" s="178"/>
      <c r="DA411" s="150"/>
    </row>
    <row r="412" spans="53:105" x14ac:dyDescent="0.2">
      <c r="BA412" s="518">
        <f t="shared" ca="1" si="31"/>
        <v>61</v>
      </c>
      <c r="BB412" s="174">
        <f t="shared" ca="1" si="32"/>
        <v>349</v>
      </c>
      <c r="BC412" s="525" t="e">
        <f ca="1">MATCH(BD412,OFFSET(Pinlist!$A$2,BC411*(BA412=BA411),0,$BM$23,1),0)+BC411*(BA412=BA411)</f>
        <v>#N/A</v>
      </c>
      <c r="BD412" s="167">
        <f t="shared" ca="1" si="33"/>
        <v>0</v>
      </c>
      <c r="BE412" s="191" t="e">
        <f ca="1">(OFFSET(Pinlist!$E$1,BC412,0)-$BN$16)*$BN$19</f>
        <v>#N/A</v>
      </c>
      <c r="BF412" s="192" t="e">
        <f ca="1">(OFFSET(Pinlist!$F$1,BC412,0)-$BO$16)*$BO$19</f>
        <v>#N/A</v>
      </c>
      <c r="BG412" s="1098" t="str">
        <f ca="1">IF(LEFT(BD412,2)="RF",OFFSET(Pinlist!$D$1,Chart!BC412,0)&amp;"_"&amp;OFFSET(Pinlist!$G$1,Chart!BC412,0),"")</f>
        <v/>
      </c>
      <c r="BH412" s="1098"/>
      <c r="BI412" s="178"/>
      <c r="BJ412" s="178"/>
      <c r="BK412" s="178"/>
      <c r="BL412" s="178"/>
      <c r="BM412" s="178"/>
      <c r="BN412" s="178"/>
      <c r="BO412" s="178"/>
      <c r="BP412" s="178"/>
      <c r="BQ412" s="196"/>
      <c r="BR412" s="196"/>
      <c r="BS412" s="196"/>
      <c r="BT412" s="196"/>
      <c r="BU412" s="196"/>
      <c r="BV412" s="196"/>
      <c r="BW412" s="178"/>
      <c r="BX412" s="196"/>
      <c r="BY412" s="196"/>
      <c r="BZ412" s="196"/>
      <c r="CA412" s="196"/>
      <c r="CB412" s="178"/>
      <c r="CC412" s="178"/>
      <c r="CD412" s="202"/>
      <c r="CE412" s="202"/>
      <c r="CF412" s="178"/>
      <c r="CG412" s="196"/>
      <c r="CH412" s="178"/>
      <c r="CI412" s="178"/>
      <c r="CJ412" s="178"/>
      <c r="CK412" s="178"/>
      <c r="CL412" s="178"/>
      <c r="CM412" s="178"/>
      <c r="CN412" s="178"/>
      <c r="CO412" s="178"/>
      <c r="CP412" s="178"/>
      <c r="CQ412" s="178"/>
      <c r="CR412" s="178"/>
      <c r="CS412" s="178"/>
      <c r="CT412" s="178"/>
      <c r="CU412" s="178"/>
      <c r="CV412" s="178"/>
      <c r="CW412" s="178"/>
      <c r="CX412" s="178"/>
      <c r="CY412" s="178"/>
      <c r="CZ412" s="178"/>
      <c r="DA412" s="150"/>
    </row>
    <row r="413" spans="53:105" x14ac:dyDescent="0.2">
      <c r="BA413" s="518">
        <f t="shared" ca="1" si="31"/>
        <v>61</v>
      </c>
      <c r="BB413" s="174">
        <f t="shared" ca="1" si="32"/>
        <v>350</v>
      </c>
      <c r="BC413" s="525" t="e">
        <f ca="1">MATCH(BD413,OFFSET(Pinlist!$A$2,BC412*(BA413=BA412),0,$BM$23,1),0)+BC412*(BA413=BA412)</f>
        <v>#N/A</v>
      </c>
      <c r="BD413" s="167">
        <f t="shared" ca="1" si="33"/>
        <v>0</v>
      </c>
      <c r="BE413" s="191" t="e">
        <f ca="1">(OFFSET(Pinlist!$E$1,BC413,0)-$BN$16)*$BN$19</f>
        <v>#N/A</v>
      </c>
      <c r="BF413" s="192" t="e">
        <f ca="1">(OFFSET(Pinlist!$F$1,BC413,0)-$BO$16)*$BO$19</f>
        <v>#N/A</v>
      </c>
      <c r="BG413" s="1098" t="str">
        <f ca="1">IF(LEFT(BD413,2)="RF",OFFSET(Pinlist!$D$1,Chart!BC413,0)&amp;"_"&amp;OFFSET(Pinlist!$G$1,Chart!BC413,0),"")</f>
        <v/>
      </c>
      <c r="BH413" s="1098"/>
      <c r="BI413" s="178"/>
      <c r="BJ413" s="178"/>
      <c r="BK413" s="178"/>
      <c r="BL413" s="178"/>
      <c r="BM413" s="178"/>
      <c r="BN413" s="178"/>
      <c r="BO413" s="178"/>
      <c r="BP413" s="178"/>
      <c r="BQ413" s="196"/>
      <c r="BR413" s="196"/>
      <c r="BS413" s="196"/>
      <c r="BT413" s="196"/>
      <c r="BU413" s="196"/>
      <c r="BV413" s="196"/>
      <c r="BW413" s="178"/>
      <c r="BX413" s="196"/>
      <c r="BY413" s="196"/>
      <c r="BZ413" s="196"/>
      <c r="CA413" s="196"/>
      <c r="CB413" s="178"/>
      <c r="CC413" s="178"/>
      <c r="CD413" s="202"/>
      <c r="CE413" s="202"/>
      <c r="CF413" s="178"/>
      <c r="CG413" s="196"/>
      <c r="CH413" s="178"/>
      <c r="CI413" s="178"/>
      <c r="CJ413" s="178"/>
      <c r="CK413" s="178"/>
      <c r="CL413" s="178"/>
      <c r="CM413" s="178"/>
      <c r="CN413" s="178"/>
      <c r="CO413" s="178"/>
      <c r="CP413" s="178"/>
      <c r="CQ413" s="178"/>
      <c r="CR413" s="178"/>
      <c r="CS413" s="178"/>
      <c r="CT413" s="178"/>
      <c r="CU413" s="178"/>
      <c r="CV413" s="178"/>
      <c r="CW413" s="178"/>
      <c r="CX413" s="178"/>
      <c r="CY413" s="178"/>
      <c r="CZ413" s="178"/>
      <c r="DA413" s="150"/>
    </row>
    <row r="414" spans="53:105" x14ac:dyDescent="0.2">
      <c r="BA414" s="518">
        <f t="shared" ca="1" si="31"/>
        <v>61</v>
      </c>
      <c r="BB414" s="174">
        <f t="shared" ca="1" si="32"/>
        <v>351</v>
      </c>
      <c r="BC414" s="525" t="e">
        <f ca="1">MATCH(BD414,OFFSET(Pinlist!$A$2,BC413*(BA414=BA413),0,$BM$23,1),0)+BC413*(BA414=BA413)</f>
        <v>#N/A</v>
      </c>
      <c r="BD414" s="167">
        <f t="shared" ca="1" si="33"/>
        <v>0</v>
      </c>
      <c r="BE414" s="191" t="e">
        <f ca="1">(OFFSET(Pinlist!$E$1,BC414,0)-$BN$16)*$BN$19</f>
        <v>#N/A</v>
      </c>
      <c r="BF414" s="192" t="e">
        <f ca="1">(OFFSET(Pinlist!$F$1,BC414,0)-$BO$16)*$BO$19</f>
        <v>#N/A</v>
      </c>
      <c r="BG414" s="1098" t="str">
        <f ca="1">IF(LEFT(BD414,2)="RF",OFFSET(Pinlist!$D$1,Chart!BC414,0)&amp;"_"&amp;OFFSET(Pinlist!$G$1,Chart!BC414,0),"")</f>
        <v/>
      </c>
      <c r="BH414" s="1098"/>
      <c r="BI414" s="178"/>
      <c r="BJ414" s="178"/>
      <c r="BK414" s="178"/>
      <c r="BL414" s="178"/>
      <c r="BM414" s="178"/>
      <c r="BN414" s="178"/>
      <c r="BO414" s="178"/>
      <c r="BP414" s="178"/>
      <c r="BQ414" s="196"/>
      <c r="BR414" s="196"/>
      <c r="BS414" s="196"/>
      <c r="BT414" s="196"/>
      <c r="BU414" s="196"/>
      <c r="BV414" s="196"/>
      <c r="BW414" s="178"/>
      <c r="BX414" s="196"/>
      <c r="BY414" s="196"/>
      <c r="BZ414" s="196"/>
      <c r="CA414" s="196"/>
      <c r="CB414" s="178"/>
      <c r="CC414" s="178"/>
      <c r="CD414" s="202"/>
      <c r="CE414" s="202"/>
      <c r="CF414" s="178"/>
      <c r="CG414" s="196"/>
      <c r="CH414" s="178"/>
      <c r="CI414" s="178"/>
      <c r="CJ414" s="178"/>
      <c r="CK414" s="178"/>
      <c r="CL414" s="178"/>
      <c r="CM414" s="178"/>
      <c r="CN414" s="178"/>
      <c r="CO414" s="178"/>
      <c r="CP414" s="178"/>
      <c r="CQ414" s="178"/>
      <c r="CR414" s="178"/>
      <c r="CS414" s="178"/>
      <c r="CT414" s="178"/>
      <c r="CU414" s="178"/>
      <c r="CV414" s="178"/>
      <c r="CW414" s="178"/>
      <c r="CX414" s="178"/>
      <c r="CY414" s="178"/>
      <c r="CZ414" s="178"/>
      <c r="DA414" s="150"/>
    </row>
    <row r="415" spans="53:105" x14ac:dyDescent="0.2">
      <c r="BA415" s="518">
        <f t="shared" ca="1" si="31"/>
        <v>61</v>
      </c>
      <c r="BB415" s="174">
        <f t="shared" ca="1" si="32"/>
        <v>352</v>
      </c>
      <c r="BC415" s="525" t="e">
        <f ca="1">MATCH(BD415,OFFSET(Pinlist!$A$2,BC414*(BA415=BA414),0,$BM$23,1),0)+BC414*(BA415=BA414)</f>
        <v>#N/A</v>
      </c>
      <c r="BD415" s="167">
        <f t="shared" ca="1" si="33"/>
        <v>0</v>
      </c>
      <c r="BE415" s="191" t="e">
        <f ca="1">(OFFSET(Pinlist!$E$1,BC415,0)-$BN$16)*$BN$19</f>
        <v>#N/A</v>
      </c>
      <c r="BF415" s="192" t="e">
        <f ca="1">(OFFSET(Pinlist!$F$1,BC415,0)-$BO$16)*$BO$19</f>
        <v>#N/A</v>
      </c>
      <c r="BG415" s="1098" t="str">
        <f ca="1">IF(LEFT(BD415,2)="RF",OFFSET(Pinlist!$D$1,Chart!BC415,0)&amp;"_"&amp;OFFSET(Pinlist!$G$1,Chart!BC415,0),"")</f>
        <v/>
      </c>
      <c r="BH415" s="1098"/>
      <c r="BI415" s="178"/>
      <c r="BJ415" s="178"/>
      <c r="BK415" s="178"/>
      <c r="BL415" s="178"/>
      <c r="BM415" s="178"/>
      <c r="BN415" s="178"/>
      <c r="BO415" s="178"/>
      <c r="BP415" s="178"/>
      <c r="BQ415" s="196"/>
      <c r="BR415" s="196"/>
      <c r="BS415" s="196"/>
      <c r="BT415" s="196"/>
      <c r="BU415" s="196"/>
      <c r="BV415" s="196"/>
      <c r="BW415" s="178"/>
      <c r="BX415" s="196"/>
      <c r="BY415" s="196"/>
      <c r="BZ415" s="196"/>
      <c r="CA415" s="196"/>
      <c r="CB415" s="178"/>
      <c r="CC415" s="178"/>
      <c r="CD415" s="202"/>
      <c r="CE415" s="202"/>
      <c r="CF415" s="178"/>
      <c r="CG415" s="196"/>
      <c r="CH415" s="178"/>
      <c r="CI415" s="178"/>
      <c r="CJ415" s="178"/>
      <c r="CK415" s="178"/>
      <c r="CL415" s="178"/>
      <c r="CM415" s="178"/>
      <c r="CN415" s="178"/>
      <c r="CO415" s="178"/>
      <c r="CP415" s="178"/>
      <c r="CQ415" s="178"/>
      <c r="CR415" s="178"/>
      <c r="CS415" s="178"/>
      <c r="CT415" s="178"/>
      <c r="CU415" s="178"/>
      <c r="CV415" s="178"/>
      <c r="CW415" s="178"/>
      <c r="CX415" s="178"/>
      <c r="CY415" s="178"/>
      <c r="CZ415" s="178"/>
      <c r="DA415" s="150"/>
    </row>
    <row r="416" spans="53:105" x14ac:dyDescent="0.2">
      <c r="BA416" s="518">
        <f t="shared" ca="1" si="31"/>
        <v>61</v>
      </c>
      <c r="BB416" s="174">
        <f t="shared" ca="1" si="32"/>
        <v>353</v>
      </c>
      <c r="BC416" s="525" t="e">
        <f ca="1">MATCH(BD416,OFFSET(Pinlist!$A$2,BC415*(BA416=BA415),0,$BM$23,1),0)+BC415*(BA416=BA415)</f>
        <v>#N/A</v>
      </c>
      <c r="BD416" s="167">
        <f t="shared" ca="1" si="33"/>
        <v>0</v>
      </c>
      <c r="BE416" s="191" t="e">
        <f ca="1">(OFFSET(Pinlist!$E$1,BC416,0)-$BN$16)*$BN$19</f>
        <v>#N/A</v>
      </c>
      <c r="BF416" s="192" t="e">
        <f ca="1">(OFFSET(Pinlist!$F$1,BC416,0)-$BO$16)*$BO$19</f>
        <v>#N/A</v>
      </c>
      <c r="BG416" s="1098" t="str">
        <f ca="1">IF(LEFT(BD416,2)="RF",OFFSET(Pinlist!$D$1,Chart!BC416,0)&amp;"_"&amp;OFFSET(Pinlist!$G$1,Chart!BC416,0),"")</f>
        <v/>
      </c>
      <c r="BH416" s="1098"/>
      <c r="BI416" s="178"/>
      <c r="BJ416" s="178"/>
      <c r="BK416" s="178"/>
      <c r="BL416" s="178"/>
      <c r="BM416" s="178"/>
      <c r="BN416" s="178"/>
      <c r="BO416" s="178"/>
      <c r="BP416" s="178"/>
      <c r="BQ416" s="196"/>
      <c r="BR416" s="196"/>
      <c r="BS416" s="196"/>
      <c r="BT416" s="196"/>
      <c r="BU416" s="196"/>
      <c r="BV416" s="196"/>
      <c r="BW416" s="178"/>
      <c r="BX416" s="196"/>
      <c r="BY416" s="196"/>
      <c r="BZ416" s="196"/>
      <c r="CA416" s="196"/>
      <c r="CB416" s="178"/>
      <c r="CC416" s="178"/>
      <c r="CD416" s="202"/>
      <c r="CE416" s="202"/>
      <c r="CF416" s="178"/>
      <c r="CG416" s="196"/>
      <c r="CH416" s="178"/>
      <c r="CI416" s="178"/>
      <c r="CJ416" s="178"/>
      <c r="CK416" s="178"/>
      <c r="CL416" s="178"/>
      <c r="CM416" s="178"/>
      <c r="CN416" s="178"/>
      <c r="CO416" s="178"/>
      <c r="CP416" s="178"/>
      <c r="CQ416" s="178"/>
      <c r="CR416" s="178"/>
      <c r="CS416" s="178"/>
      <c r="CT416" s="178"/>
      <c r="CU416" s="178"/>
      <c r="CV416" s="178"/>
      <c r="CW416" s="178"/>
      <c r="CX416" s="178"/>
      <c r="CY416" s="178"/>
      <c r="CZ416" s="178"/>
      <c r="DA416" s="150"/>
    </row>
    <row r="417" spans="53:105" x14ac:dyDescent="0.2">
      <c r="BA417" s="518">
        <f t="shared" ca="1" si="31"/>
        <v>61</v>
      </c>
      <c r="BB417" s="174">
        <f t="shared" ca="1" si="32"/>
        <v>354</v>
      </c>
      <c r="BC417" s="525" t="e">
        <f ca="1">MATCH(BD417,OFFSET(Pinlist!$A$2,BC416*(BA417=BA416),0,$BM$23,1),0)+BC416*(BA417=BA416)</f>
        <v>#N/A</v>
      </c>
      <c r="BD417" s="167">
        <f t="shared" ca="1" si="33"/>
        <v>0</v>
      </c>
      <c r="BE417" s="191" t="e">
        <f ca="1">(OFFSET(Pinlist!$E$1,BC417,0)-$BN$16)*$BN$19</f>
        <v>#N/A</v>
      </c>
      <c r="BF417" s="192" t="e">
        <f ca="1">(OFFSET(Pinlist!$F$1,BC417,0)-$BO$16)*$BO$19</f>
        <v>#N/A</v>
      </c>
      <c r="BG417" s="1098" t="str">
        <f ca="1">IF(LEFT(BD417,2)="RF",OFFSET(Pinlist!$D$1,Chart!BC417,0)&amp;"_"&amp;OFFSET(Pinlist!$G$1,Chart!BC417,0),"")</f>
        <v/>
      </c>
      <c r="BH417" s="1098"/>
      <c r="BI417" s="178"/>
      <c r="BJ417" s="178"/>
      <c r="BK417" s="178"/>
      <c r="BL417" s="178"/>
      <c r="BM417" s="178"/>
      <c r="BN417" s="178"/>
      <c r="BO417" s="178"/>
      <c r="BP417" s="178"/>
      <c r="BQ417" s="196"/>
      <c r="BR417" s="196"/>
      <c r="BS417" s="196"/>
      <c r="BT417" s="196"/>
      <c r="BU417" s="196"/>
      <c r="BV417" s="196"/>
      <c r="BW417" s="178"/>
      <c r="BX417" s="196"/>
      <c r="BY417" s="196"/>
      <c r="BZ417" s="196"/>
      <c r="CA417" s="196"/>
      <c r="CB417" s="178"/>
      <c r="CC417" s="178"/>
      <c r="CD417" s="202"/>
      <c r="CE417" s="202"/>
      <c r="CF417" s="178"/>
      <c r="CG417" s="196"/>
      <c r="CH417" s="178"/>
      <c r="CI417" s="178"/>
      <c r="CJ417" s="178"/>
      <c r="CK417" s="178"/>
      <c r="CL417" s="178"/>
      <c r="CM417" s="178"/>
      <c r="CN417" s="178"/>
      <c r="CO417" s="178"/>
      <c r="CP417" s="178"/>
      <c r="CQ417" s="178"/>
      <c r="CR417" s="178"/>
      <c r="CS417" s="178"/>
      <c r="CT417" s="178"/>
      <c r="CU417" s="178"/>
      <c r="CV417" s="178"/>
      <c r="CW417" s="178"/>
      <c r="CX417" s="178"/>
      <c r="CY417" s="178"/>
      <c r="CZ417" s="178"/>
      <c r="DA417" s="150"/>
    </row>
    <row r="418" spans="53:105" x14ac:dyDescent="0.2">
      <c r="BA418" s="518">
        <f t="shared" ca="1" si="31"/>
        <v>61</v>
      </c>
      <c r="BB418" s="174">
        <f t="shared" ca="1" si="32"/>
        <v>355</v>
      </c>
      <c r="BC418" s="525" t="e">
        <f ca="1">MATCH(BD418,OFFSET(Pinlist!$A$2,BC417*(BA418=BA417),0,$BM$23,1),0)+BC417*(BA418=BA417)</f>
        <v>#N/A</v>
      </c>
      <c r="BD418" s="167">
        <f t="shared" ca="1" si="33"/>
        <v>0</v>
      </c>
      <c r="BE418" s="191" t="e">
        <f ca="1">(OFFSET(Pinlist!$E$1,BC418,0)-$BN$16)*$BN$19</f>
        <v>#N/A</v>
      </c>
      <c r="BF418" s="192" t="e">
        <f ca="1">(OFFSET(Pinlist!$F$1,BC418,0)-$BO$16)*$BO$19</f>
        <v>#N/A</v>
      </c>
      <c r="BG418" s="1098" t="str">
        <f ca="1">IF(LEFT(BD418,2)="RF",OFFSET(Pinlist!$D$1,Chart!BC418,0)&amp;"_"&amp;OFFSET(Pinlist!$G$1,Chart!BC418,0),"")</f>
        <v/>
      </c>
      <c r="BH418" s="1098"/>
      <c r="BI418" s="178"/>
      <c r="BJ418" s="178"/>
      <c r="BK418" s="178"/>
      <c r="BL418" s="178"/>
      <c r="BM418" s="178"/>
      <c r="BN418" s="178"/>
      <c r="BO418" s="178"/>
      <c r="BP418" s="178"/>
      <c r="BQ418" s="196"/>
      <c r="BR418" s="196"/>
      <c r="BS418" s="196"/>
      <c r="BT418" s="196"/>
      <c r="BU418" s="196"/>
      <c r="BV418" s="196"/>
      <c r="BW418" s="178"/>
      <c r="BX418" s="196"/>
      <c r="BY418" s="196"/>
      <c r="BZ418" s="196"/>
      <c r="CA418" s="196"/>
      <c r="CB418" s="178"/>
      <c r="CC418" s="178"/>
      <c r="CD418" s="202"/>
      <c r="CE418" s="202"/>
      <c r="CF418" s="178"/>
      <c r="CG418" s="196"/>
      <c r="CH418" s="178"/>
      <c r="CI418" s="178"/>
      <c r="CJ418" s="178"/>
      <c r="CK418" s="178"/>
      <c r="CL418" s="178"/>
      <c r="CM418" s="178"/>
      <c r="CN418" s="178"/>
      <c r="CO418" s="178"/>
      <c r="CP418" s="178"/>
      <c r="CQ418" s="178"/>
      <c r="CR418" s="178"/>
      <c r="CS418" s="178"/>
      <c r="CT418" s="178"/>
      <c r="CU418" s="178"/>
      <c r="CV418" s="178"/>
      <c r="CW418" s="178"/>
      <c r="CX418" s="178"/>
      <c r="CY418" s="178"/>
      <c r="CZ418" s="178"/>
      <c r="DA418" s="150"/>
    </row>
    <row r="419" spans="53:105" x14ac:dyDescent="0.2">
      <c r="BA419" s="518">
        <f t="shared" ca="1" si="31"/>
        <v>61</v>
      </c>
      <c r="BB419" s="174">
        <f t="shared" ca="1" si="32"/>
        <v>356</v>
      </c>
      <c r="BC419" s="525" t="e">
        <f ca="1">MATCH(BD419,OFFSET(Pinlist!$A$2,BC418*(BA419=BA418),0,$BM$23,1),0)+BC418*(BA419=BA418)</f>
        <v>#N/A</v>
      </c>
      <c r="BD419" s="167">
        <f t="shared" ca="1" si="33"/>
        <v>0</v>
      </c>
      <c r="BE419" s="191" t="e">
        <f ca="1">(OFFSET(Pinlist!$E$1,BC419,0)-$BN$16)*$BN$19</f>
        <v>#N/A</v>
      </c>
      <c r="BF419" s="192" t="e">
        <f ca="1">(OFFSET(Pinlist!$F$1,BC419,0)-$BO$16)*$BO$19</f>
        <v>#N/A</v>
      </c>
      <c r="BG419" s="1098" t="str">
        <f ca="1">IF(LEFT(BD419,2)="RF",OFFSET(Pinlist!$D$1,Chart!BC419,0)&amp;"_"&amp;OFFSET(Pinlist!$G$1,Chart!BC419,0),"")</f>
        <v/>
      </c>
      <c r="BH419" s="1098"/>
      <c r="BI419" s="178"/>
      <c r="BJ419" s="178"/>
      <c r="BK419" s="178"/>
      <c r="BL419" s="178"/>
      <c r="BM419" s="178"/>
      <c r="BN419" s="178"/>
      <c r="BO419" s="178"/>
      <c r="BP419" s="178"/>
      <c r="BQ419" s="196"/>
      <c r="BR419" s="196"/>
      <c r="BS419" s="196"/>
      <c r="BT419" s="196"/>
      <c r="BU419" s="196"/>
      <c r="BV419" s="196"/>
      <c r="BW419" s="178"/>
      <c r="BX419" s="196"/>
      <c r="BY419" s="196"/>
      <c r="BZ419" s="196"/>
      <c r="CA419" s="196"/>
      <c r="CB419" s="178"/>
      <c r="CC419" s="178"/>
      <c r="CD419" s="202"/>
      <c r="CE419" s="202"/>
      <c r="CF419" s="178"/>
      <c r="CG419" s="196"/>
      <c r="CH419" s="178"/>
      <c r="CI419" s="178"/>
      <c r="CJ419" s="178"/>
      <c r="CK419" s="178"/>
      <c r="CL419" s="178"/>
      <c r="CM419" s="178"/>
      <c r="CN419" s="178"/>
      <c r="CO419" s="178"/>
      <c r="CP419" s="178"/>
      <c r="CQ419" s="178"/>
      <c r="CR419" s="178"/>
      <c r="CS419" s="178"/>
      <c r="CT419" s="178"/>
      <c r="CU419" s="178"/>
      <c r="CV419" s="178"/>
      <c r="CW419" s="178"/>
      <c r="CX419" s="178"/>
      <c r="CY419" s="178"/>
      <c r="CZ419" s="178"/>
      <c r="DA419" s="150"/>
    </row>
    <row r="420" spans="53:105" x14ac:dyDescent="0.2">
      <c r="BA420" s="518">
        <f t="shared" ca="1" si="31"/>
        <v>61</v>
      </c>
      <c r="BB420" s="174">
        <f t="shared" ca="1" si="32"/>
        <v>357</v>
      </c>
      <c r="BC420" s="525" t="e">
        <f ca="1">MATCH(BD420,OFFSET(Pinlist!$A$2,BC419*(BA420=BA419),0,$BM$23,1),0)+BC419*(BA420=BA419)</f>
        <v>#N/A</v>
      </c>
      <c r="BD420" s="167">
        <f t="shared" ca="1" si="33"/>
        <v>0</v>
      </c>
      <c r="BE420" s="191" t="e">
        <f ca="1">(OFFSET(Pinlist!$E$1,BC420,0)-$BN$16)*$BN$19</f>
        <v>#N/A</v>
      </c>
      <c r="BF420" s="192" t="e">
        <f ca="1">(OFFSET(Pinlist!$F$1,BC420,0)-$BO$16)*$BO$19</f>
        <v>#N/A</v>
      </c>
      <c r="BG420" s="1098" t="str">
        <f ca="1">IF(LEFT(BD420,2)="RF",OFFSET(Pinlist!$D$1,Chart!BC420,0)&amp;"_"&amp;OFFSET(Pinlist!$G$1,Chart!BC420,0),"")</f>
        <v/>
      </c>
      <c r="BH420" s="1098"/>
      <c r="BI420" s="178"/>
      <c r="BJ420" s="178"/>
      <c r="BK420" s="178"/>
      <c r="BL420" s="178"/>
      <c r="BM420" s="178"/>
      <c r="BN420" s="178"/>
      <c r="BO420" s="178"/>
      <c r="BP420" s="178"/>
      <c r="BQ420" s="196"/>
      <c r="BR420" s="196"/>
      <c r="BS420" s="196"/>
      <c r="BT420" s="196"/>
      <c r="BU420" s="196"/>
      <c r="BV420" s="196"/>
      <c r="BW420" s="178"/>
      <c r="BX420" s="196"/>
      <c r="BY420" s="196"/>
      <c r="BZ420" s="196"/>
      <c r="CA420" s="196"/>
      <c r="CB420" s="178"/>
      <c r="CC420" s="178"/>
      <c r="CD420" s="202"/>
      <c r="CE420" s="202"/>
      <c r="CF420" s="178"/>
      <c r="CG420" s="196"/>
      <c r="CH420" s="178"/>
      <c r="CI420" s="178"/>
      <c r="CJ420" s="178"/>
      <c r="CK420" s="178"/>
      <c r="CL420" s="178"/>
      <c r="CM420" s="178"/>
      <c r="CN420" s="178"/>
      <c r="CO420" s="178"/>
      <c r="CP420" s="178"/>
      <c r="CQ420" s="178"/>
      <c r="CR420" s="178"/>
      <c r="CS420" s="178"/>
      <c r="CT420" s="178"/>
      <c r="CU420" s="178"/>
      <c r="CV420" s="178"/>
      <c r="CW420" s="178"/>
      <c r="CX420" s="178"/>
      <c r="CY420" s="178"/>
      <c r="CZ420" s="178"/>
      <c r="DA420" s="150"/>
    </row>
    <row r="421" spans="53:105" x14ac:dyDescent="0.2">
      <c r="BA421" s="518">
        <f t="shared" ca="1" si="31"/>
        <v>61</v>
      </c>
      <c r="BB421" s="174">
        <f t="shared" ca="1" si="32"/>
        <v>358</v>
      </c>
      <c r="BC421" s="525" t="e">
        <f ca="1">MATCH(BD421,OFFSET(Pinlist!$A$2,BC420*(BA421=BA420),0,$BM$23,1),0)+BC420*(BA421=BA420)</f>
        <v>#N/A</v>
      </c>
      <c r="BD421" s="167">
        <f t="shared" ca="1" si="33"/>
        <v>0</v>
      </c>
      <c r="BE421" s="191" t="e">
        <f ca="1">(OFFSET(Pinlist!$E$1,BC421,0)-$BN$16)*$BN$19</f>
        <v>#N/A</v>
      </c>
      <c r="BF421" s="192" t="e">
        <f ca="1">(OFFSET(Pinlist!$F$1,BC421,0)-$BO$16)*$BO$19</f>
        <v>#N/A</v>
      </c>
      <c r="BG421" s="1098" t="str">
        <f ca="1">IF(LEFT(BD421,2)="RF",OFFSET(Pinlist!$D$1,Chart!BC421,0)&amp;"_"&amp;OFFSET(Pinlist!$G$1,Chart!BC421,0),"")</f>
        <v/>
      </c>
      <c r="BH421" s="1098"/>
      <c r="BI421" s="178"/>
      <c r="BJ421" s="178"/>
      <c r="BK421" s="178"/>
      <c r="BL421" s="178"/>
      <c r="BM421" s="178"/>
      <c r="BN421" s="178"/>
      <c r="BO421" s="178"/>
      <c r="BP421" s="178"/>
      <c r="BQ421" s="196"/>
      <c r="BR421" s="196"/>
      <c r="BS421" s="196"/>
      <c r="BT421" s="196"/>
      <c r="BU421" s="196"/>
      <c r="BV421" s="196"/>
      <c r="BW421" s="178"/>
      <c r="BX421" s="196"/>
      <c r="BY421" s="196"/>
      <c r="BZ421" s="196"/>
      <c r="CA421" s="196"/>
      <c r="CB421" s="178"/>
      <c r="CC421" s="178"/>
      <c r="CD421" s="202"/>
      <c r="CE421" s="202"/>
      <c r="CF421" s="178"/>
      <c r="CG421" s="196"/>
      <c r="CH421" s="178"/>
      <c r="CI421" s="178"/>
      <c r="CJ421" s="178"/>
      <c r="CK421" s="178"/>
      <c r="CL421" s="178"/>
      <c r="CM421" s="178"/>
      <c r="CN421" s="178"/>
      <c r="CO421" s="178"/>
      <c r="CP421" s="178"/>
      <c r="CQ421" s="178"/>
      <c r="CR421" s="178"/>
      <c r="CS421" s="178"/>
      <c r="CT421" s="178"/>
      <c r="CU421" s="178"/>
      <c r="CV421" s="178"/>
      <c r="CW421" s="178"/>
      <c r="CX421" s="178"/>
      <c r="CY421" s="178"/>
      <c r="CZ421" s="178"/>
      <c r="DA421" s="150"/>
    </row>
    <row r="422" spans="53:105" x14ac:dyDescent="0.2">
      <c r="BA422" s="518">
        <f t="shared" ca="1" si="31"/>
        <v>61</v>
      </c>
      <c r="BB422" s="174">
        <f t="shared" ca="1" si="32"/>
        <v>359</v>
      </c>
      <c r="BC422" s="525" t="e">
        <f ca="1">MATCH(BD422,OFFSET(Pinlist!$A$2,BC421*(BA422=BA421),0,$BM$23,1),0)+BC421*(BA422=BA421)</f>
        <v>#N/A</v>
      </c>
      <c r="BD422" s="167">
        <f t="shared" ca="1" si="33"/>
        <v>0</v>
      </c>
      <c r="BE422" s="191" t="e">
        <f ca="1">(OFFSET(Pinlist!$E$1,BC422,0)-$BN$16)*$BN$19</f>
        <v>#N/A</v>
      </c>
      <c r="BF422" s="192" t="e">
        <f ca="1">(OFFSET(Pinlist!$F$1,BC422,0)-$BO$16)*$BO$19</f>
        <v>#N/A</v>
      </c>
      <c r="BG422" s="1098" t="str">
        <f ca="1">IF(LEFT(BD422,2)="RF",OFFSET(Pinlist!$D$1,Chart!BC422,0)&amp;"_"&amp;OFFSET(Pinlist!$G$1,Chart!BC422,0),"")</f>
        <v/>
      </c>
      <c r="BH422" s="1098"/>
      <c r="BI422" s="178"/>
      <c r="BJ422" s="178"/>
      <c r="BK422" s="178"/>
      <c r="BL422" s="178"/>
      <c r="BM422" s="178"/>
      <c r="BN422" s="178"/>
      <c r="BO422" s="178"/>
      <c r="BP422" s="178"/>
      <c r="BQ422" s="196"/>
      <c r="BR422" s="196"/>
      <c r="BS422" s="196"/>
      <c r="BT422" s="196"/>
      <c r="BU422" s="196"/>
      <c r="BV422" s="196"/>
      <c r="BW422" s="178"/>
      <c r="BX422" s="196"/>
      <c r="BY422" s="196"/>
      <c r="BZ422" s="196"/>
      <c r="CA422" s="196"/>
      <c r="CB422" s="178"/>
      <c r="CC422" s="178"/>
      <c r="CD422" s="202"/>
      <c r="CE422" s="202"/>
      <c r="CF422" s="178"/>
      <c r="CG422" s="196"/>
      <c r="CH422" s="178"/>
      <c r="CI422" s="178"/>
      <c r="CJ422" s="178"/>
      <c r="CK422" s="178"/>
      <c r="CL422" s="178"/>
      <c r="CM422" s="178"/>
      <c r="CN422" s="178"/>
      <c r="CO422" s="178"/>
      <c r="CP422" s="178"/>
      <c r="CQ422" s="178"/>
      <c r="CR422" s="178"/>
      <c r="CS422" s="178"/>
      <c r="CT422" s="178"/>
      <c r="CU422" s="178"/>
      <c r="CV422" s="178"/>
      <c r="CW422" s="178"/>
      <c r="CX422" s="178"/>
      <c r="CY422" s="178"/>
      <c r="CZ422" s="178"/>
      <c r="DA422" s="150"/>
    </row>
    <row r="423" spans="53:105" x14ac:dyDescent="0.2">
      <c r="BA423" s="518">
        <f t="shared" ca="1" si="31"/>
        <v>61</v>
      </c>
      <c r="BB423" s="174">
        <f t="shared" ca="1" si="32"/>
        <v>360</v>
      </c>
      <c r="BC423" s="525" t="e">
        <f ca="1">MATCH(BD423,OFFSET(Pinlist!$A$2,BC422*(BA423=BA422),0,$BM$23,1),0)+BC422*(BA423=BA422)</f>
        <v>#N/A</v>
      </c>
      <c r="BD423" s="167">
        <f t="shared" ca="1" si="33"/>
        <v>0</v>
      </c>
      <c r="BE423" s="191" t="e">
        <f ca="1">(OFFSET(Pinlist!$E$1,BC423,0)-$BN$16)*$BN$19</f>
        <v>#N/A</v>
      </c>
      <c r="BF423" s="192" t="e">
        <f ca="1">(OFFSET(Pinlist!$F$1,BC423,0)-$BO$16)*$BO$19</f>
        <v>#N/A</v>
      </c>
      <c r="BG423" s="1098" t="str">
        <f ca="1">IF(LEFT(BD423,2)="RF",OFFSET(Pinlist!$D$1,Chart!BC423,0)&amp;"_"&amp;OFFSET(Pinlist!$G$1,Chart!BC423,0),"")</f>
        <v/>
      </c>
      <c r="BH423" s="1098"/>
      <c r="BI423" s="178"/>
      <c r="BJ423" s="178"/>
      <c r="BK423" s="178"/>
      <c r="BL423" s="178"/>
      <c r="BM423" s="178"/>
      <c r="BN423" s="178"/>
      <c r="BO423" s="178"/>
      <c r="BP423" s="178"/>
      <c r="BQ423" s="196"/>
      <c r="BR423" s="196"/>
      <c r="BS423" s="196"/>
      <c r="BT423" s="196"/>
      <c r="BU423" s="196"/>
      <c r="BV423" s="196"/>
      <c r="BW423" s="178"/>
      <c r="BX423" s="196"/>
      <c r="BY423" s="196"/>
      <c r="BZ423" s="196"/>
      <c r="CA423" s="196"/>
      <c r="CB423" s="178"/>
      <c r="CC423" s="178"/>
      <c r="CD423" s="202"/>
      <c r="CE423" s="202"/>
      <c r="CF423" s="178"/>
      <c r="CG423" s="196"/>
      <c r="CH423" s="178"/>
      <c r="CI423" s="178"/>
      <c r="CJ423" s="178"/>
      <c r="CK423" s="178"/>
      <c r="CL423" s="178"/>
      <c r="CM423" s="178"/>
      <c r="CN423" s="178"/>
      <c r="CO423" s="178"/>
      <c r="CP423" s="178"/>
      <c r="CQ423" s="178"/>
      <c r="CR423" s="178"/>
      <c r="CS423" s="178"/>
      <c r="CT423" s="178"/>
      <c r="CU423" s="178"/>
      <c r="CV423" s="178"/>
      <c r="CW423" s="178"/>
      <c r="CX423" s="178"/>
      <c r="CY423" s="178"/>
      <c r="CZ423" s="178"/>
      <c r="DA423" s="150"/>
    </row>
    <row r="424" spans="53:105" x14ac:dyDescent="0.2">
      <c r="BA424" s="518">
        <f t="shared" ca="1" si="31"/>
        <v>61</v>
      </c>
      <c r="BB424" s="174">
        <f t="shared" ca="1" si="32"/>
        <v>361</v>
      </c>
      <c r="BC424" s="525" t="e">
        <f ca="1">MATCH(BD424,OFFSET(Pinlist!$A$2,BC423*(BA424=BA423),0,$BM$23,1),0)+BC423*(BA424=BA423)</f>
        <v>#N/A</v>
      </c>
      <c r="BD424" s="167">
        <f t="shared" ca="1" si="33"/>
        <v>0</v>
      </c>
      <c r="BE424" s="191" t="e">
        <f ca="1">(OFFSET(Pinlist!$E$1,BC424,0)-$BN$16)*$BN$19</f>
        <v>#N/A</v>
      </c>
      <c r="BF424" s="192" t="e">
        <f ca="1">(OFFSET(Pinlist!$F$1,BC424,0)-$BO$16)*$BO$19</f>
        <v>#N/A</v>
      </c>
      <c r="BG424" s="1098" t="str">
        <f ca="1">IF(LEFT(BD424,2)="RF",OFFSET(Pinlist!$D$1,Chart!BC424,0)&amp;"_"&amp;OFFSET(Pinlist!$G$1,Chart!BC424,0),"")</f>
        <v/>
      </c>
      <c r="BH424" s="1098"/>
      <c r="BI424" s="178"/>
      <c r="BJ424" s="178"/>
      <c r="BK424" s="178"/>
      <c r="BL424" s="178"/>
      <c r="BM424" s="178"/>
      <c r="BN424" s="178"/>
      <c r="BO424" s="178"/>
      <c r="BP424" s="178"/>
      <c r="BQ424" s="196"/>
      <c r="BR424" s="196"/>
      <c r="BS424" s="196"/>
      <c r="BT424" s="196"/>
      <c r="BU424" s="196"/>
      <c r="BV424" s="196"/>
      <c r="BW424" s="178"/>
      <c r="BX424" s="196"/>
      <c r="BY424" s="196"/>
      <c r="BZ424" s="196"/>
      <c r="CA424" s="196"/>
      <c r="CB424" s="178"/>
      <c r="CC424" s="178"/>
      <c r="CD424" s="202"/>
      <c r="CE424" s="202"/>
      <c r="CF424" s="178"/>
      <c r="CG424" s="196"/>
      <c r="CH424" s="178"/>
      <c r="CI424" s="178"/>
      <c r="CJ424" s="178"/>
      <c r="CK424" s="178"/>
      <c r="CL424" s="178"/>
      <c r="CM424" s="178"/>
      <c r="CN424" s="178"/>
      <c r="CO424" s="178"/>
      <c r="CP424" s="178"/>
      <c r="CQ424" s="178"/>
      <c r="CR424" s="178"/>
      <c r="CS424" s="178"/>
      <c r="CT424" s="178"/>
      <c r="CU424" s="178"/>
      <c r="CV424" s="178"/>
      <c r="CW424" s="178"/>
      <c r="CX424" s="178"/>
      <c r="CY424" s="178"/>
      <c r="CZ424" s="178"/>
      <c r="DA424" s="150"/>
    </row>
    <row r="425" spans="53:105" x14ac:dyDescent="0.2">
      <c r="BA425" s="518">
        <f t="shared" ca="1" si="31"/>
        <v>61</v>
      </c>
      <c r="BB425" s="174">
        <f t="shared" ca="1" si="32"/>
        <v>362</v>
      </c>
      <c r="BC425" s="525" t="e">
        <f ca="1">MATCH(BD425,OFFSET(Pinlist!$A$2,BC424*(BA425=BA424),0,$BM$23,1),0)+BC424*(BA425=BA424)</f>
        <v>#N/A</v>
      </c>
      <c r="BD425" s="167">
        <f t="shared" ca="1" si="33"/>
        <v>0</v>
      </c>
      <c r="BE425" s="191" t="e">
        <f ca="1">(OFFSET(Pinlist!$E$1,BC425,0)-$BN$16)*$BN$19</f>
        <v>#N/A</v>
      </c>
      <c r="BF425" s="192" t="e">
        <f ca="1">(OFFSET(Pinlist!$F$1,BC425,0)-$BO$16)*$BO$19</f>
        <v>#N/A</v>
      </c>
      <c r="BG425" s="1098" t="str">
        <f ca="1">IF(LEFT(BD425,2)="RF",OFFSET(Pinlist!$D$1,Chart!BC425,0)&amp;"_"&amp;OFFSET(Pinlist!$G$1,Chart!BC425,0),"")</f>
        <v/>
      </c>
      <c r="BH425" s="1098"/>
      <c r="BI425" s="178"/>
      <c r="BJ425" s="178"/>
      <c r="BK425" s="178"/>
      <c r="BL425" s="178"/>
      <c r="BM425" s="178"/>
      <c r="BN425" s="178"/>
      <c r="BO425" s="178"/>
      <c r="BP425" s="178"/>
      <c r="BQ425" s="196"/>
      <c r="BR425" s="196"/>
      <c r="BS425" s="196"/>
      <c r="BT425" s="196"/>
      <c r="BU425" s="196"/>
      <c r="BV425" s="196"/>
      <c r="BW425" s="178"/>
      <c r="BX425" s="196"/>
      <c r="BY425" s="196"/>
      <c r="BZ425" s="196"/>
      <c r="CA425" s="196"/>
      <c r="CB425" s="178"/>
      <c r="CC425" s="178"/>
      <c r="CD425" s="202"/>
      <c r="CE425" s="202"/>
      <c r="CF425" s="178"/>
      <c r="CG425" s="196"/>
      <c r="CH425" s="178"/>
      <c r="CI425" s="178"/>
      <c r="CJ425" s="178"/>
      <c r="CK425" s="178"/>
      <c r="CL425" s="178"/>
      <c r="CM425" s="178"/>
      <c r="CN425" s="178"/>
      <c r="CO425" s="178"/>
      <c r="CP425" s="178"/>
      <c r="CQ425" s="178"/>
      <c r="CR425" s="178"/>
      <c r="CS425" s="178"/>
      <c r="CT425" s="178"/>
      <c r="CU425" s="178"/>
      <c r="CV425" s="178"/>
      <c r="CW425" s="178"/>
      <c r="CX425" s="178"/>
      <c r="CY425" s="178"/>
      <c r="CZ425" s="178"/>
      <c r="DA425" s="150"/>
    </row>
    <row r="426" spans="53:105" x14ac:dyDescent="0.2">
      <c r="BA426" s="518">
        <f t="shared" ca="1" si="31"/>
        <v>61</v>
      </c>
      <c r="BB426" s="174">
        <f t="shared" ca="1" si="32"/>
        <v>363</v>
      </c>
      <c r="BC426" s="525" t="e">
        <f ca="1">MATCH(BD426,OFFSET(Pinlist!$A$2,BC425*(BA426=BA425),0,$BM$23,1),0)+BC425*(BA426=BA425)</f>
        <v>#N/A</v>
      </c>
      <c r="BD426" s="167">
        <f t="shared" ca="1" si="33"/>
        <v>0</v>
      </c>
      <c r="BE426" s="191" t="e">
        <f ca="1">(OFFSET(Pinlist!$E$1,BC426,0)-$BN$16)*$BN$19</f>
        <v>#N/A</v>
      </c>
      <c r="BF426" s="192" t="e">
        <f ca="1">(OFFSET(Pinlist!$F$1,BC426,0)-$BO$16)*$BO$19</f>
        <v>#N/A</v>
      </c>
      <c r="BG426" s="1098" t="str">
        <f ca="1">IF(LEFT(BD426,2)="RF",OFFSET(Pinlist!$D$1,Chart!BC426,0)&amp;"_"&amp;OFFSET(Pinlist!$G$1,Chart!BC426,0),"")</f>
        <v/>
      </c>
      <c r="BH426" s="1098"/>
      <c r="BI426" s="178"/>
      <c r="BJ426" s="178"/>
      <c r="BK426" s="178"/>
      <c r="BL426" s="178"/>
      <c r="BM426" s="178"/>
      <c r="BN426" s="178"/>
      <c r="BO426" s="178"/>
      <c r="BP426" s="178"/>
      <c r="BQ426" s="196"/>
      <c r="BR426" s="196"/>
      <c r="BS426" s="196"/>
      <c r="BT426" s="196"/>
      <c r="BU426" s="196"/>
      <c r="BV426" s="196"/>
      <c r="BW426" s="178"/>
      <c r="BX426" s="196"/>
      <c r="BY426" s="196"/>
      <c r="BZ426" s="196"/>
      <c r="CA426" s="196"/>
      <c r="CB426" s="178"/>
      <c r="CC426" s="178"/>
      <c r="CD426" s="202"/>
      <c r="CE426" s="202"/>
      <c r="CF426" s="178"/>
      <c r="CG426" s="196"/>
      <c r="CH426" s="178"/>
      <c r="CI426" s="178"/>
      <c r="CJ426" s="178"/>
      <c r="CK426" s="178"/>
      <c r="CL426" s="178"/>
      <c r="CM426" s="178"/>
      <c r="CN426" s="178"/>
      <c r="CO426" s="178"/>
      <c r="CP426" s="178"/>
      <c r="CQ426" s="178"/>
      <c r="CR426" s="178"/>
      <c r="CS426" s="178"/>
      <c r="CT426" s="178"/>
      <c r="CU426" s="178"/>
      <c r="CV426" s="178"/>
      <c r="CW426" s="178"/>
      <c r="CX426" s="178"/>
      <c r="CY426" s="178"/>
      <c r="CZ426" s="178"/>
      <c r="DA426" s="150"/>
    </row>
    <row r="427" spans="53:105" x14ac:dyDescent="0.2">
      <c r="BA427" s="518">
        <f t="shared" ca="1" si="31"/>
        <v>61</v>
      </c>
      <c r="BB427" s="174">
        <f t="shared" ca="1" si="32"/>
        <v>364</v>
      </c>
      <c r="BC427" s="525" t="e">
        <f ca="1">MATCH(BD427,OFFSET(Pinlist!$A$2,BC426*(BA427=BA426),0,$BM$23,1),0)+BC426*(BA427=BA426)</f>
        <v>#N/A</v>
      </c>
      <c r="BD427" s="167">
        <f t="shared" ca="1" si="33"/>
        <v>0</v>
      </c>
      <c r="BE427" s="191" t="e">
        <f ca="1">(OFFSET(Pinlist!$E$1,BC427,0)-$BN$16)*$BN$19</f>
        <v>#N/A</v>
      </c>
      <c r="BF427" s="192" t="e">
        <f ca="1">(OFFSET(Pinlist!$F$1,BC427,0)-$BO$16)*$BO$19</f>
        <v>#N/A</v>
      </c>
      <c r="BG427" s="1098" t="str">
        <f ca="1">IF(LEFT(BD427,2)="RF",OFFSET(Pinlist!$D$1,Chart!BC427,0)&amp;"_"&amp;OFFSET(Pinlist!$G$1,Chart!BC427,0),"")</f>
        <v/>
      </c>
      <c r="BH427" s="1098"/>
      <c r="BI427" s="178"/>
      <c r="BJ427" s="178"/>
      <c r="BK427" s="178"/>
      <c r="BL427" s="178"/>
      <c r="BM427" s="178"/>
      <c r="BN427" s="178"/>
      <c r="BO427" s="178"/>
      <c r="BP427" s="178"/>
      <c r="BQ427" s="196"/>
      <c r="BR427" s="196"/>
      <c r="BS427" s="196"/>
      <c r="BT427" s="196"/>
      <c r="BU427" s="196"/>
      <c r="BV427" s="196"/>
      <c r="BW427" s="178"/>
      <c r="BX427" s="196"/>
      <c r="BY427" s="196"/>
      <c r="BZ427" s="196"/>
      <c r="CA427" s="196"/>
      <c r="CB427" s="178"/>
      <c r="CC427" s="178"/>
      <c r="CD427" s="202"/>
      <c r="CE427" s="202"/>
      <c r="CF427" s="178"/>
      <c r="CG427" s="196"/>
      <c r="CH427" s="178"/>
      <c r="CI427" s="178"/>
      <c r="CJ427" s="178"/>
      <c r="CK427" s="178"/>
      <c r="CL427" s="178"/>
      <c r="CM427" s="178"/>
      <c r="CN427" s="178"/>
      <c r="CO427" s="178"/>
      <c r="CP427" s="178"/>
      <c r="CQ427" s="178"/>
      <c r="CR427" s="178"/>
      <c r="CS427" s="178"/>
      <c r="CT427" s="178"/>
      <c r="CU427" s="178"/>
      <c r="CV427" s="178"/>
      <c r="CW427" s="178"/>
      <c r="CX427" s="178"/>
      <c r="CY427" s="178"/>
      <c r="CZ427" s="178"/>
      <c r="DA427" s="150"/>
    </row>
    <row r="428" spans="53:105" x14ac:dyDescent="0.2">
      <c r="BA428" s="518">
        <f t="shared" ca="1" si="31"/>
        <v>61</v>
      </c>
      <c r="BB428" s="174">
        <f t="shared" ca="1" si="32"/>
        <v>365</v>
      </c>
      <c r="BC428" s="525" t="e">
        <f ca="1">MATCH(BD428,OFFSET(Pinlist!$A$2,BC427*(BA428=BA427),0,$BM$23,1),0)+BC427*(BA428=BA427)</f>
        <v>#N/A</v>
      </c>
      <c r="BD428" s="167">
        <f t="shared" ca="1" si="33"/>
        <v>0</v>
      </c>
      <c r="BE428" s="191" t="e">
        <f ca="1">(OFFSET(Pinlist!$E$1,BC428,0)-$BN$16)*$BN$19</f>
        <v>#N/A</v>
      </c>
      <c r="BF428" s="192" t="e">
        <f ca="1">(OFFSET(Pinlist!$F$1,BC428,0)-$BO$16)*$BO$19</f>
        <v>#N/A</v>
      </c>
      <c r="BG428" s="1098" t="str">
        <f ca="1">IF(LEFT(BD428,2)="RF",OFFSET(Pinlist!$D$1,Chart!BC428,0)&amp;"_"&amp;OFFSET(Pinlist!$G$1,Chart!BC428,0),"")</f>
        <v/>
      </c>
      <c r="BH428" s="1098"/>
      <c r="BI428" s="178"/>
      <c r="BJ428" s="178"/>
      <c r="BK428" s="178"/>
      <c r="BL428" s="178"/>
      <c r="BM428" s="178"/>
      <c r="BN428" s="178"/>
      <c r="BO428" s="178"/>
      <c r="BP428" s="178"/>
      <c r="BQ428" s="196"/>
      <c r="BR428" s="196"/>
      <c r="BS428" s="196"/>
      <c r="BT428" s="196"/>
      <c r="BU428" s="196"/>
      <c r="BV428" s="196"/>
      <c r="BW428" s="178"/>
      <c r="BX428" s="196"/>
      <c r="BY428" s="196"/>
      <c r="BZ428" s="196"/>
      <c r="CA428" s="196"/>
      <c r="CB428" s="178"/>
      <c r="CC428" s="178"/>
      <c r="CD428" s="202"/>
      <c r="CE428" s="202"/>
      <c r="CF428" s="178"/>
      <c r="CG428" s="196"/>
      <c r="CH428" s="178"/>
      <c r="CI428" s="178"/>
      <c r="CJ428" s="178"/>
      <c r="CK428" s="178"/>
      <c r="CL428" s="178"/>
      <c r="CM428" s="178"/>
      <c r="CN428" s="178"/>
      <c r="CO428" s="178"/>
      <c r="CP428" s="178"/>
      <c r="CQ428" s="178"/>
      <c r="CR428" s="178"/>
      <c r="CS428" s="178"/>
      <c r="CT428" s="178"/>
      <c r="CU428" s="178"/>
      <c r="CV428" s="178"/>
      <c r="CW428" s="178"/>
      <c r="CX428" s="178"/>
      <c r="CY428" s="178"/>
      <c r="CZ428" s="178"/>
      <c r="DA428" s="150"/>
    </row>
    <row r="429" spans="53:105" x14ac:dyDescent="0.2">
      <c r="BA429" s="518">
        <f t="shared" ca="1" si="31"/>
        <v>61</v>
      </c>
      <c r="BB429" s="174">
        <f t="shared" ca="1" si="32"/>
        <v>366</v>
      </c>
      <c r="BC429" s="525" t="e">
        <f ca="1">MATCH(BD429,OFFSET(Pinlist!$A$2,BC428*(BA429=BA428),0,$BM$23,1),0)+BC428*(BA429=BA428)</f>
        <v>#N/A</v>
      </c>
      <c r="BD429" s="167">
        <f t="shared" ca="1" si="33"/>
        <v>0</v>
      </c>
      <c r="BE429" s="191" t="e">
        <f ca="1">(OFFSET(Pinlist!$E$1,BC429,0)-$BN$16)*$BN$19</f>
        <v>#N/A</v>
      </c>
      <c r="BF429" s="192" t="e">
        <f ca="1">(OFFSET(Pinlist!$F$1,BC429,0)-$BO$16)*$BO$19</f>
        <v>#N/A</v>
      </c>
      <c r="BG429" s="1098" t="str">
        <f ca="1">IF(LEFT(BD429,2)="RF",OFFSET(Pinlist!$D$1,Chart!BC429,0)&amp;"_"&amp;OFFSET(Pinlist!$G$1,Chart!BC429,0),"")</f>
        <v/>
      </c>
      <c r="BH429" s="1098"/>
      <c r="BI429" s="178"/>
      <c r="BJ429" s="178"/>
      <c r="BK429" s="178"/>
      <c r="BL429" s="178"/>
      <c r="BM429" s="178"/>
      <c r="BN429" s="178"/>
      <c r="BO429" s="178"/>
      <c r="BP429" s="178"/>
      <c r="BQ429" s="196"/>
      <c r="BR429" s="196"/>
      <c r="BS429" s="196"/>
      <c r="BT429" s="196"/>
      <c r="BU429" s="196"/>
      <c r="BV429" s="196"/>
      <c r="BW429" s="178"/>
      <c r="BX429" s="196"/>
      <c r="BY429" s="196"/>
      <c r="BZ429" s="196"/>
      <c r="CA429" s="196"/>
      <c r="CB429" s="178"/>
      <c r="CC429" s="178"/>
      <c r="CD429" s="202"/>
      <c r="CE429" s="202"/>
      <c r="CF429" s="178"/>
      <c r="CG429" s="196"/>
      <c r="CH429" s="178"/>
      <c r="CI429" s="178"/>
      <c r="CJ429" s="178"/>
      <c r="CK429" s="178"/>
      <c r="CL429" s="178"/>
      <c r="CM429" s="178"/>
      <c r="CN429" s="178"/>
      <c r="CO429" s="178"/>
      <c r="CP429" s="178"/>
      <c r="CQ429" s="178"/>
      <c r="CR429" s="178"/>
      <c r="CS429" s="178"/>
      <c r="CT429" s="178"/>
      <c r="CU429" s="178"/>
      <c r="CV429" s="178"/>
      <c r="CW429" s="178"/>
      <c r="CX429" s="178"/>
      <c r="CY429" s="178"/>
      <c r="CZ429" s="178"/>
      <c r="DA429" s="150"/>
    </row>
    <row r="430" spans="53:105" x14ac:dyDescent="0.2">
      <c r="BA430" s="518">
        <f t="shared" ca="1" si="31"/>
        <v>61</v>
      </c>
      <c r="BB430" s="174">
        <f t="shared" ca="1" si="32"/>
        <v>367</v>
      </c>
      <c r="BC430" s="525" t="e">
        <f ca="1">MATCH(BD430,OFFSET(Pinlist!$A$2,BC429*(BA430=BA429),0,$BM$23,1),0)+BC429*(BA430=BA429)</f>
        <v>#N/A</v>
      </c>
      <c r="BD430" s="167">
        <f t="shared" ca="1" si="33"/>
        <v>0</v>
      </c>
      <c r="BE430" s="191" t="e">
        <f ca="1">(OFFSET(Pinlist!$E$1,BC430,0)-$BN$16)*$BN$19</f>
        <v>#N/A</v>
      </c>
      <c r="BF430" s="192" t="e">
        <f ca="1">(OFFSET(Pinlist!$F$1,BC430,0)-$BO$16)*$BO$19</f>
        <v>#N/A</v>
      </c>
      <c r="BG430" s="1098" t="str">
        <f ca="1">IF(LEFT(BD430,2)="RF",OFFSET(Pinlist!$D$1,Chart!BC430,0)&amp;"_"&amp;OFFSET(Pinlist!$G$1,Chart!BC430,0),"")</f>
        <v/>
      </c>
      <c r="BH430" s="1098"/>
      <c r="BI430" s="178"/>
      <c r="BJ430" s="178"/>
      <c r="BK430" s="178"/>
      <c r="BL430" s="178"/>
      <c r="BM430" s="178"/>
      <c r="BN430" s="178"/>
      <c r="BO430" s="178"/>
      <c r="BP430" s="178"/>
      <c r="BQ430" s="196"/>
      <c r="BR430" s="196"/>
      <c r="BS430" s="196"/>
      <c r="BT430" s="196"/>
      <c r="BU430" s="196"/>
      <c r="BV430" s="196"/>
      <c r="BW430" s="178"/>
      <c r="BX430" s="196"/>
      <c r="BY430" s="196"/>
      <c r="BZ430" s="196"/>
      <c r="CA430" s="196"/>
      <c r="CB430" s="178"/>
      <c r="CC430" s="178"/>
      <c r="CD430" s="202"/>
      <c r="CE430" s="202"/>
      <c r="CF430" s="178"/>
      <c r="CG430" s="196"/>
      <c r="CH430" s="178"/>
      <c r="CI430" s="178"/>
      <c r="CJ430" s="178"/>
      <c r="CK430" s="178"/>
      <c r="CL430" s="178"/>
      <c r="CM430" s="178"/>
      <c r="CN430" s="178"/>
      <c r="CO430" s="178"/>
      <c r="CP430" s="178"/>
      <c r="CQ430" s="178"/>
      <c r="CR430" s="178"/>
      <c r="CS430" s="178"/>
      <c r="CT430" s="178"/>
      <c r="CU430" s="178"/>
      <c r="CV430" s="178"/>
      <c r="CW430" s="178"/>
      <c r="CX430" s="178"/>
      <c r="CY430" s="178"/>
      <c r="CZ430" s="178"/>
      <c r="DA430" s="150"/>
    </row>
    <row r="431" spans="53:105" x14ac:dyDescent="0.2">
      <c r="BA431" s="518">
        <f t="shared" ca="1" si="31"/>
        <v>61</v>
      </c>
      <c r="BB431" s="174">
        <f t="shared" ca="1" si="32"/>
        <v>368</v>
      </c>
      <c r="BC431" s="525" t="e">
        <f ca="1">MATCH(BD431,OFFSET(Pinlist!$A$2,BC430*(BA431=BA430),0,$BM$23,1),0)+BC430*(BA431=BA430)</f>
        <v>#N/A</v>
      </c>
      <c r="BD431" s="167">
        <f t="shared" ca="1" si="33"/>
        <v>0</v>
      </c>
      <c r="BE431" s="191" t="e">
        <f ca="1">(OFFSET(Pinlist!$E$1,BC431,0)-$BN$16)*$BN$19</f>
        <v>#N/A</v>
      </c>
      <c r="BF431" s="192" t="e">
        <f ca="1">(OFFSET(Pinlist!$F$1,BC431,0)-$BO$16)*$BO$19</f>
        <v>#N/A</v>
      </c>
      <c r="BG431" s="1098" t="str">
        <f ca="1">IF(LEFT(BD431,2)="RF",OFFSET(Pinlist!$D$1,Chart!BC431,0)&amp;"_"&amp;OFFSET(Pinlist!$G$1,Chart!BC431,0),"")</f>
        <v/>
      </c>
      <c r="BH431" s="1098"/>
      <c r="BI431" s="178"/>
      <c r="BJ431" s="178"/>
      <c r="BK431" s="178"/>
      <c r="BL431" s="178"/>
      <c r="BM431" s="178"/>
      <c r="BN431" s="178"/>
      <c r="BO431" s="178"/>
      <c r="BP431" s="178"/>
      <c r="BQ431" s="196"/>
      <c r="BR431" s="196"/>
      <c r="BS431" s="196"/>
      <c r="BT431" s="196"/>
      <c r="BU431" s="196"/>
      <c r="BV431" s="196"/>
      <c r="BW431" s="178"/>
      <c r="BX431" s="196"/>
      <c r="BY431" s="196"/>
      <c r="BZ431" s="196"/>
      <c r="CA431" s="196"/>
      <c r="CB431" s="178"/>
      <c r="CC431" s="178"/>
      <c r="CD431" s="202"/>
      <c r="CE431" s="202"/>
      <c r="CF431" s="178"/>
      <c r="CG431" s="196"/>
      <c r="CH431" s="178"/>
      <c r="CI431" s="178"/>
      <c r="CJ431" s="178"/>
      <c r="CK431" s="178"/>
      <c r="CL431" s="178"/>
      <c r="CM431" s="178"/>
      <c r="CN431" s="178"/>
      <c r="CO431" s="178"/>
      <c r="CP431" s="178"/>
      <c r="CQ431" s="178"/>
      <c r="CR431" s="178"/>
      <c r="CS431" s="178"/>
      <c r="CT431" s="178"/>
      <c r="CU431" s="178"/>
      <c r="CV431" s="178"/>
      <c r="CW431" s="178"/>
      <c r="CX431" s="178"/>
      <c r="CY431" s="178"/>
      <c r="CZ431" s="178"/>
      <c r="DA431" s="150"/>
    </row>
    <row r="432" spans="53:105" x14ac:dyDescent="0.2">
      <c r="BA432" s="518">
        <f t="shared" ca="1" si="31"/>
        <v>61</v>
      </c>
      <c r="BB432" s="174">
        <f t="shared" ca="1" si="32"/>
        <v>369</v>
      </c>
      <c r="BC432" s="525" t="e">
        <f ca="1">MATCH(BD432,OFFSET(Pinlist!$A$2,BC431*(BA432=BA431),0,$BM$23,1),0)+BC431*(BA432=BA431)</f>
        <v>#N/A</v>
      </c>
      <c r="BD432" s="167">
        <f t="shared" ca="1" si="33"/>
        <v>0</v>
      </c>
      <c r="BE432" s="191" t="e">
        <f ca="1">(OFFSET(Pinlist!$E$1,BC432,0)-$BN$16)*$BN$19</f>
        <v>#N/A</v>
      </c>
      <c r="BF432" s="192" t="e">
        <f ca="1">(OFFSET(Pinlist!$F$1,BC432,0)-$BO$16)*$BO$19</f>
        <v>#N/A</v>
      </c>
      <c r="BG432" s="1098" t="str">
        <f ca="1">IF(LEFT(BD432,2)="RF",OFFSET(Pinlist!$D$1,Chart!BC432,0)&amp;"_"&amp;OFFSET(Pinlist!$G$1,Chart!BC432,0),"")</f>
        <v/>
      </c>
      <c r="BH432" s="1098"/>
      <c r="BI432" s="178"/>
      <c r="BJ432" s="178"/>
      <c r="BK432" s="178"/>
      <c r="BL432" s="178"/>
      <c r="BM432" s="178"/>
      <c r="BN432" s="178"/>
      <c r="BO432" s="178"/>
      <c r="BP432" s="178"/>
      <c r="BQ432" s="196"/>
      <c r="BR432" s="196"/>
      <c r="BS432" s="196"/>
      <c r="BT432" s="196"/>
      <c r="BU432" s="196"/>
      <c r="BV432" s="196"/>
      <c r="BW432" s="178"/>
      <c r="BX432" s="196"/>
      <c r="BY432" s="196"/>
      <c r="BZ432" s="196"/>
      <c r="CA432" s="196"/>
      <c r="CB432" s="178"/>
      <c r="CC432" s="178"/>
      <c r="CD432" s="202"/>
      <c r="CE432" s="202"/>
      <c r="CF432" s="178"/>
      <c r="CG432" s="196"/>
      <c r="CH432" s="178"/>
      <c r="CI432" s="178"/>
      <c r="CJ432" s="178"/>
      <c r="CK432" s="178"/>
      <c r="CL432" s="178"/>
      <c r="CM432" s="178"/>
      <c r="CN432" s="178"/>
      <c r="CO432" s="178"/>
      <c r="CP432" s="178"/>
      <c r="CQ432" s="178"/>
      <c r="CR432" s="178"/>
      <c r="CS432" s="178"/>
      <c r="CT432" s="178"/>
      <c r="CU432" s="178"/>
      <c r="CV432" s="178"/>
      <c r="CW432" s="178"/>
      <c r="CX432" s="178"/>
      <c r="CY432" s="178"/>
      <c r="CZ432" s="178"/>
      <c r="DA432" s="150"/>
    </row>
    <row r="433" spans="53:105" x14ac:dyDescent="0.2">
      <c r="BA433" s="518">
        <f t="shared" ca="1" si="31"/>
        <v>61</v>
      </c>
      <c r="BB433" s="174">
        <f t="shared" ca="1" si="32"/>
        <v>370</v>
      </c>
      <c r="BC433" s="525" t="e">
        <f ca="1">MATCH(BD433,OFFSET(Pinlist!$A$2,BC432*(BA433=BA432),0,$BM$23,1),0)+BC432*(BA433=BA432)</f>
        <v>#N/A</v>
      </c>
      <c r="BD433" s="167">
        <f t="shared" ca="1" si="33"/>
        <v>0</v>
      </c>
      <c r="BE433" s="191" t="e">
        <f ca="1">(OFFSET(Pinlist!$E$1,BC433,0)-$BN$16)*$BN$19</f>
        <v>#N/A</v>
      </c>
      <c r="BF433" s="192" t="e">
        <f ca="1">(OFFSET(Pinlist!$F$1,BC433,0)-$BO$16)*$BO$19</f>
        <v>#N/A</v>
      </c>
      <c r="BG433" s="1098" t="str">
        <f ca="1">IF(LEFT(BD433,2)="RF",OFFSET(Pinlist!$D$1,Chart!BC433,0)&amp;"_"&amp;OFFSET(Pinlist!$G$1,Chart!BC433,0),"")</f>
        <v/>
      </c>
      <c r="BH433" s="1098"/>
      <c r="BI433" s="178"/>
      <c r="BJ433" s="178"/>
      <c r="BK433" s="178"/>
      <c r="BL433" s="178"/>
      <c r="BM433" s="178"/>
      <c r="BN433" s="178"/>
      <c r="BO433" s="178"/>
      <c r="BP433" s="178"/>
      <c r="BQ433" s="196"/>
      <c r="BR433" s="196"/>
      <c r="BS433" s="196"/>
      <c r="BT433" s="196"/>
      <c r="BU433" s="196"/>
      <c r="BV433" s="196"/>
      <c r="BW433" s="178"/>
      <c r="BX433" s="196"/>
      <c r="BY433" s="196"/>
      <c r="BZ433" s="196"/>
      <c r="CA433" s="196"/>
      <c r="CB433" s="178"/>
      <c r="CC433" s="178"/>
      <c r="CD433" s="202"/>
      <c r="CE433" s="202"/>
      <c r="CF433" s="178"/>
      <c r="CG433" s="196"/>
      <c r="CH433" s="178"/>
      <c r="CI433" s="178"/>
      <c r="CJ433" s="178"/>
      <c r="CK433" s="178"/>
      <c r="CL433" s="178"/>
      <c r="CM433" s="178"/>
      <c r="CN433" s="178"/>
      <c r="CO433" s="178"/>
      <c r="CP433" s="178"/>
      <c r="CQ433" s="178"/>
      <c r="CR433" s="178"/>
      <c r="CS433" s="178"/>
      <c r="CT433" s="178"/>
      <c r="CU433" s="178"/>
      <c r="CV433" s="178"/>
      <c r="CW433" s="178"/>
      <c r="CX433" s="178"/>
      <c r="CY433" s="178"/>
      <c r="CZ433" s="178"/>
      <c r="DA433" s="150"/>
    </row>
    <row r="434" spans="53:105" x14ac:dyDescent="0.2">
      <c r="BA434" s="518">
        <f t="shared" ca="1" si="31"/>
        <v>61</v>
      </c>
      <c r="BB434" s="174">
        <f t="shared" ca="1" si="32"/>
        <v>371</v>
      </c>
      <c r="BC434" s="525" t="e">
        <f ca="1">MATCH(BD434,OFFSET(Pinlist!$A$2,BC433*(BA434=BA433),0,$BM$23,1),0)+BC433*(BA434=BA433)</f>
        <v>#N/A</v>
      </c>
      <c r="BD434" s="167">
        <f t="shared" ca="1" si="33"/>
        <v>0</v>
      </c>
      <c r="BE434" s="191" t="e">
        <f ca="1">(OFFSET(Pinlist!$E$1,BC434,0)-$BN$16)*$BN$19</f>
        <v>#N/A</v>
      </c>
      <c r="BF434" s="192" t="e">
        <f ca="1">(OFFSET(Pinlist!$F$1,BC434,0)-$BO$16)*$BO$19</f>
        <v>#N/A</v>
      </c>
      <c r="BG434" s="1098" t="str">
        <f ca="1">IF(LEFT(BD434,2)="RF",OFFSET(Pinlist!$D$1,Chart!BC434,0)&amp;"_"&amp;OFFSET(Pinlist!$G$1,Chart!BC434,0),"")</f>
        <v/>
      </c>
      <c r="BH434" s="1098"/>
      <c r="BI434" s="178"/>
      <c r="BJ434" s="178"/>
      <c r="BK434" s="178"/>
      <c r="BL434" s="178"/>
      <c r="BM434" s="178"/>
      <c r="BN434" s="178"/>
      <c r="BO434" s="178"/>
      <c r="BP434" s="178"/>
      <c r="BQ434" s="196"/>
      <c r="BR434" s="196"/>
      <c r="BS434" s="196"/>
      <c r="BT434" s="196"/>
      <c r="BU434" s="196"/>
      <c r="BV434" s="196"/>
      <c r="BW434" s="178"/>
      <c r="BX434" s="196"/>
      <c r="BY434" s="196"/>
      <c r="BZ434" s="196"/>
      <c r="CA434" s="196"/>
      <c r="CB434" s="178"/>
      <c r="CC434" s="178"/>
      <c r="CD434" s="202"/>
      <c r="CE434" s="202"/>
      <c r="CF434" s="178"/>
      <c r="CG434" s="196"/>
      <c r="CH434" s="178"/>
      <c r="CI434" s="178"/>
      <c r="CJ434" s="178"/>
      <c r="CK434" s="178"/>
      <c r="CL434" s="178"/>
      <c r="CM434" s="178"/>
      <c r="CN434" s="178"/>
      <c r="CO434" s="178"/>
      <c r="CP434" s="178"/>
      <c r="CQ434" s="178"/>
      <c r="CR434" s="178"/>
      <c r="CS434" s="178"/>
      <c r="CT434" s="178"/>
      <c r="CU434" s="178"/>
      <c r="CV434" s="178"/>
      <c r="CW434" s="178"/>
      <c r="CX434" s="178"/>
      <c r="CY434" s="178"/>
      <c r="CZ434" s="178"/>
      <c r="DA434" s="150"/>
    </row>
    <row r="435" spans="53:105" x14ac:dyDescent="0.2">
      <c r="BA435" s="518">
        <f t="shared" ca="1" si="31"/>
        <v>61</v>
      </c>
      <c r="BB435" s="174">
        <f t="shared" ca="1" si="32"/>
        <v>372</v>
      </c>
      <c r="BC435" s="525" t="e">
        <f ca="1">MATCH(BD435,OFFSET(Pinlist!$A$2,BC434*(BA435=BA434),0,$BM$23,1),0)+BC434*(BA435=BA434)</f>
        <v>#N/A</v>
      </c>
      <c r="BD435" s="167">
        <f t="shared" ca="1" si="33"/>
        <v>0</v>
      </c>
      <c r="BE435" s="191" t="e">
        <f ca="1">(OFFSET(Pinlist!$E$1,BC435,0)-$BN$16)*$BN$19</f>
        <v>#N/A</v>
      </c>
      <c r="BF435" s="192" t="e">
        <f ca="1">(OFFSET(Pinlist!$F$1,BC435,0)-$BO$16)*$BO$19</f>
        <v>#N/A</v>
      </c>
      <c r="BG435" s="1098" t="str">
        <f ca="1">IF(LEFT(BD435,2)="RF",OFFSET(Pinlist!$D$1,Chart!BC435,0)&amp;"_"&amp;OFFSET(Pinlist!$G$1,Chart!BC435,0),"")</f>
        <v/>
      </c>
      <c r="BH435" s="1098"/>
      <c r="BI435" s="178"/>
      <c r="BJ435" s="178"/>
      <c r="BK435" s="178"/>
      <c r="BL435" s="178"/>
      <c r="BM435" s="178"/>
      <c r="BN435" s="178"/>
      <c r="BO435" s="178"/>
      <c r="BP435" s="178"/>
      <c r="BQ435" s="196"/>
      <c r="BR435" s="196"/>
      <c r="BS435" s="196"/>
      <c r="BT435" s="196"/>
      <c r="BU435" s="196"/>
      <c r="BV435" s="196"/>
      <c r="BW435" s="178"/>
      <c r="BX435" s="196"/>
      <c r="BY435" s="196"/>
      <c r="BZ435" s="196"/>
      <c r="CA435" s="196"/>
      <c r="CB435" s="178"/>
      <c r="CC435" s="178"/>
      <c r="CD435" s="202"/>
      <c r="CE435" s="202"/>
      <c r="CF435" s="178"/>
      <c r="CG435" s="196"/>
      <c r="CH435" s="178"/>
      <c r="CI435" s="178"/>
      <c r="CJ435" s="178"/>
      <c r="CK435" s="178"/>
      <c r="CL435" s="178"/>
      <c r="CM435" s="178"/>
      <c r="CN435" s="178"/>
      <c r="CO435" s="178"/>
      <c r="CP435" s="178"/>
      <c r="CQ435" s="178"/>
      <c r="CR435" s="178"/>
      <c r="CS435" s="178"/>
      <c r="CT435" s="178"/>
      <c r="CU435" s="178"/>
      <c r="CV435" s="178"/>
      <c r="CW435" s="178"/>
      <c r="CX435" s="178"/>
      <c r="CY435" s="178"/>
      <c r="CZ435" s="178"/>
      <c r="DA435" s="150"/>
    </row>
    <row r="436" spans="53:105" x14ac:dyDescent="0.2">
      <c r="BA436" s="518">
        <f t="shared" ca="1" si="31"/>
        <v>61</v>
      </c>
      <c r="BB436" s="174">
        <f t="shared" ca="1" si="32"/>
        <v>373</v>
      </c>
      <c r="BC436" s="525" t="e">
        <f ca="1">MATCH(BD436,OFFSET(Pinlist!$A$2,BC435*(BA436=BA435),0,$BM$23,1),0)+BC435*(BA436=BA435)</f>
        <v>#N/A</v>
      </c>
      <c r="BD436" s="167">
        <f t="shared" ca="1" si="33"/>
        <v>0</v>
      </c>
      <c r="BE436" s="191" t="e">
        <f ca="1">(OFFSET(Pinlist!$E$1,BC436,0)-$BN$16)*$BN$19</f>
        <v>#N/A</v>
      </c>
      <c r="BF436" s="192" t="e">
        <f ca="1">(OFFSET(Pinlist!$F$1,BC436,0)-$BO$16)*$BO$19</f>
        <v>#N/A</v>
      </c>
      <c r="BG436" s="1098" t="str">
        <f ca="1">IF(LEFT(BD436,2)="RF",OFFSET(Pinlist!$D$1,Chart!BC436,0)&amp;"_"&amp;OFFSET(Pinlist!$G$1,Chart!BC436,0),"")</f>
        <v/>
      </c>
      <c r="BH436" s="1098"/>
      <c r="BI436" s="178"/>
      <c r="BJ436" s="178"/>
      <c r="BK436" s="178"/>
      <c r="BL436" s="178"/>
      <c r="BM436" s="178"/>
      <c r="BN436" s="178"/>
      <c r="BO436" s="178"/>
      <c r="BP436" s="178"/>
      <c r="BQ436" s="196"/>
      <c r="BR436" s="196"/>
      <c r="BS436" s="196"/>
      <c r="BT436" s="196"/>
      <c r="BU436" s="196"/>
      <c r="BV436" s="196"/>
      <c r="BW436" s="178"/>
      <c r="BX436" s="196"/>
      <c r="BY436" s="196"/>
      <c r="BZ436" s="196"/>
      <c r="CA436" s="196"/>
      <c r="CB436" s="178"/>
      <c r="CC436" s="178"/>
      <c r="CD436" s="202"/>
      <c r="CE436" s="202"/>
      <c r="CF436" s="178"/>
      <c r="CG436" s="196"/>
      <c r="CH436" s="178"/>
      <c r="CI436" s="178"/>
      <c r="CJ436" s="178"/>
      <c r="CK436" s="178"/>
      <c r="CL436" s="178"/>
      <c r="CM436" s="178"/>
      <c r="CN436" s="178"/>
      <c r="CO436" s="178"/>
      <c r="CP436" s="178"/>
      <c r="CQ436" s="178"/>
      <c r="CR436" s="178"/>
      <c r="CS436" s="178"/>
      <c r="CT436" s="178"/>
      <c r="CU436" s="178"/>
      <c r="CV436" s="178"/>
      <c r="CW436" s="178"/>
      <c r="CX436" s="178"/>
      <c r="CY436" s="178"/>
      <c r="CZ436" s="178"/>
      <c r="DA436" s="150"/>
    </row>
    <row r="437" spans="53:105" x14ac:dyDescent="0.2">
      <c r="BA437" s="518">
        <f t="shared" ca="1" si="31"/>
        <v>61</v>
      </c>
      <c r="BB437" s="174">
        <f t="shared" ca="1" si="32"/>
        <v>374</v>
      </c>
      <c r="BC437" s="525" t="e">
        <f ca="1">MATCH(BD437,OFFSET(Pinlist!$A$2,BC436*(BA437=BA436),0,$BM$23,1),0)+BC436*(BA437=BA436)</f>
        <v>#N/A</v>
      </c>
      <c r="BD437" s="167">
        <f t="shared" ca="1" si="33"/>
        <v>0</v>
      </c>
      <c r="BE437" s="191" t="e">
        <f ca="1">(OFFSET(Pinlist!$E$1,BC437,0)-$BN$16)*$BN$19</f>
        <v>#N/A</v>
      </c>
      <c r="BF437" s="192" t="e">
        <f ca="1">(OFFSET(Pinlist!$F$1,BC437,0)-$BO$16)*$BO$19</f>
        <v>#N/A</v>
      </c>
      <c r="BG437" s="1098" t="str">
        <f ca="1">IF(LEFT(BD437,2)="RF",OFFSET(Pinlist!$D$1,Chart!BC437,0)&amp;"_"&amp;OFFSET(Pinlist!$G$1,Chart!BC437,0),"")</f>
        <v/>
      </c>
      <c r="BH437" s="1098"/>
      <c r="BI437" s="178"/>
      <c r="BJ437" s="178"/>
      <c r="BK437" s="178"/>
      <c r="BL437" s="178"/>
      <c r="BM437" s="178"/>
      <c r="BN437" s="178"/>
      <c r="BO437" s="178"/>
      <c r="BP437" s="178"/>
      <c r="BQ437" s="196"/>
      <c r="BR437" s="196"/>
      <c r="BS437" s="196"/>
      <c r="BT437" s="196"/>
      <c r="BU437" s="196"/>
      <c r="BV437" s="196"/>
      <c r="BW437" s="178"/>
      <c r="BX437" s="196"/>
      <c r="BY437" s="196"/>
      <c r="BZ437" s="196"/>
      <c r="CA437" s="196"/>
      <c r="CB437" s="178"/>
      <c r="CC437" s="178"/>
      <c r="CD437" s="202"/>
      <c r="CE437" s="202"/>
      <c r="CF437" s="178"/>
      <c r="CG437" s="196"/>
      <c r="CH437" s="178"/>
      <c r="CI437" s="178"/>
      <c r="CJ437" s="178"/>
      <c r="CK437" s="178"/>
      <c r="CL437" s="178"/>
      <c r="CM437" s="178"/>
      <c r="CN437" s="178"/>
      <c r="CO437" s="178"/>
      <c r="CP437" s="178"/>
      <c r="CQ437" s="178"/>
      <c r="CR437" s="178"/>
      <c r="CS437" s="178"/>
      <c r="CT437" s="178"/>
      <c r="CU437" s="178"/>
      <c r="CV437" s="178"/>
      <c r="CW437" s="178"/>
      <c r="CX437" s="178"/>
      <c r="CY437" s="178"/>
      <c r="CZ437" s="178"/>
      <c r="DA437" s="150"/>
    </row>
    <row r="438" spans="53:105" x14ac:dyDescent="0.2">
      <c r="BA438" s="518">
        <f t="shared" ca="1" si="31"/>
        <v>61</v>
      </c>
      <c r="BB438" s="174">
        <f t="shared" ca="1" si="32"/>
        <v>375</v>
      </c>
      <c r="BC438" s="525" t="e">
        <f ca="1">MATCH(BD438,OFFSET(Pinlist!$A$2,BC437*(BA438=BA437),0,$BM$23,1),0)+BC437*(BA438=BA437)</f>
        <v>#N/A</v>
      </c>
      <c r="BD438" s="167">
        <f t="shared" ca="1" si="33"/>
        <v>0</v>
      </c>
      <c r="BE438" s="191" t="e">
        <f ca="1">(OFFSET(Pinlist!$E$1,BC438,0)-$BN$16)*$BN$19</f>
        <v>#N/A</v>
      </c>
      <c r="BF438" s="192" t="e">
        <f ca="1">(OFFSET(Pinlist!$F$1,BC438,0)-$BO$16)*$BO$19</f>
        <v>#N/A</v>
      </c>
      <c r="BG438" s="1098" t="str">
        <f ca="1">IF(LEFT(BD438,2)="RF",OFFSET(Pinlist!$D$1,Chart!BC438,0)&amp;"_"&amp;OFFSET(Pinlist!$G$1,Chart!BC438,0),"")</f>
        <v/>
      </c>
      <c r="BH438" s="1098"/>
      <c r="BI438" s="178"/>
      <c r="BJ438" s="178"/>
      <c r="BK438" s="178"/>
      <c r="BL438" s="178"/>
      <c r="BM438" s="178"/>
      <c r="BN438" s="178"/>
      <c r="BO438" s="178"/>
      <c r="BP438" s="178"/>
      <c r="BQ438" s="196"/>
      <c r="BR438" s="196"/>
      <c r="BS438" s="196"/>
      <c r="BT438" s="196"/>
      <c r="BU438" s="196"/>
      <c r="BV438" s="196"/>
      <c r="BW438" s="178"/>
      <c r="BX438" s="196"/>
      <c r="BY438" s="196"/>
      <c r="BZ438" s="196"/>
      <c r="CA438" s="196"/>
      <c r="CB438" s="178"/>
      <c r="CC438" s="178"/>
      <c r="CD438" s="202"/>
      <c r="CE438" s="202"/>
      <c r="CF438" s="178"/>
      <c r="CG438" s="196"/>
      <c r="CH438" s="178"/>
      <c r="CI438" s="178"/>
      <c r="CJ438" s="178"/>
      <c r="CK438" s="178"/>
      <c r="CL438" s="178"/>
      <c r="CM438" s="178"/>
      <c r="CN438" s="178"/>
      <c r="CO438" s="178"/>
      <c r="CP438" s="178"/>
      <c r="CQ438" s="178"/>
      <c r="CR438" s="178"/>
      <c r="CS438" s="178"/>
      <c r="CT438" s="178"/>
      <c r="CU438" s="178"/>
      <c r="CV438" s="178"/>
      <c r="CW438" s="178"/>
      <c r="CX438" s="178"/>
      <c r="CY438" s="178"/>
      <c r="CZ438" s="178"/>
      <c r="DA438" s="150"/>
    </row>
    <row r="439" spans="53:105" x14ac:dyDescent="0.2">
      <c r="BA439" s="518">
        <f t="shared" ca="1" si="31"/>
        <v>61</v>
      </c>
      <c r="BB439" s="174">
        <f t="shared" ca="1" si="32"/>
        <v>376</v>
      </c>
      <c r="BC439" s="525" t="e">
        <f ca="1">MATCH(BD439,OFFSET(Pinlist!$A$2,BC438*(BA439=BA438),0,$BM$23,1),0)+BC438*(BA439=BA438)</f>
        <v>#N/A</v>
      </c>
      <c r="BD439" s="167">
        <f t="shared" ca="1" si="33"/>
        <v>0</v>
      </c>
      <c r="BE439" s="191" t="e">
        <f ca="1">(OFFSET(Pinlist!$E$1,BC439,0)-$BN$16)*$BN$19</f>
        <v>#N/A</v>
      </c>
      <c r="BF439" s="192" t="e">
        <f ca="1">(OFFSET(Pinlist!$F$1,BC439,0)-$BO$16)*$BO$19</f>
        <v>#N/A</v>
      </c>
      <c r="BG439" s="1098" t="str">
        <f ca="1">IF(LEFT(BD439,2)="RF",OFFSET(Pinlist!$D$1,Chart!BC439,0)&amp;"_"&amp;OFFSET(Pinlist!$G$1,Chart!BC439,0),"")</f>
        <v/>
      </c>
      <c r="BH439" s="1098"/>
      <c r="BI439" s="178"/>
      <c r="BJ439" s="178"/>
      <c r="BK439" s="178"/>
      <c r="BL439" s="178"/>
      <c r="BM439" s="178"/>
      <c r="BN439" s="178"/>
      <c r="BO439" s="178"/>
      <c r="BP439" s="178"/>
      <c r="BQ439" s="196"/>
      <c r="BR439" s="196"/>
      <c r="BS439" s="196"/>
      <c r="BT439" s="196"/>
      <c r="BU439" s="196"/>
      <c r="BV439" s="196"/>
      <c r="BW439" s="178"/>
      <c r="BX439" s="196"/>
      <c r="BY439" s="196"/>
      <c r="BZ439" s="196"/>
      <c r="CA439" s="196"/>
      <c r="CB439" s="178"/>
      <c r="CC439" s="178"/>
      <c r="CD439" s="202"/>
      <c r="CE439" s="202"/>
      <c r="CF439" s="178"/>
      <c r="CG439" s="196"/>
      <c r="CH439" s="178"/>
      <c r="CI439" s="178"/>
      <c r="CJ439" s="178"/>
      <c r="CK439" s="178"/>
      <c r="CL439" s="178"/>
      <c r="CM439" s="178"/>
      <c r="CN439" s="178"/>
      <c r="CO439" s="178"/>
      <c r="CP439" s="178"/>
      <c r="CQ439" s="178"/>
      <c r="CR439" s="178"/>
      <c r="CS439" s="178"/>
      <c r="CT439" s="178"/>
      <c r="CU439" s="178"/>
      <c r="CV439" s="178"/>
      <c r="CW439" s="178"/>
      <c r="CX439" s="178"/>
      <c r="CY439" s="178"/>
      <c r="CZ439" s="178"/>
      <c r="DA439" s="150"/>
    </row>
    <row r="440" spans="53:105" x14ac:dyDescent="0.2">
      <c r="BA440" s="518">
        <f t="shared" ca="1" si="31"/>
        <v>61</v>
      </c>
      <c r="BB440" s="174">
        <f t="shared" ca="1" si="32"/>
        <v>377</v>
      </c>
      <c r="BC440" s="525" t="e">
        <f ca="1">MATCH(BD440,OFFSET(Pinlist!$A$2,BC439*(BA440=BA439),0,$BM$23,1),0)+BC439*(BA440=BA439)</f>
        <v>#N/A</v>
      </c>
      <c r="BD440" s="167">
        <f t="shared" ca="1" si="33"/>
        <v>0</v>
      </c>
      <c r="BE440" s="191" t="e">
        <f ca="1">(OFFSET(Pinlist!$E$1,BC440,0)-$BN$16)*$BN$19</f>
        <v>#N/A</v>
      </c>
      <c r="BF440" s="192" t="e">
        <f ca="1">(OFFSET(Pinlist!$F$1,BC440,0)-$BO$16)*$BO$19</f>
        <v>#N/A</v>
      </c>
      <c r="BG440" s="1098" t="str">
        <f ca="1">IF(LEFT(BD440,2)="RF",OFFSET(Pinlist!$D$1,Chart!BC440,0)&amp;"_"&amp;OFFSET(Pinlist!$G$1,Chart!BC440,0),"")</f>
        <v/>
      </c>
      <c r="BH440" s="1098"/>
      <c r="BI440" s="178"/>
      <c r="BJ440" s="178"/>
      <c r="BK440" s="178"/>
      <c r="BL440" s="178"/>
      <c r="BM440" s="178"/>
      <c r="BN440" s="178"/>
      <c r="BO440" s="178"/>
      <c r="BP440" s="178"/>
      <c r="BQ440" s="196"/>
      <c r="BR440" s="196"/>
      <c r="BS440" s="196"/>
      <c r="BT440" s="196"/>
      <c r="BU440" s="196"/>
      <c r="BV440" s="196"/>
      <c r="BW440" s="178"/>
      <c r="BX440" s="196"/>
      <c r="BY440" s="196"/>
      <c r="BZ440" s="196"/>
      <c r="CA440" s="196"/>
      <c r="CB440" s="178"/>
      <c r="CC440" s="178"/>
      <c r="CD440" s="202"/>
      <c r="CE440" s="202"/>
      <c r="CF440" s="178"/>
      <c r="CG440" s="196"/>
      <c r="CH440" s="178"/>
      <c r="CI440" s="178"/>
      <c r="CJ440" s="178"/>
      <c r="CK440" s="178"/>
      <c r="CL440" s="178"/>
      <c r="CM440" s="178"/>
      <c r="CN440" s="178"/>
      <c r="CO440" s="178"/>
      <c r="CP440" s="178"/>
      <c r="CQ440" s="178"/>
      <c r="CR440" s="178"/>
      <c r="CS440" s="178"/>
      <c r="CT440" s="178"/>
      <c r="CU440" s="178"/>
      <c r="CV440" s="178"/>
      <c r="CW440" s="178"/>
      <c r="CX440" s="178"/>
      <c r="CY440" s="178"/>
      <c r="CZ440" s="178"/>
      <c r="DA440" s="150"/>
    </row>
    <row r="441" spans="53:105" x14ac:dyDescent="0.2">
      <c r="BA441" s="518">
        <f t="shared" ca="1" si="31"/>
        <v>61</v>
      </c>
      <c r="BB441" s="174">
        <f t="shared" ca="1" si="32"/>
        <v>378</v>
      </c>
      <c r="BC441" s="525" t="e">
        <f ca="1">MATCH(BD441,OFFSET(Pinlist!$A$2,BC440*(BA441=BA440),0,$BM$23,1),0)+BC440*(BA441=BA440)</f>
        <v>#N/A</v>
      </c>
      <c r="BD441" s="167">
        <f t="shared" ca="1" si="33"/>
        <v>0</v>
      </c>
      <c r="BE441" s="191" t="e">
        <f ca="1">(OFFSET(Pinlist!$E$1,BC441,0)-$BN$16)*$BN$19</f>
        <v>#N/A</v>
      </c>
      <c r="BF441" s="192" t="e">
        <f ca="1">(OFFSET(Pinlist!$F$1,BC441,0)-$BO$16)*$BO$19</f>
        <v>#N/A</v>
      </c>
      <c r="BG441" s="1098" t="str">
        <f ca="1">IF(LEFT(BD441,2)="RF",OFFSET(Pinlist!$D$1,Chart!BC441,0)&amp;"_"&amp;OFFSET(Pinlist!$G$1,Chart!BC441,0),"")</f>
        <v/>
      </c>
      <c r="BH441" s="1098"/>
      <c r="BI441" s="178"/>
      <c r="BJ441" s="178"/>
      <c r="BK441" s="178"/>
      <c r="BL441" s="178"/>
      <c r="BM441" s="178"/>
      <c r="BN441" s="178"/>
      <c r="BO441" s="178"/>
      <c r="BP441" s="178"/>
      <c r="BQ441" s="196"/>
      <c r="BR441" s="196"/>
      <c r="BS441" s="196"/>
      <c r="BT441" s="196"/>
      <c r="BU441" s="196"/>
      <c r="BV441" s="196"/>
      <c r="BW441" s="178"/>
      <c r="BX441" s="196"/>
      <c r="BY441" s="196"/>
      <c r="BZ441" s="196"/>
      <c r="CA441" s="196"/>
      <c r="CB441" s="178"/>
      <c r="CC441" s="178"/>
      <c r="CD441" s="202"/>
      <c r="CE441" s="202"/>
      <c r="CF441" s="178"/>
      <c r="CG441" s="196"/>
      <c r="CH441" s="178"/>
      <c r="CI441" s="178"/>
      <c r="CJ441" s="178"/>
      <c r="CK441" s="178"/>
      <c r="CL441" s="178"/>
      <c r="CM441" s="178"/>
      <c r="CN441" s="178"/>
      <c r="CO441" s="178"/>
      <c r="CP441" s="178"/>
      <c r="CQ441" s="178"/>
      <c r="CR441" s="178"/>
      <c r="CS441" s="178"/>
      <c r="CT441" s="178"/>
      <c r="CU441" s="178"/>
      <c r="CV441" s="178"/>
      <c r="CW441" s="178"/>
      <c r="CX441" s="178"/>
      <c r="CY441" s="178"/>
      <c r="CZ441" s="178"/>
      <c r="DA441" s="150"/>
    </row>
    <row r="442" spans="53:105" x14ac:dyDescent="0.2">
      <c r="BA442" s="518">
        <f t="shared" ca="1" si="31"/>
        <v>61</v>
      </c>
      <c r="BB442" s="174">
        <f t="shared" ca="1" si="32"/>
        <v>379</v>
      </c>
      <c r="BC442" s="525" t="e">
        <f ca="1">MATCH(BD442,OFFSET(Pinlist!$A$2,BC441*(BA442=BA441),0,$BM$23,1),0)+BC441*(BA442=BA441)</f>
        <v>#N/A</v>
      </c>
      <c r="BD442" s="167">
        <f t="shared" ca="1" si="33"/>
        <v>0</v>
      </c>
      <c r="BE442" s="191" t="e">
        <f ca="1">(OFFSET(Pinlist!$E$1,BC442,0)-$BN$16)*$BN$19</f>
        <v>#N/A</v>
      </c>
      <c r="BF442" s="192" t="e">
        <f ca="1">(OFFSET(Pinlist!$F$1,BC442,0)-$BO$16)*$BO$19</f>
        <v>#N/A</v>
      </c>
      <c r="BG442" s="1098" t="str">
        <f ca="1">IF(LEFT(BD442,2)="RF",OFFSET(Pinlist!$D$1,Chart!BC442,0)&amp;"_"&amp;OFFSET(Pinlist!$G$1,Chart!BC442,0),"")</f>
        <v/>
      </c>
      <c r="BH442" s="1098"/>
      <c r="BI442" s="178"/>
      <c r="BJ442" s="178"/>
      <c r="BK442" s="178"/>
      <c r="BL442" s="178"/>
      <c r="BM442" s="178"/>
      <c r="BN442" s="178"/>
      <c r="BO442" s="178"/>
      <c r="BP442" s="178"/>
      <c r="BQ442" s="196"/>
      <c r="BR442" s="196"/>
      <c r="BS442" s="196"/>
      <c r="BT442" s="196"/>
      <c r="BU442" s="196"/>
      <c r="BV442" s="196"/>
      <c r="BW442" s="178"/>
      <c r="BX442" s="196"/>
      <c r="BY442" s="196"/>
      <c r="BZ442" s="196"/>
      <c r="CA442" s="196"/>
      <c r="CB442" s="178"/>
      <c r="CC442" s="178"/>
      <c r="CD442" s="202"/>
      <c r="CE442" s="202"/>
      <c r="CF442" s="178"/>
      <c r="CG442" s="196"/>
      <c r="CH442" s="178"/>
      <c r="CI442" s="178"/>
      <c r="CJ442" s="178"/>
      <c r="CK442" s="178"/>
      <c r="CL442" s="178"/>
      <c r="CM442" s="178"/>
      <c r="CN442" s="178"/>
      <c r="CO442" s="178"/>
      <c r="CP442" s="178"/>
      <c r="CQ442" s="178"/>
      <c r="CR442" s="178"/>
      <c r="CS442" s="178"/>
      <c r="CT442" s="178"/>
      <c r="CU442" s="178"/>
      <c r="CV442" s="178"/>
      <c r="CW442" s="178"/>
      <c r="CX442" s="178"/>
      <c r="CY442" s="178"/>
      <c r="CZ442" s="178"/>
      <c r="DA442" s="150"/>
    </row>
    <row r="443" spans="53:105" x14ac:dyDescent="0.2">
      <c r="BA443" s="518">
        <f t="shared" ca="1" si="31"/>
        <v>61</v>
      </c>
      <c r="BB443" s="174">
        <f t="shared" ca="1" si="32"/>
        <v>380</v>
      </c>
      <c r="BC443" s="525" t="e">
        <f ca="1">MATCH(BD443,OFFSET(Pinlist!$A$2,BC442*(BA443=BA442),0,$BM$23,1),0)+BC442*(BA443=BA442)</f>
        <v>#N/A</v>
      </c>
      <c r="BD443" s="167">
        <f t="shared" ca="1" si="33"/>
        <v>0</v>
      </c>
      <c r="BE443" s="191" t="e">
        <f ca="1">(OFFSET(Pinlist!$E$1,BC443,0)-$BN$16)*$BN$19</f>
        <v>#N/A</v>
      </c>
      <c r="BF443" s="192" t="e">
        <f ca="1">(OFFSET(Pinlist!$F$1,BC443,0)-$BO$16)*$BO$19</f>
        <v>#N/A</v>
      </c>
      <c r="BG443" s="1098" t="str">
        <f ca="1">IF(LEFT(BD443,2)="RF",OFFSET(Pinlist!$D$1,Chart!BC443,0)&amp;"_"&amp;OFFSET(Pinlist!$G$1,Chart!BC443,0),"")</f>
        <v/>
      </c>
      <c r="BH443" s="1098"/>
      <c r="BI443" s="178"/>
      <c r="BJ443" s="178"/>
      <c r="BK443" s="178"/>
      <c r="BL443" s="178"/>
      <c r="BM443" s="178"/>
      <c r="BN443" s="178"/>
      <c r="BO443" s="178"/>
      <c r="BP443" s="178"/>
      <c r="BQ443" s="196"/>
      <c r="BR443" s="196"/>
      <c r="BS443" s="196"/>
      <c r="BT443" s="196"/>
      <c r="BU443" s="196"/>
      <c r="BV443" s="196"/>
      <c r="BW443" s="178"/>
      <c r="BX443" s="196"/>
      <c r="BY443" s="196"/>
      <c r="BZ443" s="196"/>
      <c r="CA443" s="196"/>
      <c r="CB443" s="178"/>
      <c r="CC443" s="178"/>
      <c r="CD443" s="202"/>
      <c r="CE443" s="202"/>
      <c r="CF443" s="178"/>
      <c r="CG443" s="196"/>
      <c r="CH443" s="178"/>
      <c r="CI443" s="178"/>
      <c r="CJ443" s="178"/>
      <c r="CK443" s="178"/>
      <c r="CL443" s="178"/>
      <c r="CM443" s="178"/>
      <c r="CN443" s="178"/>
      <c r="CO443" s="178"/>
      <c r="CP443" s="178"/>
      <c r="CQ443" s="178"/>
      <c r="CR443" s="178"/>
      <c r="CS443" s="178"/>
      <c r="CT443" s="178"/>
      <c r="CU443" s="178"/>
      <c r="CV443" s="178"/>
      <c r="CW443" s="178"/>
      <c r="CX443" s="178"/>
      <c r="CY443" s="178"/>
      <c r="CZ443" s="178"/>
      <c r="DA443" s="150"/>
    </row>
    <row r="444" spans="53:105" x14ac:dyDescent="0.2">
      <c r="BA444" s="518">
        <f t="shared" ca="1" si="31"/>
        <v>61</v>
      </c>
      <c r="BB444" s="174">
        <f t="shared" ca="1" si="32"/>
        <v>381</v>
      </c>
      <c r="BC444" s="525" t="e">
        <f ca="1">MATCH(BD444,OFFSET(Pinlist!$A$2,BC443*(BA444=BA443),0,$BM$23,1),0)+BC443*(BA444=BA443)</f>
        <v>#N/A</v>
      </c>
      <c r="BD444" s="167">
        <f t="shared" ca="1" si="33"/>
        <v>0</v>
      </c>
      <c r="BE444" s="191" t="e">
        <f ca="1">(OFFSET(Pinlist!$E$1,BC444,0)-$BN$16)*$BN$19</f>
        <v>#N/A</v>
      </c>
      <c r="BF444" s="192" t="e">
        <f ca="1">(OFFSET(Pinlist!$F$1,BC444,0)-$BO$16)*$BO$19</f>
        <v>#N/A</v>
      </c>
      <c r="BG444" s="1098" t="str">
        <f ca="1">IF(LEFT(BD444,2)="RF",OFFSET(Pinlist!$D$1,Chart!BC444,0)&amp;"_"&amp;OFFSET(Pinlist!$G$1,Chart!BC444,0),"")</f>
        <v/>
      </c>
      <c r="BH444" s="1098"/>
      <c r="BI444" s="178"/>
      <c r="BJ444" s="178"/>
      <c r="BK444" s="178"/>
      <c r="BL444" s="178"/>
      <c r="BM444" s="178"/>
      <c r="BN444" s="178"/>
      <c r="BO444" s="178"/>
      <c r="BP444" s="178"/>
      <c r="BQ444" s="196"/>
      <c r="BR444" s="196"/>
      <c r="BS444" s="196"/>
      <c r="BT444" s="196"/>
      <c r="BU444" s="196"/>
      <c r="BV444" s="196"/>
      <c r="BW444" s="178"/>
      <c r="BX444" s="196"/>
      <c r="BY444" s="196"/>
      <c r="BZ444" s="196"/>
      <c r="CA444" s="196"/>
      <c r="CB444" s="178"/>
      <c r="CC444" s="178"/>
      <c r="CD444" s="202"/>
      <c r="CE444" s="202"/>
      <c r="CF444" s="178"/>
      <c r="CG444" s="196"/>
      <c r="CH444" s="178"/>
      <c r="CI444" s="178"/>
      <c r="CJ444" s="178"/>
      <c r="CK444" s="178"/>
      <c r="CL444" s="178"/>
      <c r="CM444" s="178"/>
      <c r="CN444" s="178"/>
      <c r="CO444" s="178"/>
      <c r="CP444" s="178"/>
      <c r="CQ444" s="178"/>
      <c r="CR444" s="178"/>
      <c r="CS444" s="178"/>
      <c r="CT444" s="178"/>
      <c r="CU444" s="178"/>
      <c r="CV444" s="178"/>
      <c r="CW444" s="178"/>
      <c r="CX444" s="178"/>
      <c r="CY444" s="178"/>
      <c r="CZ444" s="178"/>
      <c r="DA444" s="150"/>
    </row>
    <row r="445" spans="53:105" x14ac:dyDescent="0.2">
      <c r="BA445" s="518">
        <f t="shared" ca="1" si="31"/>
        <v>61</v>
      </c>
      <c r="BB445" s="174">
        <f t="shared" ca="1" si="32"/>
        <v>382</v>
      </c>
      <c r="BC445" s="525" t="e">
        <f ca="1">MATCH(BD445,OFFSET(Pinlist!$A$2,BC444*(BA445=BA444),0,$BM$23,1),0)+BC444*(BA445=BA444)</f>
        <v>#N/A</v>
      </c>
      <c r="BD445" s="167">
        <f t="shared" ca="1" si="33"/>
        <v>0</v>
      </c>
      <c r="BE445" s="191" t="e">
        <f ca="1">(OFFSET(Pinlist!$E$1,BC445,0)-$BN$16)*$BN$19</f>
        <v>#N/A</v>
      </c>
      <c r="BF445" s="192" t="e">
        <f ca="1">(OFFSET(Pinlist!$F$1,BC445,0)-$BO$16)*$BO$19</f>
        <v>#N/A</v>
      </c>
      <c r="BG445" s="1098" t="str">
        <f ca="1">IF(LEFT(BD445,2)="RF",OFFSET(Pinlist!$D$1,Chart!BC445,0)&amp;"_"&amp;OFFSET(Pinlist!$G$1,Chart!BC445,0),"")</f>
        <v/>
      </c>
      <c r="BH445" s="1098"/>
      <c r="BI445" s="178"/>
      <c r="BJ445" s="178"/>
      <c r="BK445" s="178"/>
      <c r="BL445" s="178"/>
      <c r="BM445" s="178"/>
      <c r="BN445" s="178"/>
      <c r="BO445" s="178"/>
      <c r="BP445" s="178"/>
      <c r="BQ445" s="196"/>
      <c r="BR445" s="196"/>
      <c r="BS445" s="196"/>
      <c r="BT445" s="196"/>
      <c r="BU445" s="196"/>
      <c r="BV445" s="196"/>
      <c r="BW445" s="178"/>
      <c r="BX445" s="196"/>
      <c r="BY445" s="196"/>
      <c r="BZ445" s="196"/>
      <c r="CA445" s="196"/>
      <c r="CB445" s="178"/>
      <c r="CC445" s="178"/>
      <c r="CD445" s="202"/>
      <c r="CE445" s="202"/>
      <c r="CF445" s="178"/>
      <c r="CG445" s="196"/>
      <c r="CH445" s="178"/>
      <c r="CI445" s="178"/>
      <c r="CJ445" s="178"/>
      <c r="CK445" s="178"/>
      <c r="CL445" s="178"/>
      <c r="CM445" s="178"/>
      <c r="CN445" s="178"/>
      <c r="CO445" s="178"/>
      <c r="CP445" s="178"/>
      <c r="CQ445" s="178"/>
      <c r="CR445" s="178"/>
      <c r="CS445" s="178"/>
      <c r="CT445" s="178"/>
      <c r="CU445" s="178"/>
      <c r="CV445" s="178"/>
      <c r="CW445" s="178"/>
      <c r="CX445" s="178"/>
      <c r="CY445" s="178"/>
      <c r="CZ445" s="178"/>
      <c r="DA445" s="150"/>
    </row>
    <row r="446" spans="53:105" x14ac:dyDescent="0.2">
      <c r="BA446" s="518">
        <f t="shared" ca="1" si="31"/>
        <v>61</v>
      </c>
      <c r="BB446" s="174">
        <f t="shared" ca="1" si="32"/>
        <v>383</v>
      </c>
      <c r="BC446" s="525" t="e">
        <f ca="1">MATCH(BD446,OFFSET(Pinlist!$A$2,BC445*(BA446=BA445),0,$BM$23,1),0)+BC445*(BA446=BA445)</f>
        <v>#N/A</v>
      </c>
      <c r="BD446" s="167">
        <f t="shared" ca="1" si="33"/>
        <v>0</v>
      </c>
      <c r="BE446" s="191" t="e">
        <f ca="1">(OFFSET(Pinlist!$E$1,BC446,0)-$BN$16)*$BN$19</f>
        <v>#N/A</v>
      </c>
      <c r="BF446" s="192" t="e">
        <f ca="1">(OFFSET(Pinlist!$F$1,BC446,0)-$BO$16)*$BO$19</f>
        <v>#N/A</v>
      </c>
      <c r="BG446" s="1098" t="str">
        <f ca="1">IF(LEFT(BD446,2)="RF",OFFSET(Pinlist!$D$1,Chart!BC446,0)&amp;"_"&amp;OFFSET(Pinlist!$G$1,Chart!BC446,0),"")</f>
        <v/>
      </c>
      <c r="BH446" s="1098"/>
      <c r="BI446" s="178"/>
      <c r="BJ446" s="178"/>
      <c r="BK446" s="178"/>
      <c r="BL446" s="178"/>
      <c r="BM446" s="178"/>
      <c r="BN446" s="178"/>
      <c r="BO446" s="178"/>
      <c r="BP446" s="178"/>
      <c r="BQ446" s="196"/>
      <c r="BR446" s="196"/>
      <c r="BS446" s="196"/>
      <c r="BT446" s="196"/>
      <c r="BU446" s="196"/>
      <c r="BV446" s="196"/>
      <c r="BW446" s="178"/>
      <c r="BX446" s="196"/>
      <c r="BY446" s="196"/>
      <c r="BZ446" s="196"/>
      <c r="CA446" s="196"/>
      <c r="CB446" s="178"/>
      <c r="CC446" s="178"/>
      <c r="CD446" s="202"/>
      <c r="CE446" s="202"/>
      <c r="CF446" s="178"/>
      <c r="CG446" s="196"/>
      <c r="CH446" s="178"/>
      <c r="CI446" s="178"/>
      <c r="CJ446" s="178"/>
      <c r="CK446" s="178"/>
      <c r="CL446" s="178"/>
      <c r="CM446" s="178"/>
      <c r="CN446" s="178"/>
      <c r="CO446" s="178"/>
      <c r="CP446" s="178"/>
      <c r="CQ446" s="178"/>
      <c r="CR446" s="178"/>
      <c r="CS446" s="178"/>
      <c r="CT446" s="178"/>
      <c r="CU446" s="178"/>
      <c r="CV446" s="178"/>
      <c r="CW446" s="178"/>
      <c r="CX446" s="178"/>
      <c r="CY446" s="178"/>
      <c r="CZ446" s="178"/>
      <c r="DA446" s="150"/>
    </row>
    <row r="447" spans="53:105" x14ac:dyDescent="0.2">
      <c r="BA447" s="518">
        <f t="shared" ca="1" si="31"/>
        <v>61</v>
      </c>
      <c r="BB447" s="174">
        <f t="shared" ca="1" si="32"/>
        <v>384</v>
      </c>
      <c r="BC447" s="525" t="e">
        <f ca="1">MATCH(BD447,OFFSET(Pinlist!$A$2,BC446*(BA447=BA446),0,$BM$23,1),0)+BC446*(BA447=BA446)</f>
        <v>#N/A</v>
      </c>
      <c r="BD447" s="167">
        <f t="shared" ca="1" si="33"/>
        <v>0</v>
      </c>
      <c r="BE447" s="191" t="e">
        <f ca="1">(OFFSET(Pinlist!$E$1,BC447,0)-$BN$16)*$BN$19</f>
        <v>#N/A</v>
      </c>
      <c r="BF447" s="192" t="e">
        <f ca="1">(OFFSET(Pinlist!$F$1,BC447,0)-$BO$16)*$BO$19</f>
        <v>#N/A</v>
      </c>
      <c r="BG447" s="1098" t="str">
        <f ca="1">IF(LEFT(BD447,2)="RF",OFFSET(Pinlist!$D$1,Chart!BC447,0)&amp;"_"&amp;OFFSET(Pinlist!$G$1,Chart!BC447,0),"")</f>
        <v/>
      </c>
      <c r="BH447" s="1098"/>
      <c r="BI447" s="178"/>
      <c r="BJ447" s="178"/>
      <c r="BK447" s="178"/>
      <c r="BL447" s="178"/>
      <c r="BM447" s="178"/>
      <c r="BN447" s="178"/>
      <c r="BO447" s="178"/>
      <c r="BP447" s="178"/>
      <c r="BQ447" s="196"/>
      <c r="BR447" s="196"/>
      <c r="BS447" s="196"/>
      <c r="BT447" s="196"/>
      <c r="BU447" s="196"/>
      <c r="BV447" s="196"/>
      <c r="BW447" s="178"/>
      <c r="BX447" s="196"/>
      <c r="BY447" s="196"/>
      <c r="BZ447" s="196"/>
      <c r="CA447" s="196"/>
      <c r="CB447" s="178"/>
      <c r="CC447" s="178"/>
      <c r="CD447" s="202"/>
      <c r="CE447" s="202"/>
      <c r="CF447" s="178"/>
      <c r="CG447" s="196"/>
      <c r="CH447" s="178"/>
      <c r="CI447" s="178"/>
      <c r="CJ447" s="178"/>
      <c r="CK447" s="178"/>
      <c r="CL447" s="178"/>
      <c r="CM447" s="178"/>
      <c r="CN447" s="178"/>
      <c r="CO447" s="178"/>
      <c r="CP447" s="178"/>
      <c r="CQ447" s="178"/>
      <c r="CR447" s="178"/>
      <c r="CS447" s="178"/>
      <c r="CT447" s="178"/>
      <c r="CU447" s="178"/>
      <c r="CV447" s="178"/>
      <c r="CW447" s="178"/>
      <c r="CX447" s="178"/>
      <c r="CY447" s="178"/>
      <c r="CZ447" s="178"/>
      <c r="DA447" s="150"/>
    </row>
    <row r="448" spans="53:105" x14ac:dyDescent="0.2">
      <c r="BA448" s="518">
        <f t="shared" ca="1" si="31"/>
        <v>61</v>
      </c>
      <c r="BB448" s="174">
        <f t="shared" ca="1" si="32"/>
        <v>385</v>
      </c>
      <c r="BC448" s="525" t="e">
        <f ca="1">MATCH(BD448,OFFSET(Pinlist!$A$2,BC447*(BA448=BA447),0,$BM$23,1),0)+BC447*(BA448=BA447)</f>
        <v>#N/A</v>
      </c>
      <c r="BD448" s="167">
        <f t="shared" ca="1" si="33"/>
        <v>0</v>
      </c>
      <c r="BE448" s="191" t="e">
        <f ca="1">(OFFSET(Pinlist!$E$1,BC448,0)-$BN$16)*$BN$19</f>
        <v>#N/A</v>
      </c>
      <c r="BF448" s="192" t="e">
        <f ca="1">(OFFSET(Pinlist!$F$1,BC448,0)-$BO$16)*$BO$19</f>
        <v>#N/A</v>
      </c>
      <c r="BG448" s="1098" t="str">
        <f ca="1">IF(LEFT(BD448,2)="RF",OFFSET(Pinlist!$D$1,Chart!BC448,0)&amp;"_"&amp;OFFSET(Pinlist!$G$1,Chart!BC448,0),"")</f>
        <v/>
      </c>
      <c r="BH448" s="1098"/>
      <c r="BI448" s="178"/>
      <c r="BJ448" s="178"/>
      <c r="BK448" s="178"/>
      <c r="BL448" s="178"/>
      <c r="BM448" s="178"/>
      <c r="BN448" s="178"/>
      <c r="BO448" s="178"/>
      <c r="BP448" s="178"/>
      <c r="BQ448" s="196"/>
      <c r="BR448" s="196"/>
      <c r="BS448" s="196"/>
      <c r="BT448" s="196"/>
      <c r="BU448" s="196"/>
      <c r="BV448" s="196"/>
      <c r="BW448" s="178"/>
      <c r="BX448" s="196"/>
      <c r="BY448" s="196"/>
      <c r="BZ448" s="196"/>
      <c r="CA448" s="196"/>
      <c r="CB448" s="178"/>
      <c r="CC448" s="178"/>
      <c r="CD448" s="202"/>
      <c r="CE448" s="202"/>
      <c r="CF448" s="178"/>
      <c r="CG448" s="196"/>
      <c r="CH448" s="178"/>
      <c r="CI448" s="178"/>
      <c r="CJ448" s="178"/>
      <c r="CK448" s="178"/>
      <c r="CL448" s="178"/>
      <c r="CM448" s="178"/>
      <c r="CN448" s="178"/>
      <c r="CO448" s="178"/>
      <c r="CP448" s="178"/>
      <c r="CQ448" s="178"/>
      <c r="CR448" s="178"/>
      <c r="CS448" s="178"/>
      <c r="CT448" s="178"/>
      <c r="CU448" s="178"/>
      <c r="CV448" s="178"/>
      <c r="CW448" s="178"/>
      <c r="CX448" s="178"/>
      <c r="CY448" s="178"/>
      <c r="CZ448" s="178"/>
      <c r="DA448" s="150"/>
    </row>
    <row r="449" spans="53:105" x14ac:dyDescent="0.2">
      <c r="BA449" s="518">
        <f t="shared" ca="1" si="31"/>
        <v>61</v>
      </c>
      <c r="BB449" s="174">
        <f t="shared" ca="1" si="32"/>
        <v>386</v>
      </c>
      <c r="BC449" s="525" t="e">
        <f ca="1">MATCH(BD449,OFFSET(Pinlist!$A$2,BC448*(BA449=BA448),0,$BM$23,1),0)+BC448*(BA449=BA448)</f>
        <v>#N/A</v>
      </c>
      <c r="BD449" s="167">
        <f t="shared" ca="1" si="33"/>
        <v>0</v>
      </c>
      <c r="BE449" s="191" t="e">
        <f ca="1">(OFFSET(Pinlist!$E$1,BC449,0)-$BN$16)*$BN$19</f>
        <v>#N/A</v>
      </c>
      <c r="BF449" s="192" t="e">
        <f ca="1">(OFFSET(Pinlist!$F$1,BC449,0)-$BO$16)*$BO$19</f>
        <v>#N/A</v>
      </c>
      <c r="BG449" s="1098" t="str">
        <f ca="1">IF(LEFT(BD449,2)="RF",OFFSET(Pinlist!$D$1,Chart!BC449,0)&amp;"_"&amp;OFFSET(Pinlist!$G$1,Chart!BC449,0),"")</f>
        <v/>
      </c>
      <c r="BH449" s="1098"/>
      <c r="BI449" s="178"/>
      <c r="BJ449" s="178"/>
      <c r="BK449" s="178"/>
      <c r="BL449" s="178"/>
      <c r="BM449" s="178"/>
      <c r="BN449" s="178"/>
      <c r="BO449" s="178"/>
      <c r="BP449" s="178"/>
      <c r="BQ449" s="196"/>
      <c r="BR449" s="196"/>
      <c r="BS449" s="196"/>
      <c r="BT449" s="196"/>
      <c r="BU449" s="196"/>
      <c r="BV449" s="196"/>
      <c r="BW449" s="178"/>
      <c r="BX449" s="196"/>
      <c r="BY449" s="196"/>
      <c r="BZ449" s="196"/>
      <c r="CA449" s="196"/>
      <c r="CB449" s="178"/>
      <c r="CC449" s="178"/>
      <c r="CD449" s="202"/>
      <c r="CE449" s="202"/>
      <c r="CF449" s="178"/>
      <c r="CG449" s="196"/>
      <c r="CH449" s="178"/>
      <c r="CI449" s="178"/>
      <c r="CJ449" s="178"/>
      <c r="CK449" s="178"/>
      <c r="CL449" s="178"/>
      <c r="CM449" s="178"/>
      <c r="CN449" s="178"/>
      <c r="CO449" s="178"/>
      <c r="CP449" s="178"/>
      <c r="CQ449" s="178"/>
      <c r="CR449" s="178"/>
      <c r="CS449" s="178"/>
      <c r="CT449" s="178"/>
      <c r="CU449" s="178"/>
      <c r="CV449" s="178"/>
      <c r="CW449" s="178"/>
      <c r="CX449" s="178"/>
      <c r="CY449" s="178"/>
      <c r="CZ449" s="178"/>
      <c r="DA449" s="150"/>
    </row>
    <row r="450" spans="53:105" x14ac:dyDescent="0.2">
      <c r="BA450" s="518">
        <f t="shared" ca="1" si="31"/>
        <v>61</v>
      </c>
      <c r="BB450" s="174">
        <f t="shared" ca="1" si="32"/>
        <v>387</v>
      </c>
      <c r="BC450" s="525" t="e">
        <f ca="1">MATCH(BD450,OFFSET(Pinlist!$A$2,BC449*(BA450=BA449),0,$BM$23,1),0)+BC449*(BA450=BA449)</f>
        <v>#N/A</v>
      </c>
      <c r="BD450" s="167">
        <f t="shared" ca="1" si="33"/>
        <v>0</v>
      </c>
      <c r="BE450" s="191" t="e">
        <f ca="1">(OFFSET(Pinlist!$E$1,BC450,0)-$BN$16)*$BN$19</f>
        <v>#N/A</v>
      </c>
      <c r="BF450" s="192" t="e">
        <f ca="1">(OFFSET(Pinlist!$F$1,BC450,0)-$BO$16)*$BO$19</f>
        <v>#N/A</v>
      </c>
      <c r="BG450" s="1098" t="str">
        <f ca="1">IF(LEFT(BD450,2)="RF",OFFSET(Pinlist!$D$1,Chart!BC450,0)&amp;"_"&amp;OFFSET(Pinlist!$G$1,Chart!BC450,0),"")</f>
        <v/>
      </c>
      <c r="BH450" s="1098"/>
      <c r="BI450" s="178"/>
      <c r="BJ450" s="178"/>
      <c r="BK450" s="178"/>
      <c r="BL450" s="178"/>
      <c r="BM450" s="178"/>
      <c r="BN450" s="178"/>
      <c r="BO450" s="178"/>
      <c r="BP450" s="178"/>
      <c r="BQ450" s="196"/>
      <c r="BR450" s="196"/>
      <c r="BS450" s="196"/>
      <c r="BT450" s="196"/>
      <c r="BU450" s="196"/>
      <c r="BV450" s="196"/>
      <c r="BW450" s="178"/>
      <c r="BX450" s="196"/>
      <c r="BY450" s="196"/>
      <c r="BZ450" s="196"/>
      <c r="CA450" s="196"/>
      <c r="CB450" s="178"/>
      <c r="CC450" s="178"/>
      <c r="CD450" s="202"/>
      <c r="CE450" s="202"/>
      <c r="CF450" s="178"/>
      <c r="CG450" s="196"/>
      <c r="CH450" s="178"/>
      <c r="CI450" s="178"/>
      <c r="CJ450" s="178"/>
      <c r="CK450" s="178"/>
      <c r="CL450" s="178"/>
      <c r="CM450" s="178"/>
      <c r="CN450" s="178"/>
      <c r="CO450" s="178"/>
      <c r="CP450" s="178"/>
      <c r="CQ450" s="178"/>
      <c r="CR450" s="178"/>
      <c r="CS450" s="178"/>
      <c r="CT450" s="178"/>
      <c r="CU450" s="178"/>
      <c r="CV450" s="178"/>
      <c r="CW450" s="178"/>
      <c r="CX450" s="178"/>
      <c r="CY450" s="178"/>
      <c r="CZ450" s="178"/>
      <c r="DA450" s="150"/>
    </row>
    <row r="451" spans="53:105" x14ac:dyDescent="0.2">
      <c r="BA451" s="518">
        <f t="shared" ca="1" si="31"/>
        <v>61</v>
      </c>
      <c r="BB451" s="174">
        <f t="shared" ca="1" si="32"/>
        <v>388</v>
      </c>
      <c r="BC451" s="525" t="e">
        <f ca="1">MATCH(BD451,OFFSET(Pinlist!$A$2,BC450*(BA451=BA450),0,$BM$23,1),0)+BC450*(BA451=BA450)</f>
        <v>#N/A</v>
      </c>
      <c r="BD451" s="167">
        <f t="shared" ca="1" si="33"/>
        <v>0</v>
      </c>
      <c r="BE451" s="191" t="e">
        <f ca="1">(OFFSET(Pinlist!$E$1,BC451,0)-$BN$16)*$BN$19</f>
        <v>#N/A</v>
      </c>
      <c r="BF451" s="192" t="e">
        <f ca="1">(OFFSET(Pinlist!$F$1,BC451,0)-$BO$16)*$BO$19</f>
        <v>#N/A</v>
      </c>
      <c r="BG451" s="1098" t="str">
        <f ca="1">IF(LEFT(BD451,2)="RF",OFFSET(Pinlist!$D$1,Chart!BC451,0)&amp;"_"&amp;OFFSET(Pinlist!$G$1,Chart!BC451,0),"")</f>
        <v/>
      </c>
      <c r="BH451" s="1098"/>
      <c r="BI451" s="178"/>
      <c r="BJ451" s="178"/>
      <c r="BK451" s="178"/>
      <c r="BL451" s="178"/>
      <c r="BM451" s="178"/>
      <c r="BN451" s="178"/>
      <c r="BO451" s="178"/>
      <c r="BP451" s="178"/>
      <c r="BQ451" s="196"/>
      <c r="BR451" s="196"/>
      <c r="BS451" s="196"/>
      <c r="BT451" s="196"/>
      <c r="BU451" s="196"/>
      <c r="BV451" s="196"/>
      <c r="BW451" s="178"/>
      <c r="BX451" s="196"/>
      <c r="BY451" s="196"/>
      <c r="BZ451" s="196"/>
      <c r="CA451" s="196"/>
      <c r="CB451" s="178"/>
      <c r="CC451" s="178"/>
      <c r="CD451" s="202"/>
      <c r="CE451" s="202"/>
      <c r="CF451" s="178"/>
      <c r="CG451" s="196"/>
      <c r="CH451" s="178"/>
      <c r="CI451" s="178"/>
      <c r="CJ451" s="178"/>
      <c r="CK451" s="178"/>
      <c r="CL451" s="178"/>
      <c r="CM451" s="178"/>
      <c r="CN451" s="178"/>
      <c r="CO451" s="178"/>
      <c r="CP451" s="178"/>
      <c r="CQ451" s="178"/>
      <c r="CR451" s="178"/>
      <c r="CS451" s="178"/>
      <c r="CT451" s="178"/>
      <c r="CU451" s="178"/>
      <c r="CV451" s="178"/>
      <c r="CW451" s="178"/>
      <c r="CX451" s="178"/>
      <c r="CY451" s="178"/>
      <c r="CZ451" s="178"/>
      <c r="DA451" s="150"/>
    </row>
    <row r="452" spans="53:105" x14ac:dyDescent="0.2">
      <c r="BA452" s="518">
        <f t="shared" ref="BA452:BA515" ca="1" si="34">BA451+(BB451=OFFSET($BZ$3,BA451,0))</f>
        <v>61</v>
      </c>
      <c r="BB452" s="174">
        <f t="shared" ref="BB452:BB515" ca="1" si="35">IF(BA452=BA451,BB451+1,1)</f>
        <v>389</v>
      </c>
      <c r="BC452" s="525" t="e">
        <f ca="1">MATCH(BD452,OFFSET(Pinlist!$A$2,BC451*(BA452=BA451),0,$BM$23,1),0)+BC451*(BA452=BA451)</f>
        <v>#N/A</v>
      </c>
      <c r="BD452" s="167">
        <f t="shared" ref="BD452:BD515" ca="1" si="36">OFFSET($BY$3,BA452,0)</f>
        <v>0</v>
      </c>
      <c r="BE452" s="191" t="e">
        <f ca="1">(OFFSET(Pinlist!$E$1,BC452,0)-$BN$16)*$BN$19</f>
        <v>#N/A</v>
      </c>
      <c r="BF452" s="192" t="e">
        <f ca="1">(OFFSET(Pinlist!$F$1,BC452,0)-$BO$16)*$BO$19</f>
        <v>#N/A</v>
      </c>
      <c r="BG452" s="1098" t="str">
        <f ca="1">IF(LEFT(BD452,2)="RF",OFFSET(Pinlist!$D$1,Chart!BC452,0)&amp;"_"&amp;OFFSET(Pinlist!$G$1,Chart!BC452,0),"")</f>
        <v/>
      </c>
      <c r="BH452" s="1098"/>
      <c r="BI452" s="178"/>
      <c r="BJ452" s="178"/>
      <c r="BK452" s="178"/>
      <c r="BL452" s="178"/>
      <c r="BM452" s="178"/>
      <c r="BN452" s="178"/>
      <c r="BO452" s="178"/>
      <c r="BP452" s="178"/>
      <c r="BQ452" s="196"/>
      <c r="BR452" s="196"/>
      <c r="BS452" s="196"/>
      <c r="BT452" s="196"/>
      <c r="BU452" s="196"/>
      <c r="BV452" s="196"/>
      <c r="BW452" s="178"/>
      <c r="BX452" s="196"/>
      <c r="BY452" s="196"/>
      <c r="BZ452" s="196"/>
      <c r="CA452" s="196"/>
      <c r="CB452" s="178"/>
      <c r="CC452" s="178"/>
      <c r="CD452" s="202"/>
      <c r="CE452" s="202"/>
      <c r="CF452" s="178"/>
      <c r="CG452" s="196"/>
      <c r="CH452" s="178"/>
      <c r="CI452" s="178"/>
      <c r="CJ452" s="178"/>
      <c r="CK452" s="178"/>
      <c r="CL452" s="178"/>
      <c r="CM452" s="178"/>
      <c r="CN452" s="178"/>
      <c r="CO452" s="178"/>
      <c r="CP452" s="178"/>
      <c r="CQ452" s="178"/>
      <c r="CR452" s="178"/>
      <c r="CS452" s="178"/>
      <c r="CT452" s="178"/>
      <c r="CU452" s="178"/>
      <c r="CV452" s="178"/>
      <c r="CW452" s="178"/>
      <c r="CX452" s="178"/>
      <c r="CY452" s="178"/>
      <c r="CZ452" s="178"/>
      <c r="DA452" s="150"/>
    </row>
    <row r="453" spans="53:105" x14ac:dyDescent="0.2">
      <c r="BA453" s="518">
        <f t="shared" ca="1" si="34"/>
        <v>61</v>
      </c>
      <c r="BB453" s="174">
        <f t="shared" ca="1" si="35"/>
        <v>390</v>
      </c>
      <c r="BC453" s="525" t="e">
        <f ca="1">MATCH(BD453,OFFSET(Pinlist!$A$2,BC452*(BA453=BA452),0,$BM$23,1),0)+BC452*(BA453=BA452)</f>
        <v>#N/A</v>
      </c>
      <c r="BD453" s="167">
        <f t="shared" ca="1" si="36"/>
        <v>0</v>
      </c>
      <c r="BE453" s="191" t="e">
        <f ca="1">(OFFSET(Pinlist!$E$1,BC453,0)-$BN$16)*$BN$19</f>
        <v>#N/A</v>
      </c>
      <c r="BF453" s="192" t="e">
        <f ca="1">(OFFSET(Pinlist!$F$1,BC453,0)-$BO$16)*$BO$19</f>
        <v>#N/A</v>
      </c>
      <c r="BG453" s="1098" t="str">
        <f ca="1">IF(LEFT(BD453,2)="RF",OFFSET(Pinlist!$D$1,Chart!BC453,0)&amp;"_"&amp;OFFSET(Pinlist!$G$1,Chart!BC453,0),"")</f>
        <v/>
      </c>
      <c r="BH453" s="1098"/>
      <c r="BI453" s="178"/>
      <c r="BJ453" s="178"/>
      <c r="BK453" s="178"/>
      <c r="BL453" s="178"/>
      <c r="BM453" s="178"/>
      <c r="BN453" s="178"/>
      <c r="BO453" s="178"/>
      <c r="BP453" s="178"/>
      <c r="BQ453" s="196"/>
      <c r="BR453" s="196"/>
      <c r="BS453" s="196"/>
      <c r="BT453" s="196"/>
      <c r="BU453" s="196"/>
      <c r="BV453" s="196"/>
      <c r="BW453" s="178"/>
      <c r="BX453" s="196"/>
      <c r="BY453" s="196"/>
      <c r="BZ453" s="196"/>
      <c r="CA453" s="196"/>
      <c r="CB453" s="178"/>
      <c r="CC453" s="178"/>
      <c r="CD453" s="202"/>
      <c r="CE453" s="202"/>
      <c r="CF453" s="178"/>
      <c r="CG453" s="196"/>
      <c r="CH453" s="178"/>
      <c r="CI453" s="178"/>
      <c r="CJ453" s="178"/>
      <c r="CK453" s="178"/>
      <c r="CL453" s="178"/>
      <c r="CM453" s="178"/>
      <c r="CN453" s="178"/>
      <c r="CO453" s="178"/>
      <c r="CP453" s="178"/>
      <c r="CQ453" s="178"/>
      <c r="CR453" s="178"/>
      <c r="CS453" s="178"/>
      <c r="CT453" s="178"/>
      <c r="CU453" s="178"/>
      <c r="CV453" s="178"/>
      <c r="CW453" s="178"/>
      <c r="CX453" s="178"/>
      <c r="CY453" s="178"/>
      <c r="CZ453" s="178"/>
      <c r="DA453" s="150"/>
    </row>
    <row r="454" spans="53:105" x14ac:dyDescent="0.2">
      <c r="BA454" s="518">
        <f t="shared" ca="1" si="34"/>
        <v>61</v>
      </c>
      <c r="BB454" s="174">
        <f t="shared" ca="1" si="35"/>
        <v>391</v>
      </c>
      <c r="BC454" s="525" t="e">
        <f ca="1">MATCH(BD454,OFFSET(Pinlist!$A$2,BC453*(BA454=BA453),0,$BM$23,1),0)+BC453*(BA454=BA453)</f>
        <v>#N/A</v>
      </c>
      <c r="BD454" s="167">
        <f t="shared" ca="1" si="36"/>
        <v>0</v>
      </c>
      <c r="BE454" s="191" t="e">
        <f ca="1">(OFFSET(Pinlist!$E$1,BC454,0)-$BN$16)*$BN$19</f>
        <v>#N/A</v>
      </c>
      <c r="BF454" s="192" t="e">
        <f ca="1">(OFFSET(Pinlist!$F$1,BC454,0)-$BO$16)*$BO$19</f>
        <v>#N/A</v>
      </c>
      <c r="BG454" s="1098" t="str">
        <f ca="1">IF(LEFT(BD454,2)="RF",OFFSET(Pinlist!$D$1,Chart!BC454,0)&amp;"_"&amp;OFFSET(Pinlist!$G$1,Chart!BC454,0),"")</f>
        <v/>
      </c>
      <c r="BH454" s="1098"/>
      <c r="BI454" s="178"/>
      <c r="BJ454" s="178"/>
      <c r="BK454" s="178"/>
      <c r="BL454" s="178"/>
      <c r="BM454" s="178"/>
      <c r="BN454" s="178"/>
      <c r="BO454" s="178"/>
      <c r="BP454" s="178"/>
      <c r="BQ454" s="196"/>
      <c r="BR454" s="196"/>
      <c r="BS454" s="196"/>
      <c r="BT454" s="196"/>
      <c r="BU454" s="196"/>
      <c r="BV454" s="196"/>
      <c r="BW454" s="178"/>
      <c r="BX454" s="196"/>
      <c r="BY454" s="196"/>
      <c r="BZ454" s="196"/>
      <c r="CA454" s="196"/>
      <c r="CB454" s="178"/>
      <c r="CC454" s="178"/>
      <c r="CD454" s="202"/>
      <c r="CE454" s="202"/>
      <c r="CF454" s="178"/>
      <c r="CG454" s="196"/>
      <c r="CH454" s="178"/>
      <c r="CI454" s="178"/>
      <c r="CJ454" s="178"/>
      <c r="CK454" s="178"/>
      <c r="CL454" s="178"/>
      <c r="CM454" s="178"/>
      <c r="CN454" s="178"/>
      <c r="CO454" s="178"/>
      <c r="CP454" s="178"/>
      <c r="CQ454" s="178"/>
      <c r="CR454" s="178"/>
      <c r="CS454" s="178"/>
      <c r="CT454" s="178"/>
      <c r="CU454" s="178"/>
      <c r="CV454" s="178"/>
      <c r="CW454" s="178"/>
      <c r="CX454" s="178"/>
      <c r="CY454" s="178"/>
      <c r="CZ454" s="178"/>
      <c r="DA454" s="150"/>
    </row>
    <row r="455" spans="53:105" x14ac:dyDescent="0.2">
      <c r="BA455" s="518">
        <f t="shared" ca="1" si="34"/>
        <v>61</v>
      </c>
      <c r="BB455" s="174">
        <f t="shared" ca="1" si="35"/>
        <v>392</v>
      </c>
      <c r="BC455" s="525" t="e">
        <f ca="1">MATCH(BD455,OFFSET(Pinlist!$A$2,BC454*(BA455=BA454),0,$BM$23,1),0)+BC454*(BA455=BA454)</f>
        <v>#N/A</v>
      </c>
      <c r="BD455" s="167">
        <f t="shared" ca="1" si="36"/>
        <v>0</v>
      </c>
      <c r="BE455" s="191" t="e">
        <f ca="1">(OFFSET(Pinlist!$E$1,BC455,0)-$BN$16)*$BN$19</f>
        <v>#N/A</v>
      </c>
      <c r="BF455" s="192" t="e">
        <f ca="1">(OFFSET(Pinlist!$F$1,BC455,0)-$BO$16)*$BO$19</f>
        <v>#N/A</v>
      </c>
      <c r="BG455" s="1098" t="str">
        <f ca="1">IF(LEFT(BD455,2)="RF",OFFSET(Pinlist!$D$1,Chart!BC455,0)&amp;"_"&amp;OFFSET(Pinlist!$G$1,Chart!BC455,0),"")</f>
        <v/>
      </c>
      <c r="BH455" s="1098"/>
      <c r="BI455" s="178"/>
      <c r="BJ455" s="178"/>
      <c r="BK455" s="178"/>
      <c r="BL455" s="178"/>
      <c r="BM455" s="178"/>
      <c r="BN455" s="178"/>
      <c r="BO455" s="178"/>
      <c r="BP455" s="178"/>
      <c r="BQ455" s="196"/>
      <c r="BR455" s="196"/>
      <c r="BS455" s="196"/>
      <c r="BT455" s="196"/>
      <c r="BU455" s="196"/>
      <c r="BV455" s="196"/>
      <c r="BW455" s="178"/>
      <c r="BX455" s="196"/>
      <c r="BY455" s="196"/>
      <c r="BZ455" s="196"/>
      <c r="CA455" s="196"/>
      <c r="CB455" s="178"/>
      <c r="CC455" s="178"/>
      <c r="CD455" s="202"/>
      <c r="CE455" s="202"/>
      <c r="CF455" s="178"/>
      <c r="CG455" s="196"/>
      <c r="CH455" s="178"/>
      <c r="CI455" s="178"/>
      <c r="CJ455" s="178"/>
      <c r="CK455" s="178"/>
      <c r="CL455" s="178"/>
      <c r="CM455" s="178"/>
      <c r="CN455" s="178"/>
      <c r="CO455" s="178"/>
      <c r="CP455" s="178"/>
      <c r="CQ455" s="178"/>
      <c r="CR455" s="178"/>
      <c r="CS455" s="178"/>
      <c r="CT455" s="178"/>
      <c r="CU455" s="178"/>
      <c r="CV455" s="178"/>
      <c r="CW455" s="178"/>
      <c r="CX455" s="178"/>
      <c r="CY455" s="178"/>
      <c r="CZ455" s="178"/>
      <c r="DA455" s="150"/>
    </row>
    <row r="456" spans="53:105" x14ac:dyDescent="0.2">
      <c r="BA456" s="518">
        <f t="shared" ca="1" si="34"/>
        <v>61</v>
      </c>
      <c r="BB456" s="174">
        <f t="shared" ca="1" si="35"/>
        <v>393</v>
      </c>
      <c r="BC456" s="525" t="e">
        <f ca="1">MATCH(BD456,OFFSET(Pinlist!$A$2,BC455*(BA456=BA455),0,$BM$23,1),0)+BC455*(BA456=BA455)</f>
        <v>#N/A</v>
      </c>
      <c r="BD456" s="167">
        <f t="shared" ca="1" si="36"/>
        <v>0</v>
      </c>
      <c r="BE456" s="191" t="e">
        <f ca="1">(OFFSET(Pinlist!$E$1,BC456,0)-$BN$16)*$BN$19</f>
        <v>#N/A</v>
      </c>
      <c r="BF456" s="192" t="e">
        <f ca="1">(OFFSET(Pinlist!$F$1,BC456,0)-$BO$16)*$BO$19</f>
        <v>#N/A</v>
      </c>
      <c r="BG456" s="1098" t="str">
        <f ca="1">IF(LEFT(BD456,2)="RF",OFFSET(Pinlist!$D$1,Chart!BC456,0)&amp;"_"&amp;OFFSET(Pinlist!$G$1,Chart!BC456,0),"")</f>
        <v/>
      </c>
      <c r="BH456" s="1098"/>
      <c r="BI456" s="178"/>
      <c r="BJ456" s="178"/>
      <c r="BK456" s="178"/>
      <c r="BL456" s="178"/>
      <c r="BM456" s="178"/>
      <c r="BN456" s="178"/>
      <c r="BO456" s="178"/>
      <c r="BP456" s="178"/>
      <c r="BQ456" s="196"/>
      <c r="BR456" s="196"/>
      <c r="BS456" s="196"/>
      <c r="BT456" s="196"/>
      <c r="BU456" s="196"/>
      <c r="BV456" s="196"/>
      <c r="BW456" s="178"/>
      <c r="BX456" s="196"/>
      <c r="BY456" s="196"/>
      <c r="BZ456" s="196"/>
      <c r="CA456" s="196"/>
      <c r="CB456" s="178"/>
      <c r="CC456" s="178"/>
      <c r="CD456" s="202"/>
      <c r="CE456" s="202"/>
      <c r="CF456" s="178"/>
      <c r="CG456" s="196"/>
      <c r="CH456" s="178"/>
      <c r="CI456" s="178"/>
      <c r="CJ456" s="178"/>
      <c r="CK456" s="178"/>
      <c r="CL456" s="178"/>
      <c r="CM456" s="178"/>
      <c r="CN456" s="178"/>
      <c r="CO456" s="178"/>
      <c r="CP456" s="178"/>
      <c r="CQ456" s="178"/>
      <c r="CR456" s="178"/>
      <c r="CS456" s="178"/>
      <c r="CT456" s="178"/>
      <c r="CU456" s="178"/>
      <c r="CV456" s="178"/>
      <c r="CW456" s="178"/>
      <c r="CX456" s="178"/>
      <c r="CY456" s="178"/>
      <c r="CZ456" s="178"/>
      <c r="DA456" s="150"/>
    </row>
    <row r="457" spans="53:105" x14ac:dyDescent="0.2">
      <c r="BA457" s="518">
        <f t="shared" ca="1" si="34"/>
        <v>61</v>
      </c>
      <c r="BB457" s="174">
        <f t="shared" ca="1" si="35"/>
        <v>394</v>
      </c>
      <c r="BC457" s="525" t="e">
        <f ca="1">MATCH(BD457,OFFSET(Pinlist!$A$2,BC456*(BA457=BA456),0,$BM$23,1),0)+BC456*(BA457=BA456)</f>
        <v>#N/A</v>
      </c>
      <c r="BD457" s="167">
        <f t="shared" ca="1" si="36"/>
        <v>0</v>
      </c>
      <c r="BE457" s="191" t="e">
        <f ca="1">(OFFSET(Pinlist!$E$1,BC457,0)-$BN$16)*$BN$19</f>
        <v>#N/A</v>
      </c>
      <c r="BF457" s="192" t="e">
        <f ca="1">(OFFSET(Pinlist!$F$1,BC457,0)-$BO$16)*$BO$19</f>
        <v>#N/A</v>
      </c>
      <c r="BG457" s="1098" t="str">
        <f ca="1">IF(LEFT(BD457,2)="RF",OFFSET(Pinlist!$D$1,Chart!BC457,0)&amp;"_"&amp;OFFSET(Pinlist!$G$1,Chart!BC457,0),"")</f>
        <v/>
      </c>
      <c r="BH457" s="1098"/>
      <c r="BI457" s="178"/>
      <c r="BJ457" s="178"/>
      <c r="BK457" s="178"/>
      <c r="BL457" s="178"/>
      <c r="BM457" s="178"/>
      <c r="BN457" s="178"/>
      <c r="BO457" s="178"/>
      <c r="BP457" s="178"/>
      <c r="BQ457" s="196"/>
      <c r="BR457" s="196"/>
      <c r="BS457" s="196"/>
      <c r="BT457" s="196"/>
      <c r="BU457" s="196"/>
      <c r="BV457" s="196"/>
      <c r="BW457" s="178"/>
      <c r="BX457" s="196"/>
      <c r="BY457" s="196"/>
      <c r="BZ457" s="196"/>
      <c r="CA457" s="196"/>
      <c r="CB457" s="178"/>
      <c r="CC457" s="178"/>
      <c r="CD457" s="202"/>
      <c r="CE457" s="202"/>
      <c r="CF457" s="178"/>
      <c r="CG457" s="196"/>
      <c r="CH457" s="178"/>
      <c r="CI457" s="178"/>
      <c r="CJ457" s="178"/>
      <c r="CK457" s="178"/>
      <c r="CL457" s="178"/>
      <c r="CM457" s="178"/>
      <c r="CN457" s="178"/>
      <c r="CO457" s="178"/>
      <c r="CP457" s="178"/>
      <c r="CQ457" s="178"/>
      <c r="CR457" s="178"/>
      <c r="CS457" s="178"/>
      <c r="CT457" s="178"/>
      <c r="CU457" s="178"/>
      <c r="CV457" s="178"/>
      <c r="CW457" s="178"/>
      <c r="CX457" s="178"/>
      <c r="CY457" s="178"/>
      <c r="CZ457" s="178"/>
      <c r="DA457" s="150"/>
    </row>
    <row r="458" spans="53:105" x14ac:dyDescent="0.2">
      <c r="BA458" s="518">
        <f t="shared" ca="1" si="34"/>
        <v>61</v>
      </c>
      <c r="BB458" s="174">
        <f t="shared" ca="1" si="35"/>
        <v>395</v>
      </c>
      <c r="BC458" s="525" t="e">
        <f ca="1">MATCH(BD458,OFFSET(Pinlist!$A$2,BC457*(BA458=BA457),0,$BM$23,1),0)+BC457*(BA458=BA457)</f>
        <v>#N/A</v>
      </c>
      <c r="BD458" s="167">
        <f t="shared" ca="1" si="36"/>
        <v>0</v>
      </c>
      <c r="BE458" s="191" t="e">
        <f ca="1">(OFFSET(Pinlist!$E$1,BC458,0)-$BN$16)*$BN$19</f>
        <v>#N/A</v>
      </c>
      <c r="BF458" s="192" t="e">
        <f ca="1">(OFFSET(Pinlist!$F$1,BC458,0)-$BO$16)*$BO$19</f>
        <v>#N/A</v>
      </c>
      <c r="BG458" s="1098" t="str">
        <f ca="1">IF(LEFT(BD458,2)="RF",OFFSET(Pinlist!$D$1,Chart!BC458,0)&amp;"_"&amp;OFFSET(Pinlist!$G$1,Chart!BC458,0),"")</f>
        <v/>
      </c>
      <c r="BH458" s="1098"/>
      <c r="BI458" s="178"/>
      <c r="BJ458" s="178"/>
      <c r="BK458" s="178"/>
      <c r="BL458" s="178"/>
      <c r="BM458" s="178"/>
      <c r="BN458" s="178"/>
      <c r="BO458" s="178"/>
      <c r="BP458" s="178"/>
      <c r="BQ458" s="196"/>
      <c r="BR458" s="196"/>
      <c r="BS458" s="196"/>
      <c r="BT458" s="196"/>
      <c r="BU458" s="196"/>
      <c r="BV458" s="196"/>
      <c r="BW458" s="178"/>
      <c r="BX458" s="196"/>
      <c r="BY458" s="196"/>
      <c r="BZ458" s="196"/>
      <c r="CA458" s="196"/>
      <c r="CB458" s="178"/>
      <c r="CC458" s="178"/>
      <c r="CD458" s="202"/>
      <c r="CE458" s="202"/>
      <c r="CF458" s="178"/>
      <c r="CG458" s="196"/>
      <c r="CH458" s="178"/>
      <c r="CI458" s="178"/>
      <c r="CJ458" s="178"/>
      <c r="CK458" s="178"/>
      <c r="CL458" s="178"/>
      <c r="CM458" s="178"/>
      <c r="CN458" s="178"/>
      <c r="CO458" s="178"/>
      <c r="CP458" s="178"/>
      <c r="CQ458" s="178"/>
      <c r="CR458" s="178"/>
      <c r="CS458" s="178"/>
      <c r="CT458" s="178"/>
      <c r="CU458" s="178"/>
      <c r="CV458" s="178"/>
      <c r="CW458" s="178"/>
      <c r="CX458" s="178"/>
      <c r="CY458" s="178"/>
      <c r="CZ458" s="178"/>
      <c r="DA458" s="150"/>
    </row>
    <row r="459" spans="53:105" x14ac:dyDescent="0.2">
      <c r="BA459" s="518">
        <f t="shared" ca="1" si="34"/>
        <v>61</v>
      </c>
      <c r="BB459" s="174">
        <f t="shared" ca="1" si="35"/>
        <v>396</v>
      </c>
      <c r="BC459" s="525" t="e">
        <f ca="1">MATCH(BD459,OFFSET(Pinlist!$A$2,BC458*(BA459=BA458),0,$BM$23,1),0)+BC458*(BA459=BA458)</f>
        <v>#N/A</v>
      </c>
      <c r="BD459" s="167">
        <f t="shared" ca="1" si="36"/>
        <v>0</v>
      </c>
      <c r="BE459" s="191" t="e">
        <f ca="1">(OFFSET(Pinlist!$E$1,BC459,0)-$BN$16)*$BN$19</f>
        <v>#N/A</v>
      </c>
      <c r="BF459" s="192" t="e">
        <f ca="1">(OFFSET(Pinlist!$F$1,BC459,0)-$BO$16)*$BO$19</f>
        <v>#N/A</v>
      </c>
      <c r="BG459" s="1098" t="str">
        <f ca="1">IF(LEFT(BD459,2)="RF",OFFSET(Pinlist!$D$1,Chart!BC459,0)&amp;"_"&amp;OFFSET(Pinlist!$G$1,Chart!BC459,0),"")</f>
        <v/>
      </c>
      <c r="BH459" s="1098"/>
      <c r="BI459" s="178"/>
      <c r="BJ459" s="178"/>
      <c r="BK459" s="178"/>
      <c r="BL459" s="178"/>
      <c r="BM459" s="178"/>
      <c r="BN459" s="178"/>
      <c r="BO459" s="178"/>
      <c r="BP459" s="178"/>
      <c r="BQ459" s="196"/>
      <c r="BR459" s="196"/>
      <c r="BS459" s="196"/>
      <c r="BT459" s="196"/>
      <c r="BU459" s="196"/>
      <c r="BV459" s="196"/>
      <c r="BW459" s="178"/>
      <c r="BX459" s="196"/>
      <c r="BY459" s="196"/>
      <c r="BZ459" s="196"/>
      <c r="CA459" s="196"/>
      <c r="CB459" s="178"/>
      <c r="CC459" s="178"/>
      <c r="CD459" s="202"/>
      <c r="CE459" s="202"/>
      <c r="CF459" s="178"/>
      <c r="CG459" s="196"/>
      <c r="CH459" s="178"/>
      <c r="CI459" s="178"/>
      <c r="CJ459" s="178"/>
      <c r="CK459" s="178"/>
      <c r="CL459" s="178"/>
      <c r="CM459" s="178"/>
      <c r="CN459" s="178"/>
      <c r="CO459" s="178"/>
      <c r="CP459" s="178"/>
      <c r="CQ459" s="178"/>
      <c r="CR459" s="178"/>
      <c r="CS459" s="178"/>
      <c r="CT459" s="178"/>
      <c r="CU459" s="178"/>
      <c r="CV459" s="178"/>
      <c r="CW459" s="178"/>
      <c r="CX459" s="178"/>
      <c r="CY459" s="178"/>
      <c r="CZ459" s="178"/>
      <c r="DA459" s="150"/>
    </row>
    <row r="460" spans="53:105" x14ac:dyDescent="0.2">
      <c r="BA460" s="518">
        <f t="shared" ca="1" si="34"/>
        <v>61</v>
      </c>
      <c r="BB460" s="174">
        <f t="shared" ca="1" si="35"/>
        <v>397</v>
      </c>
      <c r="BC460" s="525" t="e">
        <f ca="1">MATCH(BD460,OFFSET(Pinlist!$A$2,BC459*(BA460=BA459),0,$BM$23,1),0)+BC459*(BA460=BA459)</f>
        <v>#N/A</v>
      </c>
      <c r="BD460" s="167">
        <f t="shared" ca="1" si="36"/>
        <v>0</v>
      </c>
      <c r="BE460" s="191" t="e">
        <f ca="1">(OFFSET(Pinlist!$E$1,BC460,0)-$BN$16)*$BN$19</f>
        <v>#N/A</v>
      </c>
      <c r="BF460" s="192" t="e">
        <f ca="1">(OFFSET(Pinlist!$F$1,BC460,0)-$BO$16)*$BO$19</f>
        <v>#N/A</v>
      </c>
      <c r="BG460" s="1098" t="str">
        <f ca="1">IF(LEFT(BD460,2)="RF",OFFSET(Pinlist!$D$1,Chart!BC460,0)&amp;"_"&amp;OFFSET(Pinlist!$G$1,Chart!BC460,0),"")</f>
        <v/>
      </c>
      <c r="BH460" s="1098"/>
      <c r="BI460" s="178"/>
      <c r="BJ460" s="178"/>
      <c r="BK460" s="178"/>
      <c r="BL460" s="178"/>
      <c r="BM460" s="178"/>
      <c r="BN460" s="178"/>
      <c r="BO460" s="178"/>
      <c r="BP460" s="178"/>
      <c r="BQ460" s="196"/>
      <c r="BR460" s="196"/>
      <c r="BS460" s="196"/>
      <c r="BT460" s="196"/>
      <c r="BU460" s="196"/>
      <c r="BV460" s="196"/>
      <c r="BW460" s="178"/>
      <c r="BX460" s="196"/>
      <c r="BY460" s="196"/>
      <c r="BZ460" s="196"/>
      <c r="CA460" s="196"/>
      <c r="CB460" s="178"/>
      <c r="CC460" s="178"/>
      <c r="CD460" s="202"/>
      <c r="CE460" s="202"/>
      <c r="CF460" s="178"/>
      <c r="CG460" s="196"/>
      <c r="CH460" s="178"/>
      <c r="CI460" s="178"/>
      <c r="CJ460" s="178"/>
      <c r="CK460" s="178"/>
      <c r="CL460" s="178"/>
      <c r="CM460" s="178"/>
      <c r="CN460" s="178"/>
      <c r="CO460" s="178"/>
      <c r="CP460" s="178"/>
      <c r="CQ460" s="178"/>
      <c r="CR460" s="178"/>
      <c r="CS460" s="178"/>
      <c r="CT460" s="178"/>
      <c r="CU460" s="178"/>
      <c r="CV460" s="178"/>
      <c r="CW460" s="178"/>
      <c r="CX460" s="178"/>
      <c r="CY460" s="178"/>
      <c r="CZ460" s="178"/>
      <c r="DA460" s="150"/>
    </row>
    <row r="461" spans="53:105" x14ac:dyDescent="0.2">
      <c r="BA461" s="518">
        <f t="shared" ca="1" si="34"/>
        <v>61</v>
      </c>
      <c r="BB461" s="174">
        <f t="shared" ca="1" si="35"/>
        <v>398</v>
      </c>
      <c r="BC461" s="525" t="e">
        <f ca="1">MATCH(BD461,OFFSET(Pinlist!$A$2,BC460*(BA461=BA460),0,$BM$23,1),0)+BC460*(BA461=BA460)</f>
        <v>#N/A</v>
      </c>
      <c r="BD461" s="167">
        <f t="shared" ca="1" si="36"/>
        <v>0</v>
      </c>
      <c r="BE461" s="191" t="e">
        <f ca="1">(OFFSET(Pinlist!$E$1,BC461,0)-$BN$16)*$BN$19</f>
        <v>#N/A</v>
      </c>
      <c r="BF461" s="192" t="e">
        <f ca="1">(OFFSET(Pinlist!$F$1,BC461,0)-$BO$16)*$BO$19</f>
        <v>#N/A</v>
      </c>
      <c r="BG461" s="1098" t="str">
        <f ca="1">IF(LEFT(BD461,2)="RF",OFFSET(Pinlist!$D$1,Chart!BC461,0)&amp;"_"&amp;OFFSET(Pinlist!$G$1,Chart!BC461,0),"")</f>
        <v/>
      </c>
      <c r="BH461" s="1098"/>
      <c r="BI461" s="178"/>
      <c r="BJ461" s="178"/>
      <c r="BK461" s="178"/>
      <c r="BL461" s="178"/>
      <c r="BM461" s="178"/>
      <c r="BN461" s="178"/>
      <c r="BO461" s="178"/>
      <c r="BP461" s="178"/>
      <c r="BQ461" s="196"/>
      <c r="BR461" s="196"/>
      <c r="BS461" s="196"/>
      <c r="BT461" s="196"/>
      <c r="BU461" s="196"/>
      <c r="BV461" s="196"/>
      <c r="BW461" s="178"/>
      <c r="BX461" s="196"/>
      <c r="BY461" s="196"/>
      <c r="BZ461" s="196"/>
      <c r="CA461" s="196"/>
      <c r="CB461" s="178"/>
      <c r="CC461" s="178"/>
      <c r="CD461" s="202"/>
      <c r="CE461" s="202"/>
      <c r="CF461" s="178"/>
      <c r="CG461" s="196"/>
      <c r="CH461" s="178"/>
      <c r="CI461" s="178"/>
      <c r="CJ461" s="178"/>
      <c r="CK461" s="178"/>
      <c r="CL461" s="178"/>
      <c r="CM461" s="178"/>
      <c r="CN461" s="178"/>
      <c r="CO461" s="178"/>
      <c r="CP461" s="178"/>
      <c r="CQ461" s="178"/>
      <c r="CR461" s="178"/>
      <c r="CS461" s="178"/>
      <c r="CT461" s="178"/>
      <c r="CU461" s="178"/>
      <c r="CV461" s="178"/>
      <c r="CW461" s="178"/>
      <c r="CX461" s="178"/>
      <c r="CY461" s="178"/>
      <c r="CZ461" s="178"/>
      <c r="DA461" s="150"/>
    </row>
    <row r="462" spans="53:105" x14ac:dyDescent="0.2">
      <c r="BA462" s="518">
        <f t="shared" ca="1" si="34"/>
        <v>61</v>
      </c>
      <c r="BB462" s="174">
        <f t="shared" ca="1" si="35"/>
        <v>399</v>
      </c>
      <c r="BC462" s="525" t="e">
        <f ca="1">MATCH(BD462,OFFSET(Pinlist!$A$2,BC461*(BA462=BA461),0,$BM$23,1),0)+BC461*(BA462=BA461)</f>
        <v>#N/A</v>
      </c>
      <c r="BD462" s="167">
        <f t="shared" ca="1" si="36"/>
        <v>0</v>
      </c>
      <c r="BE462" s="191" t="e">
        <f ca="1">(OFFSET(Pinlist!$E$1,BC462,0)-$BN$16)*$BN$19</f>
        <v>#N/A</v>
      </c>
      <c r="BF462" s="192" t="e">
        <f ca="1">(OFFSET(Pinlist!$F$1,BC462,0)-$BO$16)*$BO$19</f>
        <v>#N/A</v>
      </c>
      <c r="BG462" s="1098" t="str">
        <f ca="1">IF(LEFT(BD462,2)="RF",OFFSET(Pinlist!$D$1,Chart!BC462,0)&amp;"_"&amp;OFFSET(Pinlist!$G$1,Chart!BC462,0),"")</f>
        <v/>
      </c>
      <c r="BH462" s="1098"/>
      <c r="BI462" s="178"/>
      <c r="BJ462" s="178"/>
      <c r="BK462" s="178"/>
      <c r="BL462" s="178"/>
      <c r="BM462" s="178"/>
      <c r="BN462" s="178"/>
      <c r="BO462" s="178"/>
      <c r="BP462" s="178"/>
      <c r="BQ462" s="196"/>
      <c r="BR462" s="196"/>
      <c r="BS462" s="196"/>
      <c r="BT462" s="196"/>
      <c r="BU462" s="196"/>
      <c r="BV462" s="196"/>
      <c r="BW462" s="178"/>
      <c r="BX462" s="196"/>
      <c r="BY462" s="196"/>
      <c r="BZ462" s="196"/>
      <c r="CA462" s="196"/>
      <c r="CB462" s="178"/>
      <c r="CC462" s="178"/>
      <c r="CD462" s="202"/>
      <c r="CE462" s="202"/>
      <c r="CF462" s="178"/>
      <c r="CG462" s="196"/>
      <c r="CH462" s="178"/>
      <c r="CI462" s="178"/>
      <c r="CJ462" s="178"/>
      <c r="CK462" s="178"/>
      <c r="CL462" s="178"/>
      <c r="CM462" s="178"/>
      <c r="CN462" s="178"/>
      <c r="CO462" s="178"/>
      <c r="CP462" s="178"/>
      <c r="CQ462" s="178"/>
      <c r="CR462" s="178"/>
      <c r="CS462" s="178"/>
      <c r="CT462" s="178"/>
      <c r="CU462" s="178"/>
      <c r="CV462" s="178"/>
      <c r="CW462" s="178"/>
      <c r="CX462" s="178"/>
      <c r="CY462" s="178"/>
      <c r="CZ462" s="178"/>
      <c r="DA462" s="150"/>
    </row>
    <row r="463" spans="53:105" x14ac:dyDescent="0.2">
      <c r="BA463" s="518">
        <f t="shared" ca="1" si="34"/>
        <v>61</v>
      </c>
      <c r="BB463" s="174">
        <f t="shared" ca="1" si="35"/>
        <v>400</v>
      </c>
      <c r="BC463" s="525" t="e">
        <f ca="1">MATCH(BD463,OFFSET(Pinlist!$A$2,BC462*(BA463=BA462),0,$BM$23,1),0)+BC462*(BA463=BA462)</f>
        <v>#N/A</v>
      </c>
      <c r="BD463" s="167">
        <f t="shared" ca="1" si="36"/>
        <v>0</v>
      </c>
      <c r="BE463" s="191" t="e">
        <f ca="1">(OFFSET(Pinlist!$E$1,BC463,0)-$BN$16)*$BN$19</f>
        <v>#N/A</v>
      </c>
      <c r="BF463" s="192" t="e">
        <f ca="1">(OFFSET(Pinlist!$F$1,BC463,0)-$BO$16)*$BO$19</f>
        <v>#N/A</v>
      </c>
      <c r="BG463" s="1098" t="str">
        <f ca="1">IF(LEFT(BD463,2)="RF",OFFSET(Pinlist!$D$1,Chart!BC463,0)&amp;"_"&amp;OFFSET(Pinlist!$G$1,Chart!BC463,0),"")</f>
        <v/>
      </c>
      <c r="BH463" s="1098"/>
      <c r="BI463" s="178"/>
      <c r="BJ463" s="178"/>
      <c r="BK463" s="178"/>
      <c r="BL463" s="178"/>
      <c r="BM463" s="178"/>
      <c r="BN463" s="178"/>
      <c r="BO463" s="178"/>
      <c r="BP463" s="178"/>
      <c r="BQ463" s="196"/>
      <c r="BR463" s="196"/>
      <c r="BS463" s="196"/>
      <c r="BT463" s="196"/>
      <c r="BU463" s="196"/>
      <c r="BV463" s="196"/>
      <c r="BW463" s="178"/>
      <c r="BX463" s="196"/>
      <c r="BY463" s="196"/>
      <c r="BZ463" s="196"/>
      <c r="CA463" s="196"/>
      <c r="CB463" s="178"/>
      <c r="CC463" s="178"/>
      <c r="CD463" s="202"/>
      <c r="CE463" s="202"/>
      <c r="CF463" s="178"/>
      <c r="CG463" s="196"/>
      <c r="CH463" s="178"/>
      <c r="CI463" s="178"/>
      <c r="CJ463" s="178"/>
      <c r="CK463" s="178"/>
      <c r="CL463" s="178"/>
      <c r="CM463" s="178"/>
      <c r="CN463" s="178"/>
      <c r="CO463" s="178"/>
      <c r="CP463" s="178"/>
      <c r="CQ463" s="178"/>
      <c r="CR463" s="178"/>
      <c r="CS463" s="178"/>
      <c r="CT463" s="178"/>
      <c r="CU463" s="178"/>
      <c r="CV463" s="178"/>
      <c r="CW463" s="178"/>
      <c r="CX463" s="178"/>
      <c r="CY463" s="178"/>
      <c r="CZ463" s="178"/>
      <c r="DA463" s="150"/>
    </row>
    <row r="464" spans="53:105" x14ac:dyDescent="0.2">
      <c r="BA464" s="518">
        <f t="shared" ca="1" si="34"/>
        <v>61</v>
      </c>
      <c r="BB464" s="174">
        <f t="shared" ca="1" si="35"/>
        <v>401</v>
      </c>
      <c r="BC464" s="525" t="e">
        <f ca="1">MATCH(BD464,OFFSET(Pinlist!$A$2,BC463*(BA464=BA463),0,$BM$23,1),0)+BC463*(BA464=BA463)</f>
        <v>#N/A</v>
      </c>
      <c r="BD464" s="167">
        <f t="shared" ca="1" si="36"/>
        <v>0</v>
      </c>
      <c r="BE464" s="191" t="e">
        <f ca="1">(OFFSET(Pinlist!$E$1,BC464,0)-$BN$16)*$BN$19</f>
        <v>#N/A</v>
      </c>
      <c r="BF464" s="192" t="e">
        <f ca="1">(OFFSET(Pinlist!$F$1,BC464,0)-$BO$16)*$BO$19</f>
        <v>#N/A</v>
      </c>
      <c r="BG464" s="1098" t="str">
        <f ca="1">IF(LEFT(BD464,2)="RF",OFFSET(Pinlist!$D$1,Chart!BC464,0)&amp;"_"&amp;OFFSET(Pinlist!$G$1,Chart!BC464,0),"")</f>
        <v/>
      </c>
      <c r="BH464" s="1098"/>
      <c r="BI464" s="178"/>
      <c r="BJ464" s="178"/>
      <c r="BK464" s="178"/>
      <c r="BL464" s="178"/>
      <c r="BM464" s="178"/>
      <c r="BN464" s="178"/>
      <c r="BO464" s="178"/>
      <c r="BP464" s="178"/>
      <c r="BQ464" s="196"/>
      <c r="BR464" s="196"/>
      <c r="BS464" s="196"/>
      <c r="BT464" s="196"/>
      <c r="BU464" s="196"/>
      <c r="BV464" s="196"/>
      <c r="BW464" s="178"/>
      <c r="BX464" s="196"/>
      <c r="BY464" s="196"/>
      <c r="BZ464" s="196"/>
      <c r="CA464" s="196"/>
      <c r="CB464" s="178"/>
      <c r="CC464" s="178"/>
      <c r="CD464" s="202"/>
      <c r="CE464" s="202"/>
      <c r="CF464" s="178"/>
      <c r="CG464" s="196"/>
      <c r="CH464" s="178"/>
      <c r="CI464" s="178"/>
      <c r="CJ464" s="178"/>
      <c r="CK464" s="178"/>
      <c r="CL464" s="178"/>
      <c r="CM464" s="178"/>
      <c r="CN464" s="178"/>
      <c r="CO464" s="178"/>
      <c r="CP464" s="178"/>
      <c r="CQ464" s="178"/>
      <c r="CR464" s="178"/>
      <c r="CS464" s="178"/>
      <c r="CT464" s="178"/>
      <c r="CU464" s="178"/>
      <c r="CV464" s="178"/>
      <c r="CW464" s="178"/>
      <c r="CX464" s="178"/>
      <c r="CY464" s="178"/>
      <c r="CZ464" s="178"/>
      <c r="DA464" s="150"/>
    </row>
    <row r="465" spans="53:105" x14ac:dyDescent="0.2">
      <c r="BA465" s="518">
        <f t="shared" ca="1" si="34"/>
        <v>61</v>
      </c>
      <c r="BB465" s="174">
        <f t="shared" ca="1" si="35"/>
        <v>402</v>
      </c>
      <c r="BC465" s="525" t="e">
        <f ca="1">MATCH(BD465,OFFSET(Pinlist!$A$2,BC464*(BA465=BA464),0,$BM$23,1),0)+BC464*(BA465=BA464)</f>
        <v>#N/A</v>
      </c>
      <c r="BD465" s="167">
        <f t="shared" ca="1" si="36"/>
        <v>0</v>
      </c>
      <c r="BE465" s="191" t="e">
        <f ca="1">(OFFSET(Pinlist!$E$1,BC465,0)-$BN$16)*$BN$19</f>
        <v>#N/A</v>
      </c>
      <c r="BF465" s="192" t="e">
        <f ca="1">(OFFSET(Pinlist!$F$1,BC465,0)-$BO$16)*$BO$19</f>
        <v>#N/A</v>
      </c>
      <c r="BG465" s="1098" t="str">
        <f ca="1">IF(LEFT(BD465,2)="RF",OFFSET(Pinlist!$D$1,Chart!BC465,0)&amp;"_"&amp;OFFSET(Pinlist!$G$1,Chart!BC465,0),"")</f>
        <v/>
      </c>
      <c r="BH465" s="1098"/>
      <c r="BI465" s="178"/>
      <c r="BJ465" s="178"/>
      <c r="BK465" s="178"/>
      <c r="BL465" s="178"/>
      <c r="BM465" s="178"/>
      <c r="BN465" s="178"/>
      <c r="BO465" s="178"/>
      <c r="BP465" s="178"/>
      <c r="BQ465" s="196"/>
      <c r="BR465" s="196"/>
      <c r="BS465" s="196"/>
      <c r="BT465" s="196"/>
      <c r="BU465" s="196"/>
      <c r="BV465" s="196"/>
      <c r="BW465" s="178"/>
      <c r="BX465" s="196"/>
      <c r="BY465" s="196"/>
      <c r="BZ465" s="196"/>
      <c r="CA465" s="196"/>
      <c r="CB465" s="178"/>
      <c r="CC465" s="178"/>
      <c r="CD465" s="202"/>
      <c r="CE465" s="202"/>
      <c r="CF465" s="178"/>
      <c r="CG465" s="196"/>
      <c r="CH465" s="178"/>
      <c r="CI465" s="178"/>
      <c r="CJ465" s="178"/>
      <c r="CK465" s="178"/>
      <c r="CL465" s="178"/>
      <c r="CM465" s="178"/>
      <c r="CN465" s="178"/>
      <c r="CO465" s="178"/>
      <c r="CP465" s="178"/>
      <c r="CQ465" s="178"/>
      <c r="CR465" s="178"/>
      <c r="CS465" s="178"/>
      <c r="CT465" s="178"/>
      <c r="CU465" s="178"/>
      <c r="CV465" s="178"/>
      <c r="CW465" s="178"/>
      <c r="CX465" s="178"/>
      <c r="CY465" s="178"/>
      <c r="CZ465" s="178"/>
      <c r="DA465" s="150"/>
    </row>
    <row r="466" spans="53:105" x14ac:dyDescent="0.2">
      <c r="BA466" s="518">
        <f t="shared" ca="1" si="34"/>
        <v>61</v>
      </c>
      <c r="BB466" s="174">
        <f t="shared" ca="1" si="35"/>
        <v>403</v>
      </c>
      <c r="BC466" s="525" t="e">
        <f ca="1">MATCH(BD466,OFFSET(Pinlist!$A$2,BC465*(BA466=BA465),0,$BM$23,1),0)+BC465*(BA466=BA465)</f>
        <v>#N/A</v>
      </c>
      <c r="BD466" s="167">
        <f t="shared" ca="1" si="36"/>
        <v>0</v>
      </c>
      <c r="BE466" s="191" t="e">
        <f ca="1">(OFFSET(Pinlist!$E$1,BC466,0)-$BN$16)*$BN$19</f>
        <v>#N/A</v>
      </c>
      <c r="BF466" s="192" t="e">
        <f ca="1">(OFFSET(Pinlist!$F$1,BC466,0)-$BO$16)*$BO$19</f>
        <v>#N/A</v>
      </c>
      <c r="BG466" s="1098" t="str">
        <f ca="1">IF(LEFT(BD466,2)="RF",OFFSET(Pinlist!$D$1,Chart!BC466,0)&amp;"_"&amp;OFFSET(Pinlist!$G$1,Chart!BC466,0),"")</f>
        <v/>
      </c>
      <c r="BH466" s="1098"/>
      <c r="BI466" s="178"/>
      <c r="BJ466" s="178"/>
      <c r="BK466" s="178"/>
      <c r="BL466" s="178"/>
      <c r="BM466" s="178"/>
      <c r="BN466" s="178"/>
      <c r="BO466" s="178"/>
      <c r="BP466" s="178"/>
      <c r="BQ466" s="196"/>
      <c r="BR466" s="196"/>
      <c r="BS466" s="196"/>
      <c r="BT466" s="196"/>
      <c r="BU466" s="196"/>
      <c r="BV466" s="196"/>
      <c r="BW466" s="178"/>
      <c r="BX466" s="196"/>
      <c r="BY466" s="196"/>
      <c r="BZ466" s="196"/>
      <c r="CA466" s="196"/>
      <c r="CB466" s="178"/>
      <c r="CC466" s="178"/>
      <c r="CD466" s="202"/>
      <c r="CE466" s="202"/>
      <c r="CF466" s="178"/>
      <c r="CG466" s="196"/>
      <c r="CH466" s="178"/>
      <c r="CI466" s="178"/>
      <c r="CJ466" s="178"/>
      <c r="CK466" s="178"/>
      <c r="CL466" s="178"/>
      <c r="CM466" s="178"/>
      <c r="CN466" s="178"/>
      <c r="CO466" s="178"/>
      <c r="CP466" s="178"/>
      <c r="CQ466" s="178"/>
      <c r="CR466" s="178"/>
      <c r="CS466" s="178"/>
      <c r="CT466" s="178"/>
      <c r="CU466" s="178"/>
      <c r="CV466" s="178"/>
      <c r="CW466" s="178"/>
      <c r="CX466" s="178"/>
      <c r="CY466" s="178"/>
      <c r="CZ466" s="178"/>
      <c r="DA466" s="150"/>
    </row>
    <row r="467" spans="53:105" x14ac:dyDescent="0.2">
      <c r="BA467" s="518">
        <f t="shared" ca="1" si="34"/>
        <v>61</v>
      </c>
      <c r="BB467" s="174">
        <f t="shared" ca="1" si="35"/>
        <v>404</v>
      </c>
      <c r="BC467" s="525" t="e">
        <f ca="1">MATCH(BD467,OFFSET(Pinlist!$A$2,BC466*(BA467=BA466),0,$BM$23,1),0)+BC466*(BA467=BA466)</f>
        <v>#N/A</v>
      </c>
      <c r="BD467" s="167">
        <f t="shared" ca="1" si="36"/>
        <v>0</v>
      </c>
      <c r="BE467" s="191" t="e">
        <f ca="1">(OFFSET(Pinlist!$E$1,BC467,0)-$BN$16)*$BN$19</f>
        <v>#N/A</v>
      </c>
      <c r="BF467" s="192" t="e">
        <f ca="1">(OFFSET(Pinlist!$F$1,BC467,0)-$BO$16)*$BO$19</f>
        <v>#N/A</v>
      </c>
      <c r="BG467" s="1098" t="str">
        <f ca="1">IF(LEFT(BD467,2)="RF",OFFSET(Pinlist!$D$1,Chart!BC467,0)&amp;"_"&amp;OFFSET(Pinlist!$G$1,Chart!BC467,0),"")</f>
        <v/>
      </c>
      <c r="BH467" s="1098"/>
      <c r="BI467" s="178"/>
      <c r="BJ467" s="178"/>
      <c r="BK467" s="178"/>
      <c r="BL467" s="178"/>
      <c r="BM467" s="178"/>
      <c r="BN467" s="178"/>
      <c r="BO467" s="178"/>
      <c r="BP467" s="178"/>
      <c r="BQ467" s="196"/>
      <c r="BR467" s="196"/>
      <c r="BS467" s="196"/>
      <c r="BT467" s="196"/>
      <c r="BU467" s="196"/>
      <c r="BV467" s="196"/>
      <c r="BW467" s="178"/>
      <c r="BX467" s="196"/>
      <c r="BY467" s="196"/>
      <c r="BZ467" s="196"/>
      <c r="CA467" s="196"/>
      <c r="CB467" s="178"/>
      <c r="CC467" s="178"/>
      <c r="CD467" s="202"/>
      <c r="CE467" s="202"/>
      <c r="CF467" s="178"/>
      <c r="CG467" s="196"/>
      <c r="CH467" s="178"/>
      <c r="CI467" s="178"/>
      <c r="CJ467" s="178"/>
      <c r="CK467" s="178"/>
      <c r="CL467" s="178"/>
      <c r="CM467" s="178"/>
      <c r="CN467" s="178"/>
      <c r="CO467" s="178"/>
      <c r="CP467" s="178"/>
      <c r="CQ467" s="178"/>
      <c r="CR467" s="178"/>
      <c r="CS467" s="178"/>
      <c r="CT467" s="178"/>
      <c r="CU467" s="178"/>
      <c r="CV467" s="178"/>
      <c r="CW467" s="178"/>
      <c r="CX467" s="178"/>
      <c r="CY467" s="178"/>
      <c r="CZ467" s="178"/>
      <c r="DA467" s="150"/>
    </row>
    <row r="468" spans="53:105" x14ac:dyDescent="0.2">
      <c r="BA468" s="518">
        <f t="shared" ca="1" si="34"/>
        <v>61</v>
      </c>
      <c r="BB468" s="174">
        <f t="shared" ca="1" si="35"/>
        <v>405</v>
      </c>
      <c r="BC468" s="525" t="e">
        <f ca="1">MATCH(BD468,OFFSET(Pinlist!$A$2,BC467*(BA468=BA467),0,$BM$23,1),0)+BC467*(BA468=BA467)</f>
        <v>#N/A</v>
      </c>
      <c r="BD468" s="167">
        <f t="shared" ca="1" si="36"/>
        <v>0</v>
      </c>
      <c r="BE468" s="191" t="e">
        <f ca="1">(OFFSET(Pinlist!$E$1,BC468,0)-$BN$16)*$BN$19</f>
        <v>#N/A</v>
      </c>
      <c r="BF468" s="192" t="e">
        <f ca="1">(OFFSET(Pinlist!$F$1,BC468,0)-$BO$16)*$BO$19</f>
        <v>#N/A</v>
      </c>
      <c r="BG468" s="1098" t="str">
        <f ca="1">IF(LEFT(BD468,2)="RF",OFFSET(Pinlist!$D$1,Chart!BC468,0)&amp;"_"&amp;OFFSET(Pinlist!$G$1,Chart!BC468,0),"")</f>
        <v/>
      </c>
      <c r="BH468" s="1098"/>
      <c r="BI468" s="178"/>
      <c r="BJ468" s="178"/>
      <c r="BK468" s="178"/>
      <c r="BL468" s="178"/>
      <c r="BM468" s="178"/>
      <c r="BN468" s="178"/>
      <c r="BO468" s="178"/>
      <c r="BP468" s="178"/>
      <c r="BQ468" s="196"/>
      <c r="BR468" s="196"/>
      <c r="BS468" s="196"/>
      <c r="BT468" s="196"/>
      <c r="BU468" s="196"/>
      <c r="BV468" s="196"/>
      <c r="BW468" s="178"/>
      <c r="BX468" s="196"/>
      <c r="BY468" s="196"/>
      <c r="BZ468" s="196"/>
      <c r="CA468" s="196"/>
      <c r="CB468" s="178"/>
      <c r="CC468" s="178"/>
      <c r="CD468" s="202"/>
      <c r="CE468" s="202"/>
      <c r="CF468" s="178"/>
      <c r="CG468" s="196"/>
      <c r="CH468" s="178"/>
      <c r="CI468" s="178"/>
      <c r="CJ468" s="178"/>
      <c r="CK468" s="178"/>
      <c r="CL468" s="178"/>
      <c r="CM468" s="178"/>
      <c r="CN468" s="178"/>
      <c r="CO468" s="178"/>
      <c r="CP468" s="178"/>
      <c r="CQ468" s="178"/>
      <c r="CR468" s="178"/>
      <c r="CS468" s="178"/>
      <c r="CT468" s="178"/>
      <c r="CU468" s="178"/>
      <c r="CV468" s="178"/>
      <c r="CW468" s="178"/>
      <c r="CX468" s="178"/>
      <c r="CY468" s="178"/>
      <c r="CZ468" s="178"/>
      <c r="DA468" s="150"/>
    </row>
    <row r="469" spans="53:105" x14ac:dyDescent="0.2">
      <c r="BA469" s="518">
        <f t="shared" ca="1" si="34"/>
        <v>61</v>
      </c>
      <c r="BB469" s="174">
        <f t="shared" ca="1" si="35"/>
        <v>406</v>
      </c>
      <c r="BC469" s="525" t="e">
        <f ca="1">MATCH(BD469,OFFSET(Pinlist!$A$2,BC468*(BA469=BA468),0,$BM$23,1),0)+BC468*(BA469=BA468)</f>
        <v>#N/A</v>
      </c>
      <c r="BD469" s="167">
        <f t="shared" ca="1" si="36"/>
        <v>0</v>
      </c>
      <c r="BE469" s="191" t="e">
        <f ca="1">(OFFSET(Pinlist!$E$1,BC469,0)-$BN$16)*$BN$19</f>
        <v>#N/A</v>
      </c>
      <c r="BF469" s="192" t="e">
        <f ca="1">(OFFSET(Pinlist!$F$1,BC469,0)-$BO$16)*$BO$19</f>
        <v>#N/A</v>
      </c>
      <c r="BG469" s="1098" t="str">
        <f ca="1">IF(LEFT(BD469,2)="RF",OFFSET(Pinlist!$D$1,Chart!BC469,0)&amp;"_"&amp;OFFSET(Pinlist!$G$1,Chart!BC469,0),"")</f>
        <v/>
      </c>
      <c r="BH469" s="1098"/>
      <c r="BI469" s="178"/>
      <c r="BJ469" s="178"/>
      <c r="BK469" s="178"/>
      <c r="BL469" s="178"/>
      <c r="BM469" s="178"/>
      <c r="BN469" s="178"/>
      <c r="BO469" s="178"/>
      <c r="BP469" s="178"/>
      <c r="BQ469" s="196"/>
      <c r="BR469" s="196"/>
      <c r="BS469" s="196"/>
      <c r="BT469" s="196"/>
      <c r="BU469" s="196"/>
      <c r="BV469" s="196"/>
      <c r="BW469" s="178"/>
      <c r="BX469" s="196"/>
      <c r="BY469" s="196"/>
      <c r="BZ469" s="196"/>
      <c r="CA469" s="196"/>
      <c r="CB469" s="178"/>
      <c r="CC469" s="178"/>
      <c r="CD469" s="202"/>
      <c r="CE469" s="202"/>
      <c r="CF469" s="178"/>
      <c r="CG469" s="196"/>
      <c r="CH469" s="178"/>
      <c r="CI469" s="178"/>
      <c r="CJ469" s="178"/>
      <c r="CK469" s="178"/>
      <c r="CL469" s="178"/>
      <c r="CM469" s="178"/>
      <c r="CN469" s="178"/>
      <c r="CO469" s="178"/>
      <c r="CP469" s="178"/>
      <c r="CQ469" s="178"/>
      <c r="CR469" s="178"/>
      <c r="CS469" s="178"/>
      <c r="CT469" s="178"/>
      <c r="CU469" s="178"/>
      <c r="CV469" s="178"/>
      <c r="CW469" s="178"/>
      <c r="CX469" s="178"/>
      <c r="CY469" s="178"/>
      <c r="CZ469" s="178"/>
      <c r="DA469" s="150"/>
    </row>
    <row r="470" spans="53:105" x14ac:dyDescent="0.2">
      <c r="BA470" s="518">
        <f t="shared" ca="1" si="34"/>
        <v>61</v>
      </c>
      <c r="BB470" s="174">
        <f t="shared" ca="1" si="35"/>
        <v>407</v>
      </c>
      <c r="BC470" s="525" t="e">
        <f ca="1">MATCH(BD470,OFFSET(Pinlist!$A$2,BC469*(BA470=BA469),0,$BM$23,1),0)+BC469*(BA470=BA469)</f>
        <v>#N/A</v>
      </c>
      <c r="BD470" s="167">
        <f t="shared" ca="1" si="36"/>
        <v>0</v>
      </c>
      <c r="BE470" s="191" t="e">
        <f ca="1">(OFFSET(Pinlist!$E$1,BC470,0)-$BN$16)*$BN$19</f>
        <v>#N/A</v>
      </c>
      <c r="BF470" s="192" t="e">
        <f ca="1">(OFFSET(Pinlist!$F$1,BC470,0)-$BO$16)*$BO$19</f>
        <v>#N/A</v>
      </c>
      <c r="BG470" s="1098" t="str">
        <f ca="1">IF(LEFT(BD470,2)="RF",OFFSET(Pinlist!$D$1,Chart!BC470,0)&amp;"_"&amp;OFFSET(Pinlist!$G$1,Chart!BC470,0),"")</f>
        <v/>
      </c>
      <c r="BH470" s="1098"/>
      <c r="BI470" s="178"/>
      <c r="BJ470" s="178"/>
      <c r="BK470" s="178"/>
      <c r="BL470" s="178"/>
      <c r="BM470" s="178"/>
      <c r="BN470" s="178"/>
      <c r="BO470" s="178"/>
      <c r="BP470" s="178"/>
      <c r="BQ470" s="196"/>
      <c r="BR470" s="196"/>
      <c r="BS470" s="196"/>
      <c r="BT470" s="196"/>
      <c r="BU470" s="196"/>
      <c r="BV470" s="196"/>
      <c r="BW470" s="178"/>
      <c r="BX470" s="196"/>
      <c r="BY470" s="196"/>
      <c r="BZ470" s="196"/>
      <c r="CA470" s="196"/>
      <c r="CB470" s="178"/>
      <c r="CC470" s="178"/>
      <c r="CD470" s="202"/>
      <c r="CE470" s="202"/>
      <c r="CF470" s="178"/>
      <c r="CG470" s="196"/>
      <c r="CH470" s="178"/>
      <c r="CI470" s="178"/>
      <c r="CJ470" s="178"/>
      <c r="CK470" s="178"/>
      <c r="CL470" s="178"/>
      <c r="CM470" s="178"/>
      <c r="CN470" s="178"/>
      <c r="CO470" s="178"/>
      <c r="CP470" s="178"/>
      <c r="CQ470" s="178"/>
      <c r="CR470" s="178"/>
      <c r="CS470" s="178"/>
      <c r="CT470" s="178"/>
      <c r="CU470" s="178"/>
      <c r="CV470" s="178"/>
      <c r="CW470" s="178"/>
      <c r="CX470" s="178"/>
      <c r="CY470" s="178"/>
      <c r="CZ470" s="178"/>
      <c r="DA470" s="150"/>
    </row>
    <row r="471" spans="53:105" x14ac:dyDescent="0.2">
      <c r="BA471" s="518">
        <f t="shared" ca="1" si="34"/>
        <v>61</v>
      </c>
      <c r="BB471" s="174">
        <f t="shared" ca="1" si="35"/>
        <v>408</v>
      </c>
      <c r="BC471" s="525" t="e">
        <f ca="1">MATCH(BD471,OFFSET(Pinlist!$A$2,BC470*(BA471=BA470),0,$BM$23,1),0)+BC470*(BA471=BA470)</f>
        <v>#N/A</v>
      </c>
      <c r="BD471" s="167">
        <f t="shared" ca="1" si="36"/>
        <v>0</v>
      </c>
      <c r="BE471" s="191" t="e">
        <f ca="1">(OFFSET(Pinlist!$E$1,BC471,0)-$BN$16)*$BN$19</f>
        <v>#N/A</v>
      </c>
      <c r="BF471" s="192" t="e">
        <f ca="1">(OFFSET(Pinlist!$F$1,BC471,0)-$BO$16)*$BO$19</f>
        <v>#N/A</v>
      </c>
      <c r="BG471" s="1098" t="str">
        <f ca="1">IF(LEFT(BD471,2)="RF",OFFSET(Pinlist!$D$1,Chart!BC471,0)&amp;"_"&amp;OFFSET(Pinlist!$G$1,Chart!BC471,0),"")</f>
        <v/>
      </c>
      <c r="BH471" s="1098"/>
      <c r="BI471" s="178"/>
      <c r="BJ471" s="178"/>
      <c r="BK471" s="178"/>
      <c r="BL471" s="178"/>
      <c r="BM471" s="178"/>
      <c r="BN471" s="178"/>
      <c r="BO471" s="178"/>
      <c r="BP471" s="178"/>
      <c r="BQ471" s="196"/>
      <c r="BR471" s="196"/>
      <c r="BS471" s="196"/>
      <c r="BT471" s="196"/>
      <c r="BU471" s="196"/>
      <c r="BV471" s="196"/>
      <c r="BW471" s="178"/>
      <c r="BX471" s="196"/>
      <c r="BY471" s="196"/>
      <c r="BZ471" s="196"/>
      <c r="CA471" s="196"/>
      <c r="CB471" s="178"/>
      <c r="CC471" s="178"/>
      <c r="CD471" s="202"/>
      <c r="CE471" s="202"/>
      <c r="CF471" s="178"/>
      <c r="CG471" s="196"/>
      <c r="CH471" s="178"/>
      <c r="CI471" s="178"/>
      <c r="CJ471" s="178"/>
      <c r="CK471" s="178"/>
      <c r="CL471" s="178"/>
      <c r="CM471" s="178"/>
      <c r="CN471" s="178"/>
      <c r="CO471" s="178"/>
      <c r="CP471" s="178"/>
      <c r="CQ471" s="178"/>
      <c r="CR471" s="178"/>
      <c r="CS471" s="178"/>
      <c r="CT471" s="178"/>
      <c r="CU471" s="178"/>
      <c r="CV471" s="178"/>
      <c r="CW471" s="178"/>
      <c r="CX471" s="178"/>
      <c r="CY471" s="178"/>
      <c r="CZ471" s="178"/>
      <c r="DA471" s="150"/>
    </row>
    <row r="472" spans="53:105" x14ac:dyDescent="0.2">
      <c r="BA472" s="518">
        <f t="shared" ca="1" si="34"/>
        <v>61</v>
      </c>
      <c r="BB472" s="174">
        <f t="shared" ca="1" si="35"/>
        <v>409</v>
      </c>
      <c r="BC472" s="525" t="e">
        <f ca="1">MATCH(BD472,OFFSET(Pinlist!$A$2,BC471*(BA472=BA471),0,$BM$23,1),0)+BC471*(BA472=BA471)</f>
        <v>#N/A</v>
      </c>
      <c r="BD472" s="167">
        <f t="shared" ca="1" si="36"/>
        <v>0</v>
      </c>
      <c r="BE472" s="191" t="e">
        <f ca="1">(OFFSET(Pinlist!$E$1,BC472,0)-$BN$16)*$BN$19</f>
        <v>#N/A</v>
      </c>
      <c r="BF472" s="192" t="e">
        <f ca="1">(OFFSET(Pinlist!$F$1,BC472,0)-$BO$16)*$BO$19</f>
        <v>#N/A</v>
      </c>
      <c r="BG472" s="1098" t="str">
        <f ca="1">IF(LEFT(BD472,2)="RF",OFFSET(Pinlist!$D$1,Chart!BC472,0)&amp;"_"&amp;OFFSET(Pinlist!$G$1,Chart!BC472,0),"")</f>
        <v/>
      </c>
      <c r="BH472" s="1098"/>
      <c r="BI472" s="178"/>
      <c r="BJ472" s="178"/>
      <c r="BK472" s="178"/>
      <c r="BL472" s="178"/>
      <c r="BM472" s="178"/>
      <c r="BN472" s="178"/>
      <c r="BO472" s="178"/>
      <c r="BP472" s="178"/>
      <c r="BQ472" s="196"/>
      <c r="BR472" s="196"/>
      <c r="BS472" s="196"/>
      <c r="BT472" s="196"/>
      <c r="BU472" s="196"/>
      <c r="BV472" s="196"/>
      <c r="BW472" s="178"/>
      <c r="BX472" s="196"/>
      <c r="BY472" s="196"/>
      <c r="BZ472" s="196"/>
      <c r="CA472" s="196"/>
      <c r="CB472" s="178"/>
      <c r="CC472" s="178"/>
      <c r="CD472" s="202"/>
      <c r="CE472" s="202"/>
      <c r="CF472" s="178"/>
      <c r="CG472" s="196"/>
      <c r="CH472" s="178"/>
      <c r="CI472" s="178"/>
      <c r="CJ472" s="178"/>
      <c r="CK472" s="178"/>
      <c r="CL472" s="178"/>
      <c r="CM472" s="178"/>
      <c r="CN472" s="178"/>
      <c r="CO472" s="178"/>
      <c r="CP472" s="178"/>
      <c r="CQ472" s="178"/>
      <c r="CR472" s="178"/>
      <c r="CS472" s="178"/>
      <c r="CT472" s="178"/>
      <c r="CU472" s="178"/>
      <c r="CV472" s="178"/>
      <c r="CW472" s="178"/>
      <c r="CX472" s="178"/>
      <c r="CY472" s="178"/>
      <c r="CZ472" s="178"/>
      <c r="DA472" s="150"/>
    </row>
    <row r="473" spans="53:105" x14ac:dyDescent="0.2">
      <c r="BA473" s="518">
        <f t="shared" ca="1" si="34"/>
        <v>61</v>
      </c>
      <c r="BB473" s="174">
        <f t="shared" ca="1" si="35"/>
        <v>410</v>
      </c>
      <c r="BC473" s="525" t="e">
        <f ca="1">MATCH(BD473,OFFSET(Pinlist!$A$2,BC472*(BA473=BA472),0,$BM$23,1),0)+BC472*(BA473=BA472)</f>
        <v>#N/A</v>
      </c>
      <c r="BD473" s="167">
        <f t="shared" ca="1" si="36"/>
        <v>0</v>
      </c>
      <c r="BE473" s="191" t="e">
        <f ca="1">(OFFSET(Pinlist!$E$1,BC473,0)-$BN$16)*$BN$19</f>
        <v>#N/A</v>
      </c>
      <c r="BF473" s="192" t="e">
        <f ca="1">(OFFSET(Pinlist!$F$1,BC473,0)-$BO$16)*$BO$19</f>
        <v>#N/A</v>
      </c>
      <c r="BG473" s="1098" t="str">
        <f ca="1">IF(LEFT(BD473,2)="RF",OFFSET(Pinlist!$D$1,Chart!BC473,0)&amp;"_"&amp;OFFSET(Pinlist!$G$1,Chart!BC473,0),"")</f>
        <v/>
      </c>
      <c r="BH473" s="1098"/>
      <c r="BI473" s="178"/>
      <c r="BJ473" s="178"/>
      <c r="BK473" s="178"/>
      <c r="BL473" s="178"/>
      <c r="BM473" s="178"/>
      <c r="BN473" s="178"/>
      <c r="BO473" s="178"/>
      <c r="BP473" s="178"/>
      <c r="BQ473" s="196"/>
      <c r="BR473" s="196"/>
      <c r="BS473" s="196"/>
      <c r="BT473" s="196"/>
      <c r="BU473" s="196"/>
      <c r="BV473" s="196"/>
      <c r="BW473" s="178"/>
      <c r="BX473" s="196"/>
      <c r="BY473" s="196"/>
      <c r="BZ473" s="196"/>
      <c r="CA473" s="196"/>
      <c r="CB473" s="178"/>
      <c r="CC473" s="178"/>
      <c r="CD473" s="202"/>
      <c r="CE473" s="202"/>
      <c r="CF473" s="178"/>
      <c r="CG473" s="196"/>
      <c r="CH473" s="178"/>
      <c r="CI473" s="178"/>
      <c r="CJ473" s="178"/>
      <c r="CK473" s="178"/>
      <c r="CL473" s="178"/>
      <c r="CM473" s="178"/>
      <c r="CN473" s="178"/>
      <c r="CO473" s="178"/>
      <c r="CP473" s="178"/>
      <c r="CQ473" s="178"/>
      <c r="CR473" s="178"/>
      <c r="CS473" s="178"/>
      <c r="CT473" s="178"/>
      <c r="CU473" s="178"/>
      <c r="CV473" s="178"/>
      <c r="CW473" s="178"/>
      <c r="CX473" s="178"/>
      <c r="CY473" s="178"/>
      <c r="CZ473" s="178"/>
      <c r="DA473" s="150"/>
    </row>
    <row r="474" spans="53:105" x14ac:dyDescent="0.2">
      <c r="BA474" s="518">
        <f t="shared" ca="1" si="34"/>
        <v>61</v>
      </c>
      <c r="BB474" s="174">
        <f t="shared" ca="1" si="35"/>
        <v>411</v>
      </c>
      <c r="BC474" s="525" t="e">
        <f ca="1">MATCH(BD474,OFFSET(Pinlist!$A$2,BC473*(BA474=BA473),0,$BM$23,1),0)+BC473*(BA474=BA473)</f>
        <v>#N/A</v>
      </c>
      <c r="BD474" s="167">
        <f t="shared" ca="1" si="36"/>
        <v>0</v>
      </c>
      <c r="BE474" s="191" t="e">
        <f ca="1">(OFFSET(Pinlist!$E$1,BC474,0)-$BN$16)*$BN$19</f>
        <v>#N/A</v>
      </c>
      <c r="BF474" s="192" t="e">
        <f ca="1">(OFFSET(Pinlist!$F$1,BC474,0)-$BO$16)*$BO$19</f>
        <v>#N/A</v>
      </c>
      <c r="BG474" s="1098" t="str">
        <f ca="1">IF(LEFT(BD474,2)="RF",OFFSET(Pinlist!$D$1,Chart!BC474,0)&amp;"_"&amp;OFFSET(Pinlist!$G$1,Chart!BC474,0),"")</f>
        <v/>
      </c>
      <c r="BH474" s="1098"/>
      <c r="BI474" s="178"/>
      <c r="BJ474" s="178"/>
      <c r="BK474" s="178"/>
      <c r="BL474" s="178"/>
      <c r="BM474" s="178"/>
      <c r="BN474" s="178"/>
      <c r="BO474" s="178"/>
      <c r="BP474" s="178"/>
      <c r="BQ474" s="196"/>
      <c r="BR474" s="196"/>
      <c r="BS474" s="196"/>
      <c r="BT474" s="196"/>
      <c r="BU474" s="196"/>
      <c r="BV474" s="196"/>
      <c r="BW474" s="178"/>
      <c r="BX474" s="196"/>
      <c r="BY474" s="196"/>
      <c r="BZ474" s="196"/>
      <c r="CA474" s="196"/>
      <c r="CB474" s="178"/>
      <c r="CC474" s="178"/>
      <c r="CD474" s="202"/>
      <c r="CE474" s="202"/>
      <c r="CF474" s="178"/>
      <c r="CG474" s="196"/>
      <c r="CH474" s="178"/>
      <c r="CI474" s="178"/>
      <c r="CJ474" s="178"/>
      <c r="CK474" s="178"/>
      <c r="CL474" s="178"/>
      <c r="CM474" s="178"/>
      <c r="CN474" s="178"/>
      <c r="CO474" s="178"/>
      <c r="CP474" s="178"/>
      <c r="CQ474" s="178"/>
      <c r="CR474" s="178"/>
      <c r="CS474" s="178"/>
      <c r="CT474" s="178"/>
      <c r="CU474" s="178"/>
      <c r="CV474" s="178"/>
      <c r="CW474" s="178"/>
      <c r="CX474" s="178"/>
      <c r="CY474" s="178"/>
      <c r="CZ474" s="178"/>
      <c r="DA474" s="150"/>
    </row>
    <row r="475" spans="53:105" x14ac:dyDescent="0.2">
      <c r="BA475" s="518">
        <f t="shared" ca="1" si="34"/>
        <v>61</v>
      </c>
      <c r="BB475" s="174">
        <f t="shared" ca="1" si="35"/>
        <v>412</v>
      </c>
      <c r="BC475" s="525" t="e">
        <f ca="1">MATCH(BD475,OFFSET(Pinlist!$A$2,BC474*(BA475=BA474),0,$BM$23,1),0)+BC474*(BA475=BA474)</f>
        <v>#N/A</v>
      </c>
      <c r="BD475" s="167">
        <f t="shared" ca="1" si="36"/>
        <v>0</v>
      </c>
      <c r="BE475" s="191" t="e">
        <f ca="1">(OFFSET(Pinlist!$E$1,BC475,0)-$BN$16)*$BN$19</f>
        <v>#N/A</v>
      </c>
      <c r="BF475" s="192" t="e">
        <f ca="1">(OFFSET(Pinlist!$F$1,BC475,0)-$BO$16)*$BO$19</f>
        <v>#N/A</v>
      </c>
      <c r="BG475" s="1098" t="str">
        <f ca="1">IF(LEFT(BD475,2)="RF",OFFSET(Pinlist!$D$1,Chart!BC475,0)&amp;"_"&amp;OFFSET(Pinlist!$G$1,Chart!BC475,0),"")</f>
        <v/>
      </c>
      <c r="BH475" s="1098"/>
      <c r="BI475" s="178"/>
      <c r="BJ475" s="178"/>
      <c r="BK475" s="178"/>
      <c r="BL475" s="178"/>
      <c r="BM475" s="178"/>
      <c r="BN475" s="178"/>
      <c r="BO475" s="178"/>
      <c r="BP475" s="178"/>
      <c r="BQ475" s="196"/>
      <c r="BR475" s="196"/>
      <c r="BS475" s="196"/>
      <c r="BT475" s="196"/>
      <c r="BU475" s="196"/>
      <c r="BV475" s="196"/>
      <c r="BW475" s="178"/>
      <c r="BX475" s="196"/>
      <c r="BY475" s="196"/>
      <c r="BZ475" s="196"/>
      <c r="CA475" s="196"/>
      <c r="CB475" s="178"/>
      <c r="CC475" s="178"/>
      <c r="CD475" s="202"/>
      <c r="CE475" s="202"/>
      <c r="CF475" s="178"/>
      <c r="CG475" s="196"/>
      <c r="CH475" s="178"/>
      <c r="CI475" s="178"/>
      <c r="CJ475" s="178"/>
      <c r="CK475" s="178"/>
      <c r="CL475" s="178"/>
      <c r="CM475" s="178"/>
      <c r="CN475" s="178"/>
      <c r="CO475" s="178"/>
      <c r="CP475" s="178"/>
      <c r="CQ475" s="178"/>
      <c r="CR475" s="178"/>
      <c r="CS475" s="178"/>
      <c r="CT475" s="178"/>
      <c r="CU475" s="178"/>
      <c r="CV475" s="178"/>
      <c r="CW475" s="178"/>
      <c r="CX475" s="178"/>
      <c r="CY475" s="178"/>
      <c r="CZ475" s="178"/>
      <c r="DA475" s="150"/>
    </row>
    <row r="476" spans="53:105" x14ac:dyDescent="0.2">
      <c r="BA476" s="518">
        <f t="shared" ca="1" si="34"/>
        <v>61</v>
      </c>
      <c r="BB476" s="174">
        <f t="shared" ca="1" si="35"/>
        <v>413</v>
      </c>
      <c r="BC476" s="525" t="e">
        <f ca="1">MATCH(BD476,OFFSET(Pinlist!$A$2,BC475*(BA476=BA475),0,$BM$23,1),0)+BC475*(BA476=BA475)</f>
        <v>#N/A</v>
      </c>
      <c r="BD476" s="167">
        <f t="shared" ca="1" si="36"/>
        <v>0</v>
      </c>
      <c r="BE476" s="191" t="e">
        <f ca="1">(OFFSET(Pinlist!$E$1,BC476,0)-$BN$16)*$BN$19</f>
        <v>#N/A</v>
      </c>
      <c r="BF476" s="192" t="e">
        <f ca="1">(OFFSET(Pinlist!$F$1,BC476,0)-$BO$16)*$BO$19</f>
        <v>#N/A</v>
      </c>
      <c r="BG476" s="1098" t="str">
        <f ca="1">IF(LEFT(BD476,2)="RF",OFFSET(Pinlist!$D$1,Chart!BC476,0)&amp;"_"&amp;OFFSET(Pinlist!$G$1,Chart!BC476,0),"")</f>
        <v/>
      </c>
      <c r="BH476" s="1098"/>
      <c r="BI476" s="178"/>
      <c r="BJ476" s="178"/>
      <c r="BK476" s="178"/>
      <c r="BL476" s="178"/>
      <c r="BM476" s="178"/>
      <c r="BN476" s="178"/>
      <c r="BO476" s="178"/>
      <c r="BP476" s="178"/>
      <c r="BQ476" s="196"/>
      <c r="BR476" s="196"/>
      <c r="BS476" s="196"/>
      <c r="BT476" s="196"/>
      <c r="BU476" s="196"/>
      <c r="BV476" s="196"/>
      <c r="BW476" s="178"/>
      <c r="BX476" s="196"/>
      <c r="BY476" s="196"/>
      <c r="BZ476" s="196"/>
      <c r="CA476" s="196"/>
      <c r="CB476" s="178"/>
      <c r="CC476" s="178"/>
      <c r="CD476" s="202"/>
      <c r="CE476" s="202"/>
      <c r="CF476" s="178"/>
      <c r="CG476" s="196"/>
      <c r="CH476" s="178"/>
      <c r="CI476" s="178"/>
      <c r="CJ476" s="178"/>
      <c r="CK476" s="178"/>
      <c r="CL476" s="178"/>
      <c r="CM476" s="178"/>
      <c r="CN476" s="178"/>
      <c r="CO476" s="178"/>
      <c r="CP476" s="178"/>
      <c r="CQ476" s="178"/>
      <c r="CR476" s="178"/>
      <c r="CS476" s="178"/>
      <c r="CT476" s="178"/>
      <c r="CU476" s="178"/>
      <c r="CV476" s="178"/>
      <c r="CW476" s="178"/>
      <c r="CX476" s="178"/>
      <c r="CY476" s="178"/>
      <c r="CZ476" s="178"/>
      <c r="DA476" s="150"/>
    </row>
    <row r="477" spans="53:105" x14ac:dyDescent="0.2">
      <c r="BA477" s="518">
        <f t="shared" ca="1" si="34"/>
        <v>61</v>
      </c>
      <c r="BB477" s="174">
        <f t="shared" ca="1" si="35"/>
        <v>414</v>
      </c>
      <c r="BC477" s="525" t="e">
        <f ca="1">MATCH(BD477,OFFSET(Pinlist!$A$2,BC476*(BA477=BA476),0,$BM$23,1),0)+BC476*(BA477=BA476)</f>
        <v>#N/A</v>
      </c>
      <c r="BD477" s="167">
        <f t="shared" ca="1" si="36"/>
        <v>0</v>
      </c>
      <c r="BE477" s="191" t="e">
        <f ca="1">(OFFSET(Pinlist!$E$1,BC477,0)-$BN$16)*$BN$19</f>
        <v>#N/A</v>
      </c>
      <c r="BF477" s="192" t="e">
        <f ca="1">(OFFSET(Pinlist!$F$1,BC477,0)-$BO$16)*$BO$19</f>
        <v>#N/A</v>
      </c>
      <c r="BG477" s="1098" t="str">
        <f ca="1">IF(LEFT(BD477,2)="RF",OFFSET(Pinlist!$D$1,Chart!BC477,0)&amp;"_"&amp;OFFSET(Pinlist!$G$1,Chart!BC477,0),"")</f>
        <v/>
      </c>
      <c r="BH477" s="1098"/>
      <c r="BI477" s="178"/>
      <c r="BJ477" s="178"/>
      <c r="BK477" s="178"/>
      <c r="BL477" s="178"/>
      <c r="BM477" s="178"/>
      <c r="BN477" s="178"/>
      <c r="BO477" s="178"/>
      <c r="BP477" s="178"/>
      <c r="BQ477" s="196"/>
      <c r="BR477" s="196"/>
      <c r="BS477" s="196"/>
      <c r="BT477" s="196"/>
      <c r="BU477" s="196"/>
      <c r="BV477" s="196"/>
      <c r="BW477" s="178"/>
      <c r="BX477" s="196"/>
      <c r="BY477" s="196"/>
      <c r="BZ477" s="196"/>
      <c r="CA477" s="196"/>
      <c r="CB477" s="178"/>
      <c r="CC477" s="178"/>
      <c r="CD477" s="202"/>
      <c r="CE477" s="202"/>
      <c r="CF477" s="178"/>
      <c r="CG477" s="196"/>
      <c r="CH477" s="178"/>
      <c r="CI477" s="178"/>
      <c r="CJ477" s="178"/>
      <c r="CK477" s="178"/>
      <c r="CL477" s="178"/>
      <c r="CM477" s="178"/>
      <c r="CN477" s="178"/>
      <c r="CO477" s="178"/>
      <c r="CP477" s="178"/>
      <c r="CQ477" s="178"/>
      <c r="CR477" s="178"/>
      <c r="CS477" s="178"/>
      <c r="CT477" s="178"/>
      <c r="CU477" s="178"/>
      <c r="CV477" s="178"/>
      <c r="CW477" s="178"/>
      <c r="CX477" s="178"/>
      <c r="CY477" s="178"/>
      <c r="CZ477" s="178"/>
      <c r="DA477" s="150"/>
    </row>
    <row r="478" spans="53:105" x14ac:dyDescent="0.2">
      <c r="BA478" s="518">
        <f t="shared" ca="1" si="34"/>
        <v>61</v>
      </c>
      <c r="BB478" s="174">
        <f t="shared" ca="1" si="35"/>
        <v>415</v>
      </c>
      <c r="BC478" s="525" t="e">
        <f ca="1">MATCH(BD478,OFFSET(Pinlist!$A$2,BC477*(BA478=BA477),0,$BM$23,1),0)+BC477*(BA478=BA477)</f>
        <v>#N/A</v>
      </c>
      <c r="BD478" s="167">
        <f t="shared" ca="1" si="36"/>
        <v>0</v>
      </c>
      <c r="BE478" s="191" t="e">
        <f ca="1">(OFFSET(Pinlist!$E$1,BC478,0)-$BN$16)*$BN$19</f>
        <v>#N/A</v>
      </c>
      <c r="BF478" s="192" t="e">
        <f ca="1">(OFFSET(Pinlist!$F$1,BC478,0)-$BO$16)*$BO$19</f>
        <v>#N/A</v>
      </c>
      <c r="BG478" s="1098" t="str">
        <f ca="1">IF(LEFT(BD478,2)="RF",OFFSET(Pinlist!$D$1,Chart!BC478,0)&amp;"_"&amp;OFFSET(Pinlist!$G$1,Chart!BC478,0),"")</f>
        <v/>
      </c>
      <c r="BH478" s="1098"/>
      <c r="BI478" s="178"/>
      <c r="BJ478" s="178"/>
      <c r="BK478" s="178"/>
      <c r="BL478" s="178"/>
      <c r="BM478" s="178"/>
      <c r="BN478" s="178"/>
      <c r="BO478" s="178"/>
      <c r="BP478" s="178"/>
      <c r="BQ478" s="196"/>
      <c r="BR478" s="196"/>
      <c r="BS478" s="196"/>
      <c r="BT478" s="196"/>
      <c r="BU478" s="196"/>
      <c r="BV478" s="196"/>
      <c r="BW478" s="178"/>
      <c r="BX478" s="196"/>
      <c r="BY478" s="196"/>
      <c r="BZ478" s="196"/>
      <c r="CA478" s="196"/>
      <c r="CB478" s="178"/>
      <c r="CC478" s="178"/>
      <c r="CD478" s="202"/>
      <c r="CE478" s="202"/>
      <c r="CF478" s="178"/>
      <c r="CG478" s="196"/>
      <c r="CH478" s="178"/>
      <c r="CI478" s="178"/>
      <c r="CJ478" s="178"/>
      <c r="CK478" s="178"/>
      <c r="CL478" s="178"/>
      <c r="CM478" s="178"/>
      <c r="CN478" s="178"/>
      <c r="CO478" s="178"/>
      <c r="CP478" s="178"/>
      <c r="CQ478" s="178"/>
      <c r="CR478" s="178"/>
      <c r="CS478" s="178"/>
      <c r="CT478" s="178"/>
      <c r="CU478" s="178"/>
      <c r="CV478" s="178"/>
      <c r="CW478" s="178"/>
      <c r="CX478" s="178"/>
      <c r="CY478" s="178"/>
      <c r="CZ478" s="178"/>
      <c r="DA478" s="150"/>
    </row>
    <row r="479" spans="53:105" x14ac:dyDescent="0.2">
      <c r="BA479" s="518">
        <f t="shared" ca="1" si="34"/>
        <v>61</v>
      </c>
      <c r="BB479" s="174">
        <f t="shared" ca="1" si="35"/>
        <v>416</v>
      </c>
      <c r="BC479" s="525" t="e">
        <f ca="1">MATCH(BD479,OFFSET(Pinlist!$A$2,BC478*(BA479=BA478),0,$BM$23,1),0)+BC478*(BA479=BA478)</f>
        <v>#N/A</v>
      </c>
      <c r="BD479" s="167">
        <f t="shared" ca="1" si="36"/>
        <v>0</v>
      </c>
      <c r="BE479" s="191" t="e">
        <f ca="1">(OFFSET(Pinlist!$E$1,BC479,0)-$BN$16)*$BN$19</f>
        <v>#N/A</v>
      </c>
      <c r="BF479" s="192" t="e">
        <f ca="1">(OFFSET(Pinlist!$F$1,BC479,0)-$BO$16)*$BO$19</f>
        <v>#N/A</v>
      </c>
      <c r="BG479" s="1098" t="str">
        <f ca="1">IF(LEFT(BD479,2)="RF",OFFSET(Pinlist!$D$1,Chart!BC479,0)&amp;"_"&amp;OFFSET(Pinlist!$G$1,Chart!BC479,0),"")</f>
        <v/>
      </c>
      <c r="BH479" s="1098"/>
      <c r="BI479" s="178"/>
      <c r="BJ479" s="178"/>
      <c r="BK479" s="178"/>
      <c r="BL479" s="178"/>
      <c r="BM479" s="178"/>
      <c r="BN479" s="178"/>
      <c r="BO479" s="178"/>
      <c r="BP479" s="178"/>
      <c r="BQ479" s="196"/>
      <c r="BR479" s="196"/>
      <c r="BS479" s="196"/>
      <c r="BT479" s="196"/>
      <c r="BU479" s="196"/>
      <c r="BV479" s="196"/>
      <c r="BW479" s="178"/>
      <c r="BX479" s="196"/>
      <c r="BY479" s="196"/>
      <c r="BZ479" s="196"/>
      <c r="CA479" s="196"/>
      <c r="CB479" s="178"/>
      <c r="CC479" s="178"/>
      <c r="CD479" s="202"/>
      <c r="CE479" s="202"/>
      <c r="CF479" s="178"/>
      <c r="CG479" s="196"/>
      <c r="CH479" s="178"/>
      <c r="CI479" s="178"/>
      <c r="CJ479" s="178"/>
      <c r="CK479" s="178"/>
      <c r="CL479" s="178"/>
      <c r="CM479" s="178"/>
      <c r="CN479" s="178"/>
      <c r="CO479" s="178"/>
      <c r="CP479" s="178"/>
      <c r="CQ479" s="178"/>
      <c r="CR479" s="178"/>
      <c r="CS479" s="178"/>
      <c r="CT479" s="178"/>
      <c r="CU479" s="178"/>
      <c r="CV479" s="178"/>
      <c r="CW479" s="178"/>
      <c r="CX479" s="178"/>
      <c r="CY479" s="178"/>
      <c r="CZ479" s="178"/>
      <c r="DA479" s="150"/>
    </row>
    <row r="480" spans="53:105" x14ac:dyDescent="0.2">
      <c r="BA480" s="518">
        <f t="shared" ca="1" si="34"/>
        <v>61</v>
      </c>
      <c r="BB480" s="174">
        <f t="shared" ca="1" si="35"/>
        <v>417</v>
      </c>
      <c r="BC480" s="525" t="e">
        <f ca="1">MATCH(BD480,OFFSET(Pinlist!$A$2,BC479*(BA480=BA479),0,$BM$23,1),0)+BC479*(BA480=BA479)</f>
        <v>#N/A</v>
      </c>
      <c r="BD480" s="167">
        <f t="shared" ca="1" si="36"/>
        <v>0</v>
      </c>
      <c r="BE480" s="191" t="e">
        <f ca="1">(OFFSET(Pinlist!$E$1,BC480,0)-$BN$16)*$BN$19</f>
        <v>#N/A</v>
      </c>
      <c r="BF480" s="192" t="e">
        <f ca="1">(OFFSET(Pinlist!$F$1,BC480,0)-$BO$16)*$BO$19</f>
        <v>#N/A</v>
      </c>
      <c r="BG480" s="1098" t="str">
        <f ca="1">IF(LEFT(BD480,2)="RF",OFFSET(Pinlist!$D$1,Chart!BC480,0)&amp;"_"&amp;OFFSET(Pinlist!$G$1,Chart!BC480,0),"")</f>
        <v/>
      </c>
      <c r="BH480" s="1098"/>
      <c r="BI480" s="178"/>
      <c r="BJ480" s="178"/>
      <c r="BK480" s="178"/>
      <c r="BL480" s="178"/>
      <c r="BM480" s="178"/>
      <c r="BN480" s="178"/>
      <c r="BO480" s="178"/>
      <c r="BP480" s="178"/>
      <c r="BQ480" s="196"/>
      <c r="BR480" s="196"/>
      <c r="BS480" s="196"/>
      <c r="BT480" s="196"/>
      <c r="BU480" s="196"/>
      <c r="BV480" s="196"/>
      <c r="BW480" s="178"/>
      <c r="BX480" s="196"/>
      <c r="BY480" s="196"/>
      <c r="BZ480" s="196"/>
      <c r="CA480" s="196"/>
      <c r="CB480" s="178"/>
      <c r="CC480" s="178"/>
      <c r="CD480" s="202"/>
      <c r="CE480" s="202"/>
      <c r="CF480" s="178"/>
      <c r="CG480" s="196"/>
      <c r="CH480" s="178"/>
      <c r="CI480" s="178"/>
      <c r="CJ480" s="178"/>
      <c r="CK480" s="178"/>
      <c r="CL480" s="178"/>
      <c r="CM480" s="178"/>
      <c r="CN480" s="178"/>
      <c r="CO480" s="178"/>
      <c r="CP480" s="178"/>
      <c r="CQ480" s="178"/>
      <c r="CR480" s="178"/>
      <c r="CS480" s="178"/>
      <c r="CT480" s="178"/>
      <c r="CU480" s="178"/>
      <c r="CV480" s="178"/>
      <c r="CW480" s="178"/>
      <c r="CX480" s="178"/>
      <c r="CY480" s="178"/>
      <c r="CZ480" s="178"/>
      <c r="DA480" s="150"/>
    </row>
    <row r="481" spans="53:105" x14ac:dyDescent="0.2">
      <c r="BA481" s="518">
        <f t="shared" ca="1" si="34"/>
        <v>61</v>
      </c>
      <c r="BB481" s="174">
        <f t="shared" ca="1" si="35"/>
        <v>418</v>
      </c>
      <c r="BC481" s="525" t="e">
        <f ca="1">MATCH(BD481,OFFSET(Pinlist!$A$2,BC480*(BA481=BA480),0,$BM$23,1),0)+BC480*(BA481=BA480)</f>
        <v>#N/A</v>
      </c>
      <c r="BD481" s="167">
        <f t="shared" ca="1" si="36"/>
        <v>0</v>
      </c>
      <c r="BE481" s="191" t="e">
        <f ca="1">(OFFSET(Pinlist!$E$1,BC481,0)-$BN$16)*$BN$19</f>
        <v>#N/A</v>
      </c>
      <c r="BF481" s="192" t="e">
        <f ca="1">(OFFSET(Pinlist!$F$1,BC481,0)-$BO$16)*$BO$19</f>
        <v>#N/A</v>
      </c>
      <c r="BG481" s="1098" t="str">
        <f ca="1">IF(LEFT(BD481,2)="RF",OFFSET(Pinlist!$D$1,Chart!BC481,0)&amp;"_"&amp;OFFSET(Pinlist!$G$1,Chart!BC481,0),"")</f>
        <v/>
      </c>
      <c r="BH481" s="1098"/>
      <c r="BI481" s="178"/>
      <c r="BJ481" s="178"/>
      <c r="BK481" s="178"/>
      <c r="BL481" s="178"/>
      <c r="BM481" s="178"/>
      <c r="BN481" s="178"/>
      <c r="BO481" s="178"/>
      <c r="BP481" s="178"/>
      <c r="BQ481" s="196"/>
      <c r="BR481" s="196"/>
      <c r="BS481" s="196"/>
      <c r="BT481" s="196"/>
      <c r="BU481" s="196"/>
      <c r="BV481" s="196"/>
      <c r="BW481" s="178"/>
      <c r="BX481" s="196"/>
      <c r="BY481" s="196"/>
      <c r="BZ481" s="196"/>
      <c r="CA481" s="196"/>
      <c r="CB481" s="178"/>
      <c r="CC481" s="178"/>
      <c r="CD481" s="202"/>
      <c r="CE481" s="202"/>
      <c r="CF481" s="178"/>
      <c r="CG481" s="196"/>
      <c r="CH481" s="178"/>
      <c r="CI481" s="178"/>
      <c r="CJ481" s="178"/>
      <c r="CK481" s="178"/>
      <c r="CL481" s="178"/>
      <c r="CM481" s="178"/>
      <c r="CN481" s="178"/>
      <c r="CO481" s="178"/>
      <c r="CP481" s="178"/>
      <c r="CQ481" s="178"/>
      <c r="CR481" s="178"/>
      <c r="CS481" s="178"/>
      <c r="CT481" s="178"/>
      <c r="CU481" s="178"/>
      <c r="CV481" s="178"/>
      <c r="CW481" s="178"/>
      <c r="CX481" s="178"/>
      <c r="CY481" s="178"/>
      <c r="CZ481" s="178"/>
      <c r="DA481" s="150"/>
    </row>
    <row r="482" spans="53:105" x14ac:dyDescent="0.2">
      <c r="BA482" s="518">
        <f t="shared" ca="1" si="34"/>
        <v>61</v>
      </c>
      <c r="BB482" s="174">
        <f t="shared" ca="1" si="35"/>
        <v>419</v>
      </c>
      <c r="BC482" s="525" t="e">
        <f ca="1">MATCH(BD482,OFFSET(Pinlist!$A$2,BC481*(BA482=BA481),0,$BM$23,1),0)+BC481*(BA482=BA481)</f>
        <v>#N/A</v>
      </c>
      <c r="BD482" s="167">
        <f t="shared" ca="1" si="36"/>
        <v>0</v>
      </c>
      <c r="BE482" s="191" t="e">
        <f ca="1">(OFFSET(Pinlist!$E$1,BC482,0)-$BN$16)*$BN$19</f>
        <v>#N/A</v>
      </c>
      <c r="BF482" s="192" t="e">
        <f ca="1">(OFFSET(Pinlist!$F$1,BC482,0)-$BO$16)*$BO$19</f>
        <v>#N/A</v>
      </c>
      <c r="BG482" s="1098" t="str">
        <f ca="1">IF(LEFT(BD482,2)="RF",OFFSET(Pinlist!$D$1,Chart!BC482,0)&amp;"_"&amp;OFFSET(Pinlist!$G$1,Chart!BC482,0),"")</f>
        <v/>
      </c>
      <c r="BH482" s="1098"/>
      <c r="BI482" s="178"/>
      <c r="BJ482" s="178"/>
      <c r="BK482" s="178"/>
      <c r="BL482" s="178"/>
      <c r="BM482" s="178"/>
      <c r="BN482" s="178"/>
      <c r="BO482" s="178"/>
      <c r="BP482" s="178"/>
      <c r="BQ482" s="196"/>
      <c r="BR482" s="196"/>
      <c r="BS482" s="196"/>
      <c r="BT482" s="196"/>
      <c r="BU482" s="196"/>
      <c r="BV482" s="196"/>
      <c r="BW482" s="178"/>
      <c r="BX482" s="196"/>
      <c r="BY482" s="196"/>
      <c r="BZ482" s="196"/>
      <c r="CA482" s="196"/>
      <c r="CB482" s="178"/>
      <c r="CC482" s="178"/>
      <c r="CD482" s="202"/>
      <c r="CE482" s="202"/>
      <c r="CF482" s="178"/>
      <c r="CG482" s="196"/>
      <c r="CH482" s="178"/>
      <c r="CI482" s="178"/>
      <c r="CJ482" s="178"/>
      <c r="CK482" s="178"/>
      <c r="CL482" s="178"/>
      <c r="CM482" s="178"/>
      <c r="CN482" s="178"/>
      <c r="CO482" s="178"/>
      <c r="CP482" s="178"/>
      <c r="CQ482" s="178"/>
      <c r="CR482" s="178"/>
      <c r="CS482" s="178"/>
      <c r="CT482" s="178"/>
      <c r="CU482" s="178"/>
      <c r="CV482" s="178"/>
      <c r="CW482" s="178"/>
      <c r="CX482" s="178"/>
      <c r="CY482" s="178"/>
      <c r="CZ482" s="178"/>
      <c r="DA482" s="150"/>
    </row>
    <row r="483" spans="53:105" x14ac:dyDescent="0.2">
      <c r="BA483" s="518">
        <f t="shared" ca="1" si="34"/>
        <v>61</v>
      </c>
      <c r="BB483" s="174">
        <f t="shared" ca="1" si="35"/>
        <v>420</v>
      </c>
      <c r="BC483" s="525" t="e">
        <f ca="1">MATCH(BD483,OFFSET(Pinlist!$A$2,BC482*(BA483=BA482),0,$BM$23,1),0)+BC482*(BA483=BA482)</f>
        <v>#N/A</v>
      </c>
      <c r="BD483" s="167">
        <f t="shared" ca="1" si="36"/>
        <v>0</v>
      </c>
      <c r="BE483" s="191" t="e">
        <f ca="1">(OFFSET(Pinlist!$E$1,BC483,0)-$BN$16)*$BN$19</f>
        <v>#N/A</v>
      </c>
      <c r="BF483" s="192" t="e">
        <f ca="1">(OFFSET(Pinlist!$F$1,BC483,0)-$BO$16)*$BO$19</f>
        <v>#N/A</v>
      </c>
      <c r="BG483" s="1098" t="str">
        <f ca="1">IF(LEFT(BD483,2)="RF",OFFSET(Pinlist!$D$1,Chart!BC483,0)&amp;"_"&amp;OFFSET(Pinlist!$G$1,Chart!BC483,0),"")</f>
        <v/>
      </c>
      <c r="BH483" s="1098"/>
      <c r="BI483" s="178"/>
      <c r="BJ483" s="178"/>
      <c r="BK483" s="178"/>
      <c r="BL483" s="178"/>
      <c r="BM483" s="178"/>
      <c r="BN483" s="178"/>
      <c r="BO483" s="178"/>
      <c r="BP483" s="178"/>
      <c r="BQ483" s="196"/>
      <c r="BR483" s="196"/>
      <c r="BS483" s="196"/>
      <c r="BT483" s="196"/>
      <c r="BU483" s="196"/>
      <c r="BV483" s="196"/>
      <c r="BW483" s="178"/>
      <c r="BX483" s="196"/>
      <c r="BY483" s="196"/>
      <c r="BZ483" s="196"/>
      <c r="CA483" s="196"/>
      <c r="CB483" s="178"/>
      <c r="CC483" s="178"/>
      <c r="CD483" s="202"/>
      <c r="CE483" s="202"/>
      <c r="CF483" s="178"/>
      <c r="CG483" s="196"/>
      <c r="CH483" s="178"/>
      <c r="CI483" s="178"/>
      <c r="CJ483" s="178"/>
      <c r="CK483" s="178"/>
      <c r="CL483" s="178"/>
      <c r="CM483" s="178"/>
      <c r="CN483" s="178"/>
      <c r="CO483" s="178"/>
      <c r="CP483" s="178"/>
      <c r="CQ483" s="178"/>
      <c r="CR483" s="178"/>
      <c r="CS483" s="178"/>
      <c r="CT483" s="178"/>
      <c r="CU483" s="178"/>
      <c r="CV483" s="178"/>
      <c r="CW483" s="178"/>
      <c r="CX483" s="178"/>
      <c r="CY483" s="178"/>
      <c r="CZ483" s="178"/>
      <c r="DA483" s="150"/>
    </row>
    <row r="484" spans="53:105" x14ac:dyDescent="0.2">
      <c r="BA484" s="518">
        <f t="shared" ca="1" si="34"/>
        <v>61</v>
      </c>
      <c r="BB484" s="174">
        <f t="shared" ca="1" si="35"/>
        <v>421</v>
      </c>
      <c r="BC484" s="525" t="e">
        <f ca="1">MATCH(BD484,OFFSET(Pinlist!$A$2,BC483*(BA484=BA483),0,$BM$23,1),0)+BC483*(BA484=BA483)</f>
        <v>#N/A</v>
      </c>
      <c r="BD484" s="167">
        <f t="shared" ca="1" si="36"/>
        <v>0</v>
      </c>
      <c r="BE484" s="191" t="e">
        <f ca="1">(OFFSET(Pinlist!$E$1,BC484,0)-$BN$16)*$BN$19</f>
        <v>#N/A</v>
      </c>
      <c r="BF484" s="192" t="e">
        <f ca="1">(OFFSET(Pinlist!$F$1,BC484,0)-$BO$16)*$BO$19</f>
        <v>#N/A</v>
      </c>
      <c r="BG484" s="1098" t="str">
        <f ca="1">IF(LEFT(BD484,2)="RF",OFFSET(Pinlist!$D$1,Chart!BC484,0)&amp;"_"&amp;OFFSET(Pinlist!$G$1,Chart!BC484,0),"")</f>
        <v/>
      </c>
      <c r="BH484" s="1098"/>
      <c r="BI484" s="178"/>
      <c r="BJ484" s="178"/>
      <c r="BK484" s="178"/>
      <c r="BL484" s="178"/>
      <c r="BM484" s="178"/>
      <c r="BN484" s="178"/>
      <c r="BO484" s="178"/>
      <c r="BP484" s="178"/>
      <c r="BQ484" s="196"/>
      <c r="BR484" s="196"/>
      <c r="BS484" s="196"/>
      <c r="BT484" s="196"/>
      <c r="BU484" s="196"/>
      <c r="BV484" s="196"/>
      <c r="BW484" s="178"/>
      <c r="BX484" s="196"/>
      <c r="BY484" s="196"/>
      <c r="BZ484" s="196"/>
      <c r="CA484" s="196"/>
      <c r="CB484" s="178"/>
      <c r="CC484" s="178"/>
      <c r="CD484" s="202"/>
      <c r="CE484" s="202"/>
      <c r="CF484" s="178"/>
      <c r="CG484" s="196"/>
      <c r="CH484" s="178"/>
      <c r="CI484" s="178"/>
      <c r="CJ484" s="178"/>
      <c r="CK484" s="178"/>
      <c r="CL484" s="178"/>
      <c r="CM484" s="178"/>
      <c r="CN484" s="178"/>
      <c r="CO484" s="178"/>
      <c r="CP484" s="178"/>
      <c r="CQ484" s="178"/>
      <c r="CR484" s="178"/>
      <c r="CS484" s="178"/>
      <c r="CT484" s="178"/>
      <c r="CU484" s="178"/>
      <c r="CV484" s="178"/>
      <c r="CW484" s="178"/>
      <c r="CX484" s="178"/>
      <c r="CY484" s="178"/>
      <c r="CZ484" s="178"/>
      <c r="DA484" s="150"/>
    </row>
    <row r="485" spans="53:105" x14ac:dyDescent="0.2">
      <c r="BA485" s="518">
        <f t="shared" ca="1" si="34"/>
        <v>61</v>
      </c>
      <c r="BB485" s="174">
        <f t="shared" ca="1" si="35"/>
        <v>422</v>
      </c>
      <c r="BC485" s="525" t="e">
        <f ca="1">MATCH(BD485,OFFSET(Pinlist!$A$2,BC484*(BA485=BA484),0,$BM$23,1),0)+BC484*(BA485=BA484)</f>
        <v>#N/A</v>
      </c>
      <c r="BD485" s="167">
        <f t="shared" ca="1" si="36"/>
        <v>0</v>
      </c>
      <c r="BE485" s="191" t="e">
        <f ca="1">(OFFSET(Pinlist!$E$1,BC485,0)-$BN$16)*$BN$19</f>
        <v>#N/A</v>
      </c>
      <c r="BF485" s="192" t="e">
        <f ca="1">(OFFSET(Pinlist!$F$1,BC485,0)-$BO$16)*$BO$19</f>
        <v>#N/A</v>
      </c>
      <c r="BG485" s="1098" t="str">
        <f ca="1">IF(LEFT(BD485,2)="RF",OFFSET(Pinlist!$D$1,Chart!BC485,0)&amp;"_"&amp;OFFSET(Pinlist!$G$1,Chart!BC485,0),"")</f>
        <v/>
      </c>
      <c r="BH485" s="1098"/>
      <c r="BI485" s="178"/>
      <c r="BJ485" s="178"/>
      <c r="BK485" s="178"/>
      <c r="BL485" s="178"/>
      <c r="BM485" s="178"/>
      <c r="BN485" s="178"/>
      <c r="BO485" s="178"/>
      <c r="BP485" s="178"/>
      <c r="BQ485" s="196"/>
      <c r="BR485" s="196"/>
      <c r="BS485" s="196"/>
      <c r="BT485" s="196"/>
      <c r="BU485" s="196"/>
      <c r="BV485" s="196"/>
      <c r="BW485" s="178"/>
      <c r="BX485" s="196"/>
      <c r="BY485" s="196"/>
      <c r="BZ485" s="196"/>
      <c r="CA485" s="196"/>
      <c r="CB485" s="178"/>
      <c r="CC485" s="178"/>
      <c r="CD485" s="202"/>
      <c r="CE485" s="202"/>
      <c r="CF485" s="178"/>
      <c r="CG485" s="196"/>
      <c r="CH485" s="178"/>
      <c r="CI485" s="178"/>
      <c r="CJ485" s="178"/>
      <c r="CK485" s="178"/>
      <c r="CL485" s="178"/>
      <c r="CM485" s="178"/>
      <c r="CN485" s="178"/>
      <c r="CO485" s="178"/>
      <c r="CP485" s="178"/>
      <c r="CQ485" s="178"/>
      <c r="CR485" s="178"/>
      <c r="CS485" s="178"/>
      <c r="CT485" s="178"/>
      <c r="CU485" s="178"/>
      <c r="CV485" s="178"/>
      <c r="CW485" s="178"/>
      <c r="CX485" s="178"/>
      <c r="CY485" s="178"/>
      <c r="CZ485" s="178"/>
      <c r="DA485" s="150"/>
    </row>
    <row r="486" spans="53:105" x14ac:dyDescent="0.2">
      <c r="BA486" s="518">
        <f t="shared" ca="1" si="34"/>
        <v>61</v>
      </c>
      <c r="BB486" s="174">
        <f t="shared" ca="1" si="35"/>
        <v>423</v>
      </c>
      <c r="BC486" s="525" t="e">
        <f ca="1">MATCH(BD486,OFFSET(Pinlist!$A$2,BC485*(BA486=BA485),0,$BM$23,1),0)+BC485*(BA486=BA485)</f>
        <v>#N/A</v>
      </c>
      <c r="BD486" s="167">
        <f t="shared" ca="1" si="36"/>
        <v>0</v>
      </c>
      <c r="BE486" s="191" t="e">
        <f ca="1">(OFFSET(Pinlist!$E$1,BC486,0)-$BN$16)*$BN$19</f>
        <v>#N/A</v>
      </c>
      <c r="BF486" s="192" t="e">
        <f ca="1">(OFFSET(Pinlist!$F$1,BC486,0)-$BO$16)*$BO$19</f>
        <v>#N/A</v>
      </c>
      <c r="BG486" s="1098" t="str">
        <f ca="1">IF(LEFT(BD486,2)="RF",OFFSET(Pinlist!$D$1,Chart!BC486,0)&amp;"_"&amp;OFFSET(Pinlist!$G$1,Chart!BC486,0),"")</f>
        <v/>
      </c>
      <c r="BH486" s="1098"/>
      <c r="BI486" s="178"/>
      <c r="BJ486" s="178"/>
      <c r="BK486" s="178"/>
      <c r="BL486" s="178"/>
      <c r="BM486" s="178"/>
      <c r="BN486" s="178"/>
      <c r="BO486" s="178"/>
      <c r="BP486" s="178"/>
      <c r="BQ486" s="196"/>
      <c r="BR486" s="196"/>
      <c r="BS486" s="196"/>
      <c r="BT486" s="196"/>
      <c r="BU486" s="196"/>
      <c r="BV486" s="196"/>
      <c r="BW486" s="178"/>
      <c r="BX486" s="196"/>
      <c r="BY486" s="196"/>
      <c r="BZ486" s="196"/>
      <c r="CA486" s="196"/>
      <c r="CB486" s="178"/>
      <c r="CC486" s="178"/>
      <c r="CD486" s="202"/>
      <c r="CE486" s="202"/>
      <c r="CF486" s="178"/>
      <c r="CG486" s="196"/>
      <c r="CH486" s="178"/>
      <c r="CI486" s="178"/>
      <c r="CJ486" s="178"/>
      <c r="CK486" s="178"/>
      <c r="CL486" s="178"/>
      <c r="CM486" s="178"/>
      <c r="CN486" s="178"/>
      <c r="CO486" s="178"/>
      <c r="CP486" s="178"/>
      <c r="CQ486" s="178"/>
      <c r="CR486" s="178"/>
      <c r="CS486" s="178"/>
      <c r="CT486" s="178"/>
      <c r="CU486" s="178"/>
      <c r="CV486" s="178"/>
      <c r="CW486" s="178"/>
      <c r="CX486" s="178"/>
      <c r="CY486" s="178"/>
      <c r="CZ486" s="178"/>
      <c r="DA486" s="150"/>
    </row>
    <row r="487" spans="53:105" x14ac:dyDescent="0.2">
      <c r="BA487" s="518">
        <f t="shared" ca="1" si="34"/>
        <v>61</v>
      </c>
      <c r="BB487" s="174">
        <f t="shared" ca="1" si="35"/>
        <v>424</v>
      </c>
      <c r="BC487" s="525" t="e">
        <f ca="1">MATCH(BD487,OFFSET(Pinlist!$A$2,BC486*(BA487=BA486),0,$BM$23,1),0)+BC486*(BA487=BA486)</f>
        <v>#N/A</v>
      </c>
      <c r="BD487" s="167">
        <f t="shared" ca="1" si="36"/>
        <v>0</v>
      </c>
      <c r="BE487" s="191" t="e">
        <f ca="1">(OFFSET(Pinlist!$E$1,BC487,0)-$BN$16)*$BN$19</f>
        <v>#N/A</v>
      </c>
      <c r="BF487" s="192" t="e">
        <f ca="1">(OFFSET(Pinlist!$F$1,BC487,0)-$BO$16)*$BO$19</f>
        <v>#N/A</v>
      </c>
      <c r="BG487" s="1098" t="str">
        <f ca="1">IF(LEFT(BD487,2)="RF",OFFSET(Pinlist!$D$1,Chart!BC487,0)&amp;"_"&amp;OFFSET(Pinlist!$G$1,Chart!BC487,0),"")</f>
        <v/>
      </c>
      <c r="BH487" s="1098"/>
      <c r="BI487" s="178"/>
      <c r="BJ487" s="178"/>
      <c r="BK487" s="178"/>
      <c r="BL487" s="178"/>
      <c r="BM487" s="178"/>
      <c r="BN487" s="178"/>
      <c r="BO487" s="178"/>
      <c r="BP487" s="178"/>
      <c r="BQ487" s="196"/>
      <c r="BR487" s="196"/>
      <c r="BS487" s="196"/>
      <c r="BT487" s="196"/>
      <c r="BU487" s="196"/>
      <c r="BV487" s="196"/>
      <c r="BW487" s="178"/>
      <c r="BX487" s="196"/>
      <c r="BY487" s="196"/>
      <c r="BZ487" s="196"/>
      <c r="CA487" s="196"/>
      <c r="CB487" s="178"/>
      <c r="CC487" s="178"/>
      <c r="CD487" s="202"/>
      <c r="CE487" s="202"/>
      <c r="CF487" s="178"/>
      <c r="CG487" s="196"/>
      <c r="CH487" s="178"/>
      <c r="CI487" s="178"/>
      <c r="CJ487" s="178"/>
      <c r="CK487" s="178"/>
      <c r="CL487" s="178"/>
      <c r="CM487" s="178"/>
      <c r="CN487" s="178"/>
      <c r="CO487" s="178"/>
      <c r="CP487" s="178"/>
      <c r="CQ487" s="178"/>
      <c r="CR487" s="178"/>
      <c r="CS487" s="178"/>
      <c r="CT487" s="178"/>
      <c r="CU487" s="178"/>
      <c r="CV487" s="178"/>
      <c r="CW487" s="178"/>
      <c r="CX487" s="178"/>
      <c r="CY487" s="178"/>
      <c r="CZ487" s="178"/>
      <c r="DA487" s="150"/>
    </row>
    <row r="488" spans="53:105" x14ac:dyDescent="0.2">
      <c r="BA488" s="518">
        <f t="shared" ca="1" si="34"/>
        <v>61</v>
      </c>
      <c r="BB488" s="174">
        <f t="shared" ca="1" si="35"/>
        <v>425</v>
      </c>
      <c r="BC488" s="525" t="e">
        <f ca="1">MATCH(BD488,OFFSET(Pinlist!$A$2,BC487*(BA488=BA487),0,$BM$23,1),0)+BC487*(BA488=BA487)</f>
        <v>#N/A</v>
      </c>
      <c r="BD488" s="167">
        <f t="shared" ca="1" si="36"/>
        <v>0</v>
      </c>
      <c r="BE488" s="191" t="e">
        <f ca="1">(OFFSET(Pinlist!$E$1,BC488,0)-$BN$16)*$BN$19</f>
        <v>#N/A</v>
      </c>
      <c r="BF488" s="192" t="e">
        <f ca="1">(OFFSET(Pinlist!$F$1,BC488,0)-$BO$16)*$BO$19</f>
        <v>#N/A</v>
      </c>
      <c r="BG488" s="1098" t="str">
        <f ca="1">IF(LEFT(BD488,2)="RF",OFFSET(Pinlist!$D$1,Chart!BC488,0)&amp;"_"&amp;OFFSET(Pinlist!$G$1,Chart!BC488,0),"")</f>
        <v/>
      </c>
      <c r="BH488" s="1098"/>
      <c r="BI488" s="178"/>
      <c r="BJ488" s="178"/>
      <c r="BK488" s="178"/>
      <c r="BL488" s="178"/>
      <c r="BM488" s="178"/>
      <c r="BN488" s="178"/>
      <c r="BO488" s="178"/>
      <c r="BP488" s="178"/>
      <c r="BQ488" s="196"/>
      <c r="BR488" s="196"/>
      <c r="BS488" s="196"/>
      <c r="BT488" s="196"/>
      <c r="BU488" s="196"/>
      <c r="BV488" s="196"/>
      <c r="BW488" s="178"/>
      <c r="BX488" s="196"/>
      <c r="BY488" s="196"/>
      <c r="BZ488" s="196"/>
      <c r="CA488" s="196"/>
      <c r="CB488" s="178"/>
      <c r="CC488" s="178"/>
      <c r="CD488" s="202"/>
      <c r="CE488" s="202"/>
      <c r="CF488" s="178"/>
      <c r="CG488" s="196"/>
      <c r="CH488" s="178"/>
      <c r="CI488" s="178"/>
      <c r="CJ488" s="178"/>
      <c r="CK488" s="178"/>
      <c r="CL488" s="178"/>
      <c r="CM488" s="178"/>
      <c r="CN488" s="178"/>
      <c r="CO488" s="178"/>
      <c r="CP488" s="178"/>
      <c r="CQ488" s="178"/>
      <c r="CR488" s="178"/>
      <c r="CS488" s="178"/>
      <c r="CT488" s="178"/>
      <c r="CU488" s="178"/>
      <c r="CV488" s="178"/>
      <c r="CW488" s="178"/>
      <c r="CX488" s="178"/>
      <c r="CY488" s="178"/>
      <c r="CZ488" s="178"/>
      <c r="DA488" s="150"/>
    </row>
    <row r="489" spans="53:105" x14ac:dyDescent="0.2">
      <c r="BA489" s="518">
        <f t="shared" ca="1" si="34"/>
        <v>61</v>
      </c>
      <c r="BB489" s="174">
        <f t="shared" ca="1" si="35"/>
        <v>426</v>
      </c>
      <c r="BC489" s="525" t="e">
        <f ca="1">MATCH(BD489,OFFSET(Pinlist!$A$2,BC488*(BA489=BA488),0,$BM$23,1),0)+BC488*(BA489=BA488)</f>
        <v>#N/A</v>
      </c>
      <c r="BD489" s="167">
        <f t="shared" ca="1" si="36"/>
        <v>0</v>
      </c>
      <c r="BE489" s="191" t="e">
        <f ca="1">(OFFSET(Pinlist!$E$1,BC489,0)-$BN$16)*$BN$19</f>
        <v>#N/A</v>
      </c>
      <c r="BF489" s="192" t="e">
        <f ca="1">(OFFSET(Pinlist!$F$1,BC489,0)-$BO$16)*$BO$19</f>
        <v>#N/A</v>
      </c>
      <c r="BG489" s="1098" t="str">
        <f ca="1">IF(LEFT(BD489,2)="RF",OFFSET(Pinlist!$D$1,Chart!BC489,0)&amp;"_"&amp;OFFSET(Pinlist!$G$1,Chart!BC489,0),"")</f>
        <v/>
      </c>
      <c r="BH489" s="1098"/>
      <c r="BI489" s="178"/>
      <c r="BJ489" s="178"/>
      <c r="BK489" s="178"/>
      <c r="BL489" s="178"/>
      <c r="BM489" s="178"/>
      <c r="BN489" s="178"/>
      <c r="BO489" s="178"/>
      <c r="BP489" s="178"/>
      <c r="BQ489" s="196"/>
      <c r="BR489" s="196"/>
      <c r="BS489" s="196"/>
      <c r="BT489" s="196"/>
      <c r="BU489" s="196"/>
      <c r="BV489" s="196"/>
      <c r="BW489" s="178"/>
      <c r="BX489" s="196"/>
      <c r="BY489" s="196"/>
      <c r="BZ489" s="196"/>
      <c r="CA489" s="196"/>
      <c r="CB489" s="178"/>
      <c r="CC489" s="178"/>
      <c r="CD489" s="202"/>
      <c r="CE489" s="202"/>
      <c r="CF489" s="178"/>
      <c r="CG489" s="196"/>
      <c r="CH489" s="178"/>
      <c r="CI489" s="178"/>
      <c r="CJ489" s="178"/>
      <c r="CK489" s="178"/>
      <c r="CL489" s="178"/>
      <c r="CM489" s="178"/>
      <c r="CN489" s="178"/>
      <c r="CO489" s="178"/>
      <c r="CP489" s="178"/>
      <c r="CQ489" s="178"/>
      <c r="CR489" s="178"/>
      <c r="CS489" s="178"/>
      <c r="CT489" s="178"/>
      <c r="CU489" s="178"/>
      <c r="CV489" s="178"/>
      <c r="CW489" s="178"/>
      <c r="CX489" s="178"/>
      <c r="CY489" s="178"/>
      <c r="CZ489" s="178"/>
      <c r="DA489" s="150"/>
    </row>
    <row r="490" spans="53:105" x14ac:dyDescent="0.2">
      <c r="BA490" s="518">
        <f t="shared" ca="1" si="34"/>
        <v>61</v>
      </c>
      <c r="BB490" s="174">
        <f t="shared" ca="1" si="35"/>
        <v>427</v>
      </c>
      <c r="BC490" s="525" t="e">
        <f ca="1">MATCH(BD490,OFFSET(Pinlist!$A$2,BC489*(BA490=BA489),0,$BM$23,1),0)+BC489*(BA490=BA489)</f>
        <v>#N/A</v>
      </c>
      <c r="BD490" s="167">
        <f t="shared" ca="1" si="36"/>
        <v>0</v>
      </c>
      <c r="BE490" s="191" t="e">
        <f ca="1">(OFFSET(Pinlist!$E$1,BC490,0)-$BN$16)*$BN$19</f>
        <v>#N/A</v>
      </c>
      <c r="BF490" s="192" t="e">
        <f ca="1">(OFFSET(Pinlist!$F$1,BC490,0)-$BO$16)*$BO$19</f>
        <v>#N/A</v>
      </c>
      <c r="BG490" s="1098" t="str">
        <f ca="1">IF(LEFT(BD490,2)="RF",OFFSET(Pinlist!$D$1,Chart!BC490,0)&amp;"_"&amp;OFFSET(Pinlist!$G$1,Chart!BC490,0),"")</f>
        <v/>
      </c>
      <c r="BH490" s="1098"/>
      <c r="BI490" s="178"/>
      <c r="BJ490" s="178"/>
      <c r="BK490" s="178"/>
      <c r="BL490" s="178"/>
      <c r="BM490" s="178"/>
      <c r="BN490" s="178"/>
      <c r="BO490" s="178"/>
      <c r="BP490" s="178"/>
      <c r="BQ490" s="196"/>
      <c r="BR490" s="196"/>
      <c r="BS490" s="196"/>
      <c r="BT490" s="196"/>
      <c r="BU490" s="196"/>
      <c r="BV490" s="196"/>
      <c r="BW490" s="178"/>
      <c r="BX490" s="196"/>
      <c r="BY490" s="196"/>
      <c r="BZ490" s="196"/>
      <c r="CA490" s="196"/>
      <c r="CB490" s="178"/>
      <c r="CC490" s="178"/>
      <c r="CD490" s="202"/>
      <c r="CE490" s="202"/>
      <c r="CF490" s="178"/>
      <c r="CG490" s="196"/>
      <c r="CH490" s="178"/>
      <c r="CI490" s="178"/>
      <c r="CJ490" s="178"/>
      <c r="CK490" s="178"/>
      <c r="CL490" s="178"/>
      <c r="CM490" s="178"/>
      <c r="CN490" s="178"/>
      <c r="CO490" s="178"/>
      <c r="CP490" s="178"/>
      <c r="CQ490" s="178"/>
      <c r="CR490" s="178"/>
      <c r="CS490" s="178"/>
      <c r="CT490" s="178"/>
      <c r="CU490" s="178"/>
      <c r="CV490" s="178"/>
      <c r="CW490" s="178"/>
      <c r="CX490" s="178"/>
      <c r="CY490" s="178"/>
      <c r="CZ490" s="178"/>
      <c r="DA490" s="150"/>
    </row>
    <row r="491" spans="53:105" x14ac:dyDescent="0.2">
      <c r="BA491" s="518">
        <f t="shared" ca="1" si="34"/>
        <v>61</v>
      </c>
      <c r="BB491" s="174">
        <f t="shared" ca="1" si="35"/>
        <v>428</v>
      </c>
      <c r="BC491" s="525" t="e">
        <f ca="1">MATCH(BD491,OFFSET(Pinlist!$A$2,BC490*(BA491=BA490),0,$BM$23,1),0)+BC490*(BA491=BA490)</f>
        <v>#N/A</v>
      </c>
      <c r="BD491" s="167">
        <f t="shared" ca="1" si="36"/>
        <v>0</v>
      </c>
      <c r="BE491" s="191" t="e">
        <f ca="1">(OFFSET(Pinlist!$E$1,BC491,0)-$BN$16)*$BN$19</f>
        <v>#N/A</v>
      </c>
      <c r="BF491" s="192" t="e">
        <f ca="1">(OFFSET(Pinlist!$F$1,BC491,0)-$BO$16)*$BO$19</f>
        <v>#N/A</v>
      </c>
      <c r="BG491" s="1098" t="str">
        <f ca="1">IF(LEFT(BD491,2)="RF",OFFSET(Pinlist!$D$1,Chart!BC491,0)&amp;"_"&amp;OFFSET(Pinlist!$G$1,Chart!BC491,0),"")</f>
        <v/>
      </c>
      <c r="BH491" s="1098"/>
      <c r="BI491" s="178"/>
      <c r="BJ491" s="178"/>
      <c r="BK491" s="178"/>
      <c r="BL491" s="178"/>
      <c r="BM491" s="178"/>
      <c r="BN491" s="178"/>
      <c r="BO491" s="178"/>
      <c r="BP491" s="178"/>
      <c r="BQ491" s="196"/>
      <c r="BR491" s="196"/>
      <c r="BS491" s="196"/>
      <c r="BT491" s="196"/>
      <c r="BU491" s="196"/>
      <c r="BV491" s="196"/>
      <c r="BW491" s="178"/>
      <c r="BX491" s="196"/>
      <c r="BY491" s="196"/>
      <c r="BZ491" s="196"/>
      <c r="CA491" s="196"/>
      <c r="CB491" s="178"/>
      <c r="CC491" s="178"/>
      <c r="CD491" s="202"/>
      <c r="CE491" s="202"/>
      <c r="CF491" s="178"/>
      <c r="CG491" s="196"/>
      <c r="CH491" s="178"/>
      <c r="CI491" s="178"/>
      <c r="CJ491" s="178"/>
      <c r="CK491" s="178"/>
      <c r="CL491" s="178"/>
      <c r="CM491" s="178"/>
      <c r="CN491" s="178"/>
      <c r="CO491" s="178"/>
      <c r="CP491" s="178"/>
      <c r="CQ491" s="178"/>
      <c r="CR491" s="178"/>
      <c r="CS491" s="178"/>
      <c r="CT491" s="178"/>
      <c r="CU491" s="178"/>
      <c r="CV491" s="178"/>
      <c r="CW491" s="178"/>
      <c r="CX491" s="178"/>
      <c r="CY491" s="178"/>
      <c r="CZ491" s="178"/>
      <c r="DA491" s="150"/>
    </row>
    <row r="492" spans="53:105" x14ac:dyDescent="0.2">
      <c r="BA492" s="518">
        <f t="shared" ca="1" si="34"/>
        <v>61</v>
      </c>
      <c r="BB492" s="174">
        <f t="shared" ca="1" si="35"/>
        <v>429</v>
      </c>
      <c r="BC492" s="525" t="e">
        <f ca="1">MATCH(BD492,OFFSET(Pinlist!$A$2,BC491*(BA492=BA491),0,$BM$23,1),0)+BC491*(BA492=BA491)</f>
        <v>#N/A</v>
      </c>
      <c r="BD492" s="167">
        <f t="shared" ca="1" si="36"/>
        <v>0</v>
      </c>
      <c r="BE492" s="191" t="e">
        <f ca="1">(OFFSET(Pinlist!$E$1,BC492,0)-$BN$16)*$BN$19</f>
        <v>#N/A</v>
      </c>
      <c r="BF492" s="192" t="e">
        <f ca="1">(OFFSET(Pinlist!$F$1,BC492,0)-$BO$16)*$BO$19</f>
        <v>#N/A</v>
      </c>
      <c r="BG492" s="1098" t="str">
        <f ca="1">IF(LEFT(BD492,2)="RF",OFFSET(Pinlist!$D$1,Chart!BC492,0)&amp;"_"&amp;OFFSET(Pinlist!$G$1,Chart!BC492,0),"")</f>
        <v/>
      </c>
      <c r="BH492" s="1098"/>
      <c r="BI492" s="178"/>
      <c r="BJ492" s="178"/>
      <c r="BK492" s="178"/>
      <c r="BL492" s="178"/>
      <c r="BM492" s="178"/>
      <c r="BN492" s="178"/>
      <c r="BO492" s="178"/>
      <c r="BP492" s="178"/>
      <c r="BQ492" s="196"/>
      <c r="BR492" s="196"/>
      <c r="BS492" s="196"/>
      <c r="BT492" s="196"/>
      <c r="BU492" s="196"/>
      <c r="BV492" s="196"/>
      <c r="BW492" s="178"/>
      <c r="BX492" s="196"/>
      <c r="BY492" s="196"/>
      <c r="BZ492" s="196"/>
      <c r="CA492" s="196"/>
      <c r="CB492" s="178"/>
      <c r="CC492" s="178"/>
      <c r="CD492" s="202"/>
      <c r="CE492" s="202"/>
      <c r="CF492" s="178"/>
      <c r="CG492" s="196"/>
      <c r="CH492" s="178"/>
      <c r="CI492" s="178"/>
      <c r="CJ492" s="178"/>
      <c r="CK492" s="178"/>
      <c r="CL492" s="178"/>
      <c r="CM492" s="178"/>
      <c r="CN492" s="178"/>
      <c r="CO492" s="178"/>
      <c r="CP492" s="178"/>
      <c r="CQ492" s="178"/>
      <c r="CR492" s="178"/>
      <c r="CS492" s="178"/>
      <c r="CT492" s="178"/>
      <c r="CU492" s="178"/>
      <c r="CV492" s="178"/>
      <c r="CW492" s="178"/>
      <c r="CX492" s="178"/>
      <c r="CY492" s="178"/>
      <c r="CZ492" s="178"/>
      <c r="DA492" s="150"/>
    </row>
    <row r="493" spans="53:105" x14ac:dyDescent="0.2">
      <c r="BA493" s="518">
        <f t="shared" ca="1" si="34"/>
        <v>61</v>
      </c>
      <c r="BB493" s="174">
        <f t="shared" ca="1" si="35"/>
        <v>430</v>
      </c>
      <c r="BC493" s="525" t="e">
        <f ca="1">MATCH(BD493,OFFSET(Pinlist!$A$2,BC492*(BA493=BA492),0,$BM$23,1),0)+BC492*(BA493=BA492)</f>
        <v>#N/A</v>
      </c>
      <c r="BD493" s="167">
        <f t="shared" ca="1" si="36"/>
        <v>0</v>
      </c>
      <c r="BE493" s="191" t="e">
        <f ca="1">(OFFSET(Pinlist!$E$1,BC493,0)-$BN$16)*$BN$19</f>
        <v>#N/A</v>
      </c>
      <c r="BF493" s="192" t="e">
        <f ca="1">(OFFSET(Pinlist!$F$1,BC493,0)-$BO$16)*$BO$19</f>
        <v>#N/A</v>
      </c>
      <c r="BG493" s="1098" t="str">
        <f ca="1">IF(LEFT(BD493,2)="RF",OFFSET(Pinlist!$D$1,Chart!BC493,0)&amp;"_"&amp;OFFSET(Pinlist!$G$1,Chart!BC493,0),"")</f>
        <v/>
      </c>
      <c r="BH493" s="1098"/>
      <c r="BI493" s="178"/>
      <c r="BJ493" s="178"/>
      <c r="BK493" s="178"/>
      <c r="BL493" s="178"/>
      <c r="BM493" s="178"/>
      <c r="BN493" s="178"/>
      <c r="BO493" s="178"/>
      <c r="BP493" s="178"/>
      <c r="BQ493" s="196"/>
      <c r="BR493" s="196"/>
      <c r="BS493" s="196"/>
      <c r="BT493" s="196"/>
      <c r="BU493" s="196"/>
      <c r="BV493" s="196"/>
      <c r="BW493" s="178"/>
      <c r="BX493" s="196"/>
      <c r="BY493" s="196"/>
      <c r="BZ493" s="196"/>
      <c r="CA493" s="196"/>
      <c r="CB493" s="178"/>
      <c r="CC493" s="178"/>
      <c r="CD493" s="202"/>
      <c r="CE493" s="202"/>
      <c r="CF493" s="178"/>
      <c r="CG493" s="196"/>
      <c r="CH493" s="178"/>
      <c r="CI493" s="178"/>
      <c r="CJ493" s="178"/>
      <c r="CK493" s="178"/>
      <c r="CL493" s="178"/>
      <c r="CM493" s="178"/>
      <c r="CN493" s="178"/>
      <c r="CO493" s="178"/>
      <c r="CP493" s="178"/>
      <c r="CQ493" s="178"/>
      <c r="CR493" s="178"/>
      <c r="CS493" s="178"/>
      <c r="CT493" s="178"/>
      <c r="CU493" s="178"/>
      <c r="CV493" s="178"/>
      <c r="CW493" s="178"/>
      <c r="CX493" s="178"/>
      <c r="CY493" s="178"/>
      <c r="CZ493" s="178"/>
      <c r="DA493" s="150"/>
    </row>
    <row r="494" spans="53:105" x14ac:dyDescent="0.2">
      <c r="BA494" s="518">
        <f t="shared" ca="1" si="34"/>
        <v>61</v>
      </c>
      <c r="BB494" s="174">
        <f t="shared" ca="1" si="35"/>
        <v>431</v>
      </c>
      <c r="BC494" s="525" t="e">
        <f ca="1">MATCH(BD494,OFFSET(Pinlist!$A$2,BC493*(BA494=BA493),0,$BM$23,1),0)+BC493*(BA494=BA493)</f>
        <v>#N/A</v>
      </c>
      <c r="BD494" s="167">
        <f t="shared" ca="1" si="36"/>
        <v>0</v>
      </c>
      <c r="BE494" s="191" t="e">
        <f ca="1">(OFFSET(Pinlist!$E$1,BC494,0)-$BN$16)*$BN$19</f>
        <v>#N/A</v>
      </c>
      <c r="BF494" s="192" t="e">
        <f ca="1">(OFFSET(Pinlist!$F$1,BC494,0)-$BO$16)*$BO$19</f>
        <v>#N/A</v>
      </c>
      <c r="BG494" s="1098" t="str">
        <f ca="1">IF(LEFT(BD494,2)="RF",OFFSET(Pinlist!$D$1,Chart!BC494,0)&amp;"_"&amp;OFFSET(Pinlist!$G$1,Chart!BC494,0),"")</f>
        <v/>
      </c>
      <c r="BH494" s="1098"/>
      <c r="BI494" s="178"/>
      <c r="BJ494" s="178"/>
      <c r="BK494" s="178"/>
      <c r="BL494" s="178"/>
      <c r="BM494" s="178"/>
      <c r="BN494" s="178"/>
      <c r="BO494" s="178"/>
      <c r="BP494" s="178"/>
      <c r="BQ494" s="196"/>
      <c r="BR494" s="196"/>
      <c r="BS494" s="196"/>
      <c r="BT494" s="196"/>
      <c r="BU494" s="196"/>
      <c r="BV494" s="196"/>
      <c r="BW494" s="178"/>
      <c r="BX494" s="196"/>
      <c r="BY494" s="196"/>
      <c r="BZ494" s="196"/>
      <c r="CA494" s="196"/>
      <c r="CB494" s="178"/>
      <c r="CC494" s="178"/>
      <c r="CD494" s="202"/>
      <c r="CE494" s="202"/>
      <c r="CF494" s="178"/>
      <c r="CG494" s="196"/>
      <c r="CH494" s="178"/>
      <c r="CI494" s="178"/>
      <c r="CJ494" s="178"/>
      <c r="CK494" s="178"/>
      <c r="CL494" s="178"/>
      <c r="CM494" s="178"/>
      <c r="CN494" s="178"/>
      <c r="CO494" s="178"/>
      <c r="CP494" s="178"/>
      <c r="CQ494" s="178"/>
      <c r="CR494" s="178"/>
      <c r="CS494" s="178"/>
      <c r="CT494" s="178"/>
      <c r="CU494" s="178"/>
      <c r="CV494" s="178"/>
      <c r="CW494" s="178"/>
      <c r="CX494" s="178"/>
      <c r="CY494" s="178"/>
      <c r="CZ494" s="178"/>
      <c r="DA494" s="150"/>
    </row>
    <row r="495" spans="53:105" x14ac:dyDescent="0.2">
      <c r="BA495" s="518">
        <f t="shared" ca="1" si="34"/>
        <v>61</v>
      </c>
      <c r="BB495" s="174">
        <f t="shared" ca="1" si="35"/>
        <v>432</v>
      </c>
      <c r="BC495" s="525" t="e">
        <f ca="1">MATCH(BD495,OFFSET(Pinlist!$A$2,BC494*(BA495=BA494),0,$BM$23,1),0)+BC494*(BA495=BA494)</f>
        <v>#N/A</v>
      </c>
      <c r="BD495" s="167">
        <f t="shared" ca="1" si="36"/>
        <v>0</v>
      </c>
      <c r="BE495" s="191" t="e">
        <f ca="1">(OFFSET(Pinlist!$E$1,BC495,0)-$BN$16)*$BN$19</f>
        <v>#N/A</v>
      </c>
      <c r="BF495" s="192" t="e">
        <f ca="1">(OFFSET(Pinlist!$F$1,BC495,0)-$BO$16)*$BO$19</f>
        <v>#N/A</v>
      </c>
      <c r="BG495" s="1098" t="str">
        <f ca="1">IF(LEFT(BD495,2)="RF",OFFSET(Pinlist!$D$1,Chart!BC495,0)&amp;"_"&amp;OFFSET(Pinlist!$G$1,Chart!BC495,0),"")</f>
        <v/>
      </c>
      <c r="BH495" s="1098"/>
      <c r="BI495" s="178"/>
      <c r="BJ495" s="178"/>
      <c r="BK495" s="178"/>
      <c r="BL495" s="178"/>
      <c r="BM495" s="178"/>
      <c r="BN495" s="178"/>
      <c r="BO495" s="178"/>
      <c r="BP495" s="178"/>
      <c r="BQ495" s="196"/>
      <c r="BR495" s="196"/>
      <c r="BS495" s="196"/>
      <c r="BT495" s="196"/>
      <c r="BU495" s="196"/>
      <c r="BV495" s="196"/>
      <c r="BW495" s="178"/>
      <c r="BX495" s="196"/>
      <c r="BY495" s="196"/>
      <c r="BZ495" s="196"/>
      <c r="CA495" s="196"/>
      <c r="CB495" s="178"/>
      <c r="CC495" s="178"/>
      <c r="CD495" s="202"/>
      <c r="CE495" s="202"/>
      <c r="CF495" s="178"/>
      <c r="CG495" s="196"/>
      <c r="CH495" s="178"/>
      <c r="CI495" s="178"/>
      <c r="CJ495" s="178"/>
      <c r="CK495" s="178"/>
      <c r="CL495" s="178"/>
      <c r="CM495" s="178"/>
      <c r="CN495" s="178"/>
      <c r="CO495" s="178"/>
      <c r="CP495" s="178"/>
      <c r="CQ495" s="178"/>
      <c r="CR495" s="178"/>
      <c r="CS495" s="178"/>
      <c r="CT495" s="178"/>
      <c r="CU495" s="178"/>
      <c r="CV495" s="178"/>
      <c r="CW495" s="178"/>
      <c r="CX495" s="178"/>
      <c r="CY495" s="178"/>
      <c r="CZ495" s="178"/>
      <c r="DA495" s="150"/>
    </row>
    <row r="496" spans="53:105" x14ac:dyDescent="0.2">
      <c r="BA496" s="518">
        <f t="shared" ca="1" si="34"/>
        <v>61</v>
      </c>
      <c r="BB496" s="174">
        <f t="shared" ca="1" si="35"/>
        <v>433</v>
      </c>
      <c r="BC496" s="525" t="e">
        <f ca="1">MATCH(BD496,OFFSET(Pinlist!$A$2,BC495*(BA496=BA495),0,$BM$23,1),0)+BC495*(BA496=BA495)</f>
        <v>#N/A</v>
      </c>
      <c r="BD496" s="167">
        <f t="shared" ca="1" si="36"/>
        <v>0</v>
      </c>
      <c r="BE496" s="191" t="e">
        <f ca="1">(OFFSET(Pinlist!$E$1,BC496,0)-$BN$16)*$BN$19</f>
        <v>#N/A</v>
      </c>
      <c r="BF496" s="192" t="e">
        <f ca="1">(OFFSET(Pinlist!$F$1,BC496,0)-$BO$16)*$BO$19</f>
        <v>#N/A</v>
      </c>
      <c r="BG496" s="1098" t="str">
        <f ca="1">IF(LEFT(BD496,2)="RF",OFFSET(Pinlist!$D$1,Chart!BC496,0)&amp;"_"&amp;OFFSET(Pinlist!$G$1,Chart!BC496,0),"")</f>
        <v/>
      </c>
      <c r="BH496" s="1098"/>
      <c r="BI496" s="178"/>
      <c r="BJ496" s="178"/>
      <c r="BK496" s="178"/>
      <c r="BL496" s="178"/>
      <c r="BM496" s="178"/>
      <c r="BN496" s="178"/>
      <c r="BO496" s="178"/>
      <c r="BP496" s="178"/>
      <c r="BQ496" s="196"/>
      <c r="BR496" s="196"/>
      <c r="BS496" s="196"/>
      <c r="BT496" s="196"/>
      <c r="BU496" s="196"/>
      <c r="BV496" s="196"/>
      <c r="BW496" s="178"/>
      <c r="BX496" s="196"/>
      <c r="BY496" s="196"/>
      <c r="BZ496" s="196"/>
      <c r="CA496" s="196"/>
      <c r="CB496" s="178"/>
      <c r="CC496" s="178"/>
      <c r="CD496" s="202"/>
      <c r="CE496" s="202"/>
      <c r="CF496" s="178"/>
      <c r="CG496" s="196"/>
      <c r="CH496" s="178"/>
      <c r="CI496" s="178"/>
      <c r="CJ496" s="178"/>
      <c r="CK496" s="178"/>
      <c r="CL496" s="178"/>
      <c r="CM496" s="178"/>
      <c r="CN496" s="178"/>
      <c r="CO496" s="178"/>
      <c r="CP496" s="178"/>
      <c r="CQ496" s="178"/>
      <c r="CR496" s="178"/>
      <c r="CS496" s="178"/>
      <c r="CT496" s="178"/>
      <c r="CU496" s="178"/>
      <c r="CV496" s="178"/>
      <c r="CW496" s="178"/>
      <c r="CX496" s="178"/>
      <c r="CY496" s="178"/>
      <c r="CZ496" s="178"/>
      <c r="DA496" s="150"/>
    </row>
    <row r="497" spans="53:105" x14ac:dyDescent="0.2">
      <c r="BA497" s="518">
        <f t="shared" ca="1" si="34"/>
        <v>61</v>
      </c>
      <c r="BB497" s="174">
        <f t="shared" ca="1" si="35"/>
        <v>434</v>
      </c>
      <c r="BC497" s="525" t="e">
        <f ca="1">MATCH(BD497,OFFSET(Pinlist!$A$2,BC496*(BA497=BA496),0,$BM$23,1),0)+BC496*(BA497=BA496)</f>
        <v>#N/A</v>
      </c>
      <c r="BD497" s="167">
        <f t="shared" ca="1" si="36"/>
        <v>0</v>
      </c>
      <c r="BE497" s="191" t="e">
        <f ca="1">(OFFSET(Pinlist!$E$1,BC497,0)-$BN$16)*$BN$19</f>
        <v>#N/A</v>
      </c>
      <c r="BF497" s="192" t="e">
        <f ca="1">(OFFSET(Pinlist!$F$1,BC497,0)-$BO$16)*$BO$19</f>
        <v>#N/A</v>
      </c>
      <c r="BG497" s="1098" t="str">
        <f ca="1">IF(LEFT(BD497,2)="RF",OFFSET(Pinlist!$D$1,Chart!BC497,0)&amp;"_"&amp;OFFSET(Pinlist!$G$1,Chart!BC497,0),"")</f>
        <v/>
      </c>
      <c r="BH497" s="1098"/>
      <c r="BI497" s="178"/>
      <c r="BJ497" s="178"/>
      <c r="BK497" s="178"/>
      <c r="BL497" s="178"/>
      <c r="BM497" s="178"/>
      <c r="BN497" s="178"/>
      <c r="BO497" s="178"/>
      <c r="BP497" s="178"/>
      <c r="BQ497" s="196"/>
      <c r="BR497" s="196"/>
      <c r="BS497" s="196"/>
      <c r="BT497" s="196"/>
      <c r="BU497" s="196"/>
      <c r="BV497" s="196"/>
      <c r="BW497" s="178"/>
      <c r="BX497" s="196"/>
      <c r="BY497" s="196"/>
      <c r="BZ497" s="196"/>
      <c r="CA497" s="196"/>
      <c r="CB497" s="178"/>
      <c r="CC497" s="178"/>
      <c r="CD497" s="202"/>
      <c r="CE497" s="202"/>
      <c r="CF497" s="178"/>
      <c r="CG497" s="196"/>
      <c r="CH497" s="178"/>
      <c r="CI497" s="178"/>
      <c r="CJ497" s="178"/>
      <c r="CK497" s="178"/>
      <c r="CL497" s="178"/>
      <c r="CM497" s="178"/>
      <c r="CN497" s="178"/>
      <c r="CO497" s="178"/>
      <c r="CP497" s="178"/>
      <c r="CQ497" s="178"/>
      <c r="CR497" s="178"/>
      <c r="CS497" s="178"/>
      <c r="CT497" s="178"/>
      <c r="CU497" s="178"/>
      <c r="CV497" s="178"/>
      <c r="CW497" s="178"/>
      <c r="CX497" s="178"/>
      <c r="CY497" s="178"/>
      <c r="CZ497" s="178"/>
      <c r="DA497" s="150"/>
    </row>
    <row r="498" spans="53:105" x14ac:dyDescent="0.2">
      <c r="BA498" s="518">
        <f t="shared" ca="1" si="34"/>
        <v>61</v>
      </c>
      <c r="BB498" s="174">
        <f t="shared" ca="1" si="35"/>
        <v>435</v>
      </c>
      <c r="BC498" s="525" t="e">
        <f ca="1">MATCH(BD498,OFFSET(Pinlist!$A$2,BC497*(BA498=BA497),0,$BM$23,1),0)+BC497*(BA498=BA497)</f>
        <v>#N/A</v>
      </c>
      <c r="BD498" s="167">
        <f t="shared" ca="1" si="36"/>
        <v>0</v>
      </c>
      <c r="BE498" s="191" t="e">
        <f ca="1">(OFFSET(Pinlist!$E$1,BC498,0)-$BN$16)*$BN$19</f>
        <v>#N/A</v>
      </c>
      <c r="BF498" s="192" t="e">
        <f ca="1">(OFFSET(Pinlist!$F$1,BC498,0)-$BO$16)*$BO$19</f>
        <v>#N/A</v>
      </c>
      <c r="BG498" s="1098" t="str">
        <f ca="1">IF(LEFT(BD498,2)="RF",OFFSET(Pinlist!$D$1,Chart!BC498,0)&amp;"_"&amp;OFFSET(Pinlist!$G$1,Chart!BC498,0),"")</f>
        <v/>
      </c>
      <c r="BH498" s="1098"/>
      <c r="BI498" s="178"/>
      <c r="BJ498" s="178"/>
      <c r="BK498" s="178"/>
      <c r="BL498" s="178"/>
      <c r="BM498" s="178"/>
      <c r="BN498" s="178"/>
      <c r="BO498" s="178"/>
      <c r="BP498" s="178"/>
      <c r="BQ498" s="196"/>
      <c r="BR498" s="196"/>
      <c r="BS498" s="196"/>
      <c r="BT498" s="196"/>
      <c r="BU498" s="196"/>
      <c r="BV498" s="196"/>
      <c r="BW498" s="178"/>
      <c r="BX498" s="196"/>
      <c r="BY498" s="196"/>
      <c r="BZ498" s="196"/>
      <c r="CA498" s="196"/>
      <c r="CB498" s="178"/>
      <c r="CC498" s="178"/>
      <c r="CD498" s="202"/>
      <c r="CE498" s="202"/>
      <c r="CF498" s="178"/>
      <c r="CG498" s="196"/>
      <c r="CH498" s="178"/>
      <c r="CI498" s="178"/>
      <c r="CJ498" s="178"/>
      <c r="CK498" s="178"/>
      <c r="CL498" s="178"/>
      <c r="CM498" s="178"/>
      <c r="CN498" s="178"/>
      <c r="CO498" s="178"/>
      <c r="CP498" s="178"/>
      <c r="CQ498" s="178"/>
      <c r="CR498" s="178"/>
      <c r="CS498" s="178"/>
      <c r="CT498" s="178"/>
      <c r="CU498" s="178"/>
      <c r="CV498" s="178"/>
      <c r="CW498" s="178"/>
      <c r="CX498" s="178"/>
      <c r="CY498" s="178"/>
      <c r="CZ498" s="178"/>
      <c r="DA498" s="150"/>
    </row>
    <row r="499" spans="53:105" x14ac:dyDescent="0.2">
      <c r="BA499" s="518">
        <f t="shared" ca="1" si="34"/>
        <v>61</v>
      </c>
      <c r="BB499" s="174">
        <f t="shared" ca="1" si="35"/>
        <v>436</v>
      </c>
      <c r="BC499" s="525" t="e">
        <f ca="1">MATCH(BD499,OFFSET(Pinlist!$A$2,BC498*(BA499=BA498),0,$BM$23,1),0)+BC498*(BA499=BA498)</f>
        <v>#N/A</v>
      </c>
      <c r="BD499" s="167">
        <f t="shared" ca="1" si="36"/>
        <v>0</v>
      </c>
      <c r="BE499" s="191" t="e">
        <f ca="1">(OFFSET(Pinlist!$E$1,BC499,0)-$BN$16)*$BN$19</f>
        <v>#N/A</v>
      </c>
      <c r="BF499" s="192" t="e">
        <f ca="1">(OFFSET(Pinlist!$F$1,BC499,0)-$BO$16)*$BO$19</f>
        <v>#N/A</v>
      </c>
      <c r="BG499" s="1098" t="str">
        <f ca="1">IF(LEFT(BD499,2)="RF",OFFSET(Pinlist!$D$1,Chart!BC499,0)&amp;"_"&amp;OFFSET(Pinlist!$G$1,Chart!BC499,0),"")</f>
        <v/>
      </c>
      <c r="BH499" s="1098"/>
      <c r="BI499" s="178"/>
      <c r="BJ499" s="178"/>
      <c r="BK499" s="178"/>
      <c r="BL499" s="178"/>
      <c r="BM499" s="178"/>
      <c r="BN499" s="178"/>
      <c r="BO499" s="178"/>
      <c r="BP499" s="178"/>
      <c r="BQ499" s="196"/>
      <c r="BR499" s="196"/>
      <c r="BS499" s="196"/>
      <c r="BT499" s="196"/>
      <c r="BU499" s="196"/>
      <c r="BV499" s="196"/>
      <c r="BW499" s="178"/>
      <c r="BX499" s="196"/>
      <c r="BY499" s="196"/>
      <c r="BZ499" s="196"/>
      <c r="CA499" s="196"/>
      <c r="CB499" s="178"/>
      <c r="CC499" s="178"/>
      <c r="CD499" s="202"/>
      <c r="CE499" s="202"/>
      <c r="CF499" s="178"/>
      <c r="CG499" s="196"/>
      <c r="CH499" s="178"/>
      <c r="CI499" s="178"/>
      <c r="CJ499" s="178"/>
      <c r="CK499" s="178"/>
      <c r="CL499" s="178"/>
      <c r="CM499" s="178"/>
      <c r="CN499" s="178"/>
      <c r="CO499" s="178"/>
      <c r="CP499" s="178"/>
      <c r="CQ499" s="178"/>
      <c r="CR499" s="178"/>
      <c r="CS499" s="178"/>
      <c r="CT499" s="178"/>
      <c r="CU499" s="178"/>
      <c r="CV499" s="178"/>
      <c r="CW499" s="178"/>
      <c r="CX499" s="178"/>
      <c r="CY499" s="178"/>
      <c r="CZ499" s="178"/>
      <c r="DA499" s="150"/>
    </row>
    <row r="500" spans="53:105" x14ac:dyDescent="0.2">
      <c r="BA500" s="518">
        <f t="shared" ca="1" si="34"/>
        <v>61</v>
      </c>
      <c r="BB500" s="174">
        <f t="shared" ca="1" si="35"/>
        <v>437</v>
      </c>
      <c r="BC500" s="525" t="e">
        <f ca="1">MATCH(BD500,OFFSET(Pinlist!$A$2,BC499*(BA500=BA499),0,$BM$23,1),0)+BC499*(BA500=BA499)</f>
        <v>#N/A</v>
      </c>
      <c r="BD500" s="167">
        <f t="shared" ca="1" si="36"/>
        <v>0</v>
      </c>
      <c r="BE500" s="191" t="e">
        <f ca="1">(OFFSET(Pinlist!$E$1,BC500,0)-$BN$16)*$BN$19</f>
        <v>#N/A</v>
      </c>
      <c r="BF500" s="192" t="e">
        <f ca="1">(OFFSET(Pinlist!$F$1,BC500,0)-$BO$16)*$BO$19</f>
        <v>#N/A</v>
      </c>
      <c r="BG500" s="1098" t="str">
        <f ca="1">IF(LEFT(BD500,2)="RF",OFFSET(Pinlist!$D$1,Chart!BC500,0)&amp;"_"&amp;OFFSET(Pinlist!$G$1,Chart!BC500,0),"")</f>
        <v/>
      </c>
      <c r="BH500" s="1098"/>
      <c r="BI500" s="178"/>
      <c r="BJ500" s="178"/>
      <c r="BK500" s="178"/>
      <c r="BL500" s="178"/>
      <c r="BM500" s="178"/>
      <c r="BN500" s="178"/>
      <c r="BO500" s="178"/>
      <c r="BP500" s="178"/>
      <c r="BQ500" s="196"/>
      <c r="BR500" s="196"/>
      <c r="BS500" s="196"/>
      <c r="BT500" s="196"/>
      <c r="BU500" s="196"/>
      <c r="BV500" s="196"/>
      <c r="BW500" s="178"/>
      <c r="BX500" s="196"/>
      <c r="BY500" s="196"/>
      <c r="BZ500" s="196"/>
      <c r="CA500" s="196"/>
      <c r="CB500" s="178"/>
      <c r="CC500" s="178"/>
      <c r="CD500" s="202"/>
      <c r="CE500" s="202"/>
      <c r="CF500" s="178"/>
      <c r="CG500" s="196"/>
      <c r="CH500" s="178"/>
      <c r="CI500" s="178"/>
      <c r="CJ500" s="178"/>
      <c r="CK500" s="178"/>
      <c r="CL500" s="178"/>
      <c r="CM500" s="178"/>
      <c r="CN500" s="178"/>
      <c r="CO500" s="178"/>
      <c r="CP500" s="178"/>
      <c r="CQ500" s="178"/>
      <c r="CR500" s="178"/>
      <c r="CS500" s="178"/>
      <c r="CT500" s="178"/>
      <c r="CU500" s="178"/>
      <c r="CV500" s="178"/>
      <c r="CW500" s="178"/>
      <c r="CX500" s="178"/>
      <c r="CY500" s="178"/>
      <c r="CZ500" s="178"/>
      <c r="DA500" s="150"/>
    </row>
    <row r="501" spans="53:105" x14ac:dyDescent="0.2">
      <c r="BA501" s="518">
        <f t="shared" ca="1" si="34"/>
        <v>61</v>
      </c>
      <c r="BB501" s="174">
        <f t="shared" ca="1" si="35"/>
        <v>438</v>
      </c>
      <c r="BC501" s="525" t="e">
        <f ca="1">MATCH(BD501,OFFSET(Pinlist!$A$2,BC500*(BA501=BA500),0,$BM$23,1),0)+BC500*(BA501=BA500)</f>
        <v>#N/A</v>
      </c>
      <c r="BD501" s="167">
        <f t="shared" ca="1" si="36"/>
        <v>0</v>
      </c>
      <c r="BE501" s="191" t="e">
        <f ca="1">(OFFSET(Pinlist!$E$1,BC501,0)-$BN$16)*$BN$19</f>
        <v>#N/A</v>
      </c>
      <c r="BF501" s="192" t="e">
        <f ca="1">(OFFSET(Pinlist!$F$1,BC501,0)-$BO$16)*$BO$19</f>
        <v>#N/A</v>
      </c>
      <c r="BG501" s="1098" t="str">
        <f ca="1">IF(LEFT(BD501,2)="RF",OFFSET(Pinlist!$D$1,Chart!BC501,0)&amp;"_"&amp;OFFSET(Pinlist!$G$1,Chart!BC501,0),"")</f>
        <v/>
      </c>
      <c r="BH501" s="1098"/>
      <c r="BI501" s="178"/>
      <c r="BJ501" s="178"/>
      <c r="BK501" s="178"/>
      <c r="BL501" s="178"/>
      <c r="BM501" s="178"/>
      <c r="BN501" s="178"/>
      <c r="BO501" s="178"/>
      <c r="BP501" s="178"/>
      <c r="BQ501" s="196"/>
      <c r="BR501" s="196"/>
      <c r="BS501" s="196"/>
      <c r="BT501" s="196"/>
      <c r="BU501" s="196"/>
      <c r="BV501" s="196"/>
      <c r="BW501" s="178"/>
      <c r="BX501" s="196"/>
      <c r="BY501" s="196"/>
      <c r="BZ501" s="196"/>
      <c r="CA501" s="196"/>
      <c r="CB501" s="178"/>
      <c r="CC501" s="178"/>
      <c r="CD501" s="202"/>
      <c r="CE501" s="202"/>
      <c r="CF501" s="178"/>
      <c r="CG501" s="196"/>
      <c r="CH501" s="178"/>
      <c r="CI501" s="178"/>
      <c r="CJ501" s="178"/>
      <c r="CK501" s="178"/>
      <c r="CL501" s="178"/>
      <c r="CM501" s="178"/>
      <c r="CN501" s="178"/>
      <c r="CO501" s="178"/>
      <c r="CP501" s="178"/>
      <c r="CQ501" s="178"/>
      <c r="CR501" s="178"/>
      <c r="CS501" s="178"/>
      <c r="CT501" s="178"/>
      <c r="CU501" s="178"/>
      <c r="CV501" s="178"/>
      <c r="CW501" s="178"/>
      <c r="CX501" s="178"/>
      <c r="CY501" s="178"/>
      <c r="CZ501" s="178"/>
      <c r="DA501" s="150"/>
    </row>
    <row r="502" spans="53:105" x14ac:dyDescent="0.2">
      <c r="BA502" s="518">
        <f t="shared" ca="1" si="34"/>
        <v>61</v>
      </c>
      <c r="BB502" s="174">
        <f t="shared" ca="1" si="35"/>
        <v>439</v>
      </c>
      <c r="BC502" s="525" t="e">
        <f ca="1">MATCH(BD502,OFFSET(Pinlist!$A$2,BC501*(BA502=BA501),0,$BM$23,1),0)+BC501*(BA502=BA501)</f>
        <v>#N/A</v>
      </c>
      <c r="BD502" s="167">
        <f t="shared" ca="1" si="36"/>
        <v>0</v>
      </c>
      <c r="BE502" s="191" t="e">
        <f ca="1">(OFFSET(Pinlist!$E$1,BC502,0)-$BN$16)*$BN$19</f>
        <v>#N/A</v>
      </c>
      <c r="BF502" s="192" t="e">
        <f ca="1">(OFFSET(Pinlist!$F$1,BC502,0)-$BO$16)*$BO$19</f>
        <v>#N/A</v>
      </c>
      <c r="BG502" s="1098" t="str">
        <f ca="1">IF(LEFT(BD502,2)="RF",OFFSET(Pinlist!$D$1,Chart!BC502,0)&amp;"_"&amp;OFFSET(Pinlist!$G$1,Chart!BC502,0),"")</f>
        <v/>
      </c>
      <c r="BH502" s="1098"/>
      <c r="BI502" s="178"/>
      <c r="BJ502" s="178"/>
      <c r="BK502" s="178"/>
      <c r="BL502" s="178"/>
      <c r="BM502" s="178"/>
      <c r="BN502" s="178"/>
      <c r="BO502" s="178"/>
      <c r="BP502" s="178"/>
      <c r="BQ502" s="196"/>
      <c r="BR502" s="196"/>
      <c r="BS502" s="196"/>
      <c r="BT502" s="196"/>
      <c r="BU502" s="196"/>
      <c r="BV502" s="196"/>
      <c r="BW502" s="178"/>
      <c r="BX502" s="196"/>
      <c r="BY502" s="196"/>
      <c r="BZ502" s="196"/>
      <c r="CA502" s="196"/>
      <c r="CB502" s="178"/>
      <c r="CC502" s="178"/>
      <c r="CD502" s="202"/>
      <c r="CE502" s="202"/>
      <c r="CF502" s="178"/>
      <c r="CG502" s="196"/>
      <c r="CH502" s="178"/>
      <c r="CI502" s="178"/>
      <c r="CJ502" s="178"/>
      <c r="CK502" s="178"/>
      <c r="CL502" s="178"/>
      <c r="CM502" s="178"/>
      <c r="CN502" s="178"/>
      <c r="CO502" s="178"/>
      <c r="CP502" s="178"/>
      <c r="CQ502" s="178"/>
      <c r="CR502" s="178"/>
      <c r="CS502" s="178"/>
      <c r="CT502" s="178"/>
      <c r="CU502" s="178"/>
      <c r="CV502" s="178"/>
      <c r="CW502" s="178"/>
      <c r="CX502" s="178"/>
      <c r="CY502" s="178"/>
      <c r="CZ502" s="178"/>
      <c r="DA502" s="150"/>
    </row>
    <row r="503" spans="53:105" x14ac:dyDescent="0.2">
      <c r="BA503" s="518">
        <f t="shared" ca="1" si="34"/>
        <v>61</v>
      </c>
      <c r="BB503" s="174">
        <f t="shared" ca="1" si="35"/>
        <v>440</v>
      </c>
      <c r="BC503" s="525" t="e">
        <f ca="1">MATCH(BD503,OFFSET(Pinlist!$A$2,BC502*(BA503=BA502),0,$BM$23,1),0)+BC502*(BA503=BA502)</f>
        <v>#N/A</v>
      </c>
      <c r="BD503" s="167">
        <f t="shared" ca="1" si="36"/>
        <v>0</v>
      </c>
      <c r="BE503" s="191" t="e">
        <f ca="1">(OFFSET(Pinlist!$E$1,BC503,0)-$BN$16)*$BN$19</f>
        <v>#N/A</v>
      </c>
      <c r="BF503" s="192" t="e">
        <f ca="1">(OFFSET(Pinlist!$F$1,BC503,0)-$BO$16)*$BO$19</f>
        <v>#N/A</v>
      </c>
      <c r="BG503" s="1098" t="str">
        <f ca="1">IF(LEFT(BD503,2)="RF",OFFSET(Pinlist!$D$1,Chart!BC503,0)&amp;"_"&amp;OFFSET(Pinlist!$G$1,Chart!BC503,0),"")</f>
        <v/>
      </c>
      <c r="BH503" s="1098"/>
      <c r="BI503" s="178"/>
      <c r="BJ503" s="178"/>
      <c r="BK503" s="178"/>
      <c r="BL503" s="178"/>
      <c r="BM503" s="178"/>
      <c r="BN503" s="178"/>
      <c r="BO503" s="178"/>
      <c r="BP503" s="178"/>
      <c r="BQ503" s="196"/>
      <c r="BR503" s="196"/>
      <c r="BS503" s="196"/>
      <c r="BT503" s="196"/>
      <c r="BU503" s="196"/>
      <c r="BV503" s="196"/>
      <c r="BW503" s="178"/>
      <c r="BX503" s="196"/>
      <c r="BY503" s="196"/>
      <c r="BZ503" s="196"/>
      <c r="CA503" s="196"/>
      <c r="CB503" s="178"/>
      <c r="CC503" s="178"/>
      <c r="CD503" s="202"/>
      <c r="CE503" s="202"/>
      <c r="CF503" s="178"/>
      <c r="CG503" s="196"/>
      <c r="CH503" s="178"/>
      <c r="CI503" s="178"/>
      <c r="CJ503" s="178"/>
      <c r="CK503" s="178"/>
      <c r="CL503" s="178"/>
      <c r="CM503" s="178"/>
      <c r="CN503" s="178"/>
      <c r="CO503" s="178"/>
      <c r="CP503" s="178"/>
      <c r="CQ503" s="178"/>
      <c r="CR503" s="178"/>
      <c r="CS503" s="178"/>
      <c r="CT503" s="178"/>
      <c r="CU503" s="178"/>
      <c r="CV503" s="178"/>
      <c r="CW503" s="178"/>
      <c r="CX503" s="178"/>
      <c r="CY503" s="178"/>
      <c r="CZ503" s="178"/>
      <c r="DA503" s="150"/>
    </row>
    <row r="504" spans="53:105" x14ac:dyDescent="0.2">
      <c r="BA504" s="518">
        <f t="shared" ca="1" si="34"/>
        <v>61</v>
      </c>
      <c r="BB504" s="174">
        <f t="shared" ca="1" si="35"/>
        <v>441</v>
      </c>
      <c r="BC504" s="525" t="e">
        <f ca="1">MATCH(BD504,OFFSET(Pinlist!$A$2,BC503*(BA504=BA503),0,$BM$23,1),0)+BC503*(BA504=BA503)</f>
        <v>#N/A</v>
      </c>
      <c r="BD504" s="167">
        <f t="shared" ca="1" si="36"/>
        <v>0</v>
      </c>
      <c r="BE504" s="191" t="e">
        <f ca="1">(OFFSET(Pinlist!$E$1,BC504,0)-$BN$16)*$BN$19</f>
        <v>#N/A</v>
      </c>
      <c r="BF504" s="192" t="e">
        <f ca="1">(OFFSET(Pinlist!$F$1,BC504,0)-$BO$16)*$BO$19</f>
        <v>#N/A</v>
      </c>
      <c r="BG504" s="1098" t="str">
        <f ca="1">IF(LEFT(BD504,2)="RF",OFFSET(Pinlist!$D$1,Chart!BC504,0)&amp;"_"&amp;OFFSET(Pinlist!$G$1,Chart!BC504,0),"")</f>
        <v/>
      </c>
      <c r="BH504" s="1098"/>
      <c r="BI504" s="178"/>
      <c r="BJ504" s="178"/>
      <c r="BK504" s="178"/>
      <c r="BL504" s="178"/>
      <c r="BM504" s="178"/>
      <c r="BN504" s="178"/>
      <c r="BO504" s="178"/>
      <c r="BP504" s="178"/>
      <c r="BQ504" s="196"/>
      <c r="BR504" s="196"/>
      <c r="BS504" s="196"/>
      <c r="BT504" s="196"/>
      <c r="BU504" s="196"/>
      <c r="BV504" s="196"/>
      <c r="BW504" s="178"/>
      <c r="BX504" s="196"/>
      <c r="BY504" s="196"/>
      <c r="BZ504" s="196"/>
      <c r="CA504" s="196"/>
      <c r="CB504" s="178"/>
      <c r="CC504" s="178"/>
      <c r="CD504" s="202"/>
      <c r="CE504" s="202"/>
      <c r="CF504" s="178"/>
      <c r="CG504" s="196"/>
      <c r="CH504" s="178"/>
      <c r="CI504" s="178"/>
      <c r="CJ504" s="178"/>
      <c r="CK504" s="178"/>
      <c r="CL504" s="178"/>
      <c r="CM504" s="178"/>
      <c r="CN504" s="178"/>
      <c r="CO504" s="178"/>
      <c r="CP504" s="178"/>
      <c r="CQ504" s="178"/>
      <c r="CR504" s="178"/>
      <c r="CS504" s="178"/>
      <c r="CT504" s="178"/>
      <c r="CU504" s="178"/>
      <c r="CV504" s="178"/>
      <c r="CW504" s="178"/>
      <c r="CX504" s="178"/>
      <c r="CY504" s="178"/>
      <c r="CZ504" s="178"/>
      <c r="DA504" s="150"/>
    </row>
    <row r="505" spans="53:105" x14ac:dyDescent="0.2">
      <c r="BA505" s="518">
        <f t="shared" ca="1" si="34"/>
        <v>61</v>
      </c>
      <c r="BB505" s="174">
        <f t="shared" ca="1" si="35"/>
        <v>442</v>
      </c>
      <c r="BC505" s="525" t="e">
        <f ca="1">MATCH(BD505,OFFSET(Pinlist!$A$2,BC504*(BA505=BA504),0,$BM$23,1),0)+BC504*(BA505=BA504)</f>
        <v>#N/A</v>
      </c>
      <c r="BD505" s="167">
        <f t="shared" ca="1" si="36"/>
        <v>0</v>
      </c>
      <c r="BE505" s="191" t="e">
        <f ca="1">(OFFSET(Pinlist!$E$1,BC505,0)-$BN$16)*$BN$19</f>
        <v>#N/A</v>
      </c>
      <c r="BF505" s="192" t="e">
        <f ca="1">(OFFSET(Pinlist!$F$1,BC505,0)-$BO$16)*$BO$19</f>
        <v>#N/A</v>
      </c>
      <c r="BG505" s="1098" t="str">
        <f ca="1">IF(LEFT(BD505,2)="RF",OFFSET(Pinlist!$D$1,Chart!BC505,0)&amp;"_"&amp;OFFSET(Pinlist!$G$1,Chart!BC505,0),"")</f>
        <v/>
      </c>
      <c r="BH505" s="1098"/>
      <c r="BI505" s="178"/>
      <c r="BJ505" s="178"/>
      <c r="BK505" s="178"/>
      <c r="BL505" s="178"/>
      <c r="BM505" s="178"/>
      <c r="BN505" s="178"/>
      <c r="BO505" s="178"/>
      <c r="BP505" s="178"/>
      <c r="BQ505" s="196"/>
      <c r="BR505" s="196"/>
      <c r="BS505" s="196"/>
      <c r="BT505" s="196"/>
      <c r="BU505" s="196"/>
      <c r="BV505" s="196"/>
      <c r="BW505" s="178"/>
      <c r="BX505" s="196"/>
      <c r="BY505" s="196"/>
      <c r="BZ505" s="196"/>
      <c r="CA505" s="196"/>
      <c r="CB505" s="178"/>
      <c r="CC505" s="178"/>
      <c r="CD505" s="202"/>
      <c r="CE505" s="202"/>
      <c r="CF505" s="178"/>
      <c r="CG505" s="196"/>
      <c r="CH505" s="178"/>
      <c r="CI505" s="178"/>
      <c r="CJ505" s="178"/>
      <c r="CK505" s="178"/>
      <c r="CL505" s="178"/>
      <c r="CM505" s="178"/>
      <c r="CN505" s="178"/>
      <c r="CO505" s="178"/>
      <c r="CP505" s="178"/>
      <c r="CQ505" s="178"/>
      <c r="CR505" s="178"/>
      <c r="CS505" s="178"/>
      <c r="CT505" s="178"/>
      <c r="CU505" s="178"/>
      <c r="CV505" s="178"/>
      <c r="CW505" s="178"/>
      <c r="CX505" s="178"/>
      <c r="CY505" s="178"/>
      <c r="CZ505" s="178"/>
      <c r="DA505" s="150"/>
    </row>
    <row r="506" spans="53:105" x14ac:dyDescent="0.2">
      <c r="BA506" s="518">
        <f t="shared" ca="1" si="34"/>
        <v>61</v>
      </c>
      <c r="BB506" s="174">
        <f t="shared" ca="1" si="35"/>
        <v>443</v>
      </c>
      <c r="BC506" s="525" t="e">
        <f ca="1">MATCH(BD506,OFFSET(Pinlist!$A$2,BC505*(BA506=BA505),0,$BM$23,1),0)+BC505*(BA506=BA505)</f>
        <v>#N/A</v>
      </c>
      <c r="BD506" s="167">
        <f t="shared" ca="1" si="36"/>
        <v>0</v>
      </c>
      <c r="BE506" s="191" t="e">
        <f ca="1">(OFFSET(Pinlist!$E$1,BC506,0)-$BN$16)*$BN$19</f>
        <v>#N/A</v>
      </c>
      <c r="BF506" s="192" t="e">
        <f ca="1">(OFFSET(Pinlist!$F$1,BC506,0)-$BO$16)*$BO$19</f>
        <v>#N/A</v>
      </c>
      <c r="BG506" s="1098" t="str">
        <f ca="1">IF(LEFT(BD506,2)="RF",OFFSET(Pinlist!$D$1,Chart!BC506,0)&amp;"_"&amp;OFFSET(Pinlist!$G$1,Chart!BC506,0),"")</f>
        <v/>
      </c>
      <c r="BH506" s="1098"/>
      <c r="BI506" s="178"/>
      <c r="BJ506" s="178"/>
      <c r="BK506" s="178"/>
      <c r="BL506" s="178"/>
      <c r="BM506" s="178"/>
      <c r="BN506" s="178"/>
      <c r="BO506" s="178"/>
      <c r="BP506" s="178"/>
      <c r="BQ506" s="196"/>
      <c r="BR506" s="196"/>
      <c r="BS506" s="196"/>
      <c r="BT506" s="196"/>
      <c r="BU506" s="196"/>
      <c r="BV506" s="196"/>
      <c r="BW506" s="178"/>
      <c r="BX506" s="196"/>
      <c r="BY506" s="196"/>
      <c r="BZ506" s="196"/>
      <c r="CA506" s="196"/>
      <c r="CB506" s="178"/>
      <c r="CC506" s="178"/>
      <c r="CD506" s="202"/>
      <c r="CE506" s="202"/>
      <c r="CF506" s="178"/>
      <c r="CG506" s="196"/>
      <c r="CH506" s="178"/>
      <c r="CI506" s="178"/>
      <c r="CJ506" s="178"/>
      <c r="CK506" s="178"/>
      <c r="CL506" s="178"/>
      <c r="CM506" s="178"/>
      <c r="CN506" s="178"/>
      <c r="CO506" s="178"/>
      <c r="CP506" s="178"/>
      <c r="CQ506" s="178"/>
      <c r="CR506" s="178"/>
      <c r="CS506" s="178"/>
      <c r="CT506" s="178"/>
      <c r="CU506" s="178"/>
      <c r="CV506" s="178"/>
      <c r="CW506" s="178"/>
      <c r="CX506" s="178"/>
      <c r="CY506" s="178"/>
      <c r="CZ506" s="178"/>
      <c r="DA506" s="150"/>
    </row>
    <row r="507" spans="53:105" x14ac:dyDescent="0.2">
      <c r="BA507" s="518">
        <f t="shared" ca="1" si="34"/>
        <v>61</v>
      </c>
      <c r="BB507" s="174">
        <f t="shared" ca="1" si="35"/>
        <v>444</v>
      </c>
      <c r="BC507" s="525" t="e">
        <f ca="1">MATCH(BD507,OFFSET(Pinlist!$A$2,BC506*(BA507=BA506),0,$BM$23,1),0)+BC506*(BA507=BA506)</f>
        <v>#N/A</v>
      </c>
      <c r="BD507" s="167">
        <f t="shared" ca="1" si="36"/>
        <v>0</v>
      </c>
      <c r="BE507" s="191" t="e">
        <f ca="1">(OFFSET(Pinlist!$E$1,BC507,0)-$BN$16)*$BN$19</f>
        <v>#N/A</v>
      </c>
      <c r="BF507" s="192" t="e">
        <f ca="1">(OFFSET(Pinlist!$F$1,BC507,0)-$BO$16)*$BO$19</f>
        <v>#N/A</v>
      </c>
      <c r="BG507" s="1098" t="str">
        <f ca="1">IF(LEFT(BD507,2)="RF",OFFSET(Pinlist!$D$1,Chart!BC507,0)&amp;"_"&amp;OFFSET(Pinlist!$G$1,Chart!BC507,0),"")</f>
        <v/>
      </c>
      <c r="BH507" s="1098"/>
      <c r="BI507" s="178"/>
      <c r="BJ507" s="178"/>
      <c r="BK507" s="178"/>
      <c r="BL507" s="178"/>
      <c r="BM507" s="178"/>
      <c r="BN507" s="178"/>
      <c r="BO507" s="178"/>
      <c r="BP507" s="178"/>
      <c r="BQ507" s="196"/>
      <c r="BR507" s="196"/>
      <c r="BS507" s="196"/>
      <c r="BT507" s="196"/>
      <c r="BU507" s="196"/>
      <c r="BV507" s="196"/>
      <c r="BW507" s="178"/>
      <c r="BX507" s="196"/>
      <c r="BY507" s="196"/>
      <c r="BZ507" s="196"/>
      <c r="CA507" s="196"/>
      <c r="CB507" s="178"/>
      <c r="CC507" s="178"/>
      <c r="CD507" s="202"/>
      <c r="CE507" s="202"/>
      <c r="CF507" s="178"/>
      <c r="CG507" s="196"/>
      <c r="CH507" s="178"/>
      <c r="CI507" s="178"/>
      <c r="CJ507" s="178"/>
      <c r="CK507" s="178"/>
      <c r="CL507" s="178"/>
      <c r="CM507" s="178"/>
      <c r="CN507" s="178"/>
      <c r="CO507" s="178"/>
      <c r="CP507" s="178"/>
      <c r="CQ507" s="178"/>
      <c r="CR507" s="178"/>
      <c r="CS507" s="178"/>
      <c r="CT507" s="178"/>
      <c r="CU507" s="178"/>
      <c r="CV507" s="178"/>
      <c r="CW507" s="178"/>
      <c r="CX507" s="178"/>
      <c r="CY507" s="178"/>
      <c r="CZ507" s="178"/>
      <c r="DA507" s="150"/>
    </row>
    <row r="508" spans="53:105" x14ac:dyDescent="0.2">
      <c r="BA508" s="518">
        <f t="shared" ca="1" si="34"/>
        <v>61</v>
      </c>
      <c r="BB508" s="174">
        <f t="shared" ca="1" si="35"/>
        <v>445</v>
      </c>
      <c r="BC508" s="525" t="e">
        <f ca="1">MATCH(BD508,OFFSET(Pinlist!$A$2,BC507*(BA508=BA507),0,$BM$23,1),0)+BC507*(BA508=BA507)</f>
        <v>#N/A</v>
      </c>
      <c r="BD508" s="167">
        <f t="shared" ca="1" si="36"/>
        <v>0</v>
      </c>
      <c r="BE508" s="191" t="e">
        <f ca="1">(OFFSET(Pinlist!$E$1,BC508,0)-$BN$16)*$BN$19</f>
        <v>#N/A</v>
      </c>
      <c r="BF508" s="192" t="e">
        <f ca="1">(OFFSET(Pinlist!$F$1,BC508,0)-$BO$16)*$BO$19</f>
        <v>#N/A</v>
      </c>
      <c r="BG508" s="1098" t="str">
        <f ca="1">IF(LEFT(BD508,2)="RF",OFFSET(Pinlist!$D$1,Chart!BC508,0)&amp;"_"&amp;OFFSET(Pinlist!$G$1,Chart!BC508,0),"")</f>
        <v/>
      </c>
      <c r="BH508" s="1098"/>
      <c r="BI508" s="178"/>
      <c r="BJ508" s="178"/>
      <c r="BK508" s="178"/>
      <c r="BL508" s="178"/>
      <c r="BM508" s="178"/>
      <c r="BN508" s="178"/>
      <c r="BO508" s="178"/>
      <c r="BP508" s="178"/>
      <c r="BQ508" s="196"/>
      <c r="BR508" s="196"/>
      <c r="BS508" s="196"/>
      <c r="BT508" s="196"/>
      <c r="BU508" s="196"/>
      <c r="BV508" s="196"/>
      <c r="BW508" s="178"/>
      <c r="BX508" s="196"/>
      <c r="BY508" s="196"/>
      <c r="BZ508" s="196"/>
      <c r="CA508" s="196"/>
      <c r="CB508" s="178"/>
      <c r="CC508" s="178"/>
      <c r="CD508" s="202"/>
      <c r="CE508" s="202"/>
      <c r="CF508" s="178"/>
      <c r="CG508" s="196"/>
      <c r="CH508" s="178"/>
      <c r="CI508" s="178"/>
      <c r="CJ508" s="178"/>
      <c r="CK508" s="178"/>
      <c r="CL508" s="178"/>
      <c r="CM508" s="178"/>
      <c r="CN508" s="178"/>
      <c r="CO508" s="178"/>
      <c r="CP508" s="178"/>
      <c r="CQ508" s="178"/>
      <c r="CR508" s="178"/>
      <c r="CS508" s="178"/>
      <c r="CT508" s="178"/>
      <c r="CU508" s="178"/>
      <c r="CV508" s="178"/>
      <c r="CW508" s="178"/>
      <c r="CX508" s="178"/>
      <c r="CY508" s="178"/>
      <c r="CZ508" s="178"/>
      <c r="DA508" s="150"/>
    </row>
    <row r="509" spans="53:105" x14ac:dyDescent="0.2">
      <c r="BA509" s="518">
        <f t="shared" ca="1" si="34"/>
        <v>61</v>
      </c>
      <c r="BB509" s="174">
        <f t="shared" ca="1" si="35"/>
        <v>446</v>
      </c>
      <c r="BC509" s="525" t="e">
        <f ca="1">MATCH(BD509,OFFSET(Pinlist!$A$2,BC508*(BA509=BA508),0,$BM$23,1),0)+BC508*(BA509=BA508)</f>
        <v>#N/A</v>
      </c>
      <c r="BD509" s="167">
        <f t="shared" ca="1" si="36"/>
        <v>0</v>
      </c>
      <c r="BE509" s="191" t="e">
        <f ca="1">(OFFSET(Pinlist!$E$1,BC509,0)-$BN$16)*$BN$19</f>
        <v>#N/A</v>
      </c>
      <c r="BF509" s="192" t="e">
        <f ca="1">(OFFSET(Pinlist!$F$1,BC509,0)-$BO$16)*$BO$19</f>
        <v>#N/A</v>
      </c>
      <c r="BG509" s="1098" t="str">
        <f ca="1">IF(LEFT(BD509,2)="RF",OFFSET(Pinlist!$D$1,Chart!BC509,0)&amp;"_"&amp;OFFSET(Pinlist!$G$1,Chart!BC509,0),"")</f>
        <v/>
      </c>
      <c r="BH509" s="1098"/>
      <c r="BI509" s="178"/>
      <c r="BJ509" s="178"/>
      <c r="BK509" s="178"/>
      <c r="BL509" s="178"/>
      <c r="BM509" s="178"/>
      <c r="BN509" s="178"/>
      <c r="BO509" s="178"/>
      <c r="BP509" s="178"/>
      <c r="BQ509" s="196"/>
      <c r="BR509" s="196"/>
      <c r="BS509" s="196"/>
      <c r="BT509" s="196"/>
      <c r="BU509" s="196"/>
      <c r="BV509" s="196"/>
      <c r="BW509" s="178"/>
      <c r="BX509" s="196"/>
      <c r="BY509" s="196"/>
      <c r="BZ509" s="196"/>
      <c r="CA509" s="196"/>
      <c r="CB509" s="178"/>
      <c r="CC509" s="178"/>
      <c r="CD509" s="202"/>
      <c r="CE509" s="202"/>
      <c r="CF509" s="178"/>
      <c r="CG509" s="196"/>
      <c r="CH509" s="178"/>
      <c r="CI509" s="178"/>
      <c r="CJ509" s="178"/>
      <c r="CK509" s="178"/>
      <c r="CL509" s="178"/>
      <c r="CM509" s="178"/>
      <c r="CN509" s="178"/>
      <c r="CO509" s="178"/>
      <c r="CP509" s="178"/>
      <c r="CQ509" s="178"/>
      <c r="CR509" s="178"/>
      <c r="CS509" s="178"/>
      <c r="CT509" s="178"/>
      <c r="CU509" s="178"/>
      <c r="CV509" s="178"/>
      <c r="CW509" s="178"/>
      <c r="CX509" s="178"/>
      <c r="CY509" s="178"/>
      <c r="CZ509" s="178"/>
      <c r="DA509" s="150"/>
    </row>
    <row r="510" spans="53:105" x14ac:dyDescent="0.2">
      <c r="BA510" s="518">
        <f t="shared" ca="1" si="34"/>
        <v>61</v>
      </c>
      <c r="BB510" s="174">
        <f t="shared" ca="1" si="35"/>
        <v>447</v>
      </c>
      <c r="BC510" s="525" t="e">
        <f ca="1">MATCH(BD510,OFFSET(Pinlist!$A$2,BC509*(BA510=BA509),0,$BM$23,1),0)+BC509*(BA510=BA509)</f>
        <v>#N/A</v>
      </c>
      <c r="BD510" s="167">
        <f t="shared" ca="1" si="36"/>
        <v>0</v>
      </c>
      <c r="BE510" s="191" t="e">
        <f ca="1">(OFFSET(Pinlist!$E$1,BC510,0)-$BN$16)*$BN$19</f>
        <v>#N/A</v>
      </c>
      <c r="BF510" s="192" t="e">
        <f ca="1">(OFFSET(Pinlist!$F$1,BC510,0)-$BO$16)*$BO$19</f>
        <v>#N/A</v>
      </c>
      <c r="BG510" s="1098" t="str">
        <f ca="1">IF(LEFT(BD510,2)="RF",OFFSET(Pinlist!$D$1,Chart!BC510,0)&amp;"_"&amp;OFFSET(Pinlist!$G$1,Chart!BC510,0),"")</f>
        <v/>
      </c>
      <c r="BH510" s="1098"/>
      <c r="BI510" s="178"/>
      <c r="BJ510" s="178"/>
      <c r="BK510" s="178"/>
      <c r="BL510" s="178"/>
      <c r="BM510" s="178"/>
      <c r="BN510" s="178"/>
      <c r="BO510" s="178"/>
      <c r="BP510" s="178"/>
      <c r="BQ510" s="196"/>
      <c r="BR510" s="196"/>
      <c r="BS510" s="196"/>
      <c r="BT510" s="196"/>
      <c r="BU510" s="196"/>
      <c r="BV510" s="196"/>
      <c r="BW510" s="178"/>
      <c r="BX510" s="196"/>
      <c r="BY510" s="196"/>
      <c r="BZ510" s="196"/>
      <c r="CA510" s="196"/>
      <c r="CB510" s="178"/>
      <c r="CC510" s="178"/>
      <c r="CD510" s="202"/>
      <c r="CE510" s="202"/>
      <c r="CF510" s="178"/>
      <c r="CG510" s="196"/>
      <c r="CH510" s="178"/>
      <c r="CI510" s="178"/>
      <c r="CJ510" s="178"/>
      <c r="CK510" s="178"/>
      <c r="CL510" s="178"/>
      <c r="CM510" s="178"/>
      <c r="CN510" s="178"/>
      <c r="CO510" s="178"/>
      <c r="CP510" s="178"/>
      <c r="CQ510" s="178"/>
      <c r="CR510" s="178"/>
      <c r="CS510" s="178"/>
      <c r="CT510" s="178"/>
      <c r="CU510" s="178"/>
      <c r="CV510" s="178"/>
      <c r="CW510" s="178"/>
      <c r="CX510" s="178"/>
      <c r="CY510" s="178"/>
      <c r="CZ510" s="178"/>
      <c r="DA510" s="150"/>
    </row>
    <row r="511" spans="53:105" x14ac:dyDescent="0.2">
      <c r="BA511" s="518">
        <f t="shared" ca="1" si="34"/>
        <v>61</v>
      </c>
      <c r="BB511" s="174">
        <f t="shared" ca="1" si="35"/>
        <v>448</v>
      </c>
      <c r="BC511" s="525" t="e">
        <f ca="1">MATCH(BD511,OFFSET(Pinlist!$A$2,BC510*(BA511=BA510),0,$BM$23,1),0)+BC510*(BA511=BA510)</f>
        <v>#N/A</v>
      </c>
      <c r="BD511" s="167">
        <f t="shared" ca="1" si="36"/>
        <v>0</v>
      </c>
      <c r="BE511" s="191" t="e">
        <f ca="1">(OFFSET(Pinlist!$E$1,BC511,0)-$BN$16)*$BN$19</f>
        <v>#N/A</v>
      </c>
      <c r="BF511" s="192" t="e">
        <f ca="1">(OFFSET(Pinlist!$F$1,BC511,0)-$BO$16)*$BO$19</f>
        <v>#N/A</v>
      </c>
      <c r="BG511" s="1098" t="str">
        <f ca="1">IF(LEFT(BD511,2)="RF",OFFSET(Pinlist!$D$1,Chart!BC511,0)&amp;"_"&amp;OFFSET(Pinlist!$G$1,Chart!BC511,0),"")</f>
        <v/>
      </c>
      <c r="BH511" s="1098"/>
      <c r="BI511" s="178"/>
      <c r="BJ511" s="178"/>
      <c r="BK511" s="178"/>
      <c r="BL511" s="178"/>
      <c r="BM511" s="178"/>
      <c r="BN511" s="178"/>
      <c r="BO511" s="178"/>
      <c r="BP511" s="178"/>
      <c r="BQ511" s="196"/>
      <c r="BR511" s="196"/>
      <c r="BS511" s="196"/>
      <c r="BT511" s="196"/>
      <c r="BU511" s="196"/>
      <c r="BV511" s="196"/>
      <c r="BW511" s="178"/>
      <c r="BX511" s="196"/>
      <c r="BY511" s="196"/>
      <c r="BZ511" s="196"/>
      <c r="CA511" s="196"/>
      <c r="CB511" s="178"/>
      <c r="CC511" s="178"/>
      <c r="CD511" s="202"/>
      <c r="CE511" s="202"/>
      <c r="CF511" s="178"/>
      <c r="CG511" s="196"/>
      <c r="CH511" s="178"/>
      <c r="CI511" s="178"/>
      <c r="CJ511" s="178"/>
      <c r="CK511" s="178"/>
      <c r="CL511" s="178"/>
      <c r="CM511" s="178"/>
      <c r="CN511" s="178"/>
      <c r="CO511" s="178"/>
      <c r="CP511" s="178"/>
      <c r="CQ511" s="178"/>
      <c r="CR511" s="178"/>
      <c r="CS511" s="178"/>
      <c r="CT511" s="178"/>
      <c r="CU511" s="178"/>
      <c r="CV511" s="178"/>
      <c r="CW511" s="178"/>
      <c r="CX511" s="178"/>
      <c r="CY511" s="178"/>
      <c r="CZ511" s="178"/>
      <c r="DA511" s="150"/>
    </row>
    <row r="512" spans="53:105" x14ac:dyDescent="0.2">
      <c r="BA512" s="518">
        <f t="shared" ca="1" si="34"/>
        <v>61</v>
      </c>
      <c r="BB512" s="174">
        <f t="shared" ca="1" si="35"/>
        <v>449</v>
      </c>
      <c r="BC512" s="525" t="e">
        <f ca="1">MATCH(BD512,OFFSET(Pinlist!$A$2,BC511*(BA512=BA511),0,$BM$23,1),0)+BC511*(BA512=BA511)</f>
        <v>#N/A</v>
      </c>
      <c r="BD512" s="167">
        <f t="shared" ca="1" si="36"/>
        <v>0</v>
      </c>
      <c r="BE512" s="191" t="e">
        <f ca="1">(OFFSET(Pinlist!$E$1,BC512,0)-$BN$16)*$BN$19</f>
        <v>#N/A</v>
      </c>
      <c r="BF512" s="192" t="e">
        <f ca="1">(OFFSET(Pinlist!$F$1,BC512,0)-$BO$16)*$BO$19</f>
        <v>#N/A</v>
      </c>
      <c r="BG512" s="1098" t="str">
        <f ca="1">IF(LEFT(BD512,2)="RF",OFFSET(Pinlist!$D$1,Chart!BC512,0)&amp;"_"&amp;OFFSET(Pinlist!$G$1,Chart!BC512,0),"")</f>
        <v/>
      </c>
      <c r="BH512" s="1098"/>
      <c r="BI512" s="178"/>
      <c r="BJ512" s="178"/>
      <c r="BK512" s="178"/>
      <c r="BL512" s="178"/>
      <c r="BM512" s="178"/>
      <c r="BN512" s="178"/>
      <c r="BO512" s="178"/>
      <c r="BP512" s="178"/>
      <c r="BQ512" s="196"/>
      <c r="BR512" s="196"/>
      <c r="BS512" s="196"/>
      <c r="BT512" s="196"/>
      <c r="BU512" s="196"/>
      <c r="BV512" s="196"/>
      <c r="BW512" s="178"/>
      <c r="BX512" s="196"/>
      <c r="BY512" s="196"/>
      <c r="BZ512" s="196"/>
      <c r="CA512" s="196"/>
      <c r="CB512" s="178"/>
      <c r="CC512" s="178"/>
      <c r="CD512" s="202"/>
      <c r="CE512" s="202"/>
      <c r="CF512" s="178"/>
      <c r="CG512" s="196"/>
      <c r="CH512" s="178"/>
      <c r="CI512" s="178"/>
      <c r="CJ512" s="178"/>
      <c r="CK512" s="178"/>
      <c r="CL512" s="178"/>
      <c r="CM512" s="178"/>
      <c r="CN512" s="178"/>
      <c r="CO512" s="178"/>
      <c r="CP512" s="178"/>
      <c r="CQ512" s="178"/>
      <c r="CR512" s="178"/>
      <c r="CS512" s="178"/>
      <c r="CT512" s="178"/>
      <c r="CU512" s="178"/>
      <c r="CV512" s="178"/>
      <c r="CW512" s="178"/>
      <c r="CX512" s="178"/>
      <c r="CY512" s="178"/>
      <c r="CZ512" s="178"/>
      <c r="DA512" s="150"/>
    </row>
    <row r="513" spans="53:105" x14ac:dyDescent="0.2">
      <c r="BA513" s="518">
        <f t="shared" ca="1" si="34"/>
        <v>61</v>
      </c>
      <c r="BB513" s="174">
        <f t="shared" ca="1" si="35"/>
        <v>450</v>
      </c>
      <c r="BC513" s="525" t="e">
        <f ca="1">MATCH(BD513,OFFSET(Pinlist!$A$2,BC512*(BA513=BA512),0,$BM$23,1),0)+BC512*(BA513=BA512)</f>
        <v>#N/A</v>
      </c>
      <c r="BD513" s="167">
        <f t="shared" ca="1" si="36"/>
        <v>0</v>
      </c>
      <c r="BE513" s="191" t="e">
        <f ca="1">(OFFSET(Pinlist!$E$1,BC513,0)-$BN$16)*$BN$19</f>
        <v>#N/A</v>
      </c>
      <c r="BF513" s="192" t="e">
        <f ca="1">(OFFSET(Pinlist!$F$1,BC513,0)-$BO$16)*$BO$19</f>
        <v>#N/A</v>
      </c>
      <c r="BG513" s="1098" t="str">
        <f ca="1">IF(LEFT(BD513,2)="RF",OFFSET(Pinlist!$D$1,Chart!BC513,0)&amp;"_"&amp;OFFSET(Pinlist!$G$1,Chart!BC513,0),"")</f>
        <v/>
      </c>
      <c r="BH513" s="1098"/>
      <c r="BI513" s="178"/>
      <c r="BJ513" s="178"/>
      <c r="BK513" s="178"/>
      <c r="BL513" s="178"/>
      <c r="BM513" s="178"/>
      <c r="BN513" s="178"/>
      <c r="BO513" s="178"/>
      <c r="BP513" s="178"/>
      <c r="BQ513" s="196"/>
      <c r="BR513" s="196"/>
      <c r="BS513" s="196"/>
      <c r="BT513" s="196"/>
      <c r="BU513" s="196"/>
      <c r="BV513" s="196"/>
      <c r="BW513" s="178"/>
      <c r="BX513" s="196"/>
      <c r="BY513" s="196"/>
      <c r="BZ513" s="196"/>
      <c r="CA513" s="196"/>
      <c r="CB513" s="178"/>
      <c r="CC513" s="178"/>
      <c r="CD513" s="202"/>
      <c r="CE513" s="202"/>
      <c r="CF513" s="178"/>
      <c r="CG513" s="196"/>
      <c r="CH513" s="178"/>
      <c r="CI513" s="178"/>
      <c r="CJ513" s="178"/>
      <c r="CK513" s="178"/>
      <c r="CL513" s="178"/>
      <c r="CM513" s="178"/>
      <c r="CN513" s="178"/>
      <c r="CO513" s="178"/>
      <c r="CP513" s="178"/>
      <c r="CQ513" s="178"/>
      <c r="CR513" s="178"/>
      <c r="CS513" s="178"/>
      <c r="CT513" s="178"/>
      <c r="CU513" s="178"/>
      <c r="CV513" s="178"/>
      <c r="CW513" s="178"/>
      <c r="CX513" s="178"/>
      <c r="CY513" s="178"/>
      <c r="CZ513" s="178"/>
      <c r="DA513" s="150"/>
    </row>
    <row r="514" spans="53:105" x14ac:dyDescent="0.2">
      <c r="BA514" s="518">
        <f t="shared" ca="1" si="34"/>
        <v>61</v>
      </c>
      <c r="BB514" s="174">
        <f t="shared" ca="1" si="35"/>
        <v>451</v>
      </c>
      <c r="BC514" s="525" t="e">
        <f ca="1">MATCH(BD514,OFFSET(Pinlist!$A$2,BC513*(BA514=BA513),0,$BM$23,1),0)+BC513*(BA514=BA513)</f>
        <v>#N/A</v>
      </c>
      <c r="BD514" s="167">
        <f t="shared" ca="1" si="36"/>
        <v>0</v>
      </c>
      <c r="BE514" s="191" t="e">
        <f ca="1">(OFFSET(Pinlist!$E$1,BC514,0)-$BN$16)*$BN$19</f>
        <v>#N/A</v>
      </c>
      <c r="BF514" s="192" t="e">
        <f ca="1">(OFFSET(Pinlist!$F$1,BC514,0)-$BO$16)*$BO$19</f>
        <v>#N/A</v>
      </c>
      <c r="BG514" s="1098" t="str">
        <f ca="1">IF(LEFT(BD514,2)="RF",OFFSET(Pinlist!$D$1,Chart!BC514,0)&amp;"_"&amp;OFFSET(Pinlist!$G$1,Chart!BC514,0),"")</f>
        <v/>
      </c>
      <c r="BH514" s="1098"/>
      <c r="BI514" s="178"/>
      <c r="BJ514" s="178"/>
      <c r="BK514" s="178"/>
      <c r="BL514" s="178"/>
      <c r="BM514" s="178"/>
      <c r="BN514" s="178"/>
      <c r="BO514" s="178"/>
      <c r="BP514" s="178"/>
      <c r="BQ514" s="196"/>
      <c r="BR514" s="196"/>
      <c r="BS514" s="196"/>
      <c r="BT514" s="196"/>
      <c r="BU514" s="196"/>
      <c r="BV514" s="196"/>
      <c r="BW514" s="178"/>
      <c r="BX514" s="196"/>
      <c r="BY514" s="196"/>
      <c r="BZ514" s="196"/>
      <c r="CA514" s="196"/>
      <c r="CB514" s="178"/>
      <c r="CC514" s="178"/>
      <c r="CD514" s="202"/>
      <c r="CE514" s="202"/>
      <c r="CF514" s="178"/>
      <c r="CG514" s="196"/>
      <c r="CH514" s="178"/>
      <c r="CI514" s="178"/>
      <c r="CJ514" s="178"/>
      <c r="CK514" s="178"/>
      <c r="CL514" s="178"/>
      <c r="CM514" s="178"/>
      <c r="CN514" s="178"/>
      <c r="CO514" s="178"/>
      <c r="CP514" s="178"/>
      <c r="CQ514" s="178"/>
      <c r="CR514" s="178"/>
      <c r="CS514" s="178"/>
      <c r="CT514" s="178"/>
      <c r="CU514" s="178"/>
      <c r="CV514" s="178"/>
      <c r="CW514" s="178"/>
      <c r="CX514" s="178"/>
      <c r="CY514" s="178"/>
      <c r="CZ514" s="178"/>
      <c r="DA514" s="150"/>
    </row>
    <row r="515" spans="53:105" x14ac:dyDescent="0.2">
      <c r="BA515" s="518">
        <f t="shared" ca="1" si="34"/>
        <v>61</v>
      </c>
      <c r="BB515" s="174">
        <f t="shared" ca="1" si="35"/>
        <v>452</v>
      </c>
      <c r="BC515" s="525" t="e">
        <f ca="1">MATCH(BD515,OFFSET(Pinlist!$A$2,BC514*(BA515=BA514),0,$BM$23,1),0)+BC514*(BA515=BA514)</f>
        <v>#N/A</v>
      </c>
      <c r="BD515" s="167">
        <f t="shared" ca="1" si="36"/>
        <v>0</v>
      </c>
      <c r="BE515" s="191" t="e">
        <f ca="1">(OFFSET(Pinlist!$E$1,BC515,0)-$BN$16)*$BN$19</f>
        <v>#N/A</v>
      </c>
      <c r="BF515" s="192" t="e">
        <f ca="1">(OFFSET(Pinlist!$F$1,BC515,0)-$BO$16)*$BO$19</f>
        <v>#N/A</v>
      </c>
      <c r="BG515" s="1098" t="str">
        <f ca="1">IF(LEFT(BD515,2)="RF",OFFSET(Pinlist!$D$1,Chart!BC515,0)&amp;"_"&amp;OFFSET(Pinlist!$G$1,Chart!BC515,0),"")</f>
        <v/>
      </c>
      <c r="BH515" s="1098"/>
      <c r="BI515" s="178"/>
      <c r="BJ515" s="178"/>
      <c r="BK515" s="178"/>
      <c r="BL515" s="178"/>
      <c r="BM515" s="178"/>
      <c r="BN515" s="178"/>
      <c r="BO515" s="178"/>
      <c r="BP515" s="178"/>
      <c r="BQ515" s="196"/>
      <c r="BR515" s="196"/>
      <c r="BS515" s="196"/>
      <c r="BT515" s="196"/>
      <c r="BU515" s="196"/>
      <c r="BV515" s="196"/>
      <c r="BW515" s="178"/>
      <c r="BX515" s="196"/>
      <c r="BY515" s="196"/>
      <c r="BZ515" s="196"/>
      <c r="CA515" s="196"/>
      <c r="CB515" s="178"/>
      <c r="CC515" s="178"/>
      <c r="CD515" s="202"/>
      <c r="CE515" s="202"/>
      <c r="CF515" s="178"/>
      <c r="CG515" s="196"/>
      <c r="CH515" s="178"/>
      <c r="CI515" s="178"/>
      <c r="CJ515" s="178"/>
      <c r="CK515" s="178"/>
      <c r="CL515" s="178"/>
      <c r="CM515" s="178"/>
      <c r="CN515" s="178"/>
      <c r="CO515" s="178"/>
      <c r="CP515" s="178"/>
      <c r="CQ515" s="178"/>
      <c r="CR515" s="178"/>
      <c r="CS515" s="178"/>
      <c r="CT515" s="178"/>
      <c r="CU515" s="178"/>
      <c r="CV515" s="178"/>
      <c r="CW515" s="178"/>
      <c r="CX515" s="178"/>
      <c r="CY515" s="178"/>
      <c r="CZ515" s="178"/>
      <c r="DA515" s="150"/>
    </row>
    <row r="516" spans="53:105" x14ac:dyDescent="0.2">
      <c r="BA516" s="518">
        <f t="shared" ref="BA516:BA579" ca="1" si="37">BA515+(BB515=OFFSET($BZ$3,BA515,0))</f>
        <v>61</v>
      </c>
      <c r="BB516" s="174">
        <f t="shared" ref="BB516:BB579" ca="1" si="38">IF(BA516=BA515,BB515+1,1)</f>
        <v>453</v>
      </c>
      <c r="BC516" s="525" t="e">
        <f ca="1">MATCH(BD516,OFFSET(Pinlist!$A$2,BC515*(BA516=BA515),0,$BM$23,1),0)+BC515*(BA516=BA515)</f>
        <v>#N/A</v>
      </c>
      <c r="BD516" s="167">
        <f t="shared" ref="BD516:BD579" ca="1" si="39">OFFSET($BY$3,BA516,0)</f>
        <v>0</v>
      </c>
      <c r="BE516" s="191" t="e">
        <f ca="1">(OFFSET(Pinlist!$E$1,BC516,0)-$BN$16)*$BN$19</f>
        <v>#N/A</v>
      </c>
      <c r="BF516" s="192" t="e">
        <f ca="1">(OFFSET(Pinlist!$F$1,BC516,0)-$BO$16)*$BO$19</f>
        <v>#N/A</v>
      </c>
      <c r="BG516" s="1098" t="str">
        <f ca="1">IF(LEFT(BD516,2)="RF",OFFSET(Pinlist!$D$1,Chart!BC516,0)&amp;"_"&amp;OFFSET(Pinlist!$G$1,Chart!BC516,0),"")</f>
        <v/>
      </c>
      <c r="BH516" s="1098"/>
      <c r="BI516" s="178"/>
      <c r="BJ516" s="178"/>
      <c r="BK516" s="178"/>
      <c r="BL516" s="178"/>
      <c r="BM516" s="178"/>
      <c r="BN516" s="178"/>
      <c r="BO516" s="178"/>
      <c r="BP516" s="178"/>
      <c r="BQ516" s="196"/>
      <c r="BR516" s="196"/>
      <c r="BS516" s="196"/>
      <c r="BT516" s="196"/>
      <c r="BU516" s="196"/>
      <c r="BV516" s="196"/>
      <c r="BW516" s="178"/>
      <c r="BX516" s="196"/>
      <c r="BY516" s="196"/>
      <c r="BZ516" s="196"/>
      <c r="CA516" s="196"/>
      <c r="CB516" s="178"/>
      <c r="CC516" s="178"/>
      <c r="CD516" s="202"/>
      <c r="CE516" s="202"/>
      <c r="CF516" s="178"/>
      <c r="CG516" s="196"/>
      <c r="CH516" s="178"/>
      <c r="CI516" s="178"/>
      <c r="CJ516" s="178"/>
      <c r="CK516" s="178"/>
      <c r="CL516" s="178"/>
      <c r="CM516" s="178"/>
      <c r="CN516" s="178"/>
      <c r="CO516" s="178"/>
      <c r="CP516" s="178"/>
      <c r="CQ516" s="178"/>
      <c r="CR516" s="178"/>
      <c r="CS516" s="178"/>
      <c r="CT516" s="178"/>
      <c r="CU516" s="178"/>
      <c r="CV516" s="178"/>
      <c r="CW516" s="178"/>
      <c r="CX516" s="178"/>
      <c r="CY516" s="178"/>
      <c r="CZ516" s="178"/>
      <c r="DA516" s="150"/>
    </row>
    <row r="517" spans="53:105" x14ac:dyDescent="0.2">
      <c r="BA517" s="518">
        <f t="shared" ca="1" si="37"/>
        <v>61</v>
      </c>
      <c r="BB517" s="174">
        <f t="shared" ca="1" si="38"/>
        <v>454</v>
      </c>
      <c r="BC517" s="525" t="e">
        <f ca="1">MATCH(BD517,OFFSET(Pinlist!$A$2,BC516*(BA517=BA516),0,$BM$23,1),0)+BC516*(BA517=BA516)</f>
        <v>#N/A</v>
      </c>
      <c r="BD517" s="167">
        <f t="shared" ca="1" si="39"/>
        <v>0</v>
      </c>
      <c r="BE517" s="191" t="e">
        <f ca="1">(OFFSET(Pinlist!$E$1,BC517,0)-$BN$16)*$BN$19</f>
        <v>#N/A</v>
      </c>
      <c r="BF517" s="192" t="e">
        <f ca="1">(OFFSET(Pinlist!$F$1,BC517,0)-$BO$16)*$BO$19</f>
        <v>#N/A</v>
      </c>
      <c r="BG517" s="1098" t="str">
        <f ca="1">IF(LEFT(BD517,2)="RF",OFFSET(Pinlist!$D$1,Chart!BC517,0)&amp;"_"&amp;OFFSET(Pinlist!$G$1,Chart!BC517,0),"")</f>
        <v/>
      </c>
      <c r="BH517" s="1098"/>
      <c r="BI517" s="178"/>
      <c r="BJ517" s="178"/>
      <c r="BK517" s="178"/>
      <c r="BL517" s="178"/>
      <c r="BM517" s="178"/>
      <c r="BN517" s="178"/>
      <c r="BO517" s="178"/>
      <c r="BP517" s="178"/>
      <c r="BQ517" s="196"/>
      <c r="BR517" s="196"/>
      <c r="BS517" s="196"/>
      <c r="BT517" s="196"/>
      <c r="BU517" s="196"/>
      <c r="BV517" s="196"/>
      <c r="BW517" s="178"/>
      <c r="BX517" s="196"/>
      <c r="BY517" s="196"/>
      <c r="BZ517" s="196"/>
      <c r="CA517" s="196"/>
      <c r="CB517" s="178"/>
      <c r="CC517" s="178"/>
      <c r="CD517" s="202"/>
      <c r="CE517" s="202"/>
      <c r="CF517" s="178"/>
      <c r="CG517" s="196"/>
      <c r="CH517" s="178"/>
      <c r="CI517" s="178"/>
      <c r="CJ517" s="178"/>
      <c r="CK517" s="178"/>
      <c r="CL517" s="178"/>
      <c r="CM517" s="178"/>
      <c r="CN517" s="178"/>
      <c r="CO517" s="178"/>
      <c r="CP517" s="178"/>
      <c r="CQ517" s="178"/>
      <c r="CR517" s="178"/>
      <c r="CS517" s="178"/>
      <c r="CT517" s="178"/>
      <c r="CU517" s="178"/>
      <c r="CV517" s="178"/>
      <c r="CW517" s="178"/>
      <c r="CX517" s="178"/>
      <c r="CY517" s="178"/>
      <c r="CZ517" s="178"/>
      <c r="DA517" s="150"/>
    </row>
    <row r="518" spans="53:105" x14ac:dyDescent="0.2">
      <c r="BA518" s="518">
        <f t="shared" ca="1" si="37"/>
        <v>61</v>
      </c>
      <c r="BB518" s="174">
        <f t="shared" ca="1" si="38"/>
        <v>455</v>
      </c>
      <c r="BC518" s="525" t="e">
        <f ca="1">MATCH(BD518,OFFSET(Pinlist!$A$2,BC517*(BA518=BA517),0,$BM$23,1),0)+BC517*(BA518=BA517)</f>
        <v>#N/A</v>
      </c>
      <c r="BD518" s="167">
        <f t="shared" ca="1" si="39"/>
        <v>0</v>
      </c>
      <c r="BE518" s="191" t="e">
        <f ca="1">(OFFSET(Pinlist!$E$1,BC518,0)-$BN$16)*$BN$19</f>
        <v>#N/A</v>
      </c>
      <c r="BF518" s="192" t="e">
        <f ca="1">(OFFSET(Pinlist!$F$1,BC518,0)-$BO$16)*$BO$19</f>
        <v>#N/A</v>
      </c>
      <c r="BG518" s="1098" t="str">
        <f ca="1">IF(LEFT(BD518,2)="RF",OFFSET(Pinlist!$D$1,Chart!BC518,0)&amp;"_"&amp;OFFSET(Pinlist!$G$1,Chart!BC518,0),"")</f>
        <v/>
      </c>
      <c r="BH518" s="1098"/>
      <c r="BI518" s="178"/>
      <c r="BJ518" s="178"/>
      <c r="BK518" s="178"/>
      <c r="BL518" s="178"/>
      <c r="BM518" s="178"/>
      <c r="BN518" s="178"/>
      <c r="BO518" s="178"/>
      <c r="BP518" s="178"/>
      <c r="BQ518" s="196"/>
      <c r="BR518" s="196"/>
      <c r="BS518" s="196"/>
      <c r="BT518" s="196"/>
      <c r="BU518" s="196"/>
      <c r="BV518" s="196"/>
      <c r="BW518" s="178"/>
      <c r="BX518" s="196"/>
      <c r="BY518" s="196"/>
      <c r="BZ518" s="196"/>
      <c r="CA518" s="196"/>
      <c r="CB518" s="178"/>
      <c r="CC518" s="178"/>
      <c r="CD518" s="202"/>
      <c r="CE518" s="202"/>
      <c r="CF518" s="178"/>
      <c r="CG518" s="196"/>
      <c r="CH518" s="178"/>
      <c r="CI518" s="178"/>
      <c r="CJ518" s="178"/>
      <c r="CK518" s="178"/>
      <c r="CL518" s="178"/>
      <c r="CM518" s="178"/>
      <c r="CN518" s="178"/>
      <c r="CO518" s="178"/>
      <c r="CP518" s="178"/>
      <c r="CQ518" s="178"/>
      <c r="CR518" s="178"/>
      <c r="CS518" s="178"/>
      <c r="CT518" s="178"/>
      <c r="CU518" s="178"/>
      <c r="CV518" s="178"/>
      <c r="CW518" s="178"/>
      <c r="CX518" s="178"/>
      <c r="CY518" s="178"/>
      <c r="CZ518" s="178"/>
      <c r="DA518" s="150"/>
    </row>
    <row r="519" spans="53:105" x14ac:dyDescent="0.2">
      <c r="BA519" s="518">
        <f t="shared" ca="1" si="37"/>
        <v>61</v>
      </c>
      <c r="BB519" s="174">
        <f t="shared" ca="1" si="38"/>
        <v>456</v>
      </c>
      <c r="BC519" s="525" t="e">
        <f ca="1">MATCH(BD519,OFFSET(Pinlist!$A$2,BC518*(BA519=BA518),0,$BM$23,1),0)+BC518*(BA519=BA518)</f>
        <v>#N/A</v>
      </c>
      <c r="BD519" s="167">
        <f t="shared" ca="1" si="39"/>
        <v>0</v>
      </c>
      <c r="BE519" s="191" t="e">
        <f ca="1">(OFFSET(Pinlist!$E$1,BC519,0)-$BN$16)*$BN$19</f>
        <v>#N/A</v>
      </c>
      <c r="BF519" s="192" t="e">
        <f ca="1">(OFFSET(Pinlist!$F$1,BC519,0)-$BO$16)*$BO$19</f>
        <v>#N/A</v>
      </c>
      <c r="BG519" s="1098" t="str">
        <f ca="1">IF(LEFT(BD519,2)="RF",OFFSET(Pinlist!$D$1,Chart!BC519,0)&amp;"_"&amp;OFFSET(Pinlist!$G$1,Chart!BC519,0),"")</f>
        <v/>
      </c>
      <c r="BH519" s="1098"/>
      <c r="BI519" s="178"/>
      <c r="BJ519" s="178"/>
      <c r="BK519" s="178"/>
      <c r="BL519" s="178"/>
      <c r="BM519" s="178"/>
      <c r="BN519" s="178"/>
      <c r="BO519" s="178"/>
      <c r="BP519" s="178"/>
      <c r="BQ519" s="196"/>
      <c r="BR519" s="196"/>
      <c r="BS519" s="196"/>
      <c r="BT519" s="196"/>
      <c r="BU519" s="196"/>
      <c r="BV519" s="196"/>
      <c r="BW519" s="178"/>
      <c r="BX519" s="196"/>
      <c r="BY519" s="196"/>
      <c r="BZ519" s="196"/>
      <c r="CA519" s="196"/>
      <c r="CB519" s="178"/>
      <c r="CC519" s="178"/>
      <c r="CD519" s="202"/>
      <c r="CE519" s="202"/>
      <c r="CF519" s="178"/>
      <c r="CG519" s="196"/>
      <c r="CH519" s="178"/>
      <c r="CI519" s="178"/>
      <c r="CJ519" s="178"/>
      <c r="CK519" s="178"/>
      <c r="CL519" s="178"/>
      <c r="CM519" s="178"/>
      <c r="CN519" s="178"/>
      <c r="CO519" s="178"/>
      <c r="CP519" s="178"/>
      <c r="CQ519" s="178"/>
      <c r="CR519" s="178"/>
      <c r="CS519" s="178"/>
      <c r="CT519" s="178"/>
      <c r="CU519" s="178"/>
      <c r="CV519" s="178"/>
      <c r="CW519" s="178"/>
      <c r="CX519" s="178"/>
      <c r="CY519" s="178"/>
      <c r="CZ519" s="178"/>
      <c r="DA519" s="150"/>
    </row>
    <row r="520" spans="53:105" x14ac:dyDescent="0.2">
      <c r="BA520" s="518">
        <f t="shared" ca="1" si="37"/>
        <v>61</v>
      </c>
      <c r="BB520" s="174">
        <f t="shared" ca="1" si="38"/>
        <v>457</v>
      </c>
      <c r="BC520" s="525" t="e">
        <f ca="1">MATCH(BD520,OFFSET(Pinlist!$A$2,BC519*(BA520=BA519),0,$BM$23,1),0)+BC519*(BA520=BA519)</f>
        <v>#N/A</v>
      </c>
      <c r="BD520" s="167">
        <f t="shared" ca="1" si="39"/>
        <v>0</v>
      </c>
      <c r="BE520" s="191" t="e">
        <f ca="1">(OFFSET(Pinlist!$E$1,BC520,0)-$BN$16)*$BN$19</f>
        <v>#N/A</v>
      </c>
      <c r="BF520" s="192" t="e">
        <f ca="1">(OFFSET(Pinlist!$F$1,BC520,0)-$BO$16)*$BO$19</f>
        <v>#N/A</v>
      </c>
      <c r="BG520" s="1098" t="str">
        <f ca="1">IF(LEFT(BD520,2)="RF",OFFSET(Pinlist!$D$1,Chart!BC520,0)&amp;"_"&amp;OFFSET(Pinlist!$G$1,Chart!BC520,0),"")</f>
        <v/>
      </c>
      <c r="BH520" s="1098"/>
      <c r="BI520" s="178"/>
      <c r="BJ520" s="178"/>
      <c r="BK520" s="178"/>
      <c r="BL520" s="178"/>
      <c r="BM520" s="178"/>
      <c r="BN520" s="178"/>
      <c r="BO520" s="178"/>
      <c r="BP520" s="178"/>
      <c r="BQ520" s="196"/>
      <c r="BR520" s="196"/>
      <c r="BS520" s="196"/>
      <c r="BT520" s="196"/>
      <c r="BU520" s="196"/>
      <c r="BV520" s="196"/>
      <c r="BW520" s="178"/>
      <c r="BX520" s="196"/>
      <c r="BY520" s="196"/>
      <c r="BZ520" s="196"/>
      <c r="CA520" s="196"/>
      <c r="CB520" s="178"/>
      <c r="CC520" s="178"/>
      <c r="CD520" s="202"/>
      <c r="CE520" s="202"/>
      <c r="CF520" s="178"/>
      <c r="CG520" s="196"/>
      <c r="CH520" s="178"/>
      <c r="CI520" s="178"/>
      <c r="CJ520" s="178"/>
      <c r="CK520" s="178"/>
      <c r="CL520" s="178"/>
      <c r="CM520" s="178"/>
      <c r="CN520" s="178"/>
      <c r="CO520" s="178"/>
      <c r="CP520" s="178"/>
      <c r="CQ520" s="178"/>
      <c r="CR520" s="178"/>
      <c r="CS520" s="178"/>
      <c r="CT520" s="178"/>
      <c r="CU520" s="178"/>
      <c r="CV520" s="178"/>
      <c r="CW520" s="178"/>
      <c r="CX520" s="178"/>
      <c r="CY520" s="178"/>
      <c r="CZ520" s="178"/>
      <c r="DA520" s="150"/>
    </row>
    <row r="521" spans="53:105" x14ac:dyDescent="0.2">
      <c r="BA521" s="518">
        <f t="shared" ca="1" si="37"/>
        <v>61</v>
      </c>
      <c r="BB521" s="174">
        <f t="shared" ca="1" si="38"/>
        <v>458</v>
      </c>
      <c r="BC521" s="525" t="e">
        <f ca="1">MATCH(BD521,OFFSET(Pinlist!$A$2,BC520*(BA521=BA520),0,$BM$23,1),0)+BC520*(BA521=BA520)</f>
        <v>#N/A</v>
      </c>
      <c r="BD521" s="167">
        <f t="shared" ca="1" si="39"/>
        <v>0</v>
      </c>
      <c r="BE521" s="191" t="e">
        <f ca="1">(OFFSET(Pinlist!$E$1,BC521,0)-$BN$16)*$BN$19</f>
        <v>#N/A</v>
      </c>
      <c r="BF521" s="192" t="e">
        <f ca="1">(OFFSET(Pinlist!$F$1,BC521,0)-$BO$16)*$BO$19</f>
        <v>#N/A</v>
      </c>
      <c r="BG521" s="1098" t="str">
        <f ca="1">IF(LEFT(BD521,2)="RF",OFFSET(Pinlist!$D$1,Chart!BC521,0)&amp;"_"&amp;OFFSET(Pinlist!$G$1,Chart!BC521,0),"")</f>
        <v/>
      </c>
      <c r="BH521" s="1098"/>
      <c r="BI521" s="178"/>
      <c r="BJ521" s="178"/>
      <c r="BK521" s="178"/>
      <c r="BL521" s="178"/>
      <c r="BM521" s="178"/>
      <c r="BN521" s="178"/>
      <c r="BO521" s="178"/>
      <c r="BP521" s="178"/>
      <c r="BQ521" s="196"/>
      <c r="BR521" s="196"/>
      <c r="BS521" s="196"/>
      <c r="BT521" s="196"/>
      <c r="BU521" s="196"/>
      <c r="BV521" s="196"/>
      <c r="BW521" s="178"/>
      <c r="BX521" s="196"/>
      <c r="BY521" s="196"/>
      <c r="BZ521" s="196"/>
      <c r="CA521" s="196"/>
      <c r="CB521" s="178"/>
      <c r="CC521" s="178"/>
      <c r="CD521" s="202"/>
      <c r="CE521" s="202"/>
      <c r="CF521" s="178"/>
      <c r="CG521" s="196"/>
      <c r="CH521" s="178"/>
      <c r="CI521" s="178"/>
      <c r="CJ521" s="178"/>
      <c r="CK521" s="178"/>
      <c r="CL521" s="178"/>
      <c r="CM521" s="178"/>
      <c r="CN521" s="178"/>
      <c r="CO521" s="178"/>
      <c r="CP521" s="178"/>
      <c r="CQ521" s="178"/>
      <c r="CR521" s="178"/>
      <c r="CS521" s="178"/>
      <c r="CT521" s="178"/>
      <c r="CU521" s="178"/>
      <c r="CV521" s="178"/>
      <c r="CW521" s="178"/>
      <c r="CX521" s="178"/>
      <c r="CY521" s="178"/>
      <c r="CZ521" s="178"/>
      <c r="DA521" s="150"/>
    </row>
    <row r="522" spans="53:105" x14ac:dyDescent="0.2">
      <c r="BA522" s="518">
        <f t="shared" ca="1" si="37"/>
        <v>61</v>
      </c>
      <c r="BB522" s="174">
        <f t="shared" ca="1" si="38"/>
        <v>459</v>
      </c>
      <c r="BC522" s="525" t="e">
        <f ca="1">MATCH(BD522,OFFSET(Pinlist!$A$2,BC521*(BA522=BA521),0,$BM$23,1),0)+BC521*(BA522=BA521)</f>
        <v>#N/A</v>
      </c>
      <c r="BD522" s="167">
        <f t="shared" ca="1" si="39"/>
        <v>0</v>
      </c>
      <c r="BE522" s="191" t="e">
        <f ca="1">(OFFSET(Pinlist!$E$1,BC522,0)-$BN$16)*$BN$19</f>
        <v>#N/A</v>
      </c>
      <c r="BF522" s="192" t="e">
        <f ca="1">(OFFSET(Pinlist!$F$1,BC522,0)-$BO$16)*$BO$19</f>
        <v>#N/A</v>
      </c>
      <c r="BG522" s="1098" t="str">
        <f ca="1">IF(LEFT(BD522,2)="RF",OFFSET(Pinlist!$D$1,Chart!BC522,0)&amp;"_"&amp;OFFSET(Pinlist!$G$1,Chart!BC522,0),"")</f>
        <v/>
      </c>
      <c r="BH522" s="1098"/>
      <c r="BI522" s="178"/>
      <c r="BJ522" s="178"/>
      <c r="BK522" s="178"/>
      <c r="BL522" s="178"/>
      <c r="BM522" s="178"/>
      <c r="BN522" s="178"/>
      <c r="BO522" s="178"/>
      <c r="BP522" s="178"/>
      <c r="BQ522" s="196"/>
      <c r="BR522" s="196"/>
      <c r="BS522" s="196"/>
      <c r="BT522" s="196"/>
      <c r="BU522" s="196"/>
      <c r="BV522" s="196"/>
      <c r="BW522" s="178"/>
      <c r="BX522" s="196"/>
      <c r="BY522" s="196"/>
      <c r="BZ522" s="196"/>
      <c r="CA522" s="196"/>
      <c r="CB522" s="178"/>
      <c r="CC522" s="178"/>
      <c r="CD522" s="202"/>
      <c r="CE522" s="202"/>
      <c r="CF522" s="178"/>
      <c r="CG522" s="196"/>
      <c r="CH522" s="178"/>
      <c r="CI522" s="178"/>
      <c r="CJ522" s="178"/>
      <c r="CK522" s="178"/>
      <c r="CL522" s="178"/>
      <c r="CM522" s="178"/>
      <c r="CN522" s="178"/>
      <c r="CO522" s="178"/>
      <c r="CP522" s="178"/>
      <c r="CQ522" s="178"/>
      <c r="CR522" s="178"/>
      <c r="CS522" s="178"/>
      <c r="CT522" s="178"/>
      <c r="CU522" s="178"/>
      <c r="CV522" s="178"/>
      <c r="CW522" s="178"/>
      <c r="CX522" s="178"/>
      <c r="CY522" s="178"/>
      <c r="CZ522" s="178"/>
      <c r="DA522" s="150"/>
    </row>
    <row r="523" spans="53:105" x14ac:dyDescent="0.2">
      <c r="BA523" s="518">
        <f t="shared" ca="1" si="37"/>
        <v>61</v>
      </c>
      <c r="BB523" s="174">
        <f t="shared" ca="1" si="38"/>
        <v>460</v>
      </c>
      <c r="BC523" s="525" t="e">
        <f ca="1">MATCH(BD523,OFFSET(Pinlist!$A$2,BC522*(BA523=BA522),0,$BM$23,1),0)+BC522*(BA523=BA522)</f>
        <v>#N/A</v>
      </c>
      <c r="BD523" s="167">
        <f t="shared" ca="1" si="39"/>
        <v>0</v>
      </c>
      <c r="BE523" s="191" t="e">
        <f ca="1">(OFFSET(Pinlist!$E$1,BC523,0)-$BN$16)*$BN$19</f>
        <v>#N/A</v>
      </c>
      <c r="BF523" s="192" t="e">
        <f ca="1">(OFFSET(Pinlist!$F$1,BC523,0)-$BO$16)*$BO$19</f>
        <v>#N/A</v>
      </c>
      <c r="BG523" s="1098" t="str">
        <f ca="1">IF(LEFT(BD523,2)="RF",OFFSET(Pinlist!$D$1,Chart!BC523,0)&amp;"_"&amp;OFFSET(Pinlist!$G$1,Chart!BC523,0),"")</f>
        <v/>
      </c>
      <c r="BH523" s="1098"/>
      <c r="BI523" s="178"/>
      <c r="BJ523" s="178"/>
      <c r="BK523" s="178"/>
      <c r="BL523" s="178"/>
      <c r="BM523" s="178"/>
      <c r="BN523" s="178"/>
      <c r="BO523" s="178"/>
      <c r="BP523" s="178"/>
      <c r="BQ523" s="196"/>
      <c r="BR523" s="196"/>
      <c r="BS523" s="196"/>
      <c r="BT523" s="196"/>
      <c r="BU523" s="196"/>
      <c r="BV523" s="196"/>
      <c r="BW523" s="178"/>
      <c r="BX523" s="196"/>
      <c r="BY523" s="196"/>
      <c r="BZ523" s="196"/>
      <c r="CA523" s="196"/>
      <c r="CB523" s="178"/>
      <c r="CC523" s="178"/>
      <c r="CD523" s="202"/>
      <c r="CE523" s="202"/>
      <c r="CF523" s="178"/>
      <c r="CG523" s="196"/>
      <c r="CH523" s="178"/>
      <c r="CI523" s="178"/>
      <c r="CJ523" s="178"/>
      <c r="CK523" s="178"/>
      <c r="CL523" s="178"/>
      <c r="CM523" s="178"/>
      <c r="CN523" s="178"/>
      <c r="CO523" s="178"/>
      <c r="CP523" s="178"/>
      <c r="CQ523" s="178"/>
      <c r="CR523" s="178"/>
      <c r="CS523" s="178"/>
      <c r="CT523" s="178"/>
      <c r="CU523" s="178"/>
      <c r="CV523" s="178"/>
      <c r="CW523" s="178"/>
      <c r="CX523" s="178"/>
      <c r="CY523" s="178"/>
      <c r="CZ523" s="178"/>
      <c r="DA523" s="150"/>
    </row>
    <row r="524" spans="53:105" x14ac:dyDescent="0.2">
      <c r="BA524" s="518">
        <f t="shared" ca="1" si="37"/>
        <v>61</v>
      </c>
      <c r="BB524" s="174">
        <f t="shared" ca="1" si="38"/>
        <v>461</v>
      </c>
      <c r="BC524" s="525" t="e">
        <f ca="1">MATCH(BD524,OFFSET(Pinlist!$A$2,BC523*(BA524=BA523),0,$BM$23,1),0)+BC523*(BA524=BA523)</f>
        <v>#N/A</v>
      </c>
      <c r="BD524" s="167">
        <f t="shared" ca="1" si="39"/>
        <v>0</v>
      </c>
      <c r="BE524" s="191" t="e">
        <f ca="1">(OFFSET(Pinlist!$E$1,BC524,0)-$BN$16)*$BN$19</f>
        <v>#N/A</v>
      </c>
      <c r="BF524" s="192" t="e">
        <f ca="1">(OFFSET(Pinlist!$F$1,BC524,0)-$BO$16)*$BO$19</f>
        <v>#N/A</v>
      </c>
      <c r="BG524" s="1098" t="str">
        <f ca="1">IF(LEFT(BD524,2)="RF",OFFSET(Pinlist!$D$1,Chart!BC524,0)&amp;"_"&amp;OFFSET(Pinlist!$G$1,Chart!BC524,0),"")</f>
        <v/>
      </c>
      <c r="BH524" s="1098"/>
      <c r="BI524" s="178"/>
      <c r="BJ524" s="178"/>
      <c r="BK524" s="178"/>
      <c r="BL524" s="178"/>
      <c r="BM524" s="178"/>
      <c r="BN524" s="178"/>
      <c r="BO524" s="178"/>
      <c r="BP524" s="178"/>
      <c r="BQ524" s="196"/>
      <c r="BR524" s="196"/>
      <c r="BS524" s="196"/>
      <c r="BT524" s="196"/>
      <c r="BU524" s="196"/>
      <c r="BV524" s="196"/>
      <c r="BW524" s="178"/>
      <c r="BX524" s="196"/>
      <c r="BY524" s="196"/>
      <c r="BZ524" s="196"/>
      <c r="CA524" s="196"/>
      <c r="CB524" s="178"/>
      <c r="CC524" s="178"/>
      <c r="CD524" s="202"/>
      <c r="CE524" s="202"/>
      <c r="CF524" s="178"/>
      <c r="CG524" s="196"/>
      <c r="CH524" s="178"/>
      <c r="CI524" s="178"/>
      <c r="CJ524" s="178"/>
      <c r="CK524" s="178"/>
      <c r="CL524" s="178"/>
      <c r="CM524" s="178"/>
      <c r="CN524" s="178"/>
      <c r="CO524" s="178"/>
      <c r="CP524" s="178"/>
      <c r="CQ524" s="178"/>
      <c r="CR524" s="178"/>
      <c r="CS524" s="178"/>
      <c r="CT524" s="178"/>
      <c r="CU524" s="178"/>
      <c r="CV524" s="178"/>
      <c r="CW524" s="178"/>
      <c r="CX524" s="178"/>
      <c r="CY524" s="178"/>
      <c r="CZ524" s="178"/>
      <c r="DA524" s="150"/>
    </row>
    <row r="525" spans="53:105" x14ac:dyDescent="0.2">
      <c r="BA525" s="518">
        <f t="shared" ca="1" si="37"/>
        <v>61</v>
      </c>
      <c r="BB525" s="174">
        <f t="shared" ca="1" si="38"/>
        <v>462</v>
      </c>
      <c r="BC525" s="525" t="e">
        <f ca="1">MATCH(BD525,OFFSET(Pinlist!$A$2,BC524*(BA525=BA524),0,$BM$23,1),0)+BC524*(BA525=BA524)</f>
        <v>#N/A</v>
      </c>
      <c r="BD525" s="167">
        <f t="shared" ca="1" si="39"/>
        <v>0</v>
      </c>
      <c r="BE525" s="191" t="e">
        <f ca="1">(OFFSET(Pinlist!$E$1,BC525,0)-$BN$16)*$BN$19</f>
        <v>#N/A</v>
      </c>
      <c r="BF525" s="192" t="e">
        <f ca="1">(OFFSET(Pinlist!$F$1,BC525,0)-$BO$16)*$BO$19</f>
        <v>#N/A</v>
      </c>
      <c r="BG525" s="1098" t="str">
        <f ca="1">IF(LEFT(BD525,2)="RF",OFFSET(Pinlist!$D$1,Chart!BC525,0)&amp;"_"&amp;OFFSET(Pinlist!$G$1,Chart!BC525,0),"")</f>
        <v/>
      </c>
      <c r="BH525" s="1098"/>
      <c r="BI525" s="178"/>
      <c r="BJ525" s="178"/>
      <c r="BK525" s="178"/>
      <c r="BL525" s="178"/>
      <c r="BM525" s="178"/>
      <c r="BN525" s="178"/>
      <c r="BO525" s="178"/>
      <c r="BP525" s="178"/>
      <c r="BQ525" s="196"/>
      <c r="BR525" s="196"/>
      <c r="BS525" s="196"/>
      <c r="BT525" s="196"/>
      <c r="BU525" s="196"/>
      <c r="BV525" s="196"/>
      <c r="BW525" s="178"/>
      <c r="BX525" s="196"/>
      <c r="BY525" s="196"/>
      <c r="BZ525" s="196"/>
      <c r="CA525" s="196"/>
      <c r="CB525" s="178"/>
      <c r="CC525" s="178"/>
      <c r="CD525" s="202"/>
      <c r="CE525" s="202"/>
      <c r="CF525" s="178"/>
      <c r="CG525" s="196"/>
      <c r="CH525" s="178"/>
      <c r="CI525" s="178"/>
      <c r="CJ525" s="178"/>
      <c r="CK525" s="178"/>
      <c r="CL525" s="178"/>
      <c r="CM525" s="178"/>
      <c r="CN525" s="178"/>
      <c r="CO525" s="178"/>
      <c r="CP525" s="178"/>
      <c r="CQ525" s="178"/>
      <c r="CR525" s="178"/>
      <c r="CS525" s="178"/>
      <c r="CT525" s="178"/>
      <c r="CU525" s="178"/>
      <c r="CV525" s="178"/>
      <c r="CW525" s="178"/>
      <c r="CX525" s="178"/>
      <c r="CY525" s="178"/>
      <c r="CZ525" s="178"/>
      <c r="DA525" s="150"/>
    </row>
    <row r="526" spans="53:105" x14ac:dyDescent="0.2">
      <c r="BA526" s="518">
        <f t="shared" ca="1" si="37"/>
        <v>61</v>
      </c>
      <c r="BB526" s="174">
        <f t="shared" ca="1" si="38"/>
        <v>463</v>
      </c>
      <c r="BC526" s="525" t="e">
        <f ca="1">MATCH(BD526,OFFSET(Pinlist!$A$2,BC525*(BA526=BA525),0,$BM$23,1),0)+BC525*(BA526=BA525)</f>
        <v>#N/A</v>
      </c>
      <c r="BD526" s="167">
        <f t="shared" ca="1" si="39"/>
        <v>0</v>
      </c>
      <c r="BE526" s="191" t="e">
        <f ca="1">(OFFSET(Pinlist!$E$1,BC526,0)-$BN$16)*$BN$19</f>
        <v>#N/A</v>
      </c>
      <c r="BF526" s="192" t="e">
        <f ca="1">(OFFSET(Pinlist!$F$1,BC526,0)-$BO$16)*$BO$19</f>
        <v>#N/A</v>
      </c>
      <c r="BG526" s="1098" t="str">
        <f ca="1">IF(LEFT(BD526,2)="RF",OFFSET(Pinlist!$D$1,Chart!BC526,0)&amp;"_"&amp;OFFSET(Pinlist!$G$1,Chart!BC526,0),"")</f>
        <v/>
      </c>
      <c r="BH526" s="1098"/>
      <c r="BI526" s="178"/>
      <c r="BJ526" s="178"/>
      <c r="BK526" s="178"/>
      <c r="BL526" s="178"/>
      <c r="BM526" s="178"/>
      <c r="BN526" s="178"/>
      <c r="BO526" s="178"/>
      <c r="BP526" s="178"/>
      <c r="BQ526" s="196"/>
      <c r="BR526" s="196"/>
      <c r="BS526" s="196"/>
      <c r="BT526" s="196"/>
      <c r="BU526" s="196"/>
      <c r="BV526" s="196"/>
      <c r="BW526" s="178"/>
      <c r="BX526" s="196"/>
      <c r="BY526" s="196"/>
      <c r="BZ526" s="196"/>
      <c r="CA526" s="196"/>
      <c r="CB526" s="178"/>
      <c r="CC526" s="178"/>
      <c r="CD526" s="202"/>
      <c r="CE526" s="202"/>
      <c r="CF526" s="178"/>
      <c r="CG526" s="196"/>
      <c r="CH526" s="178"/>
      <c r="CI526" s="178"/>
      <c r="CJ526" s="178"/>
      <c r="CK526" s="178"/>
      <c r="CL526" s="178"/>
      <c r="CM526" s="178"/>
      <c r="CN526" s="178"/>
      <c r="CO526" s="178"/>
      <c r="CP526" s="178"/>
      <c r="CQ526" s="178"/>
      <c r="CR526" s="178"/>
      <c r="CS526" s="178"/>
      <c r="CT526" s="178"/>
      <c r="CU526" s="178"/>
      <c r="CV526" s="178"/>
      <c r="CW526" s="178"/>
      <c r="CX526" s="178"/>
      <c r="CY526" s="178"/>
      <c r="CZ526" s="178"/>
      <c r="DA526" s="150"/>
    </row>
    <row r="527" spans="53:105" x14ac:dyDescent="0.2">
      <c r="BA527" s="518">
        <f t="shared" ca="1" si="37"/>
        <v>61</v>
      </c>
      <c r="BB527" s="174">
        <f t="shared" ca="1" si="38"/>
        <v>464</v>
      </c>
      <c r="BC527" s="525" t="e">
        <f ca="1">MATCH(BD527,OFFSET(Pinlist!$A$2,BC526*(BA527=BA526),0,$BM$23,1),0)+BC526*(BA527=BA526)</f>
        <v>#N/A</v>
      </c>
      <c r="BD527" s="167">
        <f t="shared" ca="1" si="39"/>
        <v>0</v>
      </c>
      <c r="BE527" s="191" t="e">
        <f ca="1">(OFFSET(Pinlist!$E$1,BC527,0)-$BN$16)*$BN$19</f>
        <v>#N/A</v>
      </c>
      <c r="BF527" s="192" t="e">
        <f ca="1">(OFFSET(Pinlist!$F$1,BC527,0)-$BO$16)*$BO$19</f>
        <v>#N/A</v>
      </c>
      <c r="BG527" s="1098" t="str">
        <f ca="1">IF(LEFT(BD527,2)="RF",OFFSET(Pinlist!$D$1,Chart!BC527,0)&amp;"_"&amp;OFFSET(Pinlist!$G$1,Chart!BC527,0),"")</f>
        <v/>
      </c>
      <c r="BH527" s="1098"/>
      <c r="BI527" s="178"/>
      <c r="BJ527" s="178"/>
      <c r="BK527" s="178"/>
      <c r="BL527" s="178"/>
      <c r="BM527" s="178"/>
      <c r="BN527" s="178"/>
      <c r="BO527" s="178"/>
      <c r="BP527" s="178"/>
      <c r="BQ527" s="196"/>
      <c r="BR527" s="196"/>
      <c r="BS527" s="196"/>
      <c r="BT527" s="196"/>
      <c r="BU527" s="196"/>
      <c r="BV527" s="196"/>
      <c r="BW527" s="178"/>
      <c r="BX527" s="196"/>
      <c r="BY527" s="196"/>
      <c r="BZ527" s="196"/>
      <c r="CA527" s="196"/>
      <c r="CB527" s="178"/>
      <c r="CC527" s="178"/>
      <c r="CD527" s="202"/>
      <c r="CE527" s="202"/>
      <c r="CF527" s="178"/>
      <c r="CG527" s="196"/>
      <c r="CH527" s="178"/>
      <c r="CI527" s="178"/>
      <c r="CJ527" s="178"/>
      <c r="CK527" s="178"/>
      <c r="CL527" s="178"/>
      <c r="CM527" s="178"/>
      <c r="CN527" s="178"/>
      <c r="CO527" s="178"/>
      <c r="CP527" s="178"/>
      <c r="CQ527" s="178"/>
      <c r="CR527" s="178"/>
      <c r="CS527" s="178"/>
      <c r="CT527" s="178"/>
      <c r="CU527" s="178"/>
      <c r="CV527" s="178"/>
      <c r="CW527" s="178"/>
      <c r="CX527" s="178"/>
      <c r="CY527" s="178"/>
      <c r="CZ527" s="178"/>
      <c r="DA527" s="150"/>
    </row>
    <row r="528" spans="53:105" x14ac:dyDescent="0.2">
      <c r="BA528" s="518">
        <f t="shared" ca="1" si="37"/>
        <v>61</v>
      </c>
      <c r="BB528" s="174">
        <f t="shared" ca="1" si="38"/>
        <v>465</v>
      </c>
      <c r="BC528" s="525" t="e">
        <f ca="1">MATCH(BD528,OFFSET(Pinlist!$A$2,BC527*(BA528=BA527),0,$BM$23,1),0)+BC527*(BA528=BA527)</f>
        <v>#N/A</v>
      </c>
      <c r="BD528" s="167">
        <f t="shared" ca="1" si="39"/>
        <v>0</v>
      </c>
      <c r="BE528" s="191" t="e">
        <f ca="1">(OFFSET(Pinlist!$E$1,BC528,0)-$BN$16)*$BN$19</f>
        <v>#N/A</v>
      </c>
      <c r="BF528" s="192" t="e">
        <f ca="1">(OFFSET(Pinlist!$F$1,BC528,0)-$BO$16)*$BO$19</f>
        <v>#N/A</v>
      </c>
      <c r="BG528" s="1098" t="str">
        <f ca="1">IF(LEFT(BD528,2)="RF",OFFSET(Pinlist!$D$1,Chart!BC528,0)&amp;"_"&amp;OFFSET(Pinlist!$G$1,Chart!BC528,0),"")</f>
        <v/>
      </c>
      <c r="BH528" s="1098"/>
      <c r="BI528" s="178"/>
      <c r="BJ528" s="178"/>
      <c r="BK528" s="178"/>
      <c r="BL528" s="178"/>
      <c r="BM528" s="178"/>
      <c r="BN528" s="178"/>
      <c r="BO528" s="178"/>
      <c r="BP528" s="178"/>
      <c r="BQ528" s="196"/>
      <c r="BR528" s="196"/>
      <c r="BS528" s="196"/>
      <c r="BT528" s="196"/>
      <c r="BU528" s="196"/>
      <c r="BV528" s="196"/>
      <c r="BW528" s="178"/>
      <c r="BX528" s="196"/>
      <c r="BY528" s="196"/>
      <c r="BZ528" s="196"/>
      <c r="CA528" s="196"/>
      <c r="CB528" s="178"/>
      <c r="CC528" s="178"/>
      <c r="CD528" s="202"/>
      <c r="CE528" s="202"/>
      <c r="CF528" s="178"/>
      <c r="CG528" s="196"/>
      <c r="CH528" s="178"/>
      <c r="CI528" s="178"/>
      <c r="CJ528" s="178"/>
      <c r="CK528" s="178"/>
      <c r="CL528" s="178"/>
      <c r="CM528" s="178"/>
      <c r="CN528" s="178"/>
      <c r="CO528" s="178"/>
      <c r="CP528" s="178"/>
      <c r="CQ528" s="178"/>
      <c r="CR528" s="178"/>
      <c r="CS528" s="178"/>
      <c r="CT528" s="178"/>
      <c r="CU528" s="178"/>
      <c r="CV528" s="178"/>
      <c r="CW528" s="178"/>
      <c r="CX528" s="178"/>
      <c r="CY528" s="178"/>
      <c r="CZ528" s="178"/>
      <c r="DA528" s="150"/>
    </row>
    <row r="529" spans="53:105" x14ac:dyDescent="0.2">
      <c r="BA529" s="518">
        <f t="shared" ca="1" si="37"/>
        <v>61</v>
      </c>
      <c r="BB529" s="174">
        <f t="shared" ca="1" si="38"/>
        <v>466</v>
      </c>
      <c r="BC529" s="525" t="e">
        <f ca="1">MATCH(BD529,OFFSET(Pinlist!$A$2,BC528*(BA529=BA528),0,$BM$23,1),0)+BC528*(BA529=BA528)</f>
        <v>#N/A</v>
      </c>
      <c r="BD529" s="167">
        <f t="shared" ca="1" si="39"/>
        <v>0</v>
      </c>
      <c r="BE529" s="191" t="e">
        <f ca="1">(OFFSET(Pinlist!$E$1,BC529,0)-$BN$16)*$BN$19</f>
        <v>#N/A</v>
      </c>
      <c r="BF529" s="192" t="e">
        <f ca="1">(OFFSET(Pinlist!$F$1,BC529,0)-$BO$16)*$BO$19</f>
        <v>#N/A</v>
      </c>
      <c r="BG529" s="1098" t="str">
        <f ca="1">IF(LEFT(BD529,2)="RF",OFFSET(Pinlist!$D$1,Chart!BC529,0)&amp;"_"&amp;OFFSET(Pinlist!$G$1,Chart!BC529,0),"")</f>
        <v/>
      </c>
      <c r="BH529" s="1098"/>
      <c r="BI529" s="178"/>
      <c r="BJ529" s="178"/>
      <c r="BK529" s="178"/>
      <c r="BL529" s="178"/>
      <c r="BM529" s="178"/>
      <c r="BN529" s="178"/>
      <c r="BO529" s="178"/>
      <c r="BP529" s="178"/>
      <c r="BQ529" s="196"/>
      <c r="BR529" s="196"/>
      <c r="BS529" s="196"/>
      <c r="BT529" s="196"/>
      <c r="BU529" s="196"/>
      <c r="BV529" s="196"/>
      <c r="BW529" s="178"/>
      <c r="BX529" s="196"/>
      <c r="BY529" s="196"/>
      <c r="BZ529" s="196"/>
      <c r="CA529" s="196"/>
      <c r="CB529" s="178"/>
      <c r="CC529" s="178"/>
      <c r="CD529" s="202"/>
      <c r="CE529" s="202"/>
      <c r="CF529" s="178"/>
      <c r="CG529" s="196"/>
      <c r="CH529" s="178"/>
      <c r="CI529" s="178"/>
      <c r="CJ529" s="178"/>
      <c r="CK529" s="178"/>
      <c r="CL529" s="178"/>
      <c r="CM529" s="178"/>
      <c r="CN529" s="178"/>
      <c r="CO529" s="178"/>
      <c r="CP529" s="178"/>
      <c r="CQ529" s="178"/>
      <c r="CR529" s="178"/>
      <c r="CS529" s="178"/>
      <c r="CT529" s="178"/>
      <c r="CU529" s="178"/>
      <c r="CV529" s="178"/>
      <c r="CW529" s="178"/>
      <c r="CX529" s="178"/>
      <c r="CY529" s="178"/>
      <c r="CZ529" s="178"/>
      <c r="DA529" s="150"/>
    </row>
    <row r="530" spans="53:105" x14ac:dyDescent="0.2">
      <c r="BA530" s="518">
        <f t="shared" ca="1" si="37"/>
        <v>61</v>
      </c>
      <c r="BB530" s="174">
        <f t="shared" ca="1" si="38"/>
        <v>467</v>
      </c>
      <c r="BC530" s="525" t="e">
        <f ca="1">MATCH(BD530,OFFSET(Pinlist!$A$2,BC529*(BA530=BA529),0,$BM$23,1),0)+BC529*(BA530=BA529)</f>
        <v>#N/A</v>
      </c>
      <c r="BD530" s="167">
        <f t="shared" ca="1" si="39"/>
        <v>0</v>
      </c>
      <c r="BE530" s="191" t="e">
        <f ca="1">(OFFSET(Pinlist!$E$1,BC530,0)-$BN$16)*$BN$19</f>
        <v>#N/A</v>
      </c>
      <c r="BF530" s="192" t="e">
        <f ca="1">(OFFSET(Pinlist!$F$1,BC530,0)-$BO$16)*$BO$19</f>
        <v>#N/A</v>
      </c>
      <c r="BG530" s="1098" t="str">
        <f ca="1">IF(LEFT(BD530,2)="RF",OFFSET(Pinlist!$D$1,Chart!BC530,0)&amp;"_"&amp;OFFSET(Pinlist!$G$1,Chart!BC530,0),"")</f>
        <v/>
      </c>
      <c r="BH530" s="1098"/>
      <c r="BI530" s="178"/>
      <c r="BJ530" s="178"/>
      <c r="BK530" s="178"/>
      <c r="BL530" s="178"/>
      <c r="BM530" s="178"/>
      <c r="BN530" s="178"/>
      <c r="BO530" s="178"/>
      <c r="BP530" s="178"/>
      <c r="BQ530" s="196"/>
      <c r="BR530" s="196"/>
      <c r="BS530" s="196"/>
      <c r="BT530" s="196"/>
      <c r="BU530" s="196"/>
      <c r="BV530" s="196"/>
      <c r="BW530" s="178"/>
      <c r="BX530" s="196"/>
      <c r="BY530" s="196"/>
      <c r="BZ530" s="196"/>
      <c r="CA530" s="196"/>
      <c r="CB530" s="178"/>
      <c r="CC530" s="178"/>
      <c r="CD530" s="202"/>
      <c r="CE530" s="202"/>
      <c r="CF530" s="178"/>
      <c r="CG530" s="196"/>
      <c r="CH530" s="178"/>
      <c r="CI530" s="178"/>
      <c r="CJ530" s="178"/>
      <c r="CK530" s="178"/>
      <c r="CL530" s="178"/>
      <c r="CM530" s="178"/>
      <c r="CN530" s="178"/>
      <c r="CO530" s="178"/>
      <c r="CP530" s="178"/>
      <c r="CQ530" s="178"/>
      <c r="CR530" s="178"/>
      <c r="CS530" s="178"/>
      <c r="CT530" s="178"/>
      <c r="CU530" s="178"/>
      <c r="CV530" s="178"/>
      <c r="CW530" s="178"/>
      <c r="CX530" s="178"/>
      <c r="CY530" s="178"/>
      <c r="CZ530" s="178"/>
      <c r="DA530" s="150"/>
    </row>
    <row r="531" spans="53:105" x14ac:dyDescent="0.2">
      <c r="BA531" s="518">
        <f t="shared" ca="1" si="37"/>
        <v>61</v>
      </c>
      <c r="BB531" s="174">
        <f t="shared" ca="1" si="38"/>
        <v>468</v>
      </c>
      <c r="BC531" s="525" t="e">
        <f ca="1">MATCH(BD531,OFFSET(Pinlist!$A$2,BC530*(BA531=BA530),0,$BM$23,1),0)+BC530*(BA531=BA530)</f>
        <v>#N/A</v>
      </c>
      <c r="BD531" s="167">
        <f t="shared" ca="1" si="39"/>
        <v>0</v>
      </c>
      <c r="BE531" s="191" t="e">
        <f ca="1">(OFFSET(Pinlist!$E$1,BC531,0)-$BN$16)*$BN$19</f>
        <v>#N/A</v>
      </c>
      <c r="BF531" s="192" t="e">
        <f ca="1">(OFFSET(Pinlist!$F$1,BC531,0)-$BO$16)*$BO$19</f>
        <v>#N/A</v>
      </c>
      <c r="BG531" s="1098" t="str">
        <f ca="1">IF(LEFT(BD531,2)="RF",OFFSET(Pinlist!$D$1,Chart!BC531,0)&amp;"_"&amp;OFFSET(Pinlist!$G$1,Chart!BC531,0),"")</f>
        <v/>
      </c>
      <c r="BH531" s="1098"/>
      <c r="BI531" s="178"/>
      <c r="BJ531" s="178"/>
      <c r="BK531" s="178"/>
      <c r="BL531" s="178"/>
      <c r="BM531" s="178"/>
      <c r="BN531" s="178"/>
      <c r="BO531" s="178"/>
      <c r="BP531" s="178"/>
      <c r="BQ531" s="196"/>
      <c r="BR531" s="196"/>
      <c r="BS531" s="196"/>
      <c r="BT531" s="196"/>
      <c r="BU531" s="196"/>
      <c r="BV531" s="196"/>
      <c r="BW531" s="178"/>
      <c r="BX531" s="196"/>
      <c r="BY531" s="196"/>
      <c r="BZ531" s="196"/>
      <c r="CA531" s="196"/>
      <c r="CB531" s="178"/>
      <c r="CC531" s="178"/>
      <c r="CD531" s="202"/>
      <c r="CE531" s="202"/>
      <c r="CF531" s="178"/>
      <c r="CG531" s="196"/>
      <c r="CH531" s="178"/>
      <c r="CI531" s="178"/>
      <c r="CJ531" s="178"/>
      <c r="CK531" s="178"/>
      <c r="CL531" s="178"/>
      <c r="CM531" s="178"/>
      <c r="CN531" s="178"/>
      <c r="CO531" s="178"/>
      <c r="CP531" s="178"/>
      <c r="CQ531" s="178"/>
      <c r="CR531" s="178"/>
      <c r="CS531" s="178"/>
      <c r="CT531" s="178"/>
      <c r="CU531" s="178"/>
      <c r="CV531" s="178"/>
      <c r="CW531" s="178"/>
      <c r="CX531" s="178"/>
      <c r="CY531" s="178"/>
      <c r="CZ531" s="178"/>
      <c r="DA531" s="150"/>
    </row>
    <row r="532" spans="53:105" x14ac:dyDescent="0.2">
      <c r="BA532" s="518">
        <f t="shared" ca="1" si="37"/>
        <v>61</v>
      </c>
      <c r="BB532" s="174">
        <f t="shared" ca="1" si="38"/>
        <v>469</v>
      </c>
      <c r="BC532" s="525" t="e">
        <f ca="1">MATCH(BD532,OFFSET(Pinlist!$A$2,BC531*(BA532=BA531),0,$BM$23,1),0)+BC531*(BA532=BA531)</f>
        <v>#N/A</v>
      </c>
      <c r="BD532" s="167">
        <f t="shared" ca="1" si="39"/>
        <v>0</v>
      </c>
      <c r="BE532" s="191" t="e">
        <f ca="1">(OFFSET(Pinlist!$E$1,BC532,0)-$BN$16)*$BN$19</f>
        <v>#N/A</v>
      </c>
      <c r="BF532" s="192" t="e">
        <f ca="1">(OFFSET(Pinlist!$F$1,BC532,0)-$BO$16)*$BO$19</f>
        <v>#N/A</v>
      </c>
      <c r="BG532" s="1098" t="str">
        <f ca="1">IF(LEFT(BD532,2)="RF",OFFSET(Pinlist!$D$1,Chart!BC532,0)&amp;"_"&amp;OFFSET(Pinlist!$G$1,Chart!BC532,0),"")</f>
        <v/>
      </c>
      <c r="BH532" s="1098"/>
      <c r="BI532" s="178"/>
      <c r="BJ532" s="178"/>
      <c r="BK532" s="178"/>
      <c r="BL532" s="178"/>
      <c r="BM532" s="178"/>
      <c r="BN532" s="178"/>
      <c r="BO532" s="178"/>
      <c r="BP532" s="178"/>
      <c r="BQ532" s="196"/>
      <c r="BR532" s="196"/>
      <c r="BS532" s="196"/>
      <c r="BT532" s="196"/>
      <c r="BU532" s="196"/>
      <c r="BV532" s="196"/>
      <c r="BW532" s="178"/>
      <c r="BX532" s="196"/>
      <c r="BY532" s="196"/>
      <c r="BZ532" s="196"/>
      <c r="CA532" s="196"/>
      <c r="CB532" s="178"/>
      <c r="CC532" s="178"/>
      <c r="CD532" s="202"/>
      <c r="CE532" s="202"/>
      <c r="CF532" s="178"/>
      <c r="CG532" s="196"/>
      <c r="CH532" s="178"/>
      <c r="CI532" s="178"/>
      <c r="CJ532" s="178"/>
      <c r="CK532" s="178"/>
      <c r="CL532" s="178"/>
      <c r="CM532" s="178"/>
      <c r="CN532" s="178"/>
      <c r="CO532" s="178"/>
      <c r="CP532" s="178"/>
      <c r="CQ532" s="178"/>
      <c r="CR532" s="178"/>
      <c r="CS532" s="178"/>
      <c r="CT532" s="178"/>
      <c r="CU532" s="178"/>
      <c r="CV532" s="178"/>
      <c r="CW532" s="178"/>
      <c r="CX532" s="178"/>
      <c r="CY532" s="178"/>
      <c r="CZ532" s="178"/>
      <c r="DA532" s="150"/>
    </row>
    <row r="533" spans="53:105" x14ac:dyDescent="0.2">
      <c r="BA533" s="518">
        <f t="shared" ca="1" si="37"/>
        <v>61</v>
      </c>
      <c r="BB533" s="174">
        <f t="shared" ca="1" si="38"/>
        <v>470</v>
      </c>
      <c r="BC533" s="525" t="e">
        <f ca="1">MATCH(BD533,OFFSET(Pinlist!$A$2,BC532*(BA533=BA532),0,$BM$23,1),0)+BC532*(BA533=BA532)</f>
        <v>#N/A</v>
      </c>
      <c r="BD533" s="167">
        <f t="shared" ca="1" si="39"/>
        <v>0</v>
      </c>
      <c r="BE533" s="191" t="e">
        <f ca="1">(OFFSET(Pinlist!$E$1,BC533,0)-$BN$16)*$BN$19</f>
        <v>#N/A</v>
      </c>
      <c r="BF533" s="192" t="e">
        <f ca="1">(OFFSET(Pinlist!$F$1,BC533,0)-$BO$16)*$BO$19</f>
        <v>#N/A</v>
      </c>
      <c r="BG533" s="1098" t="str">
        <f ca="1">IF(LEFT(BD533,2)="RF",OFFSET(Pinlist!$D$1,Chart!BC533,0)&amp;"_"&amp;OFFSET(Pinlist!$G$1,Chart!BC533,0),"")</f>
        <v/>
      </c>
      <c r="BH533" s="1098"/>
      <c r="BI533" s="178"/>
      <c r="BJ533" s="178"/>
      <c r="BK533" s="178"/>
      <c r="BL533" s="178"/>
      <c r="BM533" s="178"/>
      <c r="BN533" s="178"/>
      <c r="BO533" s="178"/>
      <c r="BP533" s="178"/>
      <c r="BQ533" s="196"/>
      <c r="BR533" s="196"/>
      <c r="BS533" s="196"/>
      <c r="BT533" s="196"/>
      <c r="BU533" s="196"/>
      <c r="BV533" s="196"/>
      <c r="BW533" s="178"/>
      <c r="BX533" s="196"/>
      <c r="BY533" s="196"/>
      <c r="BZ533" s="196"/>
      <c r="CA533" s="196"/>
      <c r="CB533" s="178"/>
      <c r="CC533" s="178"/>
      <c r="CD533" s="202"/>
      <c r="CE533" s="202"/>
      <c r="CF533" s="178"/>
      <c r="CG533" s="196"/>
      <c r="CH533" s="178"/>
      <c r="CI533" s="178"/>
      <c r="CJ533" s="178"/>
      <c r="CK533" s="178"/>
      <c r="CL533" s="178"/>
      <c r="CM533" s="178"/>
      <c r="CN533" s="178"/>
      <c r="CO533" s="178"/>
      <c r="CP533" s="178"/>
      <c r="CQ533" s="178"/>
      <c r="CR533" s="178"/>
      <c r="CS533" s="178"/>
      <c r="CT533" s="178"/>
      <c r="CU533" s="178"/>
      <c r="CV533" s="178"/>
      <c r="CW533" s="178"/>
      <c r="CX533" s="178"/>
      <c r="CY533" s="178"/>
      <c r="CZ533" s="178"/>
      <c r="DA533" s="150"/>
    </row>
    <row r="534" spans="53:105" x14ac:dyDescent="0.2">
      <c r="BA534" s="518">
        <f t="shared" ca="1" si="37"/>
        <v>61</v>
      </c>
      <c r="BB534" s="174">
        <f t="shared" ca="1" si="38"/>
        <v>471</v>
      </c>
      <c r="BC534" s="525" t="e">
        <f ca="1">MATCH(BD534,OFFSET(Pinlist!$A$2,BC533*(BA534=BA533),0,$BM$23,1),0)+BC533*(BA534=BA533)</f>
        <v>#N/A</v>
      </c>
      <c r="BD534" s="167">
        <f t="shared" ca="1" si="39"/>
        <v>0</v>
      </c>
      <c r="BE534" s="191" t="e">
        <f ca="1">(OFFSET(Pinlist!$E$1,BC534,0)-$BN$16)*$BN$19</f>
        <v>#N/A</v>
      </c>
      <c r="BF534" s="192" t="e">
        <f ca="1">(OFFSET(Pinlist!$F$1,BC534,0)-$BO$16)*$BO$19</f>
        <v>#N/A</v>
      </c>
      <c r="BG534" s="1098" t="str">
        <f ca="1">IF(LEFT(BD534,2)="RF",OFFSET(Pinlist!$D$1,Chart!BC534,0)&amp;"_"&amp;OFFSET(Pinlist!$G$1,Chart!BC534,0),"")</f>
        <v/>
      </c>
      <c r="BH534" s="1098"/>
      <c r="BI534" s="178"/>
      <c r="BJ534" s="178"/>
      <c r="BK534" s="178"/>
      <c r="BL534" s="178"/>
      <c r="BM534" s="178"/>
      <c r="BN534" s="178"/>
      <c r="BO534" s="178"/>
      <c r="BP534" s="178"/>
      <c r="BQ534" s="196"/>
      <c r="BR534" s="196"/>
      <c r="BS534" s="196"/>
      <c r="BT534" s="196"/>
      <c r="BU534" s="196"/>
      <c r="BV534" s="196"/>
      <c r="BW534" s="178"/>
      <c r="BX534" s="196"/>
      <c r="BY534" s="196"/>
      <c r="BZ534" s="196"/>
      <c r="CA534" s="196"/>
      <c r="CB534" s="178"/>
      <c r="CC534" s="178"/>
      <c r="CD534" s="202"/>
      <c r="CE534" s="202"/>
      <c r="CF534" s="178"/>
      <c r="CG534" s="196"/>
      <c r="CH534" s="178"/>
      <c r="CI534" s="178"/>
      <c r="CJ534" s="178"/>
      <c r="CK534" s="178"/>
      <c r="CL534" s="178"/>
      <c r="CM534" s="178"/>
      <c r="CN534" s="178"/>
      <c r="CO534" s="178"/>
      <c r="CP534" s="178"/>
      <c r="CQ534" s="178"/>
      <c r="CR534" s="178"/>
      <c r="CS534" s="178"/>
      <c r="CT534" s="178"/>
      <c r="CU534" s="178"/>
      <c r="CV534" s="178"/>
      <c r="CW534" s="178"/>
      <c r="CX534" s="178"/>
      <c r="CY534" s="178"/>
      <c r="CZ534" s="178"/>
      <c r="DA534" s="150"/>
    </row>
    <row r="535" spans="53:105" x14ac:dyDescent="0.2">
      <c r="BA535" s="518">
        <f t="shared" ca="1" si="37"/>
        <v>61</v>
      </c>
      <c r="BB535" s="174">
        <f t="shared" ca="1" si="38"/>
        <v>472</v>
      </c>
      <c r="BC535" s="525" t="e">
        <f ca="1">MATCH(BD535,OFFSET(Pinlist!$A$2,BC534*(BA535=BA534),0,$BM$23,1),0)+BC534*(BA535=BA534)</f>
        <v>#N/A</v>
      </c>
      <c r="BD535" s="167">
        <f t="shared" ca="1" si="39"/>
        <v>0</v>
      </c>
      <c r="BE535" s="191" t="e">
        <f ca="1">(OFFSET(Pinlist!$E$1,BC535,0)-$BN$16)*$BN$19</f>
        <v>#N/A</v>
      </c>
      <c r="BF535" s="192" t="e">
        <f ca="1">(OFFSET(Pinlist!$F$1,BC535,0)-$BO$16)*$BO$19</f>
        <v>#N/A</v>
      </c>
      <c r="BG535" s="1098" t="str">
        <f ca="1">IF(LEFT(BD535,2)="RF",OFFSET(Pinlist!$D$1,Chart!BC535,0)&amp;"_"&amp;OFFSET(Pinlist!$G$1,Chart!BC535,0),"")</f>
        <v/>
      </c>
      <c r="BH535" s="1098"/>
      <c r="BI535" s="178"/>
      <c r="BJ535" s="178"/>
      <c r="BK535" s="178"/>
      <c r="BL535" s="178"/>
      <c r="BM535" s="178"/>
      <c r="BN535" s="178"/>
      <c r="BO535" s="178"/>
      <c r="BP535" s="178"/>
      <c r="BQ535" s="196"/>
      <c r="BR535" s="196"/>
      <c r="BS535" s="196"/>
      <c r="BT535" s="196"/>
      <c r="BU535" s="196"/>
      <c r="BV535" s="196"/>
      <c r="BW535" s="178"/>
      <c r="BX535" s="196"/>
      <c r="BY535" s="196"/>
      <c r="BZ535" s="196"/>
      <c r="CA535" s="196"/>
      <c r="CB535" s="178"/>
      <c r="CC535" s="178"/>
      <c r="CD535" s="202"/>
      <c r="CE535" s="202"/>
      <c r="CF535" s="178"/>
      <c r="CG535" s="196"/>
      <c r="CH535" s="178"/>
      <c r="CI535" s="178"/>
      <c r="CJ535" s="178"/>
      <c r="CK535" s="178"/>
      <c r="CL535" s="178"/>
      <c r="CM535" s="178"/>
      <c r="CN535" s="178"/>
      <c r="CO535" s="178"/>
      <c r="CP535" s="178"/>
      <c r="CQ535" s="178"/>
      <c r="CR535" s="178"/>
      <c r="CS535" s="178"/>
      <c r="CT535" s="178"/>
      <c r="CU535" s="178"/>
      <c r="CV535" s="178"/>
      <c r="CW535" s="178"/>
      <c r="CX535" s="178"/>
      <c r="CY535" s="178"/>
      <c r="CZ535" s="178"/>
      <c r="DA535" s="150"/>
    </row>
    <row r="536" spans="53:105" x14ac:dyDescent="0.2">
      <c r="BA536" s="518">
        <f t="shared" ca="1" si="37"/>
        <v>61</v>
      </c>
      <c r="BB536" s="174">
        <f t="shared" ca="1" si="38"/>
        <v>473</v>
      </c>
      <c r="BC536" s="525" t="e">
        <f ca="1">MATCH(BD536,OFFSET(Pinlist!$A$2,BC535*(BA536=BA535),0,$BM$23,1),0)+BC535*(BA536=BA535)</f>
        <v>#N/A</v>
      </c>
      <c r="BD536" s="167">
        <f t="shared" ca="1" si="39"/>
        <v>0</v>
      </c>
      <c r="BE536" s="191" t="e">
        <f ca="1">(OFFSET(Pinlist!$E$1,BC536,0)-$BN$16)*$BN$19</f>
        <v>#N/A</v>
      </c>
      <c r="BF536" s="192" t="e">
        <f ca="1">(OFFSET(Pinlist!$F$1,BC536,0)-$BO$16)*$BO$19</f>
        <v>#N/A</v>
      </c>
      <c r="BG536" s="1098" t="str">
        <f ca="1">IF(LEFT(BD536,2)="RF",OFFSET(Pinlist!$D$1,Chart!BC536,0)&amp;"_"&amp;OFFSET(Pinlist!$G$1,Chart!BC536,0),"")</f>
        <v/>
      </c>
      <c r="BH536" s="1098"/>
      <c r="BI536" s="178"/>
      <c r="BJ536" s="178"/>
      <c r="BK536" s="178"/>
      <c r="BL536" s="178"/>
      <c r="BM536" s="178"/>
      <c r="BN536" s="178"/>
      <c r="BO536" s="178"/>
      <c r="BP536" s="178"/>
      <c r="BQ536" s="196"/>
      <c r="BR536" s="196"/>
      <c r="BS536" s="196"/>
      <c r="BT536" s="196"/>
      <c r="BU536" s="196"/>
      <c r="BV536" s="196"/>
      <c r="BW536" s="178"/>
      <c r="BX536" s="196"/>
      <c r="BY536" s="196"/>
      <c r="BZ536" s="196"/>
      <c r="CA536" s="196"/>
      <c r="CB536" s="178"/>
      <c r="CC536" s="178"/>
      <c r="CD536" s="202"/>
      <c r="CE536" s="202"/>
      <c r="CF536" s="178"/>
      <c r="CG536" s="196"/>
      <c r="CH536" s="178"/>
      <c r="CI536" s="178"/>
      <c r="CJ536" s="178"/>
      <c r="CK536" s="178"/>
      <c r="CL536" s="178"/>
      <c r="CM536" s="178"/>
      <c r="CN536" s="178"/>
      <c r="CO536" s="178"/>
      <c r="CP536" s="178"/>
      <c r="CQ536" s="178"/>
      <c r="CR536" s="178"/>
      <c r="CS536" s="178"/>
      <c r="CT536" s="178"/>
      <c r="CU536" s="178"/>
      <c r="CV536" s="178"/>
      <c r="CW536" s="178"/>
      <c r="CX536" s="178"/>
      <c r="CY536" s="178"/>
      <c r="CZ536" s="178"/>
      <c r="DA536" s="150"/>
    </row>
    <row r="537" spans="53:105" x14ac:dyDescent="0.2">
      <c r="BA537" s="518">
        <f t="shared" ca="1" si="37"/>
        <v>61</v>
      </c>
      <c r="BB537" s="174">
        <f t="shared" ca="1" si="38"/>
        <v>474</v>
      </c>
      <c r="BC537" s="525" t="e">
        <f ca="1">MATCH(BD537,OFFSET(Pinlist!$A$2,BC536*(BA537=BA536),0,$BM$23,1),0)+BC536*(BA537=BA536)</f>
        <v>#N/A</v>
      </c>
      <c r="BD537" s="167">
        <f t="shared" ca="1" si="39"/>
        <v>0</v>
      </c>
      <c r="BE537" s="191" t="e">
        <f ca="1">(OFFSET(Pinlist!$E$1,BC537,0)-$BN$16)*$BN$19</f>
        <v>#N/A</v>
      </c>
      <c r="BF537" s="192" t="e">
        <f ca="1">(OFFSET(Pinlist!$F$1,BC537,0)-$BO$16)*$BO$19</f>
        <v>#N/A</v>
      </c>
      <c r="BG537" s="1098" t="str">
        <f ca="1">IF(LEFT(BD537,2)="RF",OFFSET(Pinlist!$D$1,Chart!BC537,0)&amp;"_"&amp;OFFSET(Pinlist!$G$1,Chart!BC537,0),"")</f>
        <v/>
      </c>
      <c r="BH537" s="1098"/>
      <c r="BI537" s="178"/>
      <c r="BJ537" s="178"/>
      <c r="BK537" s="178"/>
      <c r="BL537" s="178"/>
      <c r="BM537" s="178"/>
      <c r="BN537" s="178"/>
      <c r="BO537" s="178"/>
      <c r="BP537" s="178"/>
      <c r="BQ537" s="196"/>
      <c r="BR537" s="196"/>
      <c r="BS537" s="196"/>
      <c r="BT537" s="196"/>
      <c r="BU537" s="196"/>
      <c r="BV537" s="196"/>
      <c r="BW537" s="178"/>
      <c r="BX537" s="196"/>
      <c r="BY537" s="196"/>
      <c r="BZ537" s="196"/>
      <c r="CA537" s="196"/>
      <c r="CB537" s="178"/>
      <c r="CC537" s="178"/>
      <c r="CD537" s="202"/>
      <c r="CE537" s="202"/>
      <c r="CF537" s="178"/>
      <c r="CG537" s="196"/>
      <c r="CH537" s="178"/>
      <c r="CI537" s="178"/>
      <c r="CJ537" s="178"/>
      <c r="CK537" s="178"/>
      <c r="CL537" s="178"/>
      <c r="CM537" s="178"/>
      <c r="CN537" s="178"/>
      <c r="CO537" s="178"/>
      <c r="CP537" s="178"/>
      <c r="CQ537" s="178"/>
      <c r="CR537" s="178"/>
      <c r="CS537" s="178"/>
      <c r="CT537" s="178"/>
      <c r="CU537" s="178"/>
      <c r="CV537" s="178"/>
      <c r="CW537" s="178"/>
      <c r="CX537" s="178"/>
      <c r="CY537" s="178"/>
      <c r="CZ537" s="178"/>
      <c r="DA537" s="150"/>
    </row>
    <row r="538" spans="53:105" x14ac:dyDescent="0.2">
      <c r="BA538" s="518">
        <f t="shared" ca="1" si="37"/>
        <v>61</v>
      </c>
      <c r="BB538" s="174">
        <f t="shared" ca="1" si="38"/>
        <v>475</v>
      </c>
      <c r="BC538" s="525" t="e">
        <f ca="1">MATCH(BD538,OFFSET(Pinlist!$A$2,BC537*(BA538=BA537),0,$BM$23,1),0)+BC537*(BA538=BA537)</f>
        <v>#N/A</v>
      </c>
      <c r="BD538" s="167">
        <f t="shared" ca="1" si="39"/>
        <v>0</v>
      </c>
      <c r="BE538" s="191" t="e">
        <f ca="1">(OFFSET(Pinlist!$E$1,BC538,0)-$BN$16)*$BN$19</f>
        <v>#N/A</v>
      </c>
      <c r="BF538" s="192" t="e">
        <f ca="1">(OFFSET(Pinlist!$F$1,BC538,0)-$BO$16)*$BO$19</f>
        <v>#N/A</v>
      </c>
      <c r="BG538" s="1098" t="str">
        <f ca="1">IF(LEFT(BD538,2)="RF",OFFSET(Pinlist!$D$1,Chart!BC538,0)&amp;"_"&amp;OFFSET(Pinlist!$G$1,Chart!BC538,0),"")</f>
        <v/>
      </c>
      <c r="BH538" s="1098"/>
      <c r="BI538" s="178"/>
      <c r="BJ538" s="178"/>
      <c r="BK538" s="178"/>
      <c r="BL538" s="178"/>
      <c r="BM538" s="178"/>
      <c r="BN538" s="178"/>
      <c r="BO538" s="178"/>
      <c r="BP538" s="178"/>
      <c r="BQ538" s="196"/>
      <c r="BR538" s="196"/>
      <c r="BS538" s="196"/>
      <c r="BT538" s="196"/>
      <c r="BU538" s="196"/>
      <c r="BV538" s="196"/>
      <c r="BW538" s="178"/>
      <c r="BX538" s="196"/>
      <c r="BY538" s="196"/>
      <c r="BZ538" s="196"/>
      <c r="CA538" s="196"/>
      <c r="CB538" s="178"/>
      <c r="CC538" s="178"/>
      <c r="CD538" s="202"/>
      <c r="CE538" s="202"/>
      <c r="CF538" s="178"/>
      <c r="CG538" s="196"/>
      <c r="CH538" s="178"/>
      <c r="CI538" s="178"/>
      <c r="CJ538" s="178"/>
      <c r="CK538" s="178"/>
      <c r="CL538" s="178"/>
      <c r="CM538" s="178"/>
      <c r="CN538" s="178"/>
      <c r="CO538" s="178"/>
      <c r="CP538" s="178"/>
      <c r="CQ538" s="178"/>
      <c r="CR538" s="178"/>
      <c r="CS538" s="178"/>
      <c r="CT538" s="178"/>
      <c r="CU538" s="178"/>
      <c r="CV538" s="178"/>
      <c r="CW538" s="178"/>
      <c r="CX538" s="178"/>
      <c r="CY538" s="178"/>
      <c r="CZ538" s="178"/>
      <c r="DA538" s="150"/>
    </row>
    <row r="539" spans="53:105" x14ac:dyDescent="0.2">
      <c r="BA539" s="518">
        <f t="shared" ca="1" si="37"/>
        <v>61</v>
      </c>
      <c r="BB539" s="174">
        <f t="shared" ca="1" si="38"/>
        <v>476</v>
      </c>
      <c r="BC539" s="525" t="e">
        <f ca="1">MATCH(BD539,OFFSET(Pinlist!$A$2,BC538*(BA539=BA538),0,$BM$23,1),0)+BC538*(BA539=BA538)</f>
        <v>#N/A</v>
      </c>
      <c r="BD539" s="167">
        <f t="shared" ca="1" si="39"/>
        <v>0</v>
      </c>
      <c r="BE539" s="191" t="e">
        <f ca="1">(OFFSET(Pinlist!$E$1,BC539,0)-$BN$16)*$BN$19</f>
        <v>#N/A</v>
      </c>
      <c r="BF539" s="192" t="e">
        <f ca="1">(OFFSET(Pinlist!$F$1,BC539,0)-$BO$16)*$BO$19</f>
        <v>#N/A</v>
      </c>
      <c r="BG539" s="1098" t="str">
        <f ca="1">IF(LEFT(BD539,2)="RF",OFFSET(Pinlist!$D$1,Chart!BC539,0)&amp;"_"&amp;OFFSET(Pinlist!$G$1,Chart!BC539,0),"")</f>
        <v/>
      </c>
      <c r="BH539" s="1098"/>
      <c r="BI539" s="178"/>
      <c r="BJ539" s="178"/>
      <c r="BK539" s="178"/>
      <c r="BL539" s="178"/>
      <c r="BM539" s="178"/>
      <c r="BN539" s="178"/>
      <c r="BO539" s="178"/>
      <c r="BP539" s="178"/>
      <c r="BQ539" s="196"/>
      <c r="BR539" s="196"/>
      <c r="BS539" s="196"/>
      <c r="BT539" s="196"/>
      <c r="BU539" s="196"/>
      <c r="BV539" s="196"/>
      <c r="BW539" s="178"/>
      <c r="BX539" s="196"/>
      <c r="BY539" s="196"/>
      <c r="BZ539" s="196"/>
      <c r="CA539" s="196"/>
      <c r="CB539" s="178"/>
      <c r="CC539" s="178"/>
      <c r="CD539" s="202"/>
      <c r="CE539" s="202"/>
      <c r="CF539" s="178"/>
      <c r="CG539" s="196"/>
      <c r="CH539" s="178"/>
      <c r="CI539" s="178"/>
      <c r="CJ539" s="178"/>
      <c r="CK539" s="178"/>
      <c r="CL539" s="178"/>
      <c r="CM539" s="178"/>
      <c r="CN539" s="178"/>
      <c r="CO539" s="178"/>
      <c r="CP539" s="178"/>
      <c r="CQ539" s="178"/>
      <c r="CR539" s="178"/>
      <c r="CS539" s="178"/>
      <c r="CT539" s="178"/>
      <c r="CU539" s="178"/>
      <c r="CV539" s="178"/>
      <c r="CW539" s="178"/>
      <c r="CX539" s="178"/>
      <c r="CY539" s="178"/>
      <c r="CZ539" s="178"/>
      <c r="DA539" s="150"/>
    </row>
    <row r="540" spans="53:105" x14ac:dyDescent="0.2">
      <c r="BA540" s="518">
        <f t="shared" ca="1" si="37"/>
        <v>61</v>
      </c>
      <c r="BB540" s="174">
        <f t="shared" ca="1" si="38"/>
        <v>477</v>
      </c>
      <c r="BC540" s="525" t="e">
        <f ca="1">MATCH(BD540,OFFSET(Pinlist!$A$2,BC539*(BA540=BA539),0,$BM$23,1),0)+BC539*(BA540=BA539)</f>
        <v>#N/A</v>
      </c>
      <c r="BD540" s="167">
        <f t="shared" ca="1" si="39"/>
        <v>0</v>
      </c>
      <c r="BE540" s="191" t="e">
        <f ca="1">(OFFSET(Pinlist!$E$1,BC540,0)-$BN$16)*$BN$19</f>
        <v>#N/A</v>
      </c>
      <c r="BF540" s="192" t="e">
        <f ca="1">(OFFSET(Pinlist!$F$1,BC540,0)-$BO$16)*$BO$19</f>
        <v>#N/A</v>
      </c>
      <c r="BG540" s="1098" t="str">
        <f ca="1">IF(LEFT(BD540,2)="RF",OFFSET(Pinlist!$D$1,Chart!BC540,0)&amp;"_"&amp;OFFSET(Pinlist!$G$1,Chart!BC540,0),"")</f>
        <v/>
      </c>
      <c r="BH540" s="1098"/>
      <c r="BI540" s="178"/>
      <c r="BJ540" s="178"/>
      <c r="BK540" s="178"/>
      <c r="BL540" s="178"/>
      <c r="BM540" s="178"/>
      <c r="BN540" s="178"/>
      <c r="BO540" s="178"/>
      <c r="BP540" s="178"/>
      <c r="BQ540" s="196"/>
      <c r="BR540" s="196"/>
      <c r="BS540" s="196"/>
      <c r="BT540" s="196"/>
      <c r="BU540" s="196"/>
      <c r="BV540" s="196"/>
      <c r="BW540" s="178"/>
      <c r="BX540" s="196"/>
      <c r="BY540" s="196"/>
      <c r="BZ540" s="196"/>
      <c r="CA540" s="196"/>
      <c r="CB540" s="178"/>
      <c r="CC540" s="178"/>
      <c r="CD540" s="202"/>
      <c r="CE540" s="202"/>
      <c r="CF540" s="178"/>
      <c r="CG540" s="196"/>
      <c r="CH540" s="178"/>
      <c r="CI540" s="178"/>
      <c r="CJ540" s="178"/>
      <c r="CK540" s="178"/>
      <c r="CL540" s="178"/>
      <c r="CM540" s="178"/>
      <c r="CN540" s="178"/>
      <c r="CO540" s="178"/>
      <c r="CP540" s="178"/>
      <c r="CQ540" s="178"/>
      <c r="CR540" s="178"/>
      <c r="CS540" s="178"/>
      <c r="CT540" s="178"/>
      <c r="CU540" s="178"/>
      <c r="CV540" s="178"/>
      <c r="CW540" s="178"/>
      <c r="CX540" s="178"/>
      <c r="CY540" s="178"/>
      <c r="CZ540" s="178"/>
      <c r="DA540" s="150"/>
    </row>
    <row r="541" spans="53:105" x14ac:dyDescent="0.2">
      <c r="BA541" s="518">
        <f t="shared" ca="1" si="37"/>
        <v>61</v>
      </c>
      <c r="BB541" s="174">
        <f t="shared" ca="1" si="38"/>
        <v>478</v>
      </c>
      <c r="BC541" s="525" t="e">
        <f ca="1">MATCH(BD541,OFFSET(Pinlist!$A$2,BC540*(BA541=BA540),0,$BM$23,1),0)+BC540*(BA541=BA540)</f>
        <v>#N/A</v>
      </c>
      <c r="BD541" s="167">
        <f t="shared" ca="1" si="39"/>
        <v>0</v>
      </c>
      <c r="BE541" s="191" t="e">
        <f ca="1">(OFFSET(Pinlist!$E$1,BC541,0)-$BN$16)*$BN$19</f>
        <v>#N/A</v>
      </c>
      <c r="BF541" s="192" t="e">
        <f ca="1">(OFFSET(Pinlist!$F$1,BC541,0)-$BO$16)*$BO$19</f>
        <v>#N/A</v>
      </c>
      <c r="BG541" s="1098" t="str">
        <f ca="1">IF(LEFT(BD541,2)="RF",OFFSET(Pinlist!$D$1,Chart!BC541,0)&amp;"_"&amp;OFFSET(Pinlist!$G$1,Chart!BC541,0),"")</f>
        <v/>
      </c>
      <c r="BH541" s="1098"/>
      <c r="BI541" s="178"/>
      <c r="BJ541" s="178"/>
      <c r="BK541" s="178"/>
      <c r="BL541" s="178"/>
      <c r="BM541" s="178"/>
      <c r="BN541" s="178"/>
      <c r="BO541" s="178"/>
      <c r="BP541" s="178"/>
      <c r="BQ541" s="196"/>
      <c r="BR541" s="196"/>
      <c r="BS541" s="196"/>
      <c r="BT541" s="196"/>
      <c r="BU541" s="196"/>
      <c r="BV541" s="196"/>
      <c r="BW541" s="178"/>
      <c r="BX541" s="196"/>
      <c r="BY541" s="196"/>
      <c r="BZ541" s="196"/>
      <c r="CA541" s="196"/>
      <c r="CB541" s="178"/>
      <c r="CC541" s="178"/>
      <c r="CD541" s="202"/>
      <c r="CE541" s="202"/>
      <c r="CF541" s="178"/>
      <c r="CG541" s="196"/>
      <c r="CH541" s="178"/>
      <c r="CI541" s="178"/>
      <c r="CJ541" s="178"/>
      <c r="CK541" s="178"/>
      <c r="CL541" s="178"/>
      <c r="CM541" s="178"/>
      <c r="CN541" s="178"/>
      <c r="CO541" s="178"/>
      <c r="CP541" s="178"/>
      <c r="CQ541" s="178"/>
      <c r="CR541" s="178"/>
      <c r="CS541" s="178"/>
      <c r="CT541" s="178"/>
      <c r="CU541" s="178"/>
      <c r="CV541" s="178"/>
      <c r="CW541" s="178"/>
      <c r="CX541" s="178"/>
      <c r="CY541" s="178"/>
      <c r="CZ541" s="178"/>
      <c r="DA541" s="150"/>
    </row>
    <row r="542" spans="53:105" x14ac:dyDescent="0.2">
      <c r="BA542" s="518">
        <f t="shared" ca="1" si="37"/>
        <v>61</v>
      </c>
      <c r="BB542" s="174">
        <f t="shared" ca="1" si="38"/>
        <v>479</v>
      </c>
      <c r="BC542" s="525" t="e">
        <f ca="1">MATCH(BD542,OFFSET(Pinlist!$A$2,BC541*(BA542=BA541),0,$BM$23,1),0)+BC541*(BA542=BA541)</f>
        <v>#N/A</v>
      </c>
      <c r="BD542" s="167">
        <f t="shared" ca="1" si="39"/>
        <v>0</v>
      </c>
      <c r="BE542" s="191" t="e">
        <f ca="1">(OFFSET(Pinlist!$E$1,BC542,0)-$BN$16)*$BN$19</f>
        <v>#N/A</v>
      </c>
      <c r="BF542" s="192" t="e">
        <f ca="1">(OFFSET(Pinlist!$F$1,BC542,0)-$BO$16)*$BO$19</f>
        <v>#N/A</v>
      </c>
      <c r="BG542" s="1098" t="str">
        <f ca="1">IF(LEFT(BD542,2)="RF",OFFSET(Pinlist!$D$1,Chart!BC542,0)&amp;"_"&amp;OFFSET(Pinlist!$G$1,Chart!BC542,0),"")</f>
        <v/>
      </c>
      <c r="BH542" s="1098"/>
      <c r="BI542" s="178"/>
      <c r="BJ542" s="178"/>
      <c r="BK542" s="178"/>
      <c r="BL542" s="178"/>
      <c r="BM542" s="178"/>
      <c r="BN542" s="178"/>
      <c r="BO542" s="178"/>
      <c r="BP542" s="178"/>
      <c r="BQ542" s="196"/>
      <c r="BR542" s="196"/>
      <c r="BS542" s="196"/>
      <c r="BT542" s="196"/>
      <c r="BU542" s="196"/>
      <c r="BV542" s="196"/>
      <c r="BW542" s="178"/>
      <c r="BX542" s="196"/>
      <c r="BY542" s="196"/>
      <c r="BZ542" s="196"/>
      <c r="CA542" s="196"/>
      <c r="CB542" s="178"/>
      <c r="CC542" s="178"/>
      <c r="CD542" s="202"/>
      <c r="CE542" s="202"/>
      <c r="CF542" s="178"/>
      <c r="CG542" s="196"/>
      <c r="CH542" s="178"/>
      <c r="CI542" s="178"/>
      <c r="CJ542" s="178"/>
      <c r="CK542" s="178"/>
      <c r="CL542" s="178"/>
      <c r="CM542" s="178"/>
      <c r="CN542" s="178"/>
      <c r="CO542" s="178"/>
      <c r="CP542" s="178"/>
      <c r="CQ542" s="178"/>
      <c r="CR542" s="178"/>
      <c r="CS542" s="178"/>
      <c r="CT542" s="178"/>
      <c r="CU542" s="178"/>
      <c r="CV542" s="178"/>
      <c r="CW542" s="178"/>
      <c r="CX542" s="178"/>
      <c r="CY542" s="178"/>
      <c r="CZ542" s="178"/>
      <c r="DA542" s="150"/>
    </row>
    <row r="543" spans="53:105" x14ac:dyDescent="0.2">
      <c r="BA543" s="518">
        <f t="shared" ca="1" si="37"/>
        <v>61</v>
      </c>
      <c r="BB543" s="174">
        <f t="shared" ca="1" si="38"/>
        <v>480</v>
      </c>
      <c r="BC543" s="525" t="e">
        <f ca="1">MATCH(BD543,OFFSET(Pinlist!$A$2,BC542*(BA543=BA542),0,$BM$23,1),0)+BC542*(BA543=BA542)</f>
        <v>#N/A</v>
      </c>
      <c r="BD543" s="167">
        <f t="shared" ca="1" si="39"/>
        <v>0</v>
      </c>
      <c r="BE543" s="191" t="e">
        <f ca="1">(OFFSET(Pinlist!$E$1,BC543,0)-$BN$16)*$BN$19</f>
        <v>#N/A</v>
      </c>
      <c r="BF543" s="192" t="e">
        <f ca="1">(OFFSET(Pinlist!$F$1,BC543,0)-$BO$16)*$BO$19</f>
        <v>#N/A</v>
      </c>
      <c r="BG543" s="1098" t="str">
        <f ca="1">IF(LEFT(BD543,2)="RF",OFFSET(Pinlist!$D$1,Chart!BC543,0)&amp;"_"&amp;OFFSET(Pinlist!$G$1,Chart!BC543,0),"")</f>
        <v/>
      </c>
      <c r="BH543" s="1098"/>
      <c r="BI543" s="178"/>
      <c r="BJ543" s="178"/>
      <c r="BK543" s="178"/>
      <c r="BL543" s="178"/>
      <c r="BM543" s="178"/>
      <c r="BN543" s="178"/>
      <c r="BO543" s="178"/>
      <c r="BP543" s="178"/>
      <c r="BQ543" s="196"/>
      <c r="BR543" s="196"/>
      <c r="BS543" s="196"/>
      <c r="BT543" s="196"/>
      <c r="BU543" s="196"/>
      <c r="BV543" s="196"/>
      <c r="BW543" s="178"/>
      <c r="BX543" s="196"/>
      <c r="BY543" s="196"/>
      <c r="BZ543" s="196"/>
      <c r="CA543" s="196"/>
      <c r="CB543" s="178"/>
      <c r="CC543" s="178"/>
      <c r="CD543" s="202"/>
      <c r="CE543" s="202"/>
      <c r="CF543" s="178"/>
      <c r="CG543" s="196"/>
      <c r="CH543" s="178"/>
      <c r="CI543" s="178"/>
      <c r="CJ543" s="178"/>
      <c r="CK543" s="178"/>
      <c r="CL543" s="178"/>
      <c r="CM543" s="178"/>
      <c r="CN543" s="178"/>
      <c r="CO543" s="178"/>
      <c r="CP543" s="178"/>
      <c r="CQ543" s="178"/>
      <c r="CR543" s="178"/>
      <c r="CS543" s="178"/>
      <c r="CT543" s="178"/>
      <c r="CU543" s="178"/>
      <c r="CV543" s="178"/>
      <c r="CW543" s="178"/>
      <c r="CX543" s="178"/>
      <c r="CY543" s="178"/>
      <c r="CZ543" s="178"/>
      <c r="DA543" s="150"/>
    </row>
    <row r="544" spans="53:105" x14ac:dyDescent="0.2">
      <c r="BA544" s="518">
        <f t="shared" ca="1" si="37"/>
        <v>61</v>
      </c>
      <c r="BB544" s="174">
        <f t="shared" ca="1" si="38"/>
        <v>481</v>
      </c>
      <c r="BC544" s="525" t="e">
        <f ca="1">MATCH(BD544,OFFSET(Pinlist!$A$2,BC543*(BA544=BA543),0,$BM$23,1),0)+BC543*(BA544=BA543)</f>
        <v>#N/A</v>
      </c>
      <c r="BD544" s="167">
        <f t="shared" ca="1" si="39"/>
        <v>0</v>
      </c>
      <c r="BE544" s="191" t="e">
        <f ca="1">(OFFSET(Pinlist!$E$1,BC544,0)-$BN$16)*$BN$19</f>
        <v>#N/A</v>
      </c>
      <c r="BF544" s="192" t="e">
        <f ca="1">(OFFSET(Pinlist!$F$1,BC544,0)-$BO$16)*$BO$19</f>
        <v>#N/A</v>
      </c>
      <c r="BG544" s="1098" t="str">
        <f ca="1">IF(LEFT(BD544,2)="RF",OFFSET(Pinlist!$D$1,Chart!BC544,0)&amp;"_"&amp;OFFSET(Pinlist!$G$1,Chart!BC544,0),"")</f>
        <v/>
      </c>
      <c r="BH544" s="1098"/>
      <c r="BI544" s="178"/>
      <c r="BJ544" s="178"/>
      <c r="BK544" s="178"/>
      <c r="BL544" s="178"/>
      <c r="BM544" s="178"/>
      <c r="BN544" s="178"/>
      <c r="BO544" s="178"/>
      <c r="BP544" s="178"/>
      <c r="BQ544" s="196"/>
      <c r="BR544" s="196"/>
      <c r="BS544" s="196"/>
      <c r="BT544" s="196"/>
      <c r="BU544" s="196"/>
      <c r="BV544" s="196"/>
      <c r="BW544" s="178"/>
      <c r="BX544" s="196"/>
      <c r="BY544" s="196"/>
      <c r="BZ544" s="196"/>
      <c r="CA544" s="196"/>
      <c r="CB544" s="178"/>
      <c r="CC544" s="178"/>
      <c r="CD544" s="202"/>
      <c r="CE544" s="202"/>
      <c r="CF544" s="178"/>
      <c r="CG544" s="196"/>
      <c r="CH544" s="178"/>
      <c r="CI544" s="178"/>
      <c r="CJ544" s="178"/>
      <c r="CK544" s="178"/>
      <c r="CL544" s="178"/>
      <c r="CM544" s="178"/>
      <c r="CN544" s="178"/>
      <c r="CO544" s="178"/>
      <c r="CP544" s="178"/>
      <c r="CQ544" s="178"/>
      <c r="CR544" s="178"/>
      <c r="CS544" s="178"/>
      <c r="CT544" s="178"/>
      <c r="CU544" s="178"/>
      <c r="CV544" s="178"/>
      <c r="CW544" s="178"/>
      <c r="CX544" s="178"/>
      <c r="CY544" s="178"/>
      <c r="CZ544" s="178"/>
      <c r="DA544" s="150"/>
    </row>
    <row r="545" spans="53:105" x14ac:dyDescent="0.2">
      <c r="BA545" s="518">
        <f t="shared" ca="1" si="37"/>
        <v>61</v>
      </c>
      <c r="BB545" s="174">
        <f t="shared" ca="1" si="38"/>
        <v>482</v>
      </c>
      <c r="BC545" s="525" t="e">
        <f ca="1">MATCH(BD545,OFFSET(Pinlist!$A$2,BC544*(BA545=BA544),0,$BM$23,1),0)+BC544*(BA545=BA544)</f>
        <v>#N/A</v>
      </c>
      <c r="BD545" s="167">
        <f t="shared" ca="1" si="39"/>
        <v>0</v>
      </c>
      <c r="BE545" s="191" t="e">
        <f ca="1">(OFFSET(Pinlist!$E$1,BC545,0)-$BN$16)*$BN$19</f>
        <v>#N/A</v>
      </c>
      <c r="BF545" s="192" t="e">
        <f ca="1">(OFFSET(Pinlist!$F$1,BC545,0)-$BO$16)*$BO$19</f>
        <v>#N/A</v>
      </c>
      <c r="BG545" s="1098" t="str">
        <f ca="1">IF(LEFT(BD545,2)="RF",OFFSET(Pinlist!$D$1,Chart!BC545,0)&amp;"_"&amp;OFFSET(Pinlist!$G$1,Chart!BC545,0),"")</f>
        <v/>
      </c>
      <c r="BH545" s="1098"/>
      <c r="BI545" s="178"/>
      <c r="BJ545" s="178"/>
      <c r="BK545" s="178"/>
      <c r="BL545" s="178"/>
      <c r="BM545" s="178"/>
      <c r="BN545" s="178"/>
      <c r="BO545" s="178"/>
      <c r="BP545" s="178"/>
      <c r="BQ545" s="196"/>
      <c r="BR545" s="196"/>
      <c r="BS545" s="196"/>
      <c r="BT545" s="196"/>
      <c r="BU545" s="196"/>
      <c r="BV545" s="196"/>
      <c r="BW545" s="178"/>
      <c r="BX545" s="196"/>
      <c r="BY545" s="196"/>
      <c r="BZ545" s="196"/>
      <c r="CA545" s="196"/>
      <c r="CB545" s="178"/>
      <c r="CC545" s="178"/>
      <c r="CD545" s="202"/>
      <c r="CE545" s="202"/>
      <c r="CF545" s="178"/>
      <c r="CG545" s="196"/>
      <c r="CH545" s="178"/>
      <c r="CI545" s="178"/>
      <c r="CJ545" s="178"/>
      <c r="CK545" s="178"/>
      <c r="CL545" s="178"/>
      <c r="CM545" s="178"/>
      <c r="CN545" s="178"/>
      <c r="CO545" s="178"/>
      <c r="CP545" s="178"/>
      <c r="CQ545" s="178"/>
      <c r="CR545" s="178"/>
      <c r="CS545" s="178"/>
      <c r="CT545" s="178"/>
      <c r="CU545" s="178"/>
      <c r="CV545" s="178"/>
      <c r="CW545" s="178"/>
      <c r="CX545" s="178"/>
      <c r="CY545" s="178"/>
      <c r="CZ545" s="178"/>
      <c r="DA545" s="150"/>
    </row>
    <row r="546" spans="53:105" x14ac:dyDescent="0.2">
      <c r="BA546" s="518">
        <f t="shared" ca="1" si="37"/>
        <v>61</v>
      </c>
      <c r="BB546" s="174">
        <f t="shared" ca="1" si="38"/>
        <v>483</v>
      </c>
      <c r="BC546" s="525" t="e">
        <f ca="1">MATCH(BD546,OFFSET(Pinlist!$A$2,BC545*(BA546=BA545),0,$BM$23,1),0)+BC545*(BA546=BA545)</f>
        <v>#N/A</v>
      </c>
      <c r="BD546" s="167">
        <f t="shared" ca="1" si="39"/>
        <v>0</v>
      </c>
      <c r="BE546" s="191" t="e">
        <f ca="1">(OFFSET(Pinlist!$E$1,BC546,0)-$BN$16)*$BN$19</f>
        <v>#N/A</v>
      </c>
      <c r="BF546" s="192" t="e">
        <f ca="1">(OFFSET(Pinlist!$F$1,BC546,0)-$BO$16)*$BO$19</f>
        <v>#N/A</v>
      </c>
      <c r="BG546" s="1098" t="str">
        <f ca="1">IF(LEFT(BD546,2)="RF",OFFSET(Pinlist!$D$1,Chart!BC546,0)&amp;"_"&amp;OFFSET(Pinlist!$G$1,Chart!BC546,0),"")</f>
        <v/>
      </c>
      <c r="BH546" s="1098"/>
      <c r="BI546" s="178"/>
      <c r="BJ546" s="178"/>
      <c r="BK546" s="178"/>
      <c r="BL546" s="178"/>
      <c r="BM546" s="178"/>
      <c r="BN546" s="178"/>
      <c r="BO546" s="178"/>
      <c r="BP546" s="178"/>
      <c r="BQ546" s="196"/>
      <c r="BR546" s="196"/>
      <c r="BS546" s="196"/>
      <c r="BT546" s="196"/>
      <c r="BU546" s="196"/>
      <c r="BV546" s="196"/>
      <c r="BW546" s="178"/>
      <c r="BX546" s="196"/>
      <c r="BY546" s="196"/>
      <c r="BZ546" s="196"/>
      <c r="CA546" s="196"/>
      <c r="CB546" s="178"/>
      <c r="CC546" s="178"/>
      <c r="CD546" s="202"/>
      <c r="CE546" s="202"/>
      <c r="CF546" s="178"/>
      <c r="CG546" s="196"/>
      <c r="CH546" s="178"/>
      <c r="CI546" s="178"/>
      <c r="CJ546" s="178"/>
      <c r="CK546" s="178"/>
      <c r="CL546" s="178"/>
      <c r="CM546" s="178"/>
      <c r="CN546" s="178"/>
      <c r="CO546" s="178"/>
      <c r="CP546" s="178"/>
      <c r="CQ546" s="178"/>
      <c r="CR546" s="178"/>
      <c r="CS546" s="178"/>
      <c r="CT546" s="178"/>
      <c r="CU546" s="178"/>
      <c r="CV546" s="178"/>
      <c r="CW546" s="178"/>
      <c r="CX546" s="178"/>
      <c r="CY546" s="178"/>
      <c r="CZ546" s="178"/>
      <c r="DA546" s="150"/>
    </row>
    <row r="547" spans="53:105" x14ac:dyDescent="0.2">
      <c r="BA547" s="518">
        <f t="shared" ca="1" si="37"/>
        <v>61</v>
      </c>
      <c r="BB547" s="174">
        <f t="shared" ca="1" si="38"/>
        <v>484</v>
      </c>
      <c r="BC547" s="525" t="e">
        <f ca="1">MATCH(BD547,OFFSET(Pinlist!$A$2,BC546*(BA547=BA546),0,$BM$23,1),0)+BC546*(BA547=BA546)</f>
        <v>#N/A</v>
      </c>
      <c r="BD547" s="167">
        <f t="shared" ca="1" si="39"/>
        <v>0</v>
      </c>
      <c r="BE547" s="191" t="e">
        <f ca="1">(OFFSET(Pinlist!$E$1,BC547,0)-$BN$16)*$BN$19</f>
        <v>#N/A</v>
      </c>
      <c r="BF547" s="192" t="e">
        <f ca="1">(OFFSET(Pinlist!$F$1,BC547,0)-$BO$16)*$BO$19</f>
        <v>#N/A</v>
      </c>
      <c r="BG547" s="1098" t="str">
        <f ca="1">IF(LEFT(BD547,2)="RF",OFFSET(Pinlist!$D$1,Chart!BC547,0)&amp;"_"&amp;OFFSET(Pinlist!$G$1,Chart!BC547,0),"")</f>
        <v/>
      </c>
      <c r="BH547" s="1098"/>
      <c r="BI547" s="178"/>
      <c r="BJ547" s="178"/>
      <c r="BK547" s="178"/>
      <c r="BL547" s="178"/>
      <c r="BM547" s="178"/>
      <c r="BN547" s="178"/>
      <c r="BO547" s="178"/>
      <c r="BP547" s="178"/>
      <c r="BQ547" s="196"/>
      <c r="BR547" s="196"/>
      <c r="BS547" s="196"/>
      <c r="BT547" s="196"/>
      <c r="BU547" s="196"/>
      <c r="BV547" s="196"/>
      <c r="BW547" s="178"/>
      <c r="BX547" s="196"/>
      <c r="BY547" s="196"/>
      <c r="BZ547" s="196"/>
      <c r="CA547" s="196"/>
      <c r="CB547" s="178"/>
      <c r="CC547" s="178"/>
      <c r="CD547" s="202"/>
      <c r="CE547" s="202"/>
      <c r="CF547" s="178"/>
      <c r="CG547" s="196"/>
      <c r="CH547" s="178"/>
      <c r="CI547" s="178"/>
      <c r="CJ547" s="178"/>
      <c r="CK547" s="178"/>
      <c r="CL547" s="178"/>
      <c r="CM547" s="178"/>
      <c r="CN547" s="178"/>
      <c r="CO547" s="178"/>
      <c r="CP547" s="178"/>
      <c r="CQ547" s="178"/>
      <c r="CR547" s="178"/>
      <c r="CS547" s="178"/>
      <c r="CT547" s="178"/>
      <c r="CU547" s="178"/>
      <c r="CV547" s="178"/>
      <c r="CW547" s="178"/>
      <c r="CX547" s="178"/>
      <c r="CY547" s="178"/>
      <c r="CZ547" s="178"/>
      <c r="DA547" s="150"/>
    </row>
    <row r="548" spans="53:105" x14ac:dyDescent="0.2">
      <c r="BA548" s="518">
        <f t="shared" ca="1" si="37"/>
        <v>61</v>
      </c>
      <c r="BB548" s="174">
        <f t="shared" ca="1" si="38"/>
        <v>485</v>
      </c>
      <c r="BC548" s="525" t="e">
        <f ca="1">MATCH(BD548,OFFSET(Pinlist!$A$2,BC547*(BA548=BA547),0,$BM$23,1),0)+BC547*(BA548=BA547)</f>
        <v>#N/A</v>
      </c>
      <c r="BD548" s="167">
        <f t="shared" ca="1" si="39"/>
        <v>0</v>
      </c>
      <c r="BE548" s="191" t="e">
        <f ca="1">(OFFSET(Pinlist!$E$1,BC548,0)-$BN$16)*$BN$19</f>
        <v>#N/A</v>
      </c>
      <c r="BF548" s="192" t="e">
        <f ca="1">(OFFSET(Pinlist!$F$1,BC548,0)-$BO$16)*$BO$19</f>
        <v>#N/A</v>
      </c>
      <c r="BG548" s="1098" t="str">
        <f ca="1">IF(LEFT(BD548,2)="RF",OFFSET(Pinlist!$D$1,Chart!BC548,0)&amp;"_"&amp;OFFSET(Pinlist!$G$1,Chart!BC548,0),"")</f>
        <v/>
      </c>
      <c r="BH548" s="1098"/>
      <c r="BI548" s="178"/>
      <c r="BJ548" s="178"/>
      <c r="BK548" s="178"/>
      <c r="BL548" s="178"/>
      <c r="BM548" s="178"/>
      <c r="BN548" s="178"/>
      <c r="BO548" s="178"/>
      <c r="BP548" s="178"/>
      <c r="BQ548" s="196"/>
      <c r="BR548" s="196"/>
      <c r="BS548" s="196"/>
      <c r="BT548" s="196"/>
      <c r="BU548" s="196"/>
      <c r="BV548" s="196"/>
      <c r="BW548" s="178"/>
      <c r="BX548" s="196"/>
      <c r="BY548" s="196"/>
      <c r="BZ548" s="196"/>
      <c r="CA548" s="196"/>
      <c r="CB548" s="178"/>
      <c r="CC548" s="178"/>
      <c r="CD548" s="202"/>
      <c r="CE548" s="202"/>
      <c r="CF548" s="178"/>
      <c r="CG548" s="196"/>
      <c r="CH548" s="178"/>
      <c r="CI548" s="178"/>
      <c r="CJ548" s="178"/>
      <c r="CK548" s="178"/>
      <c r="CL548" s="178"/>
      <c r="CM548" s="178"/>
      <c r="CN548" s="178"/>
      <c r="CO548" s="178"/>
      <c r="CP548" s="178"/>
      <c r="CQ548" s="178"/>
      <c r="CR548" s="178"/>
      <c r="CS548" s="178"/>
      <c r="CT548" s="178"/>
      <c r="CU548" s="178"/>
      <c r="CV548" s="178"/>
      <c r="CW548" s="178"/>
      <c r="CX548" s="178"/>
      <c r="CY548" s="178"/>
      <c r="CZ548" s="178"/>
      <c r="DA548" s="150"/>
    </row>
    <row r="549" spans="53:105" x14ac:dyDescent="0.2">
      <c r="BA549" s="518">
        <f t="shared" ca="1" si="37"/>
        <v>61</v>
      </c>
      <c r="BB549" s="174">
        <f t="shared" ca="1" si="38"/>
        <v>486</v>
      </c>
      <c r="BC549" s="525" t="e">
        <f ca="1">MATCH(BD549,OFFSET(Pinlist!$A$2,BC548*(BA549=BA548),0,$BM$23,1),0)+BC548*(BA549=BA548)</f>
        <v>#N/A</v>
      </c>
      <c r="BD549" s="167">
        <f t="shared" ca="1" si="39"/>
        <v>0</v>
      </c>
      <c r="BE549" s="191" t="e">
        <f ca="1">(OFFSET(Pinlist!$E$1,BC549,0)-$BN$16)*$BN$19</f>
        <v>#N/A</v>
      </c>
      <c r="BF549" s="192" t="e">
        <f ca="1">(OFFSET(Pinlist!$F$1,BC549,0)-$BO$16)*$BO$19</f>
        <v>#N/A</v>
      </c>
      <c r="BG549" s="1098" t="str">
        <f ca="1">IF(LEFT(BD549,2)="RF",OFFSET(Pinlist!$D$1,Chart!BC549,0)&amp;"_"&amp;OFFSET(Pinlist!$G$1,Chart!BC549,0),"")</f>
        <v/>
      </c>
      <c r="BH549" s="1098"/>
      <c r="BI549" s="178"/>
      <c r="BJ549" s="178"/>
      <c r="BK549" s="178"/>
      <c r="BL549" s="178"/>
      <c r="BM549" s="178"/>
      <c r="BN549" s="178"/>
      <c r="BO549" s="178"/>
      <c r="BP549" s="178"/>
      <c r="BQ549" s="196"/>
      <c r="BR549" s="196"/>
      <c r="BS549" s="196"/>
      <c r="BT549" s="196"/>
      <c r="BU549" s="196"/>
      <c r="BV549" s="196"/>
      <c r="BW549" s="178"/>
      <c r="BX549" s="196"/>
      <c r="BY549" s="196"/>
      <c r="BZ549" s="196"/>
      <c r="CA549" s="196"/>
      <c r="CB549" s="178"/>
      <c r="CC549" s="178"/>
      <c r="CD549" s="202"/>
      <c r="CE549" s="202"/>
      <c r="CF549" s="178"/>
      <c r="CG549" s="196"/>
      <c r="CH549" s="178"/>
      <c r="CI549" s="178"/>
      <c r="CJ549" s="178"/>
      <c r="CK549" s="178"/>
      <c r="CL549" s="178"/>
      <c r="CM549" s="178"/>
      <c r="CN549" s="178"/>
      <c r="CO549" s="178"/>
      <c r="CP549" s="178"/>
      <c r="CQ549" s="178"/>
      <c r="CR549" s="178"/>
      <c r="CS549" s="178"/>
      <c r="CT549" s="178"/>
      <c r="CU549" s="178"/>
      <c r="CV549" s="178"/>
      <c r="CW549" s="178"/>
      <c r="CX549" s="178"/>
      <c r="CY549" s="178"/>
      <c r="CZ549" s="178"/>
      <c r="DA549" s="150"/>
    </row>
    <row r="550" spans="53:105" x14ac:dyDescent="0.2">
      <c r="BA550" s="518">
        <f t="shared" ca="1" si="37"/>
        <v>61</v>
      </c>
      <c r="BB550" s="174">
        <f t="shared" ca="1" si="38"/>
        <v>487</v>
      </c>
      <c r="BC550" s="525" t="e">
        <f ca="1">MATCH(BD550,OFFSET(Pinlist!$A$2,BC549*(BA550=BA549),0,$BM$23,1),0)+BC549*(BA550=BA549)</f>
        <v>#N/A</v>
      </c>
      <c r="BD550" s="167">
        <f t="shared" ca="1" si="39"/>
        <v>0</v>
      </c>
      <c r="BE550" s="191" t="e">
        <f ca="1">(OFFSET(Pinlist!$E$1,BC550,0)-$BN$16)*$BN$19</f>
        <v>#N/A</v>
      </c>
      <c r="BF550" s="192" t="e">
        <f ca="1">(OFFSET(Pinlist!$F$1,BC550,0)-$BO$16)*$BO$19</f>
        <v>#N/A</v>
      </c>
      <c r="BG550" s="1098" t="str">
        <f ca="1">IF(LEFT(BD550,2)="RF",OFFSET(Pinlist!$D$1,Chart!BC550,0)&amp;"_"&amp;OFFSET(Pinlist!$G$1,Chart!BC550,0),"")</f>
        <v/>
      </c>
      <c r="BH550" s="1098"/>
      <c r="BI550" s="178"/>
      <c r="BJ550" s="178"/>
      <c r="BK550" s="178"/>
      <c r="BL550" s="178"/>
      <c r="BM550" s="178"/>
      <c r="BN550" s="178"/>
      <c r="BO550" s="178"/>
      <c r="BP550" s="178"/>
      <c r="BQ550" s="196"/>
      <c r="BR550" s="196"/>
      <c r="BS550" s="196"/>
      <c r="BT550" s="196"/>
      <c r="BU550" s="196"/>
      <c r="BV550" s="196"/>
      <c r="BW550" s="178"/>
      <c r="BX550" s="196"/>
      <c r="BY550" s="196"/>
      <c r="BZ550" s="196"/>
      <c r="CA550" s="196"/>
      <c r="CB550" s="178"/>
      <c r="CC550" s="178"/>
      <c r="CD550" s="202"/>
      <c r="CE550" s="202"/>
      <c r="CF550" s="178"/>
      <c r="CG550" s="196"/>
      <c r="CH550" s="178"/>
      <c r="CI550" s="178"/>
      <c r="CJ550" s="178"/>
      <c r="CK550" s="178"/>
      <c r="CL550" s="178"/>
      <c r="CM550" s="178"/>
      <c r="CN550" s="178"/>
      <c r="CO550" s="178"/>
      <c r="CP550" s="178"/>
      <c r="CQ550" s="178"/>
      <c r="CR550" s="178"/>
      <c r="CS550" s="178"/>
      <c r="CT550" s="178"/>
      <c r="CU550" s="178"/>
      <c r="CV550" s="178"/>
      <c r="CW550" s="178"/>
      <c r="CX550" s="178"/>
      <c r="CY550" s="178"/>
      <c r="CZ550" s="178"/>
      <c r="DA550" s="150"/>
    </row>
    <row r="551" spans="53:105" x14ac:dyDescent="0.2">
      <c r="BA551" s="518">
        <f t="shared" ca="1" si="37"/>
        <v>61</v>
      </c>
      <c r="BB551" s="174">
        <f t="shared" ca="1" si="38"/>
        <v>488</v>
      </c>
      <c r="BC551" s="525" t="e">
        <f ca="1">MATCH(BD551,OFFSET(Pinlist!$A$2,BC550*(BA551=BA550),0,$BM$23,1),0)+BC550*(BA551=BA550)</f>
        <v>#N/A</v>
      </c>
      <c r="BD551" s="167">
        <f t="shared" ca="1" si="39"/>
        <v>0</v>
      </c>
      <c r="BE551" s="191" t="e">
        <f ca="1">(OFFSET(Pinlist!$E$1,BC551,0)-$BN$16)*$BN$19</f>
        <v>#N/A</v>
      </c>
      <c r="BF551" s="192" t="e">
        <f ca="1">(OFFSET(Pinlist!$F$1,BC551,0)-$BO$16)*$BO$19</f>
        <v>#N/A</v>
      </c>
      <c r="BG551" s="1098" t="str">
        <f ca="1">IF(LEFT(BD551,2)="RF",OFFSET(Pinlist!$D$1,Chart!BC551,0)&amp;"_"&amp;OFFSET(Pinlist!$G$1,Chart!BC551,0),"")</f>
        <v/>
      </c>
      <c r="BH551" s="1098"/>
      <c r="BI551" s="178"/>
      <c r="BJ551" s="178"/>
      <c r="BK551" s="178"/>
      <c r="BL551" s="178"/>
      <c r="BM551" s="178"/>
      <c r="BN551" s="178"/>
      <c r="BO551" s="178"/>
      <c r="BP551" s="178"/>
      <c r="BQ551" s="196"/>
      <c r="BR551" s="196"/>
      <c r="BS551" s="196"/>
      <c r="BT551" s="196"/>
      <c r="BU551" s="196"/>
      <c r="BV551" s="196"/>
      <c r="BW551" s="178"/>
      <c r="BX551" s="196"/>
      <c r="BY551" s="196"/>
      <c r="BZ551" s="196"/>
      <c r="CA551" s="196"/>
      <c r="CB551" s="178"/>
      <c r="CC551" s="178"/>
      <c r="CD551" s="202"/>
      <c r="CE551" s="202"/>
      <c r="CF551" s="178"/>
      <c r="CG551" s="196"/>
      <c r="CH551" s="178"/>
      <c r="CI551" s="178"/>
      <c r="CJ551" s="178"/>
      <c r="CK551" s="178"/>
      <c r="CL551" s="178"/>
      <c r="CM551" s="178"/>
      <c r="CN551" s="178"/>
      <c r="CO551" s="178"/>
      <c r="CP551" s="178"/>
      <c r="CQ551" s="178"/>
      <c r="CR551" s="178"/>
      <c r="CS551" s="178"/>
      <c r="CT551" s="178"/>
      <c r="CU551" s="178"/>
      <c r="CV551" s="178"/>
      <c r="CW551" s="178"/>
      <c r="CX551" s="178"/>
      <c r="CY551" s="178"/>
      <c r="CZ551" s="178"/>
      <c r="DA551" s="150"/>
    </row>
    <row r="552" spans="53:105" x14ac:dyDescent="0.2">
      <c r="BA552" s="518">
        <f t="shared" ca="1" si="37"/>
        <v>61</v>
      </c>
      <c r="BB552" s="174">
        <f t="shared" ca="1" si="38"/>
        <v>489</v>
      </c>
      <c r="BC552" s="525" t="e">
        <f ca="1">MATCH(BD552,OFFSET(Pinlist!$A$2,BC551*(BA552=BA551),0,$BM$23,1),0)+BC551*(BA552=BA551)</f>
        <v>#N/A</v>
      </c>
      <c r="BD552" s="167">
        <f t="shared" ca="1" si="39"/>
        <v>0</v>
      </c>
      <c r="BE552" s="191" t="e">
        <f ca="1">(OFFSET(Pinlist!$E$1,BC552,0)-$BN$16)*$BN$19</f>
        <v>#N/A</v>
      </c>
      <c r="BF552" s="192" t="e">
        <f ca="1">(OFFSET(Pinlist!$F$1,BC552,0)-$BO$16)*$BO$19</f>
        <v>#N/A</v>
      </c>
      <c r="BG552" s="1098" t="str">
        <f ca="1">IF(LEFT(BD552,2)="RF",OFFSET(Pinlist!$D$1,Chart!BC552,0)&amp;"_"&amp;OFFSET(Pinlist!$G$1,Chart!BC552,0),"")</f>
        <v/>
      </c>
      <c r="BH552" s="1098"/>
      <c r="BI552" s="178"/>
      <c r="BJ552" s="178"/>
      <c r="BK552" s="178"/>
      <c r="BL552" s="178"/>
      <c r="BM552" s="178"/>
      <c r="BN552" s="178"/>
      <c r="BO552" s="178"/>
      <c r="BP552" s="178"/>
      <c r="BQ552" s="196"/>
      <c r="BR552" s="196"/>
      <c r="BS552" s="196"/>
      <c r="BT552" s="196"/>
      <c r="BU552" s="196"/>
      <c r="BV552" s="196"/>
      <c r="BW552" s="178"/>
      <c r="BX552" s="196"/>
      <c r="BY552" s="196"/>
      <c r="BZ552" s="196"/>
      <c r="CA552" s="196"/>
      <c r="CB552" s="178"/>
      <c r="CC552" s="178"/>
      <c r="CD552" s="202"/>
      <c r="CE552" s="202"/>
      <c r="CF552" s="178"/>
      <c r="CG552" s="196"/>
      <c r="CH552" s="178"/>
      <c r="CI552" s="178"/>
      <c r="CJ552" s="178"/>
      <c r="CK552" s="178"/>
      <c r="CL552" s="178"/>
      <c r="CM552" s="178"/>
      <c r="CN552" s="178"/>
      <c r="CO552" s="178"/>
      <c r="CP552" s="178"/>
      <c r="CQ552" s="178"/>
      <c r="CR552" s="178"/>
      <c r="CS552" s="178"/>
      <c r="CT552" s="178"/>
      <c r="CU552" s="178"/>
      <c r="CV552" s="178"/>
      <c r="CW552" s="178"/>
      <c r="CX552" s="178"/>
      <c r="CY552" s="178"/>
      <c r="CZ552" s="178"/>
      <c r="DA552" s="150"/>
    </row>
    <row r="553" spans="53:105" x14ac:dyDescent="0.2">
      <c r="BA553" s="518">
        <f t="shared" ca="1" si="37"/>
        <v>61</v>
      </c>
      <c r="BB553" s="174">
        <f t="shared" ca="1" si="38"/>
        <v>490</v>
      </c>
      <c r="BC553" s="525" t="e">
        <f ca="1">MATCH(BD553,OFFSET(Pinlist!$A$2,BC552*(BA553=BA552),0,$BM$23,1),0)+BC552*(BA553=BA552)</f>
        <v>#N/A</v>
      </c>
      <c r="BD553" s="167">
        <f t="shared" ca="1" si="39"/>
        <v>0</v>
      </c>
      <c r="BE553" s="191" t="e">
        <f ca="1">(OFFSET(Pinlist!$E$1,BC553,0)-$BN$16)*$BN$19</f>
        <v>#N/A</v>
      </c>
      <c r="BF553" s="192" t="e">
        <f ca="1">(OFFSET(Pinlist!$F$1,BC553,0)-$BO$16)*$BO$19</f>
        <v>#N/A</v>
      </c>
      <c r="BG553" s="1098" t="str">
        <f ca="1">IF(LEFT(BD553,2)="RF",OFFSET(Pinlist!$D$1,Chart!BC553,0)&amp;"_"&amp;OFFSET(Pinlist!$G$1,Chart!BC553,0),"")</f>
        <v/>
      </c>
      <c r="BH553" s="1098"/>
      <c r="BI553" s="178"/>
      <c r="BJ553" s="178"/>
      <c r="BK553" s="178"/>
      <c r="BL553" s="178"/>
      <c r="BM553" s="178"/>
      <c r="BN553" s="178"/>
      <c r="BO553" s="178"/>
      <c r="BP553" s="178"/>
      <c r="BQ553" s="196"/>
      <c r="BR553" s="196"/>
      <c r="BS553" s="196"/>
      <c r="BT553" s="196"/>
      <c r="BU553" s="196"/>
      <c r="BV553" s="196"/>
      <c r="BW553" s="178"/>
      <c r="BX553" s="196"/>
      <c r="BY553" s="196"/>
      <c r="BZ553" s="196"/>
      <c r="CA553" s="196"/>
      <c r="CB553" s="178"/>
      <c r="CC553" s="178"/>
      <c r="CD553" s="202"/>
      <c r="CE553" s="202"/>
      <c r="CF553" s="178"/>
      <c r="CG553" s="196"/>
      <c r="CH553" s="178"/>
      <c r="CI553" s="178"/>
      <c r="CJ553" s="178"/>
      <c r="CK553" s="178"/>
      <c r="CL553" s="178"/>
      <c r="CM553" s="178"/>
      <c r="CN553" s="178"/>
      <c r="CO553" s="178"/>
      <c r="CP553" s="178"/>
      <c r="CQ553" s="178"/>
      <c r="CR553" s="178"/>
      <c r="CS553" s="178"/>
      <c r="CT553" s="178"/>
      <c r="CU553" s="178"/>
      <c r="CV553" s="178"/>
      <c r="CW553" s="178"/>
      <c r="CX553" s="178"/>
      <c r="CY553" s="178"/>
      <c r="CZ553" s="178"/>
      <c r="DA553" s="150"/>
    </row>
    <row r="554" spans="53:105" x14ac:dyDescent="0.2">
      <c r="BA554" s="518">
        <f t="shared" ca="1" si="37"/>
        <v>61</v>
      </c>
      <c r="BB554" s="174">
        <f t="shared" ca="1" si="38"/>
        <v>491</v>
      </c>
      <c r="BC554" s="525" t="e">
        <f ca="1">MATCH(BD554,OFFSET(Pinlist!$A$2,BC553*(BA554=BA553),0,$BM$23,1),0)+BC553*(BA554=BA553)</f>
        <v>#N/A</v>
      </c>
      <c r="BD554" s="167">
        <f t="shared" ca="1" si="39"/>
        <v>0</v>
      </c>
      <c r="BE554" s="191" t="e">
        <f ca="1">(OFFSET(Pinlist!$E$1,BC554,0)-$BN$16)*$BN$19</f>
        <v>#N/A</v>
      </c>
      <c r="BF554" s="192" t="e">
        <f ca="1">(OFFSET(Pinlist!$F$1,BC554,0)-$BO$16)*$BO$19</f>
        <v>#N/A</v>
      </c>
      <c r="BG554" s="1098" t="str">
        <f ca="1">IF(LEFT(BD554,2)="RF",OFFSET(Pinlist!$D$1,Chart!BC554,0)&amp;"_"&amp;OFFSET(Pinlist!$G$1,Chart!BC554,0),"")</f>
        <v/>
      </c>
      <c r="BH554" s="1098"/>
      <c r="BI554" s="178"/>
      <c r="BJ554" s="178"/>
      <c r="BK554" s="178"/>
      <c r="BL554" s="178"/>
      <c r="BM554" s="178"/>
      <c r="BN554" s="178"/>
      <c r="BO554" s="178"/>
      <c r="BP554" s="178"/>
      <c r="BQ554" s="196"/>
      <c r="BR554" s="196"/>
      <c r="BS554" s="196"/>
      <c r="BT554" s="196"/>
      <c r="BU554" s="196"/>
      <c r="BV554" s="196"/>
      <c r="BW554" s="178"/>
      <c r="BX554" s="196"/>
      <c r="BY554" s="196"/>
      <c r="BZ554" s="196"/>
      <c r="CA554" s="196"/>
      <c r="CB554" s="178"/>
      <c r="CC554" s="178"/>
      <c r="CD554" s="202"/>
      <c r="CE554" s="202"/>
      <c r="CF554" s="178"/>
      <c r="CG554" s="196"/>
      <c r="CH554" s="178"/>
      <c r="CI554" s="178"/>
      <c r="CJ554" s="178"/>
      <c r="CK554" s="178"/>
      <c r="CL554" s="178"/>
      <c r="CM554" s="178"/>
      <c r="CN554" s="178"/>
      <c r="CO554" s="178"/>
      <c r="CP554" s="178"/>
      <c r="CQ554" s="178"/>
      <c r="CR554" s="178"/>
      <c r="CS554" s="178"/>
      <c r="CT554" s="178"/>
      <c r="CU554" s="178"/>
      <c r="CV554" s="178"/>
      <c r="CW554" s="178"/>
      <c r="CX554" s="178"/>
      <c r="CY554" s="178"/>
      <c r="CZ554" s="178"/>
      <c r="DA554" s="150"/>
    </row>
    <row r="555" spans="53:105" x14ac:dyDescent="0.2">
      <c r="BA555" s="518">
        <f t="shared" ca="1" si="37"/>
        <v>61</v>
      </c>
      <c r="BB555" s="174">
        <f t="shared" ca="1" si="38"/>
        <v>492</v>
      </c>
      <c r="BC555" s="525" t="e">
        <f ca="1">MATCH(BD555,OFFSET(Pinlist!$A$2,BC554*(BA555=BA554),0,$BM$23,1),0)+BC554*(BA555=BA554)</f>
        <v>#N/A</v>
      </c>
      <c r="BD555" s="167">
        <f t="shared" ca="1" si="39"/>
        <v>0</v>
      </c>
      <c r="BE555" s="191" t="e">
        <f ca="1">(OFFSET(Pinlist!$E$1,BC555,0)-$BN$16)*$BN$19</f>
        <v>#N/A</v>
      </c>
      <c r="BF555" s="192" t="e">
        <f ca="1">(OFFSET(Pinlist!$F$1,BC555,0)-$BO$16)*$BO$19</f>
        <v>#N/A</v>
      </c>
      <c r="BG555" s="1098" t="str">
        <f ca="1">IF(LEFT(BD555,2)="RF",OFFSET(Pinlist!$D$1,Chart!BC555,0)&amp;"_"&amp;OFFSET(Pinlist!$G$1,Chart!BC555,0),"")</f>
        <v/>
      </c>
      <c r="BH555" s="1098"/>
      <c r="BI555" s="178"/>
      <c r="BJ555" s="178"/>
      <c r="BK555" s="178"/>
      <c r="BL555" s="178"/>
      <c r="BM555" s="178"/>
      <c r="BN555" s="178"/>
      <c r="BO555" s="178"/>
      <c r="BP555" s="178"/>
      <c r="BQ555" s="196"/>
      <c r="BR555" s="196"/>
      <c r="BS555" s="196"/>
      <c r="BT555" s="196"/>
      <c r="BU555" s="196"/>
      <c r="BV555" s="196"/>
      <c r="BW555" s="178"/>
      <c r="BX555" s="196"/>
      <c r="BY555" s="196"/>
      <c r="BZ555" s="196"/>
      <c r="CA555" s="196"/>
      <c r="CB555" s="178"/>
      <c r="CC555" s="178"/>
      <c r="CD555" s="202"/>
      <c r="CE555" s="202"/>
      <c r="CF555" s="178"/>
      <c r="CG555" s="196"/>
      <c r="CH555" s="178"/>
      <c r="CI555" s="178"/>
      <c r="CJ555" s="178"/>
      <c r="CK555" s="178"/>
      <c r="CL555" s="178"/>
      <c r="CM555" s="178"/>
      <c r="CN555" s="178"/>
      <c r="CO555" s="178"/>
      <c r="CP555" s="178"/>
      <c r="CQ555" s="178"/>
      <c r="CR555" s="178"/>
      <c r="CS555" s="178"/>
      <c r="CT555" s="178"/>
      <c r="CU555" s="178"/>
      <c r="CV555" s="178"/>
      <c r="CW555" s="178"/>
      <c r="CX555" s="178"/>
      <c r="CY555" s="178"/>
      <c r="CZ555" s="178"/>
      <c r="DA555" s="150"/>
    </row>
    <row r="556" spans="53:105" x14ac:dyDescent="0.2">
      <c r="BA556" s="518">
        <f t="shared" ca="1" si="37"/>
        <v>61</v>
      </c>
      <c r="BB556" s="174">
        <f t="shared" ca="1" si="38"/>
        <v>493</v>
      </c>
      <c r="BC556" s="525" t="e">
        <f ca="1">MATCH(BD556,OFFSET(Pinlist!$A$2,BC555*(BA556=BA555),0,$BM$23,1),0)+BC555*(BA556=BA555)</f>
        <v>#N/A</v>
      </c>
      <c r="BD556" s="167">
        <f t="shared" ca="1" si="39"/>
        <v>0</v>
      </c>
      <c r="BE556" s="191" t="e">
        <f ca="1">(OFFSET(Pinlist!$E$1,BC556,0)-$BN$16)*$BN$19</f>
        <v>#N/A</v>
      </c>
      <c r="BF556" s="192" t="e">
        <f ca="1">(OFFSET(Pinlist!$F$1,BC556,0)-$BO$16)*$BO$19</f>
        <v>#N/A</v>
      </c>
      <c r="BG556" s="1098" t="str">
        <f ca="1">IF(LEFT(BD556,2)="RF",OFFSET(Pinlist!$D$1,Chart!BC556,0)&amp;"_"&amp;OFFSET(Pinlist!$G$1,Chart!BC556,0),"")</f>
        <v/>
      </c>
      <c r="BH556" s="1098"/>
      <c r="BI556" s="178"/>
      <c r="BJ556" s="178"/>
      <c r="BK556" s="178"/>
      <c r="BL556" s="178"/>
      <c r="BM556" s="178"/>
      <c r="BN556" s="178"/>
      <c r="BO556" s="178"/>
      <c r="BP556" s="178"/>
      <c r="BQ556" s="196"/>
      <c r="BR556" s="196"/>
      <c r="BS556" s="196"/>
      <c r="BT556" s="196"/>
      <c r="BU556" s="196"/>
      <c r="BV556" s="196"/>
      <c r="BW556" s="178"/>
      <c r="BX556" s="196"/>
      <c r="BY556" s="196"/>
      <c r="BZ556" s="196"/>
      <c r="CA556" s="196"/>
      <c r="CB556" s="178"/>
      <c r="CC556" s="178"/>
      <c r="CD556" s="202"/>
      <c r="CE556" s="202"/>
      <c r="CF556" s="178"/>
      <c r="CG556" s="196"/>
      <c r="CH556" s="178"/>
      <c r="CI556" s="178"/>
      <c r="CJ556" s="178"/>
      <c r="CK556" s="178"/>
      <c r="CL556" s="178"/>
      <c r="CM556" s="178"/>
      <c r="CN556" s="178"/>
      <c r="CO556" s="178"/>
      <c r="CP556" s="178"/>
      <c r="CQ556" s="178"/>
      <c r="CR556" s="178"/>
      <c r="CS556" s="178"/>
      <c r="CT556" s="178"/>
      <c r="CU556" s="178"/>
      <c r="CV556" s="178"/>
      <c r="CW556" s="178"/>
      <c r="CX556" s="178"/>
      <c r="CY556" s="178"/>
      <c r="CZ556" s="178"/>
      <c r="DA556" s="150"/>
    </row>
    <row r="557" spans="53:105" x14ac:dyDescent="0.2">
      <c r="BA557" s="518">
        <f t="shared" ca="1" si="37"/>
        <v>61</v>
      </c>
      <c r="BB557" s="174">
        <f t="shared" ca="1" si="38"/>
        <v>494</v>
      </c>
      <c r="BC557" s="525" t="e">
        <f ca="1">MATCH(BD557,OFFSET(Pinlist!$A$2,BC556*(BA557=BA556),0,$BM$23,1),0)+BC556*(BA557=BA556)</f>
        <v>#N/A</v>
      </c>
      <c r="BD557" s="167">
        <f t="shared" ca="1" si="39"/>
        <v>0</v>
      </c>
      <c r="BE557" s="191" t="e">
        <f ca="1">(OFFSET(Pinlist!$E$1,BC557,0)-$BN$16)*$BN$19</f>
        <v>#N/A</v>
      </c>
      <c r="BF557" s="192" t="e">
        <f ca="1">(OFFSET(Pinlist!$F$1,BC557,0)-$BO$16)*$BO$19</f>
        <v>#N/A</v>
      </c>
      <c r="BG557" s="1098" t="str">
        <f ca="1">IF(LEFT(BD557,2)="RF",OFFSET(Pinlist!$D$1,Chart!BC557,0)&amp;"_"&amp;OFFSET(Pinlist!$G$1,Chart!BC557,0),"")</f>
        <v/>
      </c>
      <c r="BH557" s="1098"/>
      <c r="BI557" s="178"/>
      <c r="BJ557" s="178"/>
      <c r="BK557" s="178"/>
      <c r="BL557" s="178"/>
      <c r="BM557" s="178"/>
      <c r="BN557" s="178"/>
      <c r="BO557" s="178"/>
      <c r="BP557" s="178"/>
      <c r="BQ557" s="196"/>
      <c r="BR557" s="196"/>
      <c r="BS557" s="196"/>
      <c r="BT557" s="196"/>
      <c r="BU557" s="196"/>
      <c r="BV557" s="196"/>
      <c r="BW557" s="178"/>
      <c r="BX557" s="196"/>
      <c r="BY557" s="196"/>
      <c r="BZ557" s="196"/>
      <c r="CA557" s="196"/>
      <c r="CB557" s="178"/>
      <c r="CC557" s="178"/>
      <c r="CD557" s="202"/>
      <c r="CE557" s="202"/>
      <c r="CF557" s="178"/>
      <c r="CG557" s="196"/>
      <c r="CH557" s="178"/>
      <c r="CI557" s="178"/>
      <c r="CJ557" s="178"/>
      <c r="CK557" s="178"/>
      <c r="CL557" s="178"/>
      <c r="CM557" s="178"/>
      <c r="CN557" s="178"/>
      <c r="CO557" s="178"/>
      <c r="CP557" s="178"/>
      <c r="CQ557" s="178"/>
      <c r="CR557" s="178"/>
      <c r="CS557" s="178"/>
      <c r="CT557" s="178"/>
      <c r="CU557" s="178"/>
      <c r="CV557" s="178"/>
      <c r="CW557" s="178"/>
      <c r="CX557" s="178"/>
      <c r="CY557" s="178"/>
      <c r="CZ557" s="178"/>
      <c r="DA557" s="150"/>
    </row>
    <row r="558" spans="53:105" x14ac:dyDescent="0.2">
      <c r="BA558" s="518">
        <f t="shared" ca="1" si="37"/>
        <v>61</v>
      </c>
      <c r="BB558" s="174">
        <f t="shared" ca="1" si="38"/>
        <v>495</v>
      </c>
      <c r="BC558" s="525" t="e">
        <f ca="1">MATCH(BD558,OFFSET(Pinlist!$A$2,BC557*(BA558=BA557),0,$BM$23,1),0)+BC557*(BA558=BA557)</f>
        <v>#N/A</v>
      </c>
      <c r="BD558" s="167">
        <f t="shared" ca="1" si="39"/>
        <v>0</v>
      </c>
      <c r="BE558" s="191" t="e">
        <f ca="1">(OFFSET(Pinlist!$E$1,BC558,0)-$BN$16)*$BN$19</f>
        <v>#N/A</v>
      </c>
      <c r="BF558" s="192" t="e">
        <f ca="1">(OFFSET(Pinlist!$F$1,BC558,0)-$BO$16)*$BO$19</f>
        <v>#N/A</v>
      </c>
      <c r="BG558" s="1098" t="str">
        <f ca="1">IF(LEFT(BD558,2)="RF",OFFSET(Pinlist!$D$1,Chart!BC558,0)&amp;"_"&amp;OFFSET(Pinlist!$G$1,Chart!BC558,0),"")</f>
        <v/>
      </c>
      <c r="BH558" s="1098"/>
      <c r="BI558" s="178"/>
      <c r="BJ558" s="178"/>
      <c r="BK558" s="178"/>
      <c r="BL558" s="178"/>
      <c r="BM558" s="178"/>
      <c r="BN558" s="178"/>
      <c r="BO558" s="178"/>
      <c r="BP558" s="178"/>
      <c r="BQ558" s="196"/>
      <c r="BR558" s="196"/>
      <c r="BS558" s="196"/>
      <c r="BT558" s="196"/>
      <c r="BU558" s="196"/>
      <c r="BV558" s="196"/>
      <c r="BW558" s="178"/>
      <c r="BX558" s="196"/>
      <c r="BY558" s="196"/>
      <c r="BZ558" s="196"/>
      <c r="CA558" s="196"/>
      <c r="CB558" s="178"/>
      <c r="CC558" s="178"/>
      <c r="CD558" s="202"/>
      <c r="CE558" s="202"/>
      <c r="CF558" s="178"/>
      <c r="CG558" s="196"/>
      <c r="CH558" s="178"/>
      <c r="CI558" s="178"/>
      <c r="CJ558" s="178"/>
      <c r="CK558" s="178"/>
      <c r="CL558" s="178"/>
      <c r="CM558" s="178"/>
      <c r="CN558" s="178"/>
      <c r="CO558" s="178"/>
      <c r="CP558" s="178"/>
      <c r="CQ558" s="178"/>
      <c r="CR558" s="178"/>
      <c r="CS558" s="178"/>
      <c r="CT558" s="178"/>
      <c r="CU558" s="178"/>
      <c r="CV558" s="178"/>
      <c r="CW558" s="178"/>
      <c r="CX558" s="178"/>
      <c r="CY558" s="178"/>
      <c r="CZ558" s="178"/>
      <c r="DA558" s="150"/>
    </row>
    <row r="559" spans="53:105" x14ac:dyDescent="0.2">
      <c r="BA559" s="518">
        <f t="shared" ca="1" si="37"/>
        <v>61</v>
      </c>
      <c r="BB559" s="174">
        <f t="shared" ca="1" si="38"/>
        <v>496</v>
      </c>
      <c r="BC559" s="525" t="e">
        <f ca="1">MATCH(BD559,OFFSET(Pinlist!$A$2,BC558*(BA559=BA558),0,$BM$23,1),0)+BC558*(BA559=BA558)</f>
        <v>#N/A</v>
      </c>
      <c r="BD559" s="167">
        <f t="shared" ca="1" si="39"/>
        <v>0</v>
      </c>
      <c r="BE559" s="191" t="e">
        <f ca="1">(OFFSET(Pinlist!$E$1,BC559,0)-$BN$16)*$BN$19</f>
        <v>#N/A</v>
      </c>
      <c r="BF559" s="192" t="e">
        <f ca="1">(OFFSET(Pinlist!$F$1,BC559,0)-$BO$16)*$BO$19</f>
        <v>#N/A</v>
      </c>
      <c r="BG559" s="1098" t="str">
        <f ca="1">IF(LEFT(BD559,2)="RF",OFFSET(Pinlist!$D$1,Chart!BC559,0)&amp;"_"&amp;OFFSET(Pinlist!$G$1,Chart!BC559,0),"")</f>
        <v/>
      </c>
      <c r="BH559" s="1098"/>
      <c r="BI559" s="178"/>
      <c r="BJ559" s="178"/>
      <c r="BK559" s="178"/>
      <c r="BL559" s="178"/>
      <c r="BM559" s="178"/>
      <c r="BN559" s="178"/>
      <c r="BO559" s="178"/>
      <c r="BP559" s="178"/>
      <c r="BQ559" s="196"/>
      <c r="BR559" s="196"/>
      <c r="BS559" s="196"/>
      <c r="BT559" s="196"/>
      <c r="BU559" s="196"/>
      <c r="BV559" s="196"/>
      <c r="BW559" s="178"/>
      <c r="BX559" s="196"/>
      <c r="BY559" s="196"/>
      <c r="BZ559" s="196"/>
      <c r="CA559" s="196"/>
      <c r="CB559" s="178"/>
      <c r="CC559" s="178"/>
      <c r="CD559" s="202"/>
      <c r="CE559" s="202"/>
      <c r="CF559" s="178"/>
      <c r="CG559" s="196"/>
      <c r="CH559" s="178"/>
      <c r="CI559" s="178"/>
      <c r="CJ559" s="178"/>
      <c r="CK559" s="178"/>
      <c r="CL559" s="178"/>
      <c r="CM559" s="178"/>
      <c r="CN559" s="178"/>
      <c r="CO559" s="178"/>
      <c r="CP559" s="178"/>
      <c r="CQ559" s="178"/>
      <c r="CR559" s="178"/>
      <c r="CS559" s="178"/>
      <c r="CT559" s="178"/>
      <c r="CU559" s="178"/>
      <c r="CV559" s="178"/>
      <c r="CW559" s="178"/>
      <c r="CX559" s="178"/>
      <c r="CY559" s="178"/>
      <c r="CZ559" s="178"/>
      <c r="DA559" s="150"/>
    </row>
    <row r="560" spans="53:105" x14ac:dyDescent="0.2">
      <c r="BA560" s="518">
        <f t="shared" ca="1" si="37"/>
        <v>61</v>
      </c>
      <c r="BB560" s="174">
        <f t="shared" ca="1" si="38"/>
        <v>497</v>
      </c>
      <c r="BC560" s="525" t="e">
        <f ca="1">MATCH(BD560,OFFSET(Pinlist!$A$2,BC559*(BA560=BA559),0,$BM$23,1),0)+BC559*(BA560=BA559)</f>
        <v>#N/A</v>
      </c>
      <c r="BD560" s="167">
        <f t="shared" ca="1" si="39"/>
        <v>0</v>
      </c>
      <c r="BE560" s="191" t="e">
        <f ca="1">(OFFSET(Pinlist!$E$1,BC560,0)-$BN$16)*$BN$19</f>
        <v>#N/A</v>
      </c>
      <c r="BF560" s="192" t="e">
        <f ca="1">(OFFSET(Pinlist!$F$1,BC560,0)-$BO$16)*$BO$19</f>
        <v>#N/A</v>
      </c>
      <c r="BG560" s="1098" t="str">
        <f ca="1">IF(LEFT(BD560,2)="RF",OFFSET(Pinlist!$D$1,Chart!BC560,0)&amp;"_"&amp;OFFSET(Pinlist!$G$1,Chart!BC560,0),"")</f>
        <v/>
      </c>
      <c r="BH560" s="1098"/>
      <c r="BI560" s="178"/>
      <c r="BJ560" s="178"/>
      <c r="BK560" s="178"/>
      <c r="BL560" s="178"/>
      <c r="BM560" s="178"/>
      <c r="BN560" s="178"/>
      <c r="BO560" s="178"/>
      <c r="BP560" s="178"/>
      <c r="BQ560" s="196"/>
      <c r="BR560" s="196"/>
      <c r="BS560" s="196"/>
      <c r="BT560" s="196"/>
      <c r="BU560" s="196"/>
      <c r="BV560" s="196"/>
      <c r="BW560" s="178"/>
      <c r="BX560" s="196"/>
      <c r="BY560" s="196"/>
      <c r="BZ560" s="196"/>
      <c r="CA560" s="196"/>
      <c r="CB560" s="178"/>
      <c r="CC560" s="178"/>
      <c r="CD560" s="202"/>
      <c r="CE560" s="202"/>
      <c r="CF560" s="178"/>
      <c r="CG560" s="196"/>
      <c r="CH560" s="178"/>
      <c r="CI560" s="178"/>
      <c r="CJ560" s="178"/>
      <c r="CK560" s="178"/>
      <c r="CL560" s="178"/>
      <c r="CM560" s="178"/>
      <c r="CN560" s="178"/>
      <c r="CO560" s="178"/>
      <c r="CP560" s="178"/>
      <c r="CQ560" s="178"/>
      <c r="CR560" s="178"/>
      <c r="CS560" s="178"/>
      <c r="CT560" s="178"/>
      <c r="CU560" s="178"/>
      <c r="CV560" s="178"/>
      <c r="CW560" s="178"/>
      <c r="CX560" s="178"/>
      <c r="CY560" s="178"/>
      <c r="CZ560" s="178"/>
      <c r="DA560" s="150"/>
    </row>
    <row r="561" spans="53:105" x14ac:dyDescent="0.2">
      <c r="BA561" s="518">
        <f t="shared" ca="1" si="37"/>
        <v>61</v>
      </c>
      <c r="BB561" s="174">
        <f t="shared" ca="1" si="38"/>
        <v>498</v>
      </c>
      <c r="BC561" s="525" t="e">
        <f ca="1">MATCH(BD561,OFFSET(Pinlist!$A$2,BC560*(BA561=BA560),0,$BM$23,1),0)+BC560*(BA561=BA560)</f>
        <v>#N/A</v>
      </c>
      <c r="BD561" s="167">
        <f t="shared" ca="1" si="39"/>
        <v>0</v>
      </c>
      <c r="BE561" s="191" t="e">
        <f ca="1">(OFFSET(Pinlist!$E$1,BC561,0)-$BN$16)*$BN$19</f>
        <v>#N/A</v>
      </c>
      <c r="BF561" s="192" t="e">
        <f ca="1">(OFFSET(Pinlist!$F$1,BC561,0)-$BO$16)*$BO$19</f>
        <v>#N/A</v>
      </c>
      <c r="BG561" s="1098" t="str">
        <f ca="1">IF(LEFT(BD561,2)="RF",OFFSET(Pinlist!$D$1,Chart!BC561,0)&amp;"_"&amp;OFFSET(Pinlist!$G$1,Chart!BC561,0),"")</f>
        <v/>
      </c>
      <c r="BH561" s="1098"/>
      <c r="BI561" s="178"/>
      <c r="BJ561" s="178"/>
      <c r="BK561" s="178"/>
      <c r="BL561" s="178"/>
      <c r="BM561" s="178"/>
      <c r="BN561" s="178"/>
      <c r="BO561" s="178"/>
      <c r="BP561" s="178"/>
      <c r="BQ561" s="196"/>
      <c r="BR561" s="196"/>
      <c r="BS561" s="196"/>
      <c r="BT561" s="196"/>
      <c r="BU561" s="196"/>
      <c r="BV561" s="196"/>
      <c r="BW561" s="178"/>
      <c r="BX561" s="196"/>
      <c r="BY561" s="196"/>
      <c r="BZ561" s="196"/>
      <c r="CA561" s="196"/>
      <c r="CB561" s="178"/>
      <c r="CC561" s="178"/>
      <c r="CD561" s="202"/>
      <c r="CE561" s="202"/>
      <c r="CF561" s="178"/>
      <c r="CG561" s="196"/>
      <c r="CH561" s="178"/>
      <c r="CI561" s="178"/>
      <c r="CJ561" s="178"/>
      <c r="CK561" s="178"/>
      <c r="CL561" s="178"/>
      <c r="CM561" s="178"/>
      <c r="CN561" s="178"/>
      <c r="CO561" s="178"/>
      <c r="CP561" s="178"/>
      <c r="CQ561" s="178"/>
      <c r="CR561" s="178"/>
      <c r="CS561" s="178"/>
      <c r="CT561" s="178"/>
      <c r="CU561" s="178"/>
      <c r="CV561" s="178"/>
      <c r="CW561" s="178"/>
      <c r="CX561" s="178"/>
      <c r="CY561" s="178"/>
      <c r="CZ561" s="178"/>
      <c r="DA561" s="150"/>
    </row>
    <row r="562" spans="53:105" x14ac:dyDescent="0.2">
      <c r="BA562" s="518">
        <f t="shared" ca="1" si="37"/>
        <v>61</v>
      </c>
      <c r="BB562" s="174">
        <f t="shared" ca="1" si="38"/>
        <v>499</v>
      </c>
      <c r="BC562" s="525" t="e">
        <f ca="1">MATCH(BD562,OFFSET(Pinlist!$A$2,BC561*(BA562=BA561),0,$BM$23,1),0)+BC561*(BA562=BA561)</f>
        <v>#N/A</v>
      </c>
      <c r="BD562" s="167">
        <f t="shared" ca="1" si="39"/>
        <v>0</v>
      </c>
      <c r="BE562" s="191" t="e">
        <f ca="1">(OFFSET(Pinlist!$E$1,BC562,0)-$BN$16)*$BN$19</f>
        <v>#N/A</v>
      </c>
      <c r="BF562" s="192" t="e">
        <f ca="1">(OFFSET(Pinlist!$F$1,BC562,0)-$BO$16)*$BO$19</f>
        <v>#N/A</v>
      </c>
      <c r="BG562" s="1098" t="str">
        <f ca="1">IF(LEFT(BD562,2)="RF",OFFSET(Pinlist!$D$1,Chart!BC562,0)&amp;"_"&amp;OFFSET(Pinlist!$G$1,Chart!BC562,0),"")</f>
        <v/>
      </c>
      <c r="BH562" s="1098"/>
      <c r="BI562" s="178"/>
      <c r="BJ562" s="178"/>
      <c r="BK562" s="178"/>
      <c r="BL562" s="178"/>
      <c r="BM562" s="178"/>
      <c r="BN562" s="178"/>
      <c r="BO562" s="178"/>
      <c r="BP562" s="178"/>
      <c r="BQ562" s="196"/>
      <c r="BR562" s="196"/>
      <c r="BS562" s="196"/>
      <c r="BT562" s="196"/>
      <c r="BU562" s="196"/>
      <c r="BV562" s="196"/>
      <c r="BW562" s="178"/>
      <c r="BX562" s="196"/>
      <c r="BY562" s="196"/>
      <c r="BZ562" s="196"/>
      <c r="CA562" s="196"/>
      <c r="CB562" s="178"/>
      <c r="CC562" s="178"/>
      <c r="CD562" s="202"/>
      <c r="CE562" s="202"/>
      <c r="CF562" s="178"/>
      <c r="CG562" s="196"/>
      <c r="CH562" s="178"/>
      <c r="CI562" s="178"/>
      <c r="CJ562" s="178"/>
      <c r="CK562" s="178"/>
      <c r="CL562" s="178"/>
      <c r="CM562" s="178"/>
      <c r="CN562" s="178"/>
      <c r="CO562" s="178"/>
      <c r="CP562" s="178"/>
      <c r="CQ562" s="178"/>
      <c r="CR562" s="178"/>
      <c r="CS562" s="178"/>
      <c r="CT562" s="178"/>
      <c r="CU562" s="178"/>
      <c r="CV562" s="178"/>
      <c r="CW562" s="178"/>
      <c r="CX562" s="178"/>
      <c r="CY562" s="178"/>
      <c r="CZ562" s="178"/>
      <c r="DA562" s="150"/>
    </row>
    <row r="563" spans="53:105" x14ac:dyDescent="0.2">
      <c r="BA563" s="518">
        <f t="shared" ca="1" si="37"/>
        <v>61</v>
      </c>
      <c r="BB563" s="174">
        <f t="shared" ca="1" si="38"/>
        <v>500</v>
      </c>
      <c r="BC563" s="525" t="e">
        <f ca="1">MATCH(BD563,OFFSET(Pinlist!$A$2,BC562*(BA563=BA562),0,$BM$23,1),0)+BC562*(BA563=BA562)</f>
        <v>#N/A</v>
      </c>
      <c r="BD563" s="167">
        <f t="shared" ca="1" si="39"/>
        <v>0</v>
      </c>
      <c r="BE563" s="191" t="e">
        <f ca="1">(OFFSET(Pinlist!$E$1,BC563,0)-$BN$16)*$BN$19</f>
        <v>#N/A</v>
      </c>
      <c r="BF563" s="192" t="e">
        <f ca="1">(OFFSET(Pinlist!$F$1,BC563,0)-$BO$16)*$BO$19</f>
        <v>#N/A</v>
      </c>
      <c r="BG563" s="1098" t="str">
        <f ca="1">IF(LEFT(BD563,2)="RF",OFFSET(Pinlist!$D$1,Chart!BC563,0)&amp;"_"&amp;OFFSET(Pinlist!$G$1,Chart!BC563,0),"")</f>
        <v/>
      </c>
      <c r="BH563" s="1098"/>
      <c r="BI563" s="178"/>
      <c r="BJ563" s="178"/>
      <c r="BK563" s="178"/>
      <c r="BL563" s="178"/>
      <c r="BM563" s="178"/>
      <c r="BN563" s="178"/>
      <c r="BO563" s="178"/>
      <c r="BP563" s="178"/>
      <c r="BQ563" s="196"/>
      <c r="BR563" s="196"/>
      <c r="BS563" s="196"/>
      <c r="BT563" s="196"/>
      <c r="BU563" s="196"/>
      <c r="BV563" s="196"/>
      <c r="BW563" s="178"/>
      <c r="BX563" s="196"/>
      <c r="BY563" s="196"/>
      <c r="BZ563" s="196"/>
      <c r="CA563" s="196"/>
      <c r="CB563" s="178"/>
      <c r="CC563" s="178"/>
      <c r="CD563" s="202"/>
      <c r="CE563" s="202"/>
      <c r="CF563" s="178"/>
      <c r="CG563" s="196"/>
      <c r="CH563" s="178"/>
      <c r="CI563" s="178"/>
      <c r="CJ563" s="178"/>
      <c r="CK563" s="178"/>
      <c r="CL563" s="178"/>
      <c r="CM563" s="178"/>
      <c r="CN563" s="178"/>
      <c r="CO563" s="178"/>
      <c r="CP563" s="178"/>
      <c r="CQ563" s="178"/>
      <c r="CR563" s="178"/>
      <c r="CS563" s="178"/>
      <c r="CT563" s="178"/>
      <c r="CU563" s="178"/>
      <c r="CV563" s="178"/>
      <c r="CW563" s="178"/>
      <c r="CX563" s="178"/>
      <c r="CY563" s="178"/>
      <c r="CZ563" s="178"/>
      <c r="DA563" s="150"/>
    </row>
    <row r="564" spans="53:105" x14ac:dyDescent="0.2">
      <c r="BA564" s="518">
        <f t="shared" ca="1" si="37"/>
        <v>61</v>
      </c>
      <c r="BB564" s="174">
        <f t="shared" ca="1" si="38"/>
        <v>501</v>
      </c>
      <c r="BC564" s="525" t="e">
        <f ca="1">MATCH(BD564,OFFSET(Pinlist!$A$2,BC563*(BA564=BA563),0,$BM$23,1),0)+BC563*(BA564=BA563)</f>
        <v>#N/A</v>
      </c>
      <c r="BD564" s="167">
        <f t="shared" ca="1" si="39"/>
        <v>0</v>
      </c>
      <c r="BE564" s="191" t="e">
        <f ca="1">(OFFSET(Pinlist!$E$1,BC564,0)-$BN$16)*$BN$19</f>
        <v>#N/A</v>
      </c>
      <c r="BF564" s="192" t="e">
        <f ca="1">(OFFSET(Pinlist!$F$1,BC564,0)-$BO$16)*$BO$19</f>
        <v>#N/A</v>
      </c>
      <c r="BG564" s="1098" t="str">
        <f ca="1">IF(LEFT(BD564,2)="RF",OFFSET(Pinlist!$D$1,Chart!BC564,0)&amp;"_"&amp;OFFSET(Pinlist!$G$1,Chart!BC564,0),"")</f>
        <v/>
      </c>
      <c r="BH564" s="1098"/>
      <c r="BI564" s="178"/>
      <c r="BJ564" s="178"/>
      <c r="BK564" s="178"/>
      <c r="BL564" s="178"/>
      <c r="BM564" s="178"/>
      <c r="BN564" s="178"/>
      <c r="BO564" s="178"/>
      <c r="BP564" s="178"/>
      <c r="BQ564" s="196"/>
      <c r="BR564" s="196"/>
      <c r="BS564" s="196"/>
      <c r="BT564" s="196"/>
      <c r="BU564" s="196"/>
      <c r="BV564" s="196"/>
      <c r="BW564" s="178"/>
      <c r="BX564" s="196"/>
      <c r="BY564" s="196"/>
      <c r="BZ564" s="196"/>
      <c r="CA564" s="196"/>
      <c r="CB564" s="178"/>
      <c r="CC564" s="178"/>
      <c r="CD564" s="202"/>
      <c r="CE564" s="202"/>
      <c r="CF564" s="178"/>
      <c r="CG564" s="196"/>
      <c r="CH564" s="178"/>
      <c r="CI564" s="178"/>
      <c r="CJ564" s="178"/>
      <c r="CK564" s="178"/>
      <c r="CL564" s="178"/>
      <c r="CM564" s="178"/>
      <c r="CN564" s="178"/>
      <c r="CO564" s="178"/>
      <c r="CP564" s="178"/>
      <c r="CQ564" s="178"/>
      <c r="CR564" s="178"/>
      <c r="CS564" s="178"/>
      <c r="CT564" s="178"/>
      <c r="CU564" s="178"/>
      <c r="CV564" s="178"/>
      <c r="CW564" s="178"/>
      <c r="CX564" s="178"/>
      <c r="CY564" s="178"/>
      <c r="CZ564" s="178"/>
      <c r="DA564" s="150"/>
    </row>
    <row r="565" spans="53:105" x14ac:dyDescent="0.2">
      <c r="BA565" s="518">
        <f t="shared" ca="1" si="37"/>
        <v>61</v>
      </c>
      <c r="BB565" s="174">
        <f t="shared" ca="1" si="38"/>
        <v>502</v>
      </c>
      <c r="BC565" s="525" t="e">
        <f ca="1">MATCH(BD565,OFFSET(Pinlist!$A$2,BC564*(BA565=BA564),0,$BM$23,1),0)+BC564*(BA565=BA564)</f>
        <v>#N/A</v>
      </c>
      <c r="BD565" s="167">
        <f t="shared" ca="1" si="39"/>
        <v>0</v>
      </c>
      <c r="BE565" s="191" t="e">
        <f ca="1">(OFFSET(Pinlist!$E$1,BC565,0)-$BN$16)*$BN$19</f>
        <v>#N/A</v>
      </c>
      <c r="BF565" s="192" t="e">
        <f ca="1">(OFFSET(Pinlist!$F$1,BC565,0)-$BO$16)*$BO$19</f>
        <v>#N/A</v>
      </c>
      <c r="BG565" s="1098" t="str">
        <f ca="1">IF(LEFT(BD565,2)="RF",OFFSET(Pinlist!$D$1,Chart!BC565,0)&amp;"_"&amp;OFFSET(Pinlist!$G$1,Chart!BC565,0),"")</f>
        <v/>
      </c>
      <c r="BH565" s="1098"/>
      <c r="BI565" s="178"/>
      <c r="BJ565" s="178"/>
      <c r="BK565" s="178"/>
      <c r="BL565" s="178"/>
      <c r="BM565" s="178"/>
      <c r="BN565" s="178"/>
      <c r="BO565" s="178"/>
      <c r="BP565" s="178"/>
      <c r="BQ565" s="196"/>
      <c r="BR565" s="196"/>
      <c r="BS565" s="196"/>
      <c r="BT565" s="196"/>
      <c r="BU565" s="196"/>
      <c r="BV565" s="196"/>
      <c r="BW565" s="178"/>
      <c r="BX565" s="196"/>
      <c r="BY565" s="196"/>
      <c r="BZ565" s="196"/>
      <c r="CA565" s="196"/>
      <c r="CB565" s="178"/>
      <c r="CC565" s="178"/>
      <c r="CD565" s="202"/>
      <c r="CE565" s="202"/>
      <c r="CF565" s="178"/>
      <c r="CG565" s="196"/>
      <c r="CH565" s="178"/>
      <c r="CI565" s="178"/>
      <c r="CJ565" s="178"/>
      <c r="CK565" s="178"/>
      <c r="CL565" s="178"/>
      <c r="CM565" s="178"/>
      <c r="CN565" s="178"/>
      <c r="CO565" s="178"/>
      <c r="CP565" s="178"/>
      <c r="CQ565" s="178"/>
      <c r="CR565" s="178"/>
      <c r="CS565" s="178"/>
      <c r="CT565" s="178"/>
      <c r="CU565" s="178"/>
      <c r="CV565" s="178"/>
      <c r="CW565" s="178"/>
      <c r="CX565" s="178"/>
      <c r="CY565" s="178"/>
      <c r="CZ565" s="178"/>
      <c r="DA565" s="150"/>
    </row>
    <row r="566" spans="53:105" x14ac:dyDescent="0.2">
      <c r="BA566" s="518">
        <f t="shared" ca="1" si="37"/>
        <v>61</v>
      </c>
      <c r="BB566" s="174">
        <f t="shared" ca="1" si="38"/>
        <v>503</v>
      </c>
      <c r="BC566" s="525" t="e">
        <f ca="1">MATCH(BD566,OFFSET(Pinlist!$A$2,BC565*(BA566=BA565),0,$BM$23,1),0)+BC565*(BA566=BA565)</f>
        <v>#N/A</v>
      </c>
      <c r="BD566" s="167">
        <f t="shared" ca="1" si="39"/>
        <v>0</v>
      </c>
      <c r="BE566" s="191" t="e">
        <f ca="1">(OFFSET(Pinlist!$E$1,BC566,0)-$BN$16)*$BN$19</f>
        <v>#N/A</v>
      </c>
      <c r="BF566" s="192" t="e">
        <f ca="1">(OFFSET(Pinlist!$F$1,BC566,0)-$BO$16)*$BO$19</f>
        <v>#N/A</v>
      </c>
      <c r="BG566" s="1098" t="str">
        <f ca="1">IF(LEFT(BD566,2)="RF",OFFSET(Pinlist!$D$1,Chart!BC566,0)&amp;"_"&amp;OFFSET(Pinlist!$G$1,Chart!BC566,0),"")</f>
        <v/>
      </c>
      <c r="BH566" s="1098"/>
      <c r="BI566" s="178"/>
      <c r="BJ566" s="178"/>
      <c r="BK566" s="178"/>
      <c r="BL566" s="178"/>
      <c r="BM566" s="178"/>
      <c r="BN566" s="178"/>
      <c r="BO566" s="178"/>
      <c r="BP566" s="178"/>
      <c r="BQ566" s="196"/>
      <c r="BR566" s="196"/>
      <c r="BS566" s="196"/>
      <c r="BT566" s="196"/>
      <c r="BU566" s="196"/>
      <c r="BV566" s="196"/>
      <c r="BW566" s="178"/>
      <c r="BX566" s="196"/>
      <c r="BY566" s="196"/>
      <c r="BZ566" s="196"/>
      <c r="CA566" s="196"/>
      <c r="CB566" s="178"/>
      <c r="CC566" s="178"/>
      <c r="CD566" s="202"/>
      <c r="CE566" s="202"/>
      <c r="CF566" s="178"/>
      <c r="CG566" s="196"/>
      <c r="CH566" s="178"/>
      <c r="CI566" s="178"/>
      <c r="CJ566" s="178"/>
      <c r="CK566" s="178"/>
      <c r="CL566" s="178"/>
      <c r="CM566" s="178"/>
      <c r="CN566" s="178"/>
      <c r="CO566" s="178"/>
      <c r="CP566" s="178"/>
      <c r="CQ566" s="178"/>
      <c r="CR566" s="178"/>
      <c r="CS566" s="178"/>
      <c r="CT566" s="178"/>
      <c r="CU566" s="178"/>
      <c r="CV566" s="178"/>
      <c r="CW566" s="178"/>
      <c r="CX566" s="178"/>
      <c r="CY566" s="178"/>
      <c r="CZ566" s="178"/>
      <c r="DA566" s="150"/>
    </row>
    <row r="567" spans="53:105" x14ac:dyDescent="0.2">
      <c r="BA567" s="518">
        <f t="shared" ca="1" si="37"/>
        <v>61</v>
      </c>
      <c r="BB567" s="174">
        <f t="shared" ca="1" si="38"/>
        <v>504</v>
      </c>
      <c r="BC567" s="525" t="e">
        <f ca="1">MATCH(BD567,OFFSET(Pinlist!$A$2,BC566*(BA567=BA566),0,$BM$23,1),0)+BC566*(BA567=BA566)</f>
        <v>#N/A</v>
      </c>
      <c r="BD567" s="167">
        <f t="shared" ca="1" si="39"/>
        <v>0</v>
      </c>
      <c r="BE567" s="191" t="e">
        <f ca="1">(OFFSET(Pinlist!$E$1,BC567,0)-$BN$16)*$BN$19</f>
        <v>#N/A</v>
      </c>
      <c r="BF567" s="192" t="e">
        <f ca="1">(OFFSET(Pinlist!$F$1,BC567,0)-$BO$16)*$BO$19</f>
        <v>#N/A</v>
      </c>
      <c r="BG567" s="1098" t="str">
        <f ca="1">IF(LEFT(BD567,2)="RF",OFFSET(Pinlist!$D$1,Chart!BC567,0)&amp;"_"&amp;OFFSET(Pinlist!$G$1,Chart!BC567,0),"")</f>
        <v/>
      </c>
      <c r="BH567" s="1098"/>
      <c r="BI567" s="178"/>
      <c r="BJ567" s="178"/>
      <c r="BK567" s="178"/>
      <c r="BL567" s="178"/>
      <c r="BM567" s="178"/>
      <c r="BN567" s="178"/>
      <c r="BO567" s="178"/>
      <c r="BP567" s="178"/>
      <c r="BQ567" s="196"/>
      <c r="BR567" s="196"/>
      <c r="BS567" s="196"/>
      <c r="BT567" s="196"/>
      <c r="BU567" s="196"/>
      <c r="BV567" s="196"/>
      <c r="BW567" s="178"/>
      <c r="BX567" s="196"/>
      <c r="BY567" s="196"/>
      <c r="BZ567" s="196"/>
      <c r="CA567" s="196"/>
      <c r="CB567" s="178"/>
      <c r="CC567" s="178"/>
      <c r="CD567" s="202"/>
      <c r="CE567" s="202"/>
      <c r="CF567" s="178"/>
      <c r="CG567" s="196"/>
      <c r="CH567" s="178"/>
      <c r="CI567" s="178"/>
      <c r="CJ567" s="178"/>
      <c r="CK567" s="178"/>
      <c r="CL567" s="178"/>
      <c r="CM567" s="178"/>
      <c r="CN567" s="178"/>
      <c r="CO567" s="178"/>
      <c r="CP567" s="178"/>
      <c r="CQ567" s="178"/>
      <c r="CR567" s="178"/>
      <c r="CS567" s="178"/>
      <c r="CT567" s="178"/>
      <c r="CU567" s="178"/>
      <c r="CV567" s="178"/>
      <c r="CW567" s="178"/>
      <c r="CX567" s="178"/>
      <c r="CY567" s="178"/>
      <c r="CZ567" s="178"/>
      <c r="DA567" s="150"/>
    </row>
    <row r="568" spans="53:105" x14ac:dyDescent="0.2">
      <c r="BA568" s="518">
        <f t="shared" ca="1" si="37"/>
        <v>61</v>
      </c>
      <c r="BB568" s="174">
        <f t="shared" ca="1" si="38"/>
        <v>505</v>
      </c>
      <c r="BC568" s="525" t="e">
        <f ca="1">MATCH(BD568,OFFSET(Pinlist!$A$2,BC567*(BA568=BA567),0,$BM$23,1),0)+BC567*(BA568=BA567)</f>
        <v>#N/A</v>
      </c>
      <c r="BD568" s="167">
        <f t="shared" ca="1" si="39"/>
        <v>0</v>
      </c>
      <c r="BE568" s="191" t="e">
        <f ca="1">(OFFSET(Pinlist!$E$1,BC568,0)-$BN$16)*$BN$19</f>
        <v>#N/A</v>
      </c>
      <c r="BF568" s="192" t="e">
        <f ca="1">(OFFSET(Pinlist!$F$1,BC568,0)-$BO$16)*$BO$19</f>
        <v>#N/A</v>
      </c>
      <c r="BG568" s="1098" t="str">
        <f ca="1">IF(LEFT(BD568,2)="RF",OFFSET(Pinlist!$D$1,Chart!BC568,0)&amp;"_"&amp;OFFSET(Pinlist!$G$1,Chart!BC568,0),"")</f>
        <v/>
      </c>
      <c r="BH568" s="1098"/>
      <c r="BI568" s="178"/>
      <c r="BJ568" s="178"/>
      <c r="BK568" s="178"/>
      <c r="BL568" s="178"/>
      <c r="BM568" s="178"/>
      <c r="BN568" s="178"/>
      <c r="BO568" s="178"/>
      <c r="BP568" s="178"/>
      <c r="BQ568" s="196"/>
      <c r="BR568" s="196"/>
      <c r="BS568" s="196"/>
      <c r="BT568" s="196"/>
      <c r="BU568" s="196"/>
      <c r="BV568" s="196"/>
      <c r="BW568" s="178"/>
      <c r="BX568" s="196"/>
      <c r="BY568" s="196"/>
      <c r="BZ568" s="196"/>
      <c r="CA568" s="196"/>
      <c r="CB568" s="178"/>
      <c r="CC568" s="178"/>
      <c r="CD568" s="202"/>
      <c r="CE568" s="202"/>
      <c r="CF568" s="178"/>
      <c r="CG568" s="196"/>
      <c r="CH568" s="178"/>
      <c r="CI568" s="178"/>
      <c r="CJ568" s="178"/>
      <c r="CK568" s="178"/>
      <c r="CL568" s="178"/>
      <c r="CM568" s="178"/>
      <c r="CN568" s="178"/>
      <c r="CO568" s="178"/>
      <c r="CP568" s="178"/>
      <c r="CQ568" s="178"/>
      <c r="CR568" s="178"/>
      <c r="CS568" s="178"/>
      <c r="CT568" s="178"/>
      <c r="CU568" s="178"/>
      <c r="CV568" s="178"/>
      <c r="CW568" s="178"/>
      <c r="CX568" s="178"/>
      <c r="CY568" s="178"/>
      <c r="CZ568" s="178"/>
      <c r="DA568" s="150"/>
    </row>
    <row r="569" spans="53:105" x14ac:dyDescent="0.2">
      <c r="BA569" s="518">
        <f t="shared" ca="1" si="37"/>
        <v>61</v>
      </c>
      <c r="BB569" s="174">
        <f t="shared" ca="1" si="38"/>
        <v>506</v>
      </c>
      <c r="BC569" s="525" t="e">
        <f ca="1">MATCH(BD569,OFFSET(Pinlist!$A$2,BC568*(BA569=BA568),0,$BM$23,1),0)+BC568*(BA569=BA568)</f>
        <v>#N/A</v>
      </c>
      <c r="BD569" s="167">
        <f t="shared" ca="1" si="39"/>
        <v>0</v>
      </c>
      <c r="BE569" s="191" t="e">
        <f ca="1">(OFFSET(Pinlist!$E$1,BC569,0)-$BN$16)*$BN$19</f>
        <v>#N/A</v>
      </c>
      <c r="BF569" s="192" t="e">
        <f ca="1">(OFFSET(Pinlist!$F$1,BC569,0)-$BO$16)*$BO$19</f>
        <v>#N/A</v>
      </c>
      <c r="BG569" s="1098" t="str">
        <f ca="1">IF(LEFT(BD569,2)="RF",OFFSET(Pinlist!$D$1,Chart!BC569,0)&amp;"_"&amp;OFFSET(Pinlist!$G$1,Chart!BC569,0),"")</f>
        <v/>
      </c>
      <c r="BH569" s="1098"/>
      <c r="BI569" s="178"/>
      <c r="BJ569" s="178"/>
      <c r="BK569" s="178"/>
      <c r="BL569" s="178"/>
      <c r="BM569" s="178"/>
      <c r="BN569" s="178"/>
      <c r="BO569" s="178"/>
      <c r="BP569" s="178"/>
      <c r="BQ569" s="196"/>
      <c r="BR569" s="196"/>
      <c r="BS569" s="196"/>
      <c r="BT569" s="196"/>
      <c r="BU569" s="196"/>
      <c r="BV569" s="196"/>
      <c r="BW569" s="178"/>
      <c r="BX569" s="196"/>
      <c r="BY569" s="196"/>
      <c r="BZ569" s="196"/>
      <c r="CA569" s="196"/>
      <c r="CB569" s="178"/>
      <c r="CC569" s="178"/>
      <c r="CD569" s="202"/>
      <c r="CE569" s="202"/>
      <c r="CF569" s="178"/>
      <c r="CG569" s="196"/>
      <c r="CH569" s="178"/>
      <c r="CI569" s="178"/>
      <c r="CJ569" s="178"/>
      <c r="CK569" s="178"/>
      <c r="CL569" s="178"/>
      <c r="CM569" s="178"/>
      <c r="CN569" s="178"/>
      <c r="CO569" s="178"/>
      <c r="CP569" s="178"/>
      <c r="CQ569" s="178"/>
      <c r="CR569" s="178"/>
      <c r="CS569" s="178"/>
      <c r="CT569" s="178"/>
      <c r="CU569" s="178"/>
      <c r="CV569" s="178"/>
      <c r="CW569" s="178"/>
      <c r="CX569" s="178"/>
      <c r="CY569" s="178"/>
      <c r="CZ569" s="178"/>
      <c r="DA569" s="150"/>
    </row>
    <row r="570" spans="53:105" x14ac:dyDescent="0.2">
      <c r="BA570" s="518">
        <f t="shared" ca="1" si="37"/>
        <v>61</v>
      </c>
      <c r="BB570" s="174">
        <f t="shared" ca="1" si="38"/>
        <v>507</v>
      </c>
      <c r="BC570" s="525" t="e">
        <f ca="1">MATCH(BD570,OFFSET(Pinlist!$A$2,BC569*(BA570=BA569),0,$BM$23,1),0)+BC569*(BA570=BA569)</f>
        <v>#N/A</v>
      </c>
      <c r="BD570" s="167">
        <f t="shared" ca="1" si="39"/>
        <v>0</v>
      </c>
      <c r="BE570" s="191" t="e">
        <f ca="1">(OFFSET(Pinlist!$E$1,BC570,0)-$BN$16)*$BN$19</f>
        <v>#N/A</v>
      </c>
      <c r="BF570" s="192" t="e">
        <f ca="1">(OFFSET(Pinlist!$F$1,BC570,0)-$BO$16)*$BO$19</f>
        <v>#N/A</v>
      </c>
      <c r="BG570" s="1098" t="str">
        <f ca="1">IF(LEFT(BD570,2)="RF",OFFSET(Pinlist!$D$1,Chart!BC570,0)&amp;"_"&amp;OFFSET(Pinlist!$G$1,Chart!BC570,0),"")</f>
        <v/>
      </c>
      <c r="BH570" s="1098"/>
      <c r="BI570" s="178"/>
      <c r="BJ570" s="178"/>
      <c r="BK570" s="178"/>
      <c r="BL570" s="178"/>
      <c r="BM570" s="178"/>
      <c r="BN570" s="178"/>
      <c r="BO570" s="178"/>
      <c r="BP570" s="178"/>
      <c r="BQ570" s="196"/>
      <c r="BR570" s="196"/>
      <c r="BS570" s="196"/>
      <c r="BT570" s="196"/>
      <c r="BU570" s="196"/>
      <c r="BV570" s="196"/>
      <c r="BW570" s="178"/>
      <c r="BX570" s="196"/>
      <c r="BY570" s="196"/>
      <c r="BZ570" s="196"/>
      <c r="CA570" s="196"/>
      <c r="CB570" s="178"/>
      <c r="CC570" s="178"/>
      <c r="CD570" s="202"/>
      <c r="CE570" s="202"/>
      <c r="CF570" s="178"/>
      <c r="CG570" s="196"/>
      <c r="CH570" s="178"/>
      <c r="CI570" s="178"/>
      <c r="CJ570" s="178"/>
      <c r="CK570" s="178"/>
      <c r="CL570" s="178"/>
      <c r="CM570" s="178"/>
      <c r="CN570" s="178"/>
      <c r="CO570" s="178"/>
      <c r="CP570" s="178"/>
      <c r="CQ570" s="178"/>
      <c r="CR570" s="178"/>
      <c r="CS570" s="178"/>
      <c r="CT570" s="178"/>
      <c r="CU570" s="178"/>
      <c r="CV570" s="178"/>
      <c r="CW570" s="178"/>
      <c r="CX570" s="178"/>
      <c r="CY570" s="178"/>
      <c r="CZ570" s="178"/>
      <c r="DA570" s="150"/>
    </row>
    <row r="571" spans="53:105" x14ac:dyDescent="0.2">
      <c r="BA571" s="518">
        <f t="shared" ca="1" si="37"/>
        <v>61</v>
      </c>
      <c r="BB571" s="174">
        <f t="shared" ca="1" si="38"/>
        <v>508</v>
      </c>
      <c r="BC571" s="525" t="e">
        <f ca="1">MATCH(BD571,OFFSET(Pinlist!$A$2,BC570*(BA571=BA570),0,$BM$23,1),0)+BC570*(BA571=BA570)</f>
        <v>#N/A</v>
      </c>
      <c r="BD571" s="167">
        <f t="shared" ca="1" si="39"/>
        <v>0</v>
      </c>
      <c r="BE571" s="191" t="e">
        <f ca="1">(OFFSET(Pinlist!$E$1,BC571,0)-$BN$16)*$BN$19</f>
        <v>#N/A</v>
      </c>
      <c r="BF571" s="192" t="e">
        <f ca="1">(OFFSET(Pinlist!$F$1,BC571,0)-$BO$16)*$BO$19</f>
        <v>#N/A</v>
      </c>
      <c r="BG571" s="1098" t="str">
        <f ca="1">IF(LEFT(BD571,2)="RF",OFFSET(Pinlist!$D$1,Chart!BC571,0)&amp;"_"&amp;OFFSET(Pinlist!$G$1,Chart!BC571,0),"")</f>
        <v/>
      </c>
      <c r="BH571" s="1098"/>
      <c r="BI571" s="178"/>
      <c r="BJ571" s="178"/>
      <c r="BK571" s="178"/>
      <c r="BL571" s="178"/>
      <c r="BM571" s="178"/>
      <c r="BN571" s="178"/>
      <c r="BO571" s="178"/>
      <c r="BP571" s="178"/>
      <c r="BQ571" s="196"/>
      <c r="BR571" s="196"/>
      <c r="BS571" s="196"/>
      <c r="BT571" s="196"/>
      <c r="BU571" s="196"/>
      <c r="BV571" s="196"/>
      <c r="BW571" s="178"/>
      <c r="BX571" s="196"/>
      <c r="BY571" s="196"/>
      <c r="BZ571" s="196"/>
      <c r="CA571" s="196"/>
      <c r="CB571" s="178"/>
      <c r="CC571" s="178"/>
      <c r="CD571" s="202"/>
      <c r="CE571" s="202"/>
      <c r="CF571" s="178"/>
      <c r="CG571" s="196"/>
      <c r="CH571" s="178"/>
      <c r="CI571" s="178"/>
      <c r="CJ571" s="178"/>
      <c r="CK571" s="178"/>
      <c r="CL571" s="178"/>
      <c r="CM571" s="178"/>
      <c r="CN571" s="178"/>
      <c r="CO571" s="178"/>
      <c r="CP571" s="178"/>
      <c r="CQ571" s="178"/>
      <c r="CR571" s="178"/>
      <c r="CS571" s="178"/>
      <c r="CT571" s="178"/>
      <c r="CU571" s="178"/>
      <c r="CV571" s="178"/>
      <c r="CW571" s="178"/>
      <c r="CX571" s="178"/>
      <c r="CY571" s="178"/>
      <c r="CZ571" s="178"/>
      <c r="DA571" s="150"/>
    </row>
    <row r="572" spans="53:105" x14ac:dyDescent="0.2">
      <c r="BA572" s="518">
        <f t="shared" ca="1" si="37"/>
        <v>61</v>
      </c>
      <c r="BB572" s="174">
        <f t="shared" ca="1" si="38"/>
        <v>509</v>
      </c>
      <c r="BC572" s="525" t="e">
        <f ca="1">MATCH(BD572,OFFSET(Pinlist!$A$2,BC571*(BA572=BA571),0,$BM$23,1),0)+BC571*(BA572=BA571)</f>
        <v>#N/A</v>
      </c>
      <c r="BD572" s="167">
        <f t="shared" ca="1" si="39"/>
        <v>0</v>
      </c>
      <c r="BE572" s="191" t="e">
        <f ca="1">(OFFSET(Pinlist!$E$1,BC572,0)-$BN$16)*$BN$19</f>
        <v>#N/A</v>
      </c>
      <c r="BF572" s="192" t="e">
        <f ca="1">(OFFSET(Pinlist!$F$1,BC572,0)-$BO$16)*$BO$19</f>
        <v>#N/A</v>
      </c>
      <c r="BG572" s="1098" t="str">
        <f ca="1">IF(LEFT(BD572,2)="RF",OFFSET(Pinlist!$D$1,Chart!BC572,0)&amp;"_"&amp;OFFSET(Pinlist!$G$1,Chart!BC572,0),"")</f>
        <v/>
      </c>
      <c r="BH572" s="1098"/>
      <c r="BI572" s="178"/>
      <c r="BJ572" s="178"/>
      <c r="BK572" s="178"/>
      <c r="BL572" s="178"/>
      <c r="BM572" s="178"/>
      <c r="BN572" s="178"/>
      <c r="BO572" s="178"/>
      <c r="BP572" s="178"/>
      <c r="BQ572" s="196"/>
      <c r="BR572" s="196"/>
      <c r="BS572" s="196"/>
      <c r="BT572" s="196"/>
      <c r="BU572" s="196"/>
      <c r="BV572" s="196"/>
      <c r="BW572" s="178"/>
      <c r="BX572" s="196"/>
      <c r="BY572" s="196"/>
      <c r="BZ572" s="196"/>
      <c r="CA572" s="196"/>
      <c r="CB572" s="178"/>
      <c r="CC572" s="178"/>
      <c r="CD572" s="202"/>
      <c r="CE572" s="202"/>
      <c r="CF572" s="178"/>
      <c r="CG572" s="196"/>
      <c r="CH572" s="178"/>
      <c r="CI572" s="178"/>
      <c r="CJ572" s="178"/>
      <c r="CK572" s="178"/>
      <c r="CL572" s="178"/>
      <c r="CM572" s="178"/>
      <c r="CN572" s="178"/>
      <c r="CO572" s="178"/>
      <c r="CP572" s="178"/>
      <c r="CQ572" s="178"/>
      <c r="CR572" s="178"/>
      <c r="CS572" s="178"/>
      <c r="CT572" s="178"/>
      <c r="CU572" s="178"/>
      <c r="CV572" s="178"/>
      <c r="CW572" s="178"/>
      <c r="CX572" s="178"/>
      <c r="CY572" s="178"/>
      <c r="CZ572" s="178"/>
      <c r="DA572" s="150"/>
    </row>
    <row r="573" spans="53:105" x14ac:dyDescent="0.2">
      <c r="BA573" s="518">
        <f t="shared" ca="1" si="37"/>
        <v>61</v>
      </c>
      <c r="BB573" s="174">
        <f t="shared" ca="1" si="38"/>
        <v>510</v>
      </c>
      <c r="BC573" s="525" t="e">
        <f ca="1">MATCH(BD573,OFFSET(Pinlist!$A$2,BC572*(BA573=BA572),0,$BM$23,1),0)+BC572*(BA573=BA572)</f>
        <v>#N/A</v>
      </c>
      <c r="BD573" s="167">
        <f t="shared" ca="1" si="39"/>
        <v>0</v>
      </c>
      <c r="BE573" s="191" t="e">
        <f ca="1">(OFFSET(Pinlist!$E$1,BC573,0)-$BN$16)*$BN$19</f>
        <v>#N/A</v>
      </c>
      <c r="BF573" s="192" t="e">
        <f ca="1">(OFFSET(Pinlist!$F$1,BC573,0)-$BO$16)*$BO$19</f>
        <v>#N/A</v>
      </c>
      <c r="BG573" s="1098" t="str">
        <f ca="1">IF(LEFT(BD573,2)="RF",OFFSET(Pinlist!$D$1,Chart!BC573,0)&amp;"_"&amp;OFFSET(Pinlist!$G$1,Chart!BC573,0),"")</f>
        <v/>
      </c>
      <c r="BH573" s="1098"/>
      <c r="BI573" s="178"/>
      <c r="BJ573" s="178"/>
      <c r="BK573" s="178"/>
      <c r="BL573" s="178"/>
      <c r="BM573" s="178"/>
      <c r="BN573" s="178"/>
      <c r="BO573" s="178"/>
      <c r="BP573" s="178"/>
      <c r="BQ573" s="196"/>
      <c r="BR573" s="196"/>
      <c r="BS573" s="196"/>
      <c r="BT573" s="196"/>
      <c r="BU573" s="196"/>
      <c r="BV573" s="196"/>
      <c r="BW573" s="178"/>
      <c r="BX573" s="196"/>
      <c r="BY573" s="196"/>
      <c r="BZ573" s="196"/>
      <c r="CA573" s="196"/>
      <c r="CB573" s="178"/>
      <c r="CC573" s="178"/>
      <c r="CD573" s="202"/>
      <c r="CE573" s="202"/>
      <c r="CF573" s="178"/>
      <c r="CG573" s="196"/>
      <c r="CH573" s="178"/>
      <c r="CI573" s="178"/>
      <c r="CJ573" s="178"/>
      <c r="CK573" s="178"/>
      <c r="CL573" s="178"/>
      <c r="CM573" s="178"/>
      <c r="CN573" s="178"/>
      <c r="CO573" s="178"/>
      <c r="CP573" s="178"/>
      <c r="CQ573" s="178"/>
      <c r="CR573" s="178"/>
      <c r="CS573" s="178"/>
      <c r="CT573" s="178"/>
      <c r="CU573" s="178"/>
      <c r="CV573" s="178"/>
      <c r="CW573" s="178"/>
      <c r="CX573" s="178"/>
      <c r="CY573" s="178"/>
      <c r="CZ573" s="178"/>
      <c r="DA573" s="150"/>
    </row>
    <row r="574" spans="53:105" x14ac:dyDescent="0.2">
      <c r="BA574" s="518">
        <f t="shared" ca="1" si="37"/>
        <v>61</v>
      </c>
      <c r="BB574" s="174">
        <f t="shared" ca="1" si="38"/>
        <v>511</v>
      </c>
      <c r="BC574" s="525" t="e">
        <f ca="1">MATCH(BD574,OFFSET(Pinlist!$A$2,BC573*(BA574=BA573),0,$BM$23,1),0)+BC573*(BA574=BA573)</f>
        <v>#N/A</v>
      </c>
      <c r="BD574" s="167">
        <f t="shared" ca="1" si="39"/>
        <v>0</v>
      </c>
      <c r="BE574" s="191" t="e">
        <f ca="1">(OFFSET(Pinlist!$E$1,BC574,0)-$BN$16)*$BN$19</f>
        <v>#N/A</v>
      </c>
      <c r="BF574" s="192" t="e">
        <f ca="1">(OFFSET(Pinlist!$F$1,BC574,0)-$BO$16)*$BO$19</f>
        <v>#N/A</v>
      </c>
      <c r="BG574" s="1098" t="str">
        <f ca="1">IF(LEFT(BD574,2)="RF",OFFSET(Pinlist!$D$1,Chart!BC574,0)&amp;"_"&amp;OFFSET(Pinlist!$G$1,Chart!BC574,0),"")</f>
        <v/>
      </c>
      <c r="BH574" s="1098"/>
      <c r="BI574" s="178"/>
      <c r="BJ574" s="178"/>
      <c r="BK574" s="178"/>
      <c r="BL574" s="178"/>
      <c r="BM574" s="178"/>
      <c r="BN574" s="178"/>
      <c r="BO574" s="178"/>
      <c r="BP574" s="178"/>
      <c r="BQ574" s="196"/>
      <c r="BR574" s="196"/>
      <c r="BS574" s="196"/>
      <c r="BT574" s="196"/>
      <c r="BU574" s="196"/>
      <c r="BV574" s="196"/>
      <c r="BW574" s="178"/>
      <c r="BX574" s="196"/>
      <c r="BY574" s="196"/>
      <c r="BZ574" s="196"/>
      <c r="CA574" s="196"/>
      <c r="CB574" s="178"/>
      <c r="CC574" s="178"/>
      <c r="CD574" s="202"/>
      <c r="CE574" s="202"/>
      <c r="CF574" s="178"/>
      <c r="CG574" s="196"/>
      <c r="CH574" s="178"/>
      <c r="CI574" s="178"/>
      <c r="CJ574" s="178"/>
      <c r="CK574" s="178"/>
      <c r="CL574" s="178"/>
      <c r="CM574" s="178"/>
      <c r="CN574" s="178"/>
      <c r="CO574" s="178"/>
      <c r="CP574" s="178"/>
      <c r="CQ574" s="178"/>
      <c r="CR574" s="178"/>
      <c r="CS574" s="178"/>
      <c r="CT574" s="178"/>
      <c r="CU574" s="178"/>
      <c r="CV574" s="178"/>
      <c r="CW574" s="178"/>
      <c r="CX574" s="178"/>
      <c r="CY574" s="178"/>
      <c r="CZ574" s="178"/>
      <c r="DA574" s="150"/>
    </row>
    <row r="575" spans="53:105" x14ac:dyDescent="0.2">
      <c r="BA575" s="518">
        <f t="shared" ca="1" si="37"/>
        <v>61</v>
      </c>
      <c r="BB575" s="174">
        <f t="shared" ca="1" si="38"/>
        <v>512</v>
      </c>
      <c r="BC575" s="525" t="e">
        <f ca="1">MATCH(BD575,OFFSET(Pinlist!$A$2,BC574*(BA575=BA574),0,$BM$23,1),0)+BC574*(BA575=BA574)</f>
        <v>#N/A</v>
      </c>
      <c r="BD575" s="167">
        <f t="shared" ca="1" si="39"/>
        <v>0</v>
      </c>
      <c r="BE575" s="191" t="e">
        <f ca="1">(OFFSET(Pinlist!$E$1,BC575,0)-$BN$16)*$BN$19</f>
        <v>#N/A</v>
      </c>
      <c r="BF575" s="192" t="e">
        <f ca="1">(OFFSET(Pinlist!$F$1,BC575,0)-$BO$16)*$BO$19</f>
        <v>#N/A</v>
      </c>
      <c r="BG575" s="1098" t="str">
        <f ca="1">IF(LEFT(BD575,2)="RF",OFFSET(Pinlist!$D$1,Chart!BC575,0)&amp;"_"&amp;OFFSET(Pinlist!$G$1,Chart!BC575,0),"")</f>
        <v/>
      </c>
      <c r="BH575" s="1098"/>
      <c r="BI575" s="178"/>
      <c r="BJ575" s="178"/>
      <c r="BK575" s="178"/>
      <c r="BL575" s="178"/>
      <c r="BM575" s="178"/>
      <c r="BN575" s="178"/>
      <c r="BO575" s="178"/>
      <c r="BP575" s="178"/>
      <c r="BQ575" s="196"/>
      <c r="BR575" s="196"/>
      <c r="BS575" s="196"/>
      <c r="BT575" s="196"/>
      <c r="BU575" s="196"/>
      <c r="BV575" s="196"/>
      <c r="BW575" s="178"/>
      <c r="BX575" s="196"/>
      <c r="BY575" s="196"/>
      <c r="BZ575" s="196"/>
      <c r="CA575" s="196"/>
      <c r="CB575" s="178"/>
      <c r="CC575" s="178"/>
      <c r="CD575" s="202"/>
      <c r="CE575" s="202"/>
      <c r="CF575" s="178"/>
      <c r="CG575" s="196"/>
      <c r="CH575" s="178"/>
      <c r="CI575" s="178"/>
      <c r="CJ575" s="178"/>
      <c r="CK575" s="178"/>
      <c r="CL575" s="178"/>
      <c r="CM575" s="178"/>
      <c r="CN575" s="178"/>
      <c r="CO575" s="178"/>
      <c r="CP575" s="178"/>
      <c r="CQ575" s="178"/>
      <c r="CR575" s="178"/>
      <c r="CS575" s="178"/>
      <c r="CT575" s="178"/>
      <c r="CU575" s="178"/>
      <c r="CV575" s="178"/>
      <c r="CW575" s="178"/>
      <c r="CX575" s="178"/>
      <c r="CY575" s="178"/>
      <c r="CZ575" s="178"/>
      <c r="DA575" s="150"/>
    </row>
    <row r="576" spans="53:105" x14ac:dyDescent="0.2">
      <c r="BA576" s="518">
        <f t="shared" ca="1" si="37"/>
        <v>61</v>
      </c>
      <c r="BB576" s="174">
        <f t="shared" ca="1" si="38"/>
        <v>513</v>
      </c>
      <c r="BC576" s="525" t="e">
        <f ca="1">MATCH(BD576,OFFSET(Pinlist!$A$2,BC575*(BA576=BA575),0,$BM$23,1),0)+BC575*(BA576=BA575)</f>
        <v>#N/A</v>
      </c>
      <c r="BD576" s="167">
        <f t="shared" ca="1" si="39"/>
        <v>0</v>
      </c>
      <c r="BE576" s="191" t="e">
        <f ca="1">(OFFSET(Pinlist!$E$1,BC576,0)-$BN$16)*$BN$19</f>
        <v>#N/A</v>
      </c>
      <c r="BF576" s="192" t="e">
        <f ca="1">(OFFSET(Pinlist!$F$1,BC576,0)-$BO$16)*$BO$19</f>
        <v>#N/A</v>
      </c>
      <c r="BG576" s="1098" t="str">
        <f ca="1">IF(LEFT(BD576,2)="RF",OFFSET(Pinlist!$D$1,Chart!BC576,0)&amp;"_"&amp;OFFSET(Pinlist!$G$1,Chart!BC576,0),"")</f>
        <v/>
      </c>
      <c r="BH576" s="1098"/>
      <c r="BI576" s="178"/>
      <c r="BJ576" s="178"/>
      <c r="BK576" s="178"/>
      <c r="BL576" s="178"/>
      <c r="BM576" s="178"/>
      <c r="BN576" s="178"/>
      <c r="BO576" s="178"/>
      <c r="BP576" s="178"/>
      <c r="BQ576" s="196"/>
      <c r="BR576" s="196"/>
      <c r="BS576" s="196"/>
      <c r="BT576" s="196"/>
      <c r="BU576" s="196"/>
      <c r="BV576" s="196"/>
      <c r="BW576" s="178"/>
      <c r="BX576" s="196"/>
      <c r="BY576" s="196"/>
      <c r="BZ576" s="196"/>
      <c r="CA576" s="196"/>
      <c r="CB576" s="178"/>
      <c r="CC576" s="178"/>
      <c r="CD576" s="202"/>
      <c r="CE576" s="202"/>
      <c r="CF576" s="178"/>
      <c r="CG576" s="196"/>
      <c r="CH576" s="178"/>
      <c r="CI576" s="178"/>
      <c r="CJ576" s="178"/>
      <c r="CK576" s="178"/>
      <c r="CL576" s="178"/>
      <c r="CM576" s="178"/>
      <c r="CN576" s="178"/>
      <c r="CO576" s="178"/>
      <c r="CP576" s="178"/>
      <c r="CQ576" s="178"/>
      <c r="CR576" s="178"/>
      <c r="CS576" s="178"/>
      <c r="CT576" s="178"/>
      <c r="CU576" s="178"/>
      <c r="CV576" s="178"/>
      <c r="CW576" s="178"/>
      <c r="CX576" s="178"/>
      <c r="CY576" s="178"/>
      <c r="CZ576" s="178"/>
      <c r="DA576" s="150"/>
    </row>
    <row r="577" spans="53:105" x14ac:dyDescent="0.2">
      <c r="BA577" s="518">
        <f t="shared" ca="1" si="37"/>
        <v>61</v>
      </c>
      <c r="BB577" s="174">
        <f t="shared" ca="1" si="38"/>
        <v>514</v>
      </c>
      <c r="BC577" s="525" t="e">
        <f ca="1">MATCH(BD577,OFFSET(Pinlist!$A$2,BC576*(BA577=BA576),0,$BM$23,1),0)+BC576*(BA577=BA576)</f>
        <v>#N/A</v>
      </c>
      <c r="BD577" s="167">
        <f t="shared" ca="1" si="39"/>
        <v>0</v>
      </c>
      <c r="BE577" s="191" t="e">
        <f ca="1">(OFFSET(Pinlist!$E$1,BC577,0)-$BN$16)*$BN$19</f>
        <v>#N/A</v>
      </c>
      <c r="BF577" s="192" t="e">
        <f ca="1">(OFFSET(Pinlist!$F$1,BC577,0)-$BO$16)*$BO$19</f>
        <v>#N/A</v>
      </c>
      <c r="BG577" s="1098" t="str">
        <f ca="1">IF(LEFT(BD577,2)="RF",OFFSET(Pinlist!$D$1,Chart!BC577,0)&amp;"_"&amp;OFFSET(Pinlist!$G$1,Chart!BC577,0),"")</f>
        <v/>
      </c>
      <c r="BH577" s="1098"/>
      <c r="BI577" s="178"/>
      <c r="BJ577" s="178"/>
      <c r="BK577" s="178"/>
      <c r="BL577" s="178"/>
      <c r="BM577" s="178"/>
      <c r="BN577" s="178"/>
      <c r="BO577" s="178"/>
      <c r="BP577" s="178"/>
      <c r="BQ577" s="196"/>
      <c r="BR577" s="196"/>
      <c r="BS577" s="196"/>
      <c r="BT577" s="196"/>
      <c r="BU577" s="196"/>
      <c r="BV577" s="196"/>
      <c r="BW577" s="178"/>
      <c r="BX577" s="196"/>
      <c r="BY577" s="196"/>
      <c r="BZ577" s="196"/>
      <c r="CA577" s="196"/>
      <c r="CB577" s="178"/>
      <c r="CC577" s="178"/>
      <c r="CD577" s="202"/>
      <c r="CE577" s="202"/>
      <c r="CF577" s="178"/>
      <c r="CG577" s="196"/>
      <c r="CH577" s="178"/>
      <c r="CI577" s="178"/>
      <c r="CJ577" s="178"/>
      <c r="CK577" s="178"/>
      <c r="CL577" s="178"/>
      <c r="CM577" s="178"/>
      <c r="CN577" s="178"/>
      <c r="CO577" s="178"/>
      <c r="CP577" s="178"/>
      <c r="CQ577" s="178"/>
      <c r="CR577" s="178"/>
      <c r="CS577" s="178"/>
      <c r="CT577" s="178"/>
      <c r="CU577" s="178"/>
      <c r="CV577" s="178"/>
      <c r="CW577" s="178"/>
      <c r="CX577" s="178"/>
      <c r="CY577" s="178"/>
      <c r="CZ577" s="178"/>
      <c r="DA577" s="150"/>
    </row>
    <row r="578" spans="53:105" x14ac:dyDescent="0.2">
      <c r="BA578" s="518">
        <f t="shared" ca="1" si="37"/>
        <v>61</v>
      </c>
      <c r="BB578" s="174">
        <f t="shared" ca="1" si="38"/>
        <v>515</v>
      </c>
      <c r="BC578" s="525" t="e">
        <f ca="1">MATCH(BD578,OFFSET(Pinlist!$A$2,BC577*(BA578=BA577),0,$BM$23,1),0)+BC577*(BA578=BA577)</f>
        <v>#N/A</v>
      </c>
      <c r="BD578" s="167">
        <f t="shared" ca="1" si="39"/>
        <v>0</v>
      </c>
      <c r="BE578" s="191" t="e">
        <f ca="1">(OFFSET(Pinlist!$E$1,BC578,0)-$BN$16)*$BN$19</f>
        <v>#N/A</v>
      </c>
      <c r="BF578" s="192" t="e">
        <f ca="1">(OFFSET(Pinlist!$F$1,BC578,0)-$BO$16)*$BO$19</f>
        <v>#N/A</v>
      </c>
      <c r="BG578" s="1098" t="str">
        <f ca="1">IF(LEFT(BD578,2)="RF",OFFSET(Pinlist!$D$1,Chart!BC578,0)&amp;"_"&amp;OFFSET(Pinlist!$G$1,Chart!BC578,0),"")</f>
        <v/>
      </c>
      <c r="BH578" s="1098"/>
      <c r="BI578" s="178"/>
      <c r="BJ578" s="178"/>
      <c r="BK578" s="178"/>
      <c r="BL578" s="178"/>
      <c r="BM578" s="178"/>
      <c r="BN578" s="178"/>
      <c r="BO578" s="178"/>
      <c r="BP578" s="178"/>
      <c r="BQ578" s="196"/>
      <c r="BR578" s="196"/>
      <c r="BS578" s="196"/>
      <c r="BT578" s="196"/>
      <c r="BU578" s="196"/>
      <c r="BV578" s="196"/>
      <c r="BW578" s="178"/>
      <c r="BX578" s="196"/>
      <c r="BY578" s="196"/>
      <c r="BZ578" s="196"/>
      <c r="CA578" s="196"/>
      <c r="CB578" s="178"/>
      <c r="CC578" s="178"/>
      <c r="CD578" s="202"/>
      <c r="CE578" s="202"/>
      <c r="CF578" s="178"/>
      <c r="CG578" s="196"/>
      <c r="CH578" s="178"/>
      <c r="CI578" s="178"/>
      <c r="CJ578" s="178"/>
      <c r="CK578" s="178"/>
      <c r="CL578" s="178"/>
      <c r="CM578" s="178"/>
      <c r="CN578" s="178"/>
      <c r="CO578" s="178"/>
      <c r="CP578" s="178"/>
      <c r="CQ578" s="178"/>
      <c r="CR578" s="178"/>
      <c r="CS578" s="178"/>
      <c r="CT578" s="178"/>
      <c r="CU578" s="178"/>
      <c r="CV578" s="178"/>
      <c r="CW578" s="178"/>
      <c r="CX578" s="178"/>
      <c r="CY578" s="178"/>
      <c r="CZ578" s="178"/>
      <c r="DA578" s="150"/>
    </row>
    <row r="579" spans="53:105" x14ac:dyDescent="0.2">
      <c r="BA579" s="518">
        <f t="shared" ca="1" si="37"/>
        <v>61</v>
      </c>
      <c r="BB579" s="174">
        <f t="shared" ca="1" si="38"/>
        <v>516</v>
      </c>
      <c r="BC579" s="525" t="e">
        <f ca="1">MATCH(BD579,OFFSET(Pinlist!$A$2,BC578*(BA579=BA578),0,$BM$23,1),0)+BC578*(BA579=BA578)</f>
        <v>#N/A</v>
      </c>
      <c r="BD579" s="167">
        <f t="shared" ca="1" si="39"/>
        <v>0</v>
      </c>
      <c r="BE579" s="191" t="e">
        <f ca="1">(OFFSET(Pinlist!$E$1,BC579,0)-$BN$16)*$BN$19</f>
        <v>#N/A</v>
      </c>
      <c r="BF579" s="192" t="e">
        <f ca="1">(OFFSET(Pinlist!$F$1,BC579,0)-$BO$16)*$BO$19</f>
        <v>#N/A</v>
      </c>
      <c r="BG579" s="1098" t="str">
        <f ca="1">IF(LEFT(BD579,2)="RF",OFFSET(Pinlist!$D$1,Chart!BC579,0)&amp;"_"&amp;OFFSET(Pinlist!$G$1,Chart!BC579,0),"")</f>
        <v/>
      </c>
      <c r="BH579" s="1098"/>
      <c r="BI579" s="178"/>
      <c r="BJ579" s="178"/>
      <c r="BK579" s="178"/>
      <c r="BL579" s="178"/>
      <c r="BM579" s="178"/>
      <c r="BN579" s="178"/>
      <c r="BO579" s="178"/>
      <c r="BP579" s="178"/>
      <c r="BQ579" s="196"/>
      <c r="BR579" s="196"/>
      <c r="BS579" s="196"/>
      <c r="BT579" s="196"/>
      <c r="BU579" s="196"/>
      <c r="BV579" s="196"/>
      <c r="BW579" s="178"/>
      <c r="BX579" s="196"/>
      <c r="BY579" s="196"/>
      <c r="BZ579" s="196"/>
      <c r="CA579" s="196"/>
      <c r="CB579" s="178"/>
      <c r="CC579" s="178"/>
      <c r="CD579" s="202"/>
      <c r="CE579" s="202"/>
      <c r="CF579" s="178"/>
      <c r="CG579" s="196"/>
      <c r="CH579" s="178"/>
      <c r="CI579" s="178"/>
      <c r="CJ579" s="178"/>
      <c r="CK579" s="178"/>
      <c r="CL579" s="178"/>
      <c r="CM579" s="178"/>
      <c r="CN579" s="178"/>
      <c r="CO579" s="178"/>
      <c r="CP579" s="178"/>
      <c r="CQ579" s="178"/>
      <c r="CR579" s="178"/>
      <c r="CS579" s="178"/>
      <c r="CT579" s="178"/>
      <c r="CU579" s="178"/>
      <c r="CV579" s="178"/>
      <c r="CW579" s="178"/>
      <c r="CX579" s="178"/>
      <c r="CY579" s="178"/>
      <c r="CZ579" s="178"/>
      <c r="DA579" s="150"/>
    </row>
    <row r="580" spans="53:105" x14ac:dyDescent="0.2">
      <c r="BA580" s="518">
        <f t="shared" ref="BA580:BA643" ca="1" si="40">BA579+(BB579=OFFSET($BZ$3,BA579,0))</f>
        <v>61</v>
      </c>
      <c r="BB580" s="174">
        <f t="shared" ref="BB580:BB643" ca="1" si="41">IF(BA580=BA579,BB579+1,1)</f>
        <v>517</v>
      </c>
      <c r="BC580" s="525" t="e">
        <f ca="1">MATCH(BD580,OFFSET(Pinlist!$A$2,BC579*(BA580=BA579),0,$BM$23,1),0)+BC579*(BA580=BA579)</f>
        <v>#N/A</v>
      </c>
      <c r="BD580" s="167">
        <f t="shared" ref="BD580:BD643" ca="1" si="42">OFFSET($BY$3,BA580,0)</f>
        <v>0</v>
      </c>
      <c r="BE580" s="191" t="e">
        <f ca="1">(OFFSET(Pinlist!$E$1,BC580,0)-$BN$16)*$BN$19</f>
        <v>#N/A</v>
      </c>
      <c r="BF580" s="192" t="e">
        <f ca="1">(OFFSET(Pinlist!$F$1,BC580,0)-$BO$16)*$BO$19</f>
        <v>#N/A</v>
      </c>
      <c r="BG580" s="1098" t="str">
        <f ca="1">IF(LEFT(BD580,2)="RF",OFFSET(Pinlist!$D$1,Chart!BC580,0)&amp;"_"&amp;OFFSET(Pinlist!$G$1,Chart!BC580,0),"")</f>
        <v/>
      </c>
      <c r="BH580" s="1098"/>
      <c r="BI580" s="178"/>
      <c r="BJ580" s="178"/>
      <c r="BK580" s="178"/>
      <c r="BL580" s="178"/>
      <c r="BM580" s="178"/>
      <c r="BN580" s="178"/>
      <c r="BO580" s="178"/>
      <c r="BP580" s="178"/>
      <c r="BQ580" s="196"/>
      <c r="BR580" s="196"/>
      <c r="BS580" s="196"/>
      <c r="BT580" s="196"/>
      <c r="BU580" s="196"/>
      <c r="BV580" s="196"/>
      <c r="BW580" s="178"/>
      <c r="BX580" s="196"/>
      <c r="BY580" s="196"/>
      <c r="BZ580" s="196"/>
      <c r="CA580" s="196"/>
      <c r="CB580" s="178"/>
      <c r="CC580" s="178"/>
      <c r="CD580" s="202"/>
      <c r="CE580" s="202"/>
      <c r="CF580" s="178"/>
      <c r="CG580" s="196"/>
      <c r="CH580" s="178"/>
      <c r="CI580" s="178"/>
      <c r="CJ580" s="178"/>
      <c r="CK580" s="178"/>
      <c r="CL580" s="178"/>
      <c r="CM580" s="178"/>
      <c r="CN580" s="178"/>
      <c r="CO580" s="178"/>
      <c r="CP580" s="178"/>
      <c r="CQ580" s="178"/>
      <c r="CR580" s="178"/>
      <c r="CS580" s="178"/>
      <c r="CT580" s="178"/>
      <c r="CU580" s="178"/>
      <c r="CV580" s="178"/>
      <c r="CW580" s="178"/>
      <c r="CX580" s="178"/>
      <c r="CY580" s="178"/>
      <c r="CZ580" s="178"/>
      <c r="DA580" s="150"/>
    </row>
    <row r="581" spans="53:105" x14ac:dyDescent="0.2">
      <c r="BA581" s="518">
        <f t="shared" ca="1" si="40"/>
        <v>61</v>
      </c>
      <c r="BB581" s="174">
        <f t="shared" ca="1" si="41"/>
        <v>518</v>
      </c>
      <c r="BC581" s="525" t="e">
        <f ca="1">MATCH(BD581,OFFSET(Pinlist!$A$2,BC580*(BA581=BA580),0,$BM$23,1),0)+BC580*(BA581=BA580)</f>
        <v>#N/A</v>
      </c>
      <c r="BD581" s="167">
        <f t="shared" ca="1" si="42"/>
        <v>0</v>
      </c>
      <c r="BE581" s="191" t="e">
        <f ca="1">(OFFSET(Pinlist!$E$1,BC581,0)-$BN$16)*$BN$19</f>
        <v>#N/A</v>
      </c>
      <c r="BF581" s="192" t="e">
        <f ca="1">(OFFSET(Pinlist!$F$1,BC581,0)-$BO$16)*$BO$19</f>
        <v>#N/A</v>
      </c>
      <c r="BG581" s="1098" t="str">
        <f ca="1">IF(LEFT(BD581,2)="RF",OFFSET(Pinlist!$D$1,Chart!BC581,0)&amp;"_"&amp;OFFSET(Pinlist!$G$1,Chart!BC581,0),"")</f>
        <v/>
      </c>
      <c r="BH581" s="1098"/>
      <c r="BI581" s="178"/>
      <c r="BJ581" s="178"/>
      <c r="BK581" s="178"/>
      <c r="BL581" s="178"/>
      <c r="BM581" s="178"/>
      <c r="BN581" s="178"/>
      <c r="BO581" s="178"/>
      <c r="BP581" s="178"/>
      <c r="BQ581" s="196"/>
      <c r="BR581" s="196"/>
      <c r="BS581" s="196"/>
      <c r="BT581" s="196"/>
      <c r="BU581" s="196"/>
      <c r="BV581" s="196"/>
      <c r="BW581" s="178"/>
      <c r="BX581" s="196"/>
      <c r="BY581" s="196"/>
      <c r="BZ581" s="196"/>
      <c r="CA581" s="196"/>
      <c r="CB581" s="178"/>
      <c r="CC581" s="178"/>
      <c r="CD581" s="202"/>
      <c r="CE581" s="202"/>
      <c r="CF581" s="178"/>
      <c r="CG581" s="196"/>
      <c r="CH581" s="178"/>
      <c r="CI581" s="178"/>
      <c r="CJ581" s="178"/>
      <c r="CK581" s="178"/>
      <c r="CL581" s="178"/>
      <c r="CM581" s="178"/>
      <c r="CN581" s="178"/>
      <c r="CO581" s="178"/>
      <c r="CP581" s="178"/>
      <c r="CQ581" s="178"/>
      <c r="CR581" s="178"/>
      <c r="CS581" s="178"/>
      <c r="CT581" s="178"/>
      <c r="CU581" s="178"/>
      <c r="CV581" s="178"/>
      <c r="CW581" s="178"/>
      <c r="CX581" s="178"/>
      <c r="CY581" s="178"/>
      <c r="CZ581" s="178"/>
      <c r="DA581" s="150"/>
    </row>
    <row r="582" spans="53:105" x14ac:dyDescent="0.2">
      <c r="BA582" s="518">
        <f t="shared" ca="1" si="40"/>
        <v>61</v>
      </c>
      <c r="BB582" s="174">
        <f t="shared" ca="1" si="41"/>
        <v>519</v>
      </c>
      <c r="BC582" s="525" t="e">
        <f ca="1">MATCH(BD582,OFFSET(Pinlist!$A$2,BC581*(BA582=BA581),0,$BM$23,1),0)+BC581*(BA582=BA581)</f>
        <v>#N/A</v>
      </c>
      <c r="BD582" s="167">
        <f t="shared" ca="1" si="42"/>
        <v>0</v>
      </c>
      <c r="BE582" s="191" t="e">
        <f ca="1">(OFFSET(Pinlist!$E$1,BC582,0)-$BN$16)*$BN$19</f>
        <v>#N/A</v>
      </c>
      <c r="BF582" s="192" t="e">
        <f ca="1">(OFFSET(Pinlist!$F$1,BC582,0)-$BO$16)*$BO$19</f>
        <v>#N/A</v>
      </c>
      <c r="BG582" s="1098" t="str">
        <f ca="1">IF(LEFT(BD582,2)="RF",OFFSET(Pinlist!$D$1,Chart!BC582,0)&amp;"_"&amp;OFFSET(Pinlist!$G$1,Chart!BC582,0),"")</f>
        <v/>
      </c>
      <c r="BH582" s="1098"/>
      <c r="BI582" s="178"/>
      <c r="BJ582" s="178"/>
      <c r="BK582" s="178"/>
      <c r="BL582" s="178"/>
      <c r="BM582" s="178"/>
      <c r="BN582" s="178"/>
      <c r="BO582" s="178"/>
      <c r="BP582" s="178"/>
      <c r="BQ582" s="196"/>
      <c r="BR582" s="196"/>
      <c r="BS582" s="196"/>
      <c r="BT582" s="196"/>
      <c r="BU582" s="196"/>
      <c r="BV582" s="196"/>
      <c r="BW582" s="178"/>
      <c r="BX582" s="196"/>
      <c r="BY582" s="196"/>
      <c r="BZ582" s="196"/>
      <c r="CA582" s="196"/>
      <c r="CB582" s="178"/>
      <c r="CC582" s="178"/>
      <c r="CD582" s="202"/>
      <c r="CE582" s="202"/>
      <c r="CF582" s="178"/>
      <c r="CG582" s="196"/>
      <c r="CH582" s="178"/>
      <c r="CI582" s="178"/>
      <c r="CJ582" s="178"/>
      <c r="CK582" s="178"/>
      <c r="CL582" s="178"/>
      <c r="CM582" s="178"/>
      <c r="CN582" s="178"/>
      <c r="CO582" s="178"/>
      <c r="CP582" s="178"/>
      <c r="CQ582" s="178"/>
      <c r="CR582" s="178"/>
      <c r="CS582" s="178"/>
      <c r="CT582" s="178"/>
      <c r="CU582" s="178"/>
      <c r="CV582" s="178"/>
      <c r="CW582" s="178"/>
      <c r="CX582" s="178"/>
      <c r="CY582" s="178"/>
      <c r="CZ582" s="178"/>
      <c r="DA582" s="150"/>
    </row>
    <row r="583" spans="53:105" x14ac:dyDescent="0.2">
      <c r="BA583" s="518">
        <f t="shared" ca="1" si="40"/>
        <v>61</v>
      </c>
      <c r="BB583" s="174">
        <f t="shared" ca="1" si="41"/>
        <v>520</v>
      </c>
      <c r="BC583" s="525" t="e">
        <f ca="1">MATCH(BD583,OFFSET(Pinlist!$A$2,BC582*(BA583=BA582),0,$BM$23,1),0)+BC582*(BA583=BA582)</f>
        <v>#N/A</v>
      </c>
      <c r="BD583" s="167">
        <f t="shared" ca="1" si="42"/>
        <v>0</v>
      </c>
      <c r="BE583" s="191" t="e">
        <f ca="1">(OFFSET(Pinlist!$E$1,BC583,0)-$BN$16)*$BN$19</f>
        <v>#N/A</v>
      </c>
      <c r="BF583" s="192" t="e">
        <f ca="1">(OFFSET(Pinlist!$F$1,BC583,0)-$BO$16)*$BO$19</f>
        <v>#N/A</v>
      </c>
      <c r="BG583" s="1098" t="str">
        <f ca="1">IF(LEFT(BD583,2)="RF",OFFSET(Pinlist!$D$1,Chart!BC583,0)&amp;"_"&amp;OFFSET(Pinlist!$G$1,Chart!BC583,0),"")</f>
        <v/>
      </c>
      <c r="BH583" s="1098"/>
      <c r="BI583" s="178"/>
      <c r="BJ583" s="178"/>
      <c r="BK583" s="178"/>
      <c r="BL583" s="178"/>
      <c r="BM583" s="178"/>
      <c r="BN583" s="178"/>
      <c r="BO583" s="178"/>
      <c r="BP583" s="178"/>
      <c r="BQ583" s="196"/>
      <c r="BR583" s="196"/>
      <c r="BS583" s="196"/>
      <c r="BT583" s="196"/>
      <c r="BU583" s="196"/>
      <c r="BV583" s="196"/>
      <c r="BW583" s="178"/>
      <c r="BX583" s="196"/>
      <c r="BY583" s="196"/>
      <c r="BZ583" s="196"/>
      <c r="CA583" s="196"/>
      <c r="CB583" s="178"/>
      <c r="CC583" s="178"/>
      <c r="CD583" s="202"/>
      <c r="CE583" s="202"/>
      <c r="CF583" s="178"/>
      <c r="CG583" s="196"/>
      <c r="CH583" s="178"/>
      <c r="CI583" s="178"/>
      <c r="CJ583" s="178"/>
      <c r="CK583" s="178"/>
      <c r="CL583" s="178"/>
      <c r="CM583" s="178"/>
      <c r="CN583" s="178"/>
      <c r="CO583" s="178"/>
      <c r="CP583" s="178"/>
      <c r="CQ583" s="178"/>
      <c r="CR583" s="178"/>
      <c r="CS583" s="178"/>
      <c r="CT583" s="178"/>
      <c r="CU583" s="178"/>
      <c r="CV583" s="178"/>
      <c r="CW583" s="178"/>
      <c r="CX583" s="178"/>
      <c r="CY583" s="178"/>
      <c r="CZ583" s="178"/>
      <c r="DA583" s="150"/>
    </row>
    <row r="584" spans="53:105" x14ac:dyDescent="0.2">
      <c r="BA584" s="518">
        <f t="shared" ca="1" si="40"/>
        <v>61</v>
      </c>
      <c r="BB584" s="174">
        <f t="shared" ca="1" si="41"/>
        <v>521</v>
      </c>
      <c r="BC584" s="525" t="e">
        <f ca="1">MATCH(BD584,OFFSET(Pinlist!$A$2,BC583*(BA584=BA583),0,$BM$23,1),0)+BC583*(BA584=BA583)</f>
        <v>#N/A</v>
      </c>
      <c r="BD584" s="167">
        <f t="shared" ca="1" si="42"/>
        <v>0</v>
      </c>
      <c r="BE584" s="191" t="e">
        <f ca="1">(OFFSET(Pinlist!$E$1,BC584,0)-$BN$16)*$BN$19</f>
        <v>#N/A</v>
      </c>
      <c r="BF584" s="192" t="e">
        <f ca="1">(OFFSET(Pinlist!$F$1,BC584,0)-$BO$16)*$BO$19</f>
        <v>#N/A</v>
      </c>
      <c r="BG584" s="1098" t="str">
        <f ca="1">IF(LEFT(BD584,2)="RF",OFFSET(Pinlist!$D$1,Chart!BC584,0)&amp;"_"&amp;OFFSET(Pinlist!$G$1,Chart!BC584,0),"")</f>
        <v/>
      </c>
      <c r="BH584" s="1098"/>
      <c r="BI584" s="178"/>
      <c r="BJ584" s="178"/>
      <c r="BK584" s="178"/>
      <c r="BL584" s="178"/>
      <c r="BM584" s="178"/>
      <c r="BN584" s="178"/>
      <c r="BO584" s="178"/>
      <c r="BP584" s="178"/>
      <c r="BQ584" s="196"/>
      <c r="BR584" s="196"/>
      <c r="BS584" s="196"/>
      <c r="BT584" s="196"/>
      <c r="BU584" s="196"/>
      <c r="BV584" s="196"/>
      <c r="BW584" s="178"/>
      <c r="BX584" s="196"/>
      <c r="BY584" s="196"/>
      <c r="BZ584" s="196"/>
      <c r="CA584" s="196"/>
      <c r="CB584" s="178"/>
      <c r="CC584" s="178"/>
      <c r="CD584" s="202"/>
      <c r="CE584" s="202"/>
      <c r="CF584" s="178"/>
      <c r="CG584" s="196"/>
      <c r="CH584" s="178"/>
      <c r="CI584" s="178"/>
      <c r="CJ584" s="178"/>
      <c r="CK584" s="178"/>
      <c r="CL584" s="178"/>
      <c r="CM584" s="178"/>
      <c r="CN584" s="178"/>
      <c r="CO584" s="178"/>
      <c r="CP584" s="178"/>
      <c r="CQ584" s="178"/>
      <c r="CR584" s="178"/>
      <c r="CS584" s="178"/>
      <c r="CT584" s="178"/>
      <c r="CU584" s="178"/>
      <c r="CV584" s="178"/>
      <c r="CW584" s="178"/>
      <c r="CX584" s="178"/>
      <c r="CY584" s="178"/>
      <c r="CZ584" s="178"/>
      <c r="DA584" s="150"/>
    </row>
    <row r="585" spans="53:105" x14ac:dyDescent="0.2">
      <c r="BA585" s="518">
        <f t="shared" ca="1" si="40"/>
        <v>61</v>
      </c>
      <c r="BB585" s="174">
        <f t="shared" ca="1" si="41"/>
        <v>522</v>
      </c>
      <c r="BC585" s="525" t="e">
        <f ca="1">MATCH(BD585,OFFSET(Pinlist!$A$2,BC584*(BA585=BA584),0,$BM$23,1),0)+BC584*(BA585=BA584)</f>
        <v>#N/A</v>
      </c>
      <c r="BD585" s="167">
        <f t="shared" ca="1" si="42"/>
        <v>0</v>
      </c>
      <c r="BE585" s="191" t="e">
        <f ca="1">(OFFSET(Pinlist!$E$1,BC585,0)-$BN$16)*$BN$19</f>
        <v>#N/A</v>
      </c>
      <c r="BF585" s="192" t="e">
        <f ca="1">(OFFSET(Pinlist!$F$1,BC585,0)-$BO$16)*$BO$19</f>
        <v>#N/A</v>
      </c>
      <c r="BG585" s="1098" t="str">
        <f ca="1">IF(LEFT(BD585,2)="RF",OFFSET(Pinlist!$D$1,Chart!BC585,0)&amp;"_"&amp;OFFSET(Pinlist!$G$1,Chart!BC585,0),"")</f>
        <v/>
      </c>
      <c r="BH585" s="1098"/>
      <c r="BI585" s="178"/>
      <c r="BJ585" s="178"/>
      <c r="BK585" s="178"/>
      <c r="BL585" s="178"/>
      <c r="BM585" s="178"/>
      <c r="BN585" s="178"/>
      <c r="BO585" s="178"/>
      <c r="BP585" s="178"/>
      <c r="BQ585" s="196"/>
      <c r="BR585" s="196"/>
      <c r="BS585" s="196"/>
      <c r="BT585" s="196"/>
      <c r="BU585" s="196"/>
      <c r="BV585" s="196"/>
      <c r="BW585" s="178"/>
      <c r="BX585" s="196"/>
      <c r="BY585" s="196"/>
      <c r="BZ585" s="196"/>
      <c r="CA585" s="196"/>
      <c r="CB585" s="178"/>
      <c r="CC585" s="178"/>
      <c r="CD585" s="202"/>
      <c r="CE585" s="202"/>
      <c r="CF585" s="178"/>
      <c r="CG585" s="196"/>
      <c r="CH585" s="178"/>
      <c r="CI585" s="178"/>
      <c r="CJ585" s="178"/>
      <c r="CK585" s="178"/>
      <c r="CL585" s="178"/>
      <c r="CM585" s="178"/>
      <c r="CN585" s="178"/>
      <c r="CO585" s="178"/>
      <c r="CP585" s="178"/>
      <c r="CQ585" s="178"/>
      <c r="CR585" s="178"/>
      <c r="CS585" s="178"/>
      <c r="CT585" s="178"/>
      <c r="CU585" s="178"/>
      <c r="CV585" s="178"/>
      <c r="CW585" s="178"/>
      <c r="CX585" s="178"/>
      <c r="CY585" s="178"/>
      <c r="CZ585" s="178"/>
      <c r="DA585" s="150"/>
    </row>
    <row r="586" spans="53:105" x14ac:dyDescent="0.2">
      <c r="BA586" s="518">
        <f t="shared" ca="1" si="40"/>
        <v>61</v>
      </c>
      <c r="BB586" s="174">
        <f t="shared" ca="1" si="41"/>
        <v>523</v>
      </c>
      <c r="BC586" s="525" t="e">
        <f ca="1">MATCH(BD586,OFFSET(Pinlist!$A$2,BC585*(BA586=BA585),0,$BM$23,1),0)+BC585*(BA586=BA585)</f>
        <v>#N/A</v>
      </c>
      <c r="BD586" s="167">
        <f t="shared" ca="1" si="42"/>
        <v>0</v>
      </c>
      <c r="BE586" s="191" t="e">
        <f ca="1">(OFFSET(Pinlist!$E$1,BC586,0)-$BN$16)*$BN$19</f>
        <v>#N/A</v>
      </c>
      <c r="BF586" s="192" t="e">
        <f ca="1">(OFFSET(Pinlist!$F$1,BC586,0)-$BO$16)*$BO$19</f>
        <v>#N/A</v>
      </c>
      <c r="BG586" s="1098" t="str">
        <f ca="1">IF(LEFT(BD586,2)="RF",OFFSET(Pinlist!$D$1,Chart!BC586,0)&amp;"_"&amp;OFFSET(Pinlist!$G$1,Chart!BC586,0),"")</f>
        <v/>
      </c>
      <c r="BH586" s="1098"/>
      <c r="BI586" s="178"/>
      <c r="BJ586" s="178"/>
      <c r="BK586" s="178"/>
      <c r="BL586" s="178"/>
      <c r="BM586" s="178"/>
      <c r="BN586" s="178"/>
      <c r="BO586" s="178"/>
      <c r="BP586" s="178"/>
      <c r="BQ586" s="196"/>
      <c r="BR586" s="196"/>
      <c r="BS586" s="196"/>
      <c r="BT586" s="196"/>
      <c r="BU586" s="196"/>
      <c r="BV586" s="196"/>
      <c r="BW586" s="178"/>
      <c r="BX586" s="196"/>
      <c r="BY586" s="196"/>
      <c r="BZ586" s="196"/>
      <c r="CA586" s="196"/>
      <c r="CB586" s="178"/>
      <c r="CC586" s="178"/>
      <c r="CD586" s="202"/>
      <c r="CE586" s="202"/>
      <c r="CF586" s="178"/>
      <c r="CG586" s="196"/>
      <c r="CH586" s="178"/>
      <c r="CI586" s="178"/>
      <c r="CJ586" s="178"/>
      <c r="CK586" s="178"/>
      <c r="CL586" s="178"/>
      <c r="CM586" s="178"/>
      <c r="CN586" s="178"/>
      <c r="CO586" s="178"/>
      <c r="CP586" s="178"/>
      <c r="CQ586" s="178"/>
      <c r="CR586" s="178"/>
      <c r="CS586" s="178"/>
      <c r="CT586" s="178"/>
      <c r="CU586" s="178"/>
      <c r="CV586" s="178"/>
      <c r="CW586" s="178"/>
      <c r="CX586" s="178"/>
      <c r="CY586" s="178"/>
      <c r="CZ586" s="178"/>
      <c r="DA586" s="150"/>
    </row>
    <row r="587" spans="53:105" x14ac:dyDescent="0.2">
      <c r="BA587" s="518">
        <f t="shared" ca="1" si="40"/>
        <v>61</v>
      </c>
      <c r="BB587" s="174">
        <f t="shared" ca="1" si="41"/>
        <v>524</v>
      </c>
      <c r="BC587" s="525" t="e">
        <f ca="1">MATCH(BD587,OFFSET(Pinlist!$A$2,BC586*(BA587=BA586),0,$BM$23,1),0)+BC586*(BA587=BA586)</f>
        <v>#N/A</v>
      </c>
      <c r="BD587" s="167">
        <f t="shared" ca="1" si="42"/>
        <v>0</v>
      </c>
      <c r="BE587" s="191" t="e">
        <f ca="1">(OFFSET(Pinlist!$E$1,BC587,0)-$BN$16)*$BN$19</f>
        <v>#N/A</v>
      </c>
      <c r="BF587" s="192" t="e">
        <f ca="1">(OFFSET(Pinlist!$F$1,BC587,0)-$BO$16)*$BO$19</f>
        <v>#N/A</v>
      </c>
      <c r="BG587" s="1098" t="str">
        <f ca="1">IF(LEFT(BD587,2)="RF",OFFSET(Pinlist!$D$1,Chart!BC587,0)&amp;"_"&amp;OFFSET(Pinlist!$G$1,Chart!BC587,0),"")</f>
        <v/>
      </c>
      <c r="BH587" s="1098"/>
      <c r="BI587" s="178"/>
      <c r="BJ587" s="178"/>
      <c r="BK587" s="178"/>
      <c r="BL587" s="178"/>
      <c r="BM587" s="178"/>
      <c r="BN587" s="178"/>
      <c r="BO587" s="178"/>
      <c r="BP587" s="178"/>
      <c r="BQ587" s="196"/>
      <c r="BR587" s="196"/>
      <c r="BS587" s="196"/>
      <c r="BT587" s="196"/>
      <c r="BU587" s="196"/>
      <c r="BV587" s="196"/>
      <c r="BW587" s="178"/>
      <c r="BX587" s="196"/>
      <c r="BY587" s="196"/>
      <c r="BZ587" s="196"/>
      <c r="CA587" s="196"/>
      <c r="CB587" s="178"/>
      <c r="CC587" s="178"/>
      <c r="CD587" s="202"/>
      <c r="CE587" s="202"/>
      <c r="CF587" s="178"/>
      <c r="CG587" s="196"/>
      <c r="CH587" s="178"/>
      <c r="CI587" s="178"/>
      <c r="CJ587" s="178"/>
      <c r="CK587" s="178"/>
      <c r="CL587" s="178"/>
      <c r="CM587" s="178"/>
      <c r="CN587" s="178"/>
      <c r="CO587" s="178"/>
      <c r="CP587" s="178"/>
      <c r="CQ587" s="178"/>
      <c r="CR587" s="178"/>
      <c r="CS587" s="178"/>
      <c r="CT587" s="178"/>
      <c r="CU587" s="178"/>
      <c r="CV587" s="178"/>
      <c r="CW587" s="178"/>
      <c r="CX587" s="178"/>
      <c r="CY587" s="178"/>
      <c r="CZ587" s="178"/>
      <c r="DA587" s="150"/>
    </row>
    <row r="588" spans="53:105" x14ac:dyDescent="0.2">
      <c r="BA588" s="518">
        <f t="shared" ca="1" si="40"/>
        <v>61</v>
      </c>
      <c r="BB588" s="174">
        <f t="shared" ca="1" si="41"/>
        <v>525</v>
      </c>
      <c r="BC588" s="525" t="e">
        <f ca="1">MATCH(BD588,OFFSET(Pinlist!$A$2,BC587*(BA588=BA587),0,$BM$23,1),0)+BC587*(BA588=BA587)</f>
        <v>#N/A</v>
      </c>
      <c r="BD588" s="167">
        <f t="shared" ca="1" si="42"/>
        <v>0</v>
      </c>
      <c r="BE588" s="191" t="e">
        <f ca="1">(OFFSET(Pinlist!$E$1,BC588,0)-$BN$16)*$BN$19</f>
        <v>#N/A</v>
      </c>
      <c r="BF588" s="192" t="e">
        <f ca="1">(OFFSET(Pinlist!$F$1,BC588,0)-$BO$16)*$BO$19</f>
        <v>#N/A</v>
      </c>
      <c r="BG588" s="1098" t="str">
        <f ca="1">IF(LEFT(BD588,2)="RF",OFFSET(Pinlist!$D$1,Chart!BC588,0)&amp;"_"&amp;OFFSET(Pinlist!$G$1,Chart!BC588,0),"")</f>
        <v/>
      </c>
      <c r="BH588" s="1098"/>
      <c r="BI588" s="178"/>
      <c r="BJ588" s="178"/>
      <c r="BK588" s="178"/>
      <c r="BL588" s="178"/>
      <c r="BM588" s="178"/>
      <c r="BN588" s="178"/>
      <c r="BO588" s="178"/>
      <c r="BP588" s="178"/>
      <c r="BQ588" s="196"/>
      <c r="BR588" s="196"/>
      <c r="BS588" s="196"/>
      <c r="BT588" s="196"/>
      <c r="BU588" s="196"/>
      <c r="BV588" s="196"/>
      <c r="BW588" s="178"/>
      <c r="BX588" s="196"/>
      <c r="BY588" s="196"/>
      <c r="BZ588" s="196"/>
      <c r="CA588" s="196"/>
      <c r="CB588" s="178"/>
      <c r="CC588" s="178"/>
      <c r="CD588" s="202"/>
      <c r="CE588" s="202"/>
      <c r="CF588" s="178"/>
      <c r="CG588" s="196"/>
      <c r="CH588" s="178"/>
      <c r="CI588" s="178"/>
      <c r="CJ588" s="178"/>
      <c r="CK588" s="178"/>
      <c r="CL588" s="178"/>
      <c r="CM588" s="178"/>
      <c r="CN588" s="178"/>
      <c r="CO588" s="178"/>
      <c r="CP588" s="178"/>
      <c r="CQ588" s="178"/>
      <c r="CR588" s="178"/>
      <c r="CS588" s="178"/>
      <c r="CT588" s="178"/>
      <c r="CU588" s="178"/>
      <c r="CV588" s="178"/>
      <c r="CW588" s="178"/>
      <c r="CX588" s="178"/>
      <c r="CY588" s="178"/>
      <c r="CZ588" s="178"/>
      <c r="DA588" s="150"/>
    </row>
    <row r="589" spans="53:105" x14ac:dyDescent="0.2">
      <c r="BA589" s="518">
        <f t="shared" ca="1" si="40"/>
        <v>61</v>
      </c>
      <c r="BB589" s="174">
        <f t="shared" ca="1" si="41"/>
        <v>526</v>
      </c>
      <c r="BC589" s="525" t="e">
        <f ca="1">MATCH(BD589,OFFSET(Pinlist!$A$2,BC588*(BA589=BA588),0,$BM$23,1),0)+BC588*(BA589=BA588)</f>
        <v>#N/A</v>
      </c>
      <c r="BD589" s="167">
        <f t="shared" ca="1" si="42"/>
        <v>0</v>
      </c>
      <c r="BE589" s="191" t="e">
        <f ca="1">(OFFSET(Pinlist!$E$1,BC589,0)-$BN$16)*$BN$19</f>
        <v>#N/A</v>
      </c>
      <c r="BF589" s="192" t="e">
        <f ca="1">(OFFSET(Pinlist!$F$1,BC589,0)-$BO$16)*$BO$19</f>
        <v>#N/A</v>
      </c>
      <c r="BG589" s="1098" t="str">
        <f ca="1">IF(LEFT(BD589,2)="RF",OFFSET(Pinlist!$D$1,Chart!BC589,0)&amp;"_"&amp;OFFSET(Pinlist!$G$1,Chart!BC589,0),"")</f>
        <v/>
      </c>
      <c r="BH589" s="1098"/>
      <c r="BI589" s="178"/>
      <c r="BJ589" s="178"/>
      <c r="BK589" s="178"/>
      <c r="BL589" s="178"/>
      <c r="BM589" s="178"/>
      <c r="BN589" s="178"/>
      <c r="BO589" s="178"/>
      <c r="BP589" s="178"/>
      <c r="BQ589" s="196"/>
      <c r="BR589" s="196"/>
      <c r="BS589" s="196"/>
      <c r="BT589" s="196"/>
      <c r="BU589" s="196"/>
      <c r="BV589" s="196"/>
      <c r="BW589" s="178"/>
      <c r="BX589" s="196"/>
      <c r="BY589" s="196"/>
      <c r="BZ589" s="196"/>
      <c r="CA589" s="196"/>
      <c r="CB589" s="178"/>
      <c r="CC589" s="178"/>
      <c r="CD589" s="202"/>
      <c r="CE589" s="202"/>
      <c r="CF589" s="178"/>
      <c r="CG589" s="196"/>
      <c r="CH589" s="178"/>
      <c r="CI589" s="178"/>
      <c r="CJ589" s="178"/>
      <c r="CK589" s="178"/>
      <c r="CL589" s="178"/>
      <c r="CM589" s="178"/>
      <c r="CN589" s="178"/>
      <c r="CO589" s="178"/>
      <c r="CP589" s="178"/>
      <c r="CQ589" s="178"/>
      <c r="CR589" s="178"/>
      <c r="CS589" s="178"/>
      <c r="CT589" s="178"/>
      <c r="CU589" s="178"/>
      <c r="CV589" s="178"/>
      <c r="CW589" s="178"/>
      <c r="CX589" s="178"/>
      <c r="CY589" s="178"/>
      <c r="CZ589" s="178"/>
      <c r="DA589" s="150"/>
    </row>
    <row r="590" spans="53:105" x14ac:dyDescent="0.2">
      <c r="BA590" s="518">
        <f t="shared" ca="1" si="40"/>
        <v>61</v>
      </c>
      <c r="BB590" s="174">
        <f t="shared" ca="1" si="41"/>
        <v>527</v>
      </c>
      <c r="BC590" s="525" t="e">
        <f ca="1">MATCH(BD590,OFFSET(Pinlist!$A$2,BC589*(BA590=BA589),0,$BM$23,1),0)+BC589*(BA590=BA589)</f>
        <v>#N/A</v>
      </c>
      <c r="BD590" s="167">
        <f t="shared" ca="1" si="42"/>
        <v>0</v>
      </c>
      <c r="BE590" s="191" t="e">
        <f ca="1">(OFFSET(Pinlist!$E$1,BC590,0)-$BN$16)*$BN$19</f>
        <v>#N/A</v>
      </c>
      <c r="BF590" s="192" t="e">
        <f ca="1">(OFFSET(Pinlist!$F$1,BC590,0)-$BO$16)*$BO$19</f>
        <v>#N/A</v>
      </c>
      <c r="BG590" s="1098" t="str">
        <f ca="1">IF(LEFT(BD590,2)="RF",OFFSET(Pinlist!$D$1,Chart!BC590,0)&amp;"_"&amp;OFFSET(Pinlist!$G$1,Chart!BC590,0),"")</f>
        <v/>
      </c>
      <c r="BH590" s="1098"/>
      <c r="BI590" s="178"/>
      <c r="BJ590" s="178"/>
      <c r="BK590" s="178"/>
      <c r="BL590" s="178"/>
      <c r="BM590" s="178"/>
      <c r="BN590" s="178"/>
      <c r="BO590" s="178"/>
      <c r="BP590" s="178"/>
      <c r="BQ590" s="196"/>
      <c r="BR590" s="196"/>
      <c r="BS590" s="196"/>
      <c r="BT590" s="196"/>
      <c r="BU590" s="196"/>
      <c r="BV590" s="196"/>
      <c r="BW590" s="178"/>
      <c r="BX590" s="196"/>
      <c r="BY590" s="196"/>
      <c r="BZ590" s="196"/>
      <c r="CA590" s="196"/>
      <c r="CB590" s="178"/>
      <c r="CC590" s="178"/>
      <c r="CD590" s="202"/>
      <c r="CE590" s="202"/>
      <c r="CF590" s="178"/>
      <c r="CG590" s="196"/>
      <c r="CH590" s="178"/>
      <c r="CI590" s="178"/>
      <c r="CJ590" s="178"/>
      <c r="CK590" s="178"/>
      <c r="CL590" s="178"/>
      <c r="CM590" s="178"/>
      <c r="CN590" s="178"/>
      <c r="CO590" s="178"/>
      <c r="CP590" s="178"/>
      <c r="CQ590" s="178"/>
      <c r="CR590" s="178"/>
      <c r="CS590" s="178"/>
      <c r="CT590" s="178"/>
      <c r="CU590" s="178"/>
      <c r="CV590" s="178"/>
      <c r="CW590" s="178"/>
      <c r="CX590" s="178"/>
      <c r="CY590" s="178"/>
      <c r="CZ590" s="178"/>
      <c r="DA590" s="150"/>
    </row>
    <row r="591" spans="53:105" x14ac:dyDescent="0.2">
      <c r="BA591" s="518">
        <f t="shared" ca="1" si="40"/>
        <v>61</v>
      </c>
      <c r="BB591" s="174">
        <f t="shared" ca="1" si="41"/>
        <v>528</v>
      </c>
      <c r="BC591" s="525" t="e">
        <f ca="1">MATCH(BD591,OFFSET(Pinlist!$A$2,BC590*(BA591=BA590),0,$BM$23,1),0)+BC590*(BA591=BA590)</f>
        <v>#N/A</v>
      </c>
      <c r="BD591" s="167">
        <f t="shared" ca="1" si="42"/>
        <v>0</v>
      </c>
      <c r="BE591" s="191" t="e">
        <f ca="1">(OFFSET(Pinlist!$E$1,BC591,0)-$BN$16)*$BN$19</f>
        <v>#N/A</v>
      </c>
      <c r="BF591" s="192" t="e">
        <f ca="1">(OFFSET(Pinlist!$F$1,BC591,0)-$BO$16)*$BO$19</f>
        <v>#N/A</v>
      </c>
      <c r="BG591" s="1098" t="str">
        <f ca="1">IF(LEFT(BD591,2)="RF",OFFSET(Pinlist!$D$1,Chart!BC591,0)&amp;"_"&amp;OFFSET(Pinlist!$G$1,Chart!BC591,0),"")</f>
        <v/>
      </c>
      <c r="BH591" s="1098"/>
      <c r="BI591" s="178"/>
      <c r="BJ591" s="178"/>
      <c r="BK591" s="178"/>
      <c r="BL591" s="178"/>
      <c r="BM591" s="178"/>
      <c r="BN591" s="178"/>
      <c r="BO591" s="178"/>
      <c r="BP591" s="178"/>
      <c r="BQ591" s="196"/>
      <c r="BR591" s="196"/>
      <c r="BS591" s="196"/>
      <c r="BT591" s="196"/>
      <c r="BU591" s="196"/>
      <c r="BV591" s="196"/>
      <c r="BW591" s="178"/>
      <c r="BX591" s="196"/>
      <c r="BY591" s="196"/>
      <c r="BZ591" s="196"/>
      <c r="CA591" s="196"/>
      <c r="CB591" s="178"/>
      <c r="CC591" s="178"/>
      <c r="CD591" s="202"/>
      <c r="CE591" s="202"/>
      <c r="CF591" s="178"/>
      <c r="CG591" s="196"/>
      <c r="CH591" s="178"/>
      <c r="CI591" s="178"/>
      <c r="CJ591" s="178"/>
      <c r="CK591" s="178"/>
      <c r="CL591" s="178"/>
      <c r="CM591" s="178"/>
      <c r="CN591" s="178"/>
      <c r="CO591" s="178"/>
      <c r="CP591" s="178"/>
      <c r="CQ591" s="178"/>
      <c r="CR591" s="178"/>
      <c r="CS591" s="178"/>
      <c r="CT591" s="178"/>
      <c r="CU591" s="178"/>
      <c r="CV591" s="178"/>
      <c r="CW591" s="178"/>
      <c r="CX591" s="178"/>
      <c r="CY591" s="178"/>
      <c r="CZ591" s="178"/>
      <c r="DA591" s="150"/>
    </row>
    <row r="592" spans="53:105" x14ac:dyDescent="0.2">
      <c r="BA592" s="518">
        <f t="shared" ca="1" si="40"/>
        <v>61</v>
      </c>
      <c r="BB592" s="174">
        <f t="shared" ca="1" si="41"/>
        <v>529</v>
      </c>
      <c r="BC592" s="525" t="e">
        <f ca="1">MATCH(BD592,OFFSET(Pinlist!$A$2,BC591*(BA592=BA591),0,$BM$23,1),0)+BC591*(BA592=BA591)</f>
        <v>#N/A</v>
      </c>
      <c r="BD592" s="167">
        <f t="shared" ca="1" si="42"/>
        <v>0</v>
      </c>
      <c r="BE592" s="191" t="e">
        <f ca="1">(OFFSET(Pinlist!$E$1,BC592,0)-$BN$16)*$BN$19</f>
        <v>#N/A</v>
      </c>
      <c r="BF592" s="192" t="e">
        <f ca="1">(OFFSET(Pinlist!$F$1,BC592,0)-$BO$16)*$BO$19</f>
        <v>#N/A</v>
      </c>
      <c r="BG592" s="1098" t="str">
        <f ca="1">IF(LEFT(BD592,2)="RF",OFFSET(Pinlist!$D$1,Chart!BC592,0)&amp;"_"&amp;OFFSET(Pinlist!$G$1,Chart!BC592,0),"")</f>
        <v/>
      </c>
      <c r="BH592" s="1098"/>
      <c r="BI592" s="178"/>
      <c r="BJ592" s="178"/>
      <c r="BK592" s="178"/>
      <c r="BL592" s="178"/>
      <c r="BM592" s="178"/>
      <c r="BN592" s="178"/>
      <c r="BO592" s="178"/>
      <c r="BP592" s="178"/>
      <c r="BQ592" s="196"/>
      <c r="BR592" s="196"/>
      <c r="BS592" s="196"/>
      <c r="BT592" s="196"/>
      <c r="BU592" s="196"/>
      <c r="BV592" s="196"/>
      <c r="BW592" s="178"/>
      <c r="BX592" s="196"/>
      <c r="BY592" s="196"/>
      <c r="BZ592" s="196"/>
      <c r="CA592" s="196"/>
      <c r="CB592" s="178"/>
      <c r="CC592" s="178"/>
      <c r="CD592" s="202"/>
      <c r="CE592" s="202"/>
      <c r="CF592" s="178"/>
      <c r="CG592" s="196"/>
      <c r="CH592" s="178"/>
      <c r="CI592" s="178"/>
      <c r="CJ592" s="178"/>
      <c r="CK592" s="178"/>
      <c r="CL592" s="178"/>
      <c r="CM592" s="178"/>
      <c r="CN592" s="178"/>
      <c r="CO592" s="178"/>
      <c r="CP592" s="178"/>
      <c r="CQ592" s="178"/>
      <c r="CR592" s="178"/>
      <c r="CS592" s="178"/>
      <c r="CT592" s="178"/>
      <c r="CU592" s="178"/>
      <c r="CV592" s="178"/>
      <c r="CW592" s="178"/>
      <c r="CX592" s="178"/>
      <c r="CY592" s="178"/>
      <c r="CZ592" s="178"/>
      <c r="DA592" s="150"/>
    </row>
    <row r="593" spans="53:105" x14ac:dyDescent="0.2">
      <c r="BA593" s="518">
        <f t="shared" ca="1" si="40"/>
        <v>61</v>
      </c>
      <c r="BB593" s="174">
        <f t="shared" ca="1" si="41"/>
        <v>530</v>
      </c>
      <c r="BC593" s="525" t="e">
        <f ca="1">MATCH(BD593,OFFSET(Pinlist!$A$2,BC592*(BA593=BA592),0,$BM$23,1),0)+BC592*(BA593=BA592)</f>
        <v>#N/A</v>
      </c>
      <c r="BD593" s="167">
        <f t="shared" ca="1" si="42"/>
        <v>0</v>
      </c>
      <c r="BE593" s="191" t="e">
        <f ca="1">(OFFSET(Pinlist!$E$1,BC593,0)-$BN$16)*$BN$19</f>
        <v>#N/A</v>
      </c>
      <c r="BF593" s="192" t="e">
        <f ca="1">(OFFSET(Pinlist!$F$1,BC593,0)-$BO$16)*$BO$19</f>
        <v>#N/A</v>
      </c>
      <c r="BG593" s="1098" t="str">
        <f ca="1">IF(LEFT(BD593,2)="RF",OFFSET(Pinlist!$D$1,Chart!BC593,0)&amp;"_"&amp;OFFSET(Pinlist!$G$1,Chart!BC593,0),"")</f>
        <v/>
      </c>
      <c r="BH593" s="1098"/>
      <c r="BI593" s="178"/>
      <c r="BJ593" s="178"/>
      <c r="BK593" s="178"/>
      <c r="BL593" s="178"/>
      <c r="BM593" s="178"/>
      <c r="BN593" s="178"/>
      <c r="BO593" s="178"/>
      <c r="BP593" s="178"/>
      <c r="BQ593" s="196"/>
      <c r="BR593" s="196"/>
      <c r="BS593" s="196"/>
      <c r="BT593" s="196"/>
      <c r="BU593" s="196"/>
      <c r="BV593" s="196"/>
      <c r="BW593" s="178"/>
      <c r="BX593" s="196"/>
      <c r="BY593" s="196"/>
      <c r="BZ593" s="196"/>
      <c r="CA593" s="196"/>
      <c r="CB593" s="178"/>
      <c r="CC593" s="178"/>
      <c r="CD593" s="202"/>
      <c r="CE593" s="202"/>
      <c r="CF593" s="178"/>
      <c r="CG593" s="196"/>
      <c r="CH593" s="178"/>
      <c r="CI593" s="178"/>
      <c r="CJ593" s="178"/>
      <c r="CK593" s="178"/>
      <c r="CL593" s="178"/>
      <c r="CM593" s="178"/>
      <c r="CN593" s="178"/>
      <c r="CO593" s="178"/>
      <c r="CP593" s="178"/>
      <c r="CQ593" s="178"/>
      <c r="CR593" s="178"/>
      <c r="CS593" s="178"/>
      <c r="CT593" s="178"/>
      <c r="CU593" s="178"/>
      <c r="CV593" s="178"/>
      <c r="CW593" s="178"/>
      <c r="CX593" s="178"/>
      <c r="CY593" s="178"/>
      <c r="CZ593" s="178"/>
      <c r="DA593" s="150"/>
    </row>
    <row r="594" spans="53:105" x14ac:dyDescent="0.2">
      <c r="BA594" s="518">
        <f t="shared" ca="1" si="40"/>
        <v>61</v>
      </c>
      <c r="BB594" s="174">
        <f t="shared" ca="1" si="41"/>
        <v>531</v>
      </c>
      <c r="BC594" s="525" t="e">
        <f ca="1">MATCH(BD594,OFFSET(Pinlist!$A$2,BC593*(BA594=BA593),0,$BM$23,1),0)+BC593*(BA594=BA593)</f>
        <v>#N/A</v>
      </c>
      <c r="BD594" s="167">
        <f t="shared" ca="1" si="42"/>
        <v>0</v>
      </c>
      <c r="BE594" s="191" t="e">
        <f ca="1">(OFFSET(Pinlist!$E$1,BC594,0)-$BN$16)*$BN$19</f>
        <v>#N/A</v>
      </c>
      <c r="BF594" s="192" t="e">
        <f ca="1">(OFFSET(Pinlist!$F$1,BC594,0)-$BO$16)*$BO$19</f>
        <v>#N/A</v>
      </c>
      <c r="BG594" s="1098" t="str">
        <f ca="1">IF(LEFT(BD594,2)="RF",OFFSET(Pinlist!$D$1,Chart!BC594,0)&amp;"_"&amp;OFFSET(Pinlist!$G$1,Chart!BC594,0),"")</f>
        <v/>
      </c>
      <c r="BH594" s="1098"/>
      <c r="BI594" s="178"/>
      <c r="BJ594" s="178"/>
      <c r="BK594" s="178"/>
      <c r="BL594" s="178"/>
      <c r="BM594" s="178"/>
      <c r="BN594" s="178"/>
      <c r="BO594" s="178"/>
      <c r="BP594" s="178"/>
      <c r="BQ594" s="196"/>
      <c r="BR594" s="196"/>
      <c r="BS594" s="196"/>
      <c r="BT594" s="196"/>
      <c r="BU594" s="196"/>
      <c r="BV594" s="196"/>
      <c r="BW594" s="178"/>
      <c r="BX594" s="196"/>
      <c r="BY594" s="196"/>
      <c r="BZ594" s="196"/>
      <c r="CA594" s="196"/>
      <c r="CB594" s="178"/>
      <c r="CC594" s="178"/>
      <c r="CD594" s="202"/>
      <c r="CE594" s="202"/>
      <c r="CF594" s="178"/>
      <c r="CG594" s="196"/>
      <c r="CH594" s="178"/>
      <c r="CI594" s="178"/>
      <c r="CJ594" s="178"/>
      <c r="CK594" s="178"/>
      <c r="CL594" s="178"/>
      <c r="CM594" s="178"/>
      <c r="CN594" s="178"/>
      <c r="CO594" s="178"/>
      <c r="CP594" s="178"/>
      <c r="CQ594" s="178"/>
      <c r="CR594" s="178"/>
      <c r="CS594" s="178"/>
      <c r="CT594" s="178"/>
      <c r="CU594" s="178"/>
      <c r="CV594" s="178"/>
      <c r="CW594" s="178"/>
      <c r="CX594" s="178"/>
      <c r="CY594" s="178"/>
      <c r="CZ594" s="178"/>
      <c r="DA594" s="150"/>
    </row>
    <row r="595" spans="53:105" x14ac:dyDescent="0.2">
      <c r="BA595" s="518">
        <f t="shared" ca="1" si="40"/>
        <v>61</v>
      </c>
      <c r="BB595" s="174">
        <f t="shared" ca="1" si="41"/>
        <v>532</v>
      </c>
      <c r="BC595" s="525" t="e">
        <f ca="1">MATCH(BD595,OFFSET(Pinlist!$A$2,BC594*(BA595=BA594),0,$BM$23,1),0)+BC594*(BA595=BA594)</f>
        <v>#N/A</v>
      </c>
      <c r="BD595" s="167">
        <f t="shared" ca="1" si="42"/>
        <v>0</v>
      </c>
      <c r="BE595" s="191" t="e">
        <f ca="1">(OFFSET(Pinlist!$E$1,BC595,0)-$BN$16)*$BN$19</f>
        <v>#N/A</v>
      </c>
      <c r="BF595" s="192" t="e">
        <f ca="1">(OFFSET(Pinlist!$F$1,BC595,0)-$BO$16)*$BO$19</f>
        <v>#N/A</v>
      </c>
      <c r="BG595" s="1098" t="str">
        <f ca="1">IF(LEFT(BD595,2)="RF",OFFSET(Pinlist!$D$1,Chart!BC595,0)&amp;"_"&amp;OFFSET(Pinlist!$G$1,Chart!BC595,0),"")</f>
        <v/>
      </c>
      <c r="BH595" s="1098"/>
      <c r="BI595" s="178"/>
      <c r="BJ595" s="178"/>
      <c r="BK595" s="178"/>
      <c r="BL595" s="178"/>
      <c r="BM595" s="178"/>
      <c r="BN595" s="178"/>
      <c r="BO595" s="178"/>
      <c r="BP595" s="178"/>
      <c r="BQ595" s="196"/>
      <c r="BR595" s="196"/>
      <c r="BS595" s="196"/>
      <c r="BT595" s="196"/>
      <c r="BU595" s="196"/>
      <c r="BV595" s="196"/>
      <c r="BW595" s="178"/>
      <c r="BX595" s="196"/>
      <c r="BY595" s="196"/>
      <c r="BZ595" s="196"/>
      <c r="CA595" s="196"/>
      <c r="CB595" s="178"/>
      <c r="CC595" s="178"/>
      <c r="CD595" s="202"/>
      <c r="CE595" s="202"/>
      <c r="CF595" s="178"/>
      <c r="CG595" s="196"/>
      <c r="CH595" s="178"/>
      <c r="CI595" s="178"/>
      <c r="CJ595" s="178"/>
      <c r="CK595" s="178"/>
      <c r="CL595" s="178"/>
      <c r="CM595" s="178"/>
      <c r="CN595" s="178"/>
      <c r="CO595" s="178"/>
      <c r="CP595" s="178"/>
      <c r="CQ595" s="178"/>
      <c r="CR595" s="178"/>
      <c r="CS595" s="178"/>
      <c r="CT595" s="178"/>
      <c r="CU595" s="178"/>
      <c r="CV595" s="178"/>
      <c r="CW595" s="178"/>
      <c r="CX595" s="178"/>
      <c r="CY595" s="178"/>
      <c r="CZ595" s="178"/>
      <c r="DA595" s="150"/>
    </row>
    <row r="596" spans="53:105" x14ac:dyDescent="0.2">
      <c r="BA596" s="518">
        <f t="shared" ca="1" si="40"/>
        <v>61</v>
      </c>
      <c r="BB596" s="174">
        <f t="shared" ca="1" si="41"/>
        <v>533</v>
      </c>
      <c r="BC596" s="525" t="e">
        <f ca="1">MATCH(BD596,OFFSET(Pinlist!$A$2,BC595*(BA596=BA595),0,$BM$23,1),0)+BC595*(BA596=BA595)</f>
        <v>#N/A</v>
      </c>
      <c r="BD596" s="167">
        <f t="shared" ca="1" si="42"/>
        <v>0</v>
      </c>
      <c r="BE596" s="191" t="e">
        <f ca="1">(OFFSET(Pinlist!$E$1,BC596,0)-$BN$16)*$BN$19</f>
        <v>#N/A</v>
      </c>
      <c r="BF596" s="192" t="e">
        <f ca="1">(OFFSET(Pinlist!$F$1,BC596,0)-$BO$16)*$BO$19</f>
        <v>#N/A</v>
      </c>
      <c r="BG596" s="1098" t="str">
        <f ca="1">IF(LEFT(BD596,2)="RF",OFFSET(Pinlist!$D$1,Chart!BC596,0)&amp;"_"&amp;OFFSET(Pinlist!$G$1,Chart!BC596,0),"")</f>
        <v/>
      </c>
      <c r="BH596" s="1098"/>
      <c r="BI596" s="178"/>
      <c r="BJ596" s="178"/>
      <c r="BK596" s="178"/>
      <c r="BL596" s="178"/>
      <c r="BM596" s="178"/>
      <c r="BN596" s="178"/>
      <c r="BO596" s="178"/>
      <c r="BP596" s="178"/>
      <c r="BQ596" s="196"/>
      <c r="BR596" s="196"/>
      <c r="BS596" s="196"/>
      <c r="BT596" s="196"/>
      <c r="BU596" s="196"/>
      <c r="BV596" s="196"/>
      <c r="BW596" s="178"/>
      <c r="BX596" s="196"/>
      <c r="BY596" s="196"/>
      <c r="BZ596" s="196"/>
      <c r="CA596" s="196"/>
      <c r="CB596" s="178"/>
      <c r="CC596" s="178"/>
      <c r="CD596" s="202"/>
      <c r="CE596" s="202"/>
      <c r="CF596" s="178"/>
      <c r="CG596" s="196"/>
      <c r="CH596" s="178"/>
      <c r="CI596" s="178"/>
      <c r="CJ596" s="178"/>
      <c r="CK596" s="178"/>
      <c r="CL596" s="178"/>
      <c r="CM596" s="178"/>
      <c r="CN596" s="178"/>
      <c r="CO596" s="178"/>
      <c r="CP596" s="178"/>
      <c r="CQ596" s="178"/>
      <c r="CR596" s="178"/>
      <c r="CS596" s="178"/>
      <c r="CT596" s="178"/>
      <c r="CU596" s="178"/>
      <c r="CV596" s="178"/>
      <c r="CW596" s="178"/>
      <c r="CX596" s="178"/>
      <c r="CY596" s="178"/>
      <c r="CZ596" s="178"/>
      <c r="DA596" s="150"/>
    </row>
    <row r="597" spans="53:105" x14ac:dyDescent="0.2">
      <c r="BA597" s="518">
        <f t="shared" ca="1" si="40"/>
        <v>61</v>
      </c>
      <c r="BB597" s="174">
        <f t="shared" ca="1" si="41"/>
        <v>534</v>
      </c>
      <c r="BC597" s="525" t="e">
        <f ca="1">MATCH(BD597,OFFSET(Pinlist!$A$2,BC596*(BA597=BA596),0,$BM$23,1),0)+BC596*(BA597=BA596)</f>
        <v>#N/A</v>
      </c>
      <c r="BD597" s="167">
        <f t="shared" ca="1" si="42"/>
        <v>0</v>
      </c>
      <c r="BE597" s="191" t="e">
        <f ca="1">(OFFSET(Pinlist!$E$1,BC597,0)-$BN$16)*$BN$19</f>
        <v>#N/A</v>
      </c>
      <c r="BF597" s="192" t="e">
        <f ca="1">(OFFSET(Pinlist!$F$1,BC597,0)-$BO$16)*$BO$19</f>
        <v>#N/A</v>
      </c>
      <c r="BG597" s="1098" t="str">
        <f ca="1">IF(LEFT(BD597,2)="RF",OFFSET(Pinlist!$D$1,Chart!BC597,0)&amp;"_"&amp;OFFSET(Pinlist!$G$1,Chart!BC597,0),"")</f>
        <v/>
      </c>
      <c r="BH597" s="1098"/>
      <c r="BI597" s="178"/>
      <c r="BJ597" s="178"/>
      <c r="BK597" s="178"/>
      <c r="BL597" s="178"/>
      <c r="BM597" s="178"/>
      <c r="BN597" s="178"/>
      <c r="BO597" s="178"/>
      <c r="BP597" s="178"/>
      <c r="BQ597" s="196"/>
      <c r="BR597" s="196"/>
      <c r="BS597" s="196"/>
      <c r="BT597" s="196"/>
      <c r="BU597" s="196"/>
      <c r="BV597" s="196"/>
      <c r="BW597" s="178"/>
      <c r="BX597" s="196"/>
      <c r="BY597" s="196"/>
      <c r="BZ597" s="196"/>
      <c r="CA597" s="196"/>
      <c r="CB597" s="178"/>
      <c r="CC597" s="178"/>
      <c r="CD597" s="202"/>
      <c r="CE597" s="202"/>
      <c r="CF597" s="178"/>
      <c r="CG597" s="196"/>
      <c r="CH597" s="178"/>
      <c r="CI597" s="178"/>
      <c r="CJ597" s="178"/>
      <c r="CK597" s="178"/>
      <c r="CL597" s="178"/>
      <c r="CM597" s="178"/>
      <c r="CN597" s="178"/>
      <c r="CO597" s="178"/>
      <c r="CP597" s="178"/>
      <c r="CQ597" s="178"/>
      <c r="CR597" s="178"/>
      <c r="CS597" s="178"/>
      <c r="CT597" s="178"/>
      <c r="CU597" s="178"/>
      <c r="CV597" s="178"/>
      <c r="CW597" s="178"/>
      <c r="CX597" s="178"/>
      <c r="CY597" s="178"/>
      <c r="CZ597" s="178"/>
      <c r="DA597" s="150"/>
    </row>
    <row r="598" spans="53:105" x14ac:dyDescent="0.2">
      <c r="BA598" s="518">
        <f t="shared" ca="1" si="40"/>
        <v>61</v>
      </c>
      <c r="BB598" s="174">
        <f t="shared" ca="1" si="41"/>
        <v>535</v>
      </c>
      <c r="BC598" s="525" t="e">
        <f ca="1">MATCH(BD598,OFFSET(Pinlist!$A$2,BC597*(BA598=BA597),0,$BM$23,1),0)+BC597*(BA598=BA597)</f>
        <v>#N/A</v>
      </c>
      <c r="BD598" s="167">
        <f t="shared" ca="1" si="42"/>
        <v>0</v>
      </c>
      <c r="BE598" s="191" t="e">
        <f ca="1">(OFFSET(Pinlist!$E$1,BC598,0)-$BN$16)*$BN$19</f>
        <v>#N/A</v>
      </c>
      <c r="BF598" s="192" t="e">
        <f ca="1">(OFFSET(Pinlist!$F$1,BC598,0)-$BO$16)*$BO$19</f>
        <v>#N/A</v>
      </c>
      <c r="BG598" s="1098" t="str">
        <f ca="1">IF(LEFT(BD598,2)="RF",OFFSET(Pinlist!$D$1,Chart!BC598,0)&amp;"_"&amp;OFFSET(Pinlist!$G$1,Chart!BC598,0),"")</f>
        <v/>
      </c>
      <c r="BH598" s="1098"/>
      <c r="BI598" s="178"/>
      <c r="BJ598" s="178"/>
      <c r="BK598" s="178"/>
      <c r="BL598" s="178"/>
      <c r="BM598" s="178"/>
      <c r="BN598" s="178"/>
      <c r="BO598" s="178"/>
      <c r="BP598" s="178"/>
      <c r="BQ598" s="196"/>
      <c r="BR598" s="196"/>
      <c r="BS598" s="196"/>
      <c r="BT598" s="196"/>
      <c r="BU598" s="196"/>
      <c r="BV598" s="196"/>
      <c r="BW598" s="178"/>
      <c r="BX598" s="196"/>
      <c r="BY598" s="196"/>
      <c r="BZ598" s="196"/>
      <c r="CA598" s="196"/>
      <c r="CB598" s="178"/>
      <c r="CC598" s="178"/>
      <c r="CD598" s="202"/>
      <c r="CE598" s="202"/>
      <c r="CF598" s="178"/>
      <c r="CG598" s="196"/>
      <c r="CH598" s="178"/>
      <c r="CI598" s="178"/>
      <c r="CJ598" s="178"/>
      <c r="CK598" s="178"/>
      <c r="CL598" s="178"/>
      <c r="CM598" s="178"/>
      <c r="CN598" s="178"/>
      <c r="CO598" s="178"/>
      <c r="CP598" s="178"/>
      <c r="CQ598" s="178"/>
      <c r="CR598" s="178"/>
      <c r="CS598" s="178"/>
      <c r="CT598" s="178"/>
      <c r="CU598" s="178"/>
      <c r="CV598" s="178"/>
      <c r="CW598" s="178"/>
      <c r="CX598" s="178"/>
      <c r="CY598" s="178"/>
      <c r="CZ598" s="178"/>
      <c r="DA598" s="150"/>
    </row>
    <row r="599" spans="53:105" x14ac:dyDescent="0.2">
      <c r="BA599" s="518">
        <f t="shared" ca="1" si="40"/>
        <v>61</v>
      </c>
      <c r="BB599" s="174">
        <f t="shared" ca="1" si="41"/>
        <v>536</v>
      </c>
      <c r="BC599" s="525" t="e">
        <f ca="1">MATCH(BD599,OFFSET(Pinlist!$A$2,BC598*(BA599=BA598),0,$BM$23,1),0)+BC598*(BA599=BA598)</f>
        <v>#N/A</v>
      </c>
      <c r="BD599" s="167">
        <f t="shared" ca="1" si="42"/>
        <v>0</v>
      </c>
      <c r="BE599" s="191" t="e">
        <f ca="1">(OFFSET(Pinlist!$E$1,BC599,0)-$BN$16)*$BN$19</f>
        <v>#N/A</v>
      </c>
      <c r="BF599" s="192" t="e">
        <f ca="1">(OFFSET(Pinlist!$F$1,BC599,0)-$BO$16)*$BO$19</f>
        <v>#N/A</v>
      </c>
      <c r="BG599" s="1098" t="str">
        <f ca="1">IF(LEFT(BD599,2)="RF",OFFSET(Pinlist!$D$1,Chart!BC599,0)&amp;"_"&amp;OFFSET(Pinlist!$G$1,Chart!BC599,0),"")</f>
        <v/>
      </c>
      <c r="BH599" s="1098"/>
      <c r="BI599" s="178"/>
      <c r="BJ599" s="178"/>
      <c r="BK599" s="178"/>
      <c r="BL599" s="178"/>
      <c r="BM599" s="178"/>
      <c r="BN599" s="178"/>
      <c r="BO599" s="178"/>
      <c r="BP599" s="178"/>
      <c r="BQ599" s="196"/>
      <c r="BR599" s="196"/>
      <c r="BS599" s="196"/>
      <c r="BT599" s="196"/>
      <c r="BU599" s="196"/>
      <c r="BV599" s="196"/>
      <c r="BW599" s="178"/>
      <c r="BX599" s="196"/>
      <c r="BY599" s="196"/>
      <c r="BZ599" s="196"/>
      <c r="CA599" s="196"/>
      <c r="CB599" s="178"/>
      <c r="CC599" s="178"/>
      <c r="CD599" s="202"/>
      <c r="CE599" s="202"/>
      <c r="CF599" s="178"/>
      <c r="CG599" s="196"/>
      <c r="CH599" s="178"/>
      <c r="CI599" s="178"/>
      <c r="CJ599" s="178"/>
      <c r="CK599" s="178"/>
      <c r="CL599" s="178"/>
      <c r="CM599" s="178"/>
      <c r="CN599" s="178"/>
      <c r="CO599" s="178"/>
      <c r="CP599" s="178"/>
      <c r="CQ599" s="178"/>
      <c r="CR599" s="178"/>
      <c r="CS599" s="178"/>
      <c r="CT599" s="178"/>
      <c r="CU599" s="178"/>
      <c r="CV599" s="178"/>
      <c r="CW599" s="178"/>
      <c r="CX599" s="178"/>
      <c r="CY599" s="178"/>
      <c r="CZ599" s="178"/>
      <c r="DA599" s="150"/>
    </row>
    <row r="600" spans="53:105" x14ac:dyDescent="0.2">
      <c r="BA600" s="518">
        <f t="shared" ca="1" si="40"/>
        <v>61</v>
      </c>
      <c r="BB600" s="174">
        <f t="shared" ca="1" si="41"/>
        <v>537</v>
      </c>
      <c r="BC600" s="525" t="e">
        <f ca="1">MATCH(BD600,OFFSET(Pinlist!$A$2,BC599*(BA600=BA599),0,$BM$23,1),0)+BC599*(BA600=BA599)</f>
        <v>#N/A</v>
      </c>
      <c r="BD600" s="167">
        <f t="shared" ca="1" si="42"/>
        <v>0</v>
      </c>
      <c r="BE600" s="191" t="e">
        <f ca="1">(OFFSET(Pinlist!$E$1,BC600,0)-$BN$16)*$BN$19</f>
        <v>#N/A</v>
      </c>
      <c r="BF600" s="192" t="e">
        <f ca="1">(OFFSET(Pinlist!$F$1,BC600,0)-$BO$16)*$BO$19</f>
        <v>#N/A</v>
      </c>
      <c r="BG600" s="1098" t="str">
        <f ca="1">IF(LEFT(BD600,2)="RF",OFFSET(Pinlist!$D$1,Chart!BC600,0)&amp;"_"&amp;OFFSET(Pinlist!$G$1,Chart!BC600,0),"")</f>
        <v/>
      </c>
      <c r="BH600" s="1098"/>
      <c r="BI600" s="178"/>
      <c r="BJ600" s="178"/>
      <c r="BK600" s="178"/>
      <c r="BL600" s="178"/>
      <c r="BM600" s="178"/>
      <c r="BN600" s="178"/>
      <c r="BO600" s="178"/>
      <c r="BP600" s="178"/>
      <c r="BQ600" s="196"/>
      <c r="BR600" s="196"/>
      <c r="BS600" s="196"/>
      <c r="BT600" s="196"/>
      <c r="BU600" s="196"/>
      <c r="BV600" s="196"/>
      <c r="BW600" s="178"/>
      <c r="BX600" s="196"/>
      <c r="BY600" s="196"/>
      <c r="BZ600" s="196"/>
      <c r="CA600" s="196"/>
      <c r="CB600" s="178"/>
      <c r="CC600" s="178"/>
      <c r="CD600" s="202"/>
      <c r="CE600" s="202"/>
      <c r="CF600" s="178"/>
      <c r="CG600" s="196"/>
      <c r="CH600" s="178"/>
      <c r="CI600" s="178"/>
      <c r="CJ600" s="178"/>
      <c r="CK600" s="178"/>
      <c r="CL600" s="178"/>
      <c r="CM600" s="178"/>
      <c r="CN600" s="178"/>
      <c r="CO600" s="178"/>
      <c r="CP600" s="178"/>
      <c r="CQ600" s="178"/>
      <c r="CR600" s="178"/>
      <c r="CS600" s="178"/>
      <c r="CT600" s="178"/>
      <c r="CU600" s="178"/>
      <c r="CV600" s="178"/>
      <c r="CW600" s="178"/>
      <c r="CX600" s="178"/>
      <c r="CY600" s="178"/>
      <c r="CZ600" s="178"/>
      <c r="DA600" s="150"/>
    </row>
    <row r="601" spans="53:105" x14ac:dyDescent="0.2">
      <c r="BA601" s="518">
        <f t="shared" ca="1" si="40"/>
        <v>61</v>
      </c>
      <c r="BB601" s="174">
        <f t="shared" ca="1" si="41"/>
        <v>538</v>
      </c>
      <c r="BC601" s="525" t="e">
        <f ca="1">MATCH(BD601,OFFSET(Pinlist!$A$2,BC600*(BA601=BA600),0,$BM$23,1),0)+BC600*(BA601=BA600)</f>
        <v>#N/A</v>
      </c>
      <c r="BD601" s="167">
        <f t="shared" ca="1" si="42"/>
        <v>0</v>
      </c>
      <c r="BE601" s="191" t="e">
        <f ca="1">(OFFSET(Pinlist!$E$1,BC601,0)-$BN$16)*$BN$19</f>
        <v>#N/A</v>
      </c>
      <c r="BF601" s="192" t="e">
        <f ca="1">(OFFSET(Pinlist!$F$1,BC601,0)-$BO$16)*$BO$19</f>
        <v>#N/A</v>
      </c>
      <c r="BG601" s="1098" t="str">
        <f ca="1">IF(LEFT(BD601,2)="RF",OFFSET(Pinlist!$D$1,Chart!BC601,0)&amp;"_"&amp;OFFSET(Pinlist!$G$1,Chart!BC601,0),"")</f>
        <v/>
      </c>
      <c r="BH601" s="1098"/>
      <c r="BI601" s="178"/>
      <c r="BJ601" s="178"/>
      <c r="BK601" s="178"/>
      <c r="BL601" s="178"/>
      <c r="BM601" s="178"/>
      <c r="BN601" s="178"/>
      <c r="BO601" s="178"/>
      <c r="BP601" s="178"/>
      <c r="BQ601" s="196"/>
      <c r="BR601" s="196"/>
      <c r="BS601" s="196"/>
      <c r="BT601" s="196"/>
      <c r="BU601" s="196"/>
      <c r="BV601" s="196"/>
      <c r="BW601" s="178"/>
      <c r="BX601" s="196"/>
      <c r="BY601" s="196"/>
      <c r="BZ601" s="196"/>
      <c r="CA601" s="196"/>
      <c r="CB601" s="178"/>
      <c r="CC601" s="178"/>
      <c r="CD601" s="202"/>
      <c r="CE601" s="202"/>
      <c r="CF601" s="178"/>
      <c r="CG601" s="196"/>
      <c r="CH601" s="178"/>
      <c r="CI601" s="178"/>
      <c r="CJ601" s="178"/>
      <c r="CK601" s="178"/>
      <c r="CL601" s="178"/>
      <c r="CM601" s="178"/>
      <c r="CN601" s="178"/>
      <c r="CO601" s="178"/>
      <c r="CP601" s="178"/>
      <c r="CQ601" s="178"/>
      <c r="CR601" s="178"/>
      <c r="CS601" s="178"/>
      <c r="CT601" s="178"/>
      <c r="CU601" s="178"/>
      <c r="CV601" s="178"/>
      <c r="CW601" s="178"/>
      <c r="CX601" s="178"/>
      <c r="CY601" s="178"/>
      <c r="CZ601" s="178"/>
      <c r="DA601" s="150"/>
    </row>
    <row r="602" spans="53:105" x14ac:dyDescent="0.2">
      <c r="BA602" s="518">
        <f t="shared" ca="1" si="40"/>
        <v>61</v>
      </c>
      <c r="BB602" s="174">
        <f t="shared" ca="1" si="41"/>
        <v>539</v>
      </c>
      <c r="BC602" s="525" t="e">
        <f ca="1">MATCH(BD602,OFFSET(Pinlist!$A$2,BC601*(BA602=BA601),0,$BM$23,1),0)+BC601*(BA602=BA601)</f>
        <v>#N/A</v>
      </c>
      <c r="BD602" s="167">
        <f t="shared" ca="1" si="42"/>
        <v>0</v>
      </c>
      <c r="BE602" s="191" t="e">
        <f ca="1">(OFFSET(Pinlist!$E$1,BC602,0)-$BN$16)*$BN$19</f>
        <v>#N/A</v>
      </c>
      <c r="BF602" s="192" t="e">
        <f ca="1">(OFFSET(Pinlist!$F$1,BC602,0)-$BO$16)*$BO$19</f>
        <v>#N/A</v>
      </c>
      <c r="BG602" s="1098" t="str">
        <f ca="1">IF(LEFT(BD602,2)="RF",OFFSET(Pinlist!$D$1,Chart!BC602,0)&amp;"_"&amp;OFFSET(Pinlist!$G$1,Chart!BC602,0),"")</f>
        <v/>
      </c>
      <c r="BH602" s="1098"/>
      <c r="BI602" s="178"/>
      <c r="BJ602" s="178"/>
      <c r="BK602" s="178"/>
      <c r="BL602" s="178"/>
      <c r="BM602" s="178"/>
      <c r="BN602" s="178"/>
      <c r="BO602" s="178"/>
      <c r="BP602" s="178"/>
      <c r="BQ602" s="196"/>
      <c r="BR602" s="196"/>
      <c r="BS602" s="196"/>
      <c r="BT602" s="196"/>
      <c r="BU602" s="196"/>
      <c r="BV602" s="196"/>
      <c r="BW602" s="178"/>
      <c r="BX602" s="196"/>
      <c r="BY602" s="196"/>
      <c r="BZ602" s="196"/>
      <c r="CA602" s="196"/>
      <c r="CB602" s="178"/>
      <c r="CC602" s="178"/>
      <c r="CD602" s="202"/>
      <c r="CE602" s="202"/>
      <c r="CF602" s="178"/>
      <c r="CG602" s="196"/>
      <c r="CH602" s="178"/>
      <c r="CI602" s="178"/>
      <c r="CJ602" s="178"/>
      <c r="CK602" s="178"/>
      <c r="CL602" s="178"/>
      <c r="CM602" s="178"/>
      <c r="CN602" s="178"/>
      <c r="CO602" s="178"/>
      <c r="CP602" s="178"/>
      <c r="CQ602" s="178"/>
      <c r="CR602" s="178"/>
      <c r="CS602" s="178"/>
      <c r="CT602" s="178"/>
      <c r="CU602" s="178"/>
      <c r="CV602" s="178"/>
      <c r="CW602" s="178"/>
      <c r="CX602" s="178"/>
      <c r="CY602" s="178"/>
      <c r="CZ602" s="178"/>
      <c r="DA602" s="150"/>
    </row>
    <row r="603" spans="53:105" x14ac:dyDescent="0.2">
      <c r="BA603" s="518">
        <f t="shared" ca="1" si="40"/>
        <v>61</v>
      </c>
      <c r="BB603" s="174">
        <f t="shared" ca="1" si="41"/>
        <v>540</v>
      </c>
      <c r="BC603" s="525" t="e">
        <f ca="1">MATCH(BD603,OFFSET(Pinlist!$A$2,BC602*(BA603=BA602),0,$BM$23,1),0)+BC602*(BA603=BA602)</f>
        <v>#N/A</v>
      </c>
      <c r="BD603" s="167">
        <f t="shared" ca="1" si="42"/>
        <v>0</v>
      </c>
      <c r="BE603" s="191" t="e">
        <f ca="1">(OFFSET(Pinlist!$E$1,BC603,0)-$BN$16)*$BN$19</f>
        <v>#N/A</v>
      </c>
      <c r="BF603" s="192" t="e">
        <f ca="1">(OFFSET(Pinlist!$F$1,BC603,0)-$BO$16)*$BO$19</f>
        <v>#N/A</v>
      </c>
      <c r="BG603" s="1098" t="str">
        <f ca="1">IF(LEFT(BD603,2)="RF",OFFSET(Pinlist!$D$1,Chart!BC603,0)&amp;"_"&amp;OFFSET(Pinlist!$G$1,Chart!BC603,0),"")</f>
        <v/>
      </c>
      <c r="BH603" s="1098"/>
      <c r="BI603" s="178"/>
      <c r="BJ603" s="178"/>
      <c r="BK603" s="178"/>
      <c r="BL603" s="178"/>
      <c r="BM603" s="178"/>
      <c r="BN603" s="178"/>
      <c r="BO603" s="178"/>
      <c r="BP603" s="178"/>
      <c r="BQ603" s="196"/>
      <c r="BR603" s="196"/>
      <c r="BS603" s="196"/>
      <c r="BT603" s="196"/>
      <c r="BU603" s="196"/>
      <c r="BV603" s="196"/>
      <c r="BW603" s="178"/>
      <c r="BX603" s="196"/>
      <c r="BY603" s="196"/>
      <c r="BZ603" s="196"/>
      <c r="CA603" s="196"/>
      <c r="CB603" s="178"/>
      <c r="CC603" s="178"/>
      <c r="CD603" s="202"/>
      <c r="CE603" s="202"/>
      <c r="CF603" s="178"/>
      <c r="CG603" s="196"/>
      <c r="CH603" s="178"/>
      <c r="CI603" s="178"/>
      <c r="CJ603" s="178"/>
      <c r="CK603" s="178"/>
      <c r="CL603" s="178"/>
      <c r="CM603" s="178"/>
      <c r="CN603" s="178"/>
      <c r="CO603" s="178"/>
      <c r="CP603" s="178"/>
      <c r="CQ603" s="178"/>
      <c r="CR603" s="178"/>
      <c r="CS603" s="178"/>
      <c r="CT603" s="178"/>
      <c r="CU603" s="178"/>
      <c r="CV603" s="178"/>
      <c r="CW603" s="178"/>
      <c r="CX603" s="178"/>
      <c r="CY603" s="178"/>
      <c r="CZ603" s="178"/>
      <c r="DA603" s="150"/>
    </row>
    <row r="604" spans="53:105" x14ac:dyDescent="0.2">
      <c r="BA604" s="518">
        <f t="shared" ca="1" si="40"/>
        <v>61</v>
      </c>
      <c r="BB604" s="174">
        <f t="shared" ca="1" si="41"/>
        <v>541</v>
      </c>
      <c r="BC604" s="525" t="e">
        <f ca="1">MATCH(BD604,OFFSET(Pinlist!$A$2,BC603*(BA604=BA603),0,$BM$23,1),0)+BC603*(BA604=BA603)</f>
        <v>#N/A</v>
      </c>
      <c r="BD604" s="167">
        <f t="shared" ca="1" si="42"/>
        <v>0</v>
      </c>
      <c r="BE604" s="191" t="e">
        <f ca="1">(OFFSET(Pinlist!$E$1,BC604,0)-$BN$16)*$BN$19</f>
        <v>#N/A</v>
      </c>
      <c r="BF604" s="192" t="e">
        <f ca="1">(OFFSET(Pinlist!$F$1,BC604,0)-$BO$16)*$BO$19</f>
        <v>#N/A</v>
      </c>
      <c r="BG604" s="1098" t="str">
        <f ca="1">IF(LEFT(BD604,2)="RF",OFFSET(Pinlist!$D$1,Chart!BC604,0)&amp;"_"&amp;OFFSET(Pinlist!$G$1,Chart!BC604,0),"")</f>
        <v/>
      </c>
      <c r="BH604" s="1098"/>
      <c r="BI604" s="178"/>
      <c r="BJ604" s="178"/>
      <c r="BK604" s="178"/>
      <c r="BL604" s="178"/>
      <c r="BM604" s="178"/>
      <c r="BN604" s="178"/>
      <c r="BO604" s="178"/>
      <c r="BP604" s="178"/>
      <c r="BQ604" s="196"/>
      <c r="BR604" s="196"/>
      <c r="BS604" s="196"/>
      <c r="BT604" s="196"/>
      <c r="BU604" s="196"/>
      <c r="BV604" s="196"/>
      <c r="BW604" s="178"/>
      <c r="BX604" s="196"/>
      <c r="BY604" s="196"/>
      <c r="BZ604" s="196"/>
      <c r="CA604" s="196"/>
      <c r="CB604" s="178"/>
      <c r="CC604" s="178"/>
      <c r="CD604" s="202"/>
      <c r="CE604" s="202"/>
      <c r="CF604" s="178"/>
      <c r="CG604" s="196"/>
      <c r="CH604" s="178"/>
      <c r="CI604" s="178"/>
      <c r="CJ604" s="178"/>
      <c r="CK604" s="178"/>
      <c r="CL604" s="178"/>
      <c r="CM604" s="178"/>
      <c r="CN604" s="178"/>
      <c r="CO604" s="178"/>
      <c r="CP604" s="178"/>
      <c r="CQ604" s="178"/>
      <c r="CR604" s="178"/>
      <c r="CS604" s="178"/>
      <c r="CT604" s="178"/>
      <c r="CU604" s="178"/>
      <c r="CV604" s="178"/>
      <c r="CW604" s="178"/>
      <c r="CX604" s="178"/>
      <c r="CY604" s="178"/>
      <c r="CZ604" s="178"/>
      <c r="DA604" s="150"/>
    </row>
    <row r="605" spans="53:105" x14ac:dyDescent="0.2">
      <c r="BA605" s="518">
        <f t="shared" ca="1" si="40"/>
        <v>61</v>
      </c>
      <c r="BB605" s="174">
        <f t="shared" ca="1" si="41"/>
        <v>542</v>
      </c>
      <c r="BC605" s="525" t="e">
        <f ca="1">MATCH(BD605,OFFSET(Pinlist!$A$2,BC604*(BA605=BA604),0,$BM$23,1),0)+BC604*(BA605=BA604)</f>
        <v>#N/A</v>
      </c>
      <c r="BD605" s="167">
        <f t="shared" ca="1" si="42"/>
        <v>0</v>
      </c>
      <c r="BE605" s="191" t="e">
        <f ca="1">(OFFSET(Pinlist!$E$1,BC605,0)-$BN$16)*$BN$19</f>
        <v>#N/A</v>
      </c>
      <c r="BF605" s="192" t="e">
        <f ca="1">(OFFSET(Pinlist!$F$1,BC605,0)-$BO$16)*$BO$19</f>
        <v>#N/A</v>
      </c>
      <c r="BG605" s="1098" t="str">
        <f ca="1">IF(LEFT(BD605,2)="RF",OFFSET(Pinlist!$D$1,Chart!BC605,0)&amp;"_"&amp;OFFSET(Pinlist!$G$1,Chart!BC605,0),"")</f>
        <v/>
      </c>
      <c r="BH605" s="1098"/>
      <c r="BI605" s="178"/>
      <c r="BJ605" s="178"/>
      <c r="BK605" s="178"/>
      <c r="BL605" s="178"/>
      <c r="BM605" s="178"/>
      <c r="BN605" s="178"/>
      <c r="BO605" s="178"/>
      <c r="BP605" s="178"/>
      <c r="BQ605" s="196"/>
      <c r="BR605" s="196"/>
      <c r="BS605" s="196"/>
      <c r="BT605" s="196"/>
      <c r="BU605" s="196"/>
      <c r="BV605" s="196"/>
      <c r="BW605" s="178"/>
      <c r="BX605" s="196"/>
      <c r="BY605" s="196"/>
      <c r="BZ605" s="196"/>
      <c r="CA605" s="196"/>
      <c r="CB605" s="178"/>
      <c r="CC605" s="178"/>
      <c r="CD605" s="202"/>
      <c r="CE605" s="202"/>
      <c r="CF605" s="178"/>
      <c r="CG605" s="196"/>
      <c r="CH605" s="178"/>
      <c r="CI605" s="178"/>
      <c r="CJ605" s="178"/>
      <c r="CK605" s="178"/>
      <c r="CL605" s="178"/>
      <c r="CM605" s="178"/>
      <c r="CN605" s="178"/>
      <c r="CO605" s="178"/>
      <c r="CP605" s="178"/>
      <c r="CQ605" s="178"/>
      <c r="CR605" s="178"/>
      <c r="CS605" s="178"/>
      <c r="CT605" s="178"/>
      <c r="CU605" s="178"/>
      <c r="CV605" s="178"/>
      <c r="CW605" s="178"/>
      <c r="CX605" s="178"/>
      <c r="CY605" s="178"/>
      <c r="CZ605" s="178"/>
      <c r="DA605" s="150"/>
    </row>
    <row r="606" spans="53:105" x14ac:dyDescent="0.2">
      <c r="BA606" s="518">
        <f t="shared" ca="1" si="40"/>
        <v>61</v>
      </c>
      <c r="BB606" s="174">
        <f t="shared" ca="1" si="41"/>
        <v>543</v>
      </c>
      <c r="BC606" s="525" t="e">
        <f ca="1">MATCH(BD606,OFFSET(Pinlist!$A$2,BC605*(BA606=BA605),0,$BM$23,1),0)+BC605*(BA606=BA605)</f>
        <v>#N/A</v>
      </c>
      <c r="BD606" s="167">
        <f t="shared" ca="1" si="42"/>
        <v>0</v>
      </c>
      <c r="BE606" s="191" t="e">
        <f ca="1">(OFFSET(Pinlist!$E$1,BC606,0)-$BN$16)*$BN$19</f>
        <v>#N/A</v>
      </c>
      <c r="BF606" s="192" t="e">
        <f ca="1">(OFFSET(Pinlist!$F$1,BC606,0)-$BO$16)*$BO$19</f>
        <v>#N/A</v>
      </c>
      <c r="BG606" s="1098" t="str">
        <f ca="1">IF(LEFT(BD606,2)="RF",OFFSET(Pinlist!$D$1,Chart!BC606,0)&amp;"_"&amp;OFFSET(Pinlist!$G$1,Chart!BC606,0),"")</f>
        <v/>
      </c>
      <c r="BH606" s="1098"/>
      <c r="BI606" s="178"/>
      <c r="BJ606" s="178"/>
      <c r="BK606" s="178"/>
      <c r="BL606" s="178"/>
      <c r="BM606" s="178"/>
      <c r="BN606" s="178"/>
      <c r="BO606" s="178"/>
      <c r="BP606" s="178"/>
      <c r="BQ606" s="196"/>
      <c r="BR606" s="196"/>
      <c r="BS606" s="196"/>
      <c r="BT606" s="196"/>
      <c r="BU606" s="196"/>
      <c r="BV606" s="196"/>
      <c r="BW606" s="178"/>
      <c r="BX606" s="196"/>
      <c r="BY606" s="196"/>
      <c r="BZ606" s="196"/>
      <c r="CA606" s="196"/>
      <c r="CB606" s="178"/>
      <c r="CC606" s="178"/>
      <c r="CD606" s="202"/>
      <c r="CE606" s="202"/>
      <c r="CF606" s="178"/>
      <c r="CG606" s="196"/>
      <c r="CH606" s="178"/>
      <c r="CI606" s="178"/>
      <c r="CJ606" s="178"/>
      <c r="CK606" s="178"/>
      <c r="CL606" s="178"/>
      <c r="CM606" s="178"/>
      <c r="CN606" s="178"/>
      <c r="CO606" s="178"/>
      <c r="CP606" s="178"/>
      <c r="CQ606" s="178"/>
      <c r="CR606" s="178"/>
      <c r="CS606" s="178"/>
      <c r="CT606" s="178"/>
      <c r="CU606" s="178"/>
      <c r="CV606" s="178"/>
      <c r="CW606" s="178"/>
      <c r="CX606" s="178"/>
      <c r="CY606" s="178"/>
      <c r="CZ606" s="178"/>
      <c r="DA606" s="150"/>
    </row>
    <row r="607" spans="53:105" x14ac:dyDescent="0.2">
      <c r="BA607" s="518">
        <f t="shared" ca="1" si="40"/>
        <v>61</v>
      </c>
      <c r="BB607" s="174">
        <f t="shared" ca="1" si="41"/>
        <v>544</v>
      </c>
      <c r="BC607" s="525" t="e">
        <f ca="1">MATCH(BD607,OFFSET(Pinlist!$A$2,BC606*(BA607=BA606),0,$BM$23,1),0)+BC606*(BA607=BA606)</f>
        <v>#N/A</v>
      </c>
      <c r="BD607" s="167">
        <f t="shared" ca="1" si="42"/>
        <v>0</v>
      </c>
      <c r="BE607" s="191" t="e">
        <f ca="1">(OFFSET(Pinlist!$E$1,BC607,0)-$BN$16)*$BN$19</f>
        <v>#N/A</v>
      </c>
      <c r="BF607" s="192" t="e">
        <f ca="1">(OFFSET(Pinlist!$F$1,BC607,0)-$BO$16)*$BO$19</f>
        <v>#N/A</v>
      </c>
      <c r="BG607" s="1098" t="str">
        <f ca="1">IF(LEFT(BD607,2)="RF",OFFSET(Pinlist!$D$1,Chart!BC607,0)&amp;"_"&amp;OFFSET(Pinlist!$G$1,Chart!BC607,0),"")</f>
        <v/>
      </c>
      <c r="BH607" s="1098"/>
      <c r="BI607" s="178"/>
      <c r="BJ607" s="178"/>
      <c r="BK607" s="178"/>
      <c r="BL607" s="178"/>
      <c r="BM607" s="178"/>
      <c r="BN607" s="178"/>
      <c r="BO607" s="178"/>
      <c r="BP607" s="178"/>
      <c r="BQ607" s="196"/>
      <c r="BR607" s="196"/>
      <c r="BS607" s="196"/>
      <c r="BT607" s="196"/>
      <c r="BU607" s="196"/>
      <c r="BV607" s="196"/>
      <c r="BW607" s="178"/>
      <c r="BX607" s="196"/>
      <c r="BY607" s="196"/>
      <c r="BZ607" s="196"/>
      <c r="CA607" s="196"/>
      <c r="CB607" s="178"/>
      <c r="CC607" s="178"/>
      <c r="CD607" s="202"/>
      <c r="CE607" s="202"/>
      <c r="CF607" s="178"/>
      <c r="CG607" s="196"/>
      <c r="CH607" s="178"/>
      <c r="CI607" s="178"/>
      <c r="CJ607" s="178"/>
      <c r="CK607" s="178"/>
      <c r="CL607" s="178"/>
      <c r="CM607" s="178"/>
      <c r="CN607" s="178"/>
      <c r="CO607" s="178"/>
      <c r="CP607" s="178"/>
      <c r="CQ607" s="178"/>
      <c r="CR607" s="178"/>
      <c r="CS607" s="178"/>
      <c r="CT607" s="178"/>
      <c r="CU607" s="178"/>
      <c r="CV607" s="178"/>
      <c r="CW607" s="178"/>
      <c r="CX607" s="178"/>
      <c r="CY607" s="178"/>
      <c r="CZ607" s="178"/>
      <c r="DA607" s="150"/>
    </row>
    <row r="608" spans="53:105" x14ac:dyDescent="0.2">
      <c r="BA608" s="518">
        <f t="shared" ca="1" si="40"/>
        <v>61</v>
      </c>
      <c r="BB608" s="174">
        <f t="shared" ca="1" si="41"/>
        <v>545</v>
      </c>
      <c r="BC608" s="525" t="e">
        <f ca="1">MATCH(BD608,OFFSET(Pinlist!$A$2,BC607*(BA608=BA607),0,$BM$23,1),0)+BC607*(BA608=BA607)</f>
        <v>#N/A</v>
      </c>
      <c r="BD608" s="167">
        <f t="shared" ca="1" si="42"/>
        <v>0</v>
      </c>
      <c r="BE608" s="191" t="e">
        <f ca="1">(OFFSET(Pinlist!$E$1,BC608,0)-$BN$16)*$BN$19</f>
        <v>#N/A</v>
      </c>
      <c r="BF608" s="192" t="e">
        <f ca="1">(OFFSET(Pinlist!$F$1,BC608,0)-$BO$16)*$BO$19</f>
        <v>#N/A</v>
      </c>
      <c r="BG608" s="1098" t="str">
        <f ca="1">IF(LEFT(BD608,2)="RF",OFFSET(Pinlist!$D$1,Chart!BC608,0)&amp;"_"&amp;OFFSET(Pinlist!$G$1,Chart!BC608,0),"")</f>
        <v/>
      </c>
      <c r="BH608" s="1098"/>
      <c r="BI608" s="178"/>
      <c r="BJ608" s="178"/>
      <c r="BK608" s="178"/>
      <c r="BL608" s="178"/>
      <c r="BM608" s="178"/>
      <c r="BN608" s="178"/>
      <c r="BO608" s="178"/>
      <c r="BP608" s="178"/>
      <c r="BQ608" s="196"/>
      <c r="BR608" s="196"/>
      <c r="BS608" s="196"/>
      <c r="BT608" s="196"/>
      <c r="BU608" s="196"/>
      <c r="BV608" s="196"/>
      <c r="BW608" s="178"/>
      <c r="BX608" s="196"/>
      <c r="BY608" s="196"/>
      <c r="BZ608" s="196"/>
      <c r="CA608" s="196"/>
      <c r="CB608" s="178"/>
      <c r="CC608" s="178"/>
      <c r="CD608" s="202"/>
      <c r="CE608" s="202"/>
      <c r="CF608" s="178"/>
      <c r="CG608" s="196"/>
      <c r="CH608" s="178"/>
      <c r="CI608" s="178"/>
      <c r="CJ608" s="178"/>
      <c r="CK608" s="178"/>
      <c r="CL608" s="178"/>
      <c r="CM608" s="178"/>
      <c r="CN608" s="178"/>
      <c r="CO608" s="178"/>
      <c r="CP608" s="178"/>
      <c r="CQ608" s="178"/>
      <c r="CR608" s="178"/>
      <c r="CS608" s="178"/>
      <c r="CT608" s="178"/>
      <c r="CU608" s="178"/>
      <c r="CV608" s="178"/>
      <c r="CW608" s="178"/>
      <c r="CX608" s="178"/>
      <c r="CY608" s="178"/>
      <c r="CZ608" s="178"/>
      <c r="DA608" s="150"/>
    </row>
    <row r="609" spans="53:105" x14ac:dyDescent="0.2">
      <c r="BA609" s="518">
        <f t="shared" ca="1" si="40"/>
        <v>61</v>
      </c>
      <c r="BB609" s="174">
        <f t="shared" ca="1" si="41"/>
        <v>546</v>
      </c>
      <c r="BC609" s="525" t="e">
        <f ca="1">MATCH(BD609,OFFSET(Pinlist!$A$2,BC608*(BA609=BA608),0,$BM$23,1),0)+BC608*(BA609=BA608)</f>
        <v>#N/A</v>
      </c>
      <c r="BD609" s="167">
        <f t="shared" ca="1" si="42"/>
        <v>0</v>
      </c>
      <c r="BE609" s="191" t="e">
        <f ca="1">(OFFSET(Pinlist!$E$1,BC609,0)-$BN$16)*$BN$19</f>
        <v>#N/A</v>
      </c>
      <c r="BF609" s="192" t="e">
        <f ca="1">(OFFSET(Pinlist!$F$1,BC609,0)-$BO$16)*$BO$19</f>
        <v>#N/A</v>
      </c>
      <c r="BG609" s="1098" t="str">
        <f ca="1">IF(LEFT(BD609,2)="RF",OFFSET(Pinlist!$D$1,Chart!BC609,0)&amp;"_"&amp;OFFSET(Pinlist!$G$1,Chart!BC609,0),"")</f>
        <v/>
      </c>
      <c r="BH609" s="1098"/>
      <c r="BI609" s="178"/>
      <c r="BJ609" s="178"/>
      <c r="BK609" s="178"/>
      <c r="BL609" s="178"/>
      <c r="BM609" s="178"/>
      <c r="BN609" s="178"/>
      <c r="BO609" s="178"/>
      <c r="BP609" s="178"/>
      <c r="BQ609" s="196"/>
      <c r="BR609" s="196"/>
      <c r="BS609" s="196"/>
      <c r="BT609" s="196"/>
      <c r="BU609" s="196"/>
      <c r="BV609" s="196"/>
      <c r="BW609" s="178"/>
      <c r="BX609" s="196"/>
      <c r="BY609" s="196"/>
      <c r="BZ609" s="196"/>
      <c r="CA609" s="196"/>
      <c r="CB609" s="178"/>
      <c r="CC609" s="178"/>
      <c r="CD609" s="202"/>
      <c r="CE609" s="202"/>
      <c r="CF609" s="178"/>
      <c r="CG609" s="196"/>
      <c r="CH609" s="178"/>
      <c r="CI609" s="178"/>
      <c r="CJ609" s="178"/>
      <c r="CK609" s="178"/>
      <c r="CL609" s="178"/>
      <c r="CM609" s="178"/>
      <c r="CN609" s="178"/>
      <c r="CO609" s="178"/>
      <c r="CP609" s="178"/>
      <c r="CQ609" s="178"/>
      <c r="CR609" s="178"/>
      <c r="CS609" s="178"/>
      <c r="CT609" s="178"/>
      <c r="CU609" s="178"/>
      <c r="CV609" s="178"/>
      <c r="CW609" s="178"/>
      <c r="CX609" s="178"/>
      <c r="CY609" s="178"/>
      <c r="CZ609" s="178"/>
      <c r="DA609" s="150"/>
    </row>
    <row r="610" spans="53:105" x14ac:dyDescent="0.2">
      <c r="BA610" s="518">
        <f t="shared" ca="1" si="40"/>
        <v>61</v>
      </c>
      <c r="BB610" s="174">
        <f t="shared" ca="1" si="41"/>
        <v>547</v>
      </c>
      <c r="BC610" s="525" t="e">
        <f ca="1">MATCH(BD610,OFFSET(Pinlist!$A$2,BC609*(BA610=BA609),0,$BM$23,1),0)+BC609*(BA610=BA609)</f>
        <v>#N/A</v>
      </c>
      <c r="BD610" s="167">
        <f t="shared" ca="1" si="42"/>
        <v>0</v>
      </c>
      <c r="BE610" s="191" t="e">
        <f ca="1">(OFFSET(Pinlist!$E$1,BC610,0)-$BN$16)*$BN$19</f>
        <v>#N/A</v>
      </c>
      <c r="BF610" s="192" t="e">
        <f ca="1">(OFFSET(Pinlist!$F$1,BC610,0)-$BO$16)*$BO$19</f>
        <v>#N/A</v>
      </c>
      <c r="BG610" s="1098" t="str">
        <f ca="1">IF(LEFT(BD610,2)="RF",OFFSET(Pinlist!$D$1,Chart!BC610,0)&amp;"_"&amp;OFFSET(Pinlist!$G$1,Chart!BC610,0),"")</f>
        <v/>
      </c>
      <c r="BH610" s="1098"/>
      <c r="BI610" s="178"/>
      <c r="BJ610" s="178"/>
      <c r="BK610" s="178"/>
      <c r="BL610" s="178"/>
      <c r="BM610" s="178"/>
      <c r="BN610" s="178"/>
      <c r="BO610" s="178"/>
      <c r="BP610" s="178"/>
      <c r="BQ610" s="196"/>
      <c r="BR610" s="196"/>
      <c r="BS610" s="196"/>
      <c r="BT610" s="196"/>
      <c r="BU610" s="196"/>
      <c r="BV610" s="196"/>
      <c r="BW610" s="178"/>
      <c r="BX610" s="196"/>
      <c r="BY610" s="196"/>
      <c r="BZ610" s="196"/>
      <c r="CA610" s="196"/>
      <c r="CB610" s="178"/>
      <c r="CC610" s="178"/>
      <c r="CD610" s="202"/>
      <c r="CE610" s="202"/>
      <c r="CF610" s="178"/>
      <c r="CG610" s="196"/>
      <c r="CH610" s="178"/>
      <c r="CI610" s="178"/>
      <c r="CJ610" s="178"/>
      <c r="CK610" s="178"/>
      <c r="CL610" s="178"/>
      <c r="CM610" s="178"/>
      <c r="CN610" s="178"/>
      <c r="CO610" s="178"/>
      <c r="CP610" s="178"/>
      <c r="CQ610" s="178"/>
      <c r="CR610" s="178"/>
      <c r="CS610" s="178"/>
      <c r="CT610" s="178"/>
      <c r="CU610" s="178"/>
      <c r="CV610" s="178"/>
      <c r="CW610" s="178"/>
      <c r="CX610" s="178"/>
      <c r="CY610" s="178"/>
      <c r="CZ610" s="178"/>
      <c r="DA610" s="150"/>
    </row>
    <row r="611" spans="53:105" x14ac:dyDescent="0.2">
      <c r="BA611" s="518">
        <f t="shared" ca="1" si="40"/>
        <v>61</v>
      </c>
      <c r="BB611" s="174">
        <f t="shared" ca="1" si="41"/>
        <v>548</v>
      </c>
      <c r="BC611" s="525" t="e">
        <f ca="1">MATCH(BD611,OFFSET(Pinlist!$A$2,BC610*(BA611=BA610),0,$BM$23,1),0)+BC610*(BA611=BA610)</f>
        <v>#N/A</v>
      </c>
      <c r="BD611" s="167">
        <f t="shared" ca="1" si="42"/>
        <v>0</v>
      </c>
      <c r="BE611" s="191" t="e">
        <f ca="1">(OFFSET(Pinlist!$E$1,BC611,0)-$BN$16)*$BN$19</f>
        <v>#N/A</v>
      </c>
      <c r="BF611" s="192" t="e">
        <f ca="1">(OFFSET(Pinlist!$F$1,BC611,0)-$BO$16)*$BO$19</f>
        <v>#N/A</v>
      </c>
      <c r="BG611" s="1098" t="str">
        <f ca="1">IF(LEFT(BD611,2)="RF",OFFSET(Pinlist!$D$1,Chart!BC611,0)&amp;"_"&amp;OFFSET(Pinlist!$G$1,Chart!BC611,0),"")</f>
        <v/>
      </c>
      <c r="BH611" s="1098"/>
      <c r="BI611" s="178"/>
      <c r="BJ611" s="178"/>
      <c r="BK611" s="178"/>
      <c r="BL611" s="178"/>
      <c r="BM611" s="178"/>
      <c r="BN611" s="178"/>
      <c r="BO611" s="178"/>
      <c r="BP611" s="178"/>
      <c r="BQ611" s="196"/>
      <c r="BR611" s="196"/>
      <c r="BS611" s="196"/>
      <c r="BT611" s="196"/>
      <c r="BU611" s="196"/>
      <c r="BV611" s="196"/>
      <c r="BW611" s="178"/>
      <c r="BX611" s="196"/>
      <c r="BY611" s="196"/>
      <c r="BZ611" s="196"/>
      <c r="CA611" s="196"/>
      <c r="CB611" s="178"/>
      <c r="CC611" s="178"/>
      <c r="CD611" s="202"/>
      <c r="CE611" s="202"/>
      <c r="CF611" s="178"/>
      <c r="CG611" s="196"/>
      <c r="CH611" s="178"/>
      <c r="CI611" s="178"/>
      <c r="CJ611" s="178"/>
      <c r="CK611" s="178"/>
      <c r="CL611" s="178"/>
      <c r="CM611" s="178"/>
      <c r="CN611" s="178"/>
      <c r="CO611" s="178"/>
      <c r="CP611" s="178"/>
      <c r="CQ611" s="178"/>
      <c r="CR611" s="178"/>
      <c r="CS611" s="178"/>
      <c r="CT611" s="178"/>
      <c r="CU611" s="178"/>
      <c r="CV611" s="178"/>
      <c r="CW611" s="178"/>
      <c r="CX611" s="178"/>
      <c r="CY611" s="178"/>
      <c r="CZ611" s="178"/>
      <c r="DA611" s="150"/>
    </row>
    <row r="612" spans="53:105" x14ac:dyDescent="0.2">
      <c r="BA612" s="518">
        <f t="shared" ca="1" si="40"/>
        <v>61</v>
      </c>
      <c r="BB612" s="174">
        <f t="shared" ca="1" si="41"/>
        <v>549</v>
      </c>
      <c r="BC612" s="525" t="e">
        <f ca="1">MATCH(BD612,OFFSET(Pinlist!$A$2,BC611*(BA612=BA611),0,$BM$23,1),0)+BC611*(BA612=BA611)</f>
        <v>#N/A</v>
      </c>
      <c r="BD612" s="167">
        <f t="shared" ca="1" si="42"/>
        <v>0</v>
      </c>
      <c r="BE612" s="191" t="e">
        <f ca="1">(OFFSET(Pinlist!$E$1,BC612,0)-$BN$16)*$BN$19</f>
        <v>#N/A</v>
      </c>
      <c r="BF612" s="192" t="e">
        <f ca="1">(OFFSET(Pinlist!$F$1,BC612,0)-$BO$16)*$BO$19</f>
        <v>#N/A</v>
      </c>
      <c r="BG612" s="1098" t="str">
        <f ca="1">IF(LEFT(BD612,2)="RF",OFFSET(Pinlist!$D$1,Chart!BC612,0)&amp;"_"&amp;OFFSET(Pinlist!$G$1,Chart!BC612,0),"")</f>
        <v/>
      </c>
      <c r="BH612" s="1098"/>
      <c r="BI612" s="178"/>
      <c r="BJ612" s="178"/>
      <c r="BK612" s="178"/>
      <c r="BL612" s="178"/>
      <c r="BM612" s="178"/>
      <c r="BN612" s="178"/>
      <c r="BO612" s="178"/>
      <c r="BP612" s="178"/>
      <c r="BQ612" s="196"/>
      <c r="BR612" s="196"/>
      <c r="BS612" s="196"/>
      <c r="BT612" s="196"/>
      <c r="BU612" s="196"/>
      <c r="BV612" s="196"/>
      <c r="BW612" s="178"/>
      <c r="BX612" s="196"/>
      <c r="BY612" s="196"/>
      <c r="BZ612" s="196"/>
      <c r="CA612" s="196"/>
      <c r="CB612" s="178"/>
      <c r="CC612" s="178"/>
      <c r="CD612" s="202"/>
      <c r="CE612" s="202"/>
      <c r="CF612" s="178"/>
      <c r="CG612" s="196"/>
      <c r="CH612" s="178"/>
      <c r="CI612" s="178"/>
      <c r="CJ612" s="178"/>
      <c r="CK612" s="178"/>
      <c r="CL612" s="178"/>
      <c r="CM612" s="178"/>
      <c r="CN612" s="178"/>
      <c r="CO612" s="178"/>
      <c r="CP612" s="178"/>
      <c r="CQ612" s="178"/>
      <c r="CR612" s="178"/>
      <c r="CS612" s="178"/>
      <c r="CT612" s="178"/>
      <c r="CU612" s="178"/>
      <c r="CV612" s="178"/>
      <c r="CW612" s="178"/>
      <c r="CX612" s="178"/>
      <c r="CY612" s="178"/>
      <c r="CZ612" s="178"/>
      <c r="DA612" s="150"/>
    </row>
    <row r="613" spans="53:105" x14ac:dyDescent="0.2">
      <c r="BA613" s="518">
        <f t="shared" ca="1" si="40"/>
        <v>61</v>
      </c>
      <c r="BB613" s="174">
        <f t="shared" ca="1" si="41"/>
        <v>550</v>
      </c>
      <c r="BC613" s="525" t="e">
        <f ca="1">MATCH(BD613,OFFSET(Pinlist!$A$2,BC612*(BA613=BA612),0,$BM$23,1),0)+BC612*(BA613=BA612)</f>
        <v>#N/A</v>
      </c>
      <c r="BD613" s="167">
        <f t="shared" ca="1" si="42"/>
        <v>0</v>
      </c>
      <c r="BE613" s="191" t="e">
        <f ca="1">(OFFSET(Pinlist!$E$1,BC613,0)-$BN$16)*$BN$19</f>
        <v>#N/A</v>
      </c>
      <c r="BF613" s="192" t="e">
        <f ca="1">(OFFSET(Pinlist!$F$1,BC613,0)-$BO$16)*$BO$19</f>
        <v>#N/A</v>
      </c>
      <c r="BG613" s="1098" t="str">
        <f ca="1">IF(LEFT(BD613,2)="RF",OFFSET(Pinlist!$D$1,Chart!BC613,0)&amp;"_"&amp;OFFSET(Pinlist!$G$1,Chart!BC613,0),"")</f>
        <v/>
      </c>
      <c r="BH613" s="1098"/>
      <c r="BI613" s="178"/>
      <c r="BJ613" s="178"/>
      <c r="BK613" s="178"/>
      <c r="BL613" s="178"/>
      <c r="BM613" s="178"/>
      <c r="BN613" s="178"/>
      <c r="BO613" s="178"/>
      <c r="BP613" s="178"/>
      <c r="BQ613" s="196"/>
      <c r="BR613" s="196"/>
      <c r="BS613" s="196"/>
      <c r="BT613" s="196"/>
      <c r="BU613" s="196"/>
      <c r="BV613" s="196"/>
      <c r="BW613" s="178"/>
      <c r="BX613" s="196"/>
      <c r="BY613" s="196"/>
      <c r="BZ613" s="196"/>
      <c r="CA613" s="196"/>
      <c r="CB613" s="178"/>
      <c r="CC613" s="178"/>
      <c r="CD613" s="202"/>
      <c r="CE613" s="202"/>
      <c r="CF613" s="178"/>
      <c r="CG613" s="196"/>
      <c r="CH613" s="178"/>
      <c r="CI613" s="178"/>
      <c r="CJ613" s="178"/>
      <c r="CK613" s="178"/>
      <c r="CL613" s="178"/>
      <c r="CM613" s="178"/>
      <c r="CN613" s="178"/>
      <c r="CO613" s="178"/>
      <c r="CP613" s="178"/>
      <c r="CQ613" s="178"/>
      <c r="CR613" s="178"/>
      <c r="CS613" s="178"/>
      <c r="CT613" s="178"/>
      <c r="CU613" s="178"/>
      <c r="CV613" s="178"/>
      <c r="CW613" s="178"/>
      <c r="CX613" s="178"/>
      <c r="CY613" s="178"/>
      <c r="CZ613" s="178"/>
      <c r="DA613" s="150"/>
    </row>
    <row r="614" spans="53:105" x14ac:dyDescent="0.2">
      <c r="BA614" s="518">
        <f t="shared" ca="1" si="40"/>
        <v>61</v>
      </c>
      <c r="BB614" s="174">
        <f t="shared" ca="1" si="41"/>
        <v>551</v>
      </c>
      <c r="BC614" s="525" t="e">
        <f ca="1">MATCH(BD614,OFFSET(Pinlist!$A$2,BC613*(BA614=BA613),0,$BM$23,1),0)+BC613*(BA614=BA613)</f>
        <v>#N/A</v>
      </c>
      <c r="BD614" s="167">
        <f t="shared" ca="1" si="42"/>
        <v>0</v>
      </c>
      <c r="BE614" s="191" t="e">
        <f ca="1">(OFFSET(Pinlist!$E$1,BC614,0)-$BN$16)*$BN$19</f>
        <v>#N/A</v>
      </c>
      <c r="BF614" s="192" t="e">
        <f ca="1">(OFFSET(Pinlist!$F$1,BC614,0)-$BO$16)*$BO$19</f>
        <v>#N/A</v>
      </c>
      <c r="BG614" s="1098" t="str">
        <f ca="1">IF(LEFT(BD614,2)="RF",OFFSET(Pinlist!$D$1,Chart!BC614,0)&amp;"_"&amp;OFFSET(Pinlist!$G$1,Chart!BC614,0),"")</f>
        <v/>
      </c>
      <c r="BH614" s="1098"/>
      <c r="BI614" s="178"/>
      <c r="BJ614" s="178"/>
      <c r="BK614" s="178"/>
      <c r="BL614" s="178"/>
      <c r="BM614" s="178"/>
      <c r="BN614" s="178"/>
      <c r="BO614" s="178"/>
      <c r="BP614" s="178"/>
      <c r="BQ614" s="196"/>
      <c r="BR614" s="196"/>
      <c r="BS614" s="196"/>
      <c r="BT614" s="196"/>
      <c r="BU614" s="196"/>
      <c r="BV614" s="196"/>
      <c r="BW614" s="178"/>
      <c r="BX614" s="196"/>
      <c r="BY614" s="196"/>
      <c r="BZ614" s="196"/>
      <c r="CA614" s="196"/>
      <c r="CB614" s="178"/>
      <c r="CC614" s="178"/>
      <c r="CD614" s="202"/>
      <c r="CE614" s="202"/>
      <c r="CF614" s="178"/>
      <c r="CG614" s="196"/>
      <c r="CH614" s="178"/>
      <c r="CI614" s="178"/>
      <c r="CJ614" s="178"/>
      <c r="CK614" s="178"/>
      <c r="CL614" s="178"/>
      <c r="CM614" s="178"/>
      <c r="CN614" s="178"/>
      <c r="CO614" s="178"/>
      <c r="CP614" s="178"/>
      <c r="CQ614" s="178"/>
      <c r="CR614" s="178"/>
      <c r="CS614" s="178"/>
      <c r="CT614" s="178"/>
      <c r="CU614" s="178"/>
      <c r="CV614" s="178"/>
      <c r="CW614" s="178"/>
      <c r="CX614" s="178"/>
      <c r="CY614" s="178"/>
      <c r="CZ614" s="178"/>
      <c r="DA614" s="150"/>
    </row>
    <row r="615" spans="53:105" x14ac:dyDescent="0.2">
      <c r="BA615" s="518">
        <f t="shared" ca="1" si="40"/>
        <v>61</v>
      </c>
      <c r="BB615" s="174">
        <f t="shared" ca="1" si="41"/>
        <v>552</v>
      </c>
      <c r="BC615" s="525" t="e">
        <f ca="1">MATCH(BD615,OFFSET(Pinlist!$A$2,BC614*(BA615=BA614),0,$BM$23,1),0)+BC614*(BA615=BA614)</f>
        <v>#N/A</v>
      </c>
      <c r="BD615" s="167">
        <f t="shared" ca="1" si="42"/>
        <v>0</v>
      </c>
      <c r="BE615" s="191" t="e">
        <f ca="1">(OFFSET(Pinlist!$E$1,BC615,0)-$BN$16)*$BN$19</f>
        <v>#N/A</v>
      </c>
      <c r="BF615" s="192" t="e">
        <f ca="1">(OFFSET(Pinlist!$F$1,BC615,0)-$BO$16)*$BO$19</f>
        <v>#N/A</v>
      </c>
      <c r="BG615" s="1098" t="str">
        <f ca="1">IF(LEFT(BD615,2)="RF",OFFSET(Pinlist!$D$1,Chart!BC615,0)&amp;"_"&amp;OFFSET(Pinlist!$G$1,Chart!BC615,0),"")</f>
        <v/>
      </c>
      <c r="BH615" s="1098"/>
      <c r="BI615" s="178"/>
      <c r="BJ615" s="178"/>
      <c r="BK615" s="178"/>
      <c r="BL615" s="178"/>
      <c r="BM615" s="178"/>
      <c r="BN615" s="178"/>
      <c r="BO615" s="178"/>
      <c r="BP615" s="178"/>
      <c r="BQ615" s="196"/>
      <c r="BR615" s="196"/>
      <c r="BS615" s="196"/>
      <c r="BT615" s="196"/>
      <c r="BU615" s="196"/>
      <c r="BV615" s="196"/>
      <c r="BW615" s="178"/>
      <c r="BX615" s="196"/>
      <c r="BY615" s="196"/>
      <c r="BZ615" s="196"/>
      <c r="CA615" s="196"/>
      <c r="CB615" s="178"/>
      <c r="CC615" s="178"/>
      <c r="CD615" s="202"/>
      <c r="CE615" s="202"/>
      <c r="CF615" s="178"/>
      <c r="CG615" s="196"/>
      <c r="CH615" s="178"/>
      <c r="CI615" s="178"/>
      <c r="CJ615" s="178"/>
      <c r="CK615" s="178"/>
      <c r="CL615" s="178"/>
      <c r="CM615" s="178"/>
      <c r="CN615" s="178"/>
      <c r="CO615" s="178"/>
      <c r="CP615" s="178"/>
      <c r="CQ615" s="178"/>
      <c r="CR615" s="178"/>
      <c r="CS615" s="178"/>
      <c r="CT615" s="178"/>
      <c r="CU615" s="178"/>
      <c r="CV615" s="178"/>
      <c r="CW615" s="178"/>
      <c r="CX615" s="178"/>
      <c r="CY615" s="178"/>
      <c r="CZ615" s="178"/>
      <c r="DA615" s="150"/>
    </row>
    <row r="616" spans="53:105" x14ac:dyDescent="0.2">
      <c r="BA616" s="518">
        <f t="shared" ca="1" si="40"/>
        <v>61</v>
      </c>
      <c r="BB616" s="174">
        <f t="shared" ca="1" si="41"/>
        <v>553</v>
      </c>
      <c r="BC616" s="525" t="e">
        <f ca="1">MATCH(BD616,OFFSET(Pinlist!$A$2,BC615*(BA616=BA615),0,$BM$23,1),0)+BC615*(BA616=BA615)</f>
        <v>#N/A</v>
      </c>
      <c r="BD616" s="167">
        <f t="shared" ca="1" si="42"/>
        <v>0</v>
      </c>
      <c r="BE616" s="191" t="e">
        <f ca="1">(OFFSET(Pinlist!$E$1,BC616,0)-$BN$16)*$BN$19</f>
        <v>#N/A</v>
      </c>
      <c r="BF616" s="192" t="e">
        <f ca="1">(OFFSET(Pinlist!$F$1,BC616,0)-$BO$16)*$BO$19</f>
        <v>#N/A</v>
      </c>
      <c r="BG616" s="1098" t="str">
        <f ca="1">IF(LEFT(BD616,2)="RF",OFFSET(Pinlist!$D$1,Chart!BC616,0)&amp;"_"&amp;OFFSET(Pinlist!$G$1,Chart!BC616,0),"")</f>
        <v/>
      </c>
      <c r="BH616" s="1098"/>
      <c r="BI616" s="178"/>
      <c r="BJ616" s="178"/>
      <c r="BK616" s="178"/>
      <c r="BL616" s="178"/>
      <c r="BM616" s="178"/>
      <c r="BN616" s="178"/>
      <c r="BO616" s="178"/>
      <c r="BP616" s="178"/>
      <c r="BQ616" s="196"/>
      <c r="BR616" s="196"/>
      <c r="BS616" s="196"/>
      <c r="BT616" s="196"/>
      <c r="BU616" s="196"/>
      <c r="BV616" s="196"/>
      <c r="BW616" s="178"/>
      <c r="BX616" s="196"/>
      <c r="BY616" s="196"/>
      <c r="BZ616" s="196"/>
      <c r="CA616" s="196"/>
      <c r="CB616" s="178"/>
      <c r="CC616" s="178"/>
      <c r="CD616" s="202"/>
      <c r="CE616" s="202"/>
      <c r="CF616" s="178"/>
      <c r="CG616" s="196"/>
      <c r="CH616" s="178"/>
      <c r="CI616" s="178"/>
      <c r="CJ616" s="178"/>
      <c r="CK616" s="178"/>
      <c r="CL616" s="178"/>
      <c r="CM616" s="178"/>
      <c r="CN616" s="178"/>
      <c r="CO616" s="178"/>
      <c r="CP616" s="178"/>
      <c r="CQ616" s="178"/>
      <c r="CR616" s="178"/>
      <c r="CS616" s="178"/>
      <c r="CT616" s="178"/>
      <c r="CU616" s="178"/>
      <c r="CV616" s="178"/>
      <c r="CW616" s="178"/>
      <c r="CX616" s="178"/>
      <c r="CY616" s="178"/>
      <c r="CZ616" s="178"/>
      <c r="DA616" s="150"/>
    </row>
    <row r="617" spans="53:105" x14ac:dyDescent="0.2">
      <c r="BA617" s="518">
        <f t="shared" ca="1" si="40"/>
        <v>61</v>
      </c>
      <c r="BB617" s="174">
        <f t="shared" ca="1" si="41"/>
        <v>554</v>
      </c>
      <c r="BC617" s="525" t="e">
        <f ca="1">MATCH(BD617,OFFSET(Pinlist!$A$2,BC616*(BA617=BA616),0,$BM$23,1),0)+BC616*(BA617=BA616)</f>
        <v>#N/A</v>
      </c>
      <c r="BD617" s="167">
        <f t="shared" ca="1" si="42"/>
        <v>0</v>
      </c>
      <c r="BE617" s="191" t="e">
        <f ca="1">(OFFSET(Pinlist!$E$1,BC617,0)-$BN$16)*$BN$19</f>
        <v>#N/A</v>
      </c>
      <c r="BF617" s="192" t="e">
        <f ca="1">(OFFSET(Pinlist!$F$1,BC617,0)-$BO$16)*$BO$19</f>
        <v>#N/A</v>
      </c>
      <c r="BG617" s="1098" t="str">
        <f ca="1">IF(LEFT(BD617,2)="RF",OFFSET(Pinlist!$D$1,Chart!BC617,0)&amp;"_"&amp;OFFSET(Pinlist!$G$1,Chart!BC617,0),"")</f>
        <v/>
      </c>
      <c r="BH617" s="1098"/>
      <c r="BI617" s="178"/>
      <c r="BJ617" s="178"/>
      <c r="BK617" s="178"/>
      <c r="BL617" s="178"/>
      <c r="BM617" s="178"/>
      <c r="BN617" s="178"/>
      <c r="BO617" s="178"/>
      <c r="BP617" s="178"/>
      <c r="BQ617" s="196"/>
      <c r="BR617" s="196"/>
      <c r="BS617" s="196"/>
      <c r="BT617" s="196"/>
      <c r="BU617" s="196"/>
      <c r="BV617" s="196"/>
      <c r="BW617" s="178"/>
      <c r="BX617" s="196"/>
      <c r="BY617" s="196"/>
      <c r="BZ617" s="196"/>
      <c r="CA617" s="196"/>
      <c r="CB617" s="178"/>
      <c r="CC617" s="178"/>
      <c r="CD617" s="202"/>
      <c r="CE617" s="202"/>
      <c r="CF617" s="178"/>
      <c r="CG617" s="196"/>
      <c r="CH617" s="178"/>
      <c r="CI617" s="178"/>
      <c r="CJ617" s="178"/>
      <c r="CK617" s="178"/>
      <c r="CL617" s="178"/>
      <c r="CM617" s="178"/>
      <c r="CN617" s="178"/>
      <c r="CO617" s="178"/>
      <c r="CP617" s="178"/>
      <c r="CQ617" s="178"/>
      <c r="CR617" s="178"/>
      <c r="CS617" s="178"/>
      <c r="CT617" s="178"/>
      <c r="CU617" s="178"/>
      <c r="CV617" s="178"/>
      <c r="CW617" s="178"/>
      <c r="CX617" s="178"/>
      <c r="CY617" s="178"/>
      <c r="CZ617" s="178"/>
      <c r="DA617" s="150"/>
    </row>
    <row r="618" spans="53:105" x14ac:dyDescent="0.2">
      <c r="BA618" s="518">
        <f t="shared" ca="1" si="40"/>
        <v>61</v>
      </c>
      <c r="BB618" s="174">
        <f t="shared" ca="1" si="41"/>
        <v>555</v>
      </c>
      <c r="BC618" s="525" t="e">
        <f ca="1">MATCH(BD618,OFFSET(Pinlist!$A$2,BC617*(BA618=BA617),0,$BM$23,1),0)+BC617*(BA618=BA617)</f>
        <v>#N/A</v>
      </c>
      <c r="BD618" s="167">
        <f t="shared" ca="1" si="42"/>
        <v>0</v>
      </c>
      <c r="BE618" s="191" t="e">
        <f ca="1">(OFFSET(Pinlist!$E$1,BC618,0)-$BN$16)*$BN$19</f>
        <v>#N/A</v>
      </c>
      <c r="BF618" s="192" t="e">
        <f ca="1">(OFFSET(Pinlist!$F$1,BC618,0)-$BO$16)*$BO$19</f>
        <v>#N/A</v>
      </c>
      <c r="BG618" s="1098" t="str">
        <f ca="1">IF(LEFT(BD618,2)="RF",OFFSET(Pinlist!$D$1,Chart!BC618,0)&amp;"_"&amp;OFFSET(Pinlist!$G$1,Chart!BC618,0),"")</f>
        <v/>
      </c>
      <c r="BH618" s="1098"/>
      <c r="BI618" s="178"/>
      <c r="BJ618" s="178"/>
      <c r="BK618" s="178"/>
      <c r="BL618" s="178"/>
      <c r="BM618" s="178"/>
      <c r="BN618" s="178"/>
      <c r="BO618" s="178"/>
      <c r="BP618" s="178"/>
      <c r="BQ618" s="196"/>
      <c r="BR618" s="196"/>
      <c r="BS618" s="196"/>
      <c r="BT618" s="196"/>
      <c r="BU618" s="196"/>
      <c r="BV618" s="196"/>
      <c r="BW618" s="178"/>
      <c r="BX618" s="196"/>
      <c r="BY618" s="196"/>
      <c r="BZ618" s="196"/>
      <c r="CA618" s="196"/>
      <c r="CB618" s="178"/>
      <c r="CC618" s="178"/>
      <c r="CD618" s="202"/>
      <c r="CE618" s="202"/>
      <c r="CF618" s="178"/>
      <c r="CG618" s="196"/>
      <c r="CH618" s="178"/>
      <c r="CI618" s="178"/>
      <c r="CJ618" s="178"/>
      <c r="CK618" s="178"/>
      <c r="CL618" s="178"/>
      <c r="CM618" s="178"/>
      <c r="CN618" s="178"/>
      <c r="CO618" s="178"/>
      <c r="CP618" s="178"/>
      <c r="CQ618" s="178"/>
      <c r="CR618" s="178"/>
      <c r="CS618" s="178"/>
      <c r="CT618" s="178"/>
      <c r="CU618" s="178"/>
      <c r="CV618" s="178"/>
      <c r="CW618" s="178"/>
      <c r="CX618" s="178"/>
      <c r="CY618" s="178"/>
      <c r="CZ618" s="178"/>
      <c r="DA618" s="150"/>
    </row>
    <row r="619" spans="53:105" x14ac:dyDescent="0.2">
      <c r="BA619" s="518">
        <f t="shared" ca="1" si="40"/>
        <v>61</v>
      </c>
      <c r="BB619" s="174">
        <f t="shared" ca="1" si="41"/>
        <v>556</v>
      </c>
      <c r="BC619" s="525" t="e">
        <f ca="1">MATCH(BD619,OFFSET(Pinlist!$A$2,BC618*(BA619=BA618),0,$BM$23,1),0)+BC618*(BA619=BA618)</f>
        <v>#N/A</v>
      </c>
      <c r="BD619" s="167">
        <f t="shared" ca="1" si="42"/>
        <v>0</v>
      </c>
      <c r="BE619" s="191" t="e">
        <f ca="1">(OFFSET(Pinlist!$E$1,BC619,0)-$BN$16)*$BN$19</f>
        <v>#N/A</v>
      </c>
      <c r="BF619" s="192" t="e">
        <f ca="1">(OFFSET(Pinlist!$F$1,BC619,0)-$BO$16)*$BO$19</f>
        <v>#N/A</v>
      </c>
      <c r="BG619" s="1098" t="str">
        <f ca="1">IF(LEFT(BD619,2)="RF",OFFSET(Pinlist!$D$1,Chart!BC619,0)&amp;"_"&amp;OFFSET(Pinlist!$G$1,Chart!BC619,0),"")</f>
        <v/>
      </c>
      <c r="BH619" s="1098"/>
      <c r="BI619" s="178"/>
      <c r="BJ619" s="178"/>
      <c r="BK619" s="178"/>
      <c r="BL619" s="178"/>
      <c r="BM619" s="178"/>
      <c r="BN619" s="178"/>
      <c r="BO619" s="178"/>
      <c r="BP619" s="178"/>
      <c r="BQ619" s="196"/>
      <c r="BR619" s="196"/>
      <c r="BS619" s="196"/>
      <c r="BT619" s="196"/>
      <c r="BU619" s="196"/>
      <c r="BV619" s="196"/>
      <c r="BW619" s="178"/>
      <c r="BX619" s="196"/>
      <c r="BY619" s="196"/>
      <c r="BZ619" s="196"/>
      <c r="CA619" s="196"/>
      <c r="CB619" s="178"/>
      <c r="CC619" s="178"/>
      <c r="CD619" s="202"/>
      <c r="CE619" s="202"/>
      <c r="CF619" s="178"/>
      <c r="CG619" s="196"/>
      <c r="CH619" s="178"/>
      <c r="CI619" s="178"/>
      <c r="CJ619" s="178"/>
      <c r="CK619" s="178"/>
      <c r="CL619" s="178"/>
      <c r="CM619" s="178"/>
      <c r="CN619" s="178"/>
      <c r="CO619" s="178"/>
      <c r="CP619" s="178"/>
      <c r="CQ619" s="178"/>
      <c r="CR619" s="178"/>
      <c r="CS619" s="178"/>
      <c r="CT619" s="178"/>
      <c r="CU619" s="178"/>
      <c r="CV619" s="178"/>
      <c r="CW619" s="178"/>
      <c r="CX619" s="178"/>
      <c r="CY619" s="178"/>
      <c r="CZ619" s="178"/>
      <c r="DA619" s="150"/>
    </row>
    <row r="620" spans="53:105" x14ac:dyDescent="0.2">
      <c r="BA620" s="518">
        <f t="shared" ca="1" si="40"/>
        <v>61</v>
      </c>
      <c r="BB620" s="174">
        <f t="shared" ca="1" si="41"/>
        <v>557</v>
      </c>
      <c r="BC620" s="525" t="e">
        <f ca="1">MATCH(BD620,OFFSET(Pinlist!$A$2,BC619*(BA620=BA619),0,$BM$23,1),0)+BC619*(BA620=BA619)</f>
        <v>#N/A</v>
      </c>
      <c r="BD620" s="167">
        <f t="shared" ca="1" si="42"/>
        <v>0</v>
      </c>
      <c r="BE620" s="191" t="e">
        <f ca="1">(OFFSET(Pinlist!$E$1,BC620,0)-$BN$16)*$BN$19</f>
        <v>#N/A</v>
      </c>
      <c r="BF620" s="192" t="e">
        <f ca="1">(OFFSET(Pinlist!$F$1,BC620,0)-$BO$16)*$BO$19</f>
        <v>#N/A</v>
      </c>
      <c r="BG620" s="1098" t="str">
        <f ca="1">IF(LEFT(BD620,2)="RF",OFFSET(Pinlist!$D$1,Chart!BC620,0)&amp;"_"&amp;OFFSET(Pinlist!$G$1,Chart!BC620,0),"")</f>
        <v/>
      </c>
      <c r="BH620" s="1098"/>
      <c r="BI620" s="178"/>
      <c r="BJ620" s="178"/>
      <c r="BK620" s="178"/>
      <c r="BL620" s="178"/>
      <c r="BM620" s="178"/>
      <c r="BN620" s="178"/>
      <c r="BO620" s="178"/>
      <c r="BP620" s="178"/>
      <c r="BQ620" s="196"/>
      <c r="BR620" s="196"/>
      <c r="BS620" s="196"/>
      <c r="BT620" s="196"/>
      <c r="BU620" s="196"/>
      <c r="BV620" s="196"/>
      <c r="BW620" s="178"/>
      <c r="BX620" s="196"/>
      <c r="BY620" s="196"/>
      <c r="BZ620" s="196"/>
      <c r="CA620" s="196"/>
      <c r="CB620" s="178"/>
      <c r="CC620" s="178"/>
      <c r="CD620" s="202"/>
      <c r="CE620" s="202"/>
      <c r="CF620" s="178"/>
      <c r="CG620" s="196"/>
      <c r="CH620" s="178"/>
      <c r="CI620" s="178"/>
      <c r="CJ620" s="178"/>
      <c r="CK620" s="178"/>
      <c r="CL620" s="178"/>
      <c r="CM620" s="178"/>
      <c r="CN620" s="178"/>
      <c r="CO620" s="178"/>
      <c r="CP620" s="178"/>
      <c r="CQ620" s="178"/>
      <c r="CR620" s="178"/>
      <c r="CS620" s="178"/>
      <c r="CT620" s="178"/>
      <c r="CU620" s="178"/>
      <c r="CV620" s="178"/>
      <c r="CW620" s="178"/>
      <c r="CX620" s="178"/>
      <c r="CY620" s="178"/>
      <c r="CZ620" s="178"/>
      <c r="DA620" s="150"/>
    </row>
    <row r="621" spans="53:105" x14ac:dyDescent="0.2">
      <c r="BA621" s="518">
        <f t="shared" ca="1" si="40"/>
        <v>61</v>
      </c>
      <c r="BB621" s="174">
        <f t="shared" ca="1" si="41"/>
        <v>558</v>
      </c>
      <c r="BC621" s="525" t="e">
        <f ca="1">MATCH(BD621,OFFSET(Pinlist!$A$2,BC620*(BA621=BA620),0,$BM$23,1),0)+BC620*(BA621=BA620)</f>
        <v>#N/A</v>
      </c>
      <c r="BD621" s="167">
        <f t="shared" ca="1" si="42"/>
        <v>0</v>
      </c>
      <c r="BE621" s="191" t="e">
        <f ca="1">(OFFSET(Pinlist!$E$1,BC621,0)-$BN$16)*$BN$19</f>
        <v>#N/A</v>
      </c>
      <c r="BF621" s="192" t="e">
        <f ca="1">(OFFSET(Pinlist!$F$1,BC621,0)-$BO$16)*$BO$19</f>
        <v>#N/A</v>
      </c>
      <c r="BG621" s="1098" t="str">
        <f ca="1">IF(LEFT(BD621,2)="RF",OFFSET(Pinlist!$D$1,Chart!BC621,0)&amp;"_"&amp;OFFSET(Pinlist!$G$1,Chart!BC621,0),"")</f>
        <v/>
      </c>
      <c r="BH621" s="1098"/>
      <c r="BI621" s="178"/>
      <c r="BJ621" s="178"/>
      <c r="BK621" s="178"/>
      <c r="BL621" s="178"/>
      <c r="BM621" s="178"/>
      <c r="BN621" s="178"/>
      <c r="BO621" s="178"/>
      <c r="BP621" s="178"/>
      <c r="BQ621" s="196"/>
      <c r="BR621" s="196"/>
      <c r="BS621" s="196"/>
      <c r="BT621" s="196"/>
      <c r="BU621" s="196"/>
      <c r="BV621" s="196"/>
      <c r="BW621" s="178"/>
      <c r="BX621" s="196"/>
      <c r="BY621" s="196"/>
      <c r="BZ621" s="196"/>
      <c r="CA621" s="196"/>
      <c r="CB621" s="178"/>
      <c r="CC621" s="178"/>
      <c r="CD621" s="202"/>
      <c r="CE621" s="202"/>
      <c r="CF621" s="178"/>
      <c r="CG621" s="196"/>
      <c r="CH621" s="178"/>
      <c r="CI621" s="178"/>
      <c r="CJ621" s="178"/>
      <c r="CK621" s="178"/>
      <c r="CL621" s="178"/>
      <c r="CM621" s="178"/>
      <c r="CN621" s="178"/>
      <c r="CO621" s="178"/>
      <c r="CP621" s="178"/>
      <c r="CQ621" s="178"/>
      <c r="CR621" s="178"/>
      <c r="CS621" s="178"/>
      <c r="CT621" s="178"/>
      <c r="CU621" s="178"/>
      <c r="CV621" s="178"/>
      <c r="CW621" s="178"/>
      <c r="CX621" s="178"/>
      <c r="CY621" s="178"/>
      <c r="CZ621" s="178"/>
      <c r="DA621" s="150"/>
    </row>
    <row r="622" spans="53:105" x14ac:dyDescent="0.2">
      <c r="BA622" s="518">
        <f t="shared" ca="1" si="40"/>
        <v>61</v>
      </c>
      <c r="BB622" s="174">
        <f t="shared" ca="1" si="41"/>
        <v>559</v>
      </c>
      <c r="BC622" s="525" t="e">
        <f ca="1">MATCH(BD622,OFFSET(Pinlist!$A$2,BC621*(BA622=BA621),0,$BM$23,1),0)+BC621*(BA622=BA621)</f>
        <v>#N/A</v>
      </c>
      <c r="BD622" s="167">
        <f t="shared" ca="1" si="42"/>
        <v>0</v>
      </c>
      <c r="BE622" s="191" t="e">
        <f ca="1">(OFFSET(Pinlist!$E$1,BC622,0)-$BN$16)*$BN$19</f>
        <v>#N/A</v>
      </c>
      <c r="BF622" s="192" t="e">
        <f ca="1">(OFFSET(Pinlist!$F$1,BC622,0)-$BO$16)*$BO$19</f>
        <v>#N/A</v>
      </c>
      <c r="BG622" s="1098" t="str">
        <f ca="1">IF(LEFT(BD622,2)="RF",OFFSET(Pinlist!$D$1,Chart!BC622,0)&amp;"_"&amp;OFFSET(Pinlist!$G$1,Chart!BC622,0),"")</f>
        <v/>
      </c>
      <c r="BH622" s="1098"/>
      <c r="BI622" s="178"/>
      <c r="BJ622" s="178"/>
      <c r="BK622" s="178"/>
      <c r="BL622" s="178"/>
      <c r="BM622" s="178"/>
      <c r="BN622" s="178"/>
      <c r="BO622" s="178"/>
      <c r="BP622" s="178"/>
      <c r="BQ622" s="196"/>
      <c r="BR622" s="196"/>
      <c r="BS622" s="196"/>
      <c r="BT622" s="196"/>
      <c r="BU622" s="196"/>
      <c r="BV622" s="196"/>
      <c r="BW622" s="178"/>
      <c r="BX622" s="196"/>
      <c r="BY622" s="196"/>
      <c r="BZ622" s="196"/>
      <c r="CA622" s="196"/>
      <c r="CB622" s="178"/>
      <c r="CC622" s="178"/>
      <c r="CD622" s="202"/>
      <c r="CE622" s="202"/>
      <c r="CF622" s="178"/>
      <c r="CG622" s="196"/>
      <c r="CH622" s="178"/>
      <c r="CI622" s="178"/>
      <c r="CJ622" s="178"/>
      <c r="CK622" s="178"/>
      <c r="CL622" s="178"/>
      <c r="CM622" s="178"/>
      <c r="CN622" s="178"/>
      <c r="CO622" s="178"/>
      <c r="CP622" s="178"/>
      <c r="CQ622" s="178"/>
      <c r="CR622" s="178"/>
      <c r="CS622" s="178"/>
      <c r="CT622" s="178"/>
      <c r="CU622" s="178"/>
      <c r="CV622" s="178"/>
      <c r="CW622" s="178"/>
      <c r="CX622" s="178"/>
      <c r="CY622" s="178"/>
      <c r="CZ622" s="178"/>
      <c r="DA622" s="150"/>
    </row>
    <row r="623" spans="53:105" x14ac:dyDescent="0.2">
      <c r="BA623" s="518">
        <f t="shared" ca="1" si="40"/>
        <v>61</v>
      </c>
      <c r="BB623" s="174">
        <f t="shared" ca="1" si="41"/>
        <v>560</v>
      </c>
      <c r="BC623" s="525" t="e">
        <f ca="1">MATCH(BD623,OFFSET(Pinlist!$A$2,BC622*(BA623=BA622),0,$BM$23,1),0)+BC622*(BA623=BA622)</f>
        <v>#N/A</v>
      </c>
      <c r="BD623" s="167">
        <f t="shared" ca="1" si="42"/>
        <v>0</v>
      </c>
      <c r="BE623" s="191" t="e">
        <f ca="1">(OFFSET(Pinlist!$E$1,BC623,0)-$BN$16)*$BN$19</f>
        <v>#N/A</v>
      </c>
      <c r="BF623" s="192" t="e">
        <f ca="1">(OFFSET(Pinlist!$F$1,BC623,0)-$BO$16)*$BO$19</f>
        <v>#N/A</v>
      </c>
      <c r="BG623" s="1098" t="str">
        <f ca="1">IF(LEFT(BD623,2)="RF",OFFSET(Pinlist!$D$1,Chart!BC623,0)&amp;"_"&amp;OFFSET(Pinlist!$G$1,Chart!BC623,0),"")</f>
        <v/>
      </c>
      <c r="BH623" s="1098"/>
      <c r="BI623" s="178"/>
      <c r="BJ623" s="178"/>
      <c r="BK623" s="178"/>
      <c r="BL623" s="178"/>
      <c r="BM623" s="178"/>
      <c r="BN623" s="178"/>
      <c r="BO623" s="178"/>
      <c r="BP623" s="178"/>
      <c r="BQ623" s="196"/>
      <c r="BR623" s="196"/>
      <c r="BS623" s="196"/>
      <c r="BT623" s="196"/>
      <c r="BU623" s="196"/>
      <c r="BV623" s="196"/>
      <c r="BW623" s="178"/>
      <c r="BX623" s="196"/>
      <c r="BY623" s="196"/>
      <c r="BZ623" s="196"/>
      <c r="CA623" s="196"/>
      <c r="CB623" s="178"/>
      <c r="CC623" s="178"/>
      <c r="CD623" s="202"/>
      <c r="CE623" s="202"/>
      <c r="CF623" s="178"/>
      <c r="CG623" s="196"/>
      <c r="CH623" s="178"/>
      <c r="CI623" s="178"/>
      <c r="CJ623" s="178"/>
      <c r="CK623" s="178"/>
      <c r="CL623" s="178"/>
      <c r="CM623" s="178"/>
      <c r="CN623" s="178"/>
      <c r="CO623" s="178"/>
      <c r="CP623" s="178"/>
      <c r="CQ623" s="178"/>
      <c r="CR623" s="178"/>
      <c r="CS623" s="178"/>
      <c r="CT623" s="178"/>
      <c r="CU623" s="178"/>
      <c r="CV623" s="178"/>
      <c r="CW623" s="178"/>
      <c r="CX623" s="178"/>
      <c r="CY623" s="178"/>
      <c r="CZ623" s="178"/>
      <c r="DA623" s="150"/>
    </row>
    <row r="624" spans="53:105" x14ac:dyDescent="0.2">
      <c r="BA624" s="518">
        <f t="shared" ca="1" si="40"/>
        <v>61</v>
      </c>
      <c r="BB624" s="174">
        <f t="shared" ca="1" si="41"/>
        <v>561</v>
      </c>
      <c r="BC624" s="525" t="e">
        <f ca="1">MATCH(BD624,OFFSET(Pinlist!$A$2,BC623*(BA624=BA623),0,$BM$23,1),0)+BC623*(BA624=BA623)</f>
        <v>#N/A</v>
      </c>
      <c r="BD624" s="167">
        <f t="shared" ca="1" si="42"/>
        <v>0</v>
      </c>
      <c r="BE624" s="191" t="e">
        <f ca="1">(OFFSET(Pinlist!$E$1,BC624,0)-$BN$16)*$BN$19</f>
        <v>#N/A</v>
      </c>
      <c r="BF624" s="192" t="e">
        <f ca="1">(OFFSET(Pinlist!$F$1,BC624,0)-$BO$16)*$BO$19</f>
        <v>#N/A</v>
      </c>
      <c r="BG624" s="1098" t="str">
        <f ca="1">IF(LEFT(BD624,2)="RF",OFFSET(Pinlist!$D$1,Chart!BC624,0)&amp;"_"&amp;OFFSET(Pinlist!$G$1,Chart!BC624,0),"")</f>
        <v/>
      </c>
      <c r="BH624" s="1098"/>
      <c r="BI624" s="178"/>
      <c r="BJ624" s="178"/>
      <c r="BK624" s="178"/>
      <c r="BL624" s="178"/>
      <c r="BM624" s="178"/>
      <c r="BN624" s="178"/>
      <c r="BO624" s="178"/>
      <c r="BP624" s="178"/>
      <c r="BQ624" s="196"/>
      <c r="BR624" s="196"/>
      <c r="BS624" s="196"/>
      <c r="BT624" s="196"/>
      <c r="BU624" s="196"/>
      <c r="BV624" s="196"/>
      <c r="BW624" s="178"/>
      <c r="BX624" s="196"/>
      <c r="BY624" s="196"/>
      <c r="BZ624" s="196"/>
      <c r="CA624" s="196"/>
      <c r="CB624" s="178"/>
      <c r="CC624" s="178"/>
      <c r="CD624" s="202"/>
      <c r="CE624" s="202"/>
      <c r="CF624" s="178"/>
      <c r="CG624" s="196"/>
      <c r="CH624" s="178"/>
      <c r="CI624" s="178"/>
      <c r="CJ624" s="178"/>
      <c r="CK624" s="178"/>
      <c r="CL624" s="178"/>
      <c r="CM624" s="178"/>
      <c r="CN624" s="178"/>
      <c r="CO624" s="178"/>
      <c r="CP624" s="178"/>
      <c r="CQ624" s="178"/>
      <c r="CR624" s="178"/>
      <c r="CS624" s="178"/>
      <c r="CT624" s="178"/>
      <c r="CU624" s="178"/>
      <c r="CV624" s="178"/>
      <c r="CW624" s="178"/>
      <c r="CX624" s="178"/>
      <c r="CY624" s="178"/>
      <c r="CZ624" s="178"/>
      <c r="DA624" s="150"/>
    </row>
    <row r="625" spans="53:105" x14ac:dyDescent="0.2">
      <c r="BA625" s="518">
        <f t="shared" ca="1" si="40"/>
        <v>61</v>
      </c>
      <c r="BB625" s="174">
        <f t="shared" ca="1" si="41"/>
        <v>562</v>
      </c>
      <c r="BC625" s="525" t="e">
        <f ca="1">MATCH(BD625,OFFSET(Pinlist!$A$2,BC624*(BA625=BA624),0,$BM$23,1),0)+BC624*(BA625=BA624)</f>
        <v>#N/A</v>
      </c>
      <c r="BD625" s="167">
        <f t="shared" ca="1" si="42"/>
        <v>0</v>
      </c>
      <c r="BE625" s="191" t="e">
        <f ca="1">(OFFSET(Pinlist!$E$1,BC625,0)-$BN$16)*$BN$19</f>
        <v>#N/A</v>
      </c>
      <c r="BF625" s="192" t="e">
        <f ca="1">(OFFSET(Pinlist!$F$1,BC625,0)-$BO$16)*$BO$19</f>
        <v>#N/A</v>
      </c>
      <c r="BG625" s="1098" t="str">
        <f ca="1">IF(LEFT(BD625,2)="RF",OFFSET(Pinlist!$D$1,Chart!BC625,0)&amp;"_"&amp;OFFSET(Pinlist!$G$1,Chart!BC625,0),"")</f>
        <v/>
      </c>
      <c r="BH625" s="1098"/>
      <c r="BI625" s="178"/>
      <c r="BJ625" s="178"/>
      <c r="BK625" s="178"/>
      <c r="BL625" s="178"/>
      <c r="BM625" s="178"/>
      <c r="BN625" s="178"/>
      <c r="BO625" s="178"/>
      <c r="BP625" s="178"/>
      <c r="BQ625" s="196"/>
      <c r="BR625" s="196"/>
      <c r="BS625" s="196"/>
      <c r="BT625" s="196"/>
      <c r="BU625" s="196"/>
      <c r="BV625" s="196"/>
      <c r="BW625" s="178"/>
      <c r="BX625" s="196"/>
      <c r="BY625" s="196"/>
      <c r="BZ625" s="196"/>
      <c r="CA625" s="196"/>
      <c r="CB625" s="178"/>
      <c r="CC625" s="178"/>
      <c r="CD625" s="202"/>
      <c r="CE625" s="202"/>
      <c r="CF625" s="178"/>
      <c r="CG625" s="196"/>
      <c r="CH625" s="178"/>
      <c r="CI625" s="178"/>
      <c r="CJ625" s="178"/>
      <c r="CK625" s="178"/>
      <c r="CL625" s="178"/>
      <c r="CM625" s="178"/>
      <c r="CN625" s="178"/>
      <c r="CO625" s="178"/>
      <c r="CP625" s="178"/>
      <c r="CQ625" s="178"/>
      <c r="CR625" s="178"/>
      <c r="CS625" s="178"/>
      <c r="CT625" s="178"/>
      <c r="CU625" s="178"/>
      <c r="CV625" s="178"/>
      <c r="CW625" s="178"/>
      <c r="CX625" s="178"/>
      <c r="CY625" s="178"/>
      <c r="CZ625" s="178"/>
      <c r="DA625" s="150"/>
    </row>
    <row r="626" spans="53:105" x14ac:dyDescent="0.2">
      <c r="BA626" s="518">
        <f t="shared" ca="1" si="40"/>
        <v>61</v>
      </c>
      <c r="BB626" s="174">
        <f t="shared" ca="1" si="41"/>
        <v>563</v>
      </c>
      <c r="BC626" s="525" t="e">
        <f ca="1">MATCH(BD626,OFFSET(Pinlist!$A$2,BC625*(BA626=BA625),0,$BM$23,1),0)+BC625*(BA626=BA625)</f>
        <v>#N/A</v>
      </c>
      <c r="BD626" s="167">
        <f t="shared" ca="1" si="42"/>
        <v>0</v>
      </c>
      <c r="BE626" s="191" t="e">
        <f ca="1">(OFFSET(Pinlist!$E$1,BC626,0)-$BN$16)*$BN$19</f>
        <v>#N/A</v>
      </c>
      <c r="BF626" s="192" t="e">
        <f ca="1">(OFFSET(Pinlist!$F$1,BC626,0)-$BO$16)*$BO$19</f>
        <v>#N/A</v>
      </c>
      <c r="BG626" s="1098" t="str">
        <f ca="1">IF(LEFT(BD626,2)="RF",OFFSET(Pinlist!$D$1,Chart!BC626,0)&amp;"_"&amp;OFFSET(Pinlist!$G$1,Chart!BC626,0),"")</f>
        <v/>
      </c>
      <c r="BH626" s="1098"/>
      <c r="BI626" s="178"/>
      <c r="BJ626" s="178"/>
      <c r="BK626" s="178"/>
      <c r="BL626" s="178"/>
      <c r="BM626" s="178"/>
      <c r="BN626" s="178"/>
      <c r="BO626" s="178"/>
      <c r="BP626" s="178"/>
      <c r="BQ626" s="196"/>
      <c r="BR626" s="196"/>
      <c r="BS626" s="196"/>
      <c r="BT626" s="196"/>
      <c r="BU626" s="196"/>
      <c r="BV626" s="196"/>
      <c r="BW626" s="178"/>
      <c r="BX626" s="196"/>
      <c r="BY626" s="196"/>
      <c r="BZ626" s="196"/>
      <c r="CA626" s="196"/>
      <c r="CB626" s="178"/>
      <c r="CC626" s="178"/>
      <c r="CD626" s="202"/>
      <c r="CE626" s="202"/>
      <c r="CF626" s="178"/>
      <c r="CG626" s="196"/>
      <c r="CH626" s="178"/>
      <c r="CI626" s="178"/>
      <c r="CJ626" s="178"/>
      <c r="CK626" s="178"/>
      <c r="CL626" s="178"/>
      <c r="CM626" s="178"/>
      <c r="CN626" s="178"/>
      <c r="CO626" s="178"/>
      <c r="CP626" s="178"/>
      <c r="CQ626" s="178"/>
      <c r="CR626" s="178"/>
      <c r="CS626" s="178"/>
      <c r="CT626" s="178"/>
      <c r="CU626" s="178"/>
      <c r="CV626" s="178"/>
      <c r="CW626" s="178"/>
      <c r="CX626" s="178"/>
      <c r="CY626" s="178"/>
      <c r="CZ626" s="178"/>
      <c r="DA626" s="150"/>
    </row>
    <row r="627" spans="53:105" x14ac:dyDescent="0.2">
      <c r="BA627" s="518">
        <f t="shared" ca="1" si="40"/>
        <v>61</v>
      </c>
      <c r="BB627" s="174">
        <f t="shared" ca="1" si="41"/>
        <v>564</v>
      </c>
      <c r="BC627" s="525" t="e">
        <f ca="1">MATCH(BD627,OFFSET(Pinlist!$A$2,BC626*(BA627=BA626),0,$BM$23,1),0)+BC626*(BA627=BA626)</f>
        <v>#N/A</v>
      </c>
      <c r="BD627" s="167">
        <f t="shared" ca="1" si="42"/>
        <v>0</v>
      </c>
      <c r="BE627" s="191" t="e">
        <f ca="1">(OFFSET(Pinlist!$E$1,BC627,0)-$BN$16)*$BN$19</f>
        <v>#N/A</v>
      </c>
      <c r="BF627" s="192" t="e">
        <f ca="1">(OFFSET(Pinlist!$F$1,BC627,0)-$BO$16)*$BO$19</f>
        <v>#N/A</v>
      </c>
      <c r="BG627" s="1098" t="str">
        <f ca="1">IF(LEFT(BD627,2)="RF",OFFSET(Pinlist!$D$1,Chart!BC627,0)&amp;"_"&amp;OFFSET(Pinlist!$G$1,Chart!BC627,0),"")</f>
        <v/>
      </c>
      <c r="BH627" s="1098"/>
      <c r="BI627" s="178"/>
      <c r="BJ627" s="178"/>
      <c r="BK627" s="178"/>
      <c r="BL627" s="178"/>
      <c r="BM627" s="178"/>
      <c r="BN627" s="178"/>
      <c r="BO627" s="178"/>
      <c r="BP627" s="178"/>
      <c r="BQ627" s="196"/>
      <c r="BR627" s="196"/>
      <c r="BS627" s="196"/>
      <c r="BT627" s="196"/>
      <c r="BU627" s="196"/>
      <c r="BV627" s="196"/>
      <c r="BW627" s="178"/>
      <c r="BX627" s="196"/>
      <c r="BY627" s="196"/>
      <c r="BZ627" s="196"/>
      <c r="CA627" s="196"/>
      <c r="CB627" s="178"/>
      <c r="CC627" s="178"/>
      <c r="CD627" s="202"/>
      <c r="CE627" s="202"/>
      <c r="CF627" s="178"/>
      <c r="CG627" s="196"/>
      <c r="CH627" s="178"/>
      <c r="CI627" s="178"/>
      <c r="CJ627" s="178"/>
      <c r="CK627" s="178"/>
      <c r="CL627" s="178"/>
      <c r="CM627" s="178"/>
      <c r="CN627" s="178"/>
      <c r="CO627" s="178"/>
      <c r="CP627" s="178"/>
      <c r="CQ627" s="178"/>
      <c r="CR627" s="178"/>
      <c r="CS627" s="178"/>
      <c r="CT627" s="178"/>
      <c r="CU627" s="178"/>
      <c r="CV627" s="178"/>
      <c r="CW627" s="178"/>
      <c r="CX627" s="178"/>
      <c r="CY627" s="178"/>
      <c r="CZ627" s="178"/>
      <c r="DA627" s="150"/>
    </row>
    <row r="628" spans="53:105" x14ac:dyDescent="0.2">
      <c r="BA628" s="518">
        <f t="shared" ca="1" si="40"/>
        <v>61</v>
      </c>
      <c r="BB628" s="174">
        <f t="shared" ca="1" si="41"/>
        <v>565</v>
      </c>
      <c r="BC628" s="525" t="e">
        <f ca="1">MATCH(BD628,OFFSET(Pinlist!$A$2,BC627*(BA628=BA627),0,$BM$23,1),0)+BC627*(BA628=BA627)</f>
        <v>#N/A</v>
      </c>
      <c r="BD628" s="167">
        <f t="shared" ca="1" si="42"/>
        <v>0</v>
      </c>
      <c r="BE628" s="191" t="e">
        <f ca="1">(OFFSET(Pinlist!$E$1,BC628,0)-$BN$16)*$BN$19</f>
        <v>#N/A</v>
      </c>
      <c r="BF628" s="192" t="e">
        <f ca="1">(OFFSET(Pinlist!$F$1,BC628,0)-$BO$16)*$BO$19</f>
        <v>#N/A</v>
      </c>
      <c r="BG628" s="1098" t="str">
        <f ca="1">IF(LEFT(BD628,2)="RF",OFFSET(Pinlist!$D$1,Chart!BC628,0)&amp;"_"&amp;OFFSET(Pinlist!$G$1,Chart!BC628,0),"")</f>
        <v/>
      </c>
      <c r="BH628" s="1098"/>
      <c r="BI628" s="178"/>
      <c r="BJ628" s="178"/>
      <c r="BK628" s="178"/>
      <c r="BL628" s="178"/>
      <c r="BM628" s="178"/>
      <c r="BN628" s="178"/>
      <c r="BO628" s="178"/>
      <c r="BP628" s="178"/>
      <c r="BQ628" s="196"/>
      <c r="BR628" s="196"/>
      <c r="BS628" s="196"/>
      <c r="BT628" s="196"/>
      <c r="BU628" s="196"/>
      <c r="BV628" s="196"/>
      <c r="BW628" s="178"/>
      <c r="BX628" s="196"/>
      <c r="BY628" s="196"/>
      <c r="BZ628" s="196"/>
      <c r="CA628" s="196"/>
      <c r="CB628" s="178"/>
      <c r="CC628" s="178"/>
      <c r="CD628" s="202"/>
      <c r="CE628" s="202"/>
      <c r="CF628" s="178"/>
      <c r="CG628" s="196"/>
      <c r="CH628" s="178"/>
      <c r="CI628" s="178"/>
      <c r="CJ628" s="178"/>
      <c r="CK628" s="178"/>
      <c r="CL628" s="178"/>
      <c r="CM628" s="178"/>
      <c r="CN628" s="178"/>
      <c r="CO628" s="178"/>
      <c r="CP628" s="178"/>
      <c r="CQ628" s="178"/>
      <c r="CR628" s="178"/>
      <c r="CS628" s="178"/>
      <c r="CT628" s="178"/>
      <c r="CU628" s="178"/>
      <c r="CV628" s="178"/>
      <c r="CW628" s="178"/>
      <c r="CX628" s="178"/>
      <c r="CY628" s="178"/>
      <c r="CZ628" s="178"/>
      <c r="DA628" s="150"/>
    </row>
    <row r="629" spans="53:105" x14ac:dyDescent="0.2">
      <c r="BA629" s="518">
        <f t="shared" ca="1" si="40"/>
        <v>61</v>
      </c>
      <c r="BB629" s="174">
        <f t="shared" ca="1" si="41"/>
        <v>566</v>
      </c>
      <c r="BC629" s="525" t="e">
        <f ca="1">MATCH(BD629,OFFSET(Pinlist!$A$2,BC628*(BA629=BA628),0,$BM$23,1),0)+BC628*(BA629=BA628)</f>
        <v>#N/A</v>
      </c>
      <c r="BD629" s="167">
        <f t="shared" ca="1" si="42"/>
        <v>0</v>
      </c>
      <c r="BE629" s="191" t="e">
        <f ca="1">(OFFSET(Pinlist!$E$1,BC629,0)-$BN$16)*$BN$19</f>
        <v>#N/A</v>
      </c>
      <c r="BF629" s="192" t="e">
        <f ca="1">(OFFSET(Pinlist!$F$1,BC629,0)-$BO$16)*$BO$19</f>
        <v>#N/A</v>
      </c>
      <c r="BG629" s="1098" t="str">
        <f ca="1">IF(LEFT(BD629,2)="RF",OFFSET(Pinlist!$D$1,Chart!BC629,0)&amp;"_"&amp;OFFSET(Pinlist!$G$1,Chart!BC629,0),"")</f>
        <v/>
      </c>
      <c r="BH629" s="1098"/>
      <c r="BI629" s="178"/>
      <c r="BJ629" s="178"/>
      <c r="BK629" s="178"/>
      <c r="BL629" s="178"/>
      <c r="BM629" s="178"/>
      <c r="BN629" s="178"/>
      <c r="BO629" s="178"/>
      <c r="BP629" s="178"/>
      <c r="BQ629" s="196"/>
      <c r="BR629" s="196"/>
      <c r="BS629" s="196"/>
      <c r="BT629" s="196"/>
      <c r="BU629" s="196"/>
      <c r="BV629" s="196"/>
      <c r="BW629" s="178"/>
      <c r="BX629" s="196"/>
      <c r="BY629" s="196"/>
      <c r="BZ629" s="196"/>
      <c r="CA629" s="196"/>
      <c r="CB629" s="178"/>
      <c r="CC629" s="178"/>
      <c r="CD629" s="202"/>
      <c r="CE629" s="202"/>
      <c r="CF629" s="178"/>
      <c r="CG629" s="196"/>
      <c r="CH629" s="178"/>
      <c r="CI629" s="178"/>
      <c r="CJ629" s="178"/>
      <c r="CK629" s="178"/>
      <c r="CL629" s="178"/>
      <c r="CM629" s="178"/>
      <c r="CN629" s="178"/>
      <c r="CO629" s="178"/>
      <c r="CP629" s="178"/>
      <c r="CQ629" s="178"/>
      <c r="CR629" s="178"/>
      <c r="CS629" s="178"/>
      <c r="CT629" s="178"/>
      <c r="CU629" s="178"/>
      <c r="CV629" s="178"/>
      <c r="CW629" s="178"/>
      <c r="CX629" s="178"/>
      <c r="CY629" s="178"/>
      <c r="CZ629" s="178"/>
      <c r="DA629" s="150"/>
    </row>
    <row r="630" spans="53:105" x14ac:dyDescent="0.2">
      <c r="BA630" s="518">
        <f t="shared" ca="1" si="40"/>
        <v>61</v>
      </c>
      <c r="BB630" s="174">
        <f t="shared" ca="1" si="41"/>
        <v>567</v>
      </c>
      <c r="BC630" s="525" t="e">
        <f ca="1">MATCH(BD630,OFFSET(Pinlist!$A$2,BC629*(BA630=BA629),0,$BM$23,1),0)+BC629*(BA630=BA629)</f>
        <v>#N/A</v>
      </c>
      <c r="BD630" s="167">
        <f t="shared" ca="1" si="42"/>
        <v>0</v>
      </c>
      <c r="BE630" s="191" t="e">
        <f ca="1">(OFFSET(Pinlist!$E$1,BC630,0)-$BN$16)*$BN$19</f>
        <v>#N/A</v>
      </c>
      <c r="BF630" s="192" t="e">
        <f ca="1">(OFFSET(Pinlist!$F$1,BC630,0)-$BO$16)*$BO$19</f>
        <v>#N/A</v>
      </c>
      <c r="BG630" s="1098" t="str">
        <f ca="1">IF(LEFT(BD630,2)="RF",OFFSET(Pinlist!$D$1,Chart!BC630,0)&amp;"_"&amp;OFFSET(Pinlist!$G$1,Chart!BC630,0),"")</f>
        <v/>
      </c>
      <c r="BH630" s="1098"/>
      <c r="BI630" s="178"/>
      <c r="BJ630" s="178"/>
      <c r="BK630" s="178"/>
      <c r="BL630" s="178"/>
      <c r="BM630" s="178"/>
      <c r="BN630" s="178"/>
      <c r="BO630" s="178"/>
      <c r="BP630" s="178"/>
      <c r="BQ630" s="196"/>
      <c r="BR630" s="196"/>
      <c r="BS630" s="196"/>
      <c r="BT630" s="196"/>
      <c r="BU630" s="196"/>
      <c r="BV630" s="196"/>
      <c r="BW630" s="178"/>
      <c r="BX630" s="196"/>
      <c r="BY630" s="196"/>
      <c r="BZ630" s="196"/>
      <c r="CA630" s="196"/>
      <c r="CB630" s="178"/>
      <c r="CC630" s="178"/>
      <c r="CD630" s="202"/>
      <c r="CE630" s="202"/>
      <c r="CF630" s="178"/>
      <c r="CG630" s="196"/>
      <c r="CH630" s="178"/>
      <c r="CI630" s="178"/>
      <c r="CJ630" s="178"/>
      <c r="CK630" s="178"/>
      <c r="CL630" s="178"/>
      <c r="CM630" s="178"/>
      <c r="CN630" s="178"/>
      <c r="CO630" s="178"/>
      <c r="CP630" s="178"/>
      <c r="CQ630" s="178"/>
      <c r="CR630" s="178"/>
      <c r="CS630" s="178"/>
      <c r="CT630" s="178"/>
      <c r="CU630" s="178"/>
      <c r="CV630" s="178"/>
      <c r="CW630" s="178"/>
      <c r="CX630" s="178"/>
      <c r="CY630" s="178"/>
      <c r="CZ630" s="178"/>
      <c r="DA630" s="150"/>
    </row>
    <row r="631" spans="53:105" x14ac:dyDescent="0.2">
      <c r="BA631" s="518">
        <f t="shared" ca="1" si="40"/>
        <v>61</v>
      </c>
      <c r="BB631" s="174">
        <f t="shared" ca="1" si="41"/>
        <v>568</v>
      </c>
      <c r="BC631" s="525" t="e">
        <f ca="1">MATCH(BD631,OFFSET(Pinlist!$A$2,BC630*(BA631=BA630),0,$BM$23,1),0)+BC630*(BA631=BA630)</f>
        <v>#N/A</v>
      </c>
      <c r="BD631" s="167">
        <f t="shared" ca="1" si="42"/>
        <v>0</v>
      </c>
      <c r="BE631" s="191" t="e">
        <f ca="1">(OFFSET(Pinlist!$E$1,BC631,0)-$BN$16)*$BN$19</f>
        <v>#N/A</v>
      </c>
      <c r="BF631" s="192" t="e">
        <f ca="1">(OFFSET(Pinlist!$F$1,BC631,0)-$BO$16)*$BO$19</f>
        <v>#N/A</v>
      </c>
      <c r="BG631" s="1098" t="str">
        <f ca="1">IF(LEFT(BD631,2)="RF",OFFSET(Pinlist!$D$1,Chart!BC631,0)&amp;"_"&amp;OFFSET(Pinlist!$G$1,Chart!BC631,0),"")</f>
        <v/>
      </c>
      <c r="BH631" s="1098"/>
      <c r="BI631" s="178"/>
      <c r="BJ631" s="178"/>
      <c r="BK631" s="178"/>
      <c r="BL631" s="178"/>
      <c r="BM631" s="178"/>
      <c r="BN631" s="178"/>
      <c r="BO631" s="178"/>
      <c r="BP631" s="178"/>
      <c r="BQ631" s="196"/>
      <c r="BR631" s="196"/>
      <c r="BS631" s="196"/>
      <c r="BT631" s="196"/>
      <c r="BU631" s="196"/>
      <c r="BV631" s="196"/>
      <c r="BW631" s="178"/>
      <c r="BX631" s="196"/>
      <c r="BY631" s="196"/>
      <c r="BZ631" s="196"/>
      <c r="CA631" s="196"/>
      <c r="CB631" s="178"/>
      <c r="CC631" s="178"/>
      <c r="CD631" s="202"/>
      <c r="CE631" s="202"/>
      <c r="CF631" s="178"/>
      <c r="CG631" s="196"/>
      <c r="CH631" s="178"/>
      <c r="CI631" s="178"/>
      <c r="CJ631" s="178"/>
      <c r="CK631" s="178"/>
      <c r="CL631" s="178"/>
      <c r="CM631" s="178"/>
      <c r="CN631" s="178"/>
      <c r="CO631" s="178"/>
      <c r="CP631" s="178"/>
      <c r="CQ631" s="178"/>
      <c r="CR631" s="178"/>
      <c r="CS631" s="178"/>
      <c r="CT631" s="178"/>
      <c r="CU631" s="178"/>
      <c r="CV631" s="178"/>
      <c r="CW631" s="178"/>
      <c r="CX631" s="178"/>
      <c r="CY631" s="178"/>
      <c r="CZ631" s="178"/>
      <c r="DA631" s="150"/>
    </row>
    <row r="632" spans="53:105" x14ac:dyDescent="0.2">
      <c r="BA632" s="518">
        <f t="shared" ca="1" si="40"/>
        <v>61</v>
      </c>
      <c r="BB632" s="174">
        <f t="shared" ca="1" si="41"/>
        <v>569</v>
      </c>
      <c r="BC632" s="525" t="e">
        <f ca="1">MATCH(BD632,OFFSET(Pinlist!$A$2,BC631*(BA632=BA631),0,$BM$23,1),0)+BC631*(BA632=BA631)</f>
        <v>#N/A</v>
      </c>
      <c r="BD632" s="167">
        <f t="shared" ca="1" si="42"/>
        <v>0</v>
      </c>
      <c r="BE632" s="191" t="e">
        <f ca="1">(OFFSET(Pinlist!$E$1,BC632,0)-$BN$16)*$BN$19</f>
        <v>#N/A</v>
      </c>
      <c r="BF632" s="192" t="e">
        <f ca="1">(OFFSET(Pinlist!$F$1,BC632,0)-$BO$16)*$BO$19</f>
        <v>#N/A</v>
      </c>
      <c r="BG632" s="1098" t="str">
        <f ca="1">IF(LEFT(BD632,2)="RF",OFFSET(Pinlist!$D$1,Chart!BC632,0)&amp;"_"&amp;OFFSET(Pinlist!$G$1,Chart!BC632,0),"")</f>
        <v/>
      </c>
      <c r="BH632" s="1098"/>
      <c r="BI632" s="178"/>
      <c r="BJ632" s="178"/>
      <c r="BK632" s="178"/>
      <c r="BL632" s="178"/>
      <c r="BM632" s="178"/>
      <c r="BN632" s="178"/>
      <c r="BO632" s="178"/>
      <c r="BP632" s="178"/>
      <c r="BQ632" s="196"/>
      <c r="BR632" s="196"/>
      <c r="BS632" s="196"/>
      <c r="BT632" s="196"/>
      <c r="BU632" s="196"/>
      <c r="BV632" s="196"/>
      <c r="BW632" s="178"/>
      <c r="BX632" s="196"/>
      <c r="BY632" s="196"/>
      <c r="BZ632" s="196"/>
      <c r="CA632" s="196"/>
      <c r="CB632" s="178"/>
      <c r="CC632" s="178"/>
      <c r="CD632" s="202"/>
      <c r="CE632" s="202"/>
      <c r="CF632" s="178"/>
      <c r="CG632" s="196"/>
      <c r="CH632" s="178"/>
      <c r="CI632" s="178"/>
      <c r="CJ632" s="178"/>
      <c r="CK632" s="178"/>
      <c r="CL632" s="178"/>
      <c r="CM632" s="178"/>
      <c r="CN632" s="178"/>
      <c r="CO632" s="178"/>
      <c r="CP632" s="178"/>
      <c r="CQ632" s="178"/>
      <c r="CR632" s="178"/>
      <c r="CS632" s="178"/>
      <c r="CT632" s="178"/>
      <c r="CU632" s="178"/>
      <c r="CV632" s="178"/>
      <c r="CW632" s="178"/>
      <c r="CX632" s="178"/>
      <c r="CY632" s="178"/>
      <c r="CZ632" s="178"/>
      <c r="DA632" s="150"/>
    </row>
    <row r="633" spans="53:105" x14ac:dyDescent="0.2">
      <c r="BA633" s="518">
        <f t="shared" ca="1" si="40"/>
        <v>61</v>
      </c>
      <c r="BB633" s="174">
        <f t="shared" ca="1" si="41"/>
        <v>570</v>
      </c>
      <c r="BC633" s="525" t="e">
        <f ca="1">MATCH(BD633,OFFSET(Pinlist!$A$2,BC632*(BA633=BA632),0,$BM$23,1),0)+BC632*(BA633=BA632)</f>
        <v>#N/A</v>
      </c>
      <c r="BD633" s="167">
        <f t="shared" ca="1" si="42"/>
        <v>0</v>
      </c>
      <c r="BE633" s="191" t="e">
        <f ca="1">(OFFSET(Pinlist!$E$1,BC633,0)-$BN$16)*$BN$19</f>
        <v>#N/A</v>
      </c>
      <c r="BF633" s="192" t="e">
        <f ca="1">(OFFSET(Pinlist!$F$1,BC633,0)-$BO$16)*$BO$19</f>
        <v>#N/A</v>
      </c>
      <c r="BG633" s="1098" t="str">
        <f ca="1">IF(LEFT(BD633,2)="RF",OFFSET(Pinlist!$D$1,Chart!BC633,0)&amp;"_"&amp;OFFSET(Pinlist!$G$1,Chart!BC633,0),"")</f>
        <v/>
      </c>
      <c r="BH633" s="1098"/>
      <c r="BI633" s="178"/>
      <c r="BJ633" s="178"/>
      <c r="BK633" s="178"/>
      <c r="BL633" s="178"/>
      <c r="BM633" s="178"/>
      <c r="BN633" s="178"/>
      <c r="BO633" s="178"/>
      <c r="BP633" s="178"/>
      <c r="BQ633" s="196"/>
      <c r="BR633" s="196"/>
      <c r="BS633" s="196"/>
      <c r="BT633" s="196"/>
      <c r="BU633" s="196"/>
      <c r="BV633" s="196"/>
      <c r="BW633" s="178"/>
      <c r="BX633" s="196"/>
      <c r="BY633" s="196"/>
      <c r="BZ633" s="196"/>
      <c r="CA633" s="196"/>
      <c r="CB633" s="178"/>
      <c r="CC633" s="178"/>
      <c r="CD633" s="202"/>
      <c r="CE633" s="202"/>
      <c r="CF633" s="178"/>
      <c r="CG633" s="196"/>
      <c r="CH633" s="178"/>
      <c r="CI633" s="178"/>
      <c r="CJ633" s="178"/>
      <c r="CK633" s="178"/>
      <c r="CL633" s="178"/>
      <c r="CM633" s="178"/>
      <c r="CN633" s="178"/>
      <c r="CO633" s="178"/>
      <c r="CP633" s="178"/>
      <c r="CQ633" s="178"/>
      <c r="CR633" s="178"/>
      <c r="CS633" s="178"/>
      <c r="CT633" s="178"/>
      <c r="CU633" s="178"/>
      <c r="CV633" s="178"/>
      <c r="CW633" s="178"/>
      <c r="CX633" s="178"/>
      <c r="CY633" s="178"/>
      <c r="CZ633" s="178"/>
      <c r="DA633" s="150"/>
    </row>
    <row r="634" spans="53:105" x14ac:dyDescent="0.2">
      <c r="BA634" s="518">
        <f t="shared" ca="1" si="40"/>
        <v>61</v>
      </c>
      <c r="BB634" s="174">
        <f t="shared" ca="1" si="41"/>
        <v>571</v>
      </c>
      <c r="BC634" s="525" t="e">
        <f ca="1">MATCH(BD634,OFFSET(Pinlist!$A$2,BC633*(BA634=BA633),0,$BM$23,1),0)+BC633*(BA634=BA633)</f>
        <v>#N/A</v>
      </c>
      <c r="BD634" s="167">
        <f t="shared" ca="1" si="42"/>
        <v>0</v>
      </c>
      <c r="BE634" s="191" t="e">
        <f ca="1">(OFFSET(Pinlist!$E$1,BC634,0)-$BN$16)*$BN$19</f>
        <v>#N/A</v>
      </c>
      <c r="BF634" s="192" t="e">
        <f ca="1">(OFFSET(Pinlist!$F$1,BC634,0)-$BO$16)*$BO$19</f>
        <v>#N/A</v>
      </c>
      <c r="BG634" s="1098" t="str">
        <f ca="1">IF(LEFT(BD634,2)="RF",OFFSET(Pinlist!$D$1,Chart!BC634,0)&amp;"_"&amp;OFFSET(Pinlist!$G$1,Chart!BC634,0),"")</f>
        <v/>
      </c>
      <c r="BH634" s="1098"/>
      <c r="BI634" s="178"/>
      <c r="BJ634" s="178"/>
      <c r="BK634" s="178"/>
      <c r="BL634" s="178"/>
      <c r="BM634" s="178"/>
      <c r="BN634" s="178"/>
      <c r="BO634" s="178"/>
      <c r="BP634" s="178"/>
      <c r="BQ634" s="196"/>
      <c r="BR634" s="196"/>
      <c r="BS634" s="196"/>
      <c r="BT634" s="196"/>
      <c r="BU634" s="196"/>
      <c r="BV634" s="196"/>
      <c r="BW634" s="178"/>
      <c r="BX634" s="196"/>
      <c r="BY634" s="196"/>
      <c r="BZ634" s="196"/>
      <c r="CA634" s="196"/>
      <c r="CB634" s="178"/>
      <c r="CC634" s="178"/>
      <c r="CD634" s="202"/>
      <c r="CE634" s="202"/>
      <c r="CF634" s="178"/>
      <c r="CG634" s="196"/>
      <c r="CH634" s="178"/>
      <c r="CI634" s="178"/>
      <c r="CJ634" s="178"/>
      <c r="CK634" s="178"/>
      <c r="CL634" s="178"/>
      <c r="CM634" s="178"/>
      <c r="CN634" s="178"/>
      <c r="CO634" s="178"/>
      <c r="CP634" s="178"/>
      <c r="CQ634" s="178"/>
      <c r="CR634" s="178"/>
      <c r="CS634" s="178"/>
      <c r="CT634" s="178"/>
      <c r="CU634" s="178"/>
      <c r="CV634" s="178"/>
      <c r="CW634" s="178"/>
      <c r="CX634" s="178"/>
      <c r="CY634" s="178"/>
      <c r="CZ634" s="178"/>
      <c r="DA634" s="150"/>
    </row>
    <row r="635" spans="53:105" x14ac:dyDescent="0.2">
      <c r="BA635" s="518">
        <f t="shared" ca="1" si="40"/>
        <v>61</v>
      </c>
      <c r="BB635" s="174">
        <f t="shared" ca="1" si="41"/>
        <v>572</v>
      </c>
      <c r="BC635" s="525" t="e">
        <f ca="1">MATCH(BD635,OFFSET(Pinlist!$A$2,BC634*(BA635=BA634),0,$BM$23,1),0)+BC634*(BA635=BA634)</f>
        <v>#N/A</v>
      </c>
      <c r="BD635" s="167">
        <f t="shared" ca="1" si="42"/>
        <v>0</v>
      </c>
      <c r="BE635" s="191" t="e">
        <f ca="1">(OFFSET(Pinlist!$E$1,BC635,0)-$BN$16)*$BN$19</f>
        <v>#N/A</v>
      </c>
      <c r="BF635" s="192" t="e">
        <f ca="1">(OFFSET(Pinlist!$F$1,BC635,0)-$BO$16)*$BO$19</f>
        <v>#N/A</v>
      </c>
      <c r="BG635" s="1098" t="str">
        <f ca="1">IF(LEFT(BD635,2)="RF",OFFSET(Pinlist!$D$1,Chart!BC635,0)&amp;"_"&amp;OFFSET(Pinlist!$G$1,Chart!BC635,0),"")</f>
        <v/>
      </c>
      <c r="BH635" s="1098"/>
      <c r="BI635" s="178"/>
      <c r="BJ635" s="178"/>
      <c r="BK635" s="178"/>
      <c r="BL635" s="178"/>
      <c r="BM635" s="178"/>
      <c r="BN635" s="178"/>
      <c r="BO635" s="178"/>
      <c r="BP635" s="178"/>
      <c r="BQ635" s="196"/>
      <c r="BR635" s="196"/>
      <c r="BS635" s="196"/>
      <c r="BT635" s="196"/>
      <c r="BU635" s="196"/>
      <c r="BV635" s="196"/>
      <c r="BW635" s="178"/>
      <c r="BX635" s="196"/>
      <c r="BY635" s="196"/>
      <c r="BZ635" s="196"/>
      <c r="CA635" s="196"/>
      <c r="CB635" s="178"/>
      <c r="CC635" s="178"/>
      <c r="CD635" s="202"/>
      <c r="CE635" s="202"/>
      <c r="CF635" s="178"/>
      <c r="CG635" s="196"/>
      <c r="CH635" s="178"/>
      <c r="CI635" s="178"/>
      <c r="CJ635" s="178"/>
      <c r="CK635" s="178"/>
      <c r="CL635" s="178"/>
      <c r="CM635" s="178"/>
      <c r="CN635" s="178"/>
      <c r="CO635" s="178"/>
      <c r="CP635" s="178"/>
      <c r="CQ635" s="178"/>
      <c r="CR635" s="178"/>
      <c r="CS635" s="178"/>
      <c r="CT635" s="178"/>
      <c r="CU635" s="178"/>
      <c r="CV635" s="178"/>
      <c r="CW635" s="178"/>
      <c r="CX635" s="178"/>
      <c r="CY635" s="178"/>
      <c r="CZ635" s="178"/>
      <c r="DA635" s="150"/>
    </row>
    <row r="636" spans="53:105" x14ac:dyDescent="0.2">
      <c r="BA636" s="518">
        <f t="shared" ca="1" si="40"/>
        <v>61</v>
      </c>
      <c r="BB636" s="174">
        <f t="shared" ca="1" si="41"/>
        <v>573</v>
      </c>
      <c r="BC636" s="525" t="e">
        <f ca="1">MATCH(BD636,OFFSET(Pinlist!$A$2,BC635*(BA636=BA635),0,$BM$23,1),0)+BC635*(BA636=BA635)</f>
        <v>#N/A</v>
      </c>
      <c r="BD636" s="167">
        <f t="shared" ca="1" si="42"/>
        <v>0</v>
      </c>
      <c r="BE636" s="191" t="e">
        <f ca="1">(OFFSET(Pinlist!$E$1,BC636,0)-$BN$16)*$BN$19</f>
        <v>#N/A</v>
      </c>
      <c r="BF636" s="192" t="e">
        <f ca="1">(OFFSET(Pinlist!$F$1,BC636,0)-$BO$16)*$BO$19</f>
        <v>#N/A</v>
      </c>
      <c r="BG636" s="1098" t="str">
        <f ca="1">IF(LEFT(BD636,2)="RF",OFFSET(Pinlist!$D$1,Chart!BC636,0)&amp;"_"&amp;OFFSET(Pinlist!$G$1,Chart!BC636,0),"")</f>
        <v/>
      </c>
      <c r="BH636" s="1098"/>
      <c r="BI636" s="178"/>
      <c r="BJ636" s="178"/>
      <c r="BK636" s="178"/>
      <c r="BL636" s="178"/>
      <c r="BM636" s="178"/>
      <c r="BN636" s="178"/>
      <c r="BO636" s="178"/>
      <c r="BP636" s="178"/>
      <c r="BQ636" s="196"/>
      <c r="BR636" s="196"/>
      <c r="BS636" s="196"/>
      <c r="BT636" s="196"/>
      <c r="BU636" s="196"/>
      <c r="BV636" s="196"/>
      <c r="BW636" s="178"/>
      <c r="BX636" s="196"/>
      <c r="BY636" s="196"/>
      <c r="BZ636" s="196"/>
      <c r="CA636" s="196"/>
      <c r="CB636" s="178"/>
      <c r="CC636" s="178"/>
      <c r="CD636" s="202"/>
      <c r="CE636" s="202"/>
      <c r="CF636" s="178"/>
      <c r="CG636" s="196"/>
      <c r="CH636" s="178"/>
      <c r="CI636" s="178"/>
      <c r="CJ636" s="178"/>
      <c r="CK636" s="178"/>
      <c r="CL636" s="178"/>
      <c r="CM636" s="178"/>
      <c r="CN636" s="178"/>
      <c r="CO636" s="178"/>
      <c r="CP636" s="178"/>
      <c r="CQ636" s="178"/>
      <c r="CR636" s="178"/>
      <c r="CS636" s="178"/>
      <c r="CT636" s="178"/>
      <c r="CU636" s="178"/>
      <c r="CV636" s="178"/>
      <c r="CW636" s="178"/>
      <c r="CX636" s="178"/>
      <c r="CY636" s="178"/>
      <c r="CZ636" s="178"/>
      <c r="DA636" s="150"/>
    </row>
    <row r="637" spans="53:105" x14ac:dyDescent="0.2">
      <c r="BA637" s="518">
        <f t="shared" ca="1" si="40"/>
        <v>61</v>
      </c>
      <c r="BB637" s="174">
        <f t="shared" ca="1" si="41"/>
        <v>574</v>
      </c>
      <c r="BC637" s="525" t="e">
        <f ca="1">MATCH(BD637,OFFSET(Pinlist!$A$2,BC636*(BA637=BA636),0,$BM$23,1),0)+BC636*(BA637=BA636)</f>
        <v>#N/A</v>
      </c>
      <c r="BD637" s="167">
        <f t="shared" ca="1" si="42"/>
        <v>0</v>
      </c>
      <c r="BE637" s="191" t="e">
        <f ca="1">(OFFSET(Pinlist!$E$1,BC637,0)-$BN$16)*$BN$19</f>
        <v>#N/A</v>
      </c>
      <c r="BF637" s="192" t="e">
        <f ca="1">(OFFSET(Pinlist!$F$1,BC637,0)-$BO$16)*$BO$19</f>
        <v>#N/A</v>
      </c>
      <c r="BG637" s="1098" t="str">
        <f ca="1">IF(LEFT(BD637,2)="RF",OFFSET(Pinlist!$D$1,Chart!BC637,0)&amp;"_"&amp;OFFSET(Pinlist!$G$1,Chart!BC637,0),"")</f>
        <v/>
      </c>
      <c r="BH637" s="1098"/>
      <c r="BI637" s="178"/>
      <c r="BJ637" s="178"/>
      <c r="BK637" s="178"/>
      <c r="BL637" s="178"/>
      <c r="BM637" s="178"/>
      <c r="BN637" s="178"/>
      <c r="BO637" s="178"/>
      <c r="BP637" s="178"/>
      <c r="BQ637" s="196"/>
      <c r="BR637" s="196"/>
      <c r="BS637" s="196"/>
      <c r="BT637" s="196"/>
      <c r="BU637" s="196"/>
      <c r="BV637" s="196"/>
      <c r="BW637" s="178"/>
      <c r="BX637" s="196"/>
      <c r="BY637" s="196"/>
      <c r="BZ637" s="196"/>
      <c r="CA637" s="196"/>
      <c r="CB637" s="178"/>
      <c r="CC637" s="178"/>
      <c r="CD637" s="202"/>
      <c r="CE637" s="202"/>
      <c r="CF637" s="178"/>
      <c r="CG637" s="196"/>
      <c r="CH637" s="178"/>
      <c r="CI637" s="178"/>
      <c r="CJ637" s="178"/>
      <c r="CK637" s="178"/>
      <c r="CL637" s="178"/>
      <c r="CM637" s="178"/>
      <c r="CN637" s="178"/>
      <c r="CO637" s="178"/>
      <c r="CP637" s="178"/>
      <c r="CQ637" s="178"/>
      <c r="CR637" s="178"/>
      <c r="CS637" s="178"/>
      <c r="CT637" s="178"/>
      <c r="CU637" s="178"/>
      <c r="CV637" s="178"/>
      <c r="CW637" s="178"/>
      <c r="CX637" s="178"/>
      <c r="CY637" s="178"/>
      <c r="CZ637" s="178"/>
      <c r="DA637" s="150"/>
    </row>
    <row r="638" spans="53:105" x14ac:dyDescent="0.2">
      <c r="BA638" s="518">
        <f t="shared" ca="1" si="40"/>
        <v>61</v>
      </c>
      <c r="BB638" s="174">
        <f t="shared" ca="1" si="41"/>
        <v>575</v>
      </c>
      <c r="BC638" s="525" t="e">
        <f ca="1">MATCH(BD638,OFFSET(Pinlist!$A$2,BC637*(BA638=BA637),0,$BM$23,1),0)+BC637*(BA638=BA637)</f>
        <v>#N/A</v>
      </c>
      <c r="BD638" s="167">
        <f t="shared" ca="1" si="42"/>
        <v>0</v>
      </c>
      <c r="BE638" s="191" t="e">
        <f ca="1">(OFFSET(Pinlist!$E$1,BC638,0)-$BN$16)*$BN$19</f>
        <v>#N/A</v>
      </c>
      <c r="BF638" s="192" t="e">
        <f ca="1">(OFFSET(Pinlist!$F$1,BC638,0)-$BO$16)*$BO$19</f>
        <v>#N/A</v>
      </c>
      <c r="BG638" s="1098" t="str">
        <f ca="1">IF(LEFT(BD638,2)="RF",OFFSET(Pinlist!$D$1,Chart!BC638,0)&amp;"_"&amp;OFFSET(Pinlist!$G$1,Chart!BC638,0),"")</f>
        <v/>
      </c>
      <c r="BH638" s="1098"/>
      <c r="BI638" s="178"/>
      <c r="BJ638" s="178"/>
      <c r="BK638" s="178"/>
      <c r="BL638" s="178"/>
      <c r="BM638" s="178"/>
      <c r="BN638" s="178"/>
      <c r="BO638" s="178"/>
      <c r="BP638" s="178"/>
      <c r="BQ638" s="196"/>
      <c r="BR638" s="196"/>
      <c r="BS638" s="196"/>
      <c r="BT638" s="196"/>
      <c r="BU638" s="196"/>
      <c r="BV638" s="196"/>
      <c r="BW638" s="178"/>
      <c r="BX638" s="196"/>
      <c r="BY638" s="196"/>
      <c r="BZ638" s="196"/>
      <c r="CA638" s="196"/>
      <c r="CB638" s="178"/>
      <c r="CC638" s="178"/>
      <c r="CD638" s="202"/>
      <c r="CE638" s="202"/>
      <c r="CF638" s="178"/>
      <c r="CG638" s="196"/>
      <c r="CH638" s="178"/>
      <c r="CI638" s="178"/>
      <c r="CJ638" s="178"/>
      <c r="CK638" s="178"/>
      <c r="CL638" s="178"/>
      <c r="CM638" s="178"/>
      <c r="CN638" s="178"/>
      <c r="CO638" s="178"/>
      <c r="CP638" s="178"/>
      <c r="CQ638" s="178"/>
      <c r="CR638" s="178"/>
      <c r="CS638" s="178"/>
      <c r="CT638" s="178"/>
      <c r="CU638" s="178"/>
      <c r="CV638" s="178"/>
      <c r="CW638" s="178"/>
      <c r="CX638" s="178"/>
      <c r="CY638" s="178"/>
      <c r="CZ638" s="178"/>
      <c r="DA638" s="150"/>
    </row>
    <row r="639" spans="53:105" x14ac:dyDescent="0.2">
      <c r="BA639" s="518">
        <f t="shared" ca="1" si="40"/>
        <v>61</v>
      </c>
      <c r="BB639" s="174">
        <f t="shared" ca="1" si="41"/>
        <v>576</v>
      </c>
      <c r="BC639" s="525" t="e">
        <f ca="1">MATCH(BD639,OFFSET(Pinlist!$A$2,BC638*(BA639=BA638),0,$BM$23,1),0)+BC638*(BA639=BA638)</f>
        <v>#N/A</v>
      </c>
      <c r="BD639" s="167">
        <f t="shared" ca="1" si="42"/>
        <v>0</v>
      </c>
      <c r="BE639" s="191" t="e">
        <f ca="1">(OFFSET(Pinlist!$E$1,BC639,0)-$BN$16)*$BN$19</f>
        <v>#N/A</v>
      </c>
      <c r="BF639" s="192" t="e">
        <f ca="1">(OFFSET(Pinlist!$F$1,BC639,0)-$BO$16)*$BO$19</f>
        <v>#N/A</v>
      </c>
      <c r="BG639" s="1098" t="str">
        <f ca="1">IF(LEFT(BD639,2)="RF",OFFSET(Pinlist!$D$1,Chart!BC639,0)&amp;"_"&amp;OFFSET(Pinlist!$G$1,Chart!BC639,0),"")</f>
        <v/>
      </c>
      <c r="BH639" s="1098"/>
      <c r="BI639" s="178"/>
      <c r="BJ639" s="178"/>
      <c r="BK639" s="178"/>
      <c r="BL639" s="178"/>
      <c r="BM639" s="178"/>
      <c r="BN639" s="178"/>
      <c r="BO639" s="178"/>
      <c r="BP639" s="178"/>
      <c r="BQ639" s="196"/>
      <c r="BR639" s="196"/>
      <c r="BS639" s="196"/>
      <c r="BT639" s="196"/>
      <c r="BU639" s="196"/>
      <c r="BV639" s="196"/>
      <c r="BW639" s="178"/>
      <c r="BX639" s="196"/>
      <c r="BY639" s="196"/>
      <c r="BZ639" s="196"/>
      <c r="CA639" s="196"/>
      <c r="CB639" s="178"/>
      <c r="CC639" s="178"/>
      <c r="CD639" s="202"/>
      <c r="CE639" s="202"/>
      <c r="CF639" s="178"/>
      <c r="CG639" s="196"/>
      <c r="CH639" s="178"/>
      <c r="CI639" s="178"/>
      <c r="CJ639" s="178"/>
      <c r="CK639" s="178"/>
      <c r="CL639" s="178"/>
      <c r="CM639" s="178"/>
      <c r="CN639" s="178"/>
      <c r="CO639" s="178"/>
      <c r="CP639" s="178"/>
      <c r="CQ639" s="178"/>
      <c r="CR639" s="178"/>
      <c r="CS639" s="178"/>
      <c r="CT639" s="178"/>
      <c r="CU639" s="178"/>
      <c r="CV639" s="178"/>
      <c r="CW639" s="178"/>
      <c r="CX639" s="178"/>
      <c r="CY639" s="178"/>
      <c r="CZ639" s="178"/>
      <c r="DA639" s="150"/>
    </row>
    <row r="640" spans="53:105" x14ac:dyDescent="0.2">
      <c r="BA640" s="518">
        <f t="shared" ca="1" si="40"/>
        <v>61</v>
      </c>
      <c r="BB640" s="174">
        <f t="shared" ca="1" si="41"/>
        <v>577</v>
      </c>
      <c r="BC640" s="525" t="e">
        <f ca="1">MATCH(BD640,OFFSET(Pinlist!$A$2,BC639*(BA640=BA639),0,$BM$23,1),0)+BC639*(BA640=BA639)</f>
        <v>#N/A</v>
      </c>
      <c r="BD640" s="167">
        <f t="shared" ca="1" si="42"/>
        <v>0</v>
      </c>
      <c r="BE640" s="191" t="e">
        <f ca="1">(OFFSET(Pinlist!$E$1,BC640,0)-$BN$16)*$BN$19</f>
        <v>#N/A</v>
      </c>
      <c r="BF640" s="192" t="e">
        <f ca="1">(OFFSET(Pinlist!$F$1,BC640,0)-$BO$16)*$BO$19</f>
        <v>#N/A</v>
      </c>
      <c r="BG640" s="1098" t="str">
        <f ca="1">IF(LEFT(BD640,2)="RF",OFFSET(Pinlist!$D$1,Chart!BC640,0)&amp;"_"&amp;OFFSET(Pinlist!$G$1,Chart!BC640,0),"")</f>
        <v/>
      </c>
      <c r="BH640" s="1098"/>
      <c r="BI640" s="178"/>
      <c r="BJ640" s="178"/>
      <c r="BK640" s="178"/>
      <c r="BL640" s="178"/>
      <c r="BM640" s="178"/>
      <c r="BN640" s="178"/>
      <c r="BO640" s="178"/>
      <c r="BP640" s="178"/>
      <c r="BQ640" s="196"/>
      <c r="BR640" s="196"/>
      <c r="BS640" s="196"/>
      <c r="BT640" s="196"/>
      <c r="BU640" s="196"/>
      <c r="BV640" s="196"/>
      <c r="BW640" s="178"/>
      <c r="BX640" s="196"/>
      <c r="BY640" s="196"/>
      <c r="BZ640" s="196"/>
      <c r="CA640" s="196"/>
      <c r="CB640" s="178"/>
      <c r="CC640" s="178"/>
      <c r="CD640" s="202"/>
      <c r="CE640" s="202"/>
      <c r="CF640" s="178"/>
      <c r="CG640" s="196"/>
      <c r="CH640" s="178"/>
      <c r="CI640" s="178"/>
      <c r="CJ640" s="178"/>
      <c r="CK640" s="178"/>
      <c r="CL640" s="178"/>
      <c r="CM640" s="178"/>
      <c r="CN640" s="178"/>
      <c r="CO640" s="178"/>
      <c r="CP640" s="178"/>
      <c r="CQ640" s="178"/>
      <c r="CR640" s="178"/>
      <c r="CS640" s="178"/>
      <c r="CT640" s="178"/>
      <c r="CU640" s="178"/>
      <c r="CV640" s="178"/>
      <c r="CW640" s="178"/>
      <c r="CX640" s="178"/>
      <c r="CY640" s="178"/>
      <c r="CZ640" s="178"/>
      <c r="DA640" s="150"/>
    </row>
    <row r="641" spans="53:105" x14ac:dyDescent="0.2">
      <c r="BA641" s="518">
        <f t="shared" ca="1" si="40"/>
        <v>61</v>
      </c>
      <c r="BB641" s="174">
        <f t="shared" ca="1" si="41"/>
        <v>578</v>
      </c>
      <c r="BC641" s="525" t="e">
        <f ca="1">MATCH(BD641,OFFSET(Pinlist!$A$2,BC640*(BA641=BA640),0,$BM$23,1),0)+BC640*(BA641=BA640)</f>
        <v>#N/A</v>
      </c>
      <c r="BD641" s="167">
        <f t="shared" ca="1" si="42"/>
        <v>0</v>
      </c>
      <c r="BE641" s="191" t="e">
        <f ca="1">(OFFSET(Pinlist!$E$1,BC641,0)-$BN$16)*$BN$19</f>
        <v>#N/A</v>
      </c>
      <c r="BF641" s="192" t="e">
        <f ca="1">(OFFSET(Pinlist!$F$1,BC641,0)-$BO$16)*$BO$19</f>
        <v>#N/A</v>
      </c>
      <c r="BG641" s="1098" t="str">
        <f ca="1">IF(LEFT(BD641,2)="RF",OFFSET(Pinlist!$D$1,Chart!BC641,0)&amp;"_"&amp;OFFSET(Pinlist!$G$1,Chart!BC641,0),"")</f>
        <v/>
      </c>
      <c r="BH641" s="1098"/>
      <c r="BI641" s="178"/>
      <c r="BJ641" s="178"/>
      <c r="BK641" s="178"/>
      <c r="BL641" s="178"/>
      <c r="BM641" s="178"/>
      <c r="BN641" s="178"/>
      <c r="BO641" s="178"/>
      <c r="BP641" s="178"/>
      <c r="BQ641" s="196"/>
      <c r="BR641" s="196"/>
      <c r="BS641" s="196"/>
      <c r="BT641" s="196"/>
      <c r="BU641" s="196"/>
      <c r="BV641" s="196"/>
      <c r="BW641" s="178"/>
      <c r="BX641" s="196"/>
      <c r="BY641" s="196"/>
      <c r="BZ641" s="196"/>
      <c r="CA641" s="196"/>
      <c r="CB641" s="178"/>
      <c r="CC641" s="178"/>
      <c r="CD641" s="202"/>
      <c r="CE641" s="202"/>
      <c r="CF641" s="178"/>
      <c r="CG641" s="196"/>
      <c r="CH641" s="178"/>
      <c r="CI641" s="178"/>
      <c r="CJ641" s="178"/>
      <c r="CK641" s="178"/>
      <c r="CL641" s="178"/>
      <c r="CM641" s="178"/>
      <c r="CN641" s="178"/>
      <c r="CO641" s="178"/>
      <c r="CP641" s="178"/>
      <c r="CQ641" s="178"/>
      <c r="CR641" s="178"/>
      <c r="CS641" s="178"/>
      <c r="CT641" s="178"/>
      <c r="CU641" s="178"/>
      <c r="CV641" s="178"/>
      <c r="CW641" s="178"/>
      <c r="CX641" s="178"/>
      <c r="CY641" s="178"/>
      <c r="CZ641" s="178"/>
      <c r="DA641" s="150"/>
    </row>
    <row r="642" spans="53:105" x14ac:dyDescent="0.2">
      <c r="BA642" s="518">
        <f t="shared" ca="1" si="40"/>
        <v>61</v>
      </c>
      <c r="BB642" s="174">
        <f t="shared" ca="1" si="41"/>
        <v>579</v>
      </c>
      <c r="BC642" s="525" t="e">
        <f ca="1">MATCH(BD642,OFFSET(Pinlist!$A$2,BC641*(BA642=BA641),0,$BM$23,1),0)+BC641*(BA642=BA641)</f>
        <v>#N/A</v>
      </c>
      <c r="BD642" s="167">
        <f t="shared" ca="1" si="42"/>
        <v>0</v>
      </c>
      <c r="BE642" s="191" t="e">
        <f ca="1">(OFFSET(Pinlist!$E$1,BC642,0)-$BN$16)*$BN$19</f>
        <v>#N/A</v>
      </c>
      <c r="BF642" s="192" t="e">
        <f ca="1">(OFFSET(Pinlist!$F$1,BC642,0)-$BO$16)*$BO$19</f>
        <v>#N/A</v>
      </c>
      <c r="BG642" s="1098" t="str">
        <f ca="1">IF(LEFT(BD642,2)="RF",OFFSET(Pinlist!$D$1,Chart!BC642,0)&amp;"_"&amp;OFFSET(Pinlist!$G$1,Chart!BC642,0),"")</f>
        <v/>
      </c>
      <c r="BH642" s="1098"/>
      <c r="BI642" s="178"/>
      <c r="BJ642" s="178"/>
      <c r="BK642" s="178"/>
      <c r="BL642" s="178"/>
      <c r="BM642" s="178"/>
      <c r="BN642" s="178"/>
      <c r="BO642" s="178"/>
      <c r="BP642" s="178"/>
      <c r="BQ642" s="196"/>
      <c r="BR642" s="196"/>
      <c r="BS642" s="196"/>
      <c r="BT642" s="196"/>
      <c r="BU642" s="196"/>
      <c r="BV642" s="196"/>
      <c r="BW642" s="178"/>
      <c r="BX642" s="196"/>
      <c r="BY642" s="196"/>
      <c r="BZ642" s="196"/>
      <c r="CA642" s="196"/>
      <c r="CB642" s="178"/>
      <c r="CC642" s="178"/>
      <c r="CD642" s="202"/>
      <c r="CE642" s="202"/>
      <c r="CF642" s="178"/>
      <c r="CG642" s="196"/>
      <c r="CH642" s="178"/>
      <c r="CI642" s="178"/>
      <c r="CJ642" s="178"/>
      <c r="CK642" s="178"/>
      <c r="CL642" s="178"/>
      <c r="CM642" s="178"/>
      <c r="CN642" s="178"/>
      <c r="CO642" s="178"/>
      <c r="CP642" s="178"/>
      <c r="CQ642" s="178"/>
      <c r="CR642" s="178"/>
      <c r="CS642" s="178"/>
      <c r="CT642" s="178"/>
      <c r="CU642" s="178"/>
      <c r="CV642" s="178"/>
      <c r="CW642" s="178"/>
      <c r="CX642" s="178"/>
      <c r="CY642" s="178"/>
      <c r="CZ642" s="178"/>
      <c r="DA642" s="150"/>
    </row>
    <row r="643" spans="53:105" x14ac:dyDescent="0.2">
      <c r="BA643" s="518">
        <f t="shared" ca="1" si="40"/>
        <v>61</v>
      </c>
      <c r="BB643" s="174">
        <f t="shared" ca="1" si="41"/>
        <v>580</v>
      </c>
      <c r="BC643" s="525" t="e">
        <f ca="1">MATCH(BD643,OFFSET(Pinlist!$A$2,BC642*(BA643=BA642),0,$BM$23,1),0)+BC642*(BA643=BA642)</f>
        <v>#N/A</v>
      </c>
      <c r="BD643" s="167">
        <f t="shared" ca="1" si="42"/>
        <v>0</v>
      </c>
      <c r="BE643" s="191" t="e">
        <f ca="1">(OFFSET(Pinlist!$E$1,BC643,0)-$BN$16)*$BN$19</f>
        <v>#N/A</v>
      </c>
      <c r="BF643" s="192" t="e">
        <f ca="1">(OFFSET(Pinlist!$F$1,BC643,0)-$BO$16)*$BO$19</f>
        <v>#N/A</v>
      </c>
      <c r="BG643" s="1098" t="str">
        <f ca="1">IF(LEFT(BD643,2)="RF",OFFSET(Pinlist!$D$1,Chart!BC643,0)&amp;"_"&amp;OFFSET(Pinlist!$G$1,Chart!BC643,0),"")</f>
        <v/>
      </c>
      <c r="BH643" s="1098"/>
      <c r="BI643" s="178"/>
      <c r="BJ643" s="178"/>
      <c r="BK643" s="178"/>
      <c r="BL643" s="178"/>
      <c r="BM643" s="178"/>
      <c r="BN643" s="178"/>
      <c r="BO643" s="178"/>
      <c r="BP643" s="178"/>
      <c r="BQ643" s="196"/>
      <c r="BR643" s="196"/>
      <c r="BS643" s="196"/>
      <c r="BT643" s="196"/>
      <c r="BU643" s="196"/>
      <c r="BV643" s="196"/>
      <c r="BW643" s="178"/>
      <c r="BX643" s="196"/>
      <c r="BY643" s="196"/>
      <c r="BZ643" s="196"/>
      <c r="CA643" s="196"/>
      <c r="CB643" s="178"/>
      <c r="CC643" s="178"/>
      <c r="CD643" s="202"/>
      <c r="CE643" s="202"/>
      <c r="CF643" s="178"/>
      <c r="CG643" s="196"/>
      <c r="CH643" s="178"/>
      <c r="CI643" s="178"/>
      <c r="CJ643" s="178"/>
      <c r="CK643" s="178"/>
      <c r="CL643" s="178"/>
      <c r="CM643" s="178"/>
      <c r="CN643" s="178"/>
      <c r="CO643" s="178"/>
      <c r="CP643" s="178"/>
      <c r="CQ643" s="178"/>
      <c r="CR643" s="178"/>
      <c r="CS643" s="178"/>
      <c r="CT643" s="178"/>
      <c r="CU643" s="178"/>
      <c r="CV643" s="178"/>
      <c r="CW643" s="178"/>
      <c r="CX643" s="178"/>
      <c r="CY643" s="178"/>
      <c r="CZ643" s="178"/>
      <c r="DA643" s="150"/>
    </row>
    <row r="644" spans="53:105" x14ac:dyDescent="0.2">
      <c r="BA644" s="518">
        <f t="shared" ref="BA644:BA707" ca="1" si="43">BA643+(BB643=OFFSET($BZ$3,BA643,0))</f>
        <v>61</v>
      </c>
      <c r="BB644" s="174">
        <f t="shared" ref="BB644:BB707" ca="1" si="44">IF(BA644=BA643,BB643+1,1)</f>
        <v>581</v>
      </c>
      <c r="BC644" s="525" t="e">
        <f ca="1">MATCH(BD644,OFFSET(Pinlist!$A$2,BC643*(BA644=BA643),0,$BM$23,1),0)+BC643*(BA644=BA643)</f>
        <v>#N/A</v>
      </c>
      <c r="BD644" s="167">
        <f t="shared" ref="BD644:BD707" ca="1" si="45">OFFSET($BY$3,BA644,0)</f>
        <v>0</v>
      </c>
      <c r="BE644" s="191" t="e">
        <f ca="1">(OFFSET(Pinlist!$E$1,BC644,0)-$BN$16)*$BN$19</f>
        <v>#N/A</v>
      </c>
      <c r="BF644" s="192" t="e">
        <f ca="1">(OFFSET(Pinlist!$F$1,BC644,0)-$BO$16)*$BO$19</f>
        <v>#N/A</v>
      </c>
      <c r="BG644" s="1098" t="str">
        <f ca="1">IF(LEFT(BD644,2)="RF",OFFSET(Pinlist!$D$1,Chart!BC644,0)&amp;"_"&amp;OFFSET(Pinlist!$G$1,Chart!BC644,0),"")</f>
        <v/>
      </c>
      <c r="BH644" s="1098"/>
      <c r="BI644" s="178"/>
      <c r="BJ644" s="178"/>
      <c r="BK644" s="178"/>
      <c r="BL644" s="178"/>
      <c r="BM644" s="178"/>
      <c r="BN644" s="178"/>
      <c r="BO644" s="178"/>
      <c r="BP644" s="178"/>
      <c r="BQ644" s="196"/>
      <c r="BR644" s="196"/>
      <c r="BS644" s="196"/>
      <c r="BT644" s="196"/>
      <c r="BU644" s="196"/>
      <c r="BV644" s="196"/>
      <c r="BW644" s="178"/>
      <c r="BX644" s="196"/>
      <c r="BY644" s="196"/>
      <c r="BZ644" s="196"/>
      <c r="CA644" s="196"/>
      <c r="CB644" s="178"/>
      <c r="CC644" s="178"/>
      <c r="CD644" s="202"/>
      <c r="CE644" s="202"/>
      <c r="CF644" s="178"/>
      <c r="CG644" s="196"/>
      <c r="CH644" s="178"/>
      <c r="CI644" s="178"/>
      <c r="CJ644" s="178"/>
      <c r="CK644" s="178"/>
      <c r="CL644" s="178"/>
      <c r="CM644" s="178"/>
      <c r="CN644" s="178"/>
      <c r="CO644" s="178"/>
      <c r="CP644" s="178"/>
      <c r="CQ644" s="178"/>
      <c r="CR644" s="178"/>
      <c r="CS644" s="178"/>
      <c r="CT644" s="178"/>
      <c r="CU644" s="178"/>
      <c r="CV644" s="178"/>
      <c r="CW644" s="178"/>
      <c r="CX644" s="178"/>
      <c r="CY644" s="178"/>
      <c r="CZ644" s="178"/>
      <c r="DA644" s="150"/>
    </row>
    <row r="645" spans="53:105" x14ac:dyDescent="0.2">
      <c r="BA645" s="518">
        <f t="shared" ca="1" si="43"/>
        <v>61</v>
      </c>
      <c r="BB645" s="174">
        <f t="shared" ca="1" si="44"/>
        <v>582</v>
      </c>
      <c r="BC645" s="525" t="e">
        <f ca="1">MATCH(BD645,OFFSET(Pinlist!$A$2,BC644*(BA645=BA644),0,$BM$23,1),0)+BC644*(BA645=BA644)</f>
        <v>#N/A</v>
      </c>
      <c r="BD645" s="167">
        <f t="shared" ca="1" si="45"/>
        <v>0</v>
      </c>
      <c r="BE645" s="191" t="e">
        <f ca="1">(OFFSET(Pinlist!$E$1,BC645,0)-$BN$16)*$BN$19</f>
        <v>#N/A</v>
      </c>
      <c r="BF645" s="192" t="e">
        <f ca="1">(OFFSET(Pinlist!$F$1,BC645,0)-$BO$16)*$BO$19</f>
        <v>#N/A</v>
      </c>
      <c r="BG645" s="1098" t="str">
        <f ca="1">IF(LEFT(BD645,2)="RF",OFFSET(Pinlist!$D$1,Chart!BC645,0)&amp;"_"&amp;OFFSET(Pinlist!$G$1,Chart!BC645,0),"")</f>
        <v/>
      </c>
      <c r="BH645" s="1098"/>
      <c r="BI645" s="178"/>
      <c r="BJ645" s="178"/>
      <c r="BK645" s="178"/>
      <c r="BL645" s="178"/>
      <c r="BM645" s="178"/>
      <c r="BN645" s="178"/>
      <c r="BO645" s="178"/>
      <c r="BP645" s="178"/>
      <c r="BQ645" s="196"/>
      <c r="BR645" s="196"/>
      <c r="BS645" s="196"/>
      <c r="BT645" s="196"/>
      <c r="BU645" s="196"/>
      <c r="BV645" s="196"/>
      <c r="BW645" s="178"/>
      <c r="BX645" s="196"/>
      <c r="BY645" s="196"/>
      <c r="BZ645" s="196"/>
      <c r="CA645" s="196"/>
      <c r="CB645" s="178"/>
      <c r="CC645" s="178"/>
      <c r="CD645" s="202"/>
      <c r="CE645" s="202"/>
      <c r="CF645" s="178"/>
      <c r="CG645" s="196"/>
      <c r="CH645" s="178"/>
      <c r="CI645" s="178"/>
      <c r="CJ645" s="178"/>
      <c r="CK645" s="178"/>
      <c r="CL645" s="178"/>
      <c r="CM645" s="178"/>
      <c r="CN645" s="178"/>
      <c r="CO645" s="178"/>
      <c r="CP645" s="178"/>
      <c r="CQ645" s="178"/>
      <c r="CR645" s="178"/>
      <c r="CS645" s="178"/>
      <c r="CT645" s="178"/>
      <c r="CU645" s="178"/>
      <c r="CV645" s="178"/>
      <c r="CW645" s="178"/>
      <c r="CX645" s="178"/>
      <c r="CY645" s="178"/>
      <c r="CZ645" s="178"/>
      <c r="DA645" s="150"/>
    </row>
    <row r="646" spans="53:105" x14ac:dyDescent="0.2">
      <c r="BA646" s="518">
        <f t="shared" ca="1" si="43"/>
        <v>61</v>
      </c>
      <c r="BB646" s="174">
        <f t="shared" ca="1" si="44"/>
        <v>583</v>
      </c>
      <c r="BC646" s="525" t="e">
        <f ca="1">MATCH(BD646,OFFSET(Pinlist!$A$2,BC645*(BA646=BA645),0,$BM$23,1),0)+BC645*(BA646=BA645)</f>
        <v>#N/A</v>
      </c>
      <c r="BD646" s="167">
        <f t="shared" ca="1" si="45"/>
        <v>0</v>
      </c>
      <c r="BE646" s="191" t="e">
        <f ca="1">(OFFSET(Pinlist!$E$1,BC646,0)-$BN$16)*$BN$19</f>
        <v>#N/A</v>
      </c>
      <c r="BF646" s="192" t="e">
        <f ca="1">(OFFSET(Pinlist!$F$1,BC646,0)-$BO$16)*$BO$19</f>
        <v>#N/A</v>
      </c>
      <c r="BG646" s="1098" t="str">
        <f ca="1">IF(LEFT(BD646,2)="RF",OFFSET(Pinlist!$D$1,Chart!BC646,0)&amp;"_"&amp;OFFSET(Pinlist!$G$1,Chart!BC646,0),"")</f>
        <v/>
      </c>
      <c r="BH646" s="1098"/>
      <c r="BI646" s="178"/>
      <c r="BJ646" s="178"/>
      <c r="BK646" s="178"/>
      <c r="BL646" s="178"/>
      <c r="BM646" s="178"/>
      <c r="BN646" s="178"/>
      <c r="BO646" s="178"/>
      <c r="BP646" s="178"/>
      <c r="BQ646" s="196"/>
      <c r="BR646" s="196"/>
      <c r="BS646" s="196"/>
      <c r="BT646" s="196"/>
      <c r="BU646" s="196"/>
      <c r="BV646" s="196"/>
      <c r="BW646" s="178"/>
      <c r="BX646" s="196"/>
      <c r="BY646" s="196"/>
      <c r="BZ646" s="196"/>
      <c r="CA646" s="196"/>
      <c r="CB646" s="178"/>
      <c r="CC646" s="178"/>
      <c r="CD646" s="202"/>
      <c r="CE646" s="202"/>
      <c r="CF646" s="178"/>
      <c r="CG646" s="196"/>
      <c r="CH646" s="178"/>
      <c r="CI646" s="178"/>
      <c r="CJ646" s="178"/>
      <c r="CK646" s="178"/>
      <c r="CL646" s="178"/>
      <c r="CM646" s="178"/>
      <c r="CN646" s="178"/>
      <c r="CO646" s="178"/>
      <c r="CP646" s="178"/>
      <c r="CQ646" s="178"/>
      <c r="CR646" s="178"/>
      <c r="CS646" s="178"/>
      <c r="CT646" s="178"/>
      <c r="CU646" s="178"/>
      <c r="CV646" s="178"/>
      <c r="CW646" s="178"/>
      <c r="CX646" s="178"/>
      <c r="CY646" s="178"/>
      <c r="CZ646" s="178"/>
      <c r="DA646" s="150"/>
    </row>
    <row r="647" spans="53:105" x14ac:dyDescent="0.2">
      <c r="BA647" s="518">
        <f t="shared" ca="1" si="43"/>
        <v>61</v>
      </c>
      <c r="BB647" s="174">
        <f t="shared" ca="1" si="44"/>
        <v>584</v>
      </c>
      <c r="BC647" s="525" t="e">
        <f ca="1">MATCH(BD647,OFFSET(Pinlist!$A$2,BC646*(BA647=BA646),0,$BM$23,1),0)+BC646*(BA647=BA646)</f>
        <v>#N/A</v>
      </c>
      <c r="BD647" s="167">
        <f t="shared" ca="1" si="45"/>
        <v>0</v>
      </c>
      <c r="BE647" s="191" t="e">
        <f ca="1">(OFFSET(Pinlist!$E$1,BC647,0)-$BN$16)*$BN$19</f>
        <v>#N/A</v>
      </c>
      <c r="BF647" s="192" t="e">
        <f ca="1">(OFFSET(Pinlist!$F$1,BC647,0)-$BO$16)*$BO$19</f>
        <v>#N/A</v>
      </c>
      <c r="BG647" s="1098" t="str">
        <f ca="1">IF(LEFT(BD647,2)="RF",OFFSET(Pinlist!$D$1,Chart!BC647,0)&amp;"_"&amp;OFFSET(Pinlist!$G$1,Chart!BC647,0),"")</f>
        <v/>
      </c>
      <c r="BH647" s="1098"/>
      <c r="BI647" s="178"/>
      <c r="BJ647" s="178"/>
      <c r="BK647" s="178"/>
      <c r="BL647" s="178"/>
      <c r="BM647" s="178"/>
      <c r="BN647" s="178"/>
      <c r="BO647" s="178"/>
      <c r="BP647" s="178"/>
      <c r="BQ647" s="196"/>
      <c r="BR647" s="196"/>
      <c r="BS647" s="196"/>
      <c r="BT647" s="196"/>
      <c r="BU647" s="196"/>
      <c r="BV647" s="196"/>
      <c r="BW647" s="178"/>
      <c r="BX647" s="196"/>
      <c r="BY647" s="196"/>
      <c r="BZ647" s="196"/>
      <c r="CA647" s="196"/>
      <c r="CB647" s="178"/>
      <c r="CC647" s="178"/>
      <c r="CD647" s="202"/>
      <c r="CE647" s="202"/>
      <c r="CF647" s="178"/>
      <c r="CG647" s="196"/>
      <c r="CH647" s="178"/>
      <c r="CI647" s="178"/>
      <c r="CJ647" s="178"/>
      <c r="CK647" s="178"/>
      <c r="CL647" s="178"/>
      <c r="CM647" s="178"/>
      <c r="CN647" s="178"/>
      <c r="CO647" s="178"/>
      <c r="CP647" s="178"/>
      <c r="CQ647" s="178"/>
      <c r="CR647" s="178"/>
      <c r="CS647" s="178"/>
      <c r="CT647" s="178"/>
      <c r="CU647" s="178"/>
      <c r="CV647" s="178"/>
      <c r="CW647" s="178"/>
      <c r="CX647" s="178"/>
      <c r="CY647" s="178"/>
      <c r="CZ647" s="178"/>
      <c r="DA647" s="150"/>
    </row>
    <row r="648" spans="53:105" x14ac:dyDescent="0.2">
      <c r="BA648" s="518">
        <f t="shared" ca="1" si="43"/>
        <v>61</v>
      </c>
      <c r="BB648" s="174">
        <f t="shared" ca="1" si="44"/>
        <v>585</v>
      </c>
      <c r="BC648" s="525" t="e">
        <f ca="1">MATCH(BD648,OFFSET(Pinlist!$A$2,BC647*(BA648=BA647),0,$BM$23,1),0)+BC647*(BA648=BA647)</f>
        <v>#N/A</v>
      </c>
      <c r="BD648" s="167">
        <f t="shared" ca="1" si="45"/>
        <v>0</v>
      </c>
      <c r="BE648" s="191" t="e">
        <f ca="1">(OFFSET(Pinlist!$E$1,BC648,0)-$BN$16)*$BN$19</f>
        <v>#N/A</v>
      </c>
      <c r="BF648" s="192" t="e">
        <f ca="1">(OFFSET(Pinlist!$F$1,BC648,0)-$BO$16)*$BO$19</f>
        <v>#N/A</v>
      </c>
      <c r="BG648" s="1098" t="str">
        <f ca="1">IF(LEFT(BD648,2)="RF",OFFSET(Pinlist!$D$1,Chart!BC648,0)&amp;"_"&amp;OFFSET(Pinlist!$G$1,Chart!BC648,0),"")</f>
        <v/>
      </c>
      <c r="BH648" s="1098"/>
      <c r="BI648" s="178"/>
      <c r="BJ648" s="178"/>
      <c r="BK648" s="178"/>
      <c r="BL648" s="178"/>
      <c r="BM648" s="178"/>
      <c r="BN648" s="178"/>
      <c r="BO648" s="178"/>
      <c r="BP648" s="178"/>
      <c r="BQ648" s="196"/>
      <c r="BR648" s="196"/>
      <c r="BS648" s="196"/>
      <c r="BT648" s="196"/>
      <c r="BU648" s="196"/>
      <c r="BV648" s="196"/>
      <c r="BW648" s="178"/>
      <c r="BX648" s="196"/>
      <c r="BY648" s="196"/>
      <c r="BZ648" s="196"/>
      <c r="CA648" s="196"/>
      <c r="CB648" s="178"/>
      <c r="CC648" s="178"/>
      <c r="CD648" s="202"/>
      <c r="CE648" s="202"/>
      <c r="CF648" s="178"/>
      <c r="CG648" s="196"/>
      <c r="CH648" s="178"/>
      <c r="CI648" s="178"/>
      <c r="CJ648" s="178"/>
      <c r="CK648" s="178"/>
      <c r="CL648" s="178"/>
      <c r="CM648" s="178"/>
      <c r="CN648" s="178"/>
      <c r="CO648" s="178"/>
      <c r="CP648" s="178"/>
      <c r="CQ648" s="178"/>
      <c r="CR648" s="178"/>
      <c r="CS648" s="178"/>
      <c r="CT648" s="178"/>
      <c r="CU648" s="178"/>
      <c r="CV648" s="178"/>
      <c r="CW648" s="178"/>
      <c r="CX648" s="178"/>
      <c r="CY648" s="178"/>
      <c r="CZ648" s="178"/>
      <c r="DA648" s="150"/>
    </row>
    <row r="649" spans="53:105" x14ac:dyDescent="0.2">
      <c r="BA649" s="518">
        <f t="shared" ca="1" si="43"/>
        <v>61</v>
      </c>
      <c r="BB649" s="174">
        <f t="shared" ca="1" si="44"/>
        <v>586</v>
      </c>
      <c r="BC649" s="525" t="e">
        <f ca="1">MATCH(BD649,OFFSET(Pinlist!$A$2,BC648*(BA649=BA648),0,$BM$23,1),0)+BC648*(BA649=BA648)</f>
        <v>#N/A</v>
      </c>
      <c r="BD649" s="167">
        <f t="shared" ca="1" si="45"/>
        <v>0</v>
      </c>
      <c r="BE649" s="191" t="e">
        <f ca="1">(OFFSET(Pinlist!$E$1,BC649,0)-$BN$16)*$BN$19</f>
        <v>#N/A</v>
      </c>
      <c r="BF649" s="192" t="e">
        <f ca="1">(OFFSET(Pinlist!$F$1,BC649,0)-$BO$16)*$BO$19</f>
        <v>#N/A</v>
      </c>
      <c r="BG649" s="1098" t="str">
        <f ca="1">IF(LEFT(BD649,2)="RF",OFFSET(Pinlist!$D$1,Chart!BC649,0)&amp;"_"&amp;OFFSET(Pinlist!$G$1,Chart!BC649,0),"")</f>
        <v/>
      </c>
      <c r="BH649" s="1098"/>
      <c r="BI649" s="178"/>
      <c r="BJ649" s="178"/>
      <c r="BK649" s="178"/>
      <c r="BL649" s="178"/>
      <c r="BM649" s="178"/>
      <c r="BN649" s="178"/>
      <c r="BO649" s="178"/>
      <c r="BP649" s="178"/>
      <c r="BQ649" s="196"/>
      <c r="BR649" s="196"/>
      <c r="BS649" s="196"/>
      <c r="BT649" s="196"/>
      <c r="BU649" s="196"/>
      <c r="BV649" s="196"/>
      <c r="BW649" s="178"/>
      <c r="BX649" s="196"/>
      <c r="BY649" s="196"/>
      <c r="BZ649" s="196"/>
      <c r="CA649" s="196"/>
      <c r="CB649" s="178"/>
      <c r="CC649" s="178"/>
      <c r="CD649" s="202"/>
      <c r="CE649" s="202"/>
      <c r="CF649" s="178"/>
      <c r="CG649" s="196"/>
      <c r="CH649" s="178"/>
      <c r="CI649" s="178"/>
      <c r="CJ649" s="178"/>
      <c r="CK649" s="178"/>
      <c r="CL649" s="178"/>
      <c r="CM649" s="178"/>
      <c r="CN649" s="178"/>
      <c r="CO649" s="178"/>
      <c r="CP649" s="178"/>
      <c r="CQ649" s="178"/>
      <c r="CR649" s="178"/>
      <c r="CS649" s="178"/>
      <c r="CT649" s="178"/>
      <c r="CU649" s="178"/>
      <c r="CV649" s="178"/>
      <c r="CW649" s="178"/>
      <c r="CX649" s="178"/>
      <c r="CY649" s="178"/>
      <c r="CZ649" s="178"/>
      <c r="DA649" s="150"/>
    </row>
    <row r="650" spans="53:105" x14ac:dyDescent="0.2">
      <c r="BA650" s="518">
        <f t="shared" ca="1" si="43"/>
        <v>61</v>
      </c>
      <c r="BB650" s="174">
        <f t="shared" ca="1" si="44"/>
        <v>587</v>
      </c>
      <c r="BC650" s="525" t="e">
        <f ca="1">MATCH(BD650,OFFSET(Pinlist!$A$2,BC649*(BA650=BA649),0,$BM$23,1),0)+BC649*(BA650=BA649)</f>
        <v>#N/A</v>
      </c>
      <c r="BD650" s="167">
        <f t="shared" ca="1" si="45"/>
        <v>0</v>
      </c>
      <c r="BE650" s="191" t="e">
        <f ca="1">(OFFSET(Pinlist!$E$1,BC650,0)-$BN$16)*$BN$19</f>
        <v>#N/A</v>
      </c>
      <c r="BF650" s="192" t="e">
        <f ca="1">(OFFSET(Pinlist!$F$1,BC650,0)-$BO$16)*$BO$19</f>
        <v>#N/A</v>
      </c>
      <c r="BG650" s="1098" t="str">
        <f ca="1">IF(LEFT(BD650,2)="RF",OFFSET(Pinlist!$D$1,Chart!BC650,0)&amp;"_"&amp;OFFSET(Pinlist!$G$1,Chart!BC650,0),"")</f>
        <v/>
      </c>
      <c r="BH650" s="1098"/>
      <c r="BI650" s="178"/>
      <c r="BJ650" s="178"/>
      <c r="BK650" s="178"/>
      <c r="BL650" s="178"/>
      <c r="BM650" s="178"/>
      <c r="BN650" s="178"/>
      <c r="BO650" s="178"/>
      <c r="BP650" s="178"/>
      <c r="BQ650" s="196"/>
      <c r="BR650" s="196"/>
      <c r="BS650" s="196"/>
      <c r="BT650" s="196"/>
      <c r="BU650" s="196"/>
      <c r="BV650" s="196"/>
      <c r="BW650" s="178"/>
      <c r="BX650" s="196"/>
      <c r="BY650" s="196"/>
      <c r="BZ650" s="196"/>
      <c r="CA650" s="196"/>
      <c r="CB650" s="178"/>
      <c r="CC650" s="178"/>
      <c r="CD650" s="202"/>
      <c r="CE650" s="202"/>
      <c r="CF650" s="178"/>
      <c r="CG650" s="196"/>
      <c r="CH650" s="178"/>
      <c r="CI650" s="178"/>
      <c r="CJ650" s="178"/>
      <c r="CK650" s="178"/>
      <c r="CL650" s="178"/>
      <c r="CM650" s="178"/>
      <c r="CN650" s="178"/>
      <c r="CO650" s="178"/>
      <c r="CP650" s="178"/>
      <c r="CQ650" s="178"/>
      <c r="CR650" s="178"/>
      <c r="CS650" s="178"/>
      <c r="CT650" s="178"/>
      <c r="CU650" s="178"/>
      <c r="CV650" s="178"/>
      <c r="CW650" s="178"/>
      <c r="CX650" s="178"/>
      <c r="CY650" s="178"/>
      <c r="CZ650" s="178"/>
      <c r="DA650" s="150"/>
    </row>
    <row r="651" spans="53:105" x14ac:dyDescent="0.2">
      <c r="BA651" s="518">
        <f t="shared" ca="1" si="43"/>
        <v>61</v>
      </c>
      <c r="BB651" s="174">
        <f t="shared" ca="1" si="44"/>
        <v>588</v>
      </c>
      <c r="BC651" s="525" t="e">
        <f ca="1">MATCH(BD651,OFFSET(Pinlist!$A$2,BC650*(BA651=BA650),0,$BM$23,1),0)+BC650*(BA651=BA650)</f>
        <v>#N/A</v>
      </c>
      <c r="BD651" s="167">
        <f t="shared" ca="1" si="45"/>
        <v>0</v>
      </c>
      <c r="BE651" s="191" t="e">
        <f ca="1">(OFFSET(Pinlist!$E$1,BC651,0)-$BN$16)*$BN$19</f>
        <v>#N/A</v>
      </c>
      <c r="BF651" s="192" t="e">
        <f ca="1">(OFFSET(Pinlist!$F$1,BC651,0)-$BO$16)*$BO$19</f>
        <v>#N/A</v>
      </c>
      <c r="BG651" s="1098" t="str">
        <f ca="1">IF(LEFT(BD651,2)="RF",OFFSET(Pinlist!$D$1,Chart!BC651,0)&amp;"_"&amp;OFFSET(Pinlist!$G$1,Chart!BC651,0),"")</f>
        <v/>
      </c>
      <c r="BH651" s="1098"/>
      <c r="BI651" s="178"/>
      <c r="BJ651" s="178"/>
      <c r="BK651" s="178"/>
      <c r="BL651" s="178"/>
      <c r="BM651" s="178"/>
      <c r="BN651" s="178"/>
      <c r="BO651" s="178"/>
      <c r="BP651" s="178"/>
      <c r="BQ651" s="196"/>
      <c r="BR651" s="196"/>
      <c r="BS651" s="196"/>
      <c r="BT651" s="196"/>
      <c r="BU651" s="196"/>
      <c r="BV651" s="196"/>
      <c r="BW651" s="178"/>
      <c r="BX651" s="196"/>
      <c r="BY651" s="196"/>
      <c r="BZ651" s="196"/>
      <c r="CA651" s="196"/>
      <c r="CB651" s="178"/>
      <c r="CC651" s="178"/>
      <c r="CD651" s="202"/>
      <c r="CE651" s="202"/>
      <c r="CF651" s="178"/>
      <c r="CG651" s="196"/>
      <c r="CH651" s="178"/>
      <c r="CI651" s="178"/>
      <c r="CJ651" s="178"/>
      <c r="CK651" s="178"/>
      <c r="CL651" s="178"/>
      <c r="CM651" s="178"/>
      <c r="CN651" s="178"/>
      <c r="CO651" s="178"/>
      <c r="CP651" s="178"/>
      <c r="CQ651" s="178"/>
      <c r="CR651" s="178"/>
      <c r="CS651" s="178"/>
      <c r="CT651" s="178"/>
      <c r="CU651" s="178"/>
      <c r="CV651" s="178"/>
      <c r="CW651" s="178"/>
      <c r="CX651" s="178"/>
      <c r="CY651" s="178"/>
      <c r="CZ651" s="178"/>
      <c r="DA651" s="150"/>
    </row>
    <row r="652" spans="53:105" x14ac:dyDescent="0.2">
      <c r="BA652" s="518">
        <f t="shared" ca="1" si="43"/>
        <v>61</v>
      </c>
      <c r="BB652" s="174">
        <f t="shared" ca="1" si="44"/>
        <v>589</v>
      </c>
      <c r="BC652" s="525" t="e">
        <f ca="1">MATCH(BD652,OFFSET(Pinlist!$A$2,BC651*(BA652=BA651),0,$BM$23,1),0)+BC651*(BA652=BA651)</f>
        <v>#N/A</v>
      </c>
      <c r="BD652" s="167">
        <f t="shared" ca="1" si="45"/>
        <v>0</v>
      </c>
      <c r="BE652" s="191" t="e">
        <f ca="1">(OFFSET(Pinlist!$E$1,BC652,0)-$BN$16)*$BN$19</f>
        <v>#N/A</v>
      </c>
      <c r="BF652" s="192" t="e">
        <f ca="1">(OFFSET(Pinlist!$F$1,BC652,0)-$BO$16)*$BO$19</f>
        <v>#N/A</v>
      </c>
      <c r="BG652" s="1098" t="str">
        <f ca="1">IF(LEFT(BD652,2)="RF",OFFSET(Pinlist!$D$1,Chart!BC652,0)&amp;"_"&amp;OFFSET(Pinlist!$G$1,Chart!BC652,0),"")</f>
        <v/>
      </c>
      <c r="BH652" s="1098"/>
      <c r="BI652" s="178"/>
      <c r="BJ652" s="178"/>
      <c r="BK652" s="178"/>
      <c r="BL652" s="178"/>
      <c r="BM652" s="178"/>
      <c r="BN652" s="178"/>
      <c r="BO652" s="178"/>
      <c r="BP652" s="178"/>
      <c r="BQ652" s="196"/>
      <c r="BR652" s="196"/>
      <c r="BS652" s="196"/>
      <c r="BT652" s="196"/>
      <c r="BU652" s="196"/>
      <c r="BV652" s="196"/>
      <c r="BW652" s="178"/>
      <c r="BX652" s="196"/>
      <c r="BY652" s="196"/>
      <c r="BZ652" s="196"/>
      <c r="CA652" s="196"/>
      <c r="CB652" s="178"/>
      <c r="CC652" s="178"/>
      <c r="CD652" s="202"/>
      <c r="CE652" s="202"/>
      <c r="CF652" s="178"/>
      <c r="CG652" s="196"/>
      <c r="CH652" s="178"/>
      <c r="CI652" s="178"/>
      <c r="CJ652" s="178"/>
      <c r="CK652" s="178"/>
      <c r="CL652" s="178"/>
      <c r="CM652" s="178"/>
      <c r="CN652" s="178"/>
      <c r="CO652" s="178"/>
      <c r="CP652" s="178"/>
      <c r="CQ652" s="178"/>
      <c r="CR652" s="178"/>
      <c r="CS652" s="178"/>
      <c r="CT652" s="178"/>
      <c r="CU652" s="178"/>
      <c r="CV652" s="178"/>
      <c r="CW652" s="178"/>
      <c r="CX652" s="178"/>
      <c r="CY652" s="178"/>
      <c r="CZ652" s="178"/>
      <c r="DA652" s="150"/>
    </row>
    <row r="653" spans="53:105" x14ac:dyDescent="0.2">
      <c r="BA653" s="518">
        <f t="shared" ca="1" si="43"/>
        <v>61</v>
      </c>
      <c r="BB653" s="174">
        <f t="shared" ca="1" si="44"/>
        <v>590</v>
      </c>
      <c r="BC653" s="525" t="e">
        <f ca="1">MATCH(BD653,OFFSET(Pinlist!$A$2,BC652*(BA653=BA652),0,$BM$23,1),0)+BC652*(BA653=BA652)</f>
        <v>#N/A</v>
      </c>
      <c r="BD653" s="167">
        <f t="shared" ca="1" si="45"/>
        <v>0</v>
      </c>
      <c r="BE653" s="191" t="e">
        <f ca="1">(OFFSET(Pinlist!$E$1,BC653,0)-$BN$16)*$BN$19</f>
        <v>#N/A</v>
      </c>
      <c r="BF653" s="192" t="e">
        <f ca="1">(OFFSET(Pinlist!$F$1,BC653,0)-$BO$16)*$BO$19</f>
        <v>#N/A</v>
      </c>
      <c r="BG653" s="1098" t="str">
        <f ca="1">IF(LEFT(BD653,2)="RF",OFFSET(Pinlist!$D$1,Chart!BC653,0)&amp;"_"&amp;OFFSET(Pinlist!$G$1,Chart!BC653,0),"")</f>
        <v/>
      </c>
      <c r="BH653" s="1098"/>
      <c r="BI653" s="178"/>
      <c r="BJ653" s="178"/>
      <c r="BK653" s="178"/>
      <c r="BL653" s="178"/>
      <c r="BM653" s="178"/>
      <c r="BN653" s="178"/>
      <c r="BO653" s="178"/>
      <c r="BP653" s="178"/>
      <c r="BQ653" s="196"/>
      <c r="BR653" s="196"/>
      <c r="BS653" s="196"/>
      <c r="BT653" s="196"/>
      <c r="BU653" s="196"/>
      <c r="BV653" s="196"/>
      <c r="BW653" s="178"/>
      <c r="BX653" s="196"/>
      <c r="BY653" s="196"/>
      <c r="BZ653" s="196"/>
      <c r="CA653" s="196"/>
      <c r="CB653" s="178"/>
      <c r="CC653" s="178"/>
      <c r="CD653" s="202"/>
      <c r="CE653" s="202"/>
      <c r="CF653" s="178"/>
      <c r="CG653" s="196"/>
      <c r="CH653" s="178"/>
      <c r="CI653" s="178"/>
      <c r="CJ653" s="178"/>
      <c r="CK653" s="178"/>
      <c r="CL653" s="178"/>
      <c r="CM653" s="178"/>
      <c r="CN653" s="178"/>
      <c r="CO653" s="178"/>
      <c r="CP653" s="178"/>
      <c r="CQ653" s="178"/>
      <c r="CR653" s="178"/>
      <c r="CS653" s="178"/>
      <c r="CT653" s="178"/>
      <c r="CU653" s="178"/>
      <c r="CV653" s="178"/>
      <c r="CW653" s="178"/>
      <c r="CX653" s="178"/>
      <c r="CY653" s="178"/>
      <c r="CZ653" s="178"/>
      <c r="DA653" s="150"/>
    </row>
    <row r="654" spans="53:105" x14ac:dyDescent="0.2">
      <c r="BA654" s="518">
        <f t="shared" ca="1" si="43"/>
        <v>61</v>
      </c>
      <c r="BB654" s="174">
        <f t="shared" ca="1" si="44"/>
        <v>591</v>
      </c>
      <c r="BC654" s="525" t="e">
        <f ca="1">MATCH(BD654,OFFSET(Pinlist!$A$2,BC653*(BA654=BA653),0,$BM$23,1),0)+BC653*(BA654=BA653)</f>
        <v>#N/A</v>
      </c>
      <c r="BD654" s="167">
        <f t="shared" ca="1" si="45"/>
        <v>0</v>
      </c>
      <c r="BE654" s="191" t="e">
        <f ca="1">(OFFSET(Pinlist!$E$1,BC654,0)-$BN$16)*$BN$19</f>
        <v>#N/A</v>
      </c>
      <c r="BF654" s="192" t="e">
        <f ca="1">(OFFSET(Pinlist!$F$1,BC654,0)-$BO$16)*$BO$19</f>
        <v>#N/A</v>
      </c>
      <c r="BG654" s="1098" t="str">
        <f ca="1">IF(LEFT(BD654,2)="RF",OFFSET(Pinlist!$D$1,Chart!BC654,0)&amp;"_"&amp;OFFSET(Pinlist!$G$1,Chart!BC654,0),"")</f>
        <v/>
      </c>
      <c r="BH654" s="1098"/>
      <c r="BI654" s="178"/>
      <c r="BJ654" s="178"/>
      <c r="BK654" s="178"/>
      <c r="BL654" s="178"/>
      <c r="BM654" s="178"/>
      <c r="BN654" s="178"/>
      <c r="BO654" s="178"/>
      <c r="BP654" s="178"/>
      <c r="BQ654" s="196"/>
      <c r="BR654" s="196"/>
      <c r="BS654" s="196"/>
      <c r="BT654" s="196"/>
      <c r="BU654" s="196"/>
      <c r="BV654" s="196"/>
      <c r="BW654" s="178"/>
      <c r="BX654" s="196"/>
      <c r="BY654" s="196"/>
      <c r="BZ654" s="196"/>
      <c r="CA654" s="196"/>
      <c r="CB654" s="178"/>
      <c r="CC654" s="178"/>
      <c r="CD654" s="202"/>
      <c r="CE654" s="202"/>
      <c r="CF654" s="178"/>
      <c r="CG654" s="196"/>
      <c r="CH654" s="178"/>
      <c r="CI654" s="178"/>
      <c r="CJ654" s="178"/>
      <c r="CK654" s="178"/>
      <c r="CL654" s="178"/>
      <c r="CM654" s="178"/>
      <c r="CN654" s="178"/>
      <c r="CO654" s="178"/>
      <c r="CP654" s="178"/>
      <c r="CQ654" s="178"/>
      <c r="CR654" s="178"/>
      <c r="CS654" s="178"/>
      <c r="CT654" s="178"/>
      <c r="CU654" s="178"/>
      <c r="CV654" s="178"/>
      <c r="CW654" s="178"/>
      <c r="CX654" s="178"/>
      <c r="CY654" s="178"/>
      <c r="CZ654" s="178"/>
      <c r="DA654" s="150"/>
    </row>
    <row r="655" spans="53:105" x14ac:dyDescent="0.2">
      <c r="BA655" s="518">
        <f t="shared" ca="1" si="43"/>
        <v>61</v>
      </c>
      <c r="BB655" s="174">
        <f t="shared" ca="1" si="44"/>
        <v>592</v>
      </c>
      <c r="BC655" s="525" t="e">
        <f ca="1">MATCH(BD655,OFFSET(Pinlist!$A$2,BC654*(BA655=BA654),0,$BM$23,1),0)+BC654*(BA655=BA654)</f>
        <v>#N/A</v>
      </c>
      <c r="BD655" s="167">
        <f t="shared" ca="1" si="45"/>
        <v>0</v>
      </c>
      <c r="BE655" s="191" t="e">
        <f ca="1">(OFFSET(Pinlist!$E$1,BC655,0)-$BN$16)*$BN$19</f>
        <v>#N/A</v>
      </c>
      <c r="BF655" s="192" t="e">
        <f ca="1">(OFFSET(Pinlist!$F$1,BC655,0)-$BO$16)*$BO$19</f>
        <v>#N/A</v>
      </c>
      <c r="BG655" s="1098" t="str">
        <f ca="1">IF(LEFT(BD655,2)="RF",OFFSET(Pinlist!$D$1,Chart!BC655,0)&amp;"_"&amp;OFFSET(Pinlist!$G$1,Chart!BC655,0),"")</f>
        <v/>
      </c>
      <c r="BH655" s="1098"/>
      <c r="BI655" s="178"/>
      <c r="BJ655" s="178"/>
      <c r="BK655" s="178"/>
      <c r="BL655" s="178"/>
      <c r="BM655" s="178"/>
      <c r="BN655" s="178"/>
      <c r="BO655" s="178"/>
      <c r="BP655" s="178"/>
      <c r="BQ655" s="196"/>
      <c r="BR655" s="196"/>
      <c r="BS655" s="196"/>
      <c r="BT655" s="196"/>
      <c r="BU655" s="196"/>
      <c r="BV655" s="196"/>
      <c r="BW655" s="178"/>
      <c r="BX655" s="196"/>
      <c r="BY655" s="196"/>
      <c r="BZ655" s="196"/>
      <c r="CA655" s="196"/>
      <c r="CB655" s="178"/>
      <c r="CC655" s="178"/>
      <c r="CD655" s="202"/>
      <c r="CE655" s="202"/>
      <c r="CF655" s="178"/>
      <c r="CG655" s="196"/>
      <c r="CH655" s="178"/>
      <c r="CI655" s="178"/>
      <c r="CJ655" s="178"/>
      <c r="CK655" s="178"/>
      <c r="CL655" s="178"/>
      <c r="CM655" s="178"/>
      <c r="CN655" s="178"/>
      <c r="CO655" s="178"/>
      <c r="CP655" s="178"/>
      <c r="CQ655" s="178"/>
      <c r="CR655" s="178"/>
      <c r="CS655" s="178"/>
      <c r="CT655" s="178"/>
      <c r="CU655" s="178"/>
      <c r="CV655" s="178"/>
      <c r="CW655" s="178"/>
      <c r="CX655" s="178"/>
      <c r="CY655" s="178"/>
      <c r="CZ655" s="178"/>
      <c r="DA655" s="150"/>
    </row>
    <row r="656" spans="53:105" x14ac:dyDescent="0.2">
      <c r="BA656" s="518">
        <f t="shared" ca="1" si="43"/>
        <v>61</v>
      </c>
      <c r="BB656" s="174">
        <f t="shared" ca="1" si="44"/>
        <v>593</v>
      </c>
      <c r="BC656" s="525" t="e">
        <f ca="1">MATCH(BD656,OFFSET(Pinlist!$A$2,BC655*(BA656=BA655),0,$BM$23,1),0)+BC655*(BA656=BA655)</f>
        <v>#N/A</v>
      </c>
      <c r="BD656" s="167">
        <f t="shared" ca="1" si="45"/>
        <v>0</v>
      </c>
      <c r="BE656" s="191" t="e">
        <f ca="1">(OFFSET(Pinlist!$E$1,BC656,0)-$BN$16)*$BN$19</f>
        <v>#N/A</v>
      </c>
      <c r="BF656" s="192" t="e">
        <f ca="1">(OFFSET(Pinlist!$F$1,BC656,0)-$BO$16)*$BO$19</f>
        <v>#N/A</v>
      </c>
      <c r="BG656" s="1098" t="str">
        <f ca="1">IF(LEFT(BD656,2)="RF",OFFSET(Pinlist!$D$1,Chart!BC656,0)&amp;"_"&amp;OFFSET(Pinlist!$G$1,Chart!BC656,0),"")</f>
        <v/>
      </c>
      <c r="BH656" s="1098"/>
      <c r="BI656" s="178"/>
      <c r="BJ656" s="178"/>
      <c r="BK656" s="178"/>
      <c r="BL656" s="178"/>
      <c r="BM656" s="178"/>
      <c r="BN656" s="178"/>
      <c r="BO656" s="178"/>
      <c r="BP656" s="178"/>
      <c r="BQ656" s="196"/>
      <c r="BR656" s="196"/>
      <c r="BS656" s="196"/>
      <c r="BT656" s="196"/>
      <c r="BU656" s="196"/>
      <c r="BV656" s="196"/>
      <c r="BW656" s="178"/>
      <c r="BX656" s="196"/>
      <c r="BY656" s="196"/>
      <c r="BZ656" s="196"/>
      <c r="CA656" s="196"/>
      <c r="CB656" s="178"/>
      <c r="CC656" s="178"/>
      <c r="CD656" s="202"/>
      <c r="CE656" s="202"/>
      <c r="CF656" s="178"/>
      <c r="CG656" s="196"/>
      <c r="CH656" s="178"/>
      <c r="CI656" s="178"/>
      <c r="CJ656" s="178"/>
      <c r="CK656" s="178"/>
      <c r="CL656" s="178"/>
      <c r="CM656" s="178"/>
      <c r="CN656" s="178"/>
      <c r="CO656" s="178"/>
      <c r="CP656" s="178"/>
      <c r="CQ656" s="178"/>
      <c r="CR656" s="178"/>
      <c r="CS656" s="178"/>
      <c r="CT656" s="178"/>
      <c r="CU656" s="178"/>
      <c r="CV656" s="178"/>
      <c r="CW656" s="178"/>
      <c r="CX656" s="178"/>
      <c r="CY656" s="178"/>
      <c r="CZ656" s="178"/>
      <c r="DA656" s="150"/>
    </row>
    <row r="657" spans="53:105" x14ac:dyDescent="0.2">
      <c r="BA657" s="518">
        <f t="shared" ca="1" si="43"/>
        <v>61</v>
      </c>
      <c r="BB657" s="174">
        <f t="shared" ca="1" si="44"/>
        <v>594</v>
      </c>
      <c r="BC657" s="525" t="e">
        <f ca="1">MATCH(BD657,OFFSET(Pinlist!$A$2,BC656*(BA657=BA656),0,$BM$23,1),0)+BC656*(BA657=BA656)</f>
        <v>#N/A</v>
      </c>
      <c r="BD657" s="167">
        <f t="shared" ca="1" si="45"/>
        <v>0</v>
      </c>
      <c r="BE657" s="191" t="e">
        <f ca="1">(OFFSET(Pinlist!$E$1,BC657,0)-$BN$16)*$BN$19</f>
        <v>#N/A</v>
      </c>
      <c r="BF657" s="192" t="e">
        <f ca="1">(OFFSET(Pinlist!$F$1,BC657,0)-$BO$16)*$BO$19</f>
        <v>#N/A</v>
      </c>
      <c r="BG657" s="1098" t="str">
        <f ca="1">IF(LEFT(BD657,2)="RF",OFFSET(Pinlist!$D$1,Chart!BC657,0)&amp;"_"&amp;OFFSET(Pinlist!$G$1,Chart!BC657,0),"")</f>
        <v/>
      </c>
      <c r="BH657" s="1098"/>
      <c r="BI657" s="178"/>
      <c r="BJ657" s="178"/>
      <c r="BK657" s="178"/>
      <c r="BL657" s="178"/>
      <c r="BM657" s="178"/>
      <c r="BN657" s="178"/>
      <c r="BO657" s="178"/>
      <c r="BP657" s="178"/>
      <c r="BQ657" s="196"/>
      <c r="BR657" s="196"/>
      <c r="BS657" s="196"/>
      <c r="BT657" s="196"/>
      <c r="BU657" s="196"/>
      <c r="BV657" s="196"/>
      <c r="BW657" s="178"/>
      <c r="BX657" s="196"/>
      <c r="BY657" s="196"/>
      <c r="BZ657" s="196"/>
      <c r="CA657" s="196"/>
      <c r="CB657" s="178"/>
      <c r="CC657" s="178"/>
      <c r="CD657" s="202"/>
      <c r="CE657" s="202"/>
      <c r="CF657" s="178"/>
      <c r="CG657" s="196"/>
      <c r="CH657" s="178"/>
      <c r="CI657" s="178"/>
      <c r="CJ657" s="178"/>
      <c r="CK657" s="178"/>
      <c r="CL657" s="178"/>
      <c r="CM657" s="178"/>
      <c r="CN657" s="178"/>
      <c r="CO657" s="178"/>
      <c r="CP657" s="178"/>
      <c r="CQ657" s="178"/>
      <c r="CR657" s="178"/>
      <c r="CS657" s="178"/>
      <c r="CT657" s="178"/>
      <c r="CU657" s="178"/>
      <c r="CV657" s="178"/>
      <c r="CW657" s="178"/>
      <c r="CX657" s="178"/>
      <c r="CY657" s="178"/>
      <c r="CZ657" s="178"/>
      <c r="DA657" s="150"/>
    </row>
    <row r="658" spans="53:105" x14ac:dyDescent="0.2">
      <c r="BA658" s="518">
        <f t="shared" ca="1" si="43"/>
        <v>61</v>
      </c>
      <c r="BB658" s="174">
        <f t="shared" ca="1" si="44"/>
        <v>595</v>
      </c>
      <c r="BC658" s="525" t="e">
        <f ca="1">MATCH(BD658,OFFSET(Pinlist!$A$2,BC657*(BA658=BA657),0,$BM$23,1),0)+BC657*(BA658=BA657)</f>
        <v>#N/A</v>
      </c>
      <c r="BD658" s="167">
        <f t="shared" ca="1" si="45"/>
        <v>0</v>
      </c>
      <c r="BE658" s="191" t="e">
        <f ca="1">(OFFSET(Pinlist!$E$1,BC658,0)-$BN$16)*$BN$19</f>
        <v>#N/A</v>
      </c>
      <c r="BF658" s="192" t="e">
        <f ca="1">(OFFSET(Pinlist!$F$1,BC658,0)-$BO$16)*$BO$19</f>
        <v>#N/A</v>
      </c>
      <c r="BG658" s="1098" t="str">
        <f ca="1">IF(LEFT(BD658,2)="RF",OFFSET(Pinlist!$D$1,Chart!BC658,0)&amp;"_"&amp;OFFSET(Pinlist!$G$1,Chart!BC658,0),"")</f>
        <v/>
      </c>
      <c r="BH658" s="1098"/>
      <c r="BI658" s="178"/>
      <c r="BJ658" s="178"/>
      <c r="BK658" s="178"/>
      <c r="BL658" s="178"/>
      <c r="BM658" s="178"/>
      <c r="BN658" s="178"/>
      <c r="BO658" s="178"/>
      <c r="BP658" s="178"/>
      <c r="BQ658" s="196"/>
      <c r="BR658" s="196"/>
      <c r="BS658" s="196"/>
      <c r="BT658" s="196"/>
      <c r="BU658" s="196"/>
      <c r="BV658" s="196"/>
      <c r="BW658" s="178"/>
      <c r="BX658" s="196"/>
      <c r="BY658" s="196"/>
      <c r="BZ658" s="196"/>
      <c r="CA658" s="196"/>
      <c r="CB658" s="178"/>
      <c r="CC658" s="178"/>
      <c r="CD658" s="202"/>
      <c r="CE658" s="202"/>
      <c r="CF658" s="178"/>
      <c r="CG658" s="196"/>
      <c r="CH658" s="178"/>
      <c r="CI658" s="178"/>
      <c r="CJ658" s="178"/>
      <c r="CK658" s="178"/>
      <c r="CL658" s="178"/>
      <c r="CM658" s="178"/>
      <c r="CN658" s="178"/>
      <c r="CO658" s="178"/>
      <c r="CP658" s="178"/>
      <c r="CQ658" s="178"/>
      <c r="CR658" s="178"/>
      <c r="CS658" s="178"/>
      <c r="CT658" s="178"/>
      <c r="CU658" s="178"/>
      <c r="CV658" s="178"/>
      <c r="CW658" s="178"/>
      <c r="CX658" s="178"/>
      <c r="CY658" s="178"/>
      <c r="CZ658" s="178"/>
      <c r="DA658" s="150"/>
    </row>
    <row r="659" spans="53:105" x14ac:dyDescent="0.2">
      <c r="BA659" s="518">
        <f t="shared" ca="1" si="43"/>
        <v>61</v>
      </c>
      <c r="BB659" s="174">
        <f t="shared" ca="1" si="44"/>
        <v>596</v>
      </c>
      <c r="BC659" s="525" t="e">
        <f ca="1">MATCH(BD659,OFFSET(Pinlist!$A$2,BC658*(BA659=BA658),0,$BM$23,1),0)+BC658*(BA659=BA658)</f>
        <v>#N/A</v>
      </c>
      <c r="BD659" s="167">
        <f t="shared" ca="1" si="45"/>
        <v>0</v>
      </c>
      <c r="BE659" s="191" t="e">
        <f ca="1">(OFFSET(Pinlist!$E$1,BC659,0)-$BN$16)*$BN$19</f>
        <v>#N/A</v>
      </c>
      <c r="BF659" s="192" t="e">
        <f ca="1">(OFFSET(Pinlist!$F$1,BC659,0)-$BO$16)*$BO$19</f>
        <v>#N/A</v>
      </c>
      <c r="BG659" s="1098" t="str">
        <f ca="1">IF(LEFT(BD659,2)="RF",OFFSET(Pinlist!$D$1,Chart!BC659,0)&amp;"_"&amp;OFFSET(Pinlist!$G$1,Chart!BC659,0),"")</f>
        <v/>
      </c>
      <c r="BH659" s="1098"/>
      <c r="BI659" s="178"/>
      <c r="BJ659" s="178"/>
      <c r="BK659" s="178"/>
      <c r="BL659" s="178"/>
      <c r="BM659" s="178"/>
      <c r="BN659" s="178"/>
      <c r="BO659" s="178"/>
      <c r="BP659" s="178"/>
      <c r="BQ659" s="196"/>
      <c r="BR659" s="196"/>
      <c r="BS659" s="196"/>
      <c r="BT659" s="196"/>
      <c r="BU659" s="196"/>
      <c r="BV659" s="196"/>
      <c r="BW659" s="178"/>
      <c r="BX659" s="196"/>
      <c r="BY659" s="196"/>
      <c r="BZ659" s="196"/>
      <c r="CA659" s="196"/>
      <c r="CB659" s="178"/>
      <c r="CC659" s="178"/>
      <c r="CD659" s="202"/>
      <c r="CE659" s="202"/>
      <c r="CF659" s="178"/>
      <c r="CG659" s="196"/>
      <c r="CH659" s="178"/>
      <c r="CI659" s="178"/>
      <c r="CJ659" s="178"/>
      <c r="CK659" s="178"/>
      <c r="CL659" s="178"/>
      <c r="CM659" s="178"/>
      <c r="CN659" s="178"/>
      <c r="CO659" s="178"/>
      <c r="CP659" s="178"/>
      <c r="CQ659" s="178"/>
      <c r="CR659" s="178"/>
      <c r="CS659" s="178"/>
      <c r="CT659" s="178"/>
      <c r="CU659" s="178"/>
      <c r="CV659" s="178"/>
      <c r="CW659" s="178"/>
      <c r="CX659" s="178"/>
      <c r="CY659" s="178"/>
      <c r="CZ659" s="178"/>
      <c r="DA659" s="150"/>
    </row>
    <row r="660" spans="53:105" x14ac:dyDescent="0.2">
      <c r="BA660" s="518">
        <f t="shared" ca="1" si="43"/>
        <v>61</v>
      </c>
      <c r="BB660" s="174">
        <f t="shared" ca="1" si="44"/>
        <v>597</v>
      </c>
      <c r="BC660" s="525" t="e">
        <f ca="1">MATCH(BD660,OFFSET(Pinlist!$A$2,BC659*(BA660=BA659),0,$BM$23,1),0)+BC659*(BA660=BA659)</f>
        <v>#N/A</v>
      </c>
      <c r="BD660" s="167">
        <f t="shared" ca="1" si="45"/>
        <v>0</v>
      </c>
      <c r="BE660" s="191" t="e">
        <f ca="1">(OFFSET(Pinlist!$E$1,BC660,0)-$BN$16)*$BN$19</f>
        <v>#N/A</v>
      </c>
      <c r="BF660" s="192" t="e">
        <f ca="1">(OFFSET(Pinlist!$F$1,BC660,0)-$BO$16)*$BO$19</f>
        <v>#N/A</v>
      </c>
      <c r="BG660" s="1098" t="str">
        <f ca="1">IF(LEFT(BD660,2)="RF",OFFSET(Pinlist!$D$1,Chart!BC660,0)&amp;"_"&amp;OFFSET(Pinlist!$G$1,Chart!BC660,0),"")</f>
        <v/>
      </c>
      <c r="BH660" s="1098"/>
      <c r="BI660" s="178"/>
      <c r="BJ660" s="178"/>
      <c r="BK660" s="178"/>
      <c r="BL660" s="178"/>
      <c r="BM660" s="178"/>
      <c r="BN660" s="178"/>
      <c r="BO660" s="178"/>
      <c r="BP660" s="178"/>
      <c r="BQ660" s="196"/>
      <c r="BR660" s="196"/>
      <c r="BS660" s="196"/>
      <c r="BT660" s="196"/>
      <c r="BU660" s="196"/>
      <c r="BV660" s="196"/>
      <c r="BW660" s="178"/>
      <c r="BX660" s="196"/>
      <c r="BY660" s="196"/>
      <c r="BZ660" s="196"/>
      <c r="CA660" s="196"/>
      <c r="CB660" s="178"/>
      <c r="CC660" s="178"/>
      <c r="CD660" s="202"/>
      <c r="CE660" s="202"/>
      <c r="CF660" s="178"/>
      <c r="CG660" s="196"/>
      <c r="CH660" s="178"/>
      <c r="CI660" s="178"/>
      <c r="CJ660" s="178"/>
      <c r="CK660" s="178"/>
      <c r="CL660" s="178"/>
      <c r="CM660" s="178"/>
      <c r="CN660" s="178"/>
      <c r="CO660" s="178"/>
      <c r="CP660" s="178"/>
      <c r="CQ660" s="178"/>
      <c r="CR660" s="178"/>
      <c r="CS660" s="178"/>
      <c r="CT660" s="178"/>
      <c r="CU660" s="178"/>
      <c r="CV660" s="178"/>
      <c r="CW660" s="178"/>
      <c r="CX660" s="178"/>
      <c r="CY660" s="178"/>
      <c r="CZ660" s="178"/>
      <c r="DA660" s="150"/>
    </row>
    <row r="661" spans="53:105" x14ac:dyDescent="0.2">
      <c r="BA661" s="518">
        <f t="shared" ca="1" si="43"/>
        <v>61</v>
      </c>
      <c r="BB661" s="174">
        <f t="shared" ca="1" si="44"/>
        <v>598</v>
      </c>
      <c r="BC661" s="525" t="e">
        <f ca="1">MATCH(BD661,OFFSET(Pinlist!$A$2,BC660*(BA661=BA660),0,$BM$23,1),0)+BC660*(BA661=BA660)</f>
        <v>#N/A</v>
      </c>
      <c r="BD661" s="167">
        <f t="shared" ca="1" si="45"/>
        <v>0</v>
      </c>
      <c r="BE661" s="191" t="e">
        <f ca="1">(OFFSET(Pinlist!$E$1,BC661,0)-$BN$16)*$BN$19</f>
        <v>#N/A</v>
      </c>
      <c r="BF661" s="192" t="e">
        <f ca="1">(OFFSET(Pinlist!$F$1,BC661,0)-$BO$16)*$BO$19</f>
        <v>#N/A</v>
      </c>
      <c r="BG661" s="1098" t="str">
        <f ca="1">IF(LEFT(BD661,2)="RF",OFFSET(Pinlist!$D$1,Chart!BC661,0)&amp;"_"&amp;OFFSET(Pinlist!$G$1,Chart!BC661,0),"")</f>
        <v/>
      </c>
      <c r="BH661" s="1098"/>
      <c r="BI661" s="178"/>
      <c r="BJ661" s="178"/>
      <c r="BK661" s="178"/>
      <c r="BL661" s="178"/>
      <c r="BM661" s="178"/>
      <c r="BN661" s="178"/>
      <c r="BO661" s="178"/>
      <c r="BP661" s="178"/>
      <c r="BQ661" s="196"/>
      <c r="BR661" s="196"/>
      <c r="BS661" s="196"/>
      <c r="BT661" s="196"/>
      <c r="BU661" s="196"/>
      <c r="BV661" s="196"/>
      <c r="BW661" s="178"/>
      <c r="BX661" s="196"/>
      <c r="BY661" s="196"/>
      <c r="BZ661" s="196"/>
      <c r="CA661" s="196"/>
      <c r="CB661" s="178"/>
      <c r="CC661" s="178"/>
      <c r="CD661" s="202"/>
      <c r="CE661" s="202"/>
      <c r="CF661" s="178"/>
      <c r="CG661" s="196"/>
      <c r="CH661" s="178"/>
      <c r="CI661" s="178"/>
      <c r="CJ661" s="178"/>
      <c r="CK661" s="178"/>
      <c r="CL661" s="178"/>
      <c r="CM661" s="178"/>
      <c r="CN661" s="178"/>
      <c r="CO661" s="178"/>
      <c r="CP661" s="178"/>
      <c r="CQ661" s="178"/>
      <c r="CR661" s="178"/>
      <c r="CS661" s="178"/>
      <c r="CT661" s="178"/>
      <c r="CU661" s="178"/>
      <c r="CV661" s="178"/>
      <c r="CW661" s="178"/>
      <c r="CX661" s="178"/>
      <c r="CY661" s="178"/>
      <c r="CZ661" s="178"/>
      <c r="DA661" s="150"/>
    </row>
    <row r="662" spans="53:105" x14ac:dyDescent="0.2">
      <c r="BA662" s="518">
        <f t="shared" ca="1" si="43"/>
        <v>61</v>
      </c>
      <c r="BB662" s="174">
        <f t="shared" ca="1" si="44"/>
        <v>599</v>
      </c>
      <c r="BC662" s="525" t="e">
        <f ca="1">MATCH(BD662,OFFSET(Pinlist!$A$2,BC661*(BA662=BA661),0,$BM$23,1),0)+BC661*(BA662=BA661)</f>
        <v>#N/A</v>
      </c>
      <c r="BD662" s="167">
        <f t="shared" ca="1" si="45"/>
        <v>0</v>
      </c>
      <c r="BE662" s="191" t="e">
        <f ca="1">(OFFSET(Pinlist!$E$1,BC662,0)-$BN$16)*$BN$19</f>
        <v>#N/A</v>
      </c>
      <c r="BF662" s="192" t="e">
        <f ca="1">(OFFSET(Pinlist!$F$1,BC662,0)-$BO$16)*$BO$19</f>
        <v>#N/A</v>
      </c>
      <c r="BG662" s="1098" t="str">
        <f ca="1">IF(LEFT(BD662,2)="RF",OFFSET(Pinlist!$D$1,Chart!BC662,0)&amp;"_"&amp;OFFSET(Pinlist!$G$1,Chart!BC662,0),"")</f>
        <v/>
      </c>
      <c r="BH662" s="1098"/>
      <c r="BI662" s="178"/>
      <c r="BJ662" s="178"/>
      <c r="BK662" s="178"/>
      <c r="BL662" s="178"/>
      <c r="BM662" s="178"/>
      <c r="BN662" s="178"/>
      <c r="BO662" s="178"/>
      <c r="BP662" s="178"/>
      <c r="BQ662" s="196"/>
      <c r="BR662" s="196"/>
      <c r="BS662" s="196"/>
      <c r="BT662" s="196"/>
      <c r="BU662" s="196"/>
      <c r="BV662" s="196"/>
      <c r="BW662" s="178"/>
      <c r="BX662" s="196"/>
      <c r="BY662" s="196"/>
      <c r="BZ662" s="196"/>
      <c r="CA662" s="196"/>
      <c r="CB662" s="178"/>
      <c r="CC662" s="178"/>
      <c r="CD662" s="202"/>
      <c r="CE662" s="202"/>
      <c r="CF662" s="178"/>
      <c r="CG662" s="196"/>
      <c r="CH662" s="178"/>
      <c r="CI662" s="178"/>
      <c r="CJ662" s="178"/>
      <c r="CK662" s="178"/>
      <c r="CL662" s="178"/>
      <c r="CM662" s="178"/>
      <c r="CN662" s="178"/>
      <c r="CO662" s="178"/>
      <c r="CP662" s="178"/>
      <c r="CQ662" s="178"/>
      <c r="CR662" s="178"/>
      <c r="CS662" s="178"/>
      <c r="CT662" s="178"/>
      <c r="CU662" s="178"/>
      <c r="CV662" s="178"/>
      <c r="CW662" s="178"/>
      <c r="CX662" s="178"/>
      <c r="CY662" s="178"/>
      <c r="CZ662" s="178"/>
      <c r="DA662" s="150"/>
    </row>
    <row r="663" spans="53:105" x14ac:dyDescent="0.2">
      <c r="BA663" s="518">
        <f t="shared" ca="1" si="43"/>
        <v>61</v>
      </c>
      <c r="BB663" s="174">
        <f t="shared" ca="1" si="44"/>
        <v>600</v>
      </c>
      <c r="BC663" s="525" t="e">
        <f ca="1">MATCH(BD663,OFFSET(Pinlist!$A$2,BC662*(BA663=BA662),0,$BM$23,1),0)+BC662*(BA663=BA662)</f>
        <v>#N/A</v>
      </c>
      <c r="BD663" s="167">
        <f t="shared" ca="1" si="45"/>
        <v>0</v>
      </c>
      <c r="BE663" s="191" t="e">
        <f ca="1">(OFFSET(Pinlist!$E$1,BC663,0)-$BN$16)*$BN$19</f>
        <v>#N/A</v>
      </c>
      <c r="BF663" s="192" t="e">
        <f ca="1">(OFFSET(Pinlist!$F$1,BC663,0)-$BO$16)*$BO$19</f>
        <v>#N/A</v>
      </c>
      <c r="BG663" s="1098" t="str">
        <f ca="1">IF(LEFT(BD663,2)="RF",OFFSET(Pinlist!$D$1,Chart!BC663,0)&amp;"_"&amp;OFFSET(Pinlist!$G$1,Chart!BC663,0),"")</f>
        <v/>
      </c>
      <c r="BH663" s="1098"/>
      <c r="BI663" s="178"/>
      <c r="BJ663" s="178"/>
      <c r="BK663" s="178"/>
      <c r="BL663" s="178"/>
      <c r="BM663" s="178"/>
      <c r="BN663" s="178"/>
      <c r="BO663" s="178"/>
      <c r="BP663" s="178"/>
      <c r="BQ663" s="196"/>
      <c r="BR663" s="196"/>
      <c r="BS663" s="196"/>
      <c r="BT663" s="196"/>
      <c r="BU663" s="196"/>
      <c r="BV663" s="196"/>
      <c r="BW663" s="178"/>
      <c r="BX663" s="196"/>
      <c r="BY663" s="196"/>
      <c r="BZ663" s="196"/>
      <c r="CA663" s="196"/>
      <c r="CB663" s="178"/>
      <c r="CC663" s="178"/>
      <c r="CD663" s="202"/>
      <c r="CE663" s="202"/>
      <c r="CF663" s="178"/>
      <c r="CG663" s="196"/>
      <c r="CH663" s="178"/>
      <c r="CI663" s="178"/>
      <c r="CJ663" s="178"/>
      <c r="CK663" s="178"/>
      <c r="CL663" s="178"/>
      <c r="CM663" s="178"/>
      <c r="CN663" s="178"/>
      <c r="CO663" s="178"/>
      <c r="CP663" s="178"/>
      <c r="CQ663" s="178"/>
      <c r="CR663" s="178"/>
      <c r="CS663" s="178"/>
      <c r="CT663" s="178"/>
      <c r="CU663" s="178"/>
      <c r="CV663" s="178"/>
      <c r="CW663" s="178"/>
      <c r="CX663" s="178"/>
      <c r="CY663" s="178"/>
      <c r="CZ663" s="178"/>
      <c r="DA663" s="150"/>
    </row>
    <row r="664" spans="53:105" x14ac:dyDescent="0.2">
      <c r="BA664" s="518">
        <f t="shared" ca="1" si="43"/>
        <v>61</v>
      </c>
      <c r="BB664" s="174">
        <f t="shared" ca="1" si="44"/>
        <v>601</v>
      </c>
      <c r="BC664" s="525" t="e">
        <f ca="1">MATCH(BD664,OFFSET(Pinlist!$A$2,BC663*(BA664=BA663),0,$BM$23,1),0)+BC663*(BA664=BA663)</f>
        <v>#N/A</v>
      </c>
      <c r="BD664" s="167">
        <f t="shared" ca="1" si="45"/>
        <v>0</v>
      </c>
      <c r="BE664" s="191" t="e">
        <f ca="1">(OFFSET(Pinlist!$E$1,BC664,0)-$BN$16)*$BN$19</f>
        <v>#N/A</v>
      </c>
      <c r="BF664" s="192" t="e">
        <f ca="1">(OFFSET(Pinlist!$F$1,BC664,0)-$BO$16)*$BO$19</f>
        <v>#N/A</v>
      </c>
      <c r="BG664" s="1098" t="str">
        <f ca="1">IF(LEFT(BD664,2)="RF",OFFSET(Pinlist!$D$1,Chart!BC664,0)&amp;"_"&amp;OFFSET(Pinlist!$G$1,Chart!BC664,0),"")</f>
        <v/>
      </c>
      <c r="BH664" s="1098"/>
      <c r="BI664" s="178"/>
      <c r="BJ664" s="178"/>
      <c r="BK664" s="178"/>
      <c r="BL664" s="178"/>
      <c r="BM664" s="178"/>
      <c r="BN664" s="178"/>
      <c r="BO664" s="178"/>
      <c r="BP664" s="178"/>
      <c r="BQ664" s="196"/>
      <c r="BR664" s="196"/>
      <c r="BS664" s="196"/>
      <c r="BT664" s="196"/>
      <c r="BU664" s="196"/>
      <c r="BV664" s="196"/>
      <c r="BW664" s="178"/>
      <c r="BX664" s="196"/>
      <c r="BY664" s="196"/>
      <c r="BZ664" s="196"/>
      <c r="CA664" s="196"/>
      <c r="CB664" s="178"/>
      <c r="CC664" s="178"/>
      <c r="CD664" s="202"/>
      <c r="CE664" s="202"/>
      <c r="CF664" s="178"/>
      <c r="CG664" s="196"/>
      <c r="CH664" s="178"/>
      <c r="CI664" s="178"/>
      <c r="CJ664" s="178"/>
      <c r="CK664" s="178"/>
      <c r="CL664" s="178"/>
      <c r="CM664" s="178"/>
      <c r="CN664" s="178"/>
      <c r="CO664" s="178"/>
      <c r="CP664" s="178"/>
      <c r="CQ664" s="178"/>
      <c r="CR664" s="178"/>
      <c r="CS664" s="178"/>
      <c r="CT664" s="178"/>
      <c r="CU664" s="178"/>
      <c r="CV664" s="178"/>
      <c r="CW664" s="178"/>
      <c r="CX664" s="178"/>
      <c r="CY664" s="178"/>
      <c r="CZ664" s="178"/>
      <c r="DA664" s="150"/>
    </row>
    <row r="665" spans="53:105" x14ac:dyDescent="0.2">
      <c r="BA665" s="518">
        <f t="shared" ca="1" si="43"/>
        <v>61</v>
      </c>
      <c r="BB665" s="174">
        <f t="shared" ca="1" si="44"/>
        <v>602</v>
      </c>
      <c r="BC665" s="525" t="e">
        <f ca="1">MATCH(BD665,OFFSET(Pinlist!$A$2,BC664*(BA665=BA664),0,$BM$23,1),0)+BC664*(BA665=BA664)</f>
        <v>#N/A</v>
      </c>
      <c r="BD665" s="167">
        <f t="shared" ca="1" si="45"/>
        <v>0</v>
      </c>
      <c r="BE665" s="191" t="e">
        <f ca="1">(OFFSET(Pinlist!$E$1,BC665,0)-$BN$16)*$BN$19</f>
        <v>#N/A</v>
      </c>
      <c r="BF665" s="192" t="e">
        <f ca="1">(OFFSET(Pinlist!$F$1,BC665,0)-$BO$16)*$BO$19</f>
        <v>#N/A</v>
      </c>
      <c r="BG665" s="1098" t="str">
        <f ca="1">IF(LEFT(BD665,2)="RF",OFFSET(Pinlist!$D$1,Chart!BC665,0)&amp;"_"&amp;OFFSET(Pinlist!$G$1,Chart!BC665,0),"")</f>
        <v/>
      </c>
      <c r="BH665" s="1098"/>
      <c r="BI665" s="178"/>
      <c r="BJ665" s="178"/>
      <c r="BK665" s="178"/>
      <c r="BL665" s="178"/>
      <c r="BM665" s="178"/>
      <c r="BN665" s="178"/>
      <c r="BO665" s="178"/>
      <c r="BP665" s="178"/>
      <c r="BQ665" s="196"/>
      <c r="BR665" s="196"/>
      <c r="BS665" s="196"/>
      <c r="BT665" s="196"/>
      <c r="BU665" s="196"/>
      <c r="BV665" s="196"/>
      <c r="BW665" s="178"/>
      <c r="BX665" s="196"/>
      <c r="BY665" s="196"/>
      <c r="BZ665" s="196"/>
      <c r="CA665" s="196"/>
      <c r="CB665" s="178"/>
      <c r="CC665" s="178"/>
      <c r="CD665" s="202"/>
      <c r="CE665" s="202"/>
      <c r="CF665" s="178"/>
      <c r="CG665" s="196"/>
      <c r="CH665" s="178"/>
      <c r="CI665" s="178"/>
      <c r="CJ665" s="178"/>
      <c r="CK665" s="178"/>
      <c r="CL665" s="178"/>
      <c r="CM665" s="178"/>
      <c r="CN665" s="178"/>
      <c r="CO665" s="178"/>
      <c r="CP665" s="178"/>
      <c r="CQ665" s="178"/>
      <c r="CR665" s="178"/>
      <c r="CS665" s="178"/>
      <c r="CT665" s="178"/>
      <c r="CU665" s="178"/>
      <c r="CV665" s="178"/>
      <c r="CW665" s="178"/>
      <c r="CX665" s="178"/>
      <c r="CY665" s="178"/>
      <c r="CZ665" s="178"/>
      <c r="DA665" s="150"/>
    </row>
    <row r="666" spans="53:105" x14ac:dyDescent="0.2">
      <c r="BA666" s="518">
        <f t="shared" ca="1" si="43"/>
        <v>61</v>
      </c>
      <c r="BB666" s="174">
        <f t="shared" ca="1" si="44"/>
        <v>603</v>
      </c>
      <c r="BC666" s="525" t="e">
        <f ca="1">MATCH(BD666,OFFSET(Pinlist!$A$2,BC665*(BA666=BA665),0,$BM$23,1),0)+BC665*(BA666=BA665)</f>
        <v>#N/A</v>
      </c>
      <c r="BD666" s="167">
        <f t="shared" ca="1" si="45"/>
        <v>0</v>
      </c>
      <c r="BE666" s="191" t="e">
        <f ca="1">(OFFSET(Pinlist!$E$1,BC666,0)-$BN$16)*$BN$19</f>
        <v>#N/A</v>
      </c>
      <c r="BF666" s="192" t="e">
        <f ca="1">(OFFSET(Pinlist!$F$1,BC666,0)-$BO$16)*$BO$19</f>
        <v>#N/A</v>
      </c>
      <c r="BG666" s="1098" t="str">
        <f ca="1">IF(LEFT(BD666,2)="RF",OFFSET(Pinlist!$D$1,Chart!BC666,0)&amp;"_"&amp;OFFSET(Pinlist!$G$1,Chart!BC666,0),"")</f>
        <v/>
      </c>
      <c r="BH666" s="1098"/>
      <c r="BI666" s="178"/>
      <c r="BJ666" s="178"/>
      <c r="BK666" s="178"/>
      <c r="BL666" s="178"/>
      <c r="BM666" s="178"/>
      <c r="BN666" s="178"/>
      <c r="BO666" s="178"/>
      <c r="BP666" s="178"/>
      <c r="BQ666" s="196"/>
      <c r="BR666" s="196"/>
      <c r="BS666" s="196"/>
      <c r="BT666" s="196"/>
      <c r="BU666" s="196"/>
      <c r="BV666" s="196"/>
      <c r="BW666" s="178"/>
      <c r="BX666" s="196"/>
      <c r="BY666" s="196"/>
      <c r="BZ666" s="196"/>
      <c r="CA666" s="196"/>
      <c r="CB666" s="178"/>
      <c r="CC666" s="178"/>
      <c r="CD666" s="202"/>
      <c r="CE666" s="202"/>
      <c r="CF666" s="178"/>
      <c r="CG666" s="196"/>
      <c r="CH666" s="178"/>
      <c r="CI666" s="178"/>
      <c r="CJ666" s="178"/>
      <c r="CK666" s="178"/>
      <c r="CL666" s="178"/>
      <c r="CM666" s="178"/>
      <c r="CN666" s="178"/>
      <c r="CO666" s="178"/>
      <c r="CP666" s="178"/>
      <c r="CQ666" s="178"/>
      <c r="CR666" s="178"/>
      <c r="CS666" s="178"/>
      <c r="CT666" s="178"/>
      <c r="CU666" s="178"/>
      <c r="CV666" s="178"/>
      <c r="CW666" s="178"/>
      <c r="CX666" s="178"/>
      <c r="CY666" s="178"/>
      <c r="CZ666" s="178"/>
      <c r="DA666" s="150"/>
    </row>
    <row r="667" spans="53:105" x14ac:dyDescent="0.2">
      <c r="BA667" s="518">
        <f t="shared" ca="1" si="43"/>
        <v>61</v>
      </c>
      <c r="BB667" s="174">
        <f t="shared" ca="1" si="44"/>
        <v>604</v>
      </c>
      <c r="BC667" s="525" t="e">
        <f ca="1">MATCH(BD667,OFFSET(Pinlist!$A$2,BC666*(BA667=BA666),0,$BM$23,1),0)+BC666*(BA667=BA666)</f>
        <v>#N/A</v>
      </c>
      <c r="BD667" s="167">
        <f t="shared" ca="1" si="45"/>
        <v>0</v>
      </c>
      <c r="BE667" s="191" t="e">
        <f ca="1">(OFFSET(Pinlist!$E$1,BC667,0)-$BN$16)*$BN$19</f>
        <v>#N/A</v>
      </c>
      <c r="BF667" s="192" t="e">
        <f ca="1">(OFFSET(Pinlist!$F$1,BC667,0)-$BO$16)*$BO$19</f>
        <v>#N/A</v>
      </c>
      <c r="BG667" s="1098" t="str">
        <f ca="1">IF(LEFT(BD667,2)="RF",OFFSET(Pinlist!$D$1,Chart!BC667,0)&amp;"_"&amp;OFFSET(Pinlist!$G$1,Chart!BC667,0),"")</f>
        <v/>
      </c>
      <c r="BH667" s="1098"/>
      <c r="BI667" s="178"/>
      <c r="BJ667" s="178"/>
      <c r="BK667" s="178"/>
      <c r="BL667" s="178"/>
      <c r="BM667" s="178"/>
      <c r="BN667" s="178"/>
      <c r="BO667" s="178"/>
      <c r="BP667" s="178"/>
      <c r="BQ667" s="196"/>
      <c r="BR667" s="196"/>
      <c r="BS667" s="196"/>
      <c r="BT667" s="196"/>
      <c r="BU667" s="196"/>
      <c r="BV667" s="196"/>
      <c r="BW667" s="178"/>
      <c r="BX667" s="196"/>
      <c r="BY667" s="196"/>
      <c r="BZ667" s="196"/>
      <c r="CA667" s="196"/>
      <c r="CB667" s="178"/>
      <c r="CC667" s="178"/>
      <c r="CD667" s="202"/>
      <c r="CE667" s="202"/>
      <c r="CF667" s="178"/>
      <c r="CG667" s="196"/>
      <c r="CH667" s="178"/>
      <c r="CI667" s="178"/>
      <c r="CJ667" s="178"/>
      <c r="CK667" s="178"/>
      <c r="CL667" s="178"/>
      <c r="CM667" s="178"/>
      <c r="CN667" s="178"/>
      <c r="CO667" s="178"/>
      <c r="CP667" s="178"/>
      <c r="CQ667" s="178"/>
      <c r="CR667" s="178"/>
      <c r="CS667" s="178"/>
      <c r="CT667" s="178"/>
      <c r="CU667" s="178"/>
      <c r="CV667" s="178"/>
      <c r="CW667" s="178"/>
      <c r="CX667" s="178"/>
      <c r="CY667" s="178"/>
      <c r="CZ667" s="178"/>
      <c r="DA667" s="150"/>
    </row>
    <row r="668" spans="53:105" x14ac:dyDescent="0.2">
      <c r="BA668" s="518">
        <f t="shared" ca="1" si="43"/>
        <v>61</v>
      </c>
      <c r="BB668" s="174">
        <f t="shared" ca="1" si="44"/>
        <v>605</v>
      </c>
      <c r="BC668" s="525" t="e">
        <f ca="1">MATCH(BD668,OFFSET(Pinlist!$A$2,BC667*(BA668=BA667),0,$BM$23,1),0)+BC667*(BA668=BA667)</f>
        <v>#N/A</v>
      </c>
      <c r="BD668" s="167">
        <f t="shared" ca="1" si="45"/>
        <v>0</v>
      </c>
      <c r="BE668" s="191" t="e">
        <f ca="1">(OFFSET(Pinlist!$E$1,BC668,0)-$BN$16)*$BN$19</f>
        <v>#N/A</v>
      </c>
      <c r="BF668" s="192" t="e">
        <f ca="1">(OFFSET(Pinlist!$F$1,BC668,0)-$BO$16)*$BO$19</f>
        <v>#N/A</v>
      </c>
      <c r="BG668" s="1098" t="str">
        <f ca="1">IF(LEFT(BD668,2)="RF",OFFSET(Pinlist!$D$1,Chart!BC668,0)&amp;"_"&amp;OFFSET(Pinlist!$G$1,Chart!BC668,0),"")</f>
        <v/>
      </c>
      <c r="BH668" s="1098"/>
      <c r="BI668" s="178"/>
      <c r="BJ668" s="178"/>
      <c r="BK668" s="178"/>
      <c r="BL668" s="178"/>
      <c r="BM668" s="178"/>
      <c r="BN668" s="178"/>
      <c r="BO668" s="178"/>
      <c r="BP668" s="178"/>
      <c r="BQ668" s="196"/>
      <c r="BR668" s="196"/>
      <c r="BS668" s="196"/>
      <c r="BT668" s="196"/>
      <c r="BU668" s="196"/>
      <c r="BV668" s="196"/>
      <c r="BW668" s="178"/>
      <c r="BX668" s="196"/>
      <c r="BY668" s="196"/>
      <c r="BZ668" s="196"/>
      <c r="CA668" s="196"/>
      <c r="CB668" s="178"/>
      <c r="CC668" s="178"/>
      <c r="CD668" s="202"/>
      <c r="CE668" s="202"/>
      <c r="CF668" s="178"/>
      <c r="CG668" s="196"/>
      <c r="CH668" s="178"/>
      <c r="CI668" s="178"/>
      <c r="CJ668" s="178"/>
      <c r="CK668" s="178"/>
      <c r="CL668" s="178"/>
      <c r="CM668" s="178"/>
      <c r="CN668" s="178"/>
      <c r="CO668" s="178"/>
      <c r="CP668" s="178"/>
      <c r="CQ668" s="178"/>
      <c r="CR668" s="178"/>
      <c r="CS668" s="178"/>
      <c r="CT668" s="178"/>
      <c r="CU668" s="178"/>
      <c r="CV668" s="178"/>
      <c r="CW668" s="178"/>
      <c r="CX668" s="178"/>
      <c r="CY668" s="178"/>
      <c r="CZ668" s="178"/>
      <c r="DA668" s="150"/>
    </row>
    <row r="669" spans="53:105" x14ac:dyDescent="0.2">
      <c r="BA669" s="518">
        <f t="shared" ca="1" si="43"/>
        <v>61</v>
      </c>
      <c r="BB669" s="174">
        <f t="shared" ca="1" si="44"/>
        <v>606</v>
      </c>
      <c r="BC669" s="525" t="e">
        <f ca="1">MATCH(BD669,OFFSET(Pinlist!$A$2,BC668*(BA669=BA668),0,$BM$23,1),0)+BC668*(BA669=BA668)</f>
        <v>#N/A</v>
      </c>
      <c r="BD669" s="167">
        <f t="shared" ca="1" si="45"/>
        <v>0</v>
      </c>
      <c r="BE669" s="191" t="e">
        <f ca="1">(OFFSET(Pinlist!$E$1,BC669,0)-$BN$16)*$BN$19</f>
        <v>#N/A</v>
      </c>
      <c r="BF669" s="192" t="e">
        <f ca="1">(OFFSET(Pinlist!$F$1,BC669,0)-$BO$16)*$BO$19</f>
        <v>#N/A</v>
      </c>
      <c r="BG669" s="1098" t="str">
        <f ca="1">IF(LEFT(BD669,2)="RF",OFFSET(Pinlist!$D$1,Chart!BC669,0)&amp;"_"&amp;OFFSET(Pinlist!$G$1,Chart!BC669,0),"")</f>
        <v/>
      </c>
      <c r="BH669" s="1098"/>
      <c r="BI669" s="178"/>
      <c r="BJ669" s="178"/>
      <c r="BK669" s="178"/>
      <c r="BL669" s="178"/>
      <c r="BM669" s="178"/>
      <c r="BN669" s="178"/>
      <c r="BO669" s="178"/>
      <c r="BP669" s="178"/>
      <c r="BQ669" s="196"/>
      <c r="BR669" s="196"/>
      <c r="BS669" s="196"/>
      <c r="BT669" s="196"/>
      <c r="BU669" s="196"/>
      <c r="BV669" s="196"/>
      <c r="BW669" s="178"/>
      <c r="BX669" s="196"/>
      <c r="BY669" s="196"/>
      <c r="BZ669" s="196"/>
      <c r="CA669" s="196"/>
      <c r="CB669" s="178"/>
      <c r="CC669" s="178"/>
      <c r="CD669" s="202"/>
      <c r="CE669" s="202"/>
      <c r="CF669" s="178"/>
      <c r="CG669" s="196"/>
      <c r="CH669" s="178"/>
      <c r="CI669" s="178"/>
      <c r="CJ669" s="178"/>
      <c r="CK669" s="178"/>
      <c r="CL669" s="178"/>
      <c r="CM669" s="178"/>
      <c r="CN669" s="178"/>
      <c r="CO669" s="178"/>
      <c r="CP669" s="178"/>
      <c r="CQ669" s="178"/>
      <c r="CR669" s="178"/>
      <c r="CS669" s="178"/>
      <c r="CT669" s="178"/>
      <c r="CU669" s="178"/>
      <c r="CV669" s="178"/>
      <c r="CW669" s="178"/>
      <c r="CX669" s="178"/>
      <c r="CY669" s="178"/>
      <c r="CZ669" s="178"/>
      <c r="DA669" s="150"/>
    </row>
    <row r="670" spans="53:105" x14ac:dyDescent="0.2">
      <c r="BA670" s="518">
        <f t="shared" ca="1" si="43"/>
        <v>61</v>
      </c>
      <c r="BB670" s="174">
        <f t="shared" ca="1" si="44"/>
        <v>607</v>
      </c>
      <c r="BC670" s="525" t="e">
        <f ca="1">MATCH(BD670,OFFSET(Pinlist!$A$2,BC669*(BA670=BA669),0,$BM$23,1),0)+BC669*(BA670=BA669)</f>
        <v>#N/A</v>
      </c>
      <c r="BD670" s="167">
        <f t="shared" ca="1" si="45"/>
        <v>0</v>
      </c>
      <c r="BE670" s="191" t="e">
        <f ca="1">(OFFSET(Pinlist!$E$1,BC670,0)-$BN$16)*$BN$19</f>
        <v>#N/A</v>
      </c>
      <c r="BF670" s="192" t="e">
        <f ca="1">(OFFSET(Pinlist!$F$1,BC670,0)-$BO$16)*$BO$19</f>
        <v>#N/A</v>
      </c>
      <c r="BG670" s="1098" t="str">
        <f ca="1">IF(LEFT(BD670,2)="RF",OFFSET(Pinlist!$D$1,Chart!BC670,0)&amp;"_"&amp;OFFSET(Pinlist!$G$1,Chart!BC670,0),"")</f>
        <v/>
      </c>
      <c r="BH670" s="1098"/>
      <c r="BI670" s="178"/>
      <c r="BJ670" s="178"/>
      <c r="BK670" s="178"/>
      <c r="BL670" s="178"/>
      <c r="BM670" s="178"/>
      <c r="BN670" s="178"/>
      <c r="BO670" s="178"/>
      <c r="BP670" s="178"/>
      <c r="BQ670" s="196"/>
      <c r="BR670" s="196"/>
      <c r="BS670" s="196"/>
      <c r="BT670" s="196"/>
      <c r="BU670" s="196"/>
      <c r="BV670" s="196"/>
      <c r="BW670" s="178"/>
      <c r="BX670" s="196"/>
      <c r="BY670" s="196"/>
      <c r="BZ670" s="196"/>
      <c r="CA670" s="196"/>
      <c r="CB670" s="178"/>
      <c r="CC670" s="178"/>
      <c r="CD670" s="202"/>
      <c r="CE670" s="202"/>
      <c r="CF670" s="178"/>
      <c r="CG670" s="196"/>
      <c r="CH670" s="178"/>
      <c r="CI670" s="178"/>
      <c r="CJ670" s="178"/>
      <c r="CK670" s="178"/>
      <c r="CL670" s="178"/>
      <c r="CM670" s="178"/>
      <c r="CN670" s="178"/>
      <c r="CO670" s="178"/>
      <c r="CP670" s="178"/>
      <c r="CQ670" s="178"/>
      <c r="CR670" s="178"/>
      <c r="CS670" s="178"/>
      <c r="CT670" s="178"/>
      <c r="CU670" s="178"/>
      <c r="CV670" s="178"/>
      <c r="CW670" s="178"/>
      <c r="CX670" s="178"/>
      <c r="CY670" s="178"/>
      <c r="CZ670" s="178"/>
      <c r="DA670" s="150"/>
    </row>
    <row r="671" spans="53:105" x14ac:dyDescent="0.2">
      <c r="BA671" s="518">
        <f t="shared" ca="1" si="43"/>
        <v>61</v>
      </c>
      <c r="BB671" s="174">
        <f t="shared" ca="1" si="44"/>
        <v>608</v>
      </c>
      <c r="BC671" s="525" t="e">
        <f ca="1">MATCH(BD671,OFFSET(Pinlist!$A$2,BC670*(BA671=BA670),0,$BM$23,1),0)+BC670*(BA671=BA670)</f>
        <v>#N/A</v>
      </c>
      <c r="BD671" s="167">
        <f t="shared" ca="1" si="45"/>
        <v>0</v>
      </c>
      <c r="BE671" s="191" t="e">
        <f ca="1">(OFFSET(Pinlist!$E$1,BC671,0)-$BN$16)*$BN$19</f>
        <v>#N/A</v>
      </c>
      <c r="BF671" s="192" t="e">
        <f ca="1">(OFFSET(Pinlist!$F$1,BC671,0)-$BO$16)*$BO$19</f>
        <v>#N/A</v>
      </c>
      <c r="BG671" s="1098" t="str">
        <f ca="1">IF(LEFT(BD671,2)="RF",OFFSET(Pinlist!$D$1,Chart!BC671,0)&amp;"_"&amp;OFFSET(Pinlist!$G$1,Chart!BC671,0),"")</f>
        <v/>
      </c>
      <c r="BH671" s="1098"/>
      <c r="BI671" s="178"/>
      <c r="BJ671" s="178"/>
      <c r="BK671" s="178"/>
      <c r="BL671" s="178"/>
      <c r="BM671" s="178"/>
      <c r="BN671" s="178"/>
      <c r="BO671" s="178"/>
      <c r="BP671" s="178"/>
      <c r="BQ671" s="196"/>
      <c r="BR671" s="196"/>
      <c r="BS671" s="196"/>
      <c r="BT671" s="196"/>
      <c r="BU671" s="196"/>
      <c r="BV671" s="196"/>
      <c r="BW671" s="178"/>
      <c r="BX671" s="196"/>
      <c r="BY671" s="196"/>
      <c r="BZ671" s="196"/>
      <c r="CA671" s="196"/>
      <c r="CB671" s="178"/>
      <c r="CC671" s="178"/>
      <c r="CD671" s="202"/>
      <c r="CE671" s="202"/>
      <c r="CF671" s="178"/>
      <c r="CG671" s="196"/>
      <c r="CH671" s="178"/>
      <c r="CI671" s="178"/>
      <c r="CJ671" s="178"/>
      <c r="CK671" s="178"/>
      <c r="CL671" s="178"/>
      <c r="CM671" s="178"/>
      <c r="CN671" s="178"/>
      <c r="CO671" s="178"/>
      <c r="CP671" s="178"/>
      <c r="CQ671" s="178"/>
      <c r="CR671" s="178"/>
      <c r="CS671" s="178"/>
      <c r="CT671" s="178"/>
      <c r="CU671" s="178"/>
      <c r="CV671" s="178"/>
      <c r="CW671" s="178"/>
      <c r="CX671" s="178"/>
      <c r="CY671" s="178"/>
      <c r="CZ671" s="178"/>
      <c r="DA671" s="150"/>
    </row>
    <row r="672" spans="53:105" x14ac:dyDescent="0.2">
      <c r="BA672" s="518">
        <f t="shared" ca="1" si="43"/>
        <v>61</v>
      </c>
      <c r="BB672" s="174">
        <f t="shared" ca="1" si="44"/>
        <v>609</v>
      </c>
      <c r="BC672" s="525" t="e">
        <f ca="1">MATCH(BD672,OFFSET(Pinlist!$A$2,BC671*(BA672=BA671),0,$BM$23,1),0)+BC671*(BA672=BA671)</f>
        <v>#N/A</v>
      </c>
      <c r="BD672" s="167">
        <f t="shared" ca="1" si="45"/>
        <v>0</v>
      </c>
      <c r="BE672" s="191" t="e">
        <f ca="1">(OFFSET(Pinlist!$E$1,BC672,0)-$BN$16)*$BN$19</f>
        <v>#N/A</v>
      </c>
      <c r="BF672" s="192" t="e">
        <f ca="1">(OFFSET(Pinlist!$F$1,BC672,0)-$BO$16)*$BO$19</f>
        <v>#N/A</v>
      </c>
      <c r="BG672" s="1098" t="str">
        <f ca="1">IF(LEFT(BD672,2)="RF",OFFSET(Pinlist!$D$1,Chart!BC672,0)&amp;"_"&amp;OFFSET(Pinlist!$G$1,Chart!BC672,0),"")</f>
        <v/>
      </c>
      <c r="BH672" s="1098"/>
      <c r="BI672" s="178"/>
      <c r="BJ672" s="178"/>
      <c r="BK672" s="178"/>
      <c r="BL672" s="178"/>
      <c r="BM672" s="178"/>
      <c r="BN672" s="178"/>
      <c r="BO672" s="178"/>
      <c r="BP672" s="178"/>
      <c r="BQ672" s="196"/>
      <c r="BR672" s="196"/>
      <c r="BS672" s="196"/>
      <c r="BT672" s="196"/>
      <c r="BU672" s="196"/>
      <c r="BV672" s="196"/>
      <c r="BW672" s="178"/>
      <c r="BX672" s="196"/>
      <c r="BY672" s="196"/>
      <c r="BZ672" s="196"/>
      <c r="CA672" s="196"/>
      <c r="CB672" s="178"/>
      <c r="CC672" s="178"/>
      <c r="CD672" s="202"/>
      <c r="CE672" s="202"/>
      <c r="CF672" s="178"/>
      <c r="CG672" s="196"/>
      <c r="CH672" s="178"/>
      <c r="CI672" s="178"/>
      <c r="CJ672" s="178"/>
      <c r="CK672" s="178"/>
      <c r="CL672" s="178"/>
      <c r="CM672" s="178"/>
      <c r="CN672" s="178"/>
      <c r="CO672" s="178"/>
      <c r="CP672" s="178"/>
      <c r="CQ672" s="178"/>
      <c r="CR672" s="178"/>
      <c r="CS672" s="178"/>
      <c r="CT672" s="178"/>
      <c r="CU672" s="178"/>
      <c r="CV672" s="178"/>
      <c r="CW672" s="178"/>
      <c r="CX672" s="178"/>
      <c r="CY672" s="178"/>
      <c r="CZ672" s="178"/>
      <c r="DA672" s="150"/>
    </row>
    <row r="673" spans="53:105" x14ac:dyDescent="0.2">
      <c r="BA673" s="518">
        <f t="shared" ca="1" si="43"/>
        <v>61</v>
      </c>
      <c r="BB673" s="174">
        <f t="shared" ca="1" si="44"/>
        <v>610</v>
      </c>
      <c r="BC673" s="525" t="e">
        <f ca="1">MATCH(BD673,OFFSET(Pinlist!$A$2,BC672*(BA673=BA672),0,$BM$23,1),0)+BC672*(BA673=BA672)</f>
        <v>#N/A</v>
      </c>
      <c r="BD673" s="167">
        <f t="shared" ca="1" si="45"/>
        <v>0</v>
      </c>
      <c r="BE673" s="191" t="e">
        <f ca="1">(OFFSET(Pinlist!$E$1,BC673,0)-$BN$16)*$BN$19</f>
        <v>#N/A</v>
      </c>
      <c r="BF673" s="192" t="e">
        <f ca="1">(OFFSET(Pinlist!$F$1,BC673,0)-$BO$16)*$BO$19</f>
        <v>#N/A</v>
      </c>
      <c r="BG673" s="1098" t="str">
        <f ca="1">IF(LEFT(BD673,2)="RF",OFFSET(Pinlist!$D$1,Chart!BC673,0)&amp;"_"&amp;OFFSET(Pinlist!$G$1,Chart!BC673,0),"")</f>
        <v/>
      </c>
      <c r="BH673" s="1098"/>
      <c r="BI673" s="178"/>
      <c r="BJ673" s="178"/>
      <c r="BK673" s="178"/>
      <c r="BL673" s="178"/>
      <c r="BM673" s="178"/>
      <c r="BN673" s="178"/>
      <c r="BO673" s="178"/>
      <c r="BP673" s="178"/>
      <c r="BQ673" s="196"/>
      <c r="BR673" s="196"/>
      <c r="BS673" s="196"/>
      <c r="BT673" s="196"/>
      <c r="BU673" s="196"/>
      <c r="BV673" s="196"/>
      <c r="BW673" s="178"/>
      <c r="BX673" s="196"/>
      <c r="BY673" s="196"/>
      <c r="BZ673" s="196"/>
      <c r="CA673" s="196"/>
      <c r="CB673" s="178"/>
      <c r="CC673" s="178"/>
      <c r="CD673" s="202"/>
      <c r="CE673" s="202"/>
      <c r="CF673" s="178"/>
      <c r="CG673" s="196"/>
      <c r="CH673" s="178"/>
      <c r="CI673" s="178"/>
      <c r="CJ673" s="178"/>
      <c r="CK673" s="178"/>
      <c r="CL673" s="178"/>
      <c r="CM673" s="178"/>
      <c r="CN673" s="178"/>
      <c r="CO673" s="178"/>
      <c r="CP673" s="178"/>
      <c r="CQ673" s="178"/>
      <c r="CR673" s="178"/>
      <c r="CS673" s="178"/>
      <c r="CT673" s="178"/>
      <c r="CU673" s="178"/>
      <c r="CV673" s="178"/>
      <c r="CW673" s="178"/>
      <c r="CX673" s="178"/>
      <c r="CY673" s="178"/>
      <c r="CZ673" s="178"/>
      <c r="DA673" s="150"/>
    </row>
    <row r="674" spans="53:105" x14ac:dyDescent="0.2">
      <c r="BA674" s="518">
        <f t="shared" ca="1" si="43"/>
        <v>61</v>
      </c>
      <c r="BB674" s="174">
        <f t="shared" ca="1" si="44"/>
        <v>611</v>
      </c>
      <c r="BC674" s="525" t="e">
        <f ca="1">MATCH(BD674,OFFSET(Pinlist!$A$2,BC673*(BA674=BA673),0,$BM$23,1),0)+BC673*(BA674=BA673)</f>
        <v>#N/A</v>
      </c>
      <c r="BD674" s="167">
        <f t="shared" ca="1" si="45"/>
        <v>0</v>
      </c>
      <c r="BE674" s="191" t="e">
        <f ca="1">(OFFSET(Pinlist!$E$1,BC674,0)-$BN$16)*$BN$19</f>
        <v>#N/A</v>
      </c>
      <c r="BF674" s="192" t="e">
        <f ca="1">(OFFSET(Pinlist!$F$1,BC674,0)-$BO$16)*$BO$19</f>
        <v>#N/A</v>
      </c>
      <c r="BG674" s="1098" t="str">
        <f ca="1">IF(LEFT(BD674,2)="RF",OFFSET(Pinlist!$D$1,Chart!BC674,0)&amp;"_"&amp;OFFSET(Pinlist!$G$1,Chart!BC674,0),"")</f>
        <v/>
      </c>
      <c r="BH674" s="1098"/>
      <c r="BI674" s="178"/>
      <c r="BJ674" s="178"/>
      <c r="BK674" s="178"/>
      <c r="BL674" s="178"/>
      <c r="BM674" s="178"/>
      <c r="BN674" s="178"/>
      <c r="BO674" s="178"/>
      <c r="BP674" s="178"/>
      <c r="BQ674" s="196"/>
      <c r="BR674" s="196"/>
      <c r="BS674" s="196"/>
      <c r="BT674" s="196"/>
      <c r="BU674" s="196"/>
      <c r="BV674" s="196"/>
      <c r="BW674" s="178"/>
      <c r="BX674" s="196"/>
      <c r="BY674" s="196"/>
      <c r="BZ674" s="196"/>
      <c r="CA674" s="196"/>
      <c r="CB674" s="178"/>
      <c r="CC674" s="178"/>
      <c r="CD674" s="202"/>
      <c r="CE674" s="202"/>
      <c r="CF674" s="178"/>
      <c r="CG674" s="196"/>
      <c r="CH674" s="178"/>
      <c r="CI674" s="178"/>
      <c r="CJ674" s="178"/>
      <c r="CK674" s="178"/>
      <c r="CL674" s="178"/>
      <c r="CM674" s="178"/>
      <c r="CN674" s="178"/>
      <c r="CO674" s="178"/>
      <c r="CP674" s="178"/>
      <c r="CQ674" s="178"/>
      <c r="CR674" s="178"/>
      <c r="CS674" s="178"/>
      <c r="CT674" s="178"/>
      <c r="CU674" s="178"/>
      <c r="CV674" s="178"/>
      <c r="CW674" s="178"/>
      <c r="CX674" s="178"/>
      <c r="CY674" s="178"/>
      <c r="CZ674" s="178"/>
      <c r="DA674" s="150"/>
    </row>
    <row r="675" spans="53:105" x14ac:dyDescent="0.2">
      <c r="BA675" s="518">
        <f t="shared" ca="1" si="43"/>
        <v>61</v>
      </c>
      <c r="BB675" s="174">
        <f t="shared" ca="1" si="44"/>
        <v>612</v>
      </c>
      <c r="BC675" s="525" t="e">
        <f ca="1">MATCH(BD675,OFFSET(Pinlist!$A$2,BC674*(BA675=BA674),0,$BM$23,1),0)+BC674*(BA675=BA674)</f>
        <v>#N/A</v>
      </c>
      <c r="BD675" s="167">
        <f t="shared" ca="1" si="45"/>
        <v>0</v>
      </c>
      <c r="BE675" s="191" t="e">
        <f ca="1">(OFFSET(Pinlist!$E$1,BC675,0)-$BN$16)*$BN$19</f>
        <v>#N/A</v>
      </c>
      <c r="BF675" s="192" t="e">
        <f ca="1">(OFFSET(Pinlist!$F$1,BC675,0)-$BO$16)*$BO$19</f>
        <v>#N/A</v>
      </c>
      <c r="BG675" s="1098" t="str">
        <f ca="1">IF(LEFT(BD675,2)="RF",OFFSET(Pinlist!$D$1,Chart!BC675,0)&amp;"_"&amp;OFFSET(Pinlist!$G$1,Chart!BC675,0),"")</f>
        <v/>
      </c>
      <c r="BH675" s="1098"/>
      <c r="BI675" s="178"/>
      <c r="BJ675" s="178"/>
      <c r="BK675" s="178"/>
      <c r="BL675" s="178"/>
      <c r="BM675" s="178"/>
      <c r="BN675" s="178"/>
      <c r="BO675" s="178"/>
      <c r="BP675" s="178"/>
      <c r="BQ675" s="196"/>
      <c r="BR675" s="196"/>
      <c r="BS675" s="196"/>
      <c r="BT675" s="196"/>
      <c r="BU675" s="196"/>
      <c r="BV675" s="196"/>
      <c r="BW675" s="178"/>
      <c r="BX675" s="196"/>
      <c r="BY675" s="196"/>
      <c r="BZ675" s="196"/>
      <c r="CA675" s="196"/>
      <c r="CB675" s="178"/>
      <c r="CC675" s="178"/>
      <c r="CD675" s="202"/>
      <c r="CE675" s="202"/>
      <c r="CF675" s="178"/>
      <c r="CG675" s="196"/>
      <c r="CH675" s="178"/>
      <c r="CI675" s="178"/>
      <c r="CJ675" s="178"/>
      <c r="CK675" s="178"/>
      <c r="CL675" s="178"/>
      <c r="CM675" s="178"/>
      <c r="CN675" s="178"/>
      <c r="CO675" s="178"/>
      <c r="CP675" s="178"/>
      <c r="CQ675" s="178"/>
      <c r="CR675" s="178"/>
      <c r="CS675" s="178"/>
      <c r="CT675" s="178"/>
      <c r="CU675" s="178"/>
      <c r="CV675" s="178"/>
      <c r="CW675" s="178"/>
      <c r="CX675" s="178"/>
      <c r="CY675" s="178"/>
      <c r="CZ675" s="178"/>
      <c r="DA675" s="150"/>
    </row>
    <row r="676" spans="53:105" x14ac:dyDescent="0.2">
      <c r="BA676" s="518">
        <f t="shared" ca="1" si="43"/>
        <v>61</v>
      </c>
      <c r="BB676" s="174">
        <f t="shared" ca="1" si="44"/>
        <v>613</v>
      </c>
      <c r="BC676" s="525" t="e">
        <f ca="1">MATCH(BD676,OFFSET(Pinlist!$A$2,BC675*(BA676=BA675),0,$BM$23,1),0)+BC675*(BA676=BA675)</f>
        <v>#N/A</v>
      </c>
      <c r="BD676" s="167">
        <f t="shared" ca="1" si="45"/>
        <v>0</v>
      </c>
      <c r="BE676" s="191" t="e">
        <f ca="1">(OFFSET(Pinlist!$E$1,BC676,0)-$BN$16)*$BN$19</f>
        <v>#N/A</v>
      </c>
      <c r="BF676" s="192" t="e">
        <f ca="1">(OFFSET(Pinlist!$F$1,BC676,0)-$BO$16)*$BO$19</f>
        <v>#N/A</v>
      </c>
      <c r="BG676" s="1098" t="str">
        <f ca="1">IF(LEFT(BD676,2)="RF",OFFSET(Pinlist!$D$1,Chart!BC676,0)&amp;"_"&amp;OFFSET(Pinlist!$G$1,Chart!BC676,0),"")</f>
        <v/>
      </c>
      <c r="BH676" s="1098"/>
      <c r="BI676" s="178"/>
      <c r="BJ676" s="178"/>
      <c r="BK676" s="178"/>
      <c r="BL676" s="178"/>
      <c r="BM676" s="178"/>
      <c r="BN676" s="178"/>
      <c r="BO676" s="178"/>
      <c r="BP676" s="178"/>
      <c r="BQ676" s="196"/>
      <c r="BR676" s="196"/>
      <c r="BS676" s="196"/>
      <c r="BT676" s="196"/>
      <c r="BU676" s="196"/>
      <c r="BV676" s="196"/>
      <c r="BW676" s="178"/>
      <c r="BX676" s="196"/>
      <c r="BY676" s="196"/>
      <c r="BZ676" s="196"/>
      <c r="CA676" s="196"/>
      <c r="CB676" s="178"/>
      <c r="CC676" s="178"/>
      <c r="CD676" s="202"/>
      <c r="CE676" s="202"/>
      <c r="CF676" s="178"/>
      <c r="CG676" s="196"/>
      <c r="CH676" s="178"/>
      <c r="CI676" s="178"/>
      <c r="CJ676" s="178"/>
      <c r="CK676" s="178"/>
      <c r="CL676" s="178"/>
      <c r="CM676" s="178"/>
      <c r="CN676" s="178"/>
      <c r="CO676" s="178"/>
      <c r="CP676" s="178"/>
      <c r="CQ676" s="178"/>
      <c r="CR676" s="178"/>
      <c r="CS676" s="178"/>
      <c r="CT676" s="178"/>
      <c r="CU676" s="178"/>
      <c r="CV676" s="178"/>
      <c r="CW676" s="178"/>
      <c r="CX676" s="178"/>
      <c r="CY676" s="178"/>
      <c r="CZ676" s="178"/>
      <c r="DA676" s="150"/>
    </row>
    <row r="677" spans="53:105" x14ac:dyDescent="0.2">
      <c r="BA677" s="518">
        <f t="shared" ca="1" si="43"/>
        <v>61</v>
      </c>
      <c r="BB677" s="174">
        <f t="shared" ca="1" si="44"/>
        <v>614</v>
      </c>
      <c r="BC677" s="525" t="e">
        <f ca="1">MATCH(BD677,OFFSET(Pinlist!$A$2,BC676*(BA677=BA676),0,$BM$23,1),0)+BC676*(BA677=BA676)</f>
        <v>#N/A</v>
      </c>
      <c r="BD677" s="167">
        <f t="shared" ca="1" si="45"/>
        <v>0</v>
      </c>
      <c r="BE677" s="191" t="e">
        <f ca="1">(OFFSET(Pinlist!$E$1,BC677,0)-$BN$16)*$BN$19</f>
        <v>#N/A</v>
      </c>
      <c r="BF677" s="192" t="e">
        <f ca="1">(OFFSET(Pinlist!$F$1,BC677,0)-$BO$16)*$BO$19</f>
        <v>#N/A</v>
      </c>
      <c r="BG677" s="1098" t="str">
        <f ca="1">IF(LEFT(BD677,2)="RF",OFFSET(Pinlist!$D$1,Chart!BC677,0)&amp;"_"&amp;OFFSET(Pinlist!$G$1,Chart!BC677,0),"")</f>
        <v/>
      </c>
      <c r="BH677" s="1098"/>
      <c r="BI677" s="178"/>
      <c r="BJ677" s="178"/>
      <c r="BK677" s="178"/>
      <c r="BL677" s="178"/>
      <c r="BM677" s="178"/>
      <c r="BN677" s="178"/>
      <c r="BO677" s="178"/>
      <c r="BP677" s="178"/>
      <c r="BQ677" s="196"/>
      <c r="BR677" s="196"/>
      <c r="BS677" s="196"/>
      <c r="BT677" s="196"/>
      <c r="BU677" s="196"/>
      <c r="BV677" s="196"/>
      <c r="BW677" s="178"/>
      <c r="BX677" s="196"/>
      <c r="BY677" s="196"/>
      <c r="BZ677" s="196"/>
      <c r="CA677" s="196"/>
      <c r="CB677" s="178"/>
      <c r="CC677" s="178"/>
      <c r="CD677" s="202"/>
      <c r="CE677" s="202"/>
      <c r="CF677" s="178"/>
      <c r="CG677" s="196"/>
      <c r="CH677" s="178"/>
      <c r="CI677" s="178"/>
      <c r="CJ677" s="178"/>
      <c r="CK677" s="178"/>
      <c r="CL677" s="178"/>
      <c r="CM677" s="178"/>
      <c r="CN677" s="178"/>
      <c r="CO677" s="178"/>
      <c r="CP677" s="178"/>
      <c r="CQ677" s="178"/>
      <c r="CR677" s="178"/>
      <c r="CS677" s="178"/>
      <c r="CT677" s="178"/>
      <c r="CU677" s="178"/>
      <c r="CV677" s="178"/>
      <c r="CW677" s="178"/>
      <c r="CX677" s="178"/>
      <c r="CY677" s="178"/>
      <c r="CZ677" s="178"/>
      <c r="DA677" s="150"/>
    </row>
    <row r="678" spans="53:105" x14ac:dyDescent="0.2">
      <c r="BA678" s="518">
        <f t="shared" ca="1" si="43"/>
        <v>61</v>
      </c>
      <c r="BB678" s="174">
        <f t="shared" ca="1" si="44"/>
        <v>615</v>
      </c>
      <c r="BC678" s="525" t="e">
        <f ca="1">MATCH(BD678,OFFSET(Pinlist!$A$2,BC677*(BA678=BA677),0,$BM$23,1),0)+BC677*(BA678=BA677)</f>
        <v>#N/A</v>
      </c>
      <c r="BD678" s="167">
        <f t="shared" ca="1" si="45"/>
        <v>0</v>
      </c>
      <c r="BE678" s="191" t="e">
        <f ca="1">(OFFSET(Pinlist!$E$1,BC678,0)-$BN$16)*$BN$19</f>
        <v>#N/A</v>
      </c>
      <c r="BF678" s="192" t="e">
        <f ca="1">(OFFSET(Pinlist!$F$1,BC678,0)-$BO$16)*$BO$19</f>
        <v>#N/A</v>
      </c>
      <c r="BG678" s="1098" t="str">
        <f ca="1">IF(LEFT(BD678,2)="RF",OFFSET(Pinlist!$D$1,Chart!BC678,0)&amp;"_"&amp;OFFSET(Pinlist!$G$1,Chart!BC678,0),"")</f>
        <v/>
      </c>
      <c r="BH678" s="1098"/>
      <c r="BI678" s="178"/>
      <c r="BJ678" s="178"/>
      <c r="BK678" s="178"/>
      <c r="BL678" s="178"/>
      <c r="BM678" s="178"/>
      <c r="BN678" s="178"/>
      <c r="BO678" s="178"/>
      <c r="BP678" s="178"/>
      <c r="BQ678" s="196"/>
      <c r="BR678" s="196"/>
      <c r="BS678" s="196"/>
      <c r="BT678" s="196"/>
      <c r="BU678" s="196"/>
      <c r="BV678" s="196"/>
      <c r="BW678" s="178"/>
      <c r="BX678" s="196"/>
      <c r="BY678" s="196"/>
      <c r="BZ678" s="196"/>
      <c r="CA678" s="196"/>
      <c r="CB678" s="178"/>
      <c r="CC678" s="178"/>
      <c r="CD678" s="202"/>
      <c r="CE678" s="202"/>
      <c r="CF678" s="178"/>
      <c r="CG678" s="196"/>
      <c r="CH678" s="178"/>
      <c r="CI678" s="178"/>
      <c r="CJ678" s="178"/>
      <c r="CK678" s="178"/>
      <c r="CL678" s="178"/>
      <c r="CM678" s="178"/>
      <c r="CN678" s="178"/>
      <c r="CO678" s="178"/>
      <c r="CP678" s="178"/>
      <c r="CQ678" s="178"/>
      <c r="CR678" s="178"/>
      <c r="CS678" s="178"/>
      <c r="CT678" s="178"/>
      <c r="CU678" s="178"/>
      <c r="CV678" s="178"/>
      <c r="CW678" s="178"/>
      <c r="CX678" s="178"/>
      <c r="CY678" s="178"/>
      <c r="CZ678" s="178"/>
      <c r="DA678" s="150"/>
    </row>
    <row r="679" spans="53:105" x14ac:dyDescent="0.2">
      <c r="BA679" s="518">
        <f t="shared" ca="1" si="43"/>
        <v>61</v>
      </c>
      <c r="BB679" s="174">
        <f t="shared" ca="1" si="44"/>
        <v>616</v>
      </c>
      <c r="BC679" s="525" t="e">
        <f ca="1">MATCH(BD679,OFFSET(Pinlist!$A$2,BC678*(BA679=BA678),0,$BM$23,1),0)+BC678*(BA679=BA678)</f>
        <v>#N/A</v>
      </c>
      <c r="BD679" s="167">
        <f t="shared" ca="1" si="45"/>
        <v>0</v>
      </c>
      <c r="BE679" s="191" t="e">
        <f ca="1">(OFFSET(Pinlist!$E$1,BC679,0)-$BN$16)*$BN$19</f>
        <v>#N/A</v>
      </c>
      <c r="BF679" s="192" t="e">
        <f ca="1">(OFFSET(Pinlist!$F$1,BC679,0)-$BO$16)*$BO$19</f>
        <v>#N/A</v>
      </c>
      <c r="BG679" s="1098" t="str">
        <f ca="1">IF(LEFT(BD679,2)="RF",OFFSET(Pinlist!$D$1,Chart!BC679,0)&amp;"_"&amp;OFFSET(Pinlist!$G$1,Chart!BC679,0),"")</f>
        <v/>
      </c>
      <c r="BH679" s="1098"/>
      <c r="BI679" s="178"/>
      <c r="BJ679" s="178"/>
      <c r="BK679" s="178"/>
      <c r="BL679" s="178"/>
      <c r="BM679" s="178"/>
      <c r="BN679" s="178"/>
      <c r="BO679" s="178"/>
      <c r="BP679" s="178"/>
      <c r="BQ679" s="196"/>
      <c r="BR679" s="196"/>
      <c r="BS679" s="196"/>
      <c r="BT679" s="196"/>
      <c r="BU679" s="196"/>
      <c r="BV679" s="196"/>
      <c r="BW679" s="178"/>
      <c r="BX679" s="196"/>
      <c r="BY679" s="196"/>
      <c r="BZ679" s="196"/>
      <c r="CA679" s="196"/>
      <c r="CB679" s="178"/>
      <c r="CC679" s="178"/>
      <c r="CD679" s="202"/>
      <c r="CE679" s="202"/>
      <c r="CF679" s="178"/>
      <c r="CG679" s="196"/>
      <c r="CH679" s="178"/>
      <c r="CI679" s="178"/>
      <c r="CJ679" s="178"/>
      <c r="CK679" s="178"/>
      <c r="CL679" s="178"/>
      <c r="CM679" s="178"/>
      <c r="CN679" s="178"/>
      <c r="CO679" s="178"/>
      <c r="CP679" s="178"/>
      <c r="CQ679" s="178"/>
      <c r="CR679" s="178"/>
      <c r="CS679" s="178"/>
      <c r="CT679" s="178"/>
      <c r="CU679" s="178"/>
      <c r="CV679" s="178"/>
      <c r="CW679" s="178"/>
      <c r="CX679" s="178"/>
      <c r="CY679" s="178"/>
      <c r="CZ679" s="178"/>
      <c r="DA679" s="150"/>
    </row>
    <row r="680" spans="53:105" x14ac:dyDescent="0.2">
      <c r="BA680" s="518">
        <f t="shared" ca="1" si="43"/>
        <v>61</v>
      </c>
      <c r="BB680" s="174">
        <f t="shared" ca="1" si="44"/>
        <v>617</v>
      </c>
      <c r="BC680" s="525" t="e">
        <f ca="1">MATCH(BD680,OFFSET(Pinlist!$A$2,BC679*(BA680=BA679),0,$BM$23,1),0)+BC679*(BA680=BA679)</f>
        <v>#N/A</v>
      </c>
      <c r="BD680" s="167">
        <f t="shared" ca="1" si="45"/>
        <v>0</v>
      </c>
      <c r="BE680" s="191" t="e">
        <f ca="1">(OFFSET(Pinlist!$E$1,BC680,0)-$BN$16)*$BN$19</f>
        <v>#N/A</v>
      </c>
      <c r="BF680" s="192" t="e">
        <f ca="1">(OFFSET(Pinlist!$F$1,BC680,0)-$BO$16)*$BO$19</f>
        <v>#N/A</v>
      </c>
      <c r="BG680" s="1098" t="str">
        <f ca="1">IF(LEFT(BD680,2)="RF",OFFSET(Pinlist!$D$1,Chart!BC680,0)&amp;"_"&amp;OFFSET(Pinlist!$G$1,Chart!BC680,0),"")</f>
        <v/>
      </c>
      <c r="BH680" s="1098"/>
      <c r="BI680" s="178"/>
      <c r="BJ680" s="178"/>
      <c r="BK680" s="178"/>
      <c r="BL680" s="178"/>
      <c r="BM680" s="178"/>
      <c r="BN680" s="178"/>
      <c r="BO680" s="178"/>
      <c r="BP680" s="178"/>
      <c r="BQ680" s="196"/>
      <c r="BR680" s="196"/>
      <c r="BS680" s="196"/>
      <c r="BT680" s="196"/>
      <c r="BU680" s="196"/>
      <c r="BV680" s="196"/>
      <c r="BW680" s="178"/>
      <c r="BX680" s="196"/>
      <c r="BY680" s="196"/>
      <c r="BZ680" s="196"/>
      <c r="CA680" s="196"/>
      <c r="CB680" s="178"/>
      <c r="CC680" s="178"/>
      <c r="CD680" s="202"/>
      <c r="CE680" s="202"/>
      <c r="CF680" s="178"/>
      <c r="CG680" s="196"/>
      <c r="CH680" s="178"/>
      <c r="CI680" s="178"/>
      <c r="CJ680" s="178"/>
      <c r="CK680" s="178"/>
      <c r="CL680" s="178"/>
      <c r="CM680" s="178"/>
      <c r="CN680" s="178"/>
      <c r="CO680" s="178"/>
      <c r="CP680" s="178"/>
      <c r="CQ680" s="178"/>
      <c r="CR680" s="178"/>
      <c r="CS680" s="178"/>
      <c r="CT680" s="178"/>
      <c r="CU680" s="178"/>
      <c r="CV680" s="178"/>
      <c r="CW680" s="178"/>
      <c r="CX680" s="178"/>
      <c r="CY680" s="178"/>
      <c r="CZ680" s="178"/>
      <c r="DA680" s="150"/>
    </row>
    <row r="681" spans="53:105" x14ac:dyDescent="0.2">
      <c r="BA681" s="518">
        <f t="shared" ca="1" si="43"/>
        <v>61</v>
      </c>
      <c r="BB681" s="174">
        <f t="shared" ca="1" si="44"/>
        <v>618</v>
      </c>
      <c r="BC681" s="525" t="e">
        <f ca="1">MATCH(BD681,OFFSET(Pinlist!$A$2,BC680*(BA681=BA680),0,$BM$23,1),0)+BC680*(BA681=BA680)</f>
        <v>#N/A</v>
      </c>
      <c r="BD681" s="167">
        <f t="shared" ca="1" si="45"/>
        <v>0</v>
      </c>
      <c r="BE681" s="191" t="e">
        <f ca="1">(OFFSET(Pinlist!$E$1,BC681,0)-$BN$16)*$BN$19</f>
        <v>#N/A</v>
      </c>
      <c r="BF681" s="192" t="e">
        <f ca="1">(OFFSET(Pinlist!$F$1,BC681,0)-$BO$16)*$BO$19</f>
        <v>#N/A</v>
      </c>
      <c r="BG681" s="1098" t="str">
        <f ca="1">IF(LEFT(BD681,2)="RF",OFFSET(Pinlist!$D$1,Chart!BC681,0)&amp;"_"&amp;OFFSET(Pinlist!$G$1,Chart!BC681,0),"")</f>
        <v/>
      </c>
      <c r="BH681" s="1098"/>
      <c r="BI681" s="178"/>
      <c r="BJ681" s="178"/>
      <c r="BK681" s="178"/>
      <c r="BL681" s="178"/>
      <c r="BM681" s="178"/>
      <c r="BN681" s="178"/>
      <c r="BO681" s="178"/>
      <c r="BP681" s="178"/>
      <c r="BQ681" s="196"/>
      <c r="BR681" s="196"/>
      <c r="BS681" s="196"/>
      <c r="BT681" s="196"/>
      <c r="BU681" s="196"/>
      <c r="BV681" s="196"/>
      <c r="BW681" s="178"/>
      <c r="BX681" s="196"/>
      <c r="BY681" s="196"/>
      <c r="BZ681" s="196"/>
      <c r="CA681" s="196"/>
      <c r="CB681" s="178"/>
      <c r="CC681" s="178"/>
      <c r="CD681" s="202"/>
      <c r="CE681" s="202"/>
      <c r="CF681" s="178"/>
      <c r="CG681" s="196"/>
      <c r="CH681" s="178"/>
      <c r="CI681" s="178"/>
      <c r="CJ681" s="178"/>
      <c r="CK681" s="178"/>
      <c r="CL681" s="178"/>
      <c r="CM681" s="178"/>
      <c r="CN681" s="178"/>
      <c r="CO681" s="178"/>
      <c r="CP681" s="178"/>
      <c r="CQ681" s="178"/>
      <c r="CR681" s="178"/>
      <c r="CS681" s="178"/>
      <c r="CT681" s="178"/>
      <c r="CU681" s="178"/>
      <c r="CV681" s="178"/>
      <c r="CW681" s="178"/>
      <c r="CX681" s="178"/>
      <c r="CY681" s="178"/>
      <c r="CZ681" s="178"/>
      <c r="DA681" s="150"/>
    </row>
    <row r="682" spans="53:105" x14ac:dyDescent="0.2">
      <c r="BA682" s="518">
        <f t="shared" ca="1" si="43"/>
        <v>61</v>
      </c>
      <c r="BB682" s="174">
        <f t="shared" ca="1" si="44"/>
        <v>619</v>
      </c>
      <c r="BC682" s="525" t="e">
        <f ca="1">MATCH(BD682,OFFSET(Pinlist!$A$2,BC681*(BA682=BA681),0,$BM$23,1),0)+BC681*(BA682=BA681)</f>
        <v>#N/A</v>
      </c>
      <c r="BD682" s="167">
        <f t="shared" ca="1" si="45"/>
        <v>0</v>
      </c>
      <c r="BE682" s="191" t="e">
        <f ca="1">(OFFSET(Pinlist!$E$1,BC682,0)-$BN$16)*$BN$19</f>
        <v>#N/A</v>
      </c>
      <c r="BF682" s="192" t="e">
        <f ca="1">(OFFSET(Pinlist!$F$1,BC682,0)-$BO$16)*$BO$19</f>
        <v>#N/A</v>
      </c>
      <c r="BG682" s="1098" t="str">
        <f ca="1">IF(LEFT(BD682,2)="RF",OFFSET(Pinlist!$D$1,Chart!BC682,0)&amp;"_"&amp;OFFSET(Pinlist!$G$1,Chart!BC682,0),"")</f>
        <v/>
      </c>
      <c r="BH682" s="1098"/>
      <c r="BI682" s="178"/>
      <c r="BJ682" s="178"/>
      <c r="BK682" s="178"/>
      <c r="BL682" s="178"/>
      <c r="BM682" s="178"/>
      <c r="BN682" s="178"/>
      <c r="BO682" s="178"/>
      <c r="BP682" s="178"/>
      <c r="BQ682" s="196"/>
      <c r="BR682" s="196"/>
      <c r="BS682" s="196"/>
      <c r="BT682" s="196"/>
      <c r="BU682" s="196"/>
      <c r="BV682" s="196"/>
      <c r="BW682" s="178"/>
      <c r="BX682" s="196"/>
      <c r="BY682" s="196"/>
      <c r="BZ682" s="196"/>
      <c r="CA682" s="196"/>
      <c r="CB682" s="178"/>
      <c r="CC682" s="178"/>
      <c r="CD682" s="202"/>
      <c r="CE682" s="202"/>
      <c r="CF682" s="178"/>
      <c r="CG682" s="196"/>
      <c r="CH682" s="178"/>
      <c r="CI682" s="178"/>
      <c r="CJ682" s="178"/>
      <c r="CK682" s="178"/>
      <c r="CL682" s="178"/>
      <c r="CM682" s="178"/>
      <c r="CN682" s="178"/>
      <c r="CO682" s="178"/>
      <c r="CP682" s="178"/>
      <c r="CQ682" s="178"/>
      <c r="CR682" s="178"/>
      <c r="CS682" s="178"/>
      <c r="CT682" s="178"/>
      <c r="CU682" s="178"/>
      <c r="CV682" s="178"/>
      <c r="CW682" s="178"/>
      <c r="CX682" s="178"/>
      <c r="CY682" s="178"/>
      <c r="CZ682" s="178"/>
      <c r="DA682" s="150"/>
    </row>
    <row r="683" spans="53:105" x14ac:dyDescent="0.2">
      <c r="BA683" s="518">
        <f t="shared" ca="1" si="43"/>
        <v>61</v>
      </c>
      <c r="BB683" s="174">
        <f t="shared" ca="1" si="44"/>
        <v>620</v>
      </c>
      <c r="BC683" s="525" t="e">
        <f ca="1">MATCH(BD683,OFFSET(Pinlist!$A$2,BC682*(BA683=BA682),0,$BM$23,1),0)+BC682*(BA683=BA682)</f>
        <v>#N/A</v>
      </c>
      <c r="BD683" s="167">
        <f t="shared" ca="1" si="45"/>
        <v>0</v>
      </c>
      <c r="BE683" s="191" t="e">
        <f ca="1">(OFFSET(Pinlist!$E$1,BC683,0)-$BN$16)*$BN$19</f>
        <v>#N/A</v>
      </c>
      <c r="BF683" s="192" t="e">
        <f ca="1">(OFFSET(Pinlist!$F$1,BC683,0)-$BO$16)*$BO$19</f>
        <v>#N/A</v>
      </c>
      <c r="BG683" s="1098" t="str">
        <f ca="1">IF(LEFT(BD683,2)="RF",OFFSET(Pinlist!$D$1,Chart!BC683,0)&amp;"_"&amp;OFFSET(Pinlist!$G$1,Chart!BC683,0),"")</f>
        <v/>
      </c>
      <c r="BH683" s="1098"/>
      <c r="BI683" s="178"/>
      <c r="BJ683" s="178"/>
      <c r="BK683" s="178"/>
      <c r="BL683" s="178"/>
      <c r="BM683" s="178"/>
      <c r="BN683" s="178"/>
      <c r="BO683" s="178"/>
      <c r="BP683" s="178"/>
      <c r="BQ683" s="196"/>
      <c r="BR683" s="196"/>
      <c r="BS683" s="196"/>
      <c r="BT683" s="196"/>
      <c r="BU683" s="196"/>
      <c r="BV683" s="196"/>
      <c r="BW683" s="178"/>
      <c r="BX683" s="196"/>
      <c r="BY683" s="196"/>
      <c r="BZ683" s="196"/>
      <c r="CA683" s="196"/>
      <c r="CB683" s="178"/>
      <c r="CC683" s="178"/>
      <c r="CD683" s="202"/>
      <c r="CE683" s="202"/>
      <c r="CF683" s="178"/>
      <c r="CG683" s="196"/>
      <c r="CH683" s="178"/>
      <c r="CI683" s="178"/>
      <c r="CJ683" s="178"/>
      <c r="CK683" s="178"/>
      <c r="CL683" s="178"/>
      <c r="CM683" s="178"/>
      <c r="CN683" s="178"/>
      <c r="CO683" s="178"/>
      <c r="CP683" s="178"/>
      <c r="CQ683" s="178"/>
      <c r="CR683" s="178"/>
      <c r="CS683" s="178"/>
      <c r="CT683" s="178"/>
      <c r="CU683" s="178"/>
      <c r="CV683" s="178"/>
      <c r="CW683" s="178"/>
      <c r="CX683" s="178"/>
      <c r="CY683" s="178"/>
      <c r="CZ683" s="178"/>
      <c r="DA683" s="150"/>
    </row>
    <row r="684" spans="53:105" x14ac:dyDescent="0.2">
      <c r="BA684" s="518">
        <f t="shared" ca="1" si="43"/>
        <v>61</v>
      </c>
      <c r="BB684" s="174">
        <f t="shared" ca="1" si="44"/>
        <v>621</v>
      </c>
      <c r="BC684" s="525" t="e">
        <f ca="1">MATCH(BD684,OFFSET(Pinlist!$A$2,BC683*(BA684=BA683),0,$BM$23,1),0)+BC683*(BA684=BA683)</f>
        <v>#N/A</v>
      </c>
      <c r="BD684" s="167">
        <f t="shared" ca="1" si="45"/>
        <v>0</v>
      </c>
      <c r="BE684" s="191" t="e">
        <f ca="1">(OFFSET(Pinlist!$E$1,BC684,0)-$BN$16)*$BN$19</f>
        <v>#N/A</v>
      </c>
      <c r="BF684" s="192" t="e">
        <f ca="1">(OFFSET(Pinlist!$F$1,BC684,0)-$BO$16)*$BO$19</f>
        <v>#N/A</v>
      </c>
      <c r="BG684" s="1098" t="str">
        <f ca="1">IF(LEFT(BD684,2)="RF",OFFSET(Pinlist!$D$1,Chart!BC684,0)&amp;"_"&amp;OFFSET(Pinlist!$G$1,Chart!BC684,0),"")</f>
        <v/>
      </c>
      <c r="BH684" s="1098"/>
      <c r="BI684" s="178"/>
      <c r="BJ684" s="178"/>
      <c r="BK684" s="178"/>
      <c r="BL684" s="178"/>
      <c r="BM684" s="178"/>
      <c r="BN684" s="178"/>
      <c r="BO684" s="178"/>
      <c r="BP684" s="178"/>
      <c r="BQ684" s="196"/>
      <c r="BR684" s="196"/>
      <c r="BS684" s="196"/>
      <c r="BT684" s="196"/>
      <c r="BU684" s="196"/>
      <c r="BV684" s="196"/>
      <c r="BW684" s="178"/>
      <c r="BX684" s="196"/>
      <c r="BY684" s="196"/>
      <c r="BZ684" s="196"/>
      <c r="CA684" s="196"/>
      <c r="CB684" s="178"/>
      <c r="CC684" s="178"/>
      <c r="CD684" s="202"/>
      <c r="CE684" s="202"/>
      <c r="CF684" s="178"/>
      <c r="CG684" s="196"/>
      <c r="CH684" s="178"/>
      <c r="CI684" s="178"/>
      <c r="CJ684" s="178"/>
      <c r="CK684" s="178"/>
      <c r="CL684" s="178"/>
      <c r="CM684" s="178"/>
      <c r="CN684" s="178"/>
      <c r="CO684" s="178"/>
      <c r="CP684" s="178"/>
      <c r="CQ684" s="178"/>
      <c r="CR684" s="178"/>
      <c r="CS684" s="178"/>
      <c r="CT684" s="178"/>
      <c r="CU684" s="178"/>
      <c r="CV684" s="178"/>
      <c r="CW684" s="178"/>
      <c r="CX684" s="178"/>
      <c r="CY684" s="178"/>
      <c r="CZ684" s="178"/>
      <c r="DA684" s="150"/>
    </row>
    <row r="685" spans="53:105" x14ac:dyDescent="0.2">
      <c r="BA685" s="518">
        <f t="shared" ca="1" si="43"/>
        <v>61</v>
      </c>
      <c r="BB685" s="174">
        <f t="shared" ca="1" si="44"/>
        <v>622</v>
      </c>
      <c r="BC685" s="525" t="e">
        <f ca="1">MATCH(BD685,OFFSET(Pinlist!$A$2,BC684*(BA685=BA684),0,$BM$23,1),0)+BC684*(BA685=BA684)</f>
        <v>#N/A</v>
      </c>
      <c r="BD685" s="167">
        <f t="shared" ca="1" si="45"/>
        <v>0</v>
      </c>
      <c r="BE685" s="191" t="e">
        <f ca="1">(OFFSET(Pinlist!$E$1,BC685,0)-$BN$16)*$BN$19</f>
        <v>#N/A</v>
      </c>
      <c r="BF685" s="192" t="e">
        <f ca="1">(OFFSET(Pinlist!$F$1,BC685,0)-$BO$16)*$BO$19</f>
        <v>#N/A</v>
      </c>
      <c r="BG685" s="1098" t="str">
        <f ca="1">IF(LEFT(BD685,2)="RF",OFFSET(Pinlist!$D$1,Chart!BC685,0)&amp;"_"&amp;OFFSET(Pinlist!$G$1,Chart!BC685,0),"")</f>
        <v/>
      </c>
      <c r="BH685" s="1098"/>
      <c r="BI685" s="178"/>
      <c r="BJ685" s="178"/>
      <c r="BK685" s="178"/>
      <c r="BL685" s="178"/>
      <c r="BM685" s="178"/>
      <c r="BN685" s="178"/>
      <c r="BO685" s="178"/>
      <c r="BP685" s="178"/>
      <c r="BQ685" s="196"/>
      <c r="BR685" s="196"/>
      <c r="BS685" s="196"/>
      <c r="BT685" s="196"/>
      <c r="BU685" s="196"/>
      <c r="BV685" s="196"/>
      <c r="BW685" s="178"/>
      <c r="BX685" s="196"/>
      <c r="BY685" s="196"/>
      <c r="BZ685" s="196"/>
      <c r="CA685" s="196"/>
      <c r="CB685" s="178"/>
      <c r="CC685" s="178"/>
      <c r="CD685" s="202"/>
      <c r="CE685" s="202"/>
      <c r="CF685" s="178"/>
      <c r="CG685" s="196"/>
      <c r="CH685" s="178"/>
      <c r="CI685" s="178"/>
      <c r="CJ685" s="178"/>
      <c r="CK685" s="178"/>
      <c r="CL685" s="178"/>
      <c r="CM685" s="178"/>
      <c r="CN685" s="178"/>
      <c r="CO685" s="178"/>
      <c r="CP685" s="178"/>
      <c r="CQ685" s="178"/>
      <c r="CR685" s="178"/>
      <c r="CS685" s="178"/>
      <c r="CT685" s="178"/>
      <c r="CU685" s="178"/>
      <c r="CV685" s="178"/>
      <c r="CW685" s="178"/>
      <c r="CX685" s="178"/>
      <c r="CY685" s="178"/>
      <c r="CZ685" s="178"/>
      <c r="DA685" s="150"/>
    </row>
    <row r="686" spans="53:105" x14ac:dyDescent="0.2">
      <c r="BA686" s="518">
        <f t="shared" ca="1" si="43"/>
        <v>61</v>
      </c>
      <c r="BB686" s="174">
        <f t="shared" ca="1" si="44"/>
        <v>623</v>
      </c>
      <c r="BC686" s="525" t="e">
        <f ca="1">MATCH(BD686,OFFSET(Pinlist!$A$2,BC685*(BA686=BA685),0,$BM$23,1),0)+BC685*(BA686=BA685)</f>
        <v>#N/A</v>
      </c>
      <c r="BD686" s="167">
        <f t="shared" ca="1" si="45"/>
        <v>0</v>
      </c>
      <c r="BE686" s="191" t="e">
        <f ca="1">(OFFSET(Pinlist!$E$1,BC686,0)-$BN$16)*$BN$19</f>
        <v>#N/A</v>
      </c>
      <c r="BF686" s="192" t="e">
        <f ca="1">(OFFSET(Pinlist!$F$1,BC686,0)-$BO$16)*$BO$19</f>
        <v>#N/A</v>
      </c>
      <c r="BG686" s="1098" t="str">
        <f ca="1">IF(LEFT(BD686,2)="RF",OFFSET(Pinlist!$D$1,Chart!BC686,0)&amp;"_"&amp;OFFSET(Pinlist!$G$1,Chart!BC686,0),"")</f>
        <v/>
      </c>
      <c r="BH686" s="1098"/>
      <c r="BI686" s="178"/>
      <c r="BJ686" s="178"/>
      <c r="BK686" s="178"/>
      <c r="BL686" s="178"/>
      <c r="BM686" s="178"/>
      <c r="BN686" s="178"/>
      <c r="BO686" s="178"/>
      <c r="BP686" s="178"/>
      <c r="BQ686" s="196"/>
      <c r="BR686" s="196"/>
      <c r="BS686" s="196"/>
      <c r="BT686" s="196"/>
      <c r="BU686" s="196"/>
      <c r="BV686" s="196"/>
      <c r="BW686" s="178"/>
      <c r="BX686" s="196"/>
      <c r="BY686" s="196"/>
      <c r="BZ686" s="196"/>
      <c r="CA686" s="196"/>
      <c r="CB686" s="178"/>
      <c r="CC686" s="178"/>
      <c r="CD686" s="202"/>
      <c r="CE686" s="202"/>
      <c r="CF686" s="178"/>
      <c r="CG686" s="196"/>
      <c r="CH686" s="178"/>
      <c r="CI686" s="178"/>
      <c r="CJ686" s="178"/>
      <c r="CK686" s="178"/>
      <c r="CL686" s="178"/>
      <c r="CM686" s="178"/>
      <c r="CN686" s="178"/>
      <c r="CO686" s="178"/>
      <c r="CP686" s="178"/>
      <c r="CQ686" s="178"/>
      <c r="CR686" s="178"/>
      <c r="CS686" s="178"/>
      <c r="CT686" s="178"/>
      <c r="CU686" s="178"/>
      <c r="CV686" s="178"/>
      <c r="CW686" s="178"/>
      <c r="CX686" s="178"/>
      <c r="CY686" s="178"/>
      <c r="CZ686" s="178"/>
      <c r="DA686" s="150"/>
    </row>
    <row r="687" spans="53:105" x14ac:dyDescent="0.2">
      <c r="BA687" s="518">
        <f t="shared" ca="1" si="43"/>
        <v>61</v>
      </c>
      <c r="BB687" s="174">
        <f t="shared" ca="1" si="44"/>
        <v>624</v>
      </c>
      <c r="BC687" s="525" t="e">
        <f ca="1">MATCH(BD687,OFFSET(Pinlist!$A$2,BC686*(BA687=BA686),0,$BM$23,1),0)+BC686*(BA687=BA686)</f>
        <v>#N/A</v>
      </c>
      <c r="BD687" s="167">
        <f t="shared" ca="1" si="45"/>
        <v>0</v>
      </c>
      <c r="BE687" s="191" t="e">
        <f ca="1">(OFFSET(Pinlist!$E$1,BC687,0)-$BN$16)*$BN$19</f>
        <v>#N/A</v>
      </c>
      <c r="BF687" s="192" t="e">
        <f ca="1">(OFFSET(Pinlist!$F$1,BC687,0)-$BO$16)*$BO$19</f>
        <v>#N/A</v>
      </c>
      <c r="BG687" s="1098" t="str">
        <f ca="1">IF(LEFT(BD687,2)="RF",OFFSET(Pinlist!$D$1,Chart!BC687,0)&amp;"_"&amp;OFFSET(Pinlist!$G$1,Chart!BC687,0),"")</f>
        <v/>
      </c>
      <c r="BH687" s="1098"/>
      <c r="BI687" s="178"/>
      <c r="BJ687" s="178"/>
      <c r="BK687" s="178"/>
      <c r="BL687" s="178"/>
      <c r="BM687" s="178"/>
      <c r="BN687" s="178"/>
      <c r="BO687" s="178"/>
      <c r="BP687" s="178"/>
      <c r="BQ687" s="196"/>
      <c r="BR687" s="196"/>
      <c r="BS687" s="196"/>
      <c r="BT687" s="196"/>
      <c r="BU687" s="196"/>
      <c r="BV687" s="196"/>
      <c r="BW687" s="178"/>
      <c r="BX687" s="196"/>
      <c r="BY687" s="196"/>
      <c r="BZ687" s="196"/>
      <c r="CA687" s="196"/>
      <c r="CB687" s="178"/>
      <c r="CC687" s="178"/>
      <c r="CD687" s="202"/>
      <c r="CE687" s="202"/>
      <c r="CF687" s="178"/>
      <c r="CG687" s="196"/>
      <c r="CH687" s="178"/>
      <c r="CI687" s="178"/>
      <c r="CJ687" s="178"/>
      <c r="CK687" s="178"/>
      <c r="CL687" s="178"/>
      <c r="CM687" s="178"/>
      <c r="CN687" s="178"/>
      <c r="CO687" s="178"/>
      <c r="CP687" s="178"/>
      <c r="CQ687" s="178"/>
      <c r="CR687" s="178"/>
      <c r="CS687" s="178"/>
      <c r="CT687" s="178"/>
      <c r="CU687" s="178"/>
      <c r="CV687" s="178"/>
      <c r="CW687" s="178"/>
      <c r="CX687" s="178"/>
      <c r="CY687" s="178"/>
      <c r="CZ687" s="178"/>
      <c r="DA687" s="150"/>
    </row>
    <row r="688" spans="53:105" x14ac:dyDescent="0.2">
      <c r="BA688" s="518">
        <f t="shared" ca="1" si="43"/>
        <v>61</v>
      </c>
      <c r="BB688" s="174">
        <f t="shared" ca="1" si="44"/>
        <v>625</v>
      </c>
      <c r="BC688" s="525" t="e">
        <f ca="1">MATCH(BD688,OFFSET(Pinlist!$A$2,BC687*(BA688=BA687),0,$BM$23,1),0)+BC687*(BA688=BA687)</f>
        <v>#N/A</v>
      </c>
      <c r="BD688" s="167">
        <f t="shared" ca="1" si="45"/>
        <v>0</v>
      </c>
      <c r="BE688" s="191" t="e">
        <f ca="1">(OFFSET(Pinlist!$E$1,BC688,0)-$BN$16)*$BN$19</f>
        <v>#N/A</v>
      </c>
      <c r="BF688" s="192" t="e">
        <f ca="1">(OFFSET(Pinlist!$F$1,BC688,0)-$BO$16)*$BO$19</f>
        <v>#N/A</v>
      </c>
      <c r="BG688" s="1098" t="str">
        <f ca="1">IF(LEFT(BD688,2)="RF",OFFSET(Pinlist!$D$1,Chart!BC688,0)&amp;"_"&amp;OFFSET(Pinlist!$G$1,Chart!BC688,0),"")</f>
        <v/>
      </c>
      <c r="BH688" s="1098"/>
      <c r="BI688" s="178"/>
      <c r="BJ688" s="178"/>
      <c r="BK688" s="178"/>
      <c r="BL688" s="178"/>
      <c r="BM688" s="178"/>
      <c r="BN688" s="178"/>
      <c r="BO688" s="178"/>
      <c r="BP688" s="178"/>
      <c r="BQ688" s="196"/>
      <c r="BR688" s="196"/>
      <c r="BS688" s="196"/>
      <c r="BT688" s="196"/>
      <c r="BU688" s="196"/>
      <c r="BV688" s="196"/>
      <c r="BW688" s="178"/>
      <c r="BX688" s="196"/>
      <c r="BY688" s="196"/>
      <c r="BZ688" s="196"/>
      <c r="CA688" s="196"/>
      <c r="CB688" s="178"/>
      <c r="CC688" s="178"/>
      <c r="CD688" s="202"/>
      <c r="CE688" s="202"/>
      <c r="CF688" s="178"/>
      <c r="CG688" s="196"/>
      <c r="CH688" s="178"/>
      <c r="CI688" s="178"/>
      <c r="CJ688" s="178"/>
      <c r="CK688" s="178"/>
      <c r="CL688" s="178"/>
      <c r="CM688" s="178"/>
      <c r="CN688" s="178"/>
      <c r="CO688" s="178"/>
      <c r="CP688" s="178"/>
      <c r="CQ688" s="178"/>
      <c r="CR688" s="178"/>
      <c r="CS688" s="178"/>
      <c r="CT688" s="178"/>
      <c r="CU688" s="178"/>
      <c r="CV688" s="178"/>
      <c r="CW688" s="178"/>
      <c r="CX688" s="178"/>
      <c r="CY688" s="178"/>
      <c r="CZ688" s="178"/>
      <c r="DA688" s="150"/>
    </row>
    <row r="689" spans="53:105" x14ac:dyDescent="0.2">
      <c r="BA689" s="518">
        <f t="shared" ca="1" si="43"/>
        <v>61</v>
      </c>
      <c r="BB689" s="174">
        <f t="shared" ca="1" si="44"/>
        <v>626</v>
      </c>
      <c r="BC689" s="525" t="e">
        <f ca="1">MATCH(BD689,OFFSET(Pinlist!$A$2,BC688*(BA689=BA688),0,$BM$23,1),0)+BC688*(BA689=BA688)</f>
        <v>#N/A</v>
      </c>
      <c r="BD689" s="167">
        <f t="shared" ca="1" si="45"/>
        <v>0</v>
      </c>
      <c r="BE689" s="191" t="e">
        <f ca="1">(OFFSET(Pinlist!$E$1,BC689,0)-$BN$16)*$BN$19</f>
        <v>#N/A</v>
      </c>
      <c r="BF689" s="192" t="e">
        <f ca="1">(OFFSET(Pinlist!$F$1,BC689,0)-$BO$16)*$BO$19</f>
        <v>#N/A</v>
      </c>
      <c r="BG689" s="1098" t="str">
        <f ca="1">IF(LEFT(BD689,2)="RF",OFFSET(Pinlist!$D$1,Chart!BC689,0)&amp;"_"&amp;OFFSET(Pinlist!$G$1,Chart!BC689,0),"")</f>
        <v/>
      </c>
      <c r="BH689" s="1098"/>
      <c r="BI689" s="178"/>
      <c r="BJ689" s="178"/>
      <c r="BK689" s="178"/>
      <c r="BL689" s="178"/>
      <c r="BM689" s="178"/>
      <c r="BN689" s="178"/>
      <c r="BO689" s="178"/>
      <c r="BP689" s="178"/>
      <c r="BQ689" s="196"/>
      <c r="BR689" s="196"/>
      <c r="BS689" s="196"/>
      <c r="BT689" s="196"/>
      <c r="BU689" s="196"/>
      <c r="BV689" s="196"/>
      <c r="BW689" s="178"/>
      <c r="BX689" s="196"/>
      <c r="BY689" s="196"/>
      <c r="BZ689" s="196"/>
      <c r="CA689" s="196"/>
      <c r="CB689" s="178"/>
      <c r="CC689" s="178"/>
      <c r="CD689" s="202"/>
      <c r="CE689" s="202"/>
      <c r="CF689" s="178"/>
      <c r="CG689" s="196"/>
      <c r="CH689" s="178"/>
      <c r="CI689" s="178"/>
      <c r="CJ689" s="178"/>
      <c r="CK689" s="178"/>
      <c r="CL689" s="178"/>
      <c r="CM689" s="178"/>
      <c r="CN689" s="178"/>
      <c r="CO689" s="178"/>
      <c r="CP689" s="178"/>
      <c r="CQ689" s="178"/>
      <c r="CR689" s="178"/>
      <c r="CS689" s="178"/>
      <c r="CT689" s="178"/>
      <c r="CU689" s="178"/>
      <c r="CV689" s="178"/>
      <c r="CW689" s="178"/>
      <c r="CX689" s="178"/>
      <c r="CY689" s="178"/>
      <c r="CZ689" s="178"/>
      <c r="DA689" s="150"/>
    </row>
    <row r="690" spans="53:105" x14ac:dyDescent="0.2">
      <c r="BA690" s="518">
        <f t="shared" ca="1" si="43"/>
        <v>61</v>
      </c>
      <c r="BB690" s="174">
        <f t="shared" ca="1" si="44"/>
        <v>627</v>
      </c>
      <c r="BC690" s="525" t="e">
        <f ca="1">MATCH(BD690,OFFSET(Pinlist!$A$2,BC689*(BA690=BA689),0,$BM$23,1),0)+BC689*(BA690=BA689)</f>
        <v>#N/A</v>
      </c>
      <c r="BD690" s="167">
        <f t="shared" ca="1" si="45"/>
        <v>0</v>
      </c>
      <c r="BE690" s="191" t="e">
        <f ca="1">(OFFSET(Pinlist!$E$1,BC690,0)-$BN$16)*$BN$19</f>
        <v>#N/A</v>
      </c>
      <c r="BF690" s="192" t="e">
        <f ca="1">(OFFSET(Pinlist!$F$1,BC690,0)-$BO$16)*$BO$19</f>
        <v>#N/A</v>
      </c>
      <c r="BG690" s="1098" t="str">
        <f ca="1">IF(LEFT(BD690,2)="RF",OFFSET(Pinlist!$D$1,Chart!BC690,0)&amp;"_"&amp;OFFSET(Pinlist!$G$1,Chart!BC690,0),"")</f>
        <v/>
      </c>
      <c r="BH690" s="1098"/>
      <c r="BI690" s="178"/>
      <c r="BJ690" s="178"/>
      <c r="BK690" s="178"/>
      <c r="BL690" s="178"/>
      <c r="BM690" s="178"/>
      <c r="BN690" s="178"/>
      <c r="BO690" s="178"/>
      <c r="BP690" s="178"/>
      <c r="BQ690" s="196"/>
      <c r="BR690" s="196"/>
      <c r="BS690" s="196"/>
      <c r="BT690" s="196"/>
      <c r="BU690" s="196"/>
      <c r="BV690" s="196"/>
      <c r="BW690" s="178"/>
      <c r="BX690" s="196"/>
      <c r="BY690" s="196"/>
      <c r="BZ690" s="196"/>
      <c r="CA690" s="196"/>
      <c r="CB690" s="178"/>
      <c r="CC690" s="178"/>
      <c r="CD690" s="202"/>
      <c r="CE690" s="202"/>
      <c r="CF690" s="178"/>
      <c r="CG690" s="196"/>
      <c r="CH690" s="178"/>
      <c r="CI690" s="178"/>
      <c r="CJ690" s="178"/>
      <c r="CK690" s="178"/>
      <c r="CL690" s="178"/>
      <c r="CM690" s="178"/>
      <c r="CN690" s="178"/>
      <c r="CO690" s="178"/>
      <c r="CP690" s="178"/>
      <c r="CQ690" s="178"/>
      <c r="CR690" s="178"/>
      <c r="CS690" s="178"/>
      <c r="CT690" s="178"/>
      <c r="CU690" s="178"/>
      <c r="CV690" s="178"/>
      <c r="CW690" s="178"/>
      <c r="CX690" s="178"/>
      <c r="CY690" s="178"/>
      <c r="CZ690" s="178"/>
      <c r="DA690" s="150"/>
    </row>
    <row r="691" spans="53:105" x14ac:dyDescent="0.2">
      <c r="BA691" s="518">
        <f t="shared" ca="1" si="43"/>
        <v>61</v>
      </c>
      <c r="BB691" s="174">
        <f t="shared" ca="1" si="44"/>
        <v>628</v>
      </c>
      <c r="BC691" s="525" t="e">
        <f ca="1">MATCH(BD691,OFFSET(Pinlist!$A$2,BC690*(BA691=BA690),0,$BM$23,1),0)+BC690*(BA691=BA690)</f>
        <v>#N/A</v>
      </c>
      <c r="BD691" s="167">
        <f t="shared" ca="1" si="45"/>
        <v>0</v>
      </c>
      <c r="BE691" s="191" t="e">
        <f ca="1">(OFFSET(Pinlist!$E$1,BC691,0)-$BN$16)*$BN$19</f>
        <v>#N/A</v>
      </c>
      <c r="BF691" s="192" t="e">
        <f ca="1">(OFFSET(Pinlist!$F$1,BC691,0)-$BO$16)*$BO$19</f>
        <v>#N/A</v>
      </c>
      <c r="BG691" s="1098" t="str">
        <f ca="1">IF(LEFT(BD691,2)="RF",OFFSET(Pinlist!$D$1,Chart!BC691,0)&amp;"_"&amp;OFFSET(Pinlist!$G$1,Chart!BC691,0),"")</f>
        <v/>
      </c>
      <c r="BH691" s="1098"/>
      <c r="BI691" s="178"/>
      <c r="BJ691" s="178"/>
      <c r="BK691" s="178"/>
      <c r="BL691" s="178"/>
      <c r="BM691" s="178"/>
      <c r="BN691" s="178"/>
      <c r="BO691" s="178"/>
      <c r="BP691" s="178"/>
      <c r="BQ691" s="196"/>
      <c r="BR691" s="196"/>
      <c r="BS691" s="196"/>
      <c r="BT691" s="196"/>
      <c r="BU691" s="196"/>
      <c r="BV691" s="196"/>
      <c r="BW691" s="178"/>
      <c r="BX691" s="196"/>
      <c r="BY691" s="196"/>
      <c r="BZ691" s="196"/>
      <c r="CA691" s="196"/>
      <c r="CB691" s="178"/>
      <c r="CC691" s="178"/>
      <c r="CD691" s="202"/>
      <c r="CE691" s="202"/>
      <c r="CF691" s="178"/>
      <c r="CG691" s="196"/>
      <c r="CH691" s="178"/>
      <c r="CI691" s="178"/>
      <c r="CJ691" s="178"/>
      <c r="CK691" s="178"/>
      <c r="CL691" s="178"/>
      <c r="CM691" s="178"/>
      <c r="CN691" s="178"/>
      <c r="CO691" s="178"/>
      <c r="CP691" s="178"/>
      <c r="CQ691" s="178"/>
      <c r="CR691" s="178"/>
      <c r="CS691" s="178"/>
      <c r="CT691" s="178"/>
      <c r="CU691" s="178"/>
      <c r="CV691" s="178"/>
      <c r="CW691" s="178"/>
      <c r="CX691" s="178"/>
      <c r="CY691" s="178"/>
      <c r="CZ691" s="178"/>
      <c r="DA691" s="150"/>
    </row>
    <row r="692" spans="53:105" x14ac:dyDescent="0.2">
      <c r="BA692" s="518">
        <f t="shared" ca="1" si="43"/>
        <v>61</v>
      </c>
      <c r="BB692" s="174">
        <f t="shared" ca="1" si="44"/>
        <v>629</v>
      </c>
      <c r="BC692" s="525" t="e">
        <f ca="1">MATCH(BD692,OFFSET(Pinlist!$A$2,BC691*(BA692=BA691),0,$BM$23,1),0)+BC691*(BA692=BA691)</f>
        <v>#N/A</v>
      </c>
      <c r="BD692" s="167">
        <f t="shared" ca="1" si="45"/>
        <v>0</v>
      </c>
      <c r="BE692" s="191" t="e">
        <f ca="1">(OFFSET(Pinlist!$E$1,BC692,0)-$BN$16)*$BN$19</f>
        <v>#N/A</v>
      </c>
      <c r="BF692" s="192" t="e">
        <f ca="1">(OFFSET(Pinlist!$F$1,BC692,0)-$BO$16)*$BO$19</f>
        <v>#N/A</v>
      </c>
      <c r="BG692" s="1098" t="str">
        <f ca="1">IF(LEFT(BD692,2)="RF",OFFSET(Pinlist!$D$1,Chart!BC692,0)&amp;"_"&amp;OFFSET(Pinlist!$G$1,Chart!BC692,0),"")</f>
        <v/>
      </c>
      <c r="BH692" s="1098"/>
      <c r="BI692" s="178"/>
      <c r="BJ692" s="178"/>
      <c r="BK692" s="178"/>
      <c r="BL692" s="178"/>
      <c r="BM692" s="178"/>
      <c r="BN692" s="178"/>
      <c r="BO692" s="178"/>
      <c r="BP692" s="178"/>
      <c r="BQ692" s="196"/>
      <c r="BR692" s="196"/>
      <c r="BS692" s="196"/>
      <c r="BT692" s="196"/>
      <c r="BU692" s="196"/>
      <c r="BV692" s="196"/>
      <c r="BW692" s="178"/>
      <c r="BX692" s="196"/>
      <c r="BY692" s="196"/>
      <c r="BZ692" s="196"/>
      <c r="CA692" s="196"/>
      <c r="CB692" s="178"/>
      <c r="CC692" s="178"/>
      <c r="CD692" s="202"/>
      <c r="CE692" s="202"/>
      <c r="CF692" s="178"/>
      <c r="CG692" s="196"/>
      <c r="CH692" s="178"/>
      <c r="CI692" s="178"/>
      <c r="CJ692" s="178"/>
      <c r="CK692" s="178"/>
      <c r="CL692" s="178"/>
      <c r="CM692" s="178"/>
      <c r="CN692" s="178"/>
      <c r="CO692" s="178"/>
      <c r="CP692" s="178"/>
      <c r="CQ692" s="178"/>
      <c r="CR692" s="178"/>
      <c r="CS692" s="178"/>
      <c r="CT692" s="178"/>
      <c r="CU692" s="178"/>
      <c r="CV692" s="178"/>
      <c r="CW692" s="178"/>
      <c r="CX692" s="178"/>
      <c r="CY692" s="178"/>
      <c r="CZ692" s="178"/>
      <c r="DA692" s="150"/>
    </row>
    <row r="693" spans="53:105" x14ac:dyDescent="0.2">
      <c r="BA693" s="518">
        <f t="shared" ca="1" si="43"/>
        <v>61</v>
      </c>
      <c r="BB693" s="174">
        <f t="shared" ca="1" si="44"/>
        <v>630</v>
      </c>
      <c r="BC693" s="525" t="e">
        <f ca="1">MATCH(BD693,OFFSET(Pinlist!$A$2,BC692*(BA693=BA692),0,$BM$23,1),0)+BC692*(BA693=BA692)</f>
        <v>#N/A</v>
      </c>
      <c r="BD693" s="167">
        <f t="shared" ca="1" si="45"/>
        <v>0</v>
      </c>
      <c r="BE693" s="191" t="e">
        <f ca="1">(OFFSET(Pinlist!$E$1,BC693,0)-$BN$16)*$BN$19</f>
        <v>#N/A</v>
      </c>
      <c r="BF693" s="192" t="e">
        <f ca="1">(OFFSET(Pinlist!$F$1,BC693,0)-$BO$16)*$BO$19</f>
        <v>#N/A</v>
      </c>
      <c r="BG693" s="1098" t="str">
        <f ca="1">IF(LEFT(BD693,2)="RF",OFFSET(Pinlist!$D$1,Chart!BC693,0)&amp;"_"&amp;OFFSET(Pinlist!$G$1,Chart!BC693,0),"")</f>
        <v/>
      </c>
      <c r="BH693" s="1098"/>
      <c r="BI693" s="178"/>
      <c r="BJ693" s="178"/>
      <c r="BK693" s="178"/>
      <c r="BL693" s="178"/>
      <c r="BM693" s="178"/>
      <c r="BN693" s="178"/>
      <c r="BO693" s="178"/>
      <c r="BP693" s="178"/>
      <c r="BQ693" s="196"/>
      <c r="BR693" s="196"/>
      <c r="BS693" s="196"/>
      <c r="BT693" s="196"/>
      <c r="BU693" s="196"/>
      <c r="BV693" s="196"/>
      <c r="BW693" s="178"/>
      <c r="BX693" s="196"/>
      <c r="BY693" s="196"/>
      <c r="BZ693" s="196"/>
      <c r="CA693" s="196"/>
      <c r="CB693" s="178"/>
      <c r="CC693" s="178"/>
      <c r="CD693" s="202"/>
      <c r="CE693" s="202"/>
      <c r="CF693" s="178"/>
      <c r="CG693" s="196"/>
      <c r="CH693" s="178"/>
      <c r="CI693" s="178"/>
      <c r="CJ693" s="178"/>
      <c r="CK693" s="178"/>
      <c r="CL693" s="178"/>
      <c r="CM693" s="178"/>
      <c r="CN693" s="178"/>
      <c r="CO693" s="178"/>
      <c r="CP693" s="178"/>
      <c r="CQ693" s="178"/>
      <c r="CR693" s="178"/>
      <c r="CS693" s="178"/>
      <c r="CT693" s="178"/>
      <c r="CU693" s="178"/>
      <c r="CV693" s="178"/>
      <c r="CW693" s="178"/>
      <c r="CX693" s="178"/>
      <c r="CY693" s="178"/>
      <c r="CZ693" s="178"/>
      <c r="DA693" s="150"/>
    </row>
    <row r="694" spans="53:105" x14ac:dyDescent="0.2">
      <c r="BA694" s="518">
        <f t="shared" ca="1" si="43"/>
        <v>61</v>
      </c>
      <c r="BB694" s="174">
        <f t="shared" ca="1" si="44"/>
        <v>631</v>
      </c>
      <c r="BC694" s="525" t="e">
        <f ca="1">MATCH(BD694,OFFSET(Pinlist!$A$2,BC693*(BA694=BA693),0,$BM$23,1),0)+BC693*(BA694=BA693)</f>
        <v>#N/A</v>
      </c>
      <c r="BD694" s="167">
        <f t="shared" ca="1" si="45"/>
        <v>0</v>
      </c>
      <c r="BE694" s="191" t="e">
        <f ca="1">(OFFSET(Pinlist!$E$1,BC694,0)-$BN$16)*$BN$19</f>
        <v>#N/A</v>
      </c>
      <c r="BF694" s="192" t="e">
        <f ca="1">(OFFSET(Pinlist!$F$1,BC694,0)-$BO$16)*$BO$19</f>
        <v>#N/A</v>
      </c>
      <c r="BG694" s="1098" t="str">
        <f ca="1">IF(LEFT(BD694,2)="RF",OFFSET(Pinlist!$D$1,Chart!BC694,0)&amp;"_"&amp;OFFSET(Pinlist!$G$1,Chart!BC694,0),"")</f>
        <v/>
      </c>
      <c r="BH694" s="1098"/>
      <c r="BI694" s="178"/>
      <c r="BJ694" s="178"/>
      <c r="BK694" s="178"/>
      <c r="BL694" s="178"/>
      <c r="BM694" s="178"/>
      <c r="BN694" s="178"/>
      <c r="BO694" s="178"/>
      <c r="BP694" s="178"/>
      <c r="BQ694" s="196"/>
      <c r="BR694" s="196"/>
      <c r="BS694" s="196"/>
      <c r="BT694" s="196"/>
      <c r="BU694" s="196"/>
      <c r="BV694" s="196"/>
      <c r="BW694" s="178"/>
      <c r="BX694" s="196"/>
      <c r="BY694" s="196"/>
      <c r="BZ694" s="196"/>
      <c r="CA694" s="196"/>
      <c r="CB694" s="178"/>
      <c r="CC694" s="178"/>
      <c r="CD694" s="202"/>
      <c r="CE694" s="202"/>
      <c r="CF694" s="178"/>
      <c r="CG694" s="196"/>
      <c r="CH694" s="178"/>
      <c r="CI694" s="178"/>
      <c r="CJ694" s="178"/>
      <c r="CK694" s="178"/>
      <c r="CL694" s="178"/>
      <c r="CM694" s="178"/>
      <c r="CN694" s="178"/>
      <c r="CO694" s="178"/>
      <c r="CP694" s="178"/>
      <c r="CQ694" s="178"/>
      <c r="CR694" s="178"/>
      <c r="CS694" s="178"/>
      <c r="CT694" s="178"/>
      <c r="CU694" s="178"/>
      <c r="CV694" s="178"/>
      <c r="CW694" s="178"/>
      <c r="CX694" s="178"/>
      <c r="CY694" s="178"/>
      <c r="CZ694" s="178"/>
      <c r="DA694" s="150"/>
    </row>
    <row r="695" spans="53:105" x14ac:dyDescent="0.2">
      <c r="BA695" s="518">
        <f t="shared" ca="1" si="43"/>
        <v>61</v>
      </c>
      <c r="BB695" s="174">
        <f t="shared" ca="1" si="44"/>
        <v>632</v>
      </c>
      <c r="BC695" s="525" t="e">
        <f ca="1">MATCH(BD695,OFFSET(Pinlist!$A$2,BC694*(BA695=BA694),0,$BM$23,1),0)+BC694*(BA695=BA694)</f>
        <v>#N/A</v>
      </c>
      <c r="BD695" s="167">
        <f t="shared" ca="1" si="45"/>
        <v>0</v>
      </c>
      <c r="BE695" s="191" t="e">
        <f ca="1">(OFFSET(Pinlist!$E$1,BC695,0)-$BN$16)*$BN$19</f>
        <v>#N/A</v>
      </c>
      <c r="BF695" s="192" t="e">
        <f ca="1">(OFFSET(Pinlist!$F$1,BC695,0)-$BO$16)*$BO$19</f>
        <v>#N/A</v>
      </c>
      <c r="BG695" s="1098" t="str">
        <f ca="1">IF(LEFT(BD695,2)="RF",OFFSET(Pinlist!$D$1,Chart!BC695,0)&amp;"_"&amp;OFFSET(Pinlist!$G$1,Chart!BC695,0),"")</f>
        <v/>
      </c>
      <c r="BH695" s="1098"/>
      <c r="BI695" s="178"/>
      <c r="BJ695" s="178"/>
      <c r="BK695" s="178"/>
      <c r="BL695" s="178"/>
      <c r="BM695" s="178"/>
      <c r="BN695" s="178"/>
      <c r="BO695" s="178"/>
      <c r="BP695" s="178"/>
      <c r="BQ695" s="196"/>
      <c r="BR695" s="196"/>
      <c r="BS695" s="196"/>
      <c r="BT695" s="196"/>
      <c r="BU695" s="196"/>
      <c r="BV695" s="196"/>
      <c r="BW695" s="178"/>
      <c r="BX695" s="196"/>
      <c r="BY695" s="196"/>
      <c r="BZ695" s="196"/>
      <c r="CA695" s="196"/>
      <c r="CB695" s="178"/>
      <c r="CC695" s="178"/>
      <c r="CD695" s="202"/>
      <c r="CE695" s="202"/>
      <c r="CF695" s="178"/>
      <c r="CG695" s="196"/>
      <c r="CH695" s="178"/>
      <c r="CI695" s="178"/>
      <c r="CJ695" s="178"/>
      <c r="CK695" s="178"/>
      <c r="CL695" s="178"/>
      <c r="CM695" s="178"/>
      <c r="CN695" s="178"/>
      <c r="CO695" s="178"/>
      <c r="CP695" s="178"/>
      <c r="CQ695" s="178"/>
      <c r="CR695" s="178"/>
      <c r="CS695" s="178"/>
      <c r="CT695" s="178"/>
      <c r="CU695" s="178"/>
      <c r="CV695" s="178"/>
      <c r="CW695" s="178"/>
      <c r="CX695" s="178"/>
      <c r="CY695" s="178"/>
      <c r="CZ695" s="178"/>
      <c r="DA695" s="150"/>
    </row>
    <row r="696" spans="53:105" x14ac:dyDescent="0.2">
      <c r="BA696" s="518">
        <f t="shared" ca="1" si="43"/>
        <v>61</v>
      </c>
      <c r="BB696" s="174">
        <f t="shared" ca="1" si="44"/>
        <v>633</v>
      </c>
      <c r="BC696" s="525" t="e">
        <f ca="1">MATCH(BD696,OFFSET(Pinlist!$A$2,BC695*(BA696=BA695),0,$BM$23,1),0)+BC695*(BA696=BA695)</f>
        <v>#N/A</v>
      </c>
      <c r="BD696" s="167">
        <f t="shared" ca="1" si="45"/>
        <v>0</v>
      </c>
      <c r="BE696" s="191" t="e">
        <f ca="1">(OFFSET(Pinlist!$E$1,BC696,0)-$BN$16)*$BN$19</f>
        <v>#N/A</v>
      </c>
      <c r="BF696" s="192" t="e">
        <f ca="1">(OFFSET(Pinlist!$F$1,BC696,0)-$BO$16)*$BO$19</f>
        <v>#N/A</v>
      </c>
      <c r="BG696" s="1098" t="str">
        <f ca="1">IF(LEFT(BD696,2)="RF",OFFSET(Pinlist!$D$1,Chart!BC696,0)&amp;"_"&amp;OFFSET(Pinlist!$G$1,Chart!BC696,0),"")</f>
        <v/>
      </c>
      <c r="BH696" s="1098"/>
      <c r="BI696" s="178"/>
      <c r="BJ696" s="178"/>
      <c r="BK696" s="178"/>
      <c r="BL696" s="178"/>
      <c r="BM696" s="178"/>
      <c r="BN696" s="178"/>
      <c r="BO696" s="178"/>
      <c r="BP696" s="178"/>
      <c r="BQ696" s="196"/>
      <c r="BR696" s="196"/>
      <c r="BS696" s="196"/>
      <c r="BT696" s="196"/>
      <c r="BU696" s="196"/>
      <c r="BV696" s="196"/>
      <c r="BW696" s="178"/>
      <c r="BX696" s="196"/>
      <c r="BY696" s="196"/>
      <c r="BZ696" s="196"/>
      <c r="CA696" s="196"/>
      <c r="CB696" s="178"/>
      <c r="CC696" s="178"/>
      <c r="CD696" s="202"/>
      <c r="CE696" s="202"/>
      <c r="CF696" s="178"/>
      <c r="CG696" s="196"/>
      <c r="CH696" s="178"/>
      <c r="CI696" s="178"/>
      <c r="CJ696" s="178"/>
      <c r="CK696" s="178"/>
      <c r="CL696" s="178"/>
      <c r="CM696" s="178"/>
      <c r="CN696" s="178"/>
      <c r="CO696" s="178"/>
      <c r="CP696" s="178"/>
      <c r="CQ696" s="178"/>
      <c r="CR696" s="178"/>
      <c r="CS696" s="178"/>
      <c r="CT696" s="178"/>
      <c r="CU696" s="178"/>
      <c r="CV696" s="178"/>
      <c r="CW696" s="178"/>
      <c r="CX696" s="178"/>
      <c r="CY696" s="178"/>
      <c r="CZ696" s="178"/>
      <c r="DA696" s="150"/>
    </row>
    <row r="697" spans="53:105" x14ac:dyDescent="0.2">
      <c r="BA697" s="518">
        <f t="shared" ca="1" si="43"/>
        <v>61</v>
      </c>
      <c r="BB697" s="174">
        <f t="shared" ca="1" si="44"/>
        <v>634</v>
      </c>
      <c r="BC697" s="525" t="e">
        <f ca="1">MATCH(BD697,OFFSET(Pinlist!$A$2,BC696*(BA697=BA696),0,$BM$23,1),0)+BC696*(BA697=BA696)</f>
        <v>#N/A</v>
      </c>
      <c r="BD697" s="167">
        <f t="shared" ca="1" si="45"/>
        <v>0</v>
      </c>
      <c r="BE697" s="191" t="e">
        <f ca="1">(OFFSET(Pinlist!$E$1,BC697,0)-$BN$16)*$BN$19</f>
        <v>#N/A</v>
      </c>
      <c r="BF697" s="192" t="e">
        <f ca="1">(OFFSET(Pinlist!$F$1,BC697,0)-$BO$16)*$BO$19</f>
        <v>#N/A</v>
      </c>
      <c r="BG697" s="1098" t="str">
        <f ca="1">IF(LEFT(BD697,2)="RF",OFFSET(Pinlist!$D$1,Chart!BC697,0)&amp;"_"&amp;OFFSET(Pinlist!$G$1,Chart!BC697,0),"")</f>
        <v/>
      </c>
      <c r="BH697" s="1098"/>
      <c r="BI697" s="178"/>
      <c r="BJ697" s="178"/>
      <c r="BK697" s="178"/>
      <c r="BL697" s="178"/>
      <c r="BM697" s="178"/>
      <c r="BN697" s="178"/>
      <c r="BO697" s="178"/>
      <c r="BP697" s="178"/>
      <c r="BQ697" s="196"/>
      <c r="BR697" s="196"/>
      <c r="BS697" s="196"/>
      <c r="BT697" s="196"/>
      <c r="BU697" s="196"/>
      <c r="BV697" s="196"/>
      <c r="BW697" s="178"/>
      <c r="BX697" s="196"/>
      <c r="BY697" s="196"/>
      <c r="BZ697" s="196"/>
      <c r="CA697" s="196"/>
      <c r="CB697" s="178"/>
      <c r="CC697" s="178"/>
      <c r="CD697" s="202"/>
      <c r="CE697" s="202"/>
      <c r="CF697" s="178"/>
      <c r="CG697" s="196"/>
      <c r="CH697" s="178"/>
      <c r="CI697" s="178"/>
      <c r="CJ697" s="178"/>
      <c r="CK697" s="178"/>
      <c r="CL697" s="178"/>
      <c r="CM697" s="178"/>
      <c r="CN697" s="178"/>
      <c r="CO697" s="178"/>
      <c r="CP697" s="178"/>
      <c r="CQ697" s="178"/>
      <c r="CR697" s="178"/>
      <c r="CS697" s="178"/>
      <c r="CT697" s="178"/>
      <c r="CU697" s="178"/>
      <c r="CV697" s="178"/>
      <c r="CW697" s="178"/>
      <c r="CX697" s="178"/>
      <c r="CY697" s="178"/>
      <c r="CZ697" s="178"/>
      <c r="DA697" s="150"/>
    </row>
    <row r="698" spans="53:105" x14ac:dyDescent="0.2">
      <c r="BA698" s="518">
        <f t="shared" ca="1" si="43"/>
        <v>61</v>
      </c>
      <c r="BB698" s="174">
        <f t="shared" ca="1" si="44"/>
        <v>635</v>
      </c>
      <c r="BC698" s="525" t="e">
        <f ca="1">MATCH(BD698,OFFSET(Pinlist!$A$2,BC697*(BA698=BA697),0,$BM$23,1),0)+BC697*(BA698=BA697)</f>
        <v>#N/A</v>
      </c>
      <c r="BD698" s="167">
        <f t="shared" ca="1" si="45"/>
        <v>0</v>
      </c>
      <c r="BE698" s="191" t="e">
        <f ca="1">(OFFSET(Pinlist!$E$1,BC698,0)-$BN$16)*$BN$19</f>
        <v>#N/A</v>
      </c>
      <c r="BF698" s="192" t="e">
        <f ca="1">(OFFSET(Pinlist!$F$1,BC698,0)-$BO$16)*$BO$19</f>
        <v>#N/A</v>
      </c>
      <c r="BG698" s="1098" t="str">
        <f ca="1">IF(LEFT(BD698,2)="RF",OFFSET(Pinlist!$D$1,Chart!BC698,0)&amp;"_"&amp;OFFSET(Pinlist!$G$1,Chart!BC698,0),"")</f>
        <v/>
      </c>
      <c r="BH698" s="1098"/>
      <c r="BI698" s="178"/>
      <c r="BJ698" s="178"/>
      <c r="BK698" s="178"/>
      <c r="BL698" s="178"/>
      <c r="BM698" s="178"/>
      <c r="BN698" s="178"/>
      <c r="BO698" s="178"/>
      <c r="BP698" s="178"/>
      <c r="BQ698" s="196"/>
      <c r="BR698" s="196"/>
      <c r="BS698" s="196"/>
      <c r="BT698" s="196"/>
      <c r="BU698" s="196"/>
      <c r="BV698" s="196"/>
      <c r="BW698" s="178"/>
      <c r="BX698" s="196"/>
      <c r="BY698" s="196"/>
      <c r="BZ698" s="196"/>
      <c r="CA698" s="196"/>
      <c r="CB698" s="178"/>
      <c r="CC698" s="178"/>
      <c r="CD698" s="202"/>
      <c r="CE698" s="202"/>
      <c r="CF698" s="178"/>
      <c r="CG698" s="196"/>
      <c r="CH698" s="178"/>
      <c r="CI698" s="178"/>
      <c r="CJ698" s="178"/>
      <c r="CK698" s="178"/>
      <c r="CL698" s="178"/>
      <c r="CM698" s="178"/>
      <c r="CN698" s="178"/>
      <c r="CO698" s="178"/>
      <c r="CP698" s="178"/>
      <c r="CQ698" s="178"/>
      <c r="CR698" s="178"/>
      <c r="CS698" s="178"/>
      <c r="CT698" s="178"/>
      <c r="CU698" s="178"/>
      <c r="CV698" s="178"/>
      <c r="CW698" s="178"/>
      <c r="CX698" s="178"/>
      <c r="CY698" s="178"/>
      <c r="CZ698" s="178"/>
      <c r="DA698" s="150"/>
    </row>
    <row r="699" spans="53:105" x14ac:dyDescent="0.2">
      <c r="BA699" s="518">
        <f t="shared" ca="1" si="43"/>
        <v>61</v>
      </c>
      <c r="BB699" s="174">
        <f t="shared" ca="1" si="44"/>
        <v>636</v>
      </c>
      <c r="BC699" s="525" t="e">
        <f ca="1">MATCH(BD699,OFFSET(Pinlist!$A$2,BC698*(BA699=BA698),0,$BM$23,1),0)+BC698*(BA699=BA698)</f>
        <v>#N/A</v>
      </c>
      <c r="BD699" s="167">
        <f t="shared" ca="1" si="45"/>
        <v>0</v>
      </c>
      <c r="BE699" s="191" t="e">
        <f ca="1">(OFFSET(Pinlist!$E$1,BC699,0)-$BN$16)*$BN$19</f>
        <v>#N/A</v>
      </c>
      <c r="BF699" s="192" t="e">
        <f ca="1">(OFFSET(Pinlist!$F$1,BC699,0)-$BO$16)*$BO$19</f>
        <v>#N/A</v>
      </c>
      <c r="BG699" s="1098" t="str">
        <f ca="1">IF(LEFT(BD699,2)="RF",OFFSET(Pinlist!$D$1,Chart!BC699,0)&amp;"_"&amp;OFFSET(Pinlist!$G$1,Chart!BC699,0),"")</f>
        <v/>
      </c>
      <c r="BH699" s="1098"/>
      <c r="BI699" s="178"/>
      <c r="BJ699" s="178"/>
      <c r="BK699" s="178"/>
      <c r="BL699" s="178"/>
      <c r="BM699" s="178"/>
      <c r="BN699" s="178"/>
      <c r="BO699" s="178"/>
      <c r="BP699" s="178"/>
      <c r="BQ699" s="196"/>
      <c r="BR699" s="196"/>
      <c r="BS699" s="196"/>
      <c r="BT699" s="196"/>
      <c r="BU699" s="196"/>
      <c r="BV699" s="196"/>
      <c r="BW699" s="178"/>
      <c r="BX699" s="196"/>
      <c r="BY699" s="196"/>
      <c r="BZ699" s="196"/>
      <c r="CA699" s="196"/>
      <c r="CB699" s="178"/>
      <c r="CC699" s="178"/>
      <c r="CD699" s="202"/>
      <c r="CE699" s="202"/>
      <c r="CF699" s="178"/>
      <c r="CG699" s="196"/>
      <c r="CH699" s="178"/>
      <c r="CI699" s="178"/>
      <c r="CJ699" s="178"/>
      <c r="CK699" s="178"/>
      <c r="CL699" s="178"/>
      <c r="CM699" s="178"/>
      <c r="CN699" s="178"/>
      <c r="CO699" s="178"/>
      <c r="CP699" s="178"/>
      <c r="CQ699" s="178"/>
      <c r="CR699" s="178"/>
      <c r="CS699" s="178"/>
      <c r="CT699" s="178"/>
      <c r="CU699" s="178"/>
      <c r="CV699" s="178"/>
      <c r="CW699" s="178"/>
      <c r="CX699" s="178"/>
      <c r="CY699" s="178"/>
      <c r="CZ699" s="178"/>
      <c r="DA699" s="150"/>
    </row>
    <row r="700" spans="53:105" x14ac:dyDescent="0.2">
      <c r="BA700" s="518">
        <f t="shared" ca="1" si="43"/>
        <v>61</v>
      </c>
      <c r="BB700" s="174">
        <f t="shared" ca="1" si="44"/>
        <v>637</v>
      </c>
      <c r="BC700" s="525" t="e">
        <f ca="1">MATCH(BD700,OFFSET(Pinlist!$A$2,BC699*(BA700=BA699),0,$BM$23,1),0)+BC699*(BA700=BA699)</f>
        <v>#N/A</v>
      </c>
      <c r="BD700" s="167">
        <f t="shared" ca="1" si="45"/>
        <v>0</v>
      </c>
      <c r="BE700" s="191" t="e">
        <f ca="1">(OFFSET(Pinlist!$E$1,BC700,0)-$BN$16)*$BN$19</f>
        <v>#N/A</v>
      </c>
      <c r="BF700" s="192" t="e">
        <f ca="1">(OFFSET(Pinlist!$F$1,BC700,0)-$BO$16)*$BO$19</f>
        <v>#N/A</v>
      </c>
      <c r="BG700" s="1098" t="str">
        <f ca="1">IF(LEFT(BD700,2)="RF",OFFSET(Pinlist!$D$1,Chart!BC700,0)&amp;"_"&amp;OFFSET(Pinlist!$G$1,Chart!BC700,0),"")</f>
        <v/>
      </c>
      <c r="BH700" s="1098"/>
      <c r="BI700" s="178"/>
      <c r="BJ700" s="178"/>
      <c r="BK700" s="178"/>
      <c r="BL700" s="178"/>
      <c r="BM700" s="178"/>
      <c r="BN700" s="178"/>
      <c r="BO700" s="178"/>
      <c r="BP700" s="178"/>
      <c r="BQ700" s="196"/>
      <c r="BR700" s="196"/>
      <c r="BS700" s="196"/>
      <c r="BT700" s="196"/>
      <c r="BU700" s="196"/>
      <c r="BV700" s="196"/>
      <c r="BW700" s="178"/>
      <c r="BX700" s="196"/>
      <c r="BY700" s="196"/>
      <c r="BZ700" s="196"/>
      <c r="CA700" s="196"/>
      <c r="CB700" s="178"/>
      <c r="CC700" s="178"/>
      <c r="CD700" s="202"/>
      <c r="CE700" s="202"/>
      <c r="CF700" s="178"/>
      <c r="CG700" s="196"/>
      <c r="CH700" s="178"/>
      <c r="CI700" s="178"/>
      <c r="CJ700" s="178"/>
      <c r="CK700" s="178"/>
      <c r="CL700" s="178"/>
      <c r="CM700" s="178"/>
      <c r="CN700" s="178"/>
      <c r="CO700" s="178"/>
      <c r="CP700" s="178"/>
      <c r="CQ700" s="178"/>
      <c r="CR700" s="178"/>
      <c r="CS700" s="178"/>
      <c r="CT700" s="178"/>
      <c r="CU700" s="178"/>
      <c r="CV700" s="178"/>
      <c r="CW700" s="178"/>
      <c r="CX700" s="178"/>
      <c r="CY700" s="178"/>
      <c r="CZ700" s="178"/>
      <c r="DA700" s="150"/>
    </row>
    <row r="701" spans="53:105" x14ac:dyDescent="0.2">
      <c r="BA701" s="518">
        <f t="shared" ca="1" si="43"/>
        <v>61</v>
      </c>
      <c r="BB701" s="174">
        <f t="shared" ca="1" si="44"/>
        <v>638</v>
      </c>
      <c r="BC701" s="525" t="e">
        <f ca="1">MATCH(BD701,OFFSET(Pinlist!$A$2,BC700*(BA701=BA700),0,$BM$23,1),0)+BC700*(BA701=BA700)</f>
        <v>#N/A</v>
      </c>
      <c r="BD701" s="167">
        <f t="shared" ca="1" si="45"/>
        <v>0</v>
      </c>
      <c r="BE701" s="191" t="e">
        <f ca="1">(OFFSET(Pinlist!$E$1,BC701,0)-$BN$16)*$BN$19</f>
        <v>#N/A</v>
      </c>
      <c r="BF701" s="192" t="e">
        <f ca="1">(OFFSET(Pinlist!$F$1,BC701,0)-$BO$16)*$BO$19</f>
        <v>#N/A</v>
      </c>
      <c r="BG701" s="1098" t="str">
        <f ca="1">IF(LEFT(BD701,2)="RF",OFFSET(Pinlist!$D$1,Chart!BC701,0)&amp;"_"&amp;OFFSET(Pinlist!$G$1,Chart!BC701,0),"")</f>
        <v/>
      </c>
      <c r="BH701" s="1098"/>
      <c r="BI701" s="178"/>
      <c r="BJ701" s="178"/>
      <c r="BK701" s="178"/>
      <c r="BL701" s="178"/>
      <c r="BM701" s="178"/>
      <c r="BN701" s="178"/>
      <c r="BO701" s="178"/>
      <c r="BP701" s="178"/>
      <c r="BQ701" s="196"/>
      <c r="BR701" s="196"/>
      <c r="BS701" s="196"/>
      <c r="BT701" s="196"/>
      <c r="BU701" s="196"/>
      <c r="BV701" s="196"/>
      <c r="BW701" s="178"/>
      <c r="BX701" s="196"/>
      <c r="BY701" s="196"/>
      <c r="BZ701" s="196"/>
      <c r="CA701" s="196"/>
      <c r="CB701" s="178"/>
      <c r="CC701" s="178"/>
      <c r="CD701" s="202"/>
      <c r="CE701" s="202"/>
      <c r="CF701" s="178"/>
      <c r="CG701" s="196"/>
      <c r="CH701" s="178"/>
      <c r="CI701" s="178"/>
      <c r="CJ701" s="178"/>
      <c r="CK701" s="178"/>
      <c r="CL701" s="178"/>
      <c r="CM701" s="178"/>
      <c r="CN701" s="178"/>
      <c r="CO701" s="178"/>
      <c r="CP701" s="178"/>
      <c r="CQ701" s="178"/>
      <c r="CR701" s="178"/>
      <c r="CS701" s="178"/>
      <c r="CT701" s="178"/>
      <c r="CU701" s="178"/>
      <c r="CV701" s="178"/>
      <c r="CW701" s="178"/>
      <c r="CX701" s="178"/>
      <c r="CY701" s="178"/>
      <c r="CZ701" s="178"/>
      <c r="DA701" s="150"/>
    </row>
    <row r="702" spans="53:105" x14ac:dyDescent="0.2">
      <c r="BA702" s="518">
        <f t="shared" ca="1" si="43"/>
        <v>61</v>
      </c>
      <c r="BB702" s="174">
        <f t="shared" ca="1" si="44"/>
        <v>639</v>
      </c>
      <c r="BC702" s="525" t="e">
        <f ca="1">MATCH(BD702,OFFSET(Pinlist!$A$2,BC701*(BA702=BA701),0,$BM$23,1),0)+BC701*(BA702=BA701)</f>
        <v>#N/A</v>
      </c>
      <c r="BD702" s="167">
        <f t="shared" ca="1" si="45"/>
        <v>0</v>
      </c>
      <c r="BE702" s="191" t="e">
        <f ca="1">(OFFSET(Pinlist!$E$1,BC702,0)-$BN$16)*$BN$19</f>
        <v>#N/A</v>
      </c>
      <c r="BF702" s="192" t="e">
        <f ca="1">(OFFSET(Pinlist!$F$1,BC702,0)-$BO$16)*$BO$19</f>
        <v>#N/A</v>
      </c>
      <c r="BG702" s="1098" t="str">
        <f ca="1">IF(LEFT(BD702,2)="RF",OFFSET(Pinlist!$D$1,Chart!BC702,0)&amp;"_"&amp;OFFSET(Pinlist!$G$1,Chart!BC702,0),"")</f>
        <v/>
      </c>
      <c r="BH702" s="1098"/>
      <c r="BI702" s="178"/>
      <c r="BJ702" s="178"/>
      <c r="BK702" s="178"/>
      <c r="BL702" s="178"/>
      <c r="BM702" s="178"/>
      <c r="BN702" s="178"/>
      <c r="BO702" s="178"/>
      <c r="BP702" s="178"/>
      <c r="BQ702" s="196"/>
      <c r="BR702" s="196"/>
      <c r="BS702" s="196"/>
      <c r="BT702" s="196"/>
      <c r="BU702" s="196"/>
      <c r="BV702" s="196"/>
      <c r="BW702" s="178"/>
      <c r="BX702" s="196"/>
      <c r="BY702" s="196"/>
      <c r="BZ702" s="196"/>
      <c r="CA702" s="196"/>
      <c r="CB702" s="178"/>
      <c r="CC702" s="178"/>
      <c r="CD702" s="202"/>
      <c r="CE702" s="202"/>
      <c r="CF702" s="178"/>
      <c r="CG702" s="196"/>
      <c r="CH702" s="178"/>
      <c r="CI702" s="178"/>
      <c r="CJ702" s="178"/>
      <c r="CK702" s="178"/>
      <c r="CL702" s="178"/>
      <c r="CM702" s="178"/>
      <c r="CN702" s="178"/>
      <c r="CO702" s="178"/>
      <c r="CP702" s="178"/>
      <c r="CQ702" s="178"/>
      <c r="CR702" s="178"/>
      <c r="CS702" s="178"/>
      <c r="CT702" s="178"/>
      <c r="CU702" s="178"/>
      <c r="CV702" s="178"/>
      <c r="CW702" s="178"/>
      <c r="CX702" s="178"/>
      <c r="CY702" s="178"/>
      <c r="CZ702" s="178"/>
      <c r="DA702" s="150"/>
    </row>
    <row r="703" spans="53:105" x14ac:dyDescent="0.2">
      <c r="BA703" s="518">
        <f t="shared" ca="1" si="43"/>
        <v>61</v>
      </c>
      <c r="BB703" s="174">
        <f t="shared" ca="1" si="44"/>
        <v>640</v>
      </c>
      <c r="BC703" s="525" t="e">
        <f ca="1">MATCH(BD703,OFFSET(Pinlist!$A$2,BC702*(BA703=BA702),0,$BM$23,1),0)+BC702*(BA703=BA702)</f>
        <v>#N/A</v>
      </c>
      <c r="BD703" s="167">
        <f t="shared" ca="1" si="45"/>
        <v>0</v>
      </c>
      <c r="BE703" s="191" t="e">
        <f ca="1">(OFFSET(Pinlist!$E$1,BC703,0)-$BN$16)*$BN$19</f>
        <v>#N/A</v>
      </c>
      <c r="BF703" s="192" t="e">
        <f ca="1">(OFFSET(Pinlist!$F$1,BC703,0)-$BO$16)*$BO$19</f>
        <v>#N/A</v>
      </c>
      <c r="BG703" s="1098" t="str">
        <f ca="1">IF(LEFT(BD703,2)="RF",OFFSET(Pinlist!$D$1,Chart!BC703,0)&amp;"_"&amp;OFFSET(Pinlist!$G$1,Chart!BC703,0),"")</f>
        <v/>
      </c>
      <c r="BH703" s="1098"/>
      <c r="BI703" s="178"/>
      <c r="BJ703" s="178"/>
      <c r="BK703" s="178"/>
      <c r="BL703" s="178"/>
      <c r="BM703" s="178"/>
      <c r="BN703" s="178"/>
      <c r="BO703" s="178"/>
      <c r="BP703" s="178"/>
      <c r="BQ703" s="196"/>
      <c r="BR703" s="196"/>
      <c r="BS703" s="196"/>
      <c r="BT703" s="196"/>
      <c r="BU703" s="196"/>
      <c r="BV703" s="196"/>
      <c r="BW703" s="178"/>
      <c r="BX703" s="196"/>
      <c r="BY703" s="196"/>
      <c r="BZ703" s="196"/>
      <c r="CA703" s="196"/>
      <c r="CB703" s="178"/>
      <c r="CC703" s="178"/>
      <c r="CD703" s="202"/>
      <c r="CE703" s="202"/>
      <c r="CF703" s="178"/>
      <c r="CG703" s="196"/>
      <c r="CH703" s="178"/>
      <c r="CI703" s="178"/>
      <c r="CJ703" s="178"/>
      <c r="CK703" s="178"/>
      <c r="CL703" s="178"/>
      <c r="CM703" s="178"/>
      <c r="CN703" s="178"/>
      <c r="CO703" s="178"/>
      <c r="CP703" s="178"/>
      <c r="CQ703" s="178"/>
      <c r="CR703" s="178"/>
      <c r="CS703" s="178"/>
      <c r="CT703" s="178"/>
      <c r="CU703" s="178"/>
      <c r="CV703" s="178"/>
      <c r="CW703" s="178"/>
      <c r="CX703" s="178"/>
      <c r="CY703" s="178"/>
      <c r="CZ703" s="178"/>
      <c r="DA703" s="150"/>
    </row>
    <row r="704" spans="53:105" x14ac:dyDescent="0.2">
      <c r="BA704" s="518">
        <f t="shared" ca="1" si="43"/>
        <v>61</v>
      </c>
      <c r="BB704" s="174">
        <f t="shared" ca="1" si="44"/>
        <v>641</v>
      </c>
      <c r="BC704" s="525" t="e">
        <f ca="1">MATCH(BD704,OFFSET(Pinlist!$A$2,BC703*(BA704=BA703),0,$BM$23,1),0)+BC703*(BA704=BA703)</f>
        <v>#N/A</v>
      </c>
      <c r="BD704" s="167">
        <f t="shared" ca="1" si="45"/>
        <v>0</v>
      </c>
      <c r="BE704" s="191" t="e">
        <f ca="1">(OFFSET(Pinlist!$E$1,BC704,0)-$BN$16)*$BN$19</f>
        <v>#N/A</v>
      </c>
      <c r="BF704" s="192" t="e">
        <f ca="1">(OFFSET(Pinlist!$F$1,BC704,0)-$BO$16)*$BO$19</f>
        <v>#N/A</v>
      </c>
      <c r="BG704" s="1098" t="str">
        <f ca="1">IF(LEFT(BD704,2)="RF",OFFSET(Pinlist!$D$1,Chart!BC704,0)&amp;"_"&amp;OFFSET(Pinlist!$G$1,Chart!BC704,0),"")</f>
        <v/>
      </c>
      <c r="BH704" s="1098"/>
      <c r="BI704" s="178"/>
      <c r="BJ704" s="178"/>
      <c r="BK704" s="178"/>
      <c r="BL704" s="178"/>
      <c r="BM704" s="178"/>
      <c r="BN704" s="178"/>
      <c r="BO704" s="178"/>
      <c r="BP704" s="178"/>
      <c r="BQ704" s="196"/>
      <c r="BR704" s="196"/>
      <c r="BS704" s="196"/>
      <c r="BT704" s="196"/>
      <c r="BU704" s="196"/>
      <c r="BV704" s="196"/>
      <c r="BW704" s="178"/>
      <c r="BX704" s="196"/>
      <c r="BY704" s="196"/>
      <c r="BZ704" s="196"/>
      <c r="CA704" s="196"/>
      <c r="CB704" s="178"/>
      <c r="CC704" s="178"/>
      <c r="CD704" s="202"/>
      <c r="CE704" s="202"/>
      <c r="CF704" s="178"/>
      <c r="CG704" s="196"/>
      <c r="CH704" s="178"/>
      <c r="CI704" s="178"/>
      <c r="CJ704" s="178"/>
      <c r="CK704" s="178"/>
      <c r="CL704" s="178"/>
      <c r="CM704" s="178"/>
      <c r="CN704" s="178"/>
      <c r="CO704" s="178"/>
      <c r="CP704" s="178"/>
      <c r="CQ704" s="178"/>
      <c r="CR704" s="178"/>
      <c r="CS704" s="178"/>
      <c r="CT704" s="178"/>
      <c r="CU704" s="178"/>
      <c r="CV704" s="178"/>
      <c r="CW704" s="178"/>
      <c r="CX704" s="178"/>
      <c r="CY704" s="178"/>
      <c r="CZ704" s="178"/>
      <c r="DA704" s="150"/>
    </row>
    <row r="705" spans="53:105" x14ac:dyDescent="0.2">
      <c r="BA705" s="518">
        <f t="shared" ca="1" si="43"/>
        <v>61</v>
      </c>
      <c r="BB705" s="174">
        <f t="shared" ca="1" si="44"/>
        <v>642</v>
      </c>
      <c r="BC705" s="525" t="e">
        <f ca="1">MATCH(BD705,OFFSET(Pinlist!$A$2,BC704*(BA705=BA704),0,$BM$23,1),0)+BC704*(BA705=BA704)</f>
        <v>#N/A</v>
      </c>
      <c r="BD705" s="167">
        <f t="shared" ca="1" si="45"/>
        <v>0</v>
      </c>
      <c r="BE705" s="191" t="e">
        <f ca="1">(OFFSET(Pinlist!$E$1,BC705,0)-$BN$16)*$BN$19</f>
        <v>#N/A</v>
      </c>
      <c r="BF705" s="192" t="e">
        <f ca="1">(OFFSET(Pinlist!$F$1,BC705,0)-$BO$16)*$BO$19</f>
        <v>#N/A</v>
      </c>
      <c r="BG705" s="1098" t="str">
        <f ca="1">IF(LEFT(BD705,2)="RF",OFFSET(Pinlist!$D$1,Chart!BC705,0)&amp;"_"&amp;OFFSET(Pinlist!$G$1,Chart!BC705,0),"")</f>
        <v/>
      </c>
      <c r="BH705" s="1098"/>
      <c r="BI705" s="178"/>
      <c r="BJ705" s="178"/>
      <c r="BK705" s="178"/>
      <c r="BL705" s="178"/>
      <c r="BM705" s="178"/>
      <c r="BN705" s="178"/>
      <c r="BO705" s="178"/>
      <c r="BP705" s="178"/>
      <c r="BQ705" s="196"/>
      <c r="BR705" s="196"/>
      <c r="BS705" s="196"/>
      <c r="BT705" s="196"/>
      <c r="BU705" s="196"/>
      <c r="BV705" s="196"/>
      <c r="BW705" s="178"/>
      <c r="BX705" s="196"/>
      <c r="BY705" s="196"/>
      <c r="BZ705" s="196"/>
      <c r="CA705" s="196"/>
      <c r="CB705" s="178"/>
      <c r="CC705" s="178"/>
      <c r="CD705" s="202"/>
      <c r="CE705" s="202"/>
      <c r="CF705" s="178"/>
      <c r="CG705" s="196"/>
      <c r="CH705" s="178"/>
      <c r="CI705" s="178"/>
      <c r="CJ705" s="178"/>
      <c r="CK705" s="178"/>
      <c r="CL705" s="178"/>
      <c r="CM705" s="178"/>
      <c r="CN705" s="178"/>
      <c r="CO705" s="178"/>
      <c r="CP705" s="178"/>
      <c r="CQ705" s="178"/>
      <c r="CR705" s="178"/>
      <c r="CS705" s="178"/>
      <c r="CT705" s="178"/>
      <c r="CU705" s="178"/>
      <c r="CV705" s="178"/>
      <c r="CW705" s="178"/>
      <c r="CX705" s="178"/>
      <c r="CY705" s="178"/>
      <c r="CZ705" s="178"/>
      <c r="DA705" s="150"/>
    </row>
    <row r="706" spans="53:105" x14ac:dyDescent="0.2">
      <c r="BA706" s="518">
        <f t="shared" ca="1" si="43"/>
        <v>61</v>
      </c>
      <c r="BB706" s="174">
        <f t="shared" ca="1" si="44"/>
        <v>643</v>
      </c>
      <c r="BC706" s="525" t="e">
        <f ca="1">MATCH(BD706,OFFSET(Pinlist!$A$2,BC705*(BA706=BA705),0,$BM$23,1),0)+BC705*(BA706=BA705)</f>
        <v>#N/A</v>
      </c>
      <c r="BD706" s="167">
        <f t="shared" ca="1" si="45"/>
        <v>0</v>
      </c>
      <c r="BE706" s="191" t="e">
        <f ca="1">(OFFSET(Pinlist!$E$1,BC706,0)-$BN$16)*$BN$19</f>
        <v>#N/A</v>
      </c>
      <c r="BF706" s="192" t="e">
        <f ca="1">(OFFSET(Pinlist!$F$1,BC706,0)-$BO$16)*$BO$19</f>
        <v>#N/A</v>
      </c>
      <c r="BG706" s="1098" t="str">
        <f ca="1">IF(LEFT(BD706,2)="RF",OFFSET(Pinlist!$D$1,Chart!BC706,0)&amp;"_"&amp;OFFSET(Pinlist!$G$1,Chart!BC706,0),"")</f>
        <v/>
      </c>
      <c r="BH706" s="1098"/>
      <c r="BI706" s="178"/>
      <c r="BJ706" s="178"/>
      <c r="BK706" s="178"/>
      <c r="BL706" s="178"/>
      <c r="BM706" s="178"/>
      <c r="BN706" s="178"/>
      <c r="BO706" s="178"/>
      <c r="BP706" s="178"/>
      <c r="BQ706" s="196"/>
      <c r="BR706" s="196"/>
      <c r="BS706" s="196"/>
      <c r="BT706" s="196"/>
      <c r="BU706" s="196"/>
      <c r="BV706" s="196"/>
      <c r="BW706" s="178"/>
      <c r="BX706" s="196"/>
      <c r="BY706" s="196"/>
      <c r="BZ706" s="196"/>
      <c r="CA706" s="196"/>
      <c r="CB706" s="178"/>
      <c r="CC706" s="178"/>
      <c r="CD706" s="202"/>
      <c r="CE706" s="202"/>
      <c r="CF706" s="178"/>
      <c r="CG706" s="196"/>
      <c r="CH706" s="178"/>
      <c r="CI706" s="178"/>
      <c r="CJ706" s="178"/>
      <c r="CK706" s="178"/>
      <c r="CL706" s="178"/>
      <c r="CM706" s="178"/>
      <c r="CN706" s="178"/>
      <c r="CO706" s="178"/>
      <c r="CP706" s="178"/>
      <c r="CQ706" s="178"/>
      <c r="CR706" s="178"/>
      <c r="CS706" s="178"/>
      <c r="CT706" s="178"/>
      <c r="CU706" s="178"/>
      <c r="CV706" s="178"/>
      <c r="CW706" s="178"/>
      <c r="CX706" s="178"/>
      <c r="CY706" s="178"/>
      <c r="CZ706" s="178"/>
      <c r="DA706" s="150"/>
    </row>
    <row r="707" spans="53:105" x14ac:dyDescent="0.2">
      <c r="BA707" s="518">
        <f t="shared" ca="1" si="43"/>
        <v>61</v>
      </c>
      <c r="BB707" s="174">
        <f t="shared" ca="1" si="44"/>
        <v>644</v>
      </c>
      <c r="BC707" s="525" t="e">
        <f ca="1">MATCH(BD707,OFFSET(Pinlist!$A$2,BC706*(BA707=BA706),0,$BM$23,1),0)+BC706*(BA707=BA706)</f>
        <v>#N/A</v>
      </c>
      <c r="BD707" s="167">
        <f t="shared" ca="1" si="45"/>
        <v>0</v>
      </c>
      <c r="BE707" s="191" t="e">
        <f ca="1">(OFFSET(Pinlist!$E$1,BC707,0)-$BN$16)*$BN$19</f>
        <v>#N/A</v>
      </c>
      <c r="BF707" s="192" t="e">
        <f ca="1">(OFFSET(Pinlist!$F$1,BC707,0)-$BO$16)*$BO$19</f>
        <v>#N/A</v>
      </c>
      <c r="BG707" s="1098" t="str">
        <f ca="1">IF(LEFT(BD707,2)="RF",OFFSET(Pinlist!$D$1,Chart!BC707,0)&amp;"_"&amp;OFFSET(Pinlist!$G$1,Chart!BC707,0),"")</f>
        <v/>
      </c>
      <c r="BH707" s="1098"/>
      <c r="BI707" s="178"/>
      <c r="BJ707" s="178"/>
      <c r="BK707" s="178"/>
      <c r="BL707" s="178"/>
      <c r="BM707" s="178"/>
      <c r="BN707" s="178"/>
      <c r="BO707" s="178"/>
      <c r="BP707" s="178"/>
      <c r="BQ707" s="196"/>
      <c r="BR707" s="196"/>
      <c r="BS707" s="196"/>
      <c r="BT707" s="196"/>
      <c r="BU707" s="196"/>
      <c r="BV707" s="196"/>
      <c r="BW707" s="178"/>
      <c r="BX707" s="196"/>
      <c r="BY707" s="196"/>
      <c r="BZ707" s="196"/>
      <c r="CA707" s="196"/>
      <c r="CB707" s="178"/>
      <c r="CC707" s="178"/>
      <c r="CD707" s="202"/>
      <c r="CE707" s="202"/>
      <c r="CF707" s="178"/>
      <c r="CG707" s="196"/>
      <c r="CH707" s="178"/>
      <c r="CI707" s="178"/>
      <c r="CJ707" s="178"/>
      <c r="CK707" s="178"/>
      <c r="CL707" s="178"/>
      <c r="CM707" s="178"/>
      <c r="CN707" s="178"/>
      <c r="CO707" s="178"/>
      <c r="CP707" s="178"/>
      <c r="CQ707" s="178"/>
      <c r="CR707" s="178"/>
      <c r="CS707" s="178"/>
      <c r="CT707" s="178"/>
      <c r="CU707" s="178"/>
      <c r="CV707" s="178"/>
      <c r="CW707" s="178"/>
      <c r="CX707" s="178"/>
      <c r="CY707" s="178"/>
      <c r="CZ707" s="178"/>
      <c r="DA707" s="150"/>
    </row>
    <row r="708" spans="53:105" x14ac:dyDescent="0.2">
      <c r="BA708" s="518">
        <f t="shared" ref="BA708:BA771" ca="1" si="46">BA707+(BB707=OFFSET($BZ$3,BA707,0))</f>
        <v>61</v>
      </c>
      <c r="BB708" s="174">
        <f t="shared" ref="BB708:BB771" ca="1" si="47">IF(BA708=BA707,BB707+1,1)</f>
        <v>645</v>
      </c>
      <c r="BC708" s="525" t="e">
        <f ca="1">MATCH(BD708,OFFSET(Pinlist!$A$2,BC707*(BA708=BA707),0,$BM$23,1),0)+BC707*(BA708=BA707)</f>
        <v>#N/A</v>
      </c>
      <c r="BD708" s="167">
        <f t="shared" ref="BD708:BD771" ca="1" si="48">OFFSET($BY$3,BA708,0)</f>
        <v>0</v>
      </c>
      <c r="BE708" s="191" t="e">
        <f ca="1">(OFFSET(Pinlist!$E$1,BC708,0)-$BN$16)*$BN$19</f>
        <v>#N/A</v>
      </c>
      <c r="BF708" s="192" t="e">
        <f ca="1">(OFFSET(Pinlist!$F$1,BC708,0)-$BO$16)*$BO$19</f>
        <v>#N/A</v>
      </c>
      <c r="BG708" s="1098" t="str">
        <f ca="1">IF(LEFT(BD708,2)="RF",OFFSET(Pinlist!$D$1,Chart!BC708,0)&amp;"_"&amp;OFFSET(Pinlist!$G$1,Chart!BC708,0),"")</f>
        <v/>
      </c>
      <c r="BH708" s="1098"/>
      <c r="BI708" s="178"/>
      <c r="BJ708" s="178"/>
      <c r="BK708" s="178"/>
      <c r="BL708" s="178"/>
      <c r="BM708" s="178"/>
      <c r="BN708" s="178"/>
      <c r="BO708" s="178"/>
      <c r="BP708" s="178"/>
      <c r="BQ708" s="196"/>
      <c r="BR708" s="196"/>
      <c r="BS708" s="196"/>
      <c r="BT708" s="196"/>
      <c r="BU708" s="196"/>
      <c r="BV708" s="196"/>
      <c r="BW708" s="178"/>
      <c r="BX708" s="196"/>
      <c r="BY708" s="196"/>
      <c r="BZ708" s="196"/>
      <c r="CA708" s="196"/>
      <c r="CB708" s="178"/>
      <c r="CC708" s="178"/>
      <c r="CD708" s="202"/>
      <c r="CE708" s="202"/>
      <c r="CF708" s="178"/>
      <c r="CG708" s="196"/>
      <c r="CH708" s="178"/>
      <c r="CI708" s="178"/>
      <c r="CJ708" s="178"/>
      <c r="CK708" s="178"/>
      <c r="CL708" s="178"/>
      <c r="CM708" s="178"/>
      <c r="CN708" s="178"/>
      <c r="CO708" s="178"/>
      <c r="CP708" s="178"/>
      <c r="CQ708" s="178"/>
      <c r="CR708" s="178"/>
      <c r="CS708" s="178"/>
      <c r="CT708" s="178"/>
      <c r="CU708" s="178"/>
      <c r="CV708" s="178"/>
      <c r="CW708" s="178"/>
      <c r="CX708" s="178"/>
      <c r="CY708" s="178"/>
      <c r="CZ708" s="178"/>
      <c r="DA708" s="150"/>
    </row>
    <row r="709" spans="53:105" x14ac:dyDescent="0.2">
      <c r="BA709" s="518">
        <f t="shared" ca="1" si="46"/>
        <v>61</v>
      </c>
      <c r="BB709" s="174">
        <f t="shared" ca="1" si="47"/>
        <v>646</v>
      </c>
      <c r="BC709" s="525" t="e">
        <f ca="1">MATCH(BD709,OFFSET(Pinlist!$A$2,BC708*(BA709=BA708),0,$BM$23,1),0)+BC708*(BA709=BA708)</f>
        <v>#N/A</v>
      </c>
      <c r="BD709" s="167">
        <f t="shared" ca="1" si="48"/>
        <v>0</v>
      </c>
      <c r="BE709" s="191" t="e">
        <f ca="1">(OFFSET(Pinlist!$E$1,BC709,0)-$BN$16)*$BN$19</f>
        <v>#N/A</v>
      </c>
      <c r="BF709" s="192" t="e">
        <f ca="1">(OFFSET(Pinlist!$F$1,BC709,0)-$BO$16)*$BO$19</f>
        <v>#N/A</v>
      </c>
      <c r="BG709" s="1098" t="str">
        <f ca="1">IF(LEFT(BD709,2)="RF",OFFSET(Pinlist!$D$1,Chart!BC709,0)&amp;"_"&amp;OFFSET(Pinlist!$G$1,Chart!BC709,0),"")</f>
        <v/>
      </c>
      <c r="BH709" s="1098"/>
      <c r="BI709" s="178"/>
      <c r="BJ709" s="178"/>
      <c r="BK709" s="178"/>
      <c r="BL709" s="178"/>
      <c r="BM709" s="178"/>
      <c r="BN709" s="178"/>
      <c r="BO709" s="178"/>
      <c r="BP709" s="178"/>
      <c r="BQ709" s="196"/>
      <c r="BR709" s="196"/>
      <c r="BS709" s="196"/>
      <c r="BT709" s="196"/>
      <c r="BU709" s="196"/>
      <c r="BV709" s="196"/>
      <c r="BW709" s="178"/>
      <c r="BX709" s="196"/>
      <c r="BY709" s="196"/>
      <c r="BZ709" s="196"/>
      <c r="CA709" s="196"/>
      <c r="CB709" s="178"/>
      <c r="CC709" s="178"/>
      <c r="CD709" s="202"/>
      <c r="CE709" s="202"/>
      <c r="CF709" s="178"/>
      <c r="CG709" s="196"/>
      <c r="CH709" s="178"/>
      <c r="CI709" s="178"/>
      <c r="CJ709" s="178"/>
      <c r="CK709" s="178"/>
      <c r="CL709" s="178"/>
      <c r="CM709" s="178"/>
      <c r="CN709" s="178"/>
      <c r="CO709" s="178"/>
      <c r="CP709" s="178"/>
      <c r="CQ709" s="178"/>
      <c r="CR709" s="178"/>
      <c r="CS709" s="178"/>
      <c r="CT709" s="178"/>
      <c r="CU709" s="178"/>
      <c r="CV709" s="178"/>
      <c r="CW709" s="178"/>
      <c r="CX709" s="178"/>
      <c r="CY709" s="178"/>
      <c r="CZ709" s="178"/>
      <c r="DA709" s="150"/>
    </row>
    <row r="710" spans="53:105" x14ac:dyDescent="0.2">
      <c r="BA710" s="518">
        <f t="shared" ca="1" si="46"/>
        <v>61</v>
      </c>
      <c r="BB710" s="174">
        <f t="shared" ca="1" si="47"/>
        <v>647</v>
      </c>
      <c r="BC710" s="525" t="e">
        <f ca="1">MATCH(BD710,OFFSET(Pinlist!$A$2,BC709*(BA710=BA709),0,$BM$23,1),0)+BC709*(BA710=BA709)</f>
        <v>#N/A</v>
      </c>
      <c r="BD710" s="167">
        <f t="shared" ca="1" si="48"/>
        <v>0</v>
      </c>
      <c r="BE710" s="191" t="e">
        <f ca="1">(OFFSET(Pinlist!$E$1,BC710,0)-$BN$16)*$BN$19</f>
        <v>#N/A</v>
      </c>
      <c r="BF710" s="192" t="e">
        <f ca="1">(OFFSET(Pinlist!$F$1,BC710,0)-$BO$16)*$BO$19</f>
        <v>#N/A</v>
      </c>
      <c r="BG710" s="1098" t="str">
        <f ca="1">IF(LEFT(BD710,2)="RF",OFFSET(Pinlist!$D$1,Chart!BC710,0)&amp;"_"&amp;OFFSET(Pinlist!$G$1,Chart!BC710,0),"")</f>
        <v/>
      </c>
      <c r="BH710" s="1098"/>
      <c r="BI710" s="178"/>
      <c r="BJ710" s="178"/>
      <c r="BK710" s="178"/>
      <c r="BL710" s="178"/>
      <c r="BM710" s="178"/>
      <c r="BN710" s="178"/>
      <c r="BO710" s="178"/>
      <c r="BP710" s="178"/>
      <c r="BQ710" s="196"/>
      <c r="BR710" s="196"/>
      <c r="BS710" s="196"/>
      <c r="BT710" s="196"/>
      <c r="BU710" s="196"/>
      <c r="BV710" s="196"/>
      <c r="BW710" s="178"/>
      <c r="BX710" s="196"/>
      <c r="BY710" s="196"/>
      <c r="BZ710" s="196"/>
      <c r="CA710" s="196"/>
      <c r="CB710" s="178"/>
      <c r="CC710" s="178"/>
      <c r="CD710" s="202"/>
      <c r="CE710" s="202"/>
      <c r="CF710" s="178"/>
      <c r="CG710" s="196"/>
      <c r="CH710" s="178"/>
      <c r="CI710" s="178"/>
      <c r="CJ710" s="178"/>
      <c r="CK710" s="178"/>
      <c r="CL710" s="178"/>
      <c r="CM710" s="178"/>
      <c r="CN710" s="178"/>
      <c r="CO710" s="178"/>
      <c r="CP710" s="178"/>
      <c r="CQ710" s="178"/>
      <c r="CR710" s="178"/>
      <c r="CS710" s="178"/>
      <c r="CT710" s="178"/>
      <c r="CU710" s="178"/>
      <c r="CV710" s="178"/>
      <c r="CW710" s="178"/>
      <c r="CX710" s="178"/>
      <c r="CY710" s="178"/>
      <c r="CZ710" s="178"/>
      <c r="DA710" s="150"/>
    </row>
    <row r="711" spans="53:105" x14ac:dyDescent="0.2">
      <c r="BA711" s="518">
        <f t="shared" ca="1" si="46"/>
        <v>61</v>
      </c>
      <c r="BB711" s="174">
        <f t="shared" ca="1" si="47"/>
        <v>648</v>
      </c>
      <c r="BC711" s="525" t="e">
        <f ca="1">MATCH(BD711,OFFSET(Pinlist!$A$2,BC710*(BA711=BA710),0,$BM$23,1),0)+BC710*(BA711=BA710)</f>
        <v>#N/A</v>
      </c>
      <c r="BD711" s="167">
        <f t="shared" ca="1" si="48"/>
        <v>0</v>
      </c>
      <c r="BE711" s="191" t="e">
        <f ca="1">(OFFSET(Pinlist!$E$1,BC711,0)-$BN$16)*$BN$19</f>
        <v>#N/A</v>
      </c>
      <c r="BF711" s="192" t="e">
        <f ca="1">(OFFSET(Pinlist!$F$1,BC711,0)-$BO$16)*$BO$19</f>
        <v>#N/A</v>
      </c>
      <c r="BG711" s="1098" t="str">
        <f ca="1">IF(LEFT(BD711,2)="RF",OFFSET(Pinlist!$D$1,Chart!BC711,0)&amp;"_"&amp;OFFSET(Pinlist!$G$1,Chart!BC711,0),"")</f>
        <v/>
      </c>
      <c r="BH711" s="1098"/>
      <c r="BI711" s="178"/>
      <c r="BJ711" s="178"/>
      <c r="BK711" s="178"/>
      <c r="BL711" s="178"/>
      <c r="BM711" s="178"/>
      <c r="BN711" s="178"/>
      <c r="BO711" s="178"/>
      <c r="BP711" s="178"/>
      <c r="BQ711" s="196"/>
      <c r="BR711" s="196"/>
      <c r="BS711" s="196"/>
      <c r="BT711" s="196"/>
      <c r="BU711" s="196"/>
      <c r="BV711" s="196"/>
      <c r="BW711" s="178"/>
      <c r="BX711" s="196"/>
      <c r="BY711" s="196"/>
      <c r="BZ711" s="196"/>
      <c r="CA711" s="196"/>
      <c r="CB711" s="178"/>
      <c r="CC711" s="178"/>
      <c r="CD711" s="202"/>
      <c r="CE711" s="202"/>
      <c r="CF711" s="178"/>
      <c r="CG711" s="196"/>
      <c r="CH711" s="178"/>
      <c r="CI711" s="178"/>
      <c r="CJ711" s="178"/>
      <c r="CK711" s="178"/>
      <c r="CL711" s="178"/>
      <c r="CM711" s="178"/>
      <c r="CN711" s="178"/>
      <c r="CO711" s="178"/>
      <c r="CP711" s="178"/>
      <c r="CQ711" s="178"/>
      <c r="CR711" s="178"/>
      <c r="CS711" s="178"/>
      <c r="CT711" s="178"/>
      <c r="CU711" s="178"/>
      <c r="CV711" s="178"/>
      <c r="CW711" s="178"/>
      <c r="CX711" s="178"/>
      <c r="CY711" s="178"/>
      <c r="CZ711" s="178"/>
      <c r="DA711" s="150"/>
    </row>
    <row r="712" spans="53:105" x14ac:dyDescent="0.2">
      <c r="BA712" s="518">
        <f t="shared" ca="1" si="46"/>
        <v>61</v>
      </c>
      <c r="BB712" s="174">
        <f t="shared" ca="1" si="47"/>
        <v>649</v>
      </c>
      <c r="BC712" s="525" t="e">
        <f ca="1">MATCH(BD712,OFFSET(Pinlist!$A$2,BC711*(BA712=BA711),0,$BM$23,1),0)+BC711*(BA712=BA711)</f>
        <v>#N/A</v>
      </c>
      <c r="BD712" s="167">
        <f t="shared" ca="1" si="48"/>
        <v>0</v>
      </c>
      <c r="BE712" s="191" t="e">
        <f ca="1">(OFFSET(Pinlist!$E$1,BC712,0)-$BN$16)*$BN$19</f>
        <v>#N/A</v>
      </c>
      <c r="BF712" s="192" t="e">
        <f ca="1">(OFFSET(Pinlist!$F$1,BC712,0)-$BO$16)*$BO$19</f>
        <v>#N/A</v>
      </c>
      <c r="BG712" s="1098" t="str">
        <f ca="1">IF(LEFT(BD712,2)="RF",OFFSET(Pinlist!$D$1,Chart!BC712,0)&amp;"_"&amp;OFFSET(Pinlist!$G$1,Chart!BC712,0),"")</f>
        <v/>
      </c>
      <c r="BH712" s="1098"/>
      <c r="BI712" s="178"/>
      <c r="BJ712" s="178"/>
      <c r="BK712" s="178"/>
      <c r="BL712" s="178"/>
      <c r="BM712" s="178"/>
      <c r="BN712" s="178"/>
      <c r="BO712" s="178"/>
      <c r="BP712" s="178"/>
      <c r="BQ712" s="196"/>
      <c r="BR712" s="196"/>
      <c r="BS712" s="196"/>
      <c r="BT712" s="196"/>
      <c r="BU712" s="196"/>
      <c r="BV712" s="196"/>
      <c r="BW712" s="178"/>
      <c r="BX712" s="196"/>
      <c r="BY712" s="196"/>
      <c r="BZ712" s="196"/>
      <c r="CA712" s="196"/>
      <c r="CB712" s="178"/>
      <c r="CC712" s="178"/>
      <c r="CD712" s="202"/>
      <c r="CE712" s="202"/>
      <c r="CF712" s="178"/>
      <c r="CG712" s="196"/>
      <c r="CH712" s="178"/>
      <c r="CI712" s="178"/>
      <c r="CJ712" s="178"/>
      <c r="CK712" s="178"/>
      <c r="CL712" s="178"/>
      <c r="CM712" s="178"/>
      <c r="CN712" s="178"/>
      <c r="CO712" s="178"/>
      <c r="CP712" s="178"/>
      <c r="CQ712" s="178"/>
      <c r="CR712" s="178"/>
      <c r="CS712" s="178"/>
      <c r="CT712" s="178"/>
      <c r="CU712" s="178"/>
      <c r="CV712" s="178"/>
      <c r="CW712" s="178"/>
      <c r="CX712" s="178"/>
      <c r="CY712" s="178"/>
      <c r="CZ712" s="178"/>
      <c r="DA712" s="150"/>
    </row>
    <row r="713" spans="53:105" x14ac:dyDescent="0.2">
      <c r="BA713" s="518">
        <f t="shared" ca="1" si="46"/>
        <v>61</v>
      </c>
      <c r="BB713" s="174">
        <f t="shared" ca="1" si="47"/>
        <v>650</v>
      </c>
      <c r="BC713" s="525" t="e">
        <f ca="1">MATCH(BD713,OFFSET(Pinlist!$A$2,BC712*(BA713=BA712),0,$BM$23,1),0)+BC712*(BA713=BA712)</f>
        <v>#N/A</v>
      </c>
      <c r="BD713" s="167">
        <f t="shared" ca="1" si="48"/>
        <v>0</v>
      </c>
      <c r="BE713" s="191" t="e">
        <f ca="1">(OFFSET(Pinlist!$E$1,BC713,0)-$BN$16)*$BN$19</f>
        <v>#N/A</v>
      </c>
      <c r="BF713" s="192" t="e">
        <f ca="1">(OFFSET(Pinlist!$F$1,BC713,0)-$BO$16)*$BO$19</f>
        <v>#N/A</v>
      </c>
      <c r="BG713" s="1098" t="str">
        <f ca="1">IF(LEFT(BD713,2)="RF",OFFSET(Pinlist!$D$1,Chart!BC713,0)&amp;"_"&amp;OFFSET(Pinlist!$G$1,Chart!BC713,0),"")</f>
        <v/>
      </c>
      <c r="BH713" s="1098"/>
      <c r="BI713" s="178"/>
      <c r="BJ713" s="178"/>
      <c r="BK713" s="178"/>
      <c r="BL713" s="178"/>
      <c r="BM713" s="178"/>
      <c r="BN713" s="178"/>
      <c r="BO713" s="178"/>
      <c r="BP713" s="178"/>
      <c r="BQ713" s="196"/>
      <c r="BR713" s="196"/>
      <c r="BS713" s="196"/>
      <c r="BT713" s="196"/>
      <c r="BU713" s="196"/>
      <c r="BV713" s="196"/>
      <c r="BW713" s="178"/>
      <c r="BX713" s="196"/>
      <c r="BY713" s="196"/>
      <c r="BZ713" s="196"/>
      <c r="CA713" s="196"/>
      <c r="CB713" s="178"/>
      <c r="CC713" s="178"/>
      <c r="CD713" s="202"/>
      <c r="CE713" s="202"/>
      <c r="CF713" s="178"/>
      <c r="CG713" s="196"/>
      <c r="CH713" s="178"/>
      <c r="CI713" s="178"/>
      <c r="CJ713" s="178"/>
      <c r="CK713" s="178"/>
      <c r="CL713" s="178"/>
      <c r="CM713" s="178"/>
      <c r="CN713" s="178"/>
      <c r="CO713" s="178"/>
      <c r="CP713" s="178"/>
      <c r="CQ713" s="178"/>
      <c r="CR713" s="178"/>
      <c r="CS713" s="178"/>
      <c r="CT713" s="178"/>
      <c r="CU713" s="178"/>
      <c r="CV713" s="178"/>
      <c r="CW713" s="178"/>
      <c r="CX713" s="178"/>
      <c r="CY713" s="178"/>
      <c r="CZ713" s="178"/>
      <c r="DA713" s="150"/>
    </row>
    <row r="714" spans="53:105" x14ac:dyDescent="0.2">
      <c r="BA714" s="518">
        <f t="shared" ca="1" si="46"/>
        <v>61</v>
      </c>
      <c r="BB714" s="174">
        <f t="shared" ca="1" si="47"/>
        <v>651</v>
      </c>
      <c r="BC714" s="525" t="e">
        <f ca="1">MATCH(BD714,OFFSET(Pinlist!$A$2,BC713*(BA714=BA713),0,$BM$23,1),0)+BC713*(BA714=BA713)</f>
        <v>#N/A</v>
      </c>
      <c r="BD714" s="167">
        <f t="shared" ca="1" si="48"/>
        <v>0</v>
      </c>
      <c r="BE714" s="191" t="e">
        <f ca="1">(OFFSET(Pinlist!$E$1,BC714,0)-$BN$16)*$BN$19</f>
        <v>#N/A</v>
      </c>
      <c r="BF714" s="192" t="e">
        <f ca="1">(OFFSET(Pinlist!$F$1,BC714,0)-$BO$16)*$BO$19</f>
        <v>#N/A</v>
      </c>
      <c r="BG714" s="1098" t="str">
        <f ca="1">IF(LEFT(BD714,2)="RF",OFFSET(Pinlist!$D$1,Chart!BC714,0)&amp;"_"&amp;OFFSET(Pinlist!$G$1,Chart!BC714,0),"")</f>
        <v/>
      </c>
      <c r="BH714" s="1098"/>
      <c r="BI714" s="178"/>
      <c r="BJ714" s="178"/>
      <c r="BK714" s="178"/>
      <c r="BL714" s="178"/>
      <c r="BM714" s="178"/>
      <c r="BN714" s="178"/>
      <c r="BO714" s="178"/>
      <c r="BP714" s="178"/>
      <c r="BQ714" s="196"/>
      <c r="BR714" s="196"/>
      <c r="BS714" s="196"/>
      <c r="BT714" s="196"/>
      <c r="BU714" s="196"/>
      <c r="BV714" s="196"/>
      <c r="BW714" s="178"/>
      <c r="BX714" s="196"/>
      <c r="BY714" s="196"/>
      <c r="BZ714" s="196"/>
      <c r="CA714" s="196"/>
      <c r="CB714" s="178"/>
      <c r="CC714" s="178"/>
      <c r="CD714" s="202"/>
      <c r="CE714" s="202"/>
      <c r="CF714" s="178"/>
      <c r="CG714" s="196"/>
      <c r="CH714" s="178"/>
      <c r="CI714" s="178"/>
      <c r="CJ714" s="178"/>
      <c r="CK714" s="178"/>
      <c r="CL714" s="178"/>
      <c r="CM714" s="178"/>
      <c r="CN714" s="178"/>
      <c r="CO714" s="178"/>
      <c r="CP714" s="178"/>
      <c r="CQ714" s="178"/>
      <c r="CR714" s="178"/>
      <c r="CS714" s="178"/>
      <c r="CT714" s="178"/>
      <c r="CU714" s="178"/>
      <c r="CV714" s="178"/>
      <c r="CW714" s="178"/>
      <c r="CX714" s="178"/>
      <c r="CY714" s="178"/>
      <c r="CZ714" s="178"/>
      <c r="DA714" s="150"/>
    </row>
    <row r="715" spans="53:105" x14ac:dyDescent="0.2">
      <c r="BA715" s="518">
        <f t="shared" ca="1" si="46"/>
        <v>61</v>
      </c>
      <c r="BB715" s="174">
        <f t="shared" ca="1" si="47"/>
        <v>652</v>
      </c>
      <c r="BC715" s="525" t="e">
        <f ca="1">MATCH(BD715,OFFSET(Pinlist!$A$2,BC714*(BA715=BA714),0,$BM$23,1),0)+BC714*(BA715=BA714)</f>
        <v>#N/A</v>
      </c>
      <c r="BD715" s="167">
        <f t="shared" ca="1" si="48"/>
        <v>0</v>
      </c>
      <c r="BE715" s="191" t="e">
        <f ca="1">(OFFSET(Pinlist!$E$1,BC715,0)-$BN$16)*$BN$19</f>
        <v>#N/A</v>
      </c>
      <c r="BF715" s="192" t="e">
        <f ca="1">(OFFSET(Pinlist!$F$1,BC715,0)-$BO$16)*$BO$19</f>
        <v>#N/A</v>
      </c>
      <c r="BG715" s="1098" t="str">
        <f ca="1">IF(LEFT(BD715,2)="RF",OFFSET(Pinlist!$D$1,Chart!BC715,0)&amp;"_"&amp;OFFSET(Pinlist!$G$1,Chart!BC715,0),"")</f>
        <v/>
      </c>
      <c r="BH715" s="1098"/>
      <c r="BI715" s="178"/>
      <c r="BJ715" s="178"/>
      <c r="BK715" s="178"/>
      <c r="BL715" s="178"/>
      <c r="BM715" s="178"/>
      <c r="BN715" s="178"/>
      <c r="BO715" s="178"/>
      <c r="BP715" s="178"/>
      <c r="BQ715" s="196"/>
      <c r="BR715" s="196"/>
      <c r="BS715" s="196"/>
      <c r="BT715" s="196"/>
      <c r="BU715" s="196"/>
      <c r="BV715" s="196"/>
      <c r="BW715" s="178"/>
      <c r="BX715" s="196"/>
      <c r="BY715" s="196"/>
      <c r="BZ715" s="196"/>
      <c r="CA715" s="196"/>
      <c r="CB715" s="178"/>
      <c r="CC715" s="178"/>
      <c r="CD715" s="202"/>
      <c r="CE715" s="202"/>
      <c r="CF715" s="178"/>
      <c r="CG715" s="196"/>
      <c r="CH715" s="178"/>
      <c r="CI715" s="178"/>
      <c r="CJ715" s="178"/>
      <c r="CK715" s="178"/>
      <c r="CL715" s="178"/>
      <c r="CM715" s="178"/>
      <c r="CN715" s="178"/>
      <c r="CO715" s="178"/>
      <c r="CP715" s="178"/>
      <c r="CQ715" s="178"/>
      <c r="CR715" s="178"/>
      <c r="CS715" s="178"/>
      <c r="CT715" s="178"/>
      <c r="CU715" s="178"/>
      <c r="CV715" s="178"/>
      <c r="CW715" s="178"/>
      <c r="CX715" s="178"/>
      <c r="CY715" s="178"/>
      <c r="CZ715" s="178"/>
      <c r="DA715" s="150"/>
    </row>
    <row r="716" spans="53:105" x14ac:dyDescent="0.2">
      <c r="BA716" s="518">
        <f t="shared" ca="1" si="46"/>
        <v>61</v>
      </c>
      <c r="BB716" s="174">
        <f t="shared" ca="1" si="47"/>
        <v>653</v>
      </c>
      <c r="BC716" s="525" t="e">
        <f ca="1">MATCH(BD716,OFFSET(Pinlist!$A$2,BC715*(BA716=BA715),0,$BM$23,1),0)+BC715*(BA716=BA715)</f>
        <v>#N/A</v>
      </c>
      <c r="BD716" s="167">
        <f t="shared" ca="1" si="48"/>
        <v>0</v>
      </c>
      <c r="BE716" s="191" t="e">
        <f ca="1">(OFFSET(Pinlist!$E$1,BC716,0)-$BN$16)*$BN$19</f>
        <v>#N/A</v>
      </c>
      <c r="BF716" s="192" t="e">
        <f ca="1">(OFFSET(Pinlist!$F$1,BC716,0)-$BO$16)*$BO$19</f>
        <v>#N/A</v>
      </c>
      <c r="BG716" s="1098" t="str">
        <f ca="1">IF(LEFT(BD716,2)="RF",OFFSET(Pinlist!$D$1,Chart!BC716,0)&amp;"_"&amp;OFFSET(Pinlist!$G$1,Chart!BC716,0),"")</f>
        <v/>
      </c>
      <c r="BH716" s="1098"/>
      <c r="BI716" s="178"/>
      <c r="BJ716" s="178"/>
      <c r="BK716" s="178"/>
      <c r="BL716" s="178"/>
      <c r="BM716" s="178"/>
      <c r="BN716" s="178"/>
      <c r="BO716" s="178"/>
      <c r="BP716" s="178"/>
      <c r="BQ716" s="196"/>
      <c r="BR716" s="196"/>
      <c r="BS716" s="196"/>
      <c r="BT716" s="196"/>
      <c r="BU716" s="196"/>
      <c r="BV716" s="196"/>
      <c r="BW716" s="178"/>
      <c r="BX716" s="196"/>
      <c r="BY716" s="196"/>
      <c r="BZ716" s="196"/>
      <c r="CA716" s="196"/>
      <c r="CB716" s="178"/>
      <c r="CC716" s="178"/>
      <c r="CD716" s="202"/>
      <c r="CE716" s="202"/>
      <c r="CF716" s="178"/>
      <c r="CG716" s="196"/>
      <c r="CH716" s="178"/>
      <c r="CI716" s="178"/>
      <c r="CJ716" s="178"/>
      <c r="CK716" s="178"/>
      <c r="CL716" s="178"/>
      <c r="CM716" s="178"/>
      <c r="CN716" s="178"/>
      <c r="CO716" s="178"/>
      <c r="CP716" s="178"/>
      <c r="CQ716" s="178"/>
      <c r="CR716" s="178"/>
      <c r="CS716" s="178"/>
      <c r="CT716" s="178"/>
      <c r="CU716" s="178"/>
      <c r="CV716" s="178"/>
      <c r="CW716" s="178"/>
      <c r="CX716" s="178"/>
      <c r="CY716" s="178"/>
      <c r="CZ716" s="178"/>
      <c r="DA716" s="150"/>
    </row>
    <row r="717" spans="53:105" x14ac:dyDescent="0.2">
      <c r="BA717" s="518">
        <f t="shared" ca="1" si="46"/>
        <v>61</v>
      </c>
      <c r="BB717" s="174">
        <f t="shared" ca="1" si="47"/>
        <v>654</v>
      </c>
      <c r="BC717" s="525" t="e">
        <f ca="1">MATCH(BD717,OFFSET(Pinlist!$A$2,BC716*(BA717=BA716),0,$BM$23,1),0)+BC716*(BA717=BA716)</f>
        <v>#N/A</v>
      </c>
      <c r="BD717" s="167">
        <f t="shared" ca="1" si="48"/>
        <v>0</v>
      </c>
      <c r="BE717" s="191" t="e">
        <f ca="1">(OFFSET(Pinlist!$E$1,BC717,0)-$BN$16)*$BN$19</f>
        <v>#N/A</v>
      </c>
      <c r="BF717" s="192" t="e">
        <f ca="1">(OFFSET(Pinlist!$F$1,BC717,0)-$BO$16)*$BO$19</f>
        <v>#N/A</v>
      </c>
      <c r="BG717" s="1098" t="str">
        <f ca="1">IF(LEFT(BD717,2)="RF",OFFSET(Pinlist!$D$1,Chart!BC717,0)&amp;"_"&amp;OFFSET(Pinlist!$G$1,Chart!BC717,0),"")</f>
        <v/>
      </c>
      <c r="BH717" s="1098"/>
      <c r="BI717" s="178"/>
      <c r="BJ717" s="178"/>
      <c r="BK717" s="178"/>
      <c r="BL717" s="178"/>
      <c r="BM717" s="178"/>
      <c r="BN717" s="178"/>
      <c r="BO717" s="178"/>
      <c r="BP717" s="178"/>
      <c r="BQ717" s="196"/>
      <c r="BR717" s="196"/>
      <c r="BS717" s="196"/>
      <c r="BT717" s="196"/>
      <c r="BU717" s="196"/>
      <c r="BV717" s="196"/>
      <c r="BW717" s="178"/>
      <c r="BX717" s="196"/>
      <c r="BY717" s="196"/>
      <c r="BZ717" s="196"/>
      <c r="CA717" s="196"/>
      <c r="CB717" s="178"/>
      <c r="CC717" s="178"/>
      <c r="CD717" s="202"/>
      <c r="CE717" s="202"/>
      <c r="CF717" s="178"/>
      <c r="CG717" s="196"/>
      <c r="CH717" s="178"/>
      <c r="CI717" s="178"/>
      <c r="CJ717" s="178"/>
      <c r="CK717" s="178"/>
      <c r="CL717" s="178"/>
      <c r="CM717" s="178"/>
      <c r="CN717" s="178"/>
      <c r="CO717" s="178"/>
      <c r="CP717" s="178"/>
      <c r="CQ717" s="178"/>
      <c r="CR717" s="178"/>
      <c r="CS717" s="178"/>
      <c r="CT717" s="178"/>
      <c r="CU717" s="178"/>
      <c r="CV717" s="178"/>
      <c r="CW717" s="178"/>
      <c r="CX717" s="178"/>
      <c r="CY717" s="178"/>
      <c r="CZ717" s="178"/>
      <c r="DA717" s="150"/>
    </row>
    <row r="718" spans="53:105" x14ac:dyDescent="0.2">
      <c r="BA718" s="518">
        <f t="shared" ca="1" si="46"/>
        <v>61</v>
      </c>
      <c r="BB718" s="174">
        <f t="shared" ca="1" si="47"/>
        <v>655</v>
      </c>
      <c r="BC718" s="525" t="e">
        <f ca="1">MATCH(BD718,OFFSET(Pinlist!$A$2,BC717*(BA718=BA717),0,$BM$23,1),0)+BC717*(BA718=BA717)</f>
        <v>#N/A</v>
      </c>
      <c r="BD718" s="167">
        <f t="shared" ca="1" si="48"/>
        <v>0</v>
      </c>
      <c r="BE718" s="191" t="e">
        <f ca="1">(OFFSET(Pinlist!$E$1,BC718,0)-$BN$16)*$BN$19</f>
        <v>#N/A</v>
      </c>
      <c r="BF718" s="192" t="e">
        <f ca="1">(OFFSET(Pinlist!$F$1,BC718,0)-$BO$16)*$BO$19</f>
        <v>#N/A</v>
      </c>
      <c r="BG718" s="1098" t="str">
        <f ca="1">IF(LEFT(BD718,2)="RF",OFFSET(Pinlist!$D$1,Chart!BC718,0)&amp;"_"&amp;OFFSET(Pinlist!$G$1,Chart!BC718,0),"")</f>
        <v/>
      </c>
      <c r="BH718" s="1098"/>
      <c r="BI718" s="178"/>
      <c r="BJ718" s="178"/>
      <c r="BK718" s="178"/>
      <c r="BL718" s="178"/>
      <c r="BM718" s="178"/>
      <c r="BN718" s="178"/>
      <c r="BO718" s="178"/>
      <c r="BP718" s="178"/>
      <c r="BQ718" s="196"/>
      <c r="BR718" s="196"/>
      <c r="BS718" s="196"/>
      <c r="BT718" s="196"/>
      <c r="BU718" s="196"/>
      <c r="BV718" s="196"/>
      <c r="BW718" s="178"/>
      <c r="BX718" s="196"/>
      <c r="BY718" s="196"/>
      <c r="BZ718" s="196"/>
      <c r="CA718" s="196"/>
      <c r="CB718" s="178"/>
      <c r="CC718" s="178"/>
      <c r="CD718" s="202"/>
      <c r="CE718" s="202"/>
      <c r="CF718" s="178"/>
      <c r="CG718" s="196"/>
      <c r="CH718" s="178"/>
      <c r="CI718" s="178"/>
      <c r="CJ718" s="178"/>
      <c r="CK718" s="178"/>
      <c r="CL718" s="178"/>
      <c r="CM718" s="178"/>
      <c r="CN718" s="178"/>
      <c r="CO718" s="178"/>
      <c r="CP718" s="178"/>
      <c r="CQ718" s="178"/>
      <c r="CR718" s="178"/>
      <c r="CS718" s="178"/>
      <c r="CT718" s="178"/>
      <c r="CU718" s="178"/>
      <c r="CV718" s="178"/>
      <c r="CW718" s="178"/>
      <c r="CX718" s="178"/>
      <c r="CY718" s="178"/>
      <c r="CZ718" s="178"/>
      <c r="DA718" s="150"/>
    </row>
    <row r="719" spans="53:105" x14ac:dyDescent="0.2">
      <c r="BA719" s="518">
        <f t="shared" ca="1" si="46"/>
        <v>61</v>
      </c>
      <c r="BB719" s="174">
        <f t="shared" ca="1" si="47"/>
        <v>656</v>
      </c>
      <c r="BC719" s="525" t="e">
        <f ca="1">MATCH(BD719,OFFSET(Pinlist!$A$2,BC718*(BA719=BA718),0,$BM$23,1),0)+BC718*(BA719=BA718)</f>
        <v>#N/A</v>
      </c>
      <c r="BD719" s="167">
        <f t="shared" ca="1" si="48"/>
        <v>0</v>
      </c>
      <c r="BE719" s="191" t="e">
        <f ca="1">(OFFSET(Pinlist!$E$1,BC719,0)-$BN$16)*$BN$19</f>
        <v>#N/A</v>
      </c>
      <c r="BF719" s="192" t="e">
        <f ca="1">(OFFSET(Pinlist!$F$1,BC719,0)-$BO$16)*$BO$19</f>
        <v>#N/A</v>
      </c>
      <c r="BG719" s="1098" t="str">
        <f ca="1">IF(LEFT(BD719,2)="RF",OFFSET(Pinlist!$D$1,Chart!BC719,0)&amp;"_"&amp;OFFSET(Pinlist!$G$1,Chart!BC719,0),"")</f>
        <v/>
      </c>
      <c r="BH719" s="1098"/>
      <c r="BI719" s="178"/>
      <c r="BJ719" s="178"/>
      <c r="BK719" s="178"/>
      <c r="BL719" s="178"/>
      <c r="BM719" s="178"/>
      <c r="BN719" s="178"/>
      <c r="BO719" s="178"/>
      <c r="BP719" s="178"/>
      <c r="BQ719" s="196"/>
      <c r="BR719" s="196"/>
      <c r="BS719" s="196"/>
      <c r="BT719" s="196"/>
      <c r="BU719" s="196"/>
      <c r="BV719" s="196"/>
      <c r="BW719" s="178"/>
      <c r="BX719" s="196"/>
      <c r="BY719" s="196"/>
      <c r="BZ719" s="196"/>
      <c r="CA719" s="196"/>
      <c r="CB719" s="178"/>
      <c r="CC719" s="178"/>
      <c r="CD719" s="202"/>
      <c r="CE719" s="202"/>
      <c r="CF719" s="178"/>
      <c r="CG719" s="196"/>
      <c r="CH719" s="178"/>
      <c r="CI719" s="178"/>
      <c r="CJ719" s="178"/>
      <c r="CK719" s="178"/>
      <c r="CL719" s="178"/>
      <c r="CM719" s="178"/>
      <c r="CN719" s="178"/>
      <c r="CO719" s="178"/>
      <c r="CP719" s="178"/>
      <c r="CQ719" s="178"/>
      <c r="CR719" s="178"/>
      <c r="CS719" s="178"/>
      <c r="CT719" s="178"/>
      <c r="CU719" s="178"/>
      <c r="CV719" s="178"/>
      <c r="CW719" s="178"/>
      <c r="CX719" s="178"/>
      <c r="CY719" s="178"/>
      <c r="CZ719" s="178"/>
      <c r="DA719" s="150"/>
    </row>
    <row r="720" spans="53:105" x14ac:dyDescent="0.2">
      <c r="BA720" s="518">
        <f t="shared" ca="1" si="46"/>
        <v>61</v>
      </c>
      <c r="BB720" s="174">
        <f t="shared" ca="1" si="47"/>
        <v>657</v>
      </c>
      <c r="BC720" s="525" t="e">
        <f ca="1">MATCH(BD720,OFFSET(Pinlist!$A$2,BC719*(BA720=BA719),0,$BM$23,1),0)+BC719*(BA720=BA719)</f>
        <v>#N/A</v>
      </c>
      <c r="BD720" s="167">
        <f t="shared" ca="1" si="48"/>
        <v>0</v>
      </c>
      <c r="BE720" s="191" t="e">
        <f ca="1">(OFFSET(Pinlist!$E$1,BC720,0)-$BN$16)*$BN$19</f>
        <v>#N/A</v>
      </c>
      <c r="BF720" s="192" t="e">
        <f ca="1">(OFFSET(Pinlist!$F$1,BC720,0)-$BO$16)*$BO$19</f>
        <v>#N/A</v>
      </c>
      <c r="BG720" s="1098" t="str">
        <f ca="1">IF(LEFT(BD720,2)="RF",OFFSET(Pinlist!$D$1,Chart!BC720,0)&amp;"_"&amp;OFFSET(Pinlist!$G$1,Chart!BC720,0),"")</f>
        <v/>
      </c>
      <c r="BH720" s="1098"/>
      <c r="BI720" s="178"/>
      <c r="BJ720" s="178"/>
      <c r="BK720" s="178"/>
      <c r="BL720" s="178"/>
      <c r="BM720" s="178"/>
      <c r="BN720" s="178"/>
      <c r="BO720" s="178"/>
      <c r="BP720" s="178"/>
      <c r="BQ720" s="196"/>
      <c r="BR720" s="196"/>
      <c r="BS720" s="196"/>
      <c r="BT720" s="196"/>
      <c r="BU720" s="196"/>
      <c r="BV720" s="196"/>
      <c r="BW720" s="178"/>
      <c r="BX720" s="196"/>
      <c r="BY720" s="196"/>
      <c r="BZ720" s="196"/>
      <c r="CA720" s="196"/>
      <c r="CB720" s="178"/>
      <c r="CC720" s="178"/>
      <c r="CD720" s="202"/>
      <c r="CE720" s="202"/>
      <c r="CF720" s="178"/>
      <c r="CG720" s="196"/>
      <c r="CH720" s="178"/>
      <c r="CI720" s="178"/>
      <c r="CJ720" s="178"/>
      <c r="CK720" s="178"/>
      <c r="CL720" s="178"/>
      <c r="CM720" s="178"/>
      <c r="CN720" s="178"/>
      <c r="CO720" s="178"/>
      <c r="CP720" s="178"/>
      <c r="CQ720" s="178"/>
      <c r="CR720" s="178"/>
      <c r="CS720" s="178"/>
      <c r="CT720" s="178"/>
      <c r="CU720" s="178"/>
      <c r="CV720" s="178"/>
      <c r="CW720" s="178"/>
      <c r="CX720" s="178"/>
      <c r="CY720" s="178"/>
      <c r="CZ720" s="178"/>
      <c r="DA720" s="150"/>
    </row>
    <row r="721" spans="53:105" x14ac:dyDescent="0.2">
      <c r="BA721" s="518">
        <f t="shared" ca="1" si="46"/>
        <v>61</v>
      </c>
      <c r="BB721" s="174">
        <f t="shared" ca="1" si="47"/>
        <v>658</v>
      </c>
      <c r="BC721" s="525" t="e">
        <f ca="1">MATCH(BD721,OFFSET(Pinlist!$A$2,BC720*(BA721=BA720),0,$BM$23,1),0)+BC720*(BA721=BA720)</f>
        <v>#N/A</v>
      </c>
      <c r="BD721" s="167">
        <f t="shared" ca="1" si="48"/>
        <v>0</v>
      </c>
      <c r="BE721" s="191" t="e">
        <f ca="1">(OFFSET(Pinlist!$E$1,BC721,0)-$BN$16)*$BN$19</f>
        <v>#N/A</v>
      </c>
      <c r="BF721" s="192" t="e">
        <f ca="1">(OFFSET(Pinlist!$F$1,BC721,0)-$BO$16)*$BO$19</f>
        <v>#N/A</v>
      </c>
      <c r="BG721" s="1098" t="str">
        <f ca="1">IF(LEFT(BD721,2)="RF",OFFSET(Pinlist!$D$1,Chart!BC721,0)&amp;"_"&amp;OFFSET(Pinlist!$G$1,Chart!BC721,0),"")</f>
        <v/>
      </c>
      <c r="BH721" s="1098"/>
      <c r="BI721" s="178"/>
      <c r="BJ721" s="178"/>
      <c r="BK721" s="178"/>
      <c r="BL721" s="178"/>
      <c r="BM721" s="178"/>
      <c r="BN721" s="178"/>
      <c r="BO721" s="178"/>
      <c r="BP721" s="178"/>
      <c r="BQ721" s="196"/>
      <c r="BR721" s="196"/>
      <c r="BS721" s="196"/>
      <c r="BT721" s="196"/>
      <c r="BU721" s="196"/>
      <c r="BV721" s="196"/>
      <c r="BW721" s="178"/>
      <c r="BX721" s="196"/>
      <c r="BY721" s="196"/>
      <c r="BZ721" s="196"/>
      <c r="CA721" s="196"/>
      <c r="CB721" s="178"/>
      <c r="CC721" s="178"/>
      <c r="CD721" s="202"/>
      <c r="CE721" s="202"/>
      <c r="CF721" s="178"/>
      <c r="CG721" s="196"/>
      <c r="CH721" s="178"/>
      <c r="CI721" s="178"/>
      <c r="CJ721" s="178"/>
      <c r="CK721" s="178"/>
      <c r="CL721" s="178"/>
      <c r="CM721" s="178"/>
      <c r="CN721" s="178"/>
      <c r="CO721" s="178"/>
      <c r="CP721" s="178"/>
      <c r="CQ721" s="178"/>
      <c r="CR721" s="178"/>
      <c r="CS721" s="178"/>
      <c r="CT721" s="178"/>
      <c r="CU721" s="178"/>
      <c r="CV721" s="178"/>
      <c r="CW721" s="178"/>
      <c r="CX721" s="178"/>
      <c r="CY721" s="178"/>
      <c r="CZ721" s="178"/>
      <c r="DA721" s="150"/>
    </row>
    <row r="722" spans="53:105" x14ac:dyDescent="0.2">
      <c r="BA722" s="518">
        <f t="shared" ca="1" si="46"/>
        <v>61</v>
      </c>
      <c r="BB722" s="174">
        <f t="shared" ca="1" si="47"/>
        <v>659</v>
      </c>
      <c r="BC722" s="525" t="e">
        <f ca="1">MATCH(BD722,OFFSET(Pinlist!$A$2,BC721*(BA722=BA721),0,$BM$23,1),0)+BC721*(BA722=BA721)</f>
        <v>#N/A</v>
      </c>
      <c r="BD722" s="167">
        <f t="shared" ca="1" si="48"/>
        <v>0</v>
      </c>
      <c r="BE722" s="191" t="e">
        <f ca="1">(OFFSET(Pinlist!$E$1,BC722,0)-$BN$16)*$BN$19</f>
        <v>#N/A</v>
      </c>
      <c r="BF722" s="192" t="e">
        <f ca="1">(OFFSET(Pinlist!$F$1,BC722,0)-$BO$16)*$BO$19</f>
        <v>#N/A</v>
      </c>
      <c r="BG722" s="1098" t="str">
        <f ca="1">IF(LEFT(BD722,2)="RF",OFFSET(Pinlist!$D$1,Chart!BC722,0)&amp;"_"&amp;OFFSET(Pinlist!$G$1,Chart!BC722,0),"")</f>
        <v/>
      </c>
      <c r="BH722" s="1098"/>
      <c r="BI722" s="178"/>
      <c r="BJ722" s="178"/>
      <c r="BK722" s="178"/>
      <c r="BL722" s="178"/>
      <c r="BM722" s="178"/>
      <c r="BN722" s="178"/>
      <c r="BO722" s="178"/>
      <c r="BP722" s="178"/>
      <c r="BQ722" s="196"/>
      <c r="BR722" s="196"/>
      <c r="BS722" s="196"/>
      <c r="BT722" s="196"/>
      <c r="BU722" s="196"/>
      <c r="BV722" s="196"/>
      <c r="BW722" s="178"/>
      <c r="BX722" s="196"/>
      <c r="BY722" s="196"/>
      <c r="BZ722" s="196"/>
      <c r="CA722" s="196"/>
      <c r="CB722" s="178"/>
      <c r="CC722" s="178"/>
      <c r="CD722" s="202"/>
      <c r="CE722" s="202"/>
      <c r="CF722" s="178"/>
      <c r="CG722" s="196"/>
      <c r="CH722" s="178"/>
      <c r="CI722" s="178"/>
      <c r="CJ722" s="178"/>
      <c r="CK722" s="178"/>
      <c r="CL722" s="178"/>
      <c r="CM722" s="178"/>
      <c r="CN722" s="178"/>
      <c r="CO722" s="178"/>
      <c r="CP722" s="178"/>
      <c r="CQ722" s="178"/>
      <c r="CR722" s="178"/>
      <c r="CS722" s="178"/>
      <c r="CT722" s="178"/>
      <c r="CU722" s="178"/>
      <c r="CV722" s="178"/>
      <c r="CW722" s="178"/>
      <c r="CX722" s="178"/>
      <c r="CY722" s="178"/>
      <c r="CZ722" s="178"/>
      <c r="DA722" s="150"/>
    </row>
    <row r="723" spans="53:105" x14ac:dyDescent="0.2">
      <c r="BA723" s="518">
        <f t="shared" ca="1" si="46"/>
        <v>61</v>
      </c>
      <c r="BB723" s="174">
        <f t="shared" ca="1" si="47"/>
        <v>660</v>
      </c>
      <c r="BC723" s="525" t="e">
        <f ca="1">MATCH(BD723,OFFSET(Pinlist!$A$2,BC722*(BA723=BA722),0,$BM$23,1),0)+BC722*(BA723=BA722)</f>
        <v>#N/A</v>
      </c>
      <c r="BD723" s="167">
        <f t="shared" ca="1" si="48"/>
        <v>0</v>
      </c>
      <c r="BE723" s="191" t="e">
        <f ca="1">(OFFSET(Pinlist!$E$1,BC723,0)-$BN$16)*$BN$19</f>
        <v>#N/A</v>
      </c>
      <c r="BF723" s="192" t="e">
        <f ca="1">(OFFSET(Pinlist!$F$1,BC723,0)-$BO$16)*$BO$19</f>
        <v>#N/A</v>
      </c>
      <c r="BG723" s="1098" t="str">
        <f ca="1">IF(LEFT(BD723,2)="RF",OFFSET(Pinlist!$D$1,Chart!BC723,0)&amp;"_"&amp;OFFSET(Pinlist!$G$1,Chart!BC723,0),"")</f>
        <v/>
      </c>
      <c r="BH723" s="1098"/>
      <c r="BI723" s="178"/>
      <c r="BJ723" s="178"/>
      <c r="BK723" s="178"/>
      <c r="BL723" s="178"/>
      <c r="BM723" s="178"/>
      <c r="BN723" s="178"/>
      <c r="BO723" s="178"/>
      <c r="BP723" s="178"/>
      <c r="BQ723" s="196"/>
      <c r="BR723" s="196"/>
      <c r="BS723" s="196"/>
      <c r="BT723" s="196"/>
      <c r="BU723" s="196"/>
      <c r="BV723" s="196"/>
      <c r="BW723" s="178"/>
      <c r="BX723" s="196"/>
      <c r="BY723" s="196"/>
      <c r="BZ723" s="196"/>
      <c r="CA723" s="196"/>
      <c r="CB723" s="178"/>
      <c r="CC723" s="178"/>
      <c r="CD723" s="202"/>
      <c r="CE723" s="202"/>
      <c r="CF723" s="178"/>
      <c r="CG723" s="196"/>
      <c r="CH723" s="178"/>
      <c r="CI723" s="178"/>
      <c r="CJ723" s="178"/>
      <c r="CK723" s="178"/>
      <c r="CL723" s="178"/>
      <c r="CM723" s="178"/>
      <c r="CN723" s="178"/>
      <c r="CO723" s="178"/>
      <c r="CP723" s="178"/>
      <c r="CQ723" s="178"/>
      <c r="CR723" s="178"/>
      <c r="CS723" s="178"/>
      <c r="CT723" s="178"/>
      <c r="CU723" s="178"/>
      <c r="CV723" s="178"/>
      <c r="CW723" s="178"/>
      <c r="CX723" s="178"/>
      <c r="CY723" s="178"/>
      <c r="CZ723" s="178"/>
      <c r="DA723" s="150"/>
    </row>
    <row r="724" spans="53:105" x14ac:dyDescent="0.2">
      <c r="BA724" s="518">
        <f t="shared" ca="1" si="46"/>
        <v>61</v>
      </c>
      <c r="BB724" s="174">
        <f t="shared" ca="1" si="47"/>
        <v>661</v>
      </c>
      <c r="BC724" s="525" t="e">
        <f ca="1">MATCH(BD724,OFFSET(Pinlist!$A$2,BC723*(BA724=BA723),0,$BM$23,1),0)+BC723*(BA724=BA723)</f>
        <v>#N/A</v>
      </c>
      <c r="BD724" s="167">
        <f t="shared" ca="1" si="48"/>
        <v>0</v>
      </c>
      <c r="BE724" s="191" t="e">
        <f ca="1">(OFFSET(Pinlist!$E$1,BC724,0)-$BN$16)*$BN$19</f>
        <v>#N/A</v>
      </c>
      <c r="BF724" s="192" t="e">
        <f ca="1">(OFFSET(Pinlist!$F$1,BC724,0)-$BO$16)*$BO$19</f>
        <v>#N/A</v>
      </c>
      <c r="BG724" s="1098" t="str">
        <f ca="1">IF(LEFT(BD724,2)="RF",OFFSET(Pinlist!$D$1,Chart!BC724,0)&amp;"_"&amp;OFFSET(Pinlist!$G$1,Chart!BC724,0),"")</f>
        <v/>
      </c>
      <c r="BH724" s="1098"/>
      <c r="BI724" s="178"/>
      <c r="BJ724" s="178"/>
      <c r="BK724" s="178"/>
      <c r="BL724" s="178"/>
      <c r="BM724" s="178"/>
      <c r="BN724" s="178"/>
      <c r="BO724" s="178"/>
      <c r="BP724" s="178"/>
      <c r="BQ724" s="196"/>
      <c r="BR724" s="196"/>
      <c r="BS724" s="196"/>
      <c r="BT724" s="196"/>
      <c r="BU724" s="196"/>
      <c r="BV724" s="196"/>
      <c r="BW724" s="178"/>
      <c r="BX724" s="196"/>
      <c r="BY724" s="196"/>
      <c r="BZ724" s="196"/>
      <c r="CA724" s="196"/>
      <c r="CB724" s="178"/>
      <c r="CC724" s="178"/>
      <c r="CD724" s="202"/>
      <c r="CE724" s="202"/>
      <c r="CF724" s="178"/>
      <c r="CG724" s="196"/>
      <c r="CH724" s="178"/>
      <c r="CI724" s="178"/>
      <c r="CJ724" s="178"/>
      <c r="CK724" s="178"/>
      <c r="CL724" s="178"/>
      <c r="CM724" s="178"/>
      <c r="CN724" s="178"/>
      <c r="CO724" s="178"/>
      <c r="CP724" s="178"/>
      <c r="CQ724" s="178"/>
      <c r="CR724" s="178"/>
      <c r="CS724" s="178"/>
      <c r="CT724" s="178"/>
      <c r="CU724" s="178"/>
      <c r="CV724" s="178"/>
      <c r="CW724" s="178"/>
      <c r="CX724" s="178"/>
      <c r="CY724" s="178"/>
      <c r="CZ724" s="178"/>
      <c r="DA724" s="150"/>
    </row>
    <row r="725" spans="53:105" x14ac:dyDescent="0.2">
      <c r="BA725" s="518">
        <f t="shared" ca="1" si="46"/>
        <v>61</v>
      </c>
      <c r="BB725" s="174">
        <f t="shared" ca="1" si="47"/>
        <v>662</v>
      </c>
      <c r="BC725" s="525" t="e">
        <f ca="1">MATCH(BD725,OFFSET(Pinlist!$A$2,BC724*(BA725=BA724),0,$BM$23,1),0)+BC724*(BA725=BA724)</f>
        <v>#N/A</v>
      </c>
      <c r="BD725" s="167">
        <f t="shared" ca="1" si="48"/>
        <v>0</v>
      </c>
      <c r="BE725" s="191" t="e">
        <f ca="1">(OFFSET(Pinlist!$E$1,BC725,0)-$BN$16)*$BN$19</f>
        <v>#N/A</v>
      </c>
      <c r="BF725" s="192" t="e">
        <f ca="1">(OFFSET(Pinlist!$F$1,BC725,0)-$BO$16)*$BO$19</f>
        <v>#N/A</v>
      </c>
      <c r="BG725" s="1098" t="str">
        <f ca="1">IF(LEFT(BD725,2)="RF",OFFSET(Pinlist!$D$1,Chart!BC725,0)&amp;"_"&amp;OFFSET(Pinlist!$G$1,Chart!BC725,0),"")</f>
        <v/>
      </c>
      <c r="BH725" s="1098"/>
      <c r="BI725" s="178"/>
      <c r="BJ725" s="178"/>
      <c r="BK725" s="178"/>
      <c r="BL725" s="178"/>
      <c r="BM725" s="178"/>
      <c r="BN725" s="178"/>
      <c r="BO725" s="178"/>
      <c r="BP725" s="178"/>
      <c r="BQ725" s="196"/>
      <c r="BR725" s="196"/>
      <c r="BS725" s="196"/>
      <c r="BT725" s="196"/>
      <c r="BU725" s="196"/>
      <c r="BV725" s="196"/>
      <c r="BW725" s="178"/>
      <c r="BX725" s="196"/>
      <c r="BY725" s="196"/>
      <c r="BZ725" s="196"/>
      <c r="CA725" s="196"/>
      <c r="CB725" s="178"/>
      <c r="CC725" s="178"/>
      <c r="CD725" s="202"/>
      <c r="CE725" s="202"/>
      <c r="CF725" s="178"/>
      <c r="CG725" s="196"/>
      <c r="CH725" s="178"/>
      <c r="CI725" s="178"/>
      <c r="CJ725" s="178"/>
      <c r="CK725" s="178"/>
      <c r="CL725" s="178"/>
      <c r="CM725" s="178"/>
      <c r="CN725" s="178"/>
      <c r="CO725" s="178"/>
      <c r="CP725" s="178"/>
      <c r="CQ725" s="178"/>
      <c r="CR725" s="178"/>
      <c r="CS725" s="178"/>
      <c r="CT725" s="178"/>
      <c r="CU725" s="178"/>
      <c r="CV725" s="178"/>
      <c r="CW725" s="178"/>
      <c r="CX725" s="178"/>
      <c r="CY725" s="178"/>
      <c r="CZ725" s="178"/>
      <c r="DA725" s="150"/>
    </row>
    <row r="726" spans="53:105" x14ac:dyDescent="0.2">
      <c r="BA726" s="518">
        <f t="shared" ca="1" si="46"/>
        <v>61</v>
      </c>
      <c r="BB726" s="174">
        <f t="shared" ca="1" si="47"/>
        <v>663</v>
      </c>
      <c r="BC726" s="525" t="e">
        <f ca="1">MATCH(BD726,OFFSET(Pinlist!$A$2,BC725*(BA726=BA725),0,$BM$23,1),0)+BC725*(BA726=BA725)</f>
        <v>#N/A</v>
      </c>
      <c r="BD726" s="167">
        <f t="shared" ca="1" si="48"/>
        <v>0</v>
      </c>
      <c r="BE726" s="191" t="e">
        <f ca="1">(OFFSET(Pinlist!$E$1,BC726,0)-$BN$16)*$BN$19</f>
        <v>#N/A</v>
      </c>
      <c r="BF726" s="192" t="e">
        <f ca="1">(OFFSET(Pinlist!$F$1,BC726,0)-$BO$16)*$BO$19</f>
        <v>#N/A</v>
      </c>
      <c r="BG726" s="1098" t="str">
        <f ca="1">IF(LEFT(BD726,2)="RF",OFFSET(Pinlist!$D$1,Chart!BC726,0)&amp;"_"&amp;OFFSET(Pinlist!$G$1,Chart!BC726,0),"")</f>
        <v/>
      </c>
      <c r="BH726" s="1098"/>
      <c r="BI726" s="178"/>
      <c r="BJ726" s="178"/>
      <c r="BK726" s="178"/>
      <c r="BL726" s="178"/>
      <c r="BM726" s="178"/>
      <c r="BN726" s="178"/>
      <c r="BO726" s="178"/>
      <c r="BP726" s="178"/>
      <c r="BQ726" s="196"/>
      <c r="BR726" s="196"/>
      <c r="BS726" s="196"/>
      <c r="BT726" s="196"/>
      <c r="BU726" s="196"/>
      <c r="BV726" s="196"/>
      <c r="BW726" s="178"/>
      <c r="BX726" s="196"/>
      <c r="BY726" s="196"/>
      <c r="BZ726" s="196"/>
      <c r="CA726" s="196"/>
      <c r="CB726" s="178"/>
      <c r="CC726" s="178"/>
      <c r="CD726" s="202"/>
      <c r="CE726" s="202"/>
      <c r="CF726" s="178"/>
      <c r="CG726" s="196"/>
      <c r="CH726" s="178"/>
      <c r="CI726" s="178"/>
      <c r="CJ726" s="178"/>
      <c r="CK726" s="178"/>
      <c r="CL726" s="178"/>
      <c r="CM726" s="178"/>
      <c r="CN726" s="178"/>
      <c r="CO726" s="178"/>
      <c r="CP726" s="178"/>
      <c r="CQ726" s="178"/>
      <c r="CR726" s="178"/>
      <c r="CS726" s="178"/>
      <c r="CT726" s="178"/>
      <c r="CU726" s="178"/>
      <c r="CV726" s="178"/>
      <c r="CW726" s="178"/>
      <c r="CX726" s="178"/>
      <c r="CY726" s="178"/>
      <c r="CZ726" s="178"/>
      <c r="DA726" s="150"/>
    </row>
    <row r="727" spans="53:105" x14ac:dyDescent="0.2">
      <c r="BA727" s="518">
        <f t="shared" ca="1" si="46"/>
        <v>61</v>
      </c>
      <c r="BB727" s="174">
        <f t="shared" ca="1" si="47"/>
        <v>664</v>
      </c>
      <c r="BC727" s="525" t="e">
        <f ca="1">MATCH(BD727,OFFSET(Pinlist!$A$2,BC726*(BA727=BA726),0,$BM$23,1),0)+BC726*(BA727=BA726)</f>
        <v>#N/A</v>
      </c>
      <c r="BD727" s="167">
        <f t="shared" ca="1" si="48"/>
        <v>0</v>
      </c>
      <c r="BE727" s="191" t="e">
        <f ca="1">(OFFSET(Pinlist!$E$1,BC727,0)-$BN$16)*$BN$19</f>
        <v>#N/A</v>
      </c>
      <c r="BF727" s="192" t="e">
        <f ca="1">(OFFSET(Pinlist!$F$1,BC727,0)-$BO$16)*$BO$19</f>
        <v>#N/A</v>
      </c>
      <c r="BG727" s="1098" t="str">
        <f ca="1">IF(LEFT(BD727,2)="RF",OFFSET(Pinlist!$D$1,Chart!BC727,0)&amp;"_"&amp;OFFSET(Pinlist!$G$1,Chart!BC727,0),"")</f>
        <v/>
      </c>
      <c r="BH727" s="1098"/>
      <c r="BI727" s="178"/>
      <c r="BJ727" s="178"/>
      <c r="BK727" s="178"/>
      <c r="BL727" s="178"/>
      <c r="BM727" s="178"/>
      <c r="BN727" s="178"/>
      <c r="BO727" s="178"/>
      <c r="BP727" s="178"/>
      <c r="BQ727" s="196"/>
      <c r="BR727" s="196"/>
      <c r="BS727" s="196"/>
      <c r="BT727" s="196"/>
      <c r="BU727" s="196"/>
      <c r="BV727" s="196"/>
      <c r="BW727" s="178"/>
      <c r="BX727" s="196"/>
      <c r="BY727" s="196"/>
      <c r="BZ727" s="196"/>
      <c r="CA727" s="196"/>
      <c r="CB727" s="178"/>
      <c r="CC727" s="178"/>
      <c r="CD727" s="202"/>
      <c r="CE727" s="202"/>
      <c r="CF727" s="178"/>
      <c r="CG727" s="196"/>
      <c r="CH727" s="178"/>
      <c r="CI727" s="178"/>
      <c r="CJ727" s="178"/>
      <c r="CK727" s="178"/>
      <c r="CL727" s="178"/>
      <c r="CM727" s="178"/>
      <c r="CN727" s="178"/>
      <c r="CO727" s="178"/>
      <c r="CP727" s="178"/>
      <c r="CQ727" s="178"/>
      <c r="CR727" s="178"/>
      <c r="CS727" s="178"/>
      <c r="CT727" s="178"/>
      <c r="CU727" s="178"/>
      <c r="CV727" s="178"/>
      <c r="CW727" s="178"/>
      <c r="CX727" s="178"/>
      <c r="CY727" s="178"/>
      <c r="CZ727" s="178"/>
      <c r="DA727" s="150"/>
    </row>
    <row r="728" spans="53:105" x14ac:dyDescent="0.2">
      <c r="BA728" s="518">
        <f t="shared" ca="1" si="46"/>
        <v>61</v>
      </c>
      <c r="BB728" s="174">
        <f t="shared" ca="1" si="47"/>
        <v>665</v>
      </c>
      <c r="BC728" s="525" t="e">
        <f ca="1">MATCH(BD728,OFFSET(Pinlist!$A$2,BC727*(BA728=BA727),0,$BM$23,1),0)+BC727*(BA728=BA727)</f>
        <v>#N/A</v>
      </c>
      <c r="BD728" s="167">
        <f t="shared" ca="1" si="48"/>
        <v>0</v>
      </c>
      <c r="BE728" s="191" t="e">
        <f ca="1">(OFFSET(Pinlist!$E$1,BC728,0)-$BN$16)*$BN$19</f>
        <v>#N/A</v>
      </c>
      <c r="BF728" s="192" t="e">
        <f ca="1">(OFFSET(Pinlist!$F$1,BC728,0)-$BO$16)*$BO$19</f>
        <v>#N/A</v>
      </c>
      <c r="BG728" s="1098" t="str">
        <f ca="1">IF(LEFT(BD728,2)="RF",OFFSET(Pinlist!$D$1,Chart!BC728,0)&amp;"_"&amp;OFFSET(Pinlist!$G$1,Chart!BC728,0),"")</f>
        <v/>
      </c>
      <c r="BH728" s="1098"/>
      <c r="BI728" s="178"/>
      <c r="BJ728" s="178"/>
      <c r="BK728" s="178"/>
      <c r="BL728" s="178"/>
      <c r="BM728" s="178"/>
      <c r="BN728" s="178"/>
      <c r="BO728" s="178"/>
      <c r="BP728" s="178"/>
      <c r="BQ728" s="196"/>
      <c r="BR728" s="196"/>
      <c r="BS728" s="196"/>
      <c r="BT728" s="196"/>
      <c r="BU728" s="196"/>
      <c r="BV728" s="196"/>
      <c r="BW728" s="178"/>
      <c r="BX728" s="196"/>
      <c r="BY728" s="196"/>
      <c r="BZ728" s="196"/>
      <c r="CA728" s="196"/>
      <c r="CB728" s="178"/>
      <c r="CC728" s="178"/>
      <c r="CD728" s="202"/>
      <c r="CE728" s="202"/>
      <c r="CF728" s="178"/>
      <c r="CG728" s="196"/>
      <c r="CH728" s="178"/>
      <c r="CI728" s="178"/>
      <c r="CJ728" s="178"/>
      <c r="CK728" s="178"/>
      <c r="CL728" s="178"/>
      <c r="CM728" s="178"/>
      <c r="CN728" s="178"/>
      <c r="CO728" s="178"/>
      <c r="CP728" s="178"/>
      <c r="CQ728" s="178"/>
      <c r="CR728" s="178"/>
      <c r="CS728" s="178"/>
      <c r="CT728" s="178"/>
      <c r="CU728" s="178"/>
      <c r="CV728" s="178"/>
      <c r="CW728" s="178"/>
      <c r="CX728" s="178"/>
      <c r="CY728" s="178"/>
      <c r="CZ728" s="178"/>
      <c r="DA728" s="150"/>
    </row>
    <row r="729" spans="53:105" x14ac:dyDescent="0.2">
      <c r="BA729" s="518">
        <f t="shared" ca="1" si="46"/>
        <v>61</v>
      </c>
      <c r="BB729" s="174">
        <f t="shared" ca="1" si="47"/>
        <v>666</v>
      </c>
      <c r="BC729" s="525" t="e">
        <f ca="1">MATCH(BD729,OFFSET(Pinlist!$A$2,BC728*(BA729=BA728),0,$BM$23,1),0)+BC728*(BA729=BA728)</f>
        <v>#N/A</v>
      </c>
      <c r="BD729" s="167">
        <f t="shared" ca="1" si="48"/>
        <v>0</v>
      </c>
      <c r="BE729" s="191" t="e">
        <f ca="1">(OFFSET(Pinlist!$E$1,BC729,0)-$BN$16)*$BN$19</f>
        <v>#N/A</v>
      </c>
      <c r="BF729" s="192" t="e">
        <f ca="1">(OFFSET(Pinlist!$F$1,BC729,0)-$BO$16)*$BO$19</f>
        <v>#N/A</v>
      </c>
      <c r="BG729" s="1098" t="str">
        <f ca="1">IF(LEFT(BD729,2)="RF",OFFSET(Pinlist!$D$1,Chart!BC729,0)&amp;"_"&amp;OFFSET(Pinlist!$G$1,Chart!BC729,0),"")</f>
        <v/>
      </c>
      <c r="BH729" s="1098"/>
      <c r="BI729" s="178"/>
      <c r="BJ729" s="178"/>
      <c r="BK729" s="178"/>
      <c r="BL729" s="178"/>
      <c r="BM729" s="178"/>
      <c r="BN729" s="178"/>
      <c r="BO729" s="178"/>
      <c r="BP729" s="178"/>
      <c r="BQ729" s="196"/>
      <c r="BR729" s="196"/>
      <c r="BS729" s="196"/>
      <c r="BT729" s="196"/>
      <c r="BU729" s="196"/>
      <c r="BV729" s="196"/>
      <c r="BW729" s="178"/>
      <c r="BX729" s="196"/>
      <c r="BY729" s="196"/>
      <c r="BZ729" s="196"/>
      <c r="CA729" s="196"/>
      <c r="CB729" s="178"/>
      <c r="CC729" s="178"/>
      <c r="CD729" s="202"/>
      <c r="CE729" s="202"/>
      <c r="CF729" s="178"/>
      <c r="CG729" s="196"/>
      <c r="CH729" s="178"/>
      <c r="CI729" s="178"/>
      <c r="CJ729" s="178"/>
      <c r="CK729" s="178"/>
      <c r="CL729" s="178"/>
      <c r="CM729" s="178"/>
      <c r="CN729" s="178"/>
      <c r="CO729" s="178"/>
      <c r="CP729" s="178"/>
      <c r="CQ729" s="178"/>
      <c r="CR729" s="178"/>
      <c r="CS729" s="178"/>
      <c r="CT729" s="178"/>
      <c r="CU729" s="178"/>
      <c r="CV729" s="178"/>
      <c r="CW729" s="178"/>
      <c r="CX729" s="178"/>
      <c r="CY729" s="178"/>
      <c r="CZ729" s="178"/>
      <c r="DA729" s="150"/>
    </row>
    <row r="730" spans="53:105" x14ac:dyDescent="0.2">
      <c r="BA730" s="518">
        <f t="shared" ca="1" si="46"/>
        <v>61</v>
      </c>
      <c r="BB730" s="174">
        <f t="shared" ca="1" si="47"/>
        <v>667</v>
      </c>
      <c r="BC730" s="525" t="e">
        <f ca="1">MATCH(BD730,OFFSET(Pinlist!$A$2,BC729*(BA730=BA729),0,$BM$23,1),0)+BC729*(BA730=BA729)</f>
        <v>#N/A</v>
      </c>
      <c r="BD730" s="167">
        <f t="shared" ca="1" si="48"/>
        <v>0</v>
      </c>
      <c r="BE730" s="191" t="e">
        <f ca="1">(OFFSET(Pinlist!$E$1,BC730,0)-$BN$16)*$BN$19</f>
        <v>#N/A</v>
      </c>
      <c r="BF730" s="192" t="e">
        <f ca="1">(OFFSET(Pinlist!$F$1,BC730,0)-$BO$16)*$BO$19</f>
        <v>#N/A</v>
      </c>
      <c r="BG730" s="1098" t="str">
        <f ca="1">IF(LEFT(BD730,2)="RF",OFFSET(Pinlist!$D$1,Chart!BC730,0)&amp;"_"&amp;OFFSET(Pinlist!$G$1,Chart!BC730,0),"")</f>
        <v/>
      </c>
      <c r="BH730" s="1098"/>
      <c r="BI730" s="178"/>
      <c r="BJ730" s="178"/>
      <c r="BK730" s="178"/>
      <c r="BL730" s="178"/>
      <c r="BM730" s="178"/>
      <c r="BN730" s="178"/>
      <c r="BO730" s="178"/>
      <c r="BP730" s="178"/>
      <c r="BQ730" s="196"/>
      <c r="BR730" s="196"/>
      <c r="BS730" s="196"/>
      <c r="BT730" s="196"/>
      <c r="BU730" s="196"/>
      <c r="BV730" s="196"/>
      <c r="BW730" s="178"/>
      <c r="BX730" s="196"/>
      <c r="BY730" s="196"/>
      <c r="BZ730" s="196"/>
      <c r="CA730" s="196"/>
      <c r="CB730" s="178"/>
      <c r="CC730" s="178"/>
      <c r="CD730" s="202"/>
      <c r="CE730" s="202"/>
      <c r="CF730" s="178"/>
      <c r="CG730" s="196"/>
      <c r="CH730" s="178"/>
      <c r="CI730" s="178"/>
      <c r="CJ730" s="178"/>
      <c r="CK730" s="178"/>
      <c r="CL730" s="178"/>
      <c r="CM730" s="178"/>
      <c r="CN730" s="178"/>
      <c r="CO730" s="178"/>
      <c r="CP730" s="178"/>
      <c r="CQ730" s="178"/>
      <c r="CR730" s="178"/>
      <c r="CS730" s="178"/>
      <c r="CT730" s="178"/>
      <c r="CU730" s="178"/>
      <c r="CV730" s="178"/>
      <c r="CW730" s="178"/>
      <c r="CX730" s="178"/>
      <c r="CY730" s="178"/>
      <c r="CZ730" s="178"/>
      <c r="DA730" s="150"/>
    </row>
    <row r="731" spans="53:105" x14ac:dyDescent="0.2">
      <c r="BA731" s="518">
        <f t="shared" ca="1" si="46"/>
        <v>61</v>
      </c>
      <c r="BB731" s="174">
        <f t="shared" ca="1" si="47"/>
        <v>668</v>
      </c>
      <c r="BC731" s="525" t="e">
        <f ca="1">MATCH(BD731,OFFSET(Pinlist!$A$2,BC730*(BA731=BA730),0,$BM$23,1),0)+BC730*(BA731=BA730)</f>
        <v>#N/A</v>
      </c>
      <c r="BD731" s="167">
        <f t="shared" ca="1" si="48"/>
        <v>0</v>
      </c>
      <c r="BE731" s="191" t="e">
        <f ca="1">(OFFSET(Pinlist!$E$1,BC731,0)-$BN$16)*$BN$19</f>
        <v>#N/A</v>
      </c>
      <c r="BF731" s="192" t="e">
        <f ca="1">(OFFSET(Pinlist!$F$1,BC731,0)-$BO$16)*$BO$19</f>
        <v>#N/A</v>
      </c>
      <c r="BG731" s="1098" t="str">
        <f ca="1">IF(LEFT(BD731,2)="RF",OFFSET(Pinlist!$D$1,Chart!BC731,0)&amp;"_"&amp;OFFSET(Pinlist!$G$1,Chart!BC731,0),"")</f>
        <v/>
      </c>
      <c r="BH731" s="1098"/>
      <c r="BI731" s="178"/>
      <c r="BJ731" s="178"/>
      <c r="BK731" s="178"/>
      <c r="BL731" s="178"/>
      <c r="BM731" s="178"/>
      <c r="BN731" s="178"/>
      <c r="BO731" s="178"/>
      <c r="BP731" s="178"/>
      <c r="BQ731" s="196"/>
      <c r="BR731" s="196"/>
      <c r="BS731" s="196"/>
      <c r="BT731" s="196"/>
      <c r="BU731" s="196"/>
      <c r="BV731" s="196"/>
      <c r="BW731" s="178"/>
      <c r="BX731" s="196"/>
      <c r="BY731" s="196"/>
      <c r="BZ731" s="196"/>
      <c r="CA731" s="196"/>
      <c r="CB731" s="178"/>
      <c r="CC731" s="178"/>
      <c r="CD731" s="202"/>
      <c r="CE731" s="202"/>
      <c r="CF731" s="178"/>
      <c r="CG731" s="196"/>
      <c r="CH731" s="178"/>
      <c r="CI731" s="178"/>
      <c r="CJ731" s="178"/>
      <c r="CK731" s="178"/>
      <c r="CL731" s="178"/>
      <c r="CM731" s="178"/>
      <c r="CN731" s="178"/>
      <c r="CO731" s="178"/>
      <c r="CP731" s="178"/>
      <c r="CQ731" s="178"/>
      <c r="CR731" s="178"/>
      <c r="CS731" s="178"/>
      <c r="CT731" s="178"/>
      <c r="CU731" s="178"/>
      <c r="CV731" s="178"/>
      <c r="CW731" s="178"/>
      <c r="CX731" s="178"/>
      <c r="CY731" s="178"/>
      <c r="CZ731" s="178"/>
      <c r="DA731" s="150"/>
    </row>
    <row r="732" spans="53:105" x14ac:dyDescent="0.2">
      <c r="BA732" s="518">
        <f t="shared" ca="1" si="46"/>
        <v>61</v>
      </c>
      <c r="BB732" s="174">
        <f t="shared" ca="1" si="47"/>
        <v>669</v>
      </c>
      <c r="BC732" s="525" t="e">
        <f ca="1">MATCH(BD732,OFFSET(Pinlist!$A$2,BC731*(BA732=BA731),0,$BM$23,1),0)+BC731*(BA732=BA731)</f>
        <v>#N/A</v>
      </c>
      <c r="BD732" s="167">
        <f t="shared" ca="1" si="48"/>
        <v>0</v>
      </c>
      <c r="BE732" s="191" t="e">
        <f ca="1">(OFFSET(Pinlist!$E$1,BC732,0)-$BN$16)*$BN$19</f>
        <v>#N/A</v>
      </c>
      <c r="BF732" s="192" t="e">
        <f ca="1">(OFFSET(Pinlist!$F$1,BC732,0)-$BO$16)*$BO$19</f>
        <v>#N/A</v>
      </c>
      <c r="BG732" s="1098" t="str">
        <f ca="1">IF(LEFT(BD732,2)="RF",OFFSET(Pinlist!$D$1,Chart!BC732,0)&amp;"_"&amp;OFFSET(Pinlist!$G$1,Chart!BC732,0),"")</f>
        <v/>
      </c>
      <c r="BH732" s="1098"/>
      <c r="BI732" s="178"/>
      <c r="BJ732" s="178"/>
      <c r="BK732" s="178"/>
      <c r="BL732" s="178"/>
      <c r="BM732" s="178"/>
      <c r="BN732" s="178"/>
      <c r="BO732" s="178"/>
      <c r="BP732" s="178"/>
      <c r="BQ732" s="196"/>
      <c r="BR732" s="196"/>
      <c r="BS732" s="196"/>
      <c r="BT732" s="196"/>
      <c r="BU732" s="196"/>
      <c r="BV732" s="196"/>
      <c r="BW732" s="178"/>
      <c r="BX732" s="196"/>
      <c r="BY732" s="196"/>
      <c r="BZ732" s="196"/>
      <c r="CA732" s="196"/>
      <c r="CB732" s="178"/>
      <c r="CC732" s="178"/>
      <c r="CD732" s="202"/>
      <c r="CE732" s="202"/>
      <c r="CF732" s="178"/>
      <c r="CG732" s="196"/>
      <c r="CH732" s="178"/>
      <c r="CI732" s="178"/>
      <c r="CJ732" s="178"/>
      <c r="CK732" s="178"/>
      <c r="CL732" s="178"/>
      <c r="CM732" s="178"/>
      <c r="CN732" s="178"/>
      <c r="CO732" s="178"/>
      <c r="CP732" s="178"/>
      <c r="CQ732" s="178"/>
      <c r="CR732" s="178"/>
      <c r="CS732" s="178"/>
      <c r="CT732" s="178"/>
      <c r="CU732" s="178"/>
      <c r="CV732" s="178"/>
      <c r="CW732" s="178"/>
      <c r="CX732" s="178"/>
      <c r="CY732" s="178"/>
      <c r="CZ732" s="178"/>
      <c r="DA732" s="150"/>
    </row>
    <row r="733" spans="53:105" x14ac:dyDescent="0.2">
      <c r="BA733" s="518">
        <f t="shared" ca="1" si="46"/>
        <v>61</v>
      </c>
      <c r="BB733" s="174">
        <f t="shared" ca="1" si="47"/>
        <v>670</v>
      </c>
      <c r="BC733" s="525" t="e">
        <f ca="1">MATCH(BD733,OFFSET(Pinlist!$A$2,BC732*(BA733=BA732),0,$BM$23,1),0)+BC732*(BA733=BA732)</f>
        <v>#N/A</v>
      </c>
      <c r="BD733" s="167">
        <f t="shared" ca="1" si="48"/>
        <v>0</v>
      </c>
      <c r="BE733" s="191" t="e">
        <f ca="1">(OFFSET(Pinlist!$E$1,BC733,0)-$BN$16)*$BN$19</f>
        <v>#N/A</v>
      </c>
      <c r="BF733" s="192" t="e">
        <f ca="1">(OFFSET(Pinlist!$F$1,BC733,0)-$BO$16)*$BO$19</f>
        <v>#N/A</v>
      </c>
      <c r="BG733" s="1098" t="str">
        <f ca="1">IF(LEFT(BD733,2)="RF",OFFSET(Pinlist!$D$1,Chart!BC733,0)&amp;"_"&amp;OFFSET(Pinlist!$G$1,Chart!BC733,0),"")</f>
        <v/>
      </c>
      <c r="BH733" s="1098"/>
      <c r="BI733" s="178"/>
      <c r="BJ733" s="178"/>
      <c r="BK733" s="178"/>
      <c r="BL733" s="178"/>
      <c r="BM733" s="178"/>
      <c r="BN733" s="178"/>
      <c r="BO733" s="178"/>
      <c r="BP733" s="178"/>
      <c r="BQ733" s="196"/>
      <c r="BR733" s="196"/>
      <c r="BS733" s="196"/>
      <c r="BT733" s="196"/>
      <c r="BU733" s="196"/>
      <c r="BV733" s="196"/>
      <c r="BW733" s="178"/>
      <c r="BX733" s="196"/>
      <c r="BY733" s="196"/>
      <c r="BZ733" s="196"/>
      <c r="CA733" s="196"/>
      <c r="CB733" s="178"/>
      <c r="CC733" s="178"/>
      <c r="CD733" s="202"/>
      <c r="CE733" s="202"/>
      <c r="CF733" s="178"/>
      <c r="CG733" s="196"/>
      <c r="CH733" s="178"/>
      <c r="CI733" s="178"/>
      <c r="CJ733" s="178"/>
      <c r="CK733" s="178"/>
      <c r="CL733" s="178"/>
      <c r="CM733" s="178"/>
      <c r="CN733" s="178"/>
      <c r="CO733" s="178"/>
      <c r="CP733" s="178"/>
      <c r="CQ733" s="178"/>
      <c r="CR733" s="178"/>
      <c r="CS733" s="178"/>
      <c r="CT733" s="178"/>
      <c r="CU733" s="178"/>
      <c r="CV733" s="178"/>
      <c r="CW733" s="178"/>
      <c r="CX733" s="178"/>
      <c r="CY733" s="178"/>
      <c r="CZ733" s="178"/>
      <c r="DA733" s="150"/>
    </row>
    <row r="734" spans="53:105" x14ac:dyDescent="0.2">
      <c r="BA734" s="518">
        <f t="shared" ca="1" si="46"/>
        <v>61</v>
      </c>
      <c r="BB734" s="174">
        <f t="shared" ca="1" si="47"/>
        <v>671</v>
      </c>
      <c r="BC734" s="525" t="e">
        <f ca="1">MATCH(BD734,OFFSET(Pinlist!$A$2,BC733*(BA734=BA733),0,$BM$23,1),0)+BC733*(BA734=BA733)</f>
        <v>#N/A</v>
      </c>
      <c r="BD734" s="167">
        <f t="shared" ca="1" si="48"/>
        <v>0</v>
      </c>
      <c r="BE734" s="191" t="e">
        <f ca="1">(OFFSET(Pinlist!$E$1,BC734,0)-$BN$16)*$BN$19</f>
        <v>#N/A</v>
      </c>
      <c r="BF734" s="192" t="e">
        <f ca="1">(OFFSET(Pinlist!$F$1,BC734,0)-$BO$16)*$BO$19</f>
        <v>#N/A</v>
      </c>
      <c r="BG734" s="1098" t="str">
        <f ca="1">IF(LEFT(BD734,2)="RF",OFFSET(Pinlist!$D$1,Chart!BC734,0)&amp;"_"&amp;OFFSET(Pinlist!$G$1,Chart!BC734,0),"")</f>
        <v/>
      </c>
      <c r="BH734" s="1098"/>
      <c r="BI734" s="178"/>
      <c r="BJ734" s="178"/>
      <c r="BK734" s="178"/>
      <c r="BL734" s="178"/>
      <c r="BM734" s="178"/>
      <c r="BN734" s="178"/>
      <c r="BO734" s="178"/>
      <c r="BP734" s="178"/>
      <c r="BQ734" s="196"/>
      <c r="BR734" s="196"/>
      <c r="BS734" s="196"/>
      <c r="BT734" s="196"/>
      <c r="BU734" s="196"/>
      <c r="BV734" s="196"/>
      <c r="BW734" s="178"/>
      <c r="BX734" s="196"/>
      <c r="BY734" s="196"/>
      <c r="BZ734" s="196"/>
      <c r="CA734" s="196"/>
      <c r="CB734" s="178"/>
      <c r="CC734" s="178"/>
      <c r="CD734" s="202"/>
      <c r="CE734" s="202"/>
      <c r="CF734" s="178"/>
      <c r="CG734" s="196"/>
      <c r="CH734" s="178"/>
      <c r="CI734" s="178"/>
      <c r="CJ734" s="178"/>
      <c r="CK734" s="178"/>
      <c r="CL734" s="178"/>
      <c r="CM734" s="178"/>
      <c r="CN734" s="178"/>
      <c r="CO734" s="178"/>
      <c r="CP734" s="178"/>
      <c r="CQ734" s="178"/>
      <c r="CR734" s="178"/>
      <c r="CS734" s="178"/>
      <c r="CT734" s="178"/>
      <c r="CU734" s="178"/>
      <c r="CV734" s="178"/>
      <c r="CW734" s="178"/>
      <c r="CX734" s="178"/>
      <c r="CY734" s="178"/>
      <c r="CZ734" s="178"/>
      <c r="DA734" s="150"/>
    </row>
    <row r="735" spans="53:105" x14ac:dyDescent="0.2">
      <c r="BA735" s="518">
        <f t="shared" ca="1" si="46"/>
        <v>61</v>
      </c>
      <c r="BB735" s="174">
        <f t="shared" ca="1" si="47"/>
        <v>672</v>
      </c>
      <c r="BC735" s="525" t="e">
        <f ca="1">MATCH(BD735,OFFSET(Pinlist!$A$2,BC734*(BA735=BA734),0,$BM$23,1),0)+BC734*(BA735=BA734)</f>
        <v>#N/A</v>
      </c>
      <c r="BD735" s="167">
        <f t="shared" ca="1" si="48"/>
        <v>0</v>
      </c>
      <c r="BE735" s="191" t="e">
        <f ca="1">(OFFSET(Pinlist!$E$1,BC735,0)-$BN$16)*$BN$19</f>
        <v>#N/A</v>
      </c>
      <c r="BF735" s="192" t="e">
        <f ca="1">(OFFSET(Pinlist!$F$1,BC735,0)-$BO$16)*$BO$19</f>
        <v>#N/A</v>
      </c>
      <c r="BG735" s="1098" t="str">
        <f ca="1">IF(LEFT(BD735,2)="RF",OFFSET(Pinlist!$D$1,Chart!BC735,0)&amp;"_"&amp;OFFSET(Pinlist!$G$1,Chart!BC735,0),"")</f>
        <v/>
      </c>
      <c r="BH735" s="1098"/>
      <c r="BI735" s="178"/>
      <c r="BJ735" s="178"/>
      <c r="BK735" s="178"/>
      <c r="BL735" s="178"/>
      <c r="BM735" s="178"/>
      <c r="BN735" s="178"/>
      <c r="BO735" s="178"/>
      <c r="BP735" s="178"/>
      <c r="BQ735" s="196"/>
      <c r="BR735" s="196"/>
      <c r="BS735" s="196"/>
      <c r="BT735" s="196"/>
      <c r="BU735" s="196"/>
      <c r="BV735" s="196"/>
      <c r="BW735" s="178"/>
      <c r="BX735" s="196"/>
      <c r="BY735" s="196"/>
      <c r="BZ735" s="196"/>
      <c r="CA735" s="196"/>
      <c r="CB735" s="178"/>
      <c r="CC735" s="178"/>
      <c r="CD735" s="202"/>
      <c r="CE735" s="202"/>
      <c r="CF735" s="178"/>
      <c r="CG735" s="196"/>
      <c r="CH735" s="178"/>
      <c r="CI735" s="178"/>
      <c r="CJ735" s="178"/>
      <c r="CK735" s="178"/>
      <c r="CL735" s="178"/>
      <c r="CM735" s="178"/>
      <c r="CN735" s="178"/>
      <c r="CO735" s="178"/>
      <c r="CP735" s="178"/>
      <c r="CQ735" s="178"/>
      <c r="CR735" s="178"/>
      <c r="CS735" s="178"/>
      <c r="CT735" s="178"/>
      <c r="CU735" s="178"/>
      <c r="CV735" s="178"/>
      <c r="CW735" s="178"/>
      <c r="CX735" s="178"/>
      <c r="CY735" s="178"/>
      <c r="CZ735" s="178"/>
      <c r="DA735" s="150"/>
    </row>
    <row r="736" spans="53:105" x14ac:dyDescent="0.2">
      <c r="BA736" s="518">
        <f t="shared" ca="1" si="46"/>
        <v>61</v>
      </c>
      <c r="BB736" s="174">
        <f t="shared" ca="1" si="47"/>
        <v>673</v>
      </c>
      <c r="BC736" s="525" t="e">
        <f ca="1">MATCH(BD736,OFFSET(Pinlist!$A$2,BC735*(BA736=BA735),0,$BM$23,1),0)+BC735*(BA736=BA735)</f>
        <v>#N/A</v>
      </c>
      <c r="BD736" s="167">
        <f t="shared" ca="1" si="48"/>
        <v>0</v>
      </c>
      <c r="BE736" s="191" t="e">
        <f ca="1">(OFFSET(Pinlist!$E$1,BC736,0)-$BN$16)*$BN$19</f>
        <v>#N/A</v>
      </c>
      <c r="BF736" s="192" t="e">
        <f ca="1">(OFFSET(Pinlist!$F$1,BC736,0)-$BO$16)*$BO$19</f>
        <v>#N/A</v>
      </c>
      <c r="BG736" s="1098" t="str">
        <f ca="1">IF(LEFT(BD736,2)="RF",OFFSET(Pinlist!$D$1,Chart!BC736,0)&amp;"_"&amp;OFFSET(Pinlist!$G$1,Chart!BC736,0),"")</f>
        <v/>
      </c>
      <c r="BH736" s="1098"/>
      <c r="BI736" s="178"/>
      <c r="BJ736" s="178"/>
      <c r="BK736" s="178"/>
      <c r="BL736" s="178"/>
      <c r="BM736" s="178"/>
      <c r="BN736" s="178"/>
      <c r="BO736" s="178"/>
      <c r="BP736" s="178"/>
      <c r="BQ736" s="196"/>
      <c r="BR736" s="196"/>
      <c r="BS736" s="196"/>
      <c r="BT736" s="196"/>
      <c r="BU736" s="196"/>
      <c r="BV736" s="196"/>
      <c r="BW736" s="178"/>
      <c r="BX736" s="196"/>
      <c r="BY736" s="196"/>
      <c r="BZ736" s="196"/>
      <c r="CA736" s="196"/>
      <c r="CB736" s="178"/>
      <c r="CC736" s="178"/>
      <c r="CD736" s="202"/>
      <c r="CE736" s="202"/>
      <c r="CF736" s="178"/>
      <c r="CG736" s="196"/>
      <c r="CH736" s="178"/>
      <c r="CI736" s="178"/>
      <c r="CJ736" s="178"/>
      <c r="CK736" s="178"/>
      <c r="CL736" s="178"/>
      <c r="CM736" s="178"/>
      <c r="CN736" s="178"/>
      <c r="CO736" s="178"/>
      <c r="CP736" s="178"/>
      <c r="CQ736" s="178"/>
      <c r="CR736" s="178"/>
      <c r="CS736" s="178"/>
      <c r="CT736" s="178"/>
      <c r="CU736" s="178"/>
      <c r="CV736" s="178"/>
      <c r="CW736" s="178"/>
      <c r="CX736" s="178"/>
      <c r="CY736" s="178"/>
      <c r="CZ736" s="178"/>
      <c r="DA736" s="150"/>
    </row>
    <row r="737" spans="53:105" x14ac:dyDescent="0.2">
      <c r="BA737" s="518">
        <f t="shared" ca="1" si="46"/>
        <v>61</v>
      </c>
      <c r="BB737" s="174">
        <f t="shared" ca="1" si="47"/>
        <v>674</v>
      </c>
      <c r="BC737" s="525" t="e">
        <f ca="1">MATCH(BD737,OFFSET(Pinlist!$A$2,BC736*(BA737=BA736),0,$BM$23,1),0)+BC736*(BA737=BA736)</f>
        <v>#N/A</v>
      </c>
      <c r="BD737" s="167">
        <f t="shared" ca="1" si="48"/>
        <v>0</v>
      </c>
      <c r="BE737" s="191" t="e">
        <f ca="1">(OFFSET(Pinlist!$E$1,BC737,0)-$BN$16)*$BN$19</f>
        <v>#N/A</v>
      </c>
      <c r="BF737" s="192" t="e">
        <f ca="1">(OFFSET(Pinlist!$F$1,BC737,0)-$BO$16)*$BO$19</f>
        <v>#N/A</v>
      </c>
      <c r="BG737" s="1098" t="str">
        <f ca="1">IF(LEFT(BD737,2)="RF",OFFSET(Pinlist!$D$1,Chart!BC737,0)&amp;"_"&amp;OFFSET(Pinlist!$G$1,Chart!BC737,0),"")</f>
        <v/>
      </c>
      <c r="BH737" s="1098"/>
      <c r="BI737" s="178"/>
      <c r="BJ737" s="178"/>
      <c r="BK737" s="178"/>
      <c r="BL737" s="178"/>
      <c r="BM737" s="178"/>
      <c r="BN737" s="178"/>
      <c r="BO737" s="178"/>
      <c r="BP737" s="178"/>
      <c r="BQ737" s="196"/>
      <c r="BR737" s="196"/>
      <c r="BS737" s="196"/>
      <c r="BT737" s="196"/>
      <c r="BU737" s="196"/>
      <c r="BV737" s="196"/>
      <c r="BW737" s="178"/>
      <c r="BX737" s="196"/>
      <c r="BY737" s="196"/>
      <c r="BZ737" s="196"/>
      <c r="CA737" s="196"/>
      <c r="CB737" s="178"/>
      <c r="CC737" s="178"/>
      <c r="CD737" s="202"/>
      <c r="CE737" s="202"/>
      <c r="CF737" s="178"/>
      <c r="CG737" s="196"/>
      <c r="CH737" s="178"/>
      <c r="CI737" s="178"/>
      <c r="CJ737" s="178"/>
      <c r="CK737" s="178"/>
      <c r="CL737" s="178"/>
      <c r="CM737" s="178"/>
      <c r="CN737" s="178"/>
      <c r="CO737" s="178"/>
      <c r="CP737" s="178"/>
      <c r="CQ737" s="178"/>
      <c r="CR737" s="178"/>
      <c r="CS737" s="178"/>
      <c r="CT737" s="178"/>
      <c r="CU737" s="178"/>
      <c r="CV737" s="178"/>
      <c r="CW737" s="178"/>
      <c r="CX737" s="178"/>
      <c r="CY737" s="178"/>
      <c r="CZ737" s="178"/>
      <c r="DA737" s="150"/>
    </row>
    <row r="738" spans="53:105" x14ac:dyDescent="0.2">
      <c r="BA738" s="518">
        <f t="shared" ca="1" si="46"/>
        <v>61</v>
      </c>
      <c r="BB738" s="174">
        <f t="shared" ca="1" si="47"/>
        <v>675</v>
      </c>
      <c r="BC738" s="525" t="e">
        <f ca="1">MATCH(BD738,OFFSET(Pinlist!$A$2,BC737*(BA738=BA737),0,$BM$23,1),0)+BC737*(BA738=BA737)</f>
        <v>#N/A</v>
      </c>
      <c r="BD738" s="167">
        <f t="shared" ca="1" si="48"/>
        <v>0</v>
      </c>
      <c r="BE738" s="191" t="e">
        <f ca="1">(OFFSET(Pinlist!$E$1,BC738,0)-$BN$16)*$BN$19</f>
        <v>#N/A</v>
      </c>
      <c r="BF738" s="192" t="e">
        <f ca="1">(OFFSET(Pinlist!$F$1,BC738,0)-$BO$16)*$BO$19</f>
        <v>#N/A</v>
      </c>
      <c r="BG738" s="1098" t="str">
        <f ca="1">IF(LEFT(BD738,2)="RF",OFFSET(Pinlist!$D$1,Chart!BC738,0)&amp;"_"&amp;OFFSET(Pinlist!$G$1,Chart!BC738,0),"")</f>
        <v/>
      </c>
      <c r="BH738" s="1098"/>
      <c r="BI738" s="178"/>
      <c r="BJ738" s="178"/>
      <c r="BK738" s="178"/>
      <c r="BL738" s="178"/>
      <c r="BM738" s="178"/>
      <c r="BN738" s="178"/>
      <c r="BO738" s="178"/>
      <c r="BP738" s="178"/>
      <c r="BQ738" s="196"/>
      <c r="BR738" s="196"/>
      <c r="BS738" s="196"/>
      <c r="BT738" s="196"/>
      <c r="BU738" s="196"/>
      <c r="BV738" s="196"/>
      <c r="BW738" s="178"/>
      <c r="BX738" s="196"/>
      <c r="BY738" s="196"/>
      <c r="BZ738" s="196"/>
      <c r="CA738" s="196"/>
      <c r="CB738" s="178"/>
      <c r="CC738" s="178"/>
      <c r="CD738" s="202"/>
      <c r="CE738" s="202"/>
      <c r="CF738" s="178"/>
      <c r="CG738" s="196"/>
      <c r="CH738" s="178"/>
      <c r="CI738" s="178"/>
      <c r="CJ738" s="178"/>
      <c r="CK738" s="178"/>
      <c r="CL738" s="178"/>
      <c r="CM738" s="178"/>
      <c r="CN738" s="178"/>
      <c r="CO738" s="178"/>
      <c r="CP738" s="178"/>
      <c r="CQ738" s="178"/>
      <c r="CR738" s="178"/>
      <c r="CS738" s="178"/>
      <c r="CT738" s="178"/>
      <c r="CU738" s="178"/>
      <c r="CV738" s="178"/>
      <c r="CW738" s="178"/>
      <c r="CX738" s="178"/>
      <c r="CY738" s="178"/>
      <c r="CZ738" s="178"/>
      <c r="DA738" s="150"/>
    </row>
    <row r="739" spans="53:105" x14ac:dyDescent="0.2">
      <c r="BA739" s="518">
        <f t="shared" ca="1" si="46"/>
        <v>61</v>
      </c>
      <c r="BB739" s="174">
        <f t="shared" ca="1" si="47"/>
        <v>676</v>
      </c>
      <c r="BC739" s="525" t="e">
        <f ca="1">MATCH(BD739,OFFSET(Pinlist!$A$2,BC738*(BA739=BA738),0,$BM$23,1),0)+BC738*(BA739=BA738)</f>
        <v>#N/A</v>
      </c>
      <c r="BD739" s="167">
        <f t="shared" ca="1" si="48"/>
        <v>0</v>
      </c>
      <c r="BE739" s="191" t="e">
        <f ca="1">(OFFSET(Pinlist!$E$1,BC739,0)-$BN$16)*$BN$19</f>
        <v>#N/A</v>
      </c>
      <c r="BF739" s="192" t="e">
        <f ca="1">(OFFSET(Pinlist!$F$1,BC739,0)-$BO$16)*$BO$19</f>
        <v>#N/A</v>
      </c>
      <c r="BG739" s="1098" t="str">
        <f ca="1">IF(LEFT(BD739,2)="RF",OFFSET(Pinlist!$D$1,Chart!BC739,0)&amp;"_"&amp;OFFSET(Pinlist!$G$1,Chart!BC739,0),"")</f>
        <v/>
      </c>
      <c r="BH739" s="1098"/>
      <c r="BI739" s="178"/>
      <c r="BJ739" s="178"/>
      <c r="BK739" s="178"/>
      <c r="BL739" s="178"/>
      <c r="BM739" s="178"/>
      <c r="BN739" s="178"/>
      <c r="BO739" s="178"/>
      <c r="BP739" s="178"/>
      <c r="BQ739" s="196"/>
      <c r="BR739" s="196"/>
      <c r="BS739" s="196"/>
      <c r="BT739" s="196"/>
      <c r="BU739" s="196"/>
      <c r="BV739" s="196"/>
      <c r="BW739" s="178"/>
      <c r="BX739" s="196"/>
      <c r="BY739" s="196"/>
      <c r="BZ739" s="196"/>
      <c r="CA739" s="196"/>
      <c r="CB739" s="178"/>
      <c r="CC739" s="178"/>
      <c r="CD739" s="202"/>
      <c r="CE739" s="202"/>
      <c r="CF739" s="178"/>
      <c r="CG739" s="196"/>
      <c r="CH739" s="178"/>
      <c r="CI739" s="178"/>
      <c r="CJ739" s="178"/>
      <c r="CK739" s="178"/>
      <c r="CL739" s="178"/>
      <c r="CM739" s="178"/>
      <c r="CN739" s="178"/>
      <c r="CO739" s="178"/>
      <c r="CP739" s="178"/>
      <c r="CQ739" s="178"/>
      <c r="CR739" s="178"/>
      <c r="CS739" s="178"/>
      <c r="CT739" s="178"/>
      <c r="CU739" s="178"/>
      <c r="CV739" s="178"/>
      <c r="CW739" s="178"/>
      <c r="CX739" s="178"/>
      <c r="CY739" s="178"/>
      <c r="CZ739" s="178"/>
      <c r="DA739" s="150"/>
    </row>
    <row r="740" spans="53:105" x14ac:dyDescent="0.2">
      <c r="BA740" s="518">
        <f t="shared" ca="1" si="46"/>
        <v>61</v>
      </c>
      <c r="BB740" s="174">
        <f t="shared" ca="1" si="47"/>
        <v>677</v>
      </c>
      <c r="BC740" s="525" t="e">
        <f ca="1">MATCH(BD740,OFFSET(Pinlist!$A$2,BC739*(BA740=BA739),0,$BM$23,1),0)+BC739*(BA740=BA739)</f>
        <v>#N/A</v>
      </c>
      <c r="BD740" s="167">
        <f t="shared" ca="1" si="48"/>
        <v>0</v>
      </c>
      <c r="BE740" s="191" t="e">
        <f ca="1">(OFFSET(Pinlist!$E$1,BC740,0)-$BN$16)*$BN$19</f>
        <v>#N/A</v>
      </c>
      <c r="BF740" s="192" t="e">
        <f ca="1">(OFFSET(Pinlist!$F$1,BC740,0)-$BO$16)*$BO$19</f>
        <v>#N/A</v>
      </c>
      <c r="BG740" s="1098" t="str">
        <f ca="1">IF(LEFT(BD740,2)="RF",OFFSET(Pinlist!$D$1,Chart!BC740,0)&amp;"_"&amp;OFFSET(Pinlist!$G$1,Chart!BC740,0),"")</f>
        <v/>
      </c>
      <c r="BH740" s="1098"/>
      <c r="BI740" s="178"/>
      <c r="BJ740" s="178"/>
      <c r="BK740" s="178"/>
      <c r="BL740" s="178"/>
      <c r="BM740" s="178"/>
      <c r="BN740" s="178"/>
      <c r="BO740" s="178"/>
      <c r="BP740" s="178"/>
      <c r="BQ740" s="196"/>
      <c r="BR740" s="196"/>
      <c r="BS740" s="196"/>
      <c r="BT740" s="196"/>
      <c r="BU740" s="196"/>
      <c r="BV740" s="196"/>
      <c r="BW740" s="178"/>
      <c r="BX740" s="196"/>
      <c r="BY740" s="196"/>
      <c r="BZ740" s="196"/>
      <c r="CA740" s="196"/>
      <c r="CB740" s="178"/>
      <c r="CC740" s="178"/>
      <c r="CD740" s="202"/>
      <c r="CE740" s="202"/>
      <c r="CF740" s="178"/>
      <c r="CG740" s="196"/>
      <c r="CH740" s="178"/>
      <c r="CI740" s="178"/>
      <c r="CJ740" s="178"/>
      <c r="CK740" s="178"/>
      <c r="CL740" s="178"/>
      <c r="CM740" s="178"/>
      <c r="CN740" s="178"/>
      <c r="CO740" s="178"/>
      <c r="CP740" s="178"/>
      <c r="CQ740" s="178"/>
      <c r="CR740" s="178"/>
      <c r="CS740" s="178"/>
      <c r="CT740" s="178"/>
      <c r="CU740" s="178"/>
      <c r="CV740" s="178"/>
      <c r="CW740" s="178"/>
      <c r="CX740" s="178"/>
      <c r="CY740" s="178"/>
      <c r="CZ740" s="178"/>
      <c r="DA740" s="150"/>
    </row>
    <row r="741" spans="53:105" x14ac:dyDescent="0.2">
      <c r="BA741" s="518">
        <f t="shared" ca="1" si="46"/>
        <v>61</v>
      </c>
      <c r="BB741" s="174">
        <f t="shared" ca="1" si="47"/>
        <v>678</v>
      </c>
      <c r="BC741" s="525" t="e">
        <f ca="1">MATCH(BD741,OFFSET(Pinlist!$A$2,BC740*(BA741=BA740),0,$BM$23,1),0)+BC740*(BA741=BA740)</f>
        <v>#N/A</v>
      </c>
      <c r="BD741" s="167">
        <f t="shared" ca="1" si="48"/>
        <v>0</v>
      </c>
      <c r="BE741" s="191" t="e">
        <f ca="1">(OFFSET(Pinlist!$E$1,BC741,0)-$BN$16)*$BN$19</f>
        <v>#N/A</v>
      </c>
      <c r="BF741" s="192" t="e">
        <f ca="1">(OFFSET(Pinlist!$F$1,BC741,0)-$BO$16)*$BO$19</f>
        <v>#N/A</v>
      </c>
      <c r="BG741" s="1098" t="str">
        <f ca="1">IF(LEFT(BD741,2)="RF",OFFSET(Pinlist!$D$1,Chart!BC741,0)&amp;"_"&amp;OFFSET(Pinlist!$G$1,Chart!BC741,0),"")</f>
        <v/>
      </c>
      <c r="BH741" s="1098"/>
      <c r="BI741" s="178"/>
      <c r="BJ741" s="178"/>
      <c r="BK741" s="178"/>
      <c r="BL741" s="178"/>
      <c r="BM741" s="178"/>
      <c r="BN741" s="178"/>
      <c r="BO741" s="178"/>
      <c r="BP741" s="178"/>
      <c r="BQ741" s="196"/>
      <c r="BR741" s="196"/>
      <c r="BS741" s="196"/>
      <c r="BT741" s="196"/>
      <c r="BU741" s="196"/>
      <c r="BV741" s="196"/>
      <c r="BW741" s="178"/>
      <c r="BX741" s="196"/>
      <c r="BY741" s="196"/>
      <c r="BZ741" s="196"/>
      <c r="CA741" s="196"/>
      <c r="CB741" s="178"/>
      <c r="CC741" s="178"/>
      <c r="CD741" s="202"/>
      <c r="CE741" s="202"/>
      <c r="CF741" s="178"/>
      <c r="CG741" s="196"/>
      <c r="CH741" s="178"/>
      <c r="CI741" s="178"/>
      <c r="CJ741" s="178"/>
      <c r="CK741" s="178"/>
      <c r="CL741" s="178"/>
      <c r="CM741" s="178"/>
      <c r="CN741" s="178"/>
      <c r="CO741" s="178"/>
      <c r="CP741" s="178"/>
      <c r="CQ741" s="178"/>
      <c r="CR741" s="178"/>
      <c r="CS741" s="178"/>
      <c r="CT741" s="178"/>
      <c r="CU741" s="178"/>
      <c r="CV741" s="178"/>
      <c r="CW741" s="178"/>
      <c r="CX741" s="178"/>
      <c r="CY741" s="178"/>
      <c r="CZ741" s="178"/>
      <c r="DA741" s="150"/>
    </row>
    <row r="742" spans="53:105" x14ac:dyDescent="0.2">
      <c r="BA742" s="518">
        <f t="shared" ca="1" si="46"/>
        <v>61</v>
      </c>
      <c r="BB742" s="174">
        <f t="shared" ca="1" si="47"/>
        <v>679</v>
      </c>
      <c r="BC742" s="525" t="e">
        <f ca="1">MATCH(BD742,OFFSET(Pinlist!$A$2,BC741*(BA742=BA741),0,$BM$23,1),0)+BC741*(BA742=BA741)</f>
        <v>#N/A</v>
      </c>
      <c r="BD742" s="167">
        <f t="shared" ca="1" si="48"/>
        <v>0</v>
      </c>
      <c r="BE742" s="191" t="e">
        <f ca="1">(OFFSET(Pinlist!$E$1,BC742,0)-$BN$16)*$BN$19</f>
        <v>#N/A</v>
      </c>
      <c r="BF742" s="192" t="e">
        <f ca="1">(OFFSET(Pinlist!$F$1,BC742,0)-$BO$16)*$BO$19</f>
        <v>#N/A</v>
      </c>
      <c r="BG742" s="1098" t="str">
        <f ca="1">IF(LEFT(BD742,2)="RF",OFFSET(Pinlist!$D$1,Chart!BC742,0)&amp;"_"&amp;OFFSET(Pinlist!$G$1,Chart!BC742,0),"")</f>
        <v/>
      </c>
      <c r="BH742" s="1098"/>
      <c r="BI742" s="178"/>
      <c r="BJ742" s="178"/>
      <c r="BK742" s="178"/>
      <c r="BL742" s="178"/>
      <c r="BM742" s="178"/>
      <c r="BN742" s="178"/>
      <c r="BO742" s="178"/>
      <c r="BP742" s="178"/>
      <c r="BQ742" s="196"/>
      <c r="BR742" s="196"/>
      <c r="BS742" s="196"/>
      <c r="BT742" s="196"/>
      <c r="BU742" s="196"/>
      <c r="BV742" s="196"/>
      <c r="BW742" s="178"/>
      <c r="BX742" s="196"/>
      <c r="BY742" s="196"/>
      <c r="BZ742" s="196"/>
      <c r="CA742" s="196"/>
      <c r="CB742" s="178"/>
      <c r="CC742" s="178"/>
      <c r="CD742" s="202"/>
      <c r="CE742" s="202"/>
      <c r="CF742" s="178"/>
      <c r="CG742" s="196"/>
      <c r="CH742" s="178"/>
      <c r="CI742" s="178"/>
      <c r="CJ742" s="178"/>
      <c r="CK742" s="178"/>
      <c r="CL742" s="178"/>
      <c r="CM742" s="178"/>
      <c r="CN742" s="178"/>
      <c r="CO742" s="178"/>
      <c r="CP742" s="178"/>
      <c r="CQ742" s="178"/>
      <c r="CR742" s="178"/>
      <c r="CS742" s="178"/>
      <c r="CT742" s="178"/>
      <c r="CU742" s="178"/>
      <c r="CV742" s="178"/>
      <c r="CW742" s="178"/>
      <c r="CX742" s="178"/>
      <c r="CY742" s="178"/>
      <c r="CZ742" s="178"/>
      <c r="DA742" s="150"/>
    </row>
    <row r="743" spans="53:105" x14ac:dyDescent="0.2">
      <c r="BA743" s="518">
        <f t="shared" ca="1" si="46"/>
        <v>61</v>
      </c>
      <c r="BB743" s="174">
        <f t="shared" ca="1" si="47"/>
        <v>680</v>
      </c>
      <c r="BC743" s="525" t="e">
        <f ca="1">MATCH(BD743,OFFSET(Pinlist!$A$2,BC742*(BA743=BA742),0,$BM$23,1),0)+BC742*(BA743=BA742)</f>
        <v>#N/A</v>
      </c>
      <c r="BD743" s="167">
        <f t="shared" ca="1" si="48"/>
        <v>0</v>
      </c>
      <c r="BE743" s="191" t="e">
        <f ca="1">(OFFSET(Pinlist!$E$1,BC743,0)-$BN$16)*$BN$19</f>
        <v>#N/A</v>
      </c>
      <c r="BF743" s="192" t="e">
        <f ca="1">(OFFSET(Pinlist!$F$1,BC743,0)-$BO$16)*$BO$19</f>
        <v>#N/A</v>
      </c>
      <c r="BG743" s="1098" t="str">
        <f ca="1">IF(LEFT(BD743,2)="RF",OFFSET(Pinlist!$D$1,Chart!BC743,0)&amp;"_"&amp;OFFSET(Pinlist!$G$1,Chart!BC743,0),"")</f>
        <v/>
      </c>
      <c r="BH743" s="1098"/>
      <c r="BI743" s="178"/>
      <c r="BJ743" s="178"/>
      <c r="BK743" s="178"/>
      <c r="BL743" s="178"/>
      <c r="BM743" s="178"/>
      <c r="BN743" s="178"/>
      <c r="BO743" s="178"/>
      <c r="BP743" s="178"/>
      <c r="BQ743" s="196"/>
      <c r="BR743" s="196"/>
      <c r="BS743" s="196"/>
      <c r="BT743" s="196"/>
      <c r="BU743" s="196"/>
      <c r="BV743" s="196"/>
      <c r="BW743" s="178"/>
      <c r="BX743" s="196"/>
      <c r="BY743" s="196"/>
      <c r="BZ743" s="196"/>
      <c r="CA743" s="196"/>
      <c r="CB743" s="178"/>
      <c r="CC743" s="178"/>
      <c r="CD743" s="202"/>
      <c r="CE743" s="202"/>
      <c r="CF743" s="178"/>
      <c r="CG743" s="196"/>
      <c r="CH743" s="178"/>
      <c r="CI743" s="178"/>
      <c r="CJ743" s="178"/>
      <c r="CK743" s="178"/>
      <c r="CL743" s="178"/>
      <c r="CM743" s="178"/>
      <c r="CN743" s="178"/>
      <c r="CO743" s="178"/>
      <c r="CP743" s="178"/>
      <c r="CQ743" s="178"/>
      <c r="CR743" s="178"/>
      <c r="CS743" s="178"/>
      <c r="CT743" s="178"/>
      <c r="CU743" s="178"/>
      <c r="CV743" s="178"/>
      <c r="CW743" s="178"/>
      <c r="CX743" s="178"/>
      <c r="CY743" s="178"/>
      <c r="CZ743" s="178"/>
      <c r="DA743" s="150"/>
    </row>
    <row r="744" spans="53:105" x14ac:dyDescent="0.2">
      <c r="BA744" s="518">
        <f t="shared" ca="1" si="46"/>
        <v>61</v>
      </c>
      <c r="BB744" s="174">
        <f t="shared" ca="1" si="47"/>
        <v>681</v>
      </c>
      <c r="BC744" s="525" t="e">
        <f ca="1">MATCH(BD744,OFFSET(Pinlist!$A$2,BC743*(BA744=BA743),0,$BM$23,1),0)+BC743*(BA744=BA743)</f>
        <v>#N/A</v>
      </c>
      <c r="BD744" s="167">
        <f t="shared" ca="1" si="48"/>
        <v>0</v>
      </c>
      <c r="BE744" s="191" t="e">
        <f ca="1">(OFFSET(Pinlist!$E$1,BC744,0)-$BN$16)*$BN$19</f>
        <v>#N/A</v>
      </c>
      <c r="BF744" s="192" t="e">
        <f ca="1">(OFFSET(Pinlist!$F$1,BC744,0)-$BO$16)*$BO$19</f>
        <v>#N/A</v>
      </c>
      <c r="BG744" s="1098" t="str">
        <f ca="1">IF(LEFT(BD744,2)="RF",OFFSET(Pinlist!$D$1,Chart!BC744,0)&amp;"_"&amp;OFFSET(Pinlist!$G$1,Chart!BC744,0),"")</f>
        <v/>
      </c>
      <c r="BH744" s="1098"/>
      <c r="BI744" s="178"/>
      <c r="BJ744" s="178"/>
      <c r="BK744" s="178"/>
      <c r="BL744" s="178"/>
      <c r="BM744" s="178"/>
      <c r="BN744" s="178"/>
      <c r="BO744" s="178"/>
      <c r="BP744" s="178"/>
      <c r="BQ744" s="196"/>
      <c r="BR744" s="196"/>
      <c r="BS744" s="196"/>
      <c r="BT744" s="196"/>
      <c r="BU744" s="196"/>
      <c r="BV744" s="196"/>
      <c r="BW744" s="178"/>
      <c r="BX744" s="196"/>
      <c r="BY744" s="196"/>
      <c r="BZ744" s="196"/>
      <c r="CA744" s="196"/>
      <c r="CB744" s="178"/>
      <c r="CC744" s="178"/>
      <c r="CD744" s="202"/>
      <c r="CE744" s="202"/>
      <c r="CF744" s="178"/>
      <c r="CG744" s="196"/>
      <c r="CH744" s="178"/>
      <c r="CI744" s="178"/>
      <c r="CJ744" s="178"/>
      <c r="CK744" s="178"/>
      <c r="CL744" s="178"/>
      <c r="CM744" s="178"/>
      <c r="CN744" s="178"/>
      <c r="CO744" s="178"/>
      <c r="CP744" s="178"/>
      <c r="CQ744" s="178"/>
      <c r="CR744" s="178"/>
      <c r="CS744" s="178"/>
      <c r="CT744" s="178"/>
      <c r="CU744" s="178"/>
      <c r="CV744" s="178"/>
      <c r="CW744" s="178"/>
      <c r="CX744" s="178"/>
      <c r="CY744" s="178"/>
      <c r="CZ744" s="178"/>
      <c r="DA744" s="150"/>
    </row>
    <row r="745" spans="53:105" x14ac:dyDescent="0.2">
      <c r="BA745" s="518">
        <f t="shared" ca="1" si="46"/>
        <v>61</v>
      </c>
      <c r="BB745" s="174">
        <f t="shared" ca="1" si="47"/>
        <v>682</v>
      </c>
      <c r="BC745" s="525" t="e">
        <f ca="1">MATCH(BD745,OFFSET(Pinlist!$A$2,BC744*(BA745=BA744),0,$BM$23,1),0)+BC744*(BA745=BA744)</f>
        <v>#N/A</v>
      </c>
      <c r="BD745" s="167">
        <f t="shared" ca="1" si="48"/>
        <v>0</v>
      </c>
      <c r="BE745" s="191" t="e">
        <f ca="1">(OFFSET(Pinlist!$E$1,BC745,0)-$BN$16)*$BN$19</f>
        <v>#N/A</v>
      </c>
      <c r="BF745" s="192" t="e">
        <f ca="1">(OFFSET(Pinlist!$F$1,BC745,0)-$BO$16)*$BO$19</f>
        <v>#N/A</v>
      </c>
      <c r="BG745" s="1098" t="str">
        <f ca="1">IF(LEFT(BD745,2)="RF",OFFSET(Pinlist!$D$1,Chart!BC745,0)&amp;"_"&amp;OFFSET(Pinlist!$G$1,Chart!BC745,0),"")</f>
        <v/>
      </c>
      <c r="BH745" s="1098"/>
      <c r="BI745" s="178"/>
      <c r="BJ745" s="178"/>
      <c r="BK745" s="178"/>
      <c r="BL745" s="178"/>
      <c r="BM745" s="178"/>
      <c r="BN745" s="178"/>
      <c r="BO745" s="178"/>
      <c r="BP745" s="178"/>
      <c r="BQ745" s="196"/>
      <c r="BR745" s="196"/>
      <c r="BS745" s="196"/>
      <c r="BT745" s="196"/>
      <c r="BU745" s="196"/>
      <c r="BV745" s="196"/>
      <c r="BW745" s="178"/>
      <c r="BX745" s="196"/>
      <c r="BY745" s="196"/>
      <c r="BZ745" s="196"/>
      <c r="CA745" s="196"/>
      <c r="CB745" s="178"/>
      <c r="CC745" s="178"/>
      <c r="CD745" s="202"/>
      <c r="CE745" s="202"/>
      <c r="CF745" s="178"/>
      <c r="CG745" s="196"/>
      <c r="CH745" s="178"/>
      <c r="CI745" s="178"/>
      <c r="CJ745" s="178"/>
      <c r="CK745" s="178"/>
      <c r="CL745" s="178"/>
      <c r="CM745" s="178"/>
      <c r="CN745" s="178"/>
      <c r="CO745" s="178"/>
      <c r="CP745" s="178"/>
      <c r="CQ745" s="178"/>
      <c r="CR745" s="178"/>
      <c r="CS745" s="178"/>
      <c r="CT745" s="178"/>
      <c r="CU745" s="178"/>
      <c r="CV745" s="178"/>
      <c r="CW745" s="178"/>
      <c r="CX745" s="178"/>
      <c r="CY745" s="178"/>
      <c r="CZ745" s="178"/>
      <c r="DA745" s="150"/>
    </row>
    <row r="746" spans="53:105" x14ac:dyDescent="0.2">
      <c r="BA746" s="518">
        <f t="shared" ca="1" si="46"/>
        <v>61</v>
      </c>
      <c r="BB746" s="174">
        <f t="shared" ca="1" si="47"/>
        <v>683</v>
      </c>
      <c r="BC746" s="525" t="e">
        <f ca="1">MATCH(BD746,OFFSET(Pinlist!$A$2,BC745*(BA746=BA745),0,$BM$23,1),0)+BC745*(BA746=BA745)</f>
        <v>#N/A</v>
      </c>
      <c r="BD746" s="167">
        <f t="shared" ca="1" si="48"/>
        <v>0</v>
      </c>
      <c r="BE746" s="191" t="e">
        <f ca="1">(OFFSET(Pinlist!$E$1,BC746,0)-$BN$16)*$BN$19</f>
        <v>#N/A</v>
      </c>
      <c r="BF746" s="192" t="e">
        <f ca="1">(OFFSET(Pinlist!$F$1,BC746,0)-$BO$16)*$BO$19</f>
        <v>#N/A</v>
      </c>
      <c r="BG746" s="1098" t="str">
        <f ca="1">IF(LEFT(BD746,2)="RF",OFFSET(Pinlist!$D$1,Chart!BC746,0)&amp;"_"&amp;OFFSET(Pinlist!$G$1,Chart!BC746,0),"")</f>
        <v/>
      </c>
      <c r="BH746" s="1098"/>
      <c r="BI746" s="178"/>
      <c r="BJ746" s="178"/>
      <c r="BK746" s="178"/>
      <c r="BL746" s="178"/>
      <c r="BM746" s="178"/>
      <c r="BN746" s="178"/>
      <c r="BO746" s="178"/>
      <c r="BP746" s="178"/>
      <c r="BQ746" s="196"/>
      <c r="BR746" s="196"/>
      <c r="BS746" s="196"/>
      <c r="BT746" s="196"/>
      <c r="BU746" s="196"/>
      <c r="BV746" s="196"/>
      <c r="BW746" s="178"/>
      <c r="BX746" s="196"/>
      <c r="BY746" s="196"/>
      <c r="BZ746" s="196"/>
      <c r="CA746" s="196"/>
      <c r="CB746" s="178"/>
      <c r="CC746" s="178"/>
      <c r="CD746" s="202"/>
      <c r="CE746" s="202"/>
      <c r="CF746" s="178"/>
      <c r="CG746" s="196"/>
      <c r="CH746" s="178"/>
      <c r="CI746" s="178"/>
      <c r="CJ746" s="178"/>
      <c r="CK746" s="178"/>
      <c r="CL746" s="178"/>
      <c r="CM746" s="178"/>
      <c r="CN746" s="178"/>
      <c r="CO746" s="178"/>
      <c r="CP746" s="178"/>
      <c r="CQ746" s="178"/>
      <c r="CR746" s="178"/>
      <c r="CS746" s="178"/>
      <c r="CT746" s="178"/>
      <c r="CU746" s="178"/>
      <c r="CV746" s="178"/>
      <c r="CW746" s="178"/>
      <c r="CX746" s="178"/>
      <c r="CY746" s="178"/>
      <c r="CZ746" s="178"/>
      <c r="DA746" s="150"/>
    </row>
    <row r="747" spans="53:105" x14ac:dyDescent="0.2">
      <c r="BA747" s="518">
        <f t="shared" ca="1" si="46"/>
        <v>61</v>
      </c>
      <c r="BB747" s="174">
        <f t="shared" ca="1" si="47"/>
        <v>684</v>
      </c>
      <c r="BC747" s="525" t="e">
        <f ca="1">MATCH(BD747,OFFSET(Pinlist!$A$2,BC746*(BA747=BA746),0,$BM$23,1),0)+BC746*(BA747=BA746)</f>
        <v>#N/A</v>
      </c>
      <c r="BD747" s="167">
        <f t="shared" ca="1" si="48"/>
        <v>0</v>
      </c>
      <c r="BE747" s="191" t="e">
        <f ca="1">(OFFSET(Pinlist!$E$1,BC747,0)-$BN$16)*$BN$19</f>
        <v>#N/A</v>
      </c>
      <c r="BF747" s="192" t="e">
        <f ca="1">(OFFSET(Pinlist!$F$1,BC747,0)-$BO$16)*$BO$19</f>
        <v>#N/A</v>
      </c>
      <c r="BG747" s="1098" t="str">
        <f ca="1">IF(LEFT(BD747,2)="RF",OFFSET(Pinlist!$D$1,Chart!BC747,0)&amp;"_"&amp;OFFSET(Pinlist!$G$1,Chart!BC747,0),"")</f>
        <v/>
      </c>
      <c r="BH747" s="1098"/>
      <c r="BI747" s="178"/>
      <c r="BJ747" s="178"/>
      <c r="BK747" s="178"/>
      <c r="BL747" s="178"/>
      <c r="BM747" s="178"/>
      <c r="BN747" s="178"/>
      <c r="BO747" s="178"/>
      <c r="BP747" s="178"/>
      <c r="BQ747" s="196"/>
      <c r="BR747" s="196"/>
      <c r="BS747" s="196"/>
      <c r="BT747" s="196"/>
      <c r="BU747" s="196"/>
      <c r="BV747" s="196"/>
      <c r="BW747" s="178"/>
      <c r="BX747" s="196"/>
      <c r="BY747" s="196"/>
      <c r="BZ747" s="196"/>
      <c r="CA747" s="196"/>
      <c r="CB747" s="178"/>
      <c r="CC747" s="178"/>
      <c r="CD747" s="202"/>
      <c r="CE747" s="202"/>
      <c r="CF747" s="178"/>
      <c r="CG747" s="196"/>
      <c r="CH747" s="178"/>
      <c r="CI747" s="178"/>
      <c r="CJ747" s="178"/>
      <c r="CK747" s="178"/>
      <c r="CL747" s="178"/>
      <c r="CM747" s="178"/>
      <c r="CN747" s="178"/>
      <c r="CO747" s="178"/>
      <c r="CP747" s="178"/>
      <c r="CQ747" s="178"/>
      <c r="CR747" s="178"/>
      <c r="CS747" s="178"/>
      <c r="CT747" s="178"/>
      <c r="CU747" s="178"/>
      <c r="CV747" s="178"/>
      <c r="CW747" s="178"/>
      <c r="CX747" s="178"/>
      <c r="CY747" s="178"/>
      <c r="CZ747" s="178"/>
      <c r="DA747" s="150"/>
    </row>
    <row r="748" spans="53:105" x14ac:dyDescent="0.2">
      <c r="BA748" s="518">
        <f t="shared" ca="1" si="46"/>
        <v>61</v>
      </c>
      <c r="BB748" s="174">
        <f t="shared" ca="1" si="47"/>
        <v>685</v>
      </c>
      <c r="BC748" s="525" t="e">
        <f ca="1">MATCH(BD748,OFFSET(Pinlist!$A$2,BC747*(BA748=BA747),0,$BM$23,1),0)+BC747*(BA748=BA747)</f>
        <v>#N/A</v>
      </c>
      <c r="BD748" s="167">
        <f t="shared" ca="1" si="48"/>
        <v>0</v>
      </c>
      <c r="BE748" s="191" t="e">
        <f ca="1">(OFFSET(Pinlist!$E$1,BC748,0)-$BN$16)*$BN$19</f>
        <v>#N/A</v>
      </c>
      <c r="BF748" s="192" t="e">
        <f ca="1">(OFFSET(Pinlist!$F$1,BC748,0)-$BO$16)*$BO$19</f>
        <v>#N/A</v>
      </c>
      <c r="BG748" s="1098" t="str">
        <f ca="1">IF(LEFT(BD748,2)="RF",OFFSET(Pinlist!$D$1,Chart!BC748,0)&amp;"_"&amp;OFFSET(Pinlist!$G$1,Chart!BC748,0),"")</f>
        <v/>
      </c>
      <c r="BH748" s="1098"/>
      <c r="BI748" s="178"/>
      <c r="BJ748" s="178"/>
      <c r="BK748" s="178"/>
      <c r="BL748" s="178"/>
      <c r="BM748" s="178"/>
      <c r="BN748" s="178"/>
      <c r="BO748" s="178"/>
      <c r="BP748" s="178"/>
      <c r="BQ748" s="196"/>
      <c r="BR748" s="196"/>
      <c r="BS748" s="196"/>
      <c r="BT748" s="196"/>
      <c r="BU748" s="196"/>
      <c r="BV748" s="196"/>
      <c r="BW748" s="178"/>
      <c r="BX748" s="196"/>
      <c r="BY748" s="196"/>
      <c r="BZ748" s="196"/>
      <c r="CA748" s="196"/>
      <c r="CB748" s="178"/>
      <c r="CC748" s="178"/>
      <c r="CD748" s="202"/>
      <c r="CE748" s="202"/>
      <c r="CF748" s="178"/>
      <c r="CG748" s="196"/>
      <c r="CH748" s="178"/>
      <c r="CI748" s="178"/>
      <c r="CJ748" s="178"/>
      <c r="CK748" s="178"/>
      <c r="CL748" s="178"/>
      <c r="CM748" s="178"/>
      <c r="CN748" s="178"/>
      <c r="CO748" s="178"/>
      <c r="CP748" s="178"/>
      <c r="CQ748" s="178"/>
      <c r="CR748" s="178"/>
      <c r="CS748" s="178"/>
      <c r="CT748" s="178"/>
      <c r="CU748" s="178"/>
      <c r="CV748" s="178"/>
      <c r="CW748" s="178"/>
      <c r="CX748" s="178"/>
      <c r="CY748" s="178"/>
      <c r="CZ748" s="178"/>
      <c r="DA748" s="150"/>
    </row>
    <row r="749" spans="53:105" x14ac:dyDescent="0.2">
      <c r="BA749" s="518">
        <f t="shared" ca="1" si="46"/>
        <v>61</v>
      </c>
      <c r="BB749" s="174">
        <f t="shared" ca="1" si="47"/>
        <v>686</v>
      </c>
      <c r="BC749" s="525" t="e">
        <f ca="1">MATCH(BD749,OFFSET(Pinlist!$A$2,BC748*(BA749=BA748),0,$BM$23,1),0)+BC748*(BA749=BA748)</f>
        <v>#N/A</v>
      </c>
      <c r="BD749" s="167">
        <f t="shared" ca="1" si="48"/>
        <v>0</v>
      </c>
      <c r="BE749" s="191" t="e">
        <f ca="1">(OFFSET(Pinlist!$E$1,BC749,0)-$BN$16)*$BN$19</f>
        <v>#N/A</v>
      </c>
      <c r="BF749" s="192" t="e">
        <f ca="1">(OFFSET(Pinlist!$F$1,BC749,0)-$BO$16)*$BO$19</f>
        <v>#N/A</v>
      </c>
      <c r="BG749" s="1098" t="str">
        <f ca="1">IF(LEFT(BD749,2)="RF",OFFSET(Pinlist!$D$1,Chart!BC749,0)&amp;"_"&amp;OFFSET(Pinlist!$G$1,Chart!BC749,0),"")</f>
        <v/>
      </c>
      <c r="BH749" s="1098"/>
      <c r="BI749" s="178"/>
      <c r="BJ749" s="178"/>
      <c r="BK749" s="178"/>
      <c r="BL749" s="178"/>
      <c r="BM749" s="178"/>
      <c r="BN749" s="178"/>
      <c r="BO749" s="178"/>
      <c r="BP749" s="178"/>
      <c r="BQ749" s="196"/>
      <c r="BR749" s="196"/>
      <c r="BS749" s="196"/>
      <c r="BT749" s="196"/>
      <c r="BU749" s="196"/>
      <c r="BV749" s="196"/>
      <c r="BW749" s="178"/>
      <c r="BX749" s="196"/>
      <c r="BY749" s="196"/>
      <c r="BZ749" s="196"/>
      <c r="CA749" s="196"/>
      <c r="CB749" s="178"/>
      <c r="CC749" s="178"/>
      <c r="CD749" s="202"/>
      <c r="CE749" s="202"/>
      <c r="CF749" s="178"/>
      <c r="CG749" s="196"/>
      <c r="CH749" s="178"/>
      <c r="CI749" s="178"/>
      <c r="CJ749" s="178"/>
      <c r="CK749" s="178"/>
      <c r="CL749" s="178"/>
      <c r="CM749" s="178"/>
      <c r="CN749" s="178"/>
      <c r="CO749" s="178"/>
      <c r="CP749" s="178"/>
      <c r="CQ749" s="178"/>
      <c r="CR749" s="178"/>
      <c r="CS749" s="178"/>
      <c r="CT749" s="178"/>
      <c r="CU749" s="178"/>
      <c r="CV749" s="178"/>
      <c r="CW749" s="178"/>
      <c r="CX749" s="178"/>
      <c r="CY749" s="178"/>
      <c r="CZ749" s="178"/>
      <c r="DA749" s="150"/>
    </row>
    <row r="750" spans="53:105" x14ac:dyDescent="0.2">
      <c r="BA750" s="518">
        <f t="shared" ca="1" si="46"/>
        <v>61</v>
      </c>
      <c r="BB750" s="174">
        <f t="shared" ca="1" si="47"/>
        <v>687</v>
      </c>
      <c r="BC750" s="525" t="e">
        <f ca="1">MATCH(BD750,OFFSET(Pinlist!$A$2,BC749*(BA750=BA749),0,$BM$23,1),0)+BC749*(BA750=BA749)</f>
        <v>#N/A</v>
      </c>
      <c r="BD750" s="167">
        <f t="shared" ca="1" si="48"/>
        <v>0</v>
      </c>
      <c r="BE750" s="191" t="e">
        <f ca="1">(OFFSET(Pinlist!$E$1,BC750,0)-$BN$16)*$BN$19</f>
        <v>#N/A</v>
      </c>
      <c r="BF750" s="192" t="e">
        <f ca="1">(OFFSET(Pinlist!$F$1,BC750,0)-$BO$16)*$BO$19</f>
        <v>#N/A</v>
      </c>
      <c r="BG750" s="1098" t="str">
        <f ca="1">IF(LEFT(BD750,2)="RF",OFFSET(Pinlist!$D$1,Chart!BC750,0)&amp;"_"&amp;OFFSET(Pinlist!$G$1,Chart!BC750,0),"")</f>
        <v/>
      </c>
      <c r="BH750" s="1098"/>
      <c r="BI750" s="178"/>
      <c r="BJ750" s="178"/>
      <c r="BK750" s="178"/>
      <c r="BL750" s="178"/>
      <c r="BM750" s="178"/>
      <c r="BN750" s="178"/>
      <c r="BO750" s="178"/>
      <c r="BP750" s="178"/>
      <c r="BQ750" s="196"/>
      <c r="BR750" s="196"/>
      <c r="BS750" s="196"/>
      <c r="BT750" s="196"/>
      <c r="BU750" s="196"/>
      <c r="BV750" s="196"/>
      <c r="BW750" s="178"/>
      <c r="BX750" s="196"/>
      <c r="BY750" s="196"/>
      <c r="BZ750" s="196"/>
      <c r="CA750" s="196"/>
      <c r="CB750" s="178"/>
      <c r="CC750" s="178"/>
      <c r="CD750" s="202"/>
      <c r="CE750" s="202"/>
      <c r="CF750" s="178"/>
      <c r="CG750" s="196"/>
      <c r="CH750" s="178"/>
      <c r="CI750" s="178"/>
      <c r="CJ750" s="178"/>
      <c r="CK750" s="178"/>
      <c r="CL750" s="178"/>
      <c r="CM750" s="178"/>
      <c r="CN750" s="178"/>
      <c r="CO750" s="178"/>
      <c r="CP750" s="178"/>
      <c r="CQ750" s="178"/>
      <c r="CR750" s="178"/>
      <c r="CS750" s="178"/>
      <c r="CT750" s="178"/>
      <c r="CU750" s="178"/>
      <c r="CV750" s="178"/>
      <c r="CW750" s="178"/>
      <c r="CX750" s="178"/>
      <c r="CY750" s="178"/>
      <c r="CZ750" s="178"/>
      <c r="DA750" s="150"/>
    </row>
    <row r="751" spans="53:105" x14ac:dyDescent="0.2">
      <c r="BA751" s="518">
        <f t="shared" ca="1" si="46"/>
        <v>61</v>
      </c>
      <c r="BB751" s="174">
        <f t="shared" ca="1" si="47"/>
        <v>688</v>
      </c>
      <c r="BC751" s="525" t="e">
        <f ca="1">MATCH(BD751,OFFSET(Pinlist!$A$2,BC750*(BA751=BA750),0,$BM$23,1),0)+BC750*(BA751=BA750)</f>
        <v>#N/A</v>
      </c>
      <c r="BD751" s="167">
        <f t="shared" ca="1" si="48"/>
        <v>0</v>
      </c>
      <c r="BE751" s="191" t="e">
        <f ca="1">(OFFSET(Pinlist!$E$1,BC751,0)-$BN$16)*$BN$19</f>
        <v>#N/A</v>
      </c>
      <c r="BF751" s="192" t="e">
        <f ca="1">(OFFSET(Pinlist!$F$1,BC751,0)-$BO$16)*$BO$19</f>
        <v>#N/A</v>
      </c>
      <c r="BG751" s="1098" t="str">
        <f ca="1">IF(LEFT(BD751,2)="RF",OFFSET(Pinlist!$D$1,Chart!BC751,0)&amp;"_"&amp;OFFSET(Pinlist!$G$1,Chart!BC751,0),"")</f>
        <v/>
      </c>
      <c r="BH751" s="1098"/>
      <c r="BI751" s="178"/>
      <c r="BJ751" s="178"/>
      <c r="BK751" s="178"/>
      <c r="BL751" s="178"/>
      <c r="BM751" s="178"/>
      <c r="BN751" s="178"/>
      <c r="BO751" s="178"/>
      <c r="BP751" s="178"/>
      <c r="BQ751" s="196"/>
      <c r="BR751" s="196"/>
      <c r="BS751" s="196"/>
      <c r="BT751" s="196"/>
      <c r="BU751" s="196"/>
      <c r="BV751" s="196"/>
      <c r="BW751" s="178"/>
      <c r="BX751" s="196"/>
      <c r="BY751" s="196"/>
      <c r="BZ751" s="196"/>
      <c r="CA751" s="196"/>
      <c r="CB751" s="178"/>
      <c r="CC751" s="178"/>
      <c r="CD751" s="202"/>
      <c r="CE751" s="202"/>
      <c r="CF751" s="178"/>
      <c r="CG751" s="196"/>
      <c r="CH751" s="178"/>
      <c r="CI751" s="178"/>
      <c r="CJ751" s="178"/>
      <c r="CK751" s="178"/>
      <c r="CL751" s="178"/>
      <c r="CM751" s="178"/>
      <c r="CN751" s="178"/>
      <c r="CO751" s="178"/>
      <c r="CP751" s="178"/>
      <c r="CQ751" s="178"/>
      <c r="CR751" s="178"/>
      <c r="CS751" s="178"/>
      <c r="CT751" s="178"/>
      <c r="CU751" s="178"/>
      <c r="CV751" s="178"/>
      <c r="CW751" s="178"/>
      <c r="CX751" s="178"/>
      <c r="CY751" s="178"/>
      <c r="CZ751" s="178"/>
      <c r="DA751" s="150"/>
    </row>
    <row r="752" spans="53:105" x14ac:dyDescent="0.2">
      <c r="BA752" s="518">
        <f t="shared" ca="1" si="46"/>
        <v>61</v>
      </c>
      <c r="BB752" s="174">
        <f t="shared" ca="1" si="47"/>
        <v>689</v>
      </c>
      <c r="BC752" s="525" t="e">
        <f ca="1">MATCH(BD752,OFFSET(Pinlist!$A$2,BC751*(BA752=BA751),0,$BM$23,1),0)+BC751*(BA752=BA751)</f>
        <v>#N/A</v>
      </c>
      <c r="BD752" s="167">
        <f t="shared" ca="1" si="48"/>
        <v>0</v>
      </c>
      <c r="BE752" s="191" t="e">
        <f ca="1">(OFFSET(Pinlist!$E$1,BC752,0)-$BN$16)*$BN$19</f>
        <v>#N/A</v>
      </c>
      <c r="BF752" s="192" t="e">
        <f ca="1">(OFFSET(Pinlist!$F$1,BC752,0)-$BO$16)*$BO$19</f>
        <v>#N/A</v>
      </c>
      <c r="BG752" s="1098" t="str">
        <f ca="1">IF(LEFT(BD752,2)="RF",OFFSET(Pinlist!$D$1,Chart!BC752,0)&amp;"_"&amp;OFFSET(Pinlist!$G$1,Chart!BC752,0),"")</f>
        <v/>
      </c>
      <c r="BH752" s="1098"/>
      <c r="BI752" s="178"/>
      <c r="BJ752" s="178"/>
      <c r="BK752" s="178"/>
      <c r="BL752" s="178"/>
      <c r="BM752" s="178"/>
      <c r="BN752" s="178"/>
      <c r="BO752" s="178"/>
      <c r="BP752" s="178"/>
      <c r="BQ752" s="196"/>
      <c r="BR752" s="196"/>
      <c r="BS752" s="196"/>
      <c r="BT752" s="196"/>
      <c r="BU752" s="196"/>
      <c r="BV752" s="196"/>
      <c r="BW752" s="178"/>
      <c r="BX752" s="196"/>
      <c r="BY752" s="196"/>
      <c r="BZ752" s="196"/>
      <c r="CA752" s="196"/>
      <c r="CB752" s="178"/>
      <c r="CC752" s="178"/>
      <c r="CD752" s="202"/>
      <c r="CE752" s="202"/>
      <c r="CF752" s="178"/>
      <c r="CG752" s="196"/>
      <c r="CH752" s="178"/>
      <c r="CI752" s="178"/>
      <c r="CJ752" s="178"/>
      <c r="CK752" s="178"/>
      <c r="CL752" s="178"/>
      <c r="CM752" s="178"/>
      <c r="CN752" s="178"/>
      <c r="CO752" s="178"/>
      <c r="CP752" s="178"/>
      <c r="CQ752" s="178"/>
      <c r="CR752" s="178"/>
      <c r="CS752" s="178"/>
      <c r="CT752" s="178"/>
      <c r="CU752" s="178"/>
      <c r="CV752" s="178"/>
      <c r="CW752" s="178"/>
      <c r="CX752" s="178"/>
      <c r="CY752" s="178"/>
      <c r="CZ752" s="178"/>
      <c r="DA752" s="150"/>
    </row>
    <row r="753" spans="53:105" x14ac:dyDescent="0.2">
      <c r="BA753" s="518">
        <f t="shared" ca="1" si="46"/>
        <v>61</v>
      </c>
      <c r="BB753" s="174">
        <f t="shared" ca="1" si="47"/>
        <v>690</v>
      </c>
      <c r="BC753" s="525" t="e">
        <f ca="1">MATCH(BD753,OFFSET(Pinlist!$A$2,BC752*(BA753=BA752),0,$BM$23,1),0)+BC752*(BA753=BA752)</f>
        <v>#N/A</v>
      </c>
      <c r="BD753" s="167">
        <f t="shared" ca="1" si="48"/>
        <v>0</v>
      </c>
      <c r="BE753" s="191" t="e">
        <f ca="1">(OFFSET(Pinlist!$E$1,BC753,0)-$BN$16)*$BN$19</f>
        <v>#N/A</v>
      </c>
      <c r="BF753" s="192" t="e">
        <f ca="1">(OFFSET(Pinlist!$F$1,BC753,0)-$BO$16)*$BO$19</f>
        <v>#N/A</v>
      </c>
      <c r="BG753" s="1098" t="str">
        <f ca="1">IF(LEFT(BD753,2)="RF",OFFSET(Pinlist!$D$1,Chart!BC753,0)&amp;"_"&amp;OFFSET(Pinlist!$G$1,Chart!BC753,0),"")</f>
        <v/>
      </c>
      <c r="BH753" s="1098"/>
      <c r="BI753" s="178"/>
      <c r="BJ753" s="178"/>
      <c r="BK753" s="178"/>
      <c r="BL753" s="178"/>
      <c r="BM753" s="178"/>
      <c r="BN753" s="178"/>
      <c r="BO753" s="178"/>
      <c r="BP753" s="178"/>
      <c r="BQ753" s="196"/>
      <c r="BR753" s="196"/>
      <c r="BS753" s="196"/>
      <c r="BT753" s="196"/>
      <c r="BU753" s="196"/>
      <c r="BV753" s="196"/>
      <c r="BW753" s="178"/>
      <c r="BX753" s="196"/>
      <c r="BY753" s="196"/>
      <c r="BZ753" s="196"/>
      <c r="CA753" s="196"/>
      <c r="CB753" s="178"/>
      <c r="CC753" s="178"/>
      <c r="CD753" s="202"/>
      <c r="CE753" s="202"/>
      <c r="CF753" s="178"/>
      <c r="CG753" s="196"/>
      <c r="CH753" s="178"/>
      <c r="CI753" s="178"/>
      <c r="CJ753" s="178"/>
      <c r="CK753" s="178"/>
      <c r="CL753" s="178"/>
      <c r="CM753" s="178"/>
      <c r="CN753" s="178"/>
      <c r="CO753" s="178"/>
      <c r="CP753" s="178"/>
      <c r="CQ753" s="178"/>
      <c r="CR753" s="178"/>
      <c r="CS753" s="178"/>
      <c r="CT753" s="178"/>
      <c r="CU753" s="178"/>
      <c r="CV753" s="178"/>
      <c r="CW753" s="178"/>
      <c r="CX753" s="178"/>
      <c r="CY753" s="178"/>
      <c r="CZ753" s="178"/>
      <c r="DA753" s="150"/>
    </row>
    <row r="754" spans="53:105" x14ac:dyDescent="0.2">
      <c r="BA754" s="518">
        <f t="shared" ca="1" si="46"/>
        <v>61</v>
      </c>
      <c r="BB754" s="174">
        <f t="shared" ca="1" si="47"/>
        <v>691</v>
      </c>
      <c r="BC754" s="525" t="e">
        <f ca="1">MATCH(BD754,OFFSET(Pinlist!$A$2,BC753*(BA754=BA753),0,$BM$23,1),0)+BC753*(BA754=BA753)</f>
        <v>#N/A</v>
      </c>
      <c r="BD754" s="167">
        <f t="shared" ca="1" si="48"/>
        <v>0</v>
      </c>
      <c r="BE754" s="191" t="e">
        <f ca="1">(OFFSET(Pinlist!$E$1,BC754,0)-$BN$16)*$BN$19</f>
        <v>#N/A</v>
      </c>
      <c r="BF754" s="192" t="e">
        <f ca="1">(OFFSET(Pinlist!$F$1,BC754,0)-$BO$16)*$BO$19</f>
        <v>#N/A</v>
      </c>
      <c r="BG754" s="1098" t="str">
        <f ca="1">IF(LEFT(BD754,2)="RF",OFFSET(Pinlist!$D$1,Chart!BC754,0)&amp;"_"&amp;OFFSET(Pinlist!$G$1,Chart!BC754,0),"")</f>
        <v/>
      </c>
      <c r="BH754" s="1098"/>
      <c r="BI754" s="178"/>
      <c r="BJ754" s="178"/>
      <c r="BK754" s="178"/>
      <c r="BL754" s="178"/>
      <c r="BM754" s="178"/>
      <c r="BN754" s="178"/>
      <c r="BO754" s="178"/>
      <c r="BP754" s="178"/>
      <c r="BQ754" s="196"/>
      <c r="BR754" s="196"/>
      <c r="BS754" s="196"/>
      <c r="BT754" s="196"/>
      <c r="BU754" s="196"/>
      <c r="BV754" s="196"/>
      <c r="BW754" s="178"/>
      <c r="BX754" s="196"/>
      <c r="BY754" s="196"/>
      <c r="BZ754" s="196"/>
      <c r="CA754" s="196"/>
      <c r="CB754" s="178"/>
      <c r="CC754" s="178"/>
      <c r="CD754" s="202"/>
      <c r="CE754" s="202"/>
      <c r="CF754" s="178"/>
      <c r="CG754" s="196"/>
      <c r="CH754" s="178"/>
      <c r="CI754" s="178"/>
      <c r="CJ754" s="178"/>
      <c r="CK754" s="178"/>
      <c r="CL754" s="178"/>
      <c r="CM754" s="178"/>
      <c r="CN754" s="178"/>
      <c r="CO754" s="178"/>
      <c r="CP754" s="178"/>
      <c r="CQ754" s="178"/>
      <c r="CR754" s="178"/>
      <c r="CS754" s="178"/>
      <c r="CT754" s="178"/>
      <c r="CU754" s="178"/>
      <c r="CV754" s="178"/>
      <c r="CW754" s="178"/>
      <c r="CX754" s="178"/>
      <c r="CY754" s="178"/>
      <c r="CZ754" s="178"/>
      <c r="DA754" s="150"/>
    </row>
    <row r="755" spans="53:105" x14ac:dyDescent="0.2">
      <c r="BA755" s="518">
        <f t="shared" ca="1" si="46"/>
        <v>61</v>
      </c>
      <c r="BB755" s="174">
        <f t="shared" ca="1" si="47"/>
        <v>692</v>
      </c>
      <c r="BC755" s="525" t="e">
        <f ca="1">MATCH(BD755,OFFSET(Pinlist!$A$2,BC754*(BA755=BA754),0,$BM$23,1),0)+BC754*(BA755=BA754)</f>
        <v>#N/A</v>
      </c>
      <c r="BD755" s="167">
        <f t="shared" ca="1" si="48"/>
        <v>0</v>
      </c>
      <c r="BE755" s="191" t="e">
        <f ca="1">(OFFSET(Pinlist!$E$1,BC755,0)-$BN$16)*$BN$19</f>
        <v>#N/A</v>
      </c>
      <c r="BF755" s="192" t="e">
        <f ca="1">(OFFSET(Pinlist!$F$1,BC755,0)-$BO$16)*$BO$19</f>
        <v>#N/A</v>
      </c>
      <c r="BG755" s="1098" t="str">
        <f ca="1">IF(LEFT(BD755,2)="RF",OFFSET(Pinlist!$D$1,Chart!BC755,0)&amp;"_"&amp;OFFSET(Pinlist!$G$1,Chart!BC755,0),"")</f>
        <v/>
      </c>
      <c r="BH755" s="1098"/>
      <c r="BI755" s="178"/>
      <c r="BJ755" s="178"/>
      <c r="BK755" s="178"/>
      <c r="BL755" s="178"/>
      <c r="BM755" s="178"/>
      <c r="BN755" s="178"/>
      <c r="BO755" s="178"/>
      <c r="BP755" s="178"/>
      <c r="BQ755" s="196"/>
      <c r="BR755" s="196"/>
      <c r="BS755" s="196"/>
      <c r="BT755" s="196"/>
      <c r="BU755" s="196"/>
      <c r="BV755" s="196"/>
      <c r="BW755" s="178"/>
      <c r="BX755" s="196"/>
      <c r="BY755" s="196"/>
      <c r="BZ755" s="196"/>
      <c r="CA755" s="196"/>
      <c r="CB755" s="178"/>
      <c r="CC755" s="178"/>
      <c r="CD755" s="202"/>
      <c r="CE755" s="202"/>
      <c r="CF755" s="178"/>
      <c r="CG755" s="196"/>
      <c r="CH755" s="178"/>
      <c r="CI755" s="178"/>
      <c r="CJ755" s="178"/>
      <c r="CK755" s="178"/>
      <c r="CL755" s="178"/>
      <c r="CM755" s="178"/>
      <c r="CN755" s="178"/>
      <c r="CO755" s="178"/>
      <c r="CP755" s="178"/>
      <c r="CQ755" s="178"/>
      <c r="CR755" s="178"/>
      <c r="CS755" s="178"/>
      <c r="CT755" s="178"/>
      <c r="CU755" s="178"/>
      <c r="CV755" s="178"/>
      <c r="CW755" s="178"/>
      <c r="CX755" s="178"/>
      <c r="CY755" s="178"/>
      <c r="CZ755" s="178"/>
      <c r="DA755" s="150"/>
    </row>
    <row r="756" spans="53:105" x14ac:dyDescent="0.2">
      <c r="BA756" s="518">
        <f t="shared" ca="1" si="46"/>
        <v>61</v>
      </c>
      <c r="BB756" s="174">
        <f t="shared" ca="1" si="47"/>
        <v>693</v>
      </c>
      <c r="BC756" s="525" t="e">
        <f ca="1">MATCH(BD756,OFFSET(Pinlist!$A$2,BC755*(BA756=BA755),0,$BM$23,1),0)+BC755*(BA756=BA755)</f>
        <v>#N/A</v>
      </c>
      <c r="BD756" s="167">
        <f t="shared" ca="1" si="48"/>
        <v>0</v>
      </c>
      <c r="BE756" s="191" t="e">
        <f ca="1">(OFFSET(Pinlist!$E$1,BC756,0)-$BN$16)*$BN$19</f>
        <v>#N/A</v>
      </c>
      <c r="BF756" s="192" t="e">
        <f ca="1">(OFFSET(Pinlist!$F$1,BC756,0)-$BO$16)*$BO$19</f>
        <v>#N/A</v>
      </c>
      <c r="BG756" s="1098" t="str">
        <f ca="1">IF(LEFT(BD756,2)="RF",OFFSET(Pinlist!$D$1,Chart!BC756,0)&amp;"_"&amp;OFFSET(Pinlist!$G$1,Chart!BC756,0),"")</f>
        <v/>
      </c>
      <c r="BH756" s="1098"/>
      <c r="BI756" s="178"/>
      <c r="BJ756" s="178"/>
      <c r="BK756" s="178"/>
      <c r="BL756" s="178"/>
      <c r="BM756" s="178"/>
      <c r="BN756" s="178"/>
      <c r="BO756" s="178"/>
      <c r="BP756" s="178"/>
      <c r="BQ756" s="196"/>
      <c r="BR756" s="196"/>
      <c r="BS756" s="196"/>
      <c r="BT756" s="196"/>
      <c r="BU756" s="196"/>
      <c r="BV756" s="196"/>
      <c r="BW756" s="178"/>
      <c r="BX756" s="196"/>
      <c r="BY756" s="196"/>
      <c r="BZ756" s="196"/>
      <c r="CA756" s="196"/>
      <c r="CB756" s="178"/>
      <c r="CC756" s="178"/>
      <c r="CD756" s="202"/>
      <c r="CE756" s="202"/>
      <c r="CF756" s="178"/>
      <c r="CG756" s="196"/>
      <c r="CH756" s="178"/>
      <c r="CI756" s="178"/>
      <c r="CJ756" s="178"/>
      <c r="CK756" s="178"/>
      <c r="CL756" s="178"/>
      <c r="CM756" s="178"/>
      <c r="CN756" s="178"/>
      <c r="CO756" s="178"/>
      <c r="CP756" s="178"/>
      <c r="CQ756" s="178"/>
      <c r="CR756" s="178"/>
      <c r="CS756" s="178"/>
      <c r="CT756" s="178"/>
      <c r="CU756" s="178"/>
      <c r="CV756" s="178"/>
      <c r="CW756" s="178"/>
      <c r="CX756" s="178"/>
      <c r="CY756" s="178"/>
      <c r="CZ756" s="178"/>
      <c r="DA756" s="150"/>
    </row>
    <row r="757" spans="53:105" x14ac:dyDescent="0.2">
      <c r="BA757" s="518">
        <f t="shared" ca="1" si="46"/>
        <v>61</v>
      </c>
      <c r="BB757" s="174">
        <f t="shared" ca="1" si="47"/>
        <v>694</v>
      </c>
      <c r="BC757" s="525" t="e">
        <f ca="1">MATCH(BD757,OFFSET(Pinlist!$A$2,BC756*(BA757=BA756),0,$BM$23,1),0)+BC756*(BA757=BA756)</f>
        <v>#N/A</v>
      </c>
      <c r="BD757" s="167">
        <f t="shared" ca="1" si="48"/>
        <v>0</v>
      </c>
      <c r="BE757" s="191" t="e">
        <f ca="1">(OFFSET(Pinlist!$E$1,BC757,0)-$BN$16)*$BN$19</f>
        <v>#N/A</v>
      </c>
      <c r="BF757" s="192" t="e">
        <f ca="1">(OFFSET(Pinlist!$F$1,BC757,0)-$BO$16)*$BO$19</f>
        <v>#N/A</v>
      </c>
      <c r="BG757" s="1098" t="str">
        <f ca="1">IF(LEFT(BD757,2)="RF",OFFSET(Pinlist!$D$1,Chart!BC757,0)&amp;"_"&amp;OFFSET(Pinlist!$G$1,Chart!BC757,0),"")</f>
        <v/>
      </c>
      <c r="BH757" s="1098"/>
      <c r="BI757" s="178"/>
      <c r="BJ757" s="178"/>
      <c r="BK757" s="178"/>
      <c r="BL757" s="178"/>
      <c r="BM757" s="178"/>
      <c r="BN757" s="178"/>
      <c r="BO757" s="178"/>
      <c r="BP757" s="178"/>
      <c r="BQ757" s="196"/>
      <c r="BR757" s="196"/>
      <c r="BS757" s="196"/>
      <c r="BT757" s="196"/>
      <c r="BU757" s="196"/>
      <c r="BV757" s="196"/>
      <c r="BW757" s="178"/>
      <c r="BX757" s="196"/>
      <c r="BY757" s="196"/>
      <c r="BZ757" s="196"/>
      <c r="CA757" s="196"/>
      <c r="CB757" s="178"/>
      <c r="CC757" s="178"/>
      <c r="CD757" s="202"/>
      <c r="CE757" s="202"/>
      <c r="CF757" s="178"/>
      <c r="CG757" s="196"/>
      <c r="CH757" s="178"/>
      <c r="CI757" s="178"/>
      <c r="CJ757" s="178"/>
      <c r="CK757" s="178"/>
      <c r="CL757" s="178"/>
      <c r="CM757" s="178"/>
      <c r="CN757" s="178"/>
      <c r="CO757" s="178"/>
      <c r="CP757" s="178"/>
      <c r="CQ757" s="178"/>
      <c r="CR757" s="178"/>
      <c r="CS757" s="178"/>
      <c r="CT757" s="178"/>
      <c r="CU757" s="178"/>
      <c r="CV757" s="178"/>
      <c r="CW757" s="178"/>
      <c r="CX757" s="178"/>
      <c r="CY757" s="178"/>
      <c r="CZ757" s="178"/>
      <c r="DA757" s="150"/>
    </row>
    <row r="758" spans="53:105" x14ac:dyDescent="0.2">
      <c r="BA758" s="518">
        <f t="shared" ca="1" si="46"/>
        <v>61</v>
      </c>
      <c r="BB758" s="174">
        <f t="shared" ca="1" si="47"/>
        <v>695</v>
      </c>
      <c r="BC758" s="525" t="e">
        <f ca="1">MATCH(BD758,OFFSET(Pinlist!$A$2,BC757*(BA758=BA757),0,$BM$23,1),0)+BC757*(BA758=BA757)</f>
        <v>#N/A</v>
      </c>
      <c r="BD758" s="167">
        <f t="shared" ca="1" si="48"/>
        <v>0</v>
      </c>
      <c r="BE758" s="191" t="e">
        <f ca="1">(OFFSET(Pinlist!$E$1,BC758,0)-$BN$16)*$BN$19</f>
        <v>#N/A</v>
      </c>
      <c r="BF758" s="192" t="e">
        <f ca="1">(OFFSET(Pinlist!$F$1,BC758,0)-$BO$16)*$BO$19</f>
        <v>#N/A</v>
      </c>
      <c r="BG758" s="1098" t="str">
        <f ca="1">IF(LEFT(BD758,2)="RF",OFFSET(Pinlist!$D$1,Chart!BC758,0)&amp;"_"&amp;OFFSET(Pinlist!$G$1,Chart!BC758,0),"")</f>
        <v/>
      </c>
      <c r="BH758" s="1098"/>
      <c r="BI758" s="178"/>
      <c r="BJ758" s="178"/>
      <c r="BK758" s="178"/>
      <c r="BL758" s="178"/>
      <c r="BM758" s="178"/>
      <c r="BN758" s="178"/>
      <c r="BO758" s="178"/>
      <c r="BP758" s="178"/>
      <c r="BQ758" s="196"/>
      <c r="BR758" s="196"/>
      <c r="BS758" s="196"/>
      <c r="BT758" s="196"/>
      <c r="BU758" s="196"/>
      <c r="BV758" s="196"/>
      <c r="BW758" s="178"/>
      <c r="BX758" s="196"/>
      <c r="BY758" s="196"/>
      <c r="BZ758" s="196"/>
      <c r="CA758" s="196"/>
      <c r="CB758" s="178"/>
      <c r="CC758" s="178"/>
      <c r="CD758" s="202"/>
      <c r="CE758" s="202"/>
      <c r="CF758" s="178"/>
      <c r="CG758" s="196"/>
      <c r="CH758" s="178"/>
      <c r="CI758" s="178"/>
      <c r="CJ758" s="178"/>
      <c r="CK758" s="178"/>
      <c r="CL758" s="178"/>
      <c r="CM758" s="178"/>
      <c r="CN758" s="178"/>
      <c r="CO758" s="178"/>
      <c r="CP758" s="178"/>
      <c r="CQ758" s="178"/>
      <c r="CR758" s="178"/>
      <c r="CS758" s="178"/>
      <c r="CT758" s="178"/>
      <c r="CU758" s="178"/>
      <c r="CV758" s="178"/>
      <c r="CW758" s="178"/>
      <c r="CX758" s="178"/>
      <c r="CY758" s="178"/>
      <c r="CZ758" s="178"/>
      <c r="DA758" s="150"/>
    </row>
    <row r="759" spans="53:105" x14ac:dyDescent="0.2">
      <c r="BA759" s="518">
        <f t="shared" ca="1" si="46"/>
        <v>61</v>
      </c>
      <c r="BB759" s="174">
        <f t="shared" ca="1" si="47"/>
        <v>696</v>
      </c>
      <c r="BC759" s="525" t="e">
        <f ca="1">MATCH(BD759,OFFSET(Pinlist!$A$2,BC758*(BA759=BA758),0,$BM$23,1),0)+BC758*(BA759=BA758)</f>
        <v>#N/A</v>
      </c>
      <c r="BD759" s="167">
        <f t="shared" ca="1" si="48"/>
        <v>0</v>
      </c>
      <c r="BE759" s="191" t="e">
        <f ca="1">(OFFSET(Pinlist!$E$1,BC759,0)-$BN$16)*$BN$19</f>
        <v>#N/A</v>
      </c>
      <c r="BF759" s="192" t="e">
        <f ca="1">(OFFSET(Pinlist!$F$1,BC759,0)-$BO$16)*$BO$19</f>
        <v>#N/A</v>
      </c>
      <c r="BG759" s="1098" t="str">
        <f ca="1">IF(LEFT(BD759,2)="RF",OFFSET(Pinlist!$D$1,Chart!BC759,0)&amp;"_"&amp;OFFSET(Pinlist!$G$1,Chart!BC759,0),"")</f>
        <v/>
      </c>
      <c r="BH759" s="1098"/>
      <c r="BI759" s="178"/>
      <c r="BJ759" s="178"/>
      <c r="BK759" s="178"/>
      <c r="BL759" s="178"/>
      <c r="BM759" s="178"/>
      <c r="BN759" s="178"/>
      <c r="BO759" s="178"/>
      <c r="BP759" s="178"/>
      <c r="BQ759" s="196"/>
      <c r="BR759" s="196"/>
      <c r="BS759" s="196"/>
      <c r="BT759" s="196"/>
      <c r="BU759" s="196"/>
      <c r="BV759" s="196"/>
      <c r="BW759" s="178"/>
      <c r="BX759" s="196"/>
      <c r="BY759" s="196"/>
      <c r="BZ759" s="196"/>
      <c r="CA759" s="196"/>
      <c r="CB759" s="178"/>
      <c r="CC759" s="178"/>
      <c r="CD759" s="202"/>
      <c r="CE759" s="202"/>
      <c r="CF759" s="178"/>
      <c r="CG759" s="196"/>
      <c r="CH759" s="178"/>
      <c r="CI759" s="178"/>
      <c r="CJ759" s="178"/>
      <c r="CK759" s="178"/>
      <c r="CL759" s="178"/>
      <c r="CM759" s="178"/>
      <c r="CN759" s="178"/>
      <c r="CO759" s="178"/>
      <c r="CP759" s="178"/>
      <c r="CQ759" s="178"/>
      <c r="CR759" s="178"/>
      <c r="CS759" s="178"/>
      <c r="CT759" s="178"/>
      <c r="CU759" s="178"/>
      <c r="CV759" s="178"/>
      <c r="CW759" s="178"/>
      <c r="CX759" s="178"/>
      <c r="CY759" s="178"/>
      <c r="CZ759" s="178"/>
      <c r="DA759" s="150"/>
    </row>
    <row r="760" spans="53:105" x14ac:dyDescent="0.2">
      <c r="BA760" s="518">
        <f t="shared" ca="1" si="46"/>
        <v>61</v>
      </c>
      <c r="BB760" s="174">
        <f t="shared" ca="1" si="47"/>
        <v>697</v>
      </c>
      <c r="BC760" s="525" t="e">
        <f ca="1">MATCH(BD760,OFFSET(Pinlist!$A$2,BC759*(BA760=BA759),0,$BM$23,1),0)+BC759*(BA760=BA759)</f>
        <v>#N/A</v>
      </c>
      <c r="BD760" s="167">
        <f t="shared" ca="1" si="48"/>
        <v>0</v>
      </c>
      <c r="BE760" s="191" t="e">
        <f ca="1">(OFFSET(Pinlist!$E$1,BC760,0)-$BN$16)*$BN$19</f>
        <v>#N/A</v>
      </c>
      <c r="BF760" s="192" t="e">
        <f ca="1">(OFFSET(Pinlist!$F$1,BC760,0)-$BO$16)*$BO$19</f>
        <v>#N/A</v>
      </c>
      <c r="BG760" s="1098" t="str">
        <f ca="1">IF(LEFT(BD760,2)="RF",OFFSET(Pinlist!$D$1,Chart!BC760,0)&amp;"_"&amp;OFFSET(Pinlist!$G$1,Chart!BC760,0),"")</f>
        <v/>
      </c>
      <c r="BH760" s="1098"/>
      <c r="BI760" s="178"/>
      <c r="BJ760" s="178"/>
      <c r="BK760" s="178"/>
      <c r="BL760" s="178"/>
      <c r="BM760" s="178"/>
      <c r="BN760" s="178"/>
      <c r="BO760" s="178"/>
      <c r="BP760" s="178"/>
      <c r="BQ760" s="196"/>
      <c r="BR760" s="196"/>
      <c r="BS760" s="196"/>
      <c r="BT760" s="196"/>
      <c r="BU760" s="196"/>
      <c r="BV760" s="196"/>
      <c r="BW760" s="178"/>
      <c r="BX760" s="196"/>
      <c r="BY760" s="196"/>
      <c r="BZ760" s="196"/>
      <c r="CA760" s="196"/>
      <c r="CB760" s="178"/>
      <c r="CC760" s="178"/>
      <c r="CD760" s="202"/>
      <c r="CE760" s="202"/>
      <c r="CF760" s="178"/>
      <c r="CG760" s="196"/>
      <c r="CH760" s="178"/>
      <c r="CI760" s="178"/>
      <c r="CJ760" s="178"/>
      <c r="CK760" s="178"/>
      <c r="CL760" s="178"/>
      <c r="CM760" s="178"/>
      <c r="CN760" s="178"/>
      <c r="CO760" s="178"/>
      <c r="CP760" s="178"/>
      <c r="CQ760" s="178"/>
      <c r="CR760" s="178"/>
      <c r="CS760" s="178"/>
      <c r="CT760" s="178"/>
      <c r="CU760" s="178"/>
      <c r="CV760" s="178"/>
      <c r="CW760" s="178"/>
      <c r="CX760" s="178"/>
      <c r="CY760" s="178"/>
      <c r="CZ760" s="178"/>
      <c r="DA760" s="150"/>
    </row>
    <row r="761" spans="53:105" x14ac:dyDescent="0.2">
      <c r="BA761" s="518">
        <f t="shared" ca="1" si="46"/>
        <v>61</v>
      </c>
      <c r="BB761" s="174">
        <f t="shared" ca="1" si="47"/>
        <v>698</v>
      </c>
      <c r="BC761" s="525" t="e">
        <f ca="1">MATCH(BD761,OFFSET(Pinlist!$A$2,BC760*(BA761=BA760),0,$BM$23,1),0)+BC760*(BA761=BA760)</f>
        <v>#N/A</v>
      </c>
      <c r="BD761" s="167">
        <f t="shared" ca="1" si="48"/>
        <v>0</v>
      </c>
      <c r="BE761" s="191" t="e">
        <f ca="1">(OFFSET(Pinlist!$E$1,BC761,0)-$BN$16)*$BN$19</f>
        <v>#N/A</v>
      </c>
      <c r="BF761" s="192" t="e">
        <f ca="1">(OFFSET(Pinlist!$F$1,BC761,0)-$BO$16)*$BO$19</f>
        <v>#N/A</v>
      </c>
      <c r="BG761" s="1098" t="str">
        <f ca="1">IF(LEFT(BD761,2)="RF",OFFSET(Pinlist!$D$1,Chart!BC761,0)&amp;"_"&amp;OFFSET(Pinlist!$G$1,Chart!BC761,0),"")</f>
        <v/>
      </c>
      <c r="BH761" s="1098"/>
      <c r="BI761" s="178"/>
      <c r="BJ761" s="178"/>
      <c r="BK761" s="178"/>
      <c r="BL761" s="178"/>
      <c r="BM761" s="178"/>
      <c r="BN761" s="178"/>
      <c r="BO761" s="178"/>
      <c r="BP761" s="178"/>
      <c r="BQ761" s="196"/>
      <c r="BR761" s="196"/>
      <c r="BS761" s="196"/>
      <c r="BT761" s="196"/>
      <c r="BU761" s="196"/>
      <c r="BV761" s="196"/>
      <c r="BW761" s="178"/>
      <c r="BX761" s="196"/>
      <c r="BY761" s="196"/>
      <c r="BZ761" s="196"/>
      <c r="CA761" s="196"/>
      <c r="CB761" s="178"/>
      <c r="CC761" s="178"/>
      <c r="CD761" s="202"/>
      <c r="CE761" s="202"/>
      <c r="CF761" s="178"/>
      <c r="CG761" s="196"/>
      <c r="CH761" s="178"/>
      <c r="CI761" s="178"/>
      <c r="CJ761" s="178"/>
      <c r="CK761" s="178"/>
      <c r="CL761" s="178"/>
      <c r="CM761" s="178"/>
      <c r="CN761" s="178"/>
      <c r="CO761" s="178"/>
      <c r="CP761" s="178"/>
      <c r="CQ761" s="178"/>
      <c r="CR761" s="178"/>
      <c r="CS761" s="178"/>
      <c r="CT761" s="178"/>
      <c r="CU761" s="178"/>
      <c r="CV761" s="178"/>
      <c r="CW761" s="178"/>
      <c r="CX761" s="178"/>
      <c r="CY761" s="178"/>
      <c r="CZ761" s="178"/>
      <c r="DA761" s="150"/>
    </row>
    <row r="762" spans="53:105" x14ac:dyDescent="0.2">
      <c r="BA762" s="518">
        <f t="shared" ca="1" si="46"/>
        <v>61</v>
      </c>
      <c r="BB762" s="174">
        <f t="shared" ca="1" si="47"/>
        <v>699</v>
      </c>
      <c r="BC762" s="525" t="e">
        <f ca="1">MATCH(BD762,OFFSET(Pinlist!$A$2,BC761*(BA762=BA761),0,$BM$23,1),0)+BC761*(BA762=BA761)</f>
        <v>#N/A</v>
      </c>
      <c r="BD762" s="167">
        <f t="shared" ca="1" si="48"/>
        <v>0</v>
      </c>
      <c r="BE762" s="191" t="e">
        <f ca="1">(OFFSET(Pinlist!$E$1,BC762,0)-$BN$16)*$BN$19</f>
        <v>#N/A</v>
      </c>
      <c r="BF762" s="192" t="e">
        <f ca="1">(OFFSET(Pinlist!$F$1,BC762,0)-$BO$16)*$BO$19</f>
        <v>#N/A</v>
      </c>
      <c r="BG762" s="1098" t="str">
        <f ca="1">IF(LEFT(BD762,2)="RF",OFFSET(Pinlist!$D$1,Chart!BC762,0)&amp;"_"&amp;OFFSET(Pinlist!$G$1,Chart!BC762,0),"")</f>
        <v/>
      </c>
      <c r="BH762" s="1098"/>
      <c r="BI762" s="178"/>
      <c r="BJ762" s="178"/>
      <c r="BK762" s="178"/>
      <c r="BL762" s="178"/>
      <c r="BM762" s="178"/>
      <c r="BN762" s="178"/>
      <c r="BO762" s="178"/>
      <c r="BP762" s="178"/>
      <c r="BQ762" s="196"/>
      <c r="BR762" s="196"/>
      <c r="BS762" s="196"/>
      <c r="BT762" s="196"/>
      <c r="BU762" s="196"/>
      <c r="BV762" s="196"/>
      <c r="BW762" s="178"/>
      <c r="BX762" s="196"/>
      <c r="BY762" s="196"/>
      <c r="BZ762" s="196"/>
      <c r="CA762" s="196"/>
      <c r="CB762" s="178"/>
      <c r="CC762" s="178"/>
      <c r="CD762" s="202"/>
      <c r="CE762" s="202"/>
      <c r="CF762" s="178"/>
      <c r="CG762" s="196"/>
      <c r="CH762" s="178"/>
      <c r="CI762" s="178"/>
      <c r="CJ762" s="178"/>
      <c r="CK762" s="178"/>
      <c r="CL762" s="178"/>
      <c r="CM762" s="178"/>
      <c r="CN762" s="178"/>
      <c r="CO762" s="178"/>
      <c r="CP762" s="178"/>
      <c r="CQ762" s="178"/>
      <c r="CR762" s="178"/>
      <c r="CS762" s="178"/>
      <c r="CT762" s="178"/>
      <c r="CU762" s="178"/>
      <c r="CV762" s="178"/>
      <c r="CW762" s="178"/>
      <c r="CX762" s="178"/>
      <c r="CY762" s="178"/>
      <c r="CZ762" s="178"/>
      <c r="DA762" s="150"/>
    </row>
    <row r="763" spans="53:105" x14ac:dyDescent="0.2">
      <c r="BA763" s="518">
        <f t="shared" ca="1" si="46"/>
        <v>61</v>
      </c>
      <c r="BB763" s="174">
        <f t="shared" ca="1" si="47"/>
        <v>700</v>
      </c>
      <c r="BC763" s="525" t="e">
        <f ca="1">MATCH(BD763,OFFSET(Pinlist!$A$2,BC762*(BA763=BA762),0,$BM$23,1),0)+BC762*(BA763=BA762)</f>
        <v>#N/A</v>
      </c>
      <c r="BD763" s="167">
        <f t="shared" ca="1" si="48"/>
        <v>0</v>
      </c>
      <c r="BE763" s="191" t="e">
        <f ca="1">(OFFSET(Pinlist!$E$1,BC763,0)-$BN$16)*$BN$19</f>
        <v>#N/A</v>
      </c>
      <c r="BF763" s="192" t="e">
        <f ca="1">(OFFSET(Pinlist!$F$1,BC763,0)-$BO$16)*$BO$19</f>
        <v>#N/A</v>
      </c>
      <c r="BG763" s="1098" t="str">
        <f ca="1">IF(LEFT(BD763,2)="RF",OFFSET(Pinlist!$D$1,Chart!BC763,0)&amp;"_"&amp;OFFSET(Pinlist!$G$1,Chart!BC763,0),"")</f>
        <v/>
      </c>
      <c r="BH763" s="1098"/>
      <c r="BI763" s="178"/>
      <c r="BJ763" s="178"/>
      <c r="BK763" s="178"/>
      <c r="BL763" s="178"/>
      <c r="BM763" s="178"/>
      <c r="BN763" s="178"/>
      <c r="BO763" s="178"/>
      <c r="BP763" s="178"/>
      <c r="BQ763" s="196"/>
      <c r="BR763" s="196"/>
      <c r="BS763" s="196"/>
      <c r="BT763" s="196"/>
      <c r="BU763" s="196"/>
      <c r="BV763" s="196"/>
      <c r="BW763" s="178"/>
      <c r="BX763" s="196"/>
      <c r="BY763" s="196"/>
      <c r="BZ763" s="196"/>
      <c r="CA763" s="196"/>
      <c r="CB763" s="178"/>
      <c r="CC763" s="178"/>
      <c r="CD763" s="202"/>
      <c r="CE763" s="202"/>
      <c r="CF763" s="178"/>
      <c r="CG763" s="196"/>
      <c r="CH763" s="178"/>
      <c r="CI763" s="178"/>
      <c r="CJ763" s="178"/>
      <c r="CK763" s="178"/>
      <c r="CL763" s="178"/>
      <c r="CM763" s="178"/>
      <c r="CN763" s="178"/>
      <c r="CO763" s="178"/>
      <c r="CP763" s="178"/>
      <c r="CQ763" s="178"/>
      <c r="CR763" s="178"/>
      <c r="CS763" s="178"/>
      <c r="CT763" s="178"/>
      <c r="CU763" s="178"/>
      <c r="CV763" s="178"/>
      <c r="CW763" s="178"/>
      <c r="CX763" s="178"/>
      <c r="CY763" s="178"/>
      <c r="CZ763" s="178"/>
      <c r="DA763" s="150"/>
    </row>
    <row r="764" spans="53:105" x14ac:dyDescent="0.2">
      <c r="BA764" s="518">
        <f t="shared" ca="1" si="46"/>
        <v>61</v>
      </c>
      <c r="BB764" s="174">
        <f t="shared" ca="1" si="47"/>
        <v>701</v>
      </c>
      <c r="BC764" s="525" t="e">
        <f ca="1">MATCH(BD764,OFFSET(Pinlist!$A$2,BC763*(BA764=BA763),0,$BM$23,1),0)+BC763*(BA764=BA763)</f>
        <v>#N/A</v>
      </c>
      <c r="BD764" s="167">
        <f t="shared" ca="1" si="48"/>
        <v>0</v>
      </c>
      <c r="BE764" s="191" t="e">
        <f ca="1">(OFFSET(Pinlist!$E$1,BC764,0)-$BN$16)*$BN$19</f>
        <v>#N/A</v>
      </c>
      <c r="BF764" s="192" t="e">
        <f ca="1">(OFFSET(Pinlist!$F$1,BC764,0)-$BO$16)*$BO$19</f>
        <v>#N/A</v>
      </c>
      <c r="BG764" s="1098" t="str">
        <f ca="1">IF(LEFT(BD764,2)="RF",OFFSET(Pinlist!$D$1,Chart!BC764,0)&amp;"_"&amp;OFFSET(Pinlist!$G$1,Chart!BC764,0),"")</f>
        <v/>
      </c>
      <c r="BH764" s="1098"/>
      <c r="BI764" s="178"/>
      <c r="BJ764" s="178"/>
      <c r="BK764" s="178"/>
      <c r="BL764" s="178"/>
      <c r="BM764" s="178"/>
      <c r="BN764" s="178"/>
      <c r="BO764" s="178"/>
      <c r="BP764" s="178"/>
      <c r="BQ764" s="196"/>
      <c r="BR764" s="196"/>
      <c r="BS764" s="196"/>
      <c r="BT764" s="196"/>
      <c r="BU764" s="196"/>
      <c r="BV764" s="196"/>
      <c r="BW764" s="178"/>
      <c r="BX764" s="196"/>
      <c r="BY764" s="196"/>
      <c r="BZ764" s="196"/>
      <c r="CA764" s="196"/>
      <c r="CB764" s="178"/>
      <c r="CC764" s="178"/>
      <c r="CD764" s="202"/>
      <c r="CE764" s="202"/>
      <c r="CF764" s="178"/>
      <c r="CG764" s="196"/>
      <c r="CH764" s="178"/>
      <c r="CI764" s="178"/>
      <c r="CJ764" s="178"/>
      <c r="CK764" s="178"/>
      <c r="CL764" s="178"/>
      <c r="CM764" s="178"/>
      <c r="CN764" s="178"/>
      <c r="CO764" s="178"/>
      <c r="CP764" s="178"/>
      <c r="CQ764" s="178"/>
      <c r="CR764" s="178"/>
      <c r="CS764" s="178"/>
      <c r="CT764" s="178"/>
      <c r="CU764" s="178"/>
      <c r="CV764" s="178"/>
      <c r="CW764" s="178"/>
      <c r="CX764" s="178"/>
      <c r="CY764" s="178"/>
      <c r="CZ764" s="178"/>
      <c r="DA764" s="150"/>
    </row>
    <row r="765" spans="53:105" x14ac:dyDescent="0.2">
      <c r="BA765" s="518">
        <f t="shared" ca="1" si="46"/>
        <v>61</v>
      </c>
      <c r="BB765" s="174">
        <f t="shared" ca="1" si="47"/>
        <v>702</v>
      </c>
      <c r="BC765" s="525" t="e">
        <f ca="1">MATCH(BD765,OFFSET(Pinlist!$A$2,BC764*(BA765=BA764),0,$BM$23,1),0)+BC764*(BA765=BA764)</f>
        <v>#N/A</v>
      </c>
      <c r="BD765" s="167">
        <f t="shared" ca="1" si="48"/>
        <v>0</v>
      </c>
      <c r="BE765" s="191" t="e">
        <f ca="1">(OFFSET(Pinlist!$E$1,BC765,0)-$BN$16)*$BN$19</f>
        <v>#N/A</v>
      </c>
      <c r="BF765" s="192" t="e">
        <f ca="1">(OFFSET(Pinlist!$F$1,BC765,0)-$BO$16)*$BO$19</f>
        <v>#N/A</v>
      </c>
      <c r="BG765" s="1098" t="str">
        <f ca="1">IF(LEFT(BD765,2)="RF",OFFSET(Pinlist!$D$1,Chart!BC765,0)&amp;"_"&amp;OFFSET(Pinlist!$G$1,Chart!BC765,0),"")</f>
        <v/>
      </c>
      <c r="BH765" s="1098"/>
      <c r="BI765" s="178"/>
      <c r="BJ765" s="178"/>
      <c r="BK765" s="178"/>
      <c r="BL765" s="178"/>
      <c r="BM765" s="178"/>
      <c r="BN765" s="178"/>
      <c r="BO765" s="178"/>
      <c r="BP765" s="178"/>
      <c r="BQ765" s="196"/>
      <c r="BR765" s="196"/>
      <c r="BS765" s="196"/>
      <c r="BT765" s="196"/>
      <c r="BU765" s="196"/>
      <c r="BV765" s="196"/>
      <c r="BW765" s="178"/>
      <c r="BX765" s="196"/>
      <c r="BY765" s="196"/>
      <c r="BZ765" s="196"/>
      <c r="CA765" s="196"/>
      <c r="CB765" s="178"/>
      <c r="CC765" s="178"/>
      <c r="CD765" s="202"/>
      <c r="CE765" s="202"/>
      <c r="CF765" s="178"/>
      <c r="CG765" s="196"/>
      <c r="CH765" s="178"/>
      <c r="CI765" s="178"/>
      <c r="CJ765" s="178"/>
      <c r="CK765" s="178"/>
      <c r="CL765" s="178"/>
      <c r="CM765" s="178"/>
      <c r="CN765" s="178"/>
      <c r="CO765" s="178"/>
      <c r="CP765" s="178"/>
      <c r="CQ765" s="178"/>
      <c r="CR765" s="178"/>
      <c r="CS765" s="178"/>
      <c r="CT765" s="178"/>
      <c r="CU765" s="178"/>
      <c r="CV765" s="178"/>
      <c r="CW765" s="178"/>
      <c r="CX765" s="178"/>
      <c r="CY765" s="178"/>
      <c r="CZ765" s="178"/>
      <c r="DA765" s="150"/>
    </row>
    <row r="766" spans="53:105" x14ac:dyDescent="0.2">
      <c r="BA766" s="518">
        <f t="shared" ca="1" si="46"/>
        <v>61</v>
      </c>
      <c r="BB766" s="174">
        <f t="shared" ca="1" si="47"/>
        <v>703</v>
      </c>
      <c r="BC766" s="525" t="e">
        <f ca="1">MATCH(BD766,OFFSET(Pinlist!$A$2,BC765*(BA766=BA765),0,$BM$23,1),0)+BC765*(BA766=BA765)</f>
        <v>#N/A</v>
      </c>
      <c r="BD766" s="167">
        <f t="shared" ca="1" si="48"/>
        <v>0</v>
      </c>
      <c r="BE766" s="191" t="e">
        <f ca="1">(OFFSET(Pinlist!$E$1,BC766,0)-$BN$16)*$BN$19</f>
        <v>#N/A</v>
      </c>
      <c r="BF766" s="192" t="e">
        <f ca="1">(OFFSET(Pinlist!$F$1,BC766,0)-$BO$16)*$BO$19</f>
        <v>#N/A</v>
      </c>
      <c r="BG766" s="1098" t="str">
        <f ca="1">IF(LEFT(BD766,2)="RF",OFFSET(Pinlist!$D$1,Chart!BC766,0)&amp;"_"&amp;OFFSET(Pinlist!$G$1,Chart!BC766,0),"")</f>
        <v/>
      </c>
      <c r="BH766" s="1098"/>
      <c r="BI766" s="178"/>
      <c r="BJ766" s="178"/>
      <c r="BK766" s="178"/>
      <c r="BL766" s="178"/>
      <c r="BM766" s="178"/>
      <c r="BN766" s="178"/>
      <c r="BO766" s="178"/>
      <c r="BP766" s="178"/>
      <c r="BQ766" s="196"/>
      <c r="BR766" s="196"/>
      <c r="BS766" s="196"/>
      <c r="BT766" s="196"/>
      <c r="BU766" s="196"/>
      <c r="BV766" s="196"/>
      <c r="BW766" s="178"/>
      <c r="BX766" s="196"/>
      <c r="BY766" s="196"/>
      <c r="BZ766" s="196"/>
      <c r="CA766" s="196"/>
      <c r="CB766" s="178"/>
      <c r="CC766" s="178"/>
      <c r="CD766" s="202"/>
      <c r="CE766" s="202"/>
      <c r="CF766" s="178"/>
      <c r="CG766" s="196"/>
      <c r="CH766" s="178"/>
      <c r="CI766" s="178"/>
      <c r="CJ766" s="178"/>
      <c r="CK766" s="178"/>
      <c r="CL766" s="178"/>
      <c r="CM766" s="178"/>
      <c r="CN766" s="178"/>
      <c r="CO766" s="178"/>
      <c r="CP766" s="178"/>
      <c r="CQ766" s="178"/>
      <c r="CR766" s="178"/>
      <c r="CS766" s="178"/>
      <c r="CT766" s="178"/>
      <c r="CU766" s="178"/>
      <c r="CV766" s="178"/>
      <c r="CW766" s="178"/>
      <c r="CX766" s="178"/>
      <c r="CY766" s="178"/>
      <c r="CZ766" s="178"/>
      <c r="DA766" s="150"/>
    </row>
    <row r="767" spans="53:105" x14ac:dyDescent="0.2">
      <c r="BA767" s="518">
        <f t="shared" ca="1" si="46"/>
        <v>61</v>
      </c>
      <c r="BB767" s="174">
        <f t="shared" ca="1" si="47"/>
        <v>704</v>
      </c>
      <c r="BC767" s="525" t="e">
        <f ca="1">MATCH(BD767,OFFSET(Pinlist!$A$2,BC766*(BA767=BA766),0,$BM$23,1),0)+BC766*(BA767=BA766)</f>
        <v>#N/A</v>
      </c>
      <c r="BD767" s="167">
        <f t="shared" ca="1" si="48"/>
        <v>0</v>
      </c>
      <c r="BE767" s="191" t="e">
        <f ca="1">(OFFSET(Pinlist!$E$1,BC767,0)-$BN$16)*$BN$19</f>
        <v>#N/A</v>
      </c>
      <c r="BF767" s="192" t="e">
        <f ca="1">(OFFSET(Pinlist!$F$1,BC767,0)-$BO$16)*$BO$19</f>
        <v>#N/A</v>
      </c>
      <c r="BG767" s="1098" t="str">
        <f ca="1">IF(LEFT(BD767,2)="RF",OFFSET(Pinlist!$D$1,Chart!BC767,0)&amp;"_"&amp;OFFSET(Pinlist!$G$1,Chart!BC767,0),"")</f>
        <v/>
      </c>
      <c r="BH767" s="1098"/>
      <c r="BI767" s="178"/>
      <c r="BJ767" s="178"/>
      <c r="BK767" s="178"/>
      <c r="BL767" s="178"/>
      <c r="BM767" s="178"/>
      <c r="BN767" s="178"/>
      <c r="BO767" s="178"/>
      <c r="BP767" s="178"/>
      <c r="BQ767" s="196"/>
      <c r="BR767" s="196"/>
      <c r="BS767" s="196"/>
      <c r="BT767" s="196"/>
      <c r="BU767" s="196"/>
      <c r="BV767" s="196"/>
      <c r="BW767" s="178"/>
      <c r="BX767" s="196"/>
      <c r="BY767" s="196"/>
      <c r="BZ767" s="196"/>
      <c r="CA767" s="196"/>
      <c r="CB767" s="178"/>
      <c r="CC767" s="178"/>
      <c r="CD767" s="202"/>
      <c r="CE767" s="202"/>
      <c r="CF767" s="178"/>
      <c r="CG767" s="196"/>
      <c r="CH767" s="178"/>
      <c r="CI767" s="178"/>
      <c r="CJ767" s="178"/>
      <c r="CK767" s="178"/>
      <c r="CL767" s="178"/>
      <c r="CM767" s="178"/>
      <c r="CN767" s="178"/>
      <c r="CO767" s="178"/>
      <c r="CP767" s="178"/>
      <c r="CQ767" s="178"/>
      <c r="CR767" s="178"/>
      <c r="CS767" s="178"/>
      <c r="CT767" s="178"/>
      <c r="CU767" s="178"/>
      <c r="CV767" s="178"/>
      <c r="CW767" s="178"/>
      <c r="CX767" s="178"/>
      <c r="CY767" s="178"/>
      <c r="CZ767" s="178"/>
      <c r="DA767" s="150"/>
    </row>
    <row r="768" spans="53:105" x14ac:dyDescent="0.2">
      <c r="BA768" s="518">
        <f t="shared" ca="1" si="46"/>
        <v>61</v>
      </c>
      <c r="BB768" s="174">
        <f t="shared" ca="1" si="47"/>
        <v>705</v>
      </c>
      <c r="BC768" s="525" t="e">
        <f ca="1">MATCH(BD768,OFFSET(Pinlist!$A$2,BC767*(BA768=BA767),0,$BM$23,1),0)+BC767*(BA768=BA767)</f>
        <v>#N/A</v>
      </c>
      <c r="BD768" s="167">
        <f t="shared" ca="1" si="48"/>
        <v>0</v>
      </c>
      <c r="BE768" s="191" t="e">
        <f ca="1">(OFFSET(Pinlist!$E$1,BC768,0)-$BN$16)*$BN$19</f>
        <v>#N/A</v>
      </c>
      <c r="BF768" s="192" t="e">
        <f ca="1">(OFFSET(Pinlist!$F$1,BC768,0)-$BO$16)*$BO$19</f>
        <v>#N/A</v>
      </c>
      <c r="BG768" s="1098" t="str">
        <f ca="1">IF(LEFT(BD768,2)="RF",OFFSET(Pinlist!$D$1,Chart!BC768,0)&amp;"_"&amp;OFFSET(Pinlist!$G$1,Chart!BC768,0),"")</f>
        <v/>
      </c>
      <c r="BH768" s="1098"/>
      <c r="BI768" s="178"/>
      <c r="BJ768" s="178"/>
      <c r="BK768" s="178"/>
      <c r="BL768" s="178"/>
      <c r="BM768" s="178"/>
      <c r="BN768" s="178"/>
      <c r="BO768" s="178"/>
      <c r="BP768" s="178"/>
      <c r="BQ768" s="196"/>
      <c r="BR768" s="196"/>
      <c r="BS768" s="196"/>
      <c r="BT768" s="196"/>
      <c r="BU768" s="196"/>
      <c r="BV768" s="196"/>
      <c r="BW768" s="178"/>
      <c r="BX768" s="196"/>
      <c r="BY768" s="196"/>
      <c r="BZ768" s="196"/>
      <c r="CA768" s="196"/>
      <c r="CB768" s="178"/>
      <c r="CC768" s="178"/>
      <c r="CD768" s="202"/>
      <c r="CE768" s="202"/>
      <c r="CF768" s="178"/>
      <c r="CG768" s="196"/>
      <c r="CH768" s="178"/>
      <c r="CI768" s="178"/>
      <c r="CJ768" s="178"/>
      <c r="CK768" s="178"/>
      <c r="CL768" s="178"/>
      <c r="CM768" s="178"/>
      <c r="CN768" s="178"/>
      <c r="CO768" s="178"/>
      <c r="CP768" s="178"/>
      <c r="CQ768" s="178"/>
      <c r="CR768" s="178"/>
      <c r="CS768" s="178"/>
      <c r="CT768" s="178"/>
      <c r="CU768" s="178"/>
      <c r="CV768" s="178"/>
      <c r="CW768" s="178"/>
      <c r="CX768" s="178"/>
      <c r="CY768" s="178"/>
      <c r="CZ768" s="178"/>
      <c r="DA768" s="150"/>
    </row>
    <row r="769" spans="53:105" x14ac:dyDescent="0.2">
      <c r="BA769" s="518">
        <f t="shared" ca="1" si="46"/>
        <v>61</v>
      </c>
      <c r="BB769" s="174">
        <f t="shared" ca="1" si="47"/>
        <v>706</v>
      </c>
      <c r="BC769" s="525" t="e">
        <f ca="1">MATCH(BD769,OFFSET(Pinlist!$A$2,BC768*(BA769=BA768),0,$BM$23,1),0)+BC768*(BA769=BA768)</f>
        <v>#N/A</v>
      </c>
      <c r="BD769" s="167">
        <f t="shared" ca="1" si="48"/>
        <v>0</v>
      </c>
      <c r="BE769" s="191" t="e">
        <f ca="1">(OFFSET(Pinlist!$E$1,BC769,0)-$BN$16)*$BN$19</f>
        <v>#N/A</v>
      </c>
      <c r="BF769" s="192" t="e">
        <f ca="1">(OFFSET(Pinlist!$F$1,BC769,0)-$BO$16)*$BO$19</f>
        <v>#N/A</v>
      </c>
      <c r="BG769" s="1098" t="str">
        <f ca="1">IF(LEFT(BD769,2)="RF",OFFSET(Pinlist!$D$1,Chart!BC769,0)&amp;"_"&amp;OFFSET(Pinlist!$G$1,Chart!BC769,0),"")</f>
        <v/>
      </c>
      <c r="BH769" s="1098"/>
      <c r="BI769" s="178"/>
      <c r="BJ769" s="178"/>
      <c r="BK769" s="178"/>
      <c r="BL769" s="178"/>
      <c r="BM769" s="178"/>
      <c r="BN769" s="178"/>
      <c r="BO769" s="178"/>
      <c r="BP769" s="178"/>
      <c r="BQ769" s="196"/>
      <c r="BR769" s="196"/>
      <c r="BS769" s="196"/>
      <c r="BT769" s="196"/>
      <c r="BU769" s="196"/>
      <c r="BV769" s="196"/>
      <c r="BW769" s="178"/>
      <c r="BX769" s="196"/>
      <c r="BY769" s="196"/>
      <c r="BZ769" s="196"/>
      <c r="CA769" s="196"/>
      <c r="CB769" s="178"/>
      <c r="CC769" s="178"/>
      <c r="CD769" s="202"/>
      <c r="CE769" s="202"/>
      <c r="CF769" s="178"/>
      <c r="CG769" s="196"/>
      <c r="CH769" s="178"/>
      <c r="CI769" s="178"/>
      <c r="CJ769" s="178"/>
      <c r="CK769" s="178"/>
      <c r="CL769" s="178"/>
      <c r="CM769" s="178"/>
      <c r="CN769" s="178"/>
      <c r="CO769" s="178"/>
      <c r="CP769" s="178"/>
      <c r="CQ769" s="178"/>
      <c r="CR769" s="178"/>
      <c r="CS769" s="178"/>
      <c r="CT769" s="178"/>
      <c r="CU769" s="178"/>
      <c r="CV769" s="178"/>
      <c r="CW769" s="178"/>
      <c r="CX769" s="178"/>
      <c r="CY769" s="178"/>
      <c r="CZ769" s="178"/>
      <c r="DA769" s="150"/>
    </row>
    <row r="770" spans="53:105" x14ac:dyDescent="0.2">
      <c r="BA770" s="518">
        <f t="shared" ca="1" si="46"/>
        <v>61</v>
      </c>
      <c r="BB770" s="174">
        <f t="shared" ca="1" si="47"/>
        <v>707</v>
      </c>
      <c r="BC770" s="525" t="e">
        <f ca="1">MATCH(BD770,OFFSET(Pinlist!$A$2,BC769*(BA770=BA769),0,$BM$23,1),0)+BC769*(BA770=BA769)</f>
        <v>#N/A</v>
      </c>
      <c r="BD770" s="167">
        <f t="shared" ca="1" si="48"/>
        <v>0</v>
      </c>
      <c r="BE770" s="191" t="e">
        <f ca="1">(OFFSET(Pinlist!$E$1,BC770,0)-$BN$16)*$BN$19</f>
        <v>#N/A</v>
      </c>
      <c r="BF770" s="192" t="e">
        <f ca="1">(OFFSET(Pinlist!$F$1,BC770,0)-$BO$16)*$BO$19</f>
        <v>#N/A</v>
      </c>
      <c r="BG770" s="1098" t="str">
        <f ca="1">IF(LEFT(BD770,2)="RF",OFFSET(Pinlist!$D$1,Chart!BC770,0)&amp;"_"&amp;OFFSET(Pinlist!$G$1,Chart!BC770,0),"")</f>
        <v/>
      </c>
      <c r="BH770" s="1098"/>
      <c r="BI770" s="178"/>
      <c r="BJ770" s="178"/>
      <c r="BK770" s="178"/>
      <c r="BL770" s="178"/>
      <c r="BM770" s="178"/>
      <c r="BN770" s="178"/>
      <c r="BO770" s="178"/>
      <c r="BP770" s="178"/>
      <c r="BQ770" s="196"/>
      <c r="BR770" s="196"/>
      <c r="BS770" s="196"/>
      <c r="BT770" s="196"/>
      <c r="BU770" s="196"/>
      <c r="BV770" s="196"/>
      <c r="BW770" s="178"/>
      <c r="BX770" s="196"/>
      <c r="BY770" s="196"/>
      <c r="BZ770" s="196"/>
      <c r="CA770" s="196"/>
      <c r="CB770" s="178"/>
      <c r="CC770" s="178"/>
      <c r="CD770" s="202"/>
      <c r="CE770" s="202"/>
      <c r="CF770" s="178"/>
      <c r="CG770" s="196"/>
      <c r="CH770" s="178"/>
      <c r="CI770" s="178"/>
      <c r="CJ770" s="178"/>
      <c r="CK770" s="178"/>
      <c r="CL770" s="178"/>
      <c r="CM770" s="178"/>
      <c r="CN770" s="178"/>
      <c r="CO770" s="178"/>
      <c r="CP770" s="178"/>
      <c r="CQ770" s="178"/>
      <c r="CR770" s="178"/>
      <c r="CS770" s="178"/>
      <c r="CT770" s="178"/>
      <c r="CU770" s="178"/>
      <c r="CV770" s="178"/>
      <c r="CW770" s="178"/>
      <c r="CX770" s="178"/>
      <c r="CY770" s="178"/>
      <c r="CZ770" s="178"/>
      <c r="DA770" s="150"/>
    </row>
    <row r="771" spans="53:105" x14ac:dyDescent="0.2">
      <c r="BA771" s="518">
        <f t="shared" ca="1" si="46"/>
        <v>61</v>
      </c>
      <c r="BB771" s="174">
        <f t="shared" ca="1" si="47"/>
        <v>708</v>
      </c>
      <c r="BC771" s="525" t="e">
        <f ca="1">MATCH(BD771,OFFSET(Pinlist!$A$2,BC770*(BA771=BA770),0,$BM$23,1),0)+BC770*(BA771=BA770)</f>
        <v>#N/A</v>
      </c>
      <c r="BD771" s="167">
        <f t="shared" ca="1" si="48"/>
        <v>0</v>
      </c>
      <c r="BE771" s="191" t="e">
        <f ca="1">(OFFSET(Pinlist!$E$1,BC771,0)-$BN$16)*$BN$19</f>
        <v>#N/A</v>
      </c>
      <c r="BF771" s="192" t="e">
        <f ca="1">(OFFSET(Pinlist!$F$1,BC771,0)-$BO$16)*$BO$19</f>
        <v>#N/A</v>
      </c>
      <c r="BG771" s="1098" t="str">
        <f ca="1">IF(LEFT(BD771,2)="RF",OFFSET(Pinlist!$D$1,Chart!BC771,0)&amp;"_"&amp;OFFSET(Pinlist!$G$1,Chart!BC771,0),"")</f>
        <v/>
      </c>
      <c r="BH771" s="1098"/>
      <c r="BI771" s="178"/>
      <c r="BJ771" s="178"/>
      <c r="BK771" s="178"/>
      <c r="BL771" s="178"/>
      <c r="BM771" s="178"/>
      <c r="BN771" s="178"/>
      <c r="BO771" s="178"/>
      <c r="BP771" s="178"/>
      <c r="BQ771" s="196"/>
      <c r="BR771" s="196"/>
      <c r="BS771" s="196"/>
      <c r="BT771" s="196"/>
      <c r="BU771" s="196"/>
      <c r="BV771" s="196"/>
      <c r="BW771" s="178"/>
      <c r="BX771" s="196"/>
      <c r="BY771" s="196"/>
      <c r="BZ771" s="196"/>
      <c r="CA771" s="196"/>
      <c r="CB771" s="178"/>
      <c r="CC771" s="178"/>
      <c r="CD771" s="202"/>
      <c r="CE771" s="202"/>
      <c r="CF771" s="178"/>
      <c r="CG771" s="196"/>
      <c r="CH771" s="178"/>
      <c r="CI771" s="178"/>
      <c r="CJ771" s="178"/>
      <c r="CK771" s="178"/>
      <c r="CL771" s="178"/>
      <c r="CM771" s="178"/>
      <c r="CN771" s="178"/>
      <c r="CO771" s="178"/>
      <c r="CP771" s="178"/>
      <c r="CQ771" s="178"/>
      <c r="CR771" s="178"/>
      <c r="CS771" s="178"/>
      <c r="CT771" s="178"/>
      <c r="CU771" s="178"/>
      <c r="CV771" s="178"/>
      <c r="CW771" s="178"/>
      <c r="CX771" s="178"/>
      <c r="CY771" s="178"/>
      <c r="CZ771" s="178"/>
      <c r="DA771" s="150"/>
    </row>
    <row r="772" spans="53:105" x14ac:dyDescent="0.2">
      <c r="BA772" s="518">
        <f t="shared" ref="BA772:BA835" ca="1" si="49">BA771+(BB771=OFFSET($BZ$3,BA771,0))</f>
        <v>61</v>
      </c>
      <c r="BB772" s="174">
        <f t="shared" ref="BB772:BB835" ca="1" si="50">IF(BA772=BA771,BB771+1,1)</f>
        <v>709</v>
      </c>
      <c r="BC772" s="525" t="e">
        <f ca="1">MATCH(BD772,OFFSET(Pinlist!$A$2,BC771*(BA772=BA771),0,$BM$23,1),0)+BC771*(BA772=BA771)</f>
        <v>#N/A</v>
      </c>
      <c r="BD772" s="167">
        <f t="shared" ref="BD772:BD835" ca="1" si="51">OFFSET($BY$3,BA772,0)</f>
        <v>0</v>
      </c>
      <c r="BE772" s="191" t="e">
        <f ca="1">(OFFSET(Pinlist!$E$1,BC772,0)-$BN$16)*$BN$19</f>
        <v>#N/A</v>
      </c>
      <c r="BF772" s="192" t="e">
        <f ca="1">(OFFSET(Pinlist!$F$1,BC772,0)-$BO$16)*$BO$19</f>
        <v>#N/A</v>
      </c>
      <c r="BG772" s="1098" t="str">
        <f ca="1">IF(LEFT(BD772,2)="RF",OFFSET(Pinlist!$D$1,Chart!BC772,0)&amp;"_"&amp;OFFSET(Pinlist!$G$1,Chart!BC772,0),"")</f>
        <v/>
      </c>
      <c r="BH772" s="1098"/>
      <c r="BI772" s="178"/>
      <c r="BJ772" s="178"/>
      <c r="BK772" s="178"/>
      <c r="BL772" s="178"/>
      <c r="BM772" s="178"/>
      <c r="BN772" s="178"/>
      <c r="BO772" s="178"/>
      <c r="BP772" s="178"/>
      <c r="BQ772" s="196"/>
      <c r="BR772" s="196"/>
      <c r="BS772" s="196"/>
      <c r="BT772" s="196"/>
      <c r="BU772" s="196"/>
      <c r="BV772" s="196"/>
      <c r="BW772" s="178"/>
      <c r="BX772" s="196"/>
      <c r="BY772" s="196"/>
      <c r="BZ772" s="196"/>
      <c r="CA772" s="196"/>
      <c r="CB772" s="178"/>
      <c r="CC772" s="178"/>
      <c r="CD772" s="202"/>
      <c r="CE772" s="202"/>
      <c r="CF772" s="178"/>
      <c r="CG772" s="196"/>
      <c r="CH772" s="178"/>
      <c r="CI772" s="178"/>
      <c r="CJ772" s="178"/>
      <c r="CK772" s="178"/>
      <c r="CL772" s="178"/>
      <c r="CM772" s="178"/>
      <c r="CN772" s="178"/>
      <c r="CO772" s="178"/>
      <c r="CP772" s="178"/>
      <c r="CQ772" s="178"/>
      <c r="CR772" s="178"/>
      <c r="CS772" s="178"/>
      <c r="CT772" s="178"/>
      <c r="CU772" s="178"/>
      <c r="CV772" s="178"/>
      <c r="CW772" s="178"/>
      <c r="CX772" s="178"/>
      <c r="CY772" s="178"/>
      <c r="CZ772" s="178"/>
      <c r="DA772" s="150"/>
    </row>
    <row r="773" spans="53:105" x14ac:dyDescent="0.2">
      <c r="BA773" s="518">
        <f t="shared" ca="1" si="49"/>
        <v>61</v>
      </c>
      <c r="BB773" s="174">
        <f t="shared" ca="1" si="50"/>
        <v>710</v>
      </c>
      <c r="BC773" s="525" t="e">
        <f ca="1">MATCH(BD773,OFFSET(Pinlist!$A$2,BC772*(BA773=BA772),0,$BM$23,1),0)+BC772*(BA773=BA772)</f>
        <v>#N/A</v>
      </c>
      <c r="BD773" s="167">
        <f t="shared" ca="1" si="51"/>
        <v>0</v>
      </c>
      <c r="BE773" s="191" t="e">
        <f ca="1">(OFFSET(Pinlist!$E$1,BC773,0)-$BN$16)*$BN$19</f>
        <v>#N/A</v>
      </c>
      <c r="BF773" s="192" t="e">
        <f ca="1">(OFFSET(Pinlist!$F$1,BC773,0)-$BO$16)*$BO$19</f>
        <v>#N/A</v>
      </c>
      <c r="BG773" s="1098" t="str">
        <f ca="1">IF(LEFT(BD773,2)="RF",OFFSET(Pinlist!$D$1,Chart!BC773,0)&amp;"_"&amp;OFFSET(Pinlist!$G$1,Chart!BC773,0),"")</f>
        <v/>
      </c>
      <c r="BH773" s="1098"/>
      <c r="BI773" s="178"/>
      <c r="BJ773" s="178"/>
      <c r="BK773" s="178"/>
      <c r="BL773" s="178"/>
      <c r="BM773" s="178"/>
      <c r="BN773" s="178"/>
      <c r="BO773" s="178"/>
      <c r="BP773" s="178"/>
      <c r="BQ773" s="196"/>
      <c r="BR773" s="196"/>
      <c r="BS773" s="196"/>
      <c r="BT773" s="196"/>
      <c r="BU773" s="196"/>
      <c r="BV773" s="196"/>
      <c r="BW773" s="178"/>
      <c r="BX773" s="196"/>
      <c r="BY773" s="196"/>
      <c r="BZ773" s="196"/>
      <c r="CA773" s="196"/>
      <c r="CB773" s="178"/>
      <c r="CC773" s="178"/>
      <c r="CD773" s="202"/>
      <c r="CE773" s="202"/>
      <c r="CF773" s="178"/>
      <c r="CG773" s="196"/>
      <c r="CH773" s="178"/>
      <c r="CI773" s="178"/>
      <c r="CJ773" s="178"/>
      <c r="CK773" s="178"/>
      <c r="CL773" s="178"/>
      <c r="CM773" s="178"/>
      <c r="CN773" s="178"/>
      <c r="CO773" s="178"/>
      <c r="CP773" s="178"/>
      <c r="CQ773" s="178"/>
      <c r="CR773" s="178"/>
      <c r="CS773" s="178"/>
      <c r="CT773" s="178"/>
      <c r="CU773" s="178"/>
      <c r="CV773" s="178"/>
      <c r="CW773" s="178"/>
      <c r="CX773" s="178"/>
      <c r="CY773" s="178"/>
      <c r="CZ773" s="178"/>
      <c r="DA773" s="150"/>
    </row>
    <row r="774" spans="53:105" x14ac:dyDescent="0.2">
      <c r="BA774" s="518">
        <f t="shared" ca="1" si="49"/>
        <v>61</v>
      </c>
      <c r="BB774" s="174">
        <f t="shared" ca="1" si="50"/>
        <v>711</v>
      </c>
      <c r="BC774" s="525" t="e">
        <f ca="1">MATCH(BD774,OFFSET(Pinlist!$A$2,BC773*(BA774=BA773),0,$BM$23,1),0)+BC773*(BA774=BA773)</f>
        <v>#N/A</v>
      </c>
      <c r="BD774" s="167">
        <f t="shared" ca="1" si="51"/>
        <v>0</v>
      </c>
      <c r="BE774" s="191" t="e">
        <f ca="1">(OFFSET(Pinlist!$E$1,BC774,0)-$BN$16)*$BN$19</f>
        <v>#N/A</v>
      </c>
      <c r="BF774" s="192" t="e">
        <f ca="1">(OFFSET(Pinlist!$F$1,BC774,0)-$BO$16)*$BO$19</f>
        <v>#N/A</v>
      </c>
      <c r="BG774" s="1098" t="str">
        <f ca="1">IF(LEFT(BD774,2)="RF",OFFSET(Pinlist!$D$1,Chart!BC774,0)&amp;"_"&amp;OFFSET(Pinlist!$G$1,Chart!BC774,0),"")</f>
        <v/>
      </c>
      <c r="BH774" s="1098"/>
      <c r="BI774" s="178"/>
      <c r="BJ774" s="178"/>
      <c r="BK774" s="178"/>
      <c r="BL774" s="178"/>
      <c r="BM774" s="178"/>
      <c r="BN774" s="178"/>
      <c r="BO774" s="178"/>
      <c r="BP774" s="178"/>
      <c r="BQ774" s="196"/>
      <c r="BR774" s="196"/>
      <c r="BS774" s="196"/>
      <c r="BT774" s="196"/>
      <c r="BU774" s="196"/>
      <c r="BV774" s="196"/>
      <c r="BW774" s="178"/>
      <c r="BX774" s="196"/>
      <c r="BY774" s="196"/>
      <c r="BZ774" s="196"/>
      <c r="CA774" s="196"/>
      <c r="CB774" s="178"/>
      <c r="CC774" s="178"/>
      <c r="CD774" s="202"/>
      <c r="CE774" s="202"/>
      <c r="CF774" s="178"/>
      <c r="CG774" s="196"/>
      <c r="CH774" s="178"/>
      <c r="CI774" s="178"/>
      <c r="CJ774" s="178"/>
      <c r="CK774" s="178"/>
      <c r="CL774" s="178"/>
      <c r="CM774" s="178"/>
      <c r="CN774" s="178"/>
      <c r="CO774" s="178"/>
      <c r="CP774" s="178"/>
      <c r="CQ774" s="178"/>
      <c r="CR774" s="178"/>
      <c r="CS774" s="178"/>
      <c r="CT774" s="178"/>
      <c r="CU774" s="178"/>
      <c r="CV774" s="178"/>
      <c r="CW774" s="178"/>
      <c r="CX774" s="178"/>
      <c r="CY774" s="178"/>
      <c r="CZ774" s="178"/>
      <c r="DA774" s="150"/>
    </row>
    <row r="775" spans="53:105" x14ac:dyDescent="0.2">
      <c r="BA775" s="518">
        <f t="shared" ca="1" si="49"/>
        <v>61</v>
      </c>
      <c r="BB775" s="174">
        <f t="shared" ca="1" si="50"/>
        <v>712</v>
      </c>
      <c r="BC775" s="525" t="e">
        <f ca="1">MATCH(BD775,OFFSET(Pinlist!$A$2,BC774*(BA775=BA774),0,$BM$23,1),0)+BC774*(BA775=BA774)</f>
        <v>#N/A</v>
      </c>
      <c r="BD775" s="167">
        <f t="shared" ca="1" si="51"/>
        <v>0</v>
      </c>
      <c r="BE775" s="191" t="e">
        <f ca="1">(OFFSET(Pinlist!$E$1,BC775,0)-$BN$16)*$BN$19</f>
        <v>#N/A</v>
      </c>
      <c r="BF775" s="192" t="e">
        <f ca="1">(OFFSET(Pinlist!$F$1,BC775,0)-$BO$16)*$BO$19</f>
        <v>#N/A</v>
      </c>
      <c r="BG775" s="1098" t="str">
        <f ca="1">IF(LEFT(BD775,2)="RF",OFFSET(Pinlist!$D$1,Chart!BC775,0)&amp;"_"&amp;OFFSET(Pinlist!$G$1,Chart!BC775,0),"")</f>
        <v/>
      </c>
      <c r="BH775" s="1098"/>
      <c r="BI775" s="178"/>
      <c r="BJ775" s="178"/>
      <c r="BK775" s="178"/>
      <c r="BL775" s="178"/>
      <c r="BM775" s="178"/>
      <c r="BN775" s="178"/>
      <c r="BO775" s="178"/>
      <c r="BP775" s="178"/>
      <c r="BQ775" s="196"/>
      <c r="BR775" s="196"/>
      <c r="BS775" s="196"/>
      <c r="BT775" s="196"/>
      <c r="BU775" s="196"/>
      <c r="BV775" s="196"/>
      <c r="BW775" s="178"/>
      <c r="BX775" s="196"/>
      <c r="BY775" s="196"/>
      <c r="BZ775" s="196"/>
      <c r="CA775" s="196"/>
      <c r="CB775" s="178"/>
      <c r="CC775" s="178"/>
      <c r="CD775" s="202"/>
      <c r="CE775" s="202"/>
      <c r="CF775" s="178"/>
      <c r="CG775" s="196"/>
      <c r="CH775" s="178"/>
      <c r="CI775" s="178"/>
      <c r="CJ775" s="178"/>
      <c r="CK775" s="178"/>
      <c r="CL775" s="178"/>
      <c r="CM775" s="178"/>
      <c r="CN775" s="178"/>
      <c r="CO775" s="178"/>
      <c r="CP775" s="178"/>
      <c r="CQ775" s="178"/>
      <c r="CR775" s="178"/>
      <c r="CS775" s="178"/>
      <c r="CT775" s="178"/>
      <c r="CU775" s="178"/>
      <c r="CV775" s="178"/>
      <c r="CW775" s="178"/>
      <c r="CX775" s="178"/>
      <c r="CY775" s="178"/>
      <c r="CZ775" s="178"/>
      <c r="DA775" s="150"/>
    </row>
    <row r="776" spans="53:105" x14ac:dyDescent="0.2">
      <c r="BA776" s="518">
        <f t="shared" ca="1" si="49"/>
        <v>61</v>
      </c>
      <c r="BB776" s="174">
        <f t="shared" ca="1" si="50"/>
        <v>713</v>
      </c>
      <c r="BC776" s="525" t="e">
        <f ca="1">MATCH(BD776,OFFSET(Pinlist!$A$2,BC775*(BA776=BA775),0,$BM$23,1),0)+BC775*(BA776=BA775)</f>
        <v>#N/A</v>
      </c>
      <c r="BD776" s="167">
        <f t="shared" ca="1" si="51"/>
        <v>0</v>
      </c>
      <c r="BE776" s="191" t="e">
        <f ca="1">(OFFSET(Pinlist!$E$1,BC776,0)-$BN$16)*$BN$19</f>
        <v>#N/A</v>
      </c>
      <c r="BF776" s="192" t="e">
        <f ca="1">(OFFSET(Pinlist!$F$1,BC776,0)-$BO$16)*$BO$19</f>
        <v>#N/A</v>
      </c>
      <c r="BG776" s="1098" t="str">
        <f ca="1">IF(LEFT(BD776,2)="RF",OFFSET(Pinlist!$D$1,Chart!BC776,0)&amp;"_"&amp;OFFSET(Pinlist!$G$1,Chart!BC776,0),"")</f>
        <v/>
      </c>
      <c r="BH776" s="1098"/>
      <c r="BI776" s="178"/>
      <c r="BJ776" s="178"/>
      <c r="BK776" s="178"/>
      <c r="BL776" s="178"/>
      <c r="BM776" s="178"/>
      <c r="BN776" s="178"/>
      <c r="BO776" s="178"/>
      <c r="BP776" s="178"/>
      <c r="BQ776" s="196"/>
      <c r="BR776" s="196"/>
      <c r="BS776" s="196"/>
      <c r="BT776" s="196"/>
      <c r="BU776" s="196"/>
      <c r="BV776" s="196"/>
      <c r="BW776" s="178"/>
      <c r="BX776" s="196"/>
      <c r="BY776" s="196"/>
      <c r="BZ776" s="196"/>
      <c r="CA776" s="196"/>
      <c r="CB776" s="178"/>
      <c r="CC776" s="178"/>
      <c r="CD776" s="202"/>
      <c r="CE776" s="202"/>
      <c r="CF776" s="178"/>
      <c r="CG776" s="196"/>
      <c r="CH776" s="178"/>
      <c r="CI776" s="178"/>
      <c r="CJ776" s="178"/>
      <c r="CK776" s="178"/>
      <c r="CL776" s="178"/>
      <c r="CM776" s="178"/>
      <c r="CN776" s="178"/>
      <c r="CO776" s="178"/>
      <c r="CP776" s="178"/>
      <c r="CQ776" s="178"/>
      <c r="CR776" s="178"/>
      <c r="CS776" s="178"/>
      <c r="CT776" s="178"/>
      <c r="CU776" s="178"/>
      <c r="CV776" s="178"/>
      <c r="CW776" s="178"/>
      <c r="CX776" s="178"/>
      <c r="CY776" s="178"/>
      <c r="CZ776" s="178"/>
      <c r="DA776" s="150"/>
    </row>
    <row r="777" spans="53:105" x14ac:dyDescent="0.2">
      <c r="BA777" s="518">
        <f t="shared" ca="1" si="49"/>
        <v>61</v>
      </c>
      <c r="BB777" s="174">
        <f t="shared" ca="1" si="50"/>
        <v>714</v>
      </c>
      <c r="BC777" s="525" t="e">
        <f ca="1">MATCH(BD777,OFFSET(Pinlist!$A$2,BC776*(BA777=BA776),0,$BM$23,1),0)+BC776*(BA777=BA776)</f>
        <v>#N/A</v>
      </c>
      <c r="BD777" s="167">
        <f t="shared" ca="1" si="51"/>
        <v>0</v>
      </c>
      <c r="BE777" s="191" t="e">
        <f ca="1">(OFFSET(Pinlist!$E$1,BC777,0)-$BN$16)*$BN$19</f>
        <v>#N/A</v>
      </c>
      <c r="BF777" s="192" t="e">
        <f ca="1">(OFFSET(Pinlist!$F$1,BC777,0)-$BO$16)*$BO$19</f>
        <v>#N/A</v>
      </c>
      <c r="BG777" s="1098" t="str">
        <f ca="1">IF(LEFT(BD777,2)="RF",OFFSET(Pinlist!$D$1,Chart!BC777,0)&amp;"_"&amp;OFFSET(Pinlist!$G$1,Chart!BC777,0),"")</f>
        <v/>
      </c>
      <c r="BH777" s="1098"/>
      <c r="BI777" s="178"/>
      <c r="BJ777" s="178"/>
      <c r="BK777" s="178"/>
      <c r="BL777" s="178"/>
      <c r="BM777" s="178"/>
      <c r="BN777" s="178"/>
      <c r="BO777" s="178"/>
      <c r="BP777" s="178"/>
      <c r="BQ777" s="196"/>
      <c r="BR777" s="196"/>
      <c r="BS777" s="196"/>
      <c r="BT777" s="196"/>
      <c r="BU777" s="196"/>
      <c r="BV777" s="196"/>
      <c r="BW777" s="178"/>
      <c r="BX777" s="196"/>
      <c r="BY777" s="196"/>
      <c r="BZ777" s="196"/>
      <c r="CA777" s="196"/>
      <c r="CB777" s="178"/>
      <c r="CC777" s="178"/>
      <c r="CD777" s="202"/>
      <c r="CE777" s="202"/>
      <c r="CF777" s="178"/>
      <c r="CG777" s="196"/>
      <c r="CH777" s="178"/>
      <c r="CI777" s="178"/>
      <c r="CJ777" s="178"/>
      <c r="CK777" s="178"/>
      <c r="CL777" s="178"/>
      <c r="CM777" s="178"/>
      <c r="CN777" s="178"/>
      <c r="CO777" s="178"/>
      <c r="CP777" s="178"/>
      <c r="CQ777" s="178"/>
      <c r="CR777" s="178"/>
      <c r="CS777" s="178"/>
      <c r="CT777" s="178"/>
      <c r="CU777" s="178"/>
      <c r="CV777" s="178"/>
      <c r="CW777" s="178"/>
      <c r="CX777" s="178"/>
      <c r="CY777" s="178"/>
      <c r="CZ777" s="178"/>
      <c r="DA777" s="150"/>
    </row>
    <row r="778" spans="53:105" x14ac:dyDescent="0.2">
      <c r="BA778" s="518">
        <f t="shared" ca="1" si="49"/>
        <v>61</v>
      </c>
      <c r="BB778" s="174">
        <f t="shared" ca="1" si="50"/>
        <v>715</v>
      </c>
      <c r="BC778" s="525" t="e">
        <f ca="1">MATCH(BD778,OFFSET(Pinlist!$A$2,BC777*(BA778=BA777),0,$BM$23,1),0)+BC777*(BA778=BA777)</f>
        <v>#N/A</v>
      </c>
      <c r="BD778" s="167">
        <f t="shared" ca="1" si="51"/>
        <v>0</v>
      </c>
      <c r="BE778" s="191" t="e">
        <f ca="1">(OFFSET(Pinlist!$E$1,BC778,0)-$BN$16)*$BN$19</f>
        <v>#N/A</v>
      </c>
      <c r="BF778" s="192" t="e">
        <f ca="1">(OFFSET(Pinlist!$F$1,BC778,0)-$BO$16)*$BO$19</f>
        <v>#N/A</v>
      </c>
      <c r="BG778" s="1098" t="str">
        <f ca="1">IF(LEFT(BD778,2)="RF",OFFSET(Pinlist!$D$1,Chart!BC778,0)&amp;"_"&amp;OFFSET(Pinlist!$G$1,Chart!BC778,0),"")</f>
        <v/>
      </c>
      <c r="BH778" s="1098"/>
      <c r="BI778" s="178"/>
      <c r="BJ778" s="178"/>
      <c r="BK778" s="178"/>
      <c r="BL778" s="178"/>
      <c r="BM778" s="178"/>
      <c r="BN778" s="178"/>
      <c r="BO778" s="178"/>
      <c r="BP778" s="178"/>
      <c r="BQ778" s="196"/>
      <c r="BR778" s="196"/>
      <c r="BS778" s="196"/>
      <c r="BT778" s="196"/>
      <c r="BU778" s="196"/>
      <c r="BV778" s="196"/>
      <c r="BW778" s="178"/>
      <c r="BX778" s="196"/>
      <c r="BY778" s="196"/>
      <c r="BZ778" s="196"/>
      <c r="CA778" s="196"/>
      <c r="CB778" s="178"/>
      <c r="CC778" s="178"/>
      <c r="CD778" s="202"/>
      <c r="CE778" s="202"/>
      <c r="CF778" s="178"/>
      <c r="CG778" s="196"/>
      <c r="CH778" s="178"/>
      <c r="CI778" s="178"/>
      <c r="CJ778" s="178"/>
      <c r="CK778" s="178"/>
      <c r="CL778" s="178"/>
      <c r="CM778" s="178"/>
      <c r="CN778" s="178"/>
      <c r="CO778" s="178"/>
      <c r="CP778" s="178"/>
      <c r="CQ778" s="178"/>
      <c r="CR778" s="178"/>
      <c r="CS778" s="178"/>
      <c r="CT778" s="178"/>
      <c r="CU778" s="178"/>
      <c r="CV778" s="178"/>
      <c r="CW778" s="178"/>
      <c r="CX778" s="178"/>
      <c r="CY778" s="178"/>
      <c r="CZ778" s="178"/>
      <c r="DA778" s="150"/>
    </row>
    <row r="779" spans="53:105" x14ac:dyDescent="0.2">
      <c r="BA779" s="518">
        <f t="shared" ca="1" si="49"/>
        <v>61</v>
      </c>
      <c r="BB779" s="174">
        <f t="shared" ca="1" si="50"/>
        <v>716</v>
      </c>
      <c r="BC779" s="525" t="e">
        <f ca="1">MATCH(BD779,OFFSET(Pinlist!$A$2,BC778*(BA779=BA778),0,$BM$23,1),0)+BC778*(BA779=BA778)</f>
        <v>#N/A</v>
      </c>
      <c r="BD779" s="167">
        <f t="shared" ca="1" si="51"/>
        <v>0</v>
      </c>
      <c r="BE779" s="191" t="e">
        <f ca="1">(OFFSET(Pinlist!$E$1,BC779,0)-$BN$16)*$BN$19</f>
        <v>#N/A</v>
      </c>
      <c r="BF779" s="192" t="e">
        <f ca="1">(OFFSET(Pinlist!$F$1,BC779,0)-$BO$16)*$BO$19</f>
        <v>#N/A</v>
      </c>
      <c r="BG779" s="1098" t="str">
        <f ca="1">IF(LEFT(BD779,2)="RF",OFFSET(Pinlist!$D$1,Chart!BC779,0)&amp;"_"&amp;OFFSET(Pinlist!$G$1,Chart!BC779,0),"")</f>
        <v/>
      </c>
      <c r="BH779" s="1098"/>
      <c r="BI779" s="178"/>
      <c r="BJ779" s="178"/>
      <c r="BK779" s="178"/>
      <c r="BL779" s="178"/>
      <c r="BM779" s="178"/>
      <c r="BN779" s="178"/>
      <c r="BO779" s="178"/>
      <c r="BP779" s="178"/>
      <c r="BQ779" s="196"/>
      <c r="BR779" s="196"/>
      <c r="BS779" s="196"/>
      <c r="BT779" s="196"/>
      <c r="BU779" s="196"/>
      <c r="BV779" s="196"/>
      <c r="BW779" s="178"/>
      <c r="BX779" s="196"/>
      <c r="BY779" s="196"/>
      <c r="BZ779" s="196"/>
      <c r="CA779" s="196"/>
      <c r="CB779" s="178"/>
      <c r="CC779" s="178"/>
      <c r="CD779" s="202"/>
      <c r="CE779" s="202"/>
      <c r="CF779" s="178"/>
      <c r="CG779" s="196"/>
      <c r="CH779" s="178"/>
      <c r="CI779" s="178"/>
      <c r="CJ779" s="178"/>
      <c r="CK779" s="178"/>
      <c r="CL779" s="178"/>
      <c r="CM779" s="178"/>
      <c r="CN779" s="178"/>
      <c r="CO779" s="178"/>
      <c r="CP779" s="178"/>
      <c r="CQ779" s="178"/>
      <c r="CR779" s="178"/>
      <c r="CS779" s="178"/>
      <c r="CT779" s="178"/>
      <c r="CU779" s="178"/>
      <c r="CV779" s="178"/>
      <c r="CW779" s="178"/>
      <c r="CX779" s="178"/>
      <c r="CY779" s="178"/>
      <c r="CZ779" s="178"/>
      <c r="DA779" s="150"/>
    </row>
    <row r="780" spans="53:105" x14ac:dyDescent="0.2">
      <c r="BA780" s="518">
        <f t="shared" ca="1" si="49"/>
        <v>61</v>
      </c>
      <c r="BB780" s="174">
        <f t="shared" ca="1" si="50"/>
        <v>717</v>
      </c>
      <c r="BC780" s="525" t="e">
        <f ca="1">MATCH(BD780,OFFSET(Pinlist!$A$2,BC779*(BA780=BA779),0,$BM$23,1),0)+BC779*(BA780=BA779)</f>
        <v>#N/A</v>
      </c>
      <c r="BD780" s="167">
        <f t="shared" ca="1" si="51"/>
        <v>0</v>
      </c>
      <c r="BE780" s="191" t="e">
        <f ca="1">(OFFSET(Pinlist!$E$1,BC780,0)-$BN$16)*$BN$19</f>
        <v>#N/A</v>
      </c>
      <c r="BF780" s="192" t="e">
        <f ca="1">(OFFSET(Pinlist!$F$1,BC780,0)-$BO$16)*$BO$19</f>
        <v>#N/A</v>
      </c>
      <c r="BG780" s="1098" t="str">
        <f ca="1">IF(LEFT(BD780,2)="RF",OFFSET(Pinlist!$D$1,Chart!BC780,0)&amp;"_"&amp;OFFSET(Pinlist!$G$1,Chart!BC780,0),"")</f>
        <v/>
      </c>
      <c r="BH780" s="1098"/>
      <c r="BI780" s="178"/>
      <c r="BJ780" s="178"/>
      <c r="BK780" s="178"/>
      <c r="BL780" s="178"/>
      <c r="BM780" s="178"/>
      <c r="BN780" s="178"/>
      <c r="BO780" s="178"/>
      <c r="BP780" s="178"/>
      <c r="BQ780" s="196"/>
      <c r="BR780" s="196"/>
      <c r="BS780" s="196"/>
      <c r="BT780" s="196"/>
      <c r="BU780" s="196"/>
      <c r="BV780" s="196"/>
      <c r="BW780" s="178"/>
      <c r="BX780" s="196"/>
      <c r="BY780" s="196"/>
      <c r="BZ780" s="196"/>
      <c r="CA780" s="196"/>
      <c r="CB780" s="178"/>
      <c r="CC780" s="178"/>
      <c r="CD780" s="202"/>
      <c r="CE780" s="202"/>
      <c r="CF780" s="178"/>
      <c r="CG780" s="196"/>
      <c r="CH780" s="178"/>
      <c r="CI780" s="178"/>
      <c r="CJ780" s="178"/>
      <c r="CK780" s="178"/>
      <c r="CL780" s="178"/>
      <c r="CM780" s="178"/>
      <c r="CN780" s="178"/>
      <c r="CO780" s="178"/>
      <c r="CP780" s="178"/>
      <c r="CQ780" s="178"/>
      <c r="CR780" s="178"/>
      <c r="CS780" s="178"/>
      <c r="CT780" s="178"/>
      <c r="CU780" s="178"/>
      <c r="CV780" s="178"/>
      <c r="CW780" s="178"/>
      <c r="CX780" s="178"/>
      <c r="CY780" s="178"/>
      <c r="CZ780" s="178"/>
      <c r="DA780" s="150"/>
    </row>
    <row r="781" spans="53:105" x14ac:dyDescent="0.2">
      <c r="BA781" s="518">
        <f t="shared" ca="1" si="49"/>
        <v>61</v>
      </c>
      <c r="BB781" s="174">
        <f t="shared" ca="1" si="50"/>
        <v>718</v>
      </c>
      <c r="BC781" s="525" t="e">
        <f ca="1">MATCH(BD781,OFFSET(Pinlist!$A$2,BC780*(BA781=BA780),0,$BM$23,1),0)+BC780*(BA781=BA780)</f>
        <v>#N/A</v>
      </c>
      <c r="BD781" s="167">
        <f t="shared" ca="1" si="51"/>
        <v>0</v>
      </c>
      <c r="BE781" s="191" t="e">
        <f ca="1">(OFFSET(Pinlist!$E$1,BC781,0)-$BN$16)*$BN$19</f>
        <v>#N/A</v>
      </c>
      <c r="BF781" s="192" t="e">
        <f ca="1">(OFFSET(Pinlist!$F$1,BC781,0)-$BO$16)*$BO$19</f>
        <v>#N/A</v>
      </c>
      <c r="BG781" s="1098" t="str">
        <f ca="1">IF(LEFT(BD781,2)="RF",OFFSET(Pinlist!$D$1,Chart!BC781,0)&amp;"_"&amp;OFFSET(Pinlist!$G$1,Chart!BC781,0),"")</f>
        <v/>
      </c>
      <c r="BH781" s="1098"/>
      <c r="BI781" s="178"/>
      <c r="BJ781" s="178"/>
      <c r="BK781" s="178"/>
      <c r="BL781" s="178"/>
      <c r="BM781" s="178"/>
      <c r="BN781" s="178"/>
      <c r="BO781" s="178"/>
      <c r="BP781" s="178"/>
      <c r="BQ781" s="196"/>
      <c r="BR781" s="196"/>
      <c r="BS781" s="196"/>
      <c r="BT781" s="196"/>
      <c r="BU781" s="196"/>
      <c r="BV781" s="196"/>
      <c r="BW781" s="178"/>
      <c r="BX781" s="196"/>
      <c r="BY781" s="196"/>
      <c r="BZ781" s="196"/>
      <c r="CA781" s="196"/>
      <c r="CB781" s="178"/>
      <c r="CC781" s="178"/>
      <c r="CD781" s="202"/>
      <c r="CE781" s="202"/>
      <c r="CF781" s="178"/>
      <c r="CG781" s="196"/>
      <c r="CH781" s="178"/>
      <c r="CI781" s="178"/>
      <c r="CJ781" s="178"/>
      <c r="CK781" s="178"/>
      <c r="CL781" s="178"/>
      <c r="CM781" s="178"/>
      <c r="CN781" s="178"/>
      <c r="CO781" s="178"/>
      <c r="CP781" s="178"/>
      <c r="CQ781" s="178"/>
      <c r="CR781" s="178"/>
      <c r="CS781" s="178"/>
      <c r="CT781" s="178"/>
      <c r="CU781" s="178"/>
      <c r="CV781" s="178"/>
      <c r="CW781" s="178"/>
      <c r="CX781" s="178"/>
      <c r="CY781" s="178"/>
      <c r="CZ781" s="178"/>
      <c r="DA781" s="150"/>
    </row>
    <row r="782" spans="53:105" x14ac:dyDescent="0.2">
      <c r="BA782" s="518">
        <f t="shared" ca="1" si="49"/>
        <v>61</v>
      </c>
      <c r="BB782" s="174">
        <f t="shared" ca="1" si="50"/>
        <v>719</v>
      </c>
      <c r="BC782" s="525" t="e">
        <f ca="1">MATCH(BD782,OFFSET(Pinlist!$A$2,BC781*(BA782=BA781),0,$BM$23,1),0)+BC781*(BA782=BA781)</f>
        <v>#N/A</v>
      </c>
      <c r="BD782" s="167">
        <f t="shared" ca="1" si="51"/>
        <v>0</v>
      </c>
      <c r="BE782" s="191" t="e">
        <f ca="1">(OFFSET(Pinlist!$E$1,BC782,0)-$BN$16)*$BN$19</f>
        <v>#N/A</v>
      </c>
      <c r="BF782" s="192" t="e">
        <f ca="1">(OFFSET(Pinlist!$F$1,BC782,0)-$BO$16)*$BO$19</f>
        <v>#N/A</v>
      </c>
      <c r="BG782" s="1098" t="str">
        <f ca="1">IF(LEFT(BD782,2)="RF",OFFSET(Pinlist!$D$1,Chart!BC782,0)&amp;"_"&amp;OFFSET(Pinlist!$G$1,Chart!BC782,0),"")</f>
        <v/>
      </c>
      <c r="BH782" s="1098"/>
      <c r="BI782" s="178"/>
      <c r="BJ782" s="178"/>
      <c r="BK782" s="178"/>
      <c r="BL782" s="178"/>
      <c r="BM782" s="178"/>
      <c r="BN782" s="178"/>
      <c r="BO782" s="178"/>
      <c r="BP782" s="178"/>
      <c r="BQ782" s="196"/>
      <c r="BR782" s="196"/>
      <c r="BS782" s="196"/>
      <c r="BT782" s="196"/>
      <c r="BU782" s="196"/>
      <c r="BV782" s="196"/>
      <c r="BW782" s="178"/>
      <c r="BX782" s="196"/>
      <c r="BY782" s="196"/>
      <c r="BZ782" s="196"/>
      <c r="CA782" s="196"/>
      <c r="CB782" s="178"/>
      <c r="CC782" s="178"/>
      <c r="CD782" s="202"/>
      <c r="CE782" s="202"/>
      <c r="CF782" s="178"/>
      <c r="CG782" s="196"/>
      <c r="CH782" s="178"/>
      <c r="CI782" s="178"/>
      <c r="CJ782" s="178"/>
      <c r="CK782" s="178"/>
      <c r="CL782" s="178"/>
      <c r="CM782" s="178"/>
      <c r="CN782" s="178"/>
      <c r="CO782" s="178"/>
      <c r="CP782" s="178"/>
      <c r="CQ782" s="178"/>
      <c r="CR782" s="178"/>
      <c r="CS782" s="178"/>
      <c r="CT782" s="178"/>
      <c r="CU782" s="178"/>
      <c r="CV782" s="178"/>
      <c r="CW782" s="178"/>
      <c r="CX782" s="178"/>
      <c r="CY782" s="178"/>
      <c r="CZ782" s="178"/>
      <c r="DA782" s="150"/>
    </row>
    <row r="783" spans="53:105" x14ac:dyDescent="0.2">
      <c r="BA783" s="518">
        <f t="shared" ca="1" si="49"/>
        <v>61</v>
      </c>
      <c r="BB783" s="174">
        <f t="shared" ca="1" si="50"/>
        <v>720</v>
      </c>
      <c r="BC783" s="525" t="e">
        <f ca="1">MATCH(BD783,OFFSET(Pinlist!$A$2,BC782*(BA783=BA782),0,$BM$23,1),0)+BC782*(BA783=BA782)</f>
        <v>#N/A</v>
      </c>
      <c r="BD783" s="167">
        <f t="shared" ca="1" si="51"/>
        <v>0</v>
      </c>
      <c r="BE783" s="191" t="e">
        <f ca="1">(OFFSET(Pinlist!$E$1,BC783,0)-$BN$16)*$BN$19</f>
        <v>#N/A</v>
      </c>
      <c r="BF783" s="192" t="e">
        <f ca="1">(OFFSET(Pinlist!$F$1,BC783,0)-$BO$16)*$BO$19</f>
        <v>#N/A</v>
      </c>
      <c r="BG783" s="1098" t="str">
        <f ca="1">IF(LEFT(BD783,2)="RF",OFFSET(Pinlist!$D$1,Chart!BC783,0)&amp;"_"&amp;OFFSET(Pinlist!$G$1,Chart!BC783,0),"")</f>
        <v/>
      </c>
      <c r="BH783" s="1098"/>
      <c r="BI783" s="178"/>
      <c r="BJ783" s="178"/>
      <c r="BK783" s="178"/>
      <c r="BL783" s="178"/>
      <c r="BM783" s="178"/>
      <c r="BN783" s="178"/>
      <c r="BO783" s="178"/>
      <c r="BP783" s="178"/>
      <c r="BQ783" s="196"/>
      <c r="BR783" s="196"/>
      <c r="BS783" s="196"/>
      <c r="BT783" s="196"/>
      <c r="BU783" s="196"/>
      <c r="BV783" s="196"/>
      <c r="BW783" s="178"/>
      <c r="BX783" s="196"/>
      <c r="BY783" s="196"/>
      <c r="BZ783" s="196"/>
      <c r="CA783" s="196"/>
      <c r="CB783" s="178"/>
      <c r="CC783" s="178"/>
      <c r="CD783" s="202"/>
      <c r="CE783" s="202"/>
      <c r="CF783" s="178"/>
      <c r="CG783" s="196"/>
      <c r="CH783" s="178"/>
      <c r="CI783" s="178"/>
      <c r="CJ783" s="178"/>
      <c r="CK783" s="178"/>
      <c r="CL783" s="178"/>
      <c r="CM783" s="178"/>
      <c r="CN783" s="178"/>
      <c r="CO783" s="178"/>
      <c r="CP783" s="178"/>
      <c r="CQ783" s="178"/>
      <c r="CR783" s="178"/>
      <c r="CS783" s="178"/>
      <c r="CT783" s="178"/>
      <c r="CU783" s="178"/>
      <c r="CV783" s="178"/>
      <c r="CW783" s="178"/>
      <c r="CX783" s="178"/>
      <c r="CY783" s="178"/>
      <c r="CZ783" s="178"/>
      <c r="DA783" s="150"/>
    </row>
    <row r="784" spans="53:105" x14ac:dyDescent="0.2">
      <c r="BA784" s="518">
        <f t="shared" ca="1" si="49"/>
        <v>61</v>
      </c>
      <c r="BB784" s="174">
        <f t="shared" ca="1" si="50"/>
        <v>721</v>
      </c>
      <c r="BC784" s="525" t="e">
        <f ca="1">MATCH(BD784,OFFSET(Pinlist!$A$2,BC783*(BA784=BA783),0,$BM$23,1),0)+BC783*(BA784=BA783)</f>
        <v>#N/A</v>
      </c>
      <c r="BD784" s="167">
        <f t="shared" ca="1" si="51"/>
        <v>0</v>
      </c>
      <c r="BE784" s="191" t="e">
        <f ca="1">(OFFSET(Pinlist!$E$1,BC784,0)-$BN$16)*$BN$19</f>
        <v>#N/A</v>
      </c>
      <c r="BF784" s="192" t="e">
        <f ca="1">(OFFSET(Pinlist!$F$1,BC784,0)-$BO$16)*$BO$19</f>
        <v>#N/A</v>
      </c>
      <c r="BG784" s="1098" t="str">
        <f ca="1">IF(LEFT(BD784,2)="RF",OFFSET(Pinlist!$D$1,Chart!BC784,0)&amp;"_"&amp;OFFSET(Pinlist!$G$1,Chart!BC784,0),"")</f>
        <v/>
      </c>
      <c r="BH784" s="1098"/>
      <c r="BI784" s="178"/>
      <c r="BJ784" s="178"/>
      <c r="BK784" s="178"/>
      <c r="BL784" s="178"/>
      <c r="BM784" s="178"/>
      <c r="BN784" s="178"/>
      <c r="BO784" s="178"/>
      <c r="BP784" s="178"/>
      <c r="BQ784" s="196"/>
      <c r="BR784" s="196"/>
      <c r="BS784" s="196"/>
      <c r="BT784" s="196"/>
      <c r="BU784" s="196"/>
      <c r="BV784" s="196"/>
      <c r="BW784" s="178"/>
      <c r="BX784" s="196"/>
      <c r="BY784" s="196"/>
      <c r="BZ784" s="196"/>
      <c r="CA784" s="196"/>
      <c r="CB784" s="178"/>
      <c r="CC784" s="178"/>
      <c r="CD784" s="202"/>
      <c r="CE784" s="202"/>
      <c r="CF784" s="178"/>
      <c r="CG784" s="196"/>
      <c r="CH784" s="178"/>
      <c r="CI784" s="178"/>
      <c r="CJ784" s="178"/>
      <c r="CK784" s="178"/>
      <c r="CL784" s="178"/>
      <c r="CM784" s="178"/>
      <c r="CN784" s="178"/>
      <c r="CO784" s="178"/>
      <c r="CP784" s="178"/>
      <c r="CQ784" s="178"/>
      <c r="CR784" s="178"/>
      <c r="CS784" s="178"/>
      <c r="CT784" s="178"/>
      <c r="CU784" s="178"/>
      <c r="CV784" s="178"/>
      <c r="CW784" s="178"/>
      <c r="CX784" s="178"/>
      <c r="CY784" s="178"/>
      <c r="CZ784" s="178"/>
      <c r="DA784" s="150"/>
    </row>
    <row r="785" spans="53:105" x14ac:dyDescent="0.2">
      <c r="BA785" s="518">
        <f t="shared" ca="1" si="49"/>
        <v>61</v>
      </c>
      <c r="BB785" s="174">
        <f t="shared" ca="1" si="50"/>
        <v>722</v>
      </c>
      <c r="BC785" s="525" t="e">
        <f ca="1">MATCH(BD785,OFFSET(Pinlist!$A$2,BC784*(BA785=BA784),0,$BM$23,1),0)+BC784*(BA785=BA784)</f>
        <v>#N/A</v>
      </c>
      <c r="BD785" s="167">
        <f t="shared" ca="1" si="51"/>
        <v>0</v>
      </c>
      <c r="BE785" s="191" t="e">
        <f ca="1">(OFFSET(Pinlist!$E$1,BC785,0)-$BN$16)*$BN$19</f>
        <v>#N/A</v>
      </c>
      <c r="BF785" s="192" t="e">
        <f ca="1">(OFFSET(Pinlist!$F$1,BC785,0)-$BO$16)*$BO$19</f>
        <v>#N/A</v>
      </c>
      <c r="BG785" s="1098" t="str">
        <f ca="1">IF(LEFT(BD785,2)="RF",OFFSET(Pinlist!$D$1,Chart!BC785,0)&amp;"_"&amp;OFFSET(Pinlist!$G$1,Chart!BC785,0),"")</f>
        <v/>
      </c>
      <c r="BH785" s="1098"/>
      <c r="BI785" s="178"/>
      <c r="BJ785" s="178"/>
      <c r="BK785" s="178"/>
      <c r="BL785" s="178"/>
      <c r="BM785" s="178"/>
      <c r="BN785" s="178"/>
      <c r="BO785" s="178"/>
      <c r="BP785" s="178"/>
      <c r="BQ785" s="196"/>
      <c r="BR785" s="196"/>
      <c r="BS785" s="196"/>
      <c r="BT785" s="196"/>
      <c r="BU785" s="196"/>
      <c r="BV785" s="196"/>
      <c r="BW785" s="178"/>
      <c r="BX785" s="196"/>
      <c r="BY785" s="196"/>
      <c r="BZ785" s="196"/>
      <c r="CA785" s="196"/>
      <c r="CB785" s="178"/>
      <c r="CC785" s="178"/>
      <c r="CD785" s="202"/>
      <c r="CE785" s="202"/>
      <c r="CF785" s="178"/>
      <c r="CG785" s="196"/>
      <c r="CH785" s="178"/>
      <c r="CI785" s="178"/>
      <c r="CJ785" s="178"/>
      <c r="CK785" s="178"/>
      <c r="CL785" s="178"/>
      <c r="CM785" s="178"/>
      <c r="CN785" s="178"/>
      <c r="CO785" s="178"/>
      <c r="CP785" s="178"/>
      <c r="CQ785" s="178"/>
      <c r="CR785" s="178"/>
      <c r="CS785" s="178"/>
      <c r="CT785" s="178"/>
      <c r="CU785" s="178"/>
      <c r="CV785" s="178"/>
      <c r="CW785" s="178"/>
      <c r="CX785" s="178"/>
      <c r="CY785" s="178"/>
      <c r="CZ785" s="178"/>
      <c r="DA785" s="150"/>
    </row>
    <row r="786" spans="53:105" x14ac:dyDescent="0.2">
      <c r="BA786" s="518">
        <f t="shared" ca="1" si="49"/>
        <v>61</v>
      </c>
      <c r="BB786" s="174">
        <f t="shared" ca="1" si="50"/>
        <v>723</v>
      </c>
      <c r="BC786" s="525" t="e">
        <f ca="1">MATCH(BD786,OFFSET(Pinlist!$A$2,BC785*(BA786=BA785),0,$BM$23,1),0)+BC785*(BA786=BA785)</f>
        <v>#N/A</v>
      </c>
      <c r="BD786" s="167">
        <f t="shared" ca="1" si="51"/>
        <v>0</v>
      </c>
      <c r="BE786" s="191" t="e">
        <f ca="1">(OFFSET(Pinlist!$E$1,BC786,0)-$BN$16)*$BN$19</f>
        <v>#N/A</v>
      </c>
      <c r="BF786" s="192" t="e">
        <f ca="1">(OFFSET(Pinlist!$F$1,BC786,0)-$BO$16)*$BO$19</f>
        <v>#N/A</v>
      </c>
      <c r="BG786" s="1098" t="str">
        <f ca="1">IF(LEFT(BD786,2)="RF",OFFSET(Pinlist!$D$1,Chart!BC786,0)&amp;"_"&amp;OFFSET(Pinlist!$G$1,Chart!BC786,0),"")</f>
        <v/>
      </c>
      <c r="BH786" s="1098"/>
      <c r="BI786" s="178"/>
      <c r="BJ786" s="178"/>
      <c r="BK786" s="178"/>
      <c r="BL786" s="178"/>
      <c r="BM786" s="178"/>
      <c r="BN786" s="178"/>
      <c r="BO786" s="178"/>
      <c r="BP786" s="178"/>
      <c r="BQ786" s="196"/>
      <c r="BR786" s="196"/>
      <c r="BS786" s="196"/>
      <c r="BT786" s="196"/>
      <c r="BU786" s="196"/>
      <c r="BV786" s="196"/>
      <c r="BW786" s="178"/>
      <c r="BX786" s="196"/>
      <c r="BY786" s="196"/>
      <c r="BZ786" s="196"/>
      <c r="CA786" s="196"/>
      <c r="CB786" s="178"/>
      <c r="CC786" s="178"/>
      <c r="CD786" s="202"/>
      <c r="CE786" s="202"/>
      <c r="CF786" s="178"/>
      <c r="CG786" s="196"/>
      <c r="CH786" s="178"/>
      <c r="CI786" s="178"/>
      <c r="CJ786" s="178"/>
      <c r="CK786" s="178"/>
      <c r="CL786" s="178"/>
      <c r="CM786" s="178"/>
      <c r="CN786" s="178"/>
      <c r="CO786" s="178"/>
      <c r="CP786" s="178"/>
      <c r="CQ786" s="178"/>
      <c r="CR786" s="178"/>
      <c r="CS786" s="178"/>
      <c r="CT786" s="178"/>
      <c r="CU786" s="178"/>
      <c r="CV786" s="178"/>
      <c r="CW786" s="178"/>
      <c r="CX786" s="178"/>
      <c r="CY786" s="178"/>
      <c r="CZ786" s="178"/>
      <c r="DA786" s="150"/>
    </row>
    <row r="787" spans="53:105" x14ac:dyDescent="0.2">
      <c r="BA787" s="518">
        <f t="shared" ca="1" si="49"/>
        <v>61</v>
      </c>
      <c r="BB787" s="174">
        <f t="shared" ca="1" si="50"/>
        <v>724</v>
      </c>
      <c r="BC787" s="525" t="e">
        <f ca="1">MATCH(BD787,OFFSET(Pinlist!$A$2,BC786*(BA787=BA786),0,$BM$23,1),0)+BC786*(BA787=BA786)</f>
        <v>#N/A</v>
      </c>
      <c r="BD787" s="167">
        <f t="shared" ca="1" si="51"/>
        <v>0</v>
      </c>
      <c r="BE787" s="191" t="e">
        <f ca="1">(OFFSET(Pinlist!$E$1,BC787,0)-$BN$16)*$BN$19</f>
        <v>#N/A</v>
      </c>
      <c r="BF787" s="192" t="e">
        <f ca="1">(OFFSET(Pinlist!$F$1,BC787,0)-$BO$16)*$BO$19</f>
        <v>#N/A</v>
      </c>
      <c r="BG787" s="1098" t="str">
        <f ca="1">IF(LEFT(BD787,2)="RF",OFFSET(Pinlist!$D$1,Chart!BC787,0)&amp;"_"&amp;OFFSET(Pinlist!$G$1,Chart!BC787,0),"")</f>
        <v/>
      </c>
      <c r="BH787" s="1098"/>
      <c r="BI787" s="178"/>
      <c r="BJ787" s="178"/>
      <c r="BK787" s="178"/>
      <c r="BL787" s="178"/>
      <c r="BM787" s="178"/>
      <c r="BN787" s="178"/>
      <c r="BO787" s="178"/>
      <c r="BP787" s="178"/>
      <c r="BQ787" s="196"/>
      <c r="BR787" s="196"/>
      <c r="BS787" s="196"/>
      <c r="BT787" s="196"/>
      <c r="BU787" s="196"/>
      <c r="BV787" s="196"/>
      <c r="BW787" s="178"/>
      <c r="BX787" s="196"/>
      <c r="BY787" s="196"/>
      <c r="BZ787" s="196"/>
      <c r="CA787" s="196"/>
      <c r="CB787" s="178"/>
      <c r="CC787" s="178"/>
      <c r="CD787" s="202"/>
      <c r="CE787" s="202"/>
      <c r="CF787" s="178"/>
      <c r="CG787" s="196"/>
      <c r="CH787" s="178"/>
      <c r="CI787" s="178"/>
      <c r="CJ787" s="178"/>
      <c r="CK787" s="178"/>
      <c r="CL787" s="178"/>
      <c r="CM787" s="178"/>
      <c r="CN787" s="178"/>
      <c r="CO787" s="178"/>
      <c r="CP787" s="178"/>
      <c r="CQ787" s="178"/>
      <c r="CR787" s="178"/>
      <c r="CS787" s="178"/>
      <c r="CT787" s="178"/>
      <c r="CU787" s="178"/>
      <c r="CV787" s="178"/>
      <c r="CW787" s="178"/>
      <c r="CX787" s="178"/>
      <c r="CY787" s="178"/>
      <c r="CZ787" s="178"/>
      <c r="DA787" s="150"/>
    </row>
    <row r="788" spans="53:105" x14ac:dyDescent="0.2">
      <c r="BA788" s="518">
        <f t="shared" ca="1" si="49"/>
        <v>61</v>
      </c>
      <c r="BB788" s="174">
        <f t="shared" ca="1" si="50"/>
        <v>725</v>
      </c>
      <c r="BC788" s="525" t="e">
        <f ca="1">MATCH(BD788,OFFSET(Pinlist!$A$2,BC787*(BA788=BA787),0,$BM$23,1),0)+BC787*(BA788=BA787)</f>
        <v>#N/A</v>
      </c>
      <c r="BD788" s="167">
        <f t="shared" ca="1" si="51"/>
        <v>0</v>
      </c>
      <c r="BE788" s="191" t="e">
        <f ca="1">(OFFSET(Pinlist!$E$1,BC788,0)-$BN$16)*$BN$19</f>
        <v>#N/A</v>
      </c>
      <c r="BF788" s="192" t="e">
        <f ca="1">(OFFSET(Pinlist!$F$1,BC788,0)-$BO$16)*$BO$19</f>
        <v>#N/A</v>
      </c>
      <c r="BG788" s="1098" t="str">
        <f ca="1">IF(LEFT(BD788,2)="RF",OFFSET(Pinlist!$D$1,Chart!BC788,0)&amp;"_"&amp;OFFSET(Pinlist!$G$1,Chart!BC788,0),"")</f>
        <v/>
      </c>
      <c r="BH788" s="1098"/>
      <c r="BI788" s="178"/>
      <c r="BJ788" s="178"/>
      <c r="BK788" s="178"/>
      <c r="BL788" s="178"/>
      <c r="BM788" s="178"/>
      <c r="BN788" s="178"/>
      <c r="BO788" s="178"/>
      <c r="BP788" s="178"/>
      <c r="BQ788" s="196"/>
      <c r="BR788" s="196"/>
      <c r="BS788" s="196"/>
      <c r="BT788" s="196"/>
      <c r="BU788" s="196"/>
      <c r="BV788" s="196"/>
      <c r="BW788" s="178"/>
      <c r="BX788" s="196"/>
      <c r="BY788" s="196"/>
      <c r="BZ788" s="196"/>
      <c r="CA788" s="196"/>
      <c r="CB788" s="178"/>
      <c r="CC788" s="178"/>
      <c r="CD788" s="202"/>
      <c r="CE788" s="202"/>
      <c r="CF788" s="178"/>
      <c r="CG788" s="196"/>
      <c r="CH788" s="178"/>
      <c r="CI788" s="178"/>
      <c r="CJ788" s="178"/>
      <c r="CK788" s="178"/>
      <c r="CL788" s="178"/>
      <c r="CM788" s="178"/>
      <c r="CN788" s="178"/>
      <c r="CO788" s="178"/>
      <c r="CP788" s="178"/>
      <c r="CQ788" s="178"/>
      <c r="CR788" s="178"/>
      <c r="CS788" s="178"/>
      <c r="CT788" s="178"/>
      <c r="CU788" s="178"/>
      <c r="CV788" s="178"/>
      <c r="CW788" s="178"/>
      <c r="CX788" s="178"/>
      <c r="CY788" s="178"/>
      <c r="CZ788" s="178"/>
      <c r="DA788" s="150"/>
    </row>
    <row r="789" spans="53:105" x14ac:dyDescent="0.2">
      <c r="BA789" s="518">
        <f t="shared" ca="1" si="49"/>
        <v>61</v>
      </c>
      <c r="BB789" s="174">
        <f t="shared" ca="1" si="50"/>
        <v>726</v>
      </c>
      <c r="BC789" s="525" t="e">
        <f ca="1">MATCH(BD789,OFFSET(Pinlist!$A$2,BC788*(BA789=BA788),0,$BM$23,1),0)+BC788*(BA789=BA788)</f>
        <v>#N/A</v>
      </c>
      <c r="BD789" s="167">
        <f t="shared" ca="1" si="51"/>
        <v>0</v>
      </c>
      <c r="BE789" s="191" t="e">
        <f ca="1">(OFFSET(Pinlist!$E$1,BC789,0)-$BN$16)*$BN$19</f>
        <v>#N/A</v>
      </c>
      <c r="BF789" s="192" t="e">
        <f ca="1">(OFFSET(Pinlist!$F$1,BC789,0)-$BO$16)*$BO$19</f>
        <v>#N/A</v>
      </c>
      <c r="BG789" s="1098" t="str">
        <f ca="1">IF(LEFT(BD789,2)="RF",OFFSET(Pinlist!$D$1,Chart!BC789,0)&amp;"_"&amp;OFFSET(Pinlist!$G$1,Chart!BC789,0),"")</f>
        <v/>
      </c>
      <c r="BH789" s="1098"/>
      <c r="BI789" s="178"/>
      <c r="BJ789" s="178"/>
      <c r="BK789" s="178"/>
      <c r="BL789" s="178"/>
      <c r="BM789" s="178"/>
      <c r="BN789" s="178"/>
      <c r="BO789" s="178"/>
      <c r="BP789" s="178"/>
      <c r="BQ789" s="196"/>
      <c r="BR789" s="196"/>
      <c r="BS789" s="196"/>
      <c r="BT789" s="196"/>
      <c r="BU789" s="196"/>
      <c r="BV789" s="196"/>
      <c r="BW789" s="178"/>
      <c r="BX789" s="196"/>
      <c r="BY789" s="196"/>
      <c r="BZ789" s="196"/>
      <c r="CA789" s="196"/>
      <c r="CB789" s="178"/>
      <c r="CC789" s="178"/>
      <c r="CD789" s="202"/>
      <c r="CE789" s="202"/>
      <c r="CF789" s="178"/>
      <c r="CG789" s="196"/>
      <c r="CH789" s="178"/>
      <c r="CI789" s="178"/>
      <c r="CJ789" s="178"/>
      <c r="CK789" s="178"/>
      <c r="CL789" s="178"/>
      <c r="CM789" s="178"/>
      <c r="CN789" s="178"/>
      <c r="CO789" s="178"/>
      <c r="CP789" s="178"/>
      <c r="CQ789" s="178"/>
      <c r="CR789" s="178"/>
      <c r="CS789" s="178"/>
      <c r="CT789" s="178"/>
      <c r="CU789" s="178"/>
      <c r="CV789" s="178"/>
      <c r="CW789" s="178"/>
      <c r="CX789" s="178"/>
      <c r="CY789" s="178"/>
      <c r="CZ789" s="178"/>
      <c r="DA789" s="150"/>
    </row>
    <row r="790" spans="53:105" x14ac:dyDescent="0.2">
      <c r="BA790" s="518">
        <f t="shared" ca="1" si="49"/>
        <v>61</v>
      </c>
      <c r="BB790" s="174">
        <f t="shared" ca="1" si="50"/>
        <v>727</v>
      </c>
      <c r="BC790" s="525" t="e">
        <f ca="1">MATCH(BD790,OFFSET(Pinlist!$A$2,BC789*(BA790=BA789),0,$BM$23,1),0)+BC789*(BA790=BA789)</f>
        <v>#N/A</v>
      </c>
      <c r="BD790" s="167">
        <f t="shared" ca="1" si="51"/>
        <v>0</v>
      </c>
      <c r="BE790" s="191" t="e">
        <f ca="1">(OFFSET(Pinlist!$E$1,BC790,0)-$BN$16)*$BN$19</f>
        <v>#N/A</v>
      </c>
      <c r="BF790" s="192" t="e">
        <f ca="1">(OFFSET(Pinlist!$F$1,BC790,0)-$BO$16)*$BO$19</f>
        <v>#N/A</v>
      </c>
      <c r="BG790" s="1098" t="str">
        <f ca="1">IF(LEFT(BD790,2)="RF",OFFSET(Pinlist!$D$1,Chart!BC790,0)&amp;"_"&amp;OFFSET(Pinlist!$G$1,Chart!BC790,0),"")</f>
        <v/>
      </c>
      <c r="BH790" s="1098"/>
      <c r="BI790" s="178"/>
      <c r="BJ790" s="178"/>
      <c r="BK790" s="178"/>
      <c r="BL790" s="178"/>
      <c r="BM790" s="178"/>
      <c r="BN790" s="178"/>
      <c r="BO790" s="178"/>
      <c r="BP790" s="178"/>
      <c r="BQ790" s="196"/>
      <c r="BR790" s="196"/>
      <c r="BS790" s="196"/>
      <c r="BT790" s="196"/>
      <c r="BU790" s="196"/>
      <c r="BV790" s="196"/>
      <c r="BW790" s="178"/>
      <c r="BX790" s="196"/>
      <c r="BY790" s="196"/>
      <c r="BZ790" s="196"/>
      <c r="CA790" s="196"/>
      <c r="CB790" s="178"/>
      <c r="CC790" s="178"/>
      <c r="CD790" s="202"/>
      <c r="CE790" s="202"/>
      <c r="CF790" s="178"/>
      <c r="CG790" s="196"/>
      <c r="CH790" s="178"/>
      <c r="CI790" s="178"/>
      <c r="CJ790" s="178"/>
      <c r="CK790" s="178"/>
      <c r="CL790" s="178"/>
      <c r="CM790" s="178"/>
      <c r="CN790" s="178"/>
      <c r="CO790" s="178"/>
      <c r="CP790" s="178"/>
      <c r="CQ790" s="178"/>
      <c r="CR790" s="178"/>
      <c r="CS790" s="178"/>
      <c r="CT790" s="178"/>
      <c r="CU790" s="178"/>
      <c r="CV790" s="178"/>
      <c r="CW790" s="178"/>
      <c r="CX790" s="178"/>
      <c r="CY790" s="178"/>
      <c r="CZ790" s="178"/>
      <c r="DA790" s="150"/>
    </row>
    <row r="791" spans="53:105" x14ac:dyDescent="0.2">
      <c r="BA791" s="518">
        <f t="shared" ca="1" si="49"/>
        <v>61</v>
      </c>
      <c r="BB791" s="174">
        <f t="shared" ca="1" si="50"/>
        <v>728</v>
      </c>
      <c r="BC791" s="525" t="e">
        <f ca="1">MATCH(BD791,OFFSET(Pinlist!$A$2,BC790*(BA791=BA790),0,$BM$23,1),0)+BC790*(BA791=BA790)</f>
        <v>#N/A</v>
      </c>
      <c r="BD791" s="167">
        <f t="shared" ca="1" si="51"/>
        <v>0</v>
      </c>
      <c r="BE791" s="191" t="e">
        <f ca="1">(OFFSET(Pinlist!$E$1,BC791,0)-$BN$16)*$BN$19</f>
        <v>#N/A</v>
      </c>
      <c r="BF791" s="192" t="e">
        <f ca="1">(OFFSET(Pinlist!$F$1,BC791,0)-$BO$16)*$BO$19</f>
        <v>#N/A</v>
      </c>
      <c r="BG791" s="1098" t="str">
        <f ca="1">IF(LEFT(BD791,2)="RF",OFFSET(Pinlist!$D$1,Chart!BC791,0)&amp;"_"&amp;OFFSET(Pinlist!$G$1,Chart!BC791,0),"")</f>
        <v/>
      </c>
      <c r="BH791" s="1098"/>
      <c r="BI791" s="178"/>
      <c r="BJ791" s="178"/>
      <c r="BK791" s="178"/>
      <c r="BL791" s="178"/>
      <c r="BM791" s="178"/>
      <c r="BN791" s="178"/>
      <c r="BO791" s="178"/>
      <c r="BP791" s="178"/>
      <c r="BQ791" s="196"/>
      <c r="BR791" s="196"/>
      <c r="BS791" s="196"/>
      <c r="BT791" s="196"/>
      <c r="BU791" s="196"/>
      <c r="BV791" s="196"/>
      <c r="BW791" s="178"/>
      <c r="BX791" s="196"/>
      <c r="BY791" s="196"/>
      <c r="BZ791" s="196"/>
      <c r="CA791" s="196"/>
      <c r="CB791" s="178"/>
      <c r="CC791" s="178"/>
      <c r="CD791" s="202"/>
      <c r="CE791" s="202"/>
      <c r="CF791" s="178"/>
      <c r="CG791" s="196"/>
      <c r="CH791" s="178"/>
      <c r="CI791" s="178"/>
      <c r="CJ791" s="178"/>
      <c r="CK791" s="178"/>
      <c r="CL791" s="178"/>
      <c r="CM791" s="178"/>
      <c r="CN791" s="178"/>
      <c r="CO791" s="178"/>
      <c r="CP791" s="178"/>
      <c r="CQ791" s="178"/>
      <c r="CR791" s="178"/>
      <c r="CS791" s="178"/>
      <c r="CT791" s="178"/>
      <c r="CU791" s="178"/>
      <c r="CV791" s="178"/>
      <c r="CW791" s="178"/>
      <c r="CX791" s="178"/>
      <c r="CY791" s="178"/>
      <c r="CZ791" s="178"/>
      <c r="DA791" s="150"/>
    </row>
    <row r="792" spans="53:105" x14ac:dyDescent="0.2">
      <c r="BA792" s="518">
        <f t="shared" ca="1" si="49"/>
        <v>61</v>
      </c>
      <c r="BB792" s="174">
        <f t="shared" ca="1" si="50"/>
        <v>729</v>
      </c>
      <c r="BC792" s="525" t="e">
        <f ca="1">MATCH(BD792,OFFSET(Pinlist!$A$2,BC791*(BA792=BA791),0,$BM$23,1),0)+BC791*(BA792=BA791)</f>
        <v>#N/A</v>
      </c>
      <c r="BD792" s="167">
        <f t="shared" ca="1" si="51"/>
        <v>0</v>
      </c>
      <c r="BE792" s="191" t="e">
        <f ca="1">(OFFSET(Pinlist!$E$1,BC792,0)-$BN$16)*$BN$19</f>
        <v>#N/A</v>
      </c>
      <c r="BF792" s="192" t="e">
        <f ca="1">(OFFSET(Pinlist!$F$1,BC792,0)-$BO$16)*$BO$19</f>
        <v>#N/A</v>
      </c>
      <c r="BG792" s="1098" t="str">
        <f ca="1">IF(LEFT(BD792,2)="RF",OFFSET(Pinlist!$D$1,Chart!BC792,0)&amp;"_"&amp;OFFSET(Pinlist!$G$1,Chart!BC792,0),"")</f>
        <v/>
      </c>
      <c r="BH792" s="1098"/>
      <c r="BI792" s="178"/>
      <c r="BJ792" s="178"/>
      <c r="BK792" s="178"/>
      <c r="BL792" s="178"/>
      <c r="BM792" s="178"/>
      <c r="BN792" s="178"/>
      <c r="BO792" s="178"/>
      <c r="BP792" s="178"/>
      <c r="BQ792" s="196"/>
      <c r="BR792" s="196"/>
      <c r="BS792" s="196"/>
      <c r="BT792" s="196"/>
      <c r="BU792" s="196"/>
      <c r="BV792" s="196"/>
      <c r="BW792" s="178"/>
      <c r="BX792" s="196"/>
      <c r="BY792" s="196"/>
      <c r="BZ792" s="196"/>
      <c r="CA792" s="196"/>
      <c r="CB792" s="178"/>
      <c r="CC792" s="178"/>
      <c r="CD792" s="202"/>
      <c r="CE792" s="202"/>
      <c r="CF792" s="178"/>
      <c r="CG792" s="196"/>
      <c r="CH792" s="178"/>
      <c r="CI792" s="178"/>
      <c r="CJ792" s="178"/>
      <c r="CK792" s="178"/>
      <c r="CL792" s="178"/>
      <c r="CM792" s="178"/>
      <c r="CN792" s="178"/>
      <c r="CO792" s="178"/>
      <c r="CP792" s="178"/>
      <c r="CQ792" s="178"/>
      <c r="CR792" s="178"/>
      <c r="CS792" s="178"/>
      <c r="CT792" s="178"/>
      <c r="CU792" s="178"/>
      <c r="CV792" s="178"/>
      <c r="CW792" s="178"/>
      <c r="CX792" s="178"/>
      <c r="CY792" s="178"/>
      <c r="CZ792" s="178"/>
      <c r="DA792" s="150"/>
    </row>
    <row r="793" spans="53:105" x14ac:dyDescent="0.2">
      <c r="BA793" s="518">
        <f t="shared" ca="1" si="49"/>
        <v>61</v>
      </c>
      <c r="BB793" s="174">
        <f t="shared" ca="1" si="50"/>
        <v>730</v>
      </c>
      <c r="BC793" s="525" t="e">
        <f ca="1">MATCH(BD793,OFFSET(Pinlist!$A$2,BC792*(BA793=BA792),0,$BM$23,1),0)+BC792*(BA793=BA792)</f>
        <v>#N/A</v>
      </c>
      <c r="BD793" s="167">
        <f t="shared" ca="1" si="51"/>
        <v>0</v>
      </c>
      <c r="BE793" s="191" t="e">
        <f ca="1">(OFFSET(Pinlist!$E$1,BC793,0)-$BN$16)*$BN$19</f>
        <v>#N/A</v>
      </c>
      <c r="BF793" s="192" t="e">
        <f ca="1">(OFFSET(Pinlist!$F$1,BC793,0)-$BO$16)*$BO$19</f>
        <v>#N/A</v>
      </c>
      <c r="BG793" s="1098" t="str">
        <f ca="1">IF(LEFT(BD793,2)="RF",OFFSET(Pinlist!$D$1,Chart!BC793,0)&amp;"_"&amp;OFFSET(Pinlist!$G$1,Chart!BC793,0),"")</f>
        <v/>
      </c>
      <c r="BH793" s="1098"/>
      <c r="BI793" s="178"/>
      <c r="BJ793" s="178"/>
      <c r="BK793" s="178"/>
      <c r="BL793" s="178"/>
      <c r="BM793" s="178"/>
      <c r="BN793" s="178"/>
      <c r="BO793" s="178"/>
      <c r="BP793" s="178"/>
      <c r="BQ793" s="196"/>
      <c r="BR793" s="196"/>
      <c r="BS793" s="196"/>
      <c r="BT793" s="196"/>
      <c r="BU793" s="196"/>
      <c r="BV793" s="196"/>
      <c r="BW793" s="178"/>
      <c r="BX793" s="196"/>
      <c r="BY793" s="196"/>
      <c r="BZ793" s="196"/>
      <c r="CA793" s="196"/>
      <c r="CB793" s="178"/>
      <c r="CC793" s="178"/>
      <c r="CD793" s="202"/>
      <c r="CE793" s="202"/>
      <c r="CF793" s="178"/>
      <c r="CG793" s="196"/>
      <c r="CH793" s="178"/>
      <c r="CI793" s="178"/>
      <c r="CJ793" s="178"/>
      <c r="CK793" s="178"/>
      <c r="CL793" s="178"/>
      <c r="CM793" s="178"/>
      <c r="CN793" s="178"/>
      <c r="CO793" s="178"/>
      <c r="CP793" s="178"/>
      <c r="CQ793" s="178"/>
      <c r="CR793" s="178"/>
      <c r="CS793" s="178"/>
      <c r="CT793" s="178"/>
      <c r="CU793" s="178"/>
      <c r="CV793" s="178"/>
      <c r="CW793" s="178"/>
      <c r="CX793" s="178"/>
      <c r="CY793" s="178"/>
      <c r="CZ793" s="178"/>
      <c r="DA793" s="150"/>
    </row>
    <row r="794" spans="53:105" x14ac:dyDescent="0.2">
      <c r="BA794" s="518">
        <f t="shared" ca="1" si="49"/>
        <v>61</v>
      </c>
      <c r="BB794" s="174">
        <f t="shared" ca="1" si="50"/>
        <v>731</v>
      </c>
      <c r="BC794" s="525" t="e">
        <f ca="1">MATCH(BD794,OFFSET(Pinlist!$A$2,BC793*(BA794=BA793),0,$BM$23,1),0)+BC793*(BA794=BA793)</f>
        <v>#N/A</v>
      </c>
      <c r="BD794" s="167">
        <f t="shared" ca="1" si="51"/>
        <v>0</v>
      </c>
      <c r="BE794" s="191" t="e">
        <f ca="1">(OFFSET(Pinlist!$E$1,BC794,0)-$BN$16)*$BN$19</f>
        <v>#N/A</v>
      </c>
      <c r="BF794" s="192" t="e">
        <f ca="1">(OFFSET(Pinlist!$F$1,BC794,0)-$BO$16)*$BO$19</f>
        <v>#N/A</v>
      </c>
      <c r="BG794" s="1098" t="str">
        <f ca="1">IF(LEFT(BD794,2)="RF",OFFSET(Pinlist!$D$1,Chart!BC794,0)&amp;"_"&amp;OFFSET(Pinlist!$G$1,Chart!BC794,0),"")</f>
        <v/>
      </c>
      <c r="BH794" s="1098"/>
      <c r="BI794" s="178"/>
      <c r="BJ794" s="178"/>
      <c r="BK794" s="178"/>
      <c r="BL794" s="178"/>
      <c r="BM794" s="178"/>
      <c r="BN794" s="178"/>
      <c r="BO794" s="178"/>
      <c r="BP794" s="178"/>
      <c r="BQ794" s="196"/>
      <c r="BR794" s="196"/>
      <c r="BS794" s="196"/>
      <c r="BT794" s="196"/>
      <c r="BU794" s="196"/>
      <c r="BV794" s="196"/>
      <c r="BW794" s="178"/>
      <c r="BX794" s="196"/>
      <c r="BY794" s="196"/>
      <c r="BZ794" s="196"/>
      <c r="CA794" s="196"/>
      <c r="CB794" s="178"/>
      <c r="CC794" s="178"/>
      <c r="CD794" s="202"/>
      <c r="CE794" s="202"/>
      <c r="CF794" s="178"/>
      <c r="CG794" s="196"/>
      <c r="CH794" s="178"/>
      <c r="CI794" s="178"/>
      <c r="CJ794" s="178"/>
      <c r="CK794" s="178"/>
      <c r="CL794" s="178"/>
      <c r="CM794" s="178"/>
      <c r="CN794" s="178"/>
      <c r="CO794" s="178"/>
      <c r="CP794" s="178"/>
      <c r="CQ794" s="178"/>
      <c r="CR794" s="178"/>
      <c r="CS794" s="178"/>
      <c r="CT794" s="178"/>
      <c r="CU794" s="178"/>
      <c r="CV794" s="178"/>
      <c r="CW794" s="178"/>
      <c r="CX794" s="178"/>
      <c r="CY794" s="178"/>
      <c r="CZ794" s="178"/>
      <c r="DA794" s="150"/>
    </row>
    <row r="795" spans="53:105" x14ac:dyDescent="0.2">
      <c r="BA795" s="518">
        <f t="shared" ca="1" si="49"/>
        <v>61</v>
      </c>
      <c r="BB795" s="174">
        <f t="shared" ca="1" si="50"/>
        <v>732</v>
      </c>
      <c r="BC795" s="525" t="e">
        <f ca="1">MATCH(BD795,OFFSET(Pinlist!$A$2,BC794*(BA795=BA794),0,$BM$23,1),0)+BC794*(BA795=BA794)</f>
        <v>#N/A</v>
      </c>
      <c r="BD795" s="167">
        <f t="shared" ca="1" si="51"/>
        <v>0</v>
      </c>
      <c r="BE795" s="191" t="e">
        <f ca="1">(OFFSET(Pinlist!$E$1,BC795,0)-$BN$16)*$BN$19</f>
        <v>#N/A</v>
      </c>
      <c r="BF795" s="192" t="e">
        <f ca="1">(OFFSET(Pinlist!$F$1,BC795,0)-$BO$16)*$BO$19</f>
        <v>#N/A</v>
      </c>
      <c r="BG795" s="1098" t="str">
        <f ca="1">IF(LEFT(BD795,2)="RF",OFFSET(Pinlist!$D$1,Chart!BC795,0)&amp;"_"&amp;OFFSET(Pinlist!$G$1,Chart!BC795,0),"")</f>
        <v/>
      </c>
      <c r="BH795" s="1098"/>
      <c r="BI795" s="178"/>
      <c r="BJ795" s="178"/>
      <c r="BK795" s="178"/>
      <c r="BL795" s="178"/>
      <c r="BM795" s="178"/>
      <c r="BN795" s="178"/>
      <c r="BO795" s="178"/>
      <c r="BP795" s="178"/>
      <c r="BQ795" s="196"/>
      <c r="BR795" s="196"/>
      <c r="BS795" s="196"/>
      <c r="BT795" s="196"/>
      <c r="BU795" s="196"/>
      <c r="BV795" s="196"/>
      <c r="BW795" s="178"/>
      <c r="BX795" s="196"/>
      <c r="BY795" s="196"/>
      <c r="BZ795" s="196"/>
      <c r="CA795" s="196"/>
      <c r="CB795" s="178"/>
      <c r="CC795" s="178"/>
      <c r="CD795" s="202"/>
      <c r="CE795" s="202"/>
      <c r="CF795" s="178"/>
      <c r="CG795" s="196"/>
      <c r="CH795" s="178"/>
      <c r="CI795" s="178"/>
      <c r="CJ795" s="178"/>
      <c r="CK795" s="178"/>
      <c r="CL795" s="178"/>
      <c r="CM795" s="178"/>
      <c r="CN795" s="178"/>
      <c r="CO795" s="178"/>
      <c r="CP795" s="178"/>
      <c r="CQ795" s="178"/>
      <c r="CR795" s="178"/>
      <c r="CS795" s="178"/>
      <c r="CT795" s="178"/>
      <c r="CU795" s="178"/>
      <c r="CV795" s="178"/>
      <c r="CW795" s="178"/>
      <c r="CX795" s="178"/>
      <c r="CY795" s="178"/>
      <c r="CZ795" s="178"/>
      <c r="DA795" s="150"/>
    </row>
    <row r="796" spans="53:105" x14ac:dyDescent="0.2">
      <c r="BA796" s="518">
        <f t="shared" ca="1" si="49"/>
        <v>61</v>
      </c>
      <c r="BB796" s="174">
        <f t="shared" ca="1" si="50"/>
        <v>733</v>
      </c>
      <c r="BC796" s="525" t="e">
        <f ca="1">MATCH(BD796,OFFSET(Pinlist!$A$2,BC795*(BA796=BA795),0,$BM$23,1),0)+BC795*(BA796=BA795)</f>
        <v>#N/A</v>
      </c>
      <c r="BD796" s="167">
        <f t="shared" ca="1" si="51"/>
        <v>0</v>
      </c>
      <c r="BE796" s="191" t="e">
        <f ca="1">(OFFSET(Pinlist!$E$1,BC796,0)-$BN$16)*$BN$19</f>
        <v>#N/A</v>
      </c>
      <c r="BF796" s="192" t="e">
        <f ca="1">(OFFSET(Pinlist!$F$1,BC796,0)-$BO$16)*$BO$19</f>
        <v>#N/A</v>
      </c>
      <c r="BG796" s="1098" t="str">
        <f ca="1">IF(LEFT(BD796,2)="RF",OFFSET(Pinlist!$D$1,Chart!BC796,0)&amp;"_"&amp;OFFSET(Pinlist!$G$1,Chart!BC796,0),"")</f>
        <v/>
      </c>
      <c r="BH796" s="1098"/>
      <c r="BI796" s="178"/>
      <c r="BJ796" s="178"/>
      <c r="BK796" s="178"/>
      <c r="BL796" s="178"/>
      <c r="BM796" s="178"/>
      <c r="BN796" s="178"/>
      <c r="BO796" s="178"/>
      <c r="BP796" s="178"/>
      <c r="BQ796" s="196"/>
      <c r="BR796" s="196"/>
      <c r="BS796" s="196"/>
      <c r="BT796" s="196"/>
      <c r="BU796" s="196"/>
      <c r="BV796" s="196"/>
      <c r="BW796" s="178"/>
      <c r="BX796" s="196"/>
      <c r="BY796" s="196"/>
      <c r="BZ796" s="196"/>
      <c r="CA796" s="196"/>
      <c r="CB796" s="178"/>
      <c r="CC796" s="178"/>
      <c r="CD796" s="202"/>
      <c r="CE796" s="202"/>
      <c r="CF796" s="178"/>
      <c r="CG796" s="196"/>
      <c r="CH796" s="178"/>
      <c r="CI796" s="178"/>
      <c r="CJ796" s="178"/>
      <c r="CK796" s="178"/>
      <c r="CL796" s="178"/>
      <c r="CM796" s="178"/>
      <c r="CN796" s="178"/>
      <c r="CO796" s="178"/>
      <c r="CP796" s="178"/>
      <c r="CQ796" s="178"/>
      <c r="CR796" s="178"/>
      <c r="CS796" s="178"/>
      <c r="CT796" s="178"/>
      <c r="CU796" s="178"/>
      <c r="CV796" s="178"/>
      <c r="CW796" s="178"/>
      <c r="CX796" s="178"/>
      <c r="CY796" s="178"/>
      <c r="CZ796" s="178"/>
      <c r="DA796" s="150"/>
    </row>
    <row r="797" spans="53:105" x14ac:dyDescent="0.2">
      <c r="BA797" s="518">
        <f t="shared" ca="1" si="49"/>
        <v>61</v>
      </c>
      <c r="BB797" s="174">
        <f t="shared" ca="1" si="50"/>
        <v>734</v>
      </c>
      <c r="BC797" s="525" t="e">
        <f ca="1">MATCH(BD797,OFFSET(Pinlist!$A$2,BC796*(BA797=BA796),0,$BM$23,1),0)+BC796*(BA797=BA796)</f>
        <v>#N/A</v>
      </c>
      <c r="BD797" s="167">
        <f t="shared" ca="1" si="51"/>
        <v>0</v>
      </c>
      <c r="BE797" s="191" t="e">
        <f ca="1">(OFFSET(Pinlist!$E$1,BC797,0)-$BN$16)*$BN$19</f>
        <v>#N/A</v>
      </c>
      <c r="BF797" s="192" t="e">
        <f ca="1">(OFFSET(Pinlist!$F$1,BC797,0)-$BO$16)*$BO$19</f>
        <v>#N/A</v>
      </c>
      <c r="BG797" s="1098" t="str">
        <f ca="1">IF(LEFT(BD797,2)="RF",OFFSET(Pinlist!$D$1,Chart!BC797,0)&amp;"_"&amp;OFFSET(Pinlist!$G$1,Chart!BC797,0),"")</f>
        <v/>
      </c>
      <c r="BH797" s="1098"/>
      <c r="BI797" s="178"/>
      <c r="BJ797" s="178"/>
      <c r="BK797" s="178"/>
      <c r="BL797" s="178"/>
      <c r="BM797" s="178"/>
      <c r="BN797" s="178"/>
      <c r="BO797" s="178"/>
      <c r="BP797" s="178"/>
      <c r="BQ797" s="196"/>
      <c r="BR797" s="196"/>
      <c r="BS797" s="196"/>
      <c r="BT797" s="196"/>
      <c r="BU797" s="196"/>
      <c r="BV797" s="196"/>
      <c r="BW797" s="178"/>
      <c r="BX797" s="196"/>
      <c r="BY797" s="196"/>
      <c r="BZ797" s="196"/>
      <c r="CA797" s="196"/>
      <c r="CB797" s="178"/>
      <c r="CC797" s="178"/>
      <c r="CD797" s="202"/>
      <c r="CE797" s="202"/>
      <c r="CF797" s="178"/>
      <c r="CG797" s="196"/>
      <c r="CH797" s="178"/>
      <c r="CI797" s="178"/>
      <c r="CJ797" s="178"/>
      <c r="CK797" s="178"/>
      <c r="CL797" s="178"/>
      <c r="CM797" s="178"/>
      <c r="CN797" s="178"/>
      <c r="CO797" s="178"/>
      <c r="CP797" s="178"/>
      <c r="CQ797" s="178"/>
      <c r="CR797" s="178"/>
      <c r="CS797" s="178"/>
      <c r="CT797" s="178"/>
      <c r="CU797" s="178"/>
      <c r="CV797" s="178"/>
      <c r="CW797" s="178"/>
      <c r="CX797" s="178"/>
      <c r="CY797" s="178"/>
      <c r="CZ797" s="178"/>
      <c r="DA797" s="150"/>
    </row>
    <row r="798" spans="53:105" x14ac:dyDescent="0.2">
      <c r="BA798" s="518">
        <f t="shared" ca="1" si="49"/>
        <v>61</v>
      </c>
      <c r="BB798" s="174">
        <f t="shared" ca="1" si="50"/>
        <v>735</v>
      </c>
      <c r="BC798" s="525" t="e">
        <f ca="1">MATCH(BD798,OFFSET(Pinlist!$A$2,BC797*(BA798=BA797),0,$BM$23,1),0)+BC797*(BA798=BA797)</f>
        <v>#N/A</v>
      </c>
      <c r="BD798" s="167">
        <f t="shared" ca="1" si="51"/>
        <v>0</v>
      </c>
      <c r="BE798" s="191" t="e">
        <f ca="1">(OFFSET(Pinlist!$E$1,BC798,0)-$BN$16)*$BN$19</f>
        <v>#N/A</v>
      </c>
      <c r="BF798" s="192" t="e">
        <f ca="1">(OFFSET(Pinlist!$F$1,BC798,0)-$BO$16)*$BO$19</f>
        <v>#N/A</v>
      </c>
      <c r="BG798" s="1098" t="str">
        <f ca="1">IF(LEFT(BD798,2)="RF",OFFSET(Pinlist!$D$1,Chart!BC798,0)&amp;"_"&amp;OFFSET(Pinlist!$G$1,Chart!BC798,0),"")</f>
        <v/>
      </c>
      <c r="BH798" s="1098"/>
      <c r="BI798" s="178"/>
      <c r="BJ798" s="178"/>
      <c r="BK798" s="178"/>
      <c r="BL798" s="178"/>
      <c r="BM798" s="178"/>
      <c r="BN798" s="178"/>
      <c r="BO798" s="178"/>
      <c r="BP798" s="178"/>
      <c r="BQ798" s="196"/>
      <c r="BR798" s="196"/>
      <c r="BS798" s="196"/>
      <c r="BT798" s="196"/>
      <c r="BU798" s="196"/>
      <c r="BV798" s="196"/>
      <c r="BW798" s="178"/>
      <c r="BX798" s="196"/>
      <c r="BY798" s="196"/>
      <c r="BZ798" s="196"/>
      <c r="CA798" s="196"/>
      <c r="CB798" s="178"/>
      <c r="CC798" s="178"/>
      <c r="CD798" s="202"/>
      <c r="CE798" s="202"/>
      <c r="CF798" s="178"/>
      <c r="CG798" s="196"/>
      <c r="CH798" s="178"/>
      <c r="CI798" s="178"/>
      <c r="CJ798" s="178"/>
      <c r="CK798" s="178"/>
      <c r="CL798" s="178"/>
      <c r="CM798" s="178"/>
      <c r="CN798" s="178"/>
      <c r="CO798" s="178"/>
      <c r="CP798" s="178"/>
      <c r="CQ798" s="178"/>
      <c r="CR798" s="178"/>
      <c r="CS798" s="178"/>
      <c r="CT798" s="178"/>
      <c r="CU798" s="178"/>
      <c r="CV798" s="178"/>
      <c r="CW798" s="178"/>
      <c r="CX798" s="178"/>
      <c r="CY798" s="178"/>
      <c r="CZ798" s="178"/>
      <c r="DA798" s="150"/>
    </row>
    <row r="799" spans="53:105" x14ac:dyDescent="0.2">
      <c r="BA799" s="518">
        <f t="shared" ca="1" si="49"/>
        <v>61</v>
      </c>
      <c r="BB799" s="174">
        <f t="shared" ca="1" si="50"/>
        <v>736</v>
      </c>
      <c r="BC799" s="525" t="e">
        <f ca="1">MATCH(BD799,OFFSET(Pinlist!$A$2,BC798*(BA799=BA798),0,$BM$23,1),0)+BC798*(BA799=BA798)</f>
        <v>#N/A</v>
      </c>
      <c r="BD799" s="167">
        <f t="shared" ca="1" si="51"/>
        <v>0</v>
      </c>
      <c r="BE799" s="191" t="e">
        <f ca="1">(OFFSET(Pinlist!$E$1,BC799,0)-$BN$16)*$BN$19</f>
        <v>#N/A</v>
      </c>
      <c r="BF799" s="192" t="e">
        <f ca="1">(OFFSET(Pinlist!$F$1,BC799,0)-$BO$16)*$BO$19</f>
        <v>#N/A</v>
      </c>
      <c r="BG799" s="1098" t="str">
        <f ca="1">IF(LEFT(BD799,2)="RF",OFFSET(Pinlist!$D$1,Chart!BC799,0)&amp;"_"&amp;OFFSET(Pinlist!$G$1,Chart!BC799,0),"")</f>
        <v/>
      </c>
      <c r="BH799" s="1098"/>
      <c r="BI799" s="178"/>
      <c r="BJ799" s="178"/>
      <c r="BK799" s="178"/>
      <c r="BL799" s="178"/>
      <c r="BM799" s="178"/>
      <c r="BN799" s="178"/>
      <c r="BO799" s="178"/>
      <c r="BP799" s="178"/>
      <c r="BQ799" s="196"/>
      <c r="BR799" s="196"/>
      <c r="BS799" s="196"/>
      <c r="BT799" s="196"/>
      <c r="BU799" s="196"/>
      <c r="BV799" s="196"/>
      <c r="BW799" s="178"/>
      <c r="BX799" s="196"/>
      <c r="BY799" s="196"/>
      <c r="BZ799" s="196"/>
      <c r="CA799" s="196"/>
      <c r="CB799" s="178"/>
      <c r="CC799" s="178"/>
      <c r="CD799" s="202"/>
      <c r="CE799" s="202"/>
      <c r="CF799" s="178"/>
      <c r="CG799" s="196"/>
      <c r="CH799" s="178"/>
      <c r="CI799" s="178"/>
      <c r="CJ799" s="178"/>
      <c r="CK799" s="178"/>
      <c r="CL799" s="178"/>
      <c r="CM799" s="178"/>
      <c r="CN799" s="178"/>
      <c r="CO799" s="178"/>
      <c r="CP799" s="178"/>
      <c r="CQ799" s="178"/>
      <c r="CR799" s="178"/>
      <c r="CS799" s="178"/>
      <c r="CT799" s="178"/>
      <c r="CU799" s="178"/>
      <c r="CV799" s="178"/>
      <c r="CW799" s="178"/>
      <c r="CX799" s="178"/>
      <c r="CY799" s="178"/>
      <c r="CZ799" s="178"/>
      <c r="DA799" s="150"/>
    </row>
    <row r="800" spans="53:105" x14ac:dyDescent="0.2">
      <c r="BA800" s="518">
        <f t="shared" ca="1" si="49"/>
        <v>61</v>
      </c>
      <c r="BB800" s="174">
        <f t="shared" ca="1" si="50"/>
        <v>737</v>
      </c>
      <c r="BC800" s="525" t="e">
        <f ca="1">MATCH(BD800,OFFSET(Pinlist!$A$2,BC799*(BA800=BA799),0,$BM$23,1),0)+BC799*(BA800=BA799)</f>
        <v>#N/A</v>
      </c>
      <c r="BD800" s="167">
        <f t="shared" ca="1" si="51"/>
        <v>0</v>
      </c>
      <c r="BE800" s="191" t="e">
        <f ca="1">(OFFSET(Pinlist!$E$1,BC800,0)-$BN$16)*$BN$19</f>
        <v>#N/A</v>
      </c>
      <c r="BF800" s="192" t="e">
        <f ca="1">(OFFSET(Pinlist!$F$1,BC800,0)-$BO$16)*$BO$19</f>
        <v>#N/A</v>
      </c>
      <c r="BG800" s="1098" t="str">
        <f ca="1">IF(LEFT(BD800,2)="RF",OFFSET(Pinlist!$D$1,Chart!BC800,0)&amp;"_"&amp;OFFSET(Pinlist!$G$1,Chart!BC800,0),"")</f>
        <v/>
      </c>
      <c r="BH800" s="1098"/>
      <c r="BI800" s="178"/>
      <c r="BJ800" s="178"/>
      <c r="BK800" s="178"/>
      <c r="BL800" s="178"/>
      <c r="BM800" s="178"/>
      <c r="BN800" s="178"/>
      <c r="BO800" s="178"/>
      <c r="BP800" s="178"/>
      <c r="BQ800" s="196"/>
      <c r="BR800" s="196"/>
      <c r="BS800" s="196"/>
      <c r="BT800" s="196"/>
      <c r="BU800" s="196"/>
      <c r="BV800" s="196"/>
      <c r="BW800" s="178"/>
      <c r="BX800" s="196"/>
      <c r="BY800" s="196"/>
      <c r="BZ800" s="196"/>
      <c r="CA800" s="196"/>
      <c r="CB800" s="178"/>
      <c r="CC800" s="178"/>
      <c r="CD800" s="202"/>
      <c r="CE800" s="202"/>
      <c r="CF800" s="178"/>
      <c r="CG800" s="196"/>
      <c r="CH800" s="178"/>
      <c r="CI800" s="178"/>
      <c r="CJ800" s="178"/>
      <c r="CK800" s="178"/>
      <c r="CL800" s="178"/>
      <c r="CM800" s="178"/>
      <c r="CN800" s="178"/>
      <c r="CO800" s="178"/>
      <c r="CP800" s="178"/>
      <c r="CQ800" s="178"/>
      <c r="CR800" s="178"/>
      <c r="CS800" s="178"/>
      <c r="CT800" s="178"/>
      <c r="CU800" s="178"/>
      <c r="CV800" s="178"/>
      <c r="CW800" s="178"/>
      <c r="CX800" s="178"/>
      <c r="CY800" s="178"/>
      <c r="CZ800" s="178"/>
      <c r="DA800" s="150"/>
    </row>
    <row r="801" spans="53:105" x14ac:dyDescent="0.2">
      <c r="BA801" s="518">
        <f t="shared" ca="1" si="49"/>
        <v>61</v>
      </c>
      <c r="BB801" s="174">
        <f t="shared" ca="1" si="50"/>
        <v>738</v>
      </c>
      <c r="BC801" s="525" t="e">
        <f ca="1">MATCH(BD801,OFFSET(Pinlist!$A$2,BC800*(BA801=BA800),0,$BM$23,1),0)+BC800*(BA801=BA800)</f>
        <v>#N/A</v>
      </c>
      <c r="BD801" s="167">
        <f t="shared" ca="1" si="51"/>
        <v>0</v>
      </c>
      <c r="BE801" s="191" t="e">
        <f ca="1">(OFFSET(Pinlist!$E$1,BC801,0)-$BN$16)*$BN$19</f>
        <v>#N/A</v>
      </c>
      <c r="BF801" s="192" t="e">
        <f ca="1">(OFFSET(Pinlist!$F$1,BC801,0)-$BO$16)*$BO$19</f>
        <v>#N/A</v>
      </c>
      <c r="BG801" s="1098" t="str">
        <f ca="1">IF(LEFT(BD801,2)="RF",OFFSET(Pinlist!$D$1,Chart!BC801,0)&amp;"_"&amp;OFFSET(Pinlist!$G$1,Chart!BC801,0),"")</f>
        <v/>
      </c>
      <c r="BH801" s="1098"/>
      <c r="BI801" s="178"/>
      <c r="BJ801" s="178"/>
      <c r="BK801" s="178"/>
      <c r="BL801" s="178"/>
      <c r="BM801" s="178"/>
      <c r="BN801" s="178"/>
      <c r="BO801" s="178"/>
      <c r="BP801" s="178"/>
      <c r="BQ801" s="196"/>
      <c r="BR801" s="196"/>
      <c r="BS801" s="196"/>
      <c r="BT801" s="196"/>
      <c r="BU801" s="196"/>
      <c r="BV801" s="196"/>
      <c r="BW801" s="178"/>
      <c r="BX801" s="196"/>
      <c r="BY801" s="196"/>
      <c r="BZ801" s="196"/>
      <c r="CA801" s="196"/>
      <c r="CB801" s="178"/>
      <c r="CC801" s="178"/>
      <c r="CD801" s="202"/>
      <c r="CE801" s="202"/>
      <c r="CF801" s="178"/>
      <c r="CG801" s="196"/>
      <c r="CH801" s="178"/>
      <c r="CI801" s="178"/>
      <c r="CJ801" s="178"/>
      <c r="CK801" s="178"/>
      <c r="CL801" s="178"/>
      <c r="CM801" s="178"/>
      <c r="CN801" s="178"/>
      <c r="CO801" s="178"/>
      <c r="CP801" s="178"/>
      <c r="CQ801" s="178"/>
      <c r="CR801" s="178"/>
      <c r="CS801" s="178"/>
      <c r="CT801" s="178"/>
      <c r="CU801" s="178"/>
      <c r="CV801" s="178"/>
      <c r="CW801" s="178"/>
      <c r="CX801" s="178"/>
      <c r="CY801" s="178"/>
      <c r="CZ801" s="178"/>
      <c r="DA801" s="150"/>
    </row>
    <row r="802" spans="53:105" x14ac:dyDescent="0.2">
      <c r="BA802" s="518">
        <f t="shared" ca="1" si="49"/>
        <v>61</v>
      </c>
      <c r="BB802" s="174">
        <f t="shared" ca="1" si="50"/>
        <v>739</v>
      </c>
      <c r="BC802" s="525" t="e">
        <f ca="1">MATCH(BD802,OFFSET(Pinlist!$A$2,BC801*(BA802=BA801),0,$BM$23,1),0)+BC801*(BA802=BA801)</f>
        <v>#N/A</v>
      </c>
      <c r="BD802" s="167">
        <f t="shared" ca="1" si="51"/>
        <v>0</v>
      </c>
      <c r="BE802" s="191" t="e">
        <f ca="1">(OFFSET(Pinlist!$E$1,BC802,0)-$BN$16)*$BN$19</f>
        <v>#N/A</v>
      </c>
      <c r="BF802" s="192" t="e">
        <f ca="1">(OFFSET(Pinlist!$F$1,BC802,0)-$BO$16)*$BO$19</f>
        <v>#N/A</v>
      </c>
      <c r="BG802" s="1098" t="str">
        <f ca="1">IF(LEFT(BD802,2)="RF",OFFSET(Pinlist!$D$1,Chart!BC802,0)&amp;"_"&amp;OFFSET(Pinlist!$G$1,Chart!BC802,0),"")</f>
        <v/>
      </c>
      <c r="BH802" s="1098"/>
      <c r="BI802" s="178"/>
      <c r="BJ802" s="178"/>
      <c r="BK802" s="178"/>
      <c r="BL802" s="178"/>
      <c r="BM802" s="178"/>
      <c r="BN802" s="178"/>
      <c r="BO802" s="178"/>
      <c r="BP802" s="178"/>
      <c r="BQ802" s="196"/>
      <c r="BR802" s="196"/>
      <c r="BS802" s="196"/>
      <c r="BT802" s="196"/>
      <c r="BU802" s="196"/>
      <c r="BV802" s="196"/>
      <c r="BW802" s="178"/>
      <c r="BX802" s="196"/>
      <c r="BY802" s="196"/>
      <c r="BZ802" s="196"/>
      <c r="CA802" s="196"/>
      <c r="CB802" s="178"/>
      <c r="CC802" s="178"/>
      <c r="CD802" s="202"/>
      <c r="CE802" s="202"/>
      <c r="CF802" s="178"/>
      <c r="CG802" s="196"/>
      <c r="CH802" s="178"/>
      <c r="CI802" s="178"/>
      <c r="CJ802" s="178"/>
      <c r="CK802" s="178"/>
      <c r="CL802" s="178"/>
      <c r="CM802" s="178"/>
      <c r="CN802" s="178"/>
      <c r="CO802" s="178"/>
      <c r="CP802" s="178"/>
      <c r="CQ802" s="178"/>
      <c r="CR802" s="178"/>
      <c r="CS802" s="178"/>
      <c r="CT802" s="178"/>
      <c r="CU802" s="178"/>
      <c r="CV802" s="178"/>
      <c r="CW802" s="178"/>
      <c r="CX802" s="178"/>
      <c r="CY802" s="178"/>
      <c r="CZ802" s="178"/>
      <c r="DA802" s="150"/>
    </row>
    <row r="803" spans="53:105" x14ac:dyDescent="0.2">
      <c r="BA803" s="518">
        <f t="shared" ca="1" si="49"/>
        <v>61</v>
      </c>
      <c r="BB803" s="174">
        <f t="shared" ca="1" si="50"/>
        <v>740</v>
      </c>
      <c r="BC803" s="525" t="e">
        <f ca="1">MATCH(BD803,OFFSET(Pinlist!$A$2,BC802*(BA803=BA802),0,$BM$23,1),0)+BC802*(BA803=BA802)</f>
        <v>#N/A</v>
      </c>
      <c r="BD803" s="167">
        <f t="shared" ca="1" si="51"/>
        <v>0</v>
      </c>
      <c r="BE803" s="191" t="e">
        <f ca="1">(OFFSET(Pinlist!$E$1,BC803,0)-$BN$16)*$BN$19</f>
        <v>#N/A</v>
      </c>
      <c r="BF803" s="192" t="e">
        <f ca="1">(OFFSET(Pinlist!$F$1,BC803,0)-$BO$16)*$BO$19</f>
        <v>#N/A</v>
      </c>
      <c r="BG803" s="1098" t="str">
        <f ca="1">IF(LEFT(BD803,2)="RF",OFFSET(Pinlist!$D$1,Chart!BC803,0)&amp;"_"&amp;OFFSET(Pinlist!$G$1,Chart!BC803,0),"")</f>
        <v/>
      </c>
      <c r="BH803" s="1098"/>
      <c r="BI803" s="178"/>
      <c r="BJ803" s="178"/>
      <c r="BK803" s="178"/>
      <c r="BL803" s="178"/>
      <c r="BM803" s="178"/>
      <c r="BN803" s="178"/>
      <c r="BO803" s="178"/>
      <c r="BP803" s="178"/>
      <c r="BQ803" s="196"/>
      <c r="BR803" s="196"/>
      <c r="BS803" s="196"/>
      <c r="BT803" s="196"/>
      <c r="BU803" s="196"/>
      <c r="BV803" s="196"/>
      <c r="BW803" s="178"/>
      <c r="BX803" s="196"/>
      <c r="BY803" s="196"/>
      <c r="BZ803" s="196"/>
      <c r="CA803" s="196"/>
      <c r="CB803" s="178"/>
      <c r="CC803" s="178"/>
      <c r="CD803" s="202"/>
      <c r="CE803" s="202"/>
      <c r="CF803" s="178"/>
      <c r="CG803" s="196"/>
      <c r="CH803" s="178"/>
      <c r="CI803" s="178"/>
      <c r="CJ803" s="178"/>
      <c r="CK803" s="178"/>
      <c r="CL803" s="178"/>
      <c r="CM803" s="178"/>
      <c r="CN803" s="178"/>
      <c r="CO803" s="178"/>
      <c r="CP803" s="178"/>
      <c r="CQ803" s="178"/>
      <c r="CR803" s="178"/>
      <c r="CS803" s="178"/>
      <c r="CT803" s="178"/>
      <c r="CU803" s="178"/>
      <c r="CV803" s="178"/>
      <c r="CW803" s="178"/>
      <c r="CX803" s="178"/>
      <c r="CY803" s="178"/>
      <c r="CZ803" s="178"/>
      <c r="DA803" s="150"/>
    </row>
    <row r="804" spans="53:105" x14ac:dyDescent="0.2">
      <c r="BA804" s="518">
        <f t="shared" ca="1" si="49"/>
        <v>61</v>
      </c>
      <c r="BB804" s="174">
        <f t="shared" ca="1" si="50"/>
        <v>741</v>
      </c>
      <c r="BC804" s="525" t="e">
        <f ca="1">MATCH(BD804,OFFSET(Pinlist!$A$2,BC803*(BA804=BA803),0,$BM$23,1),0)+BC803*(BA804=BA803)</f>
        <v>#N/A</v>
      </c>
      <c r="BD804" s="167">
        <f t="shared" ca="1" si="51"/>
        <v>0</v>
      </c>
      <c r="BE804" s="191" t="e">
        <f ca="1">(OFFSET(Pinlist!$E$1,BC804,0)-$BN$16)*$BN$19</f>
        <v>#N/A</v>
      </c>
      <c r="BF804" s="192" t="e">
        <f ca="1">(OFFSET(Pinlist!$F$1,BC804,0)-$BO$16)*$BO$19</f>
        <v>#N/A</v>
      </c>
      <c r="BG804" s="1098" t="str">
        <f ca="1">IF(LEFT(BD804,2)="RF",OFFSET(Pinlist!$D$1,Chart!BC804,0)&amp;"_"&amp;OFFSET(Pinlist!$G$1,Chart!BC804,0),"")</f>
        <v/>
      </c>
      <c r="BH804" s="1098"/>
      <c r="BI804" s="178"/>
      <c r="BJ804" s="178"/>
      <c r="BK804" s="178"/>
      <c r="BL804" s="178"/>
      <c r="BM804" s="178"/>
      <c r="BN804" s="178"/>
      <c r="BO804" s="178"/>
      <c r="BP804" s="178"/>
      <c r="BQ804" s="196"/>
      <c r="BR804" s="196"/>
      <c r="BS804" s="196"/>
      <c r="BT804" s="196"/>
      <c r="BU804" s="196"/>
      <c r="BV804" s="196"/>
      <c r="BW804" s="178"/>
      <c r="BX804" s="196"/>
      <c r="BY804" s="196"/>
      <c r="BZ804" s="196"/>
      <c r="CA804" s="196"/>
      <c r="CB804" s="178"/>
      <c r="CC804" s="178"/>
      <c r="CD804" s="202"/>
      <c r="CE804" s="202"/>
      <c r="CF804" s="178"/>
      <c r="CG804" s="196"/>
      <c r="CH804" s="178"/>
      <c r="CI804" s="178"/>
      <c r="CJ804" s="178"/>
      <c r="CK804" s="178"/>
      <c r="CL804" s="178"/>
      <c r="CM804" s="178"/>
      <c r="CN804" s="178"/>
      <c r="CO804" s="178"/>
      <c r="CP804" s="178"/>
      <c r="CQ804" s="178"/>
      <c r="CR804" s="178"/>
      <c r="CS804" s="178"/>
      <c r="CT804" s="178"/>
      <c r="CU804" s="178"/>
      <c r="CV804" s="178"/>
      <c r="CW804" s="178"/>
      <c r="CX804" s="178"/>
      <c r="CY804" s="178"/>
      <c r="CZ804" s="178"/>
      <c r="DA804" s="150"/>
    </row>
    <row r="805" spans="53:105" x14ac:dyDescent="0.2">
      <c r="BA805" s="518">
        <f t="shared" ca="1" si="49"/>
        <v>61</v>
      </c>
      <c r="BB805" s="174">
        <f t="shared" ca="1" si="50"/>
        <v>742</v>
      </c>
      <c r="BC805" s="525" t="e">
        <f ca="1">MATCH(BD805,OFFSET(Pinlist!$A$2,BC804*(BA805=BA804),0,$BM$23,1),0)+BC804*(BA805=BA804)</f>
        <v>#N/A</v>
      </c>
      <c r="BD805" s="167">
        <f t="shared" ca="1" si="51"/>
        <v>0</v>
      </c>
      <c r="BE805" s="191" t="e">
        <f ca="1">(OFFSET(Pinlist!$E$1,BC805,0)-$BN$16)*$BN$19</f>
        <v>#N/A</v>
      </c>
      <c r="BF805" s="192" t="e">
        <f ca="1">(OFFSET(Pinlist!$F$1,BC805,0)-$BO$16)*$BO$19</f>
        <v>#N/A</v>
      </c>
      <c r="BG805" s="1098" t="str">
        <f ca="1">IF(LEFT(BD805,2)="RF",OFFSET(Pinlist!$D$1,Chart!BC805,0)&amp;"_"&amp;OFFSET(Pinlist!$G$1,Chart!BC805,0),"")</f>
        <v/>
      </c>
      <c r="BH805" s="1098"/>
      <c r="BI805" s="178"/>
      <c r="BJ805" s="178"/>
      <c r="BK805" s="178"/>
      <c r="BL805" s="178"/>
      <c r="BM805" s="178"/>
      <c r="BN805" s="178"/>
      <c r="BO805" s="178"/>
      <c r="BP805" s="178"/>
      <c r="BQ805" s="196"/>
      <c r="BR805" s="196"/>
      <c r="BS805" s="196"/>
      <c r="BT805" s="196"/>
      <c r="BU805" s="196"/>
      <c r="BV805" s="196"/>
      <c r="BW805" s="178"/>
      <c r="BX805" s="196"/>
      <c r="BY805" s="196"/>
      <c r="BZ805" s="196"/>
      <c r="CA805" s="196"/>
      <c r="CB805" s="178"/>
      <c r="CC805" s="178"/>
      <c r="CD805" s="202"/>
      <c r="CE805" s="202"/>
      <c r="CF805" s="178"/>
      <c r="CG805" s="196"/>
      <c r="CH805" s="178"/>
      <c r="CI805" s="178"/>
      <c r="CJ805" s="178"/>
      <c r="CK805" s="178"/>
      <c r="CL805" s="178"/>
      <c r="CM805" s="178"/>
      <c r="CN805" s="178"/>
      <c r="CO805" s="178"/>
      <c r="CP805" s="178"/>
      <c r="CQ805" s="178"/>
      <c r="CR805" s="178"/>
      <c r="CS805" s="178"/>
      <c r="CT805" s="178"/>
      <c r="CU805" s="178"/>
      <c r="CV805" s="178"/>
      <c r="CW805" s="178"/>
      <c r="CX805" s="178"/>
      <c r="CY805" s="178"/>
      <c r="CZ805" s="178"/>
      <c r="DA805" s="150"/>
    </row>
    <row r="806" spans="53:105" x14ac:dyDescent="0.2">
      <c r="BA806" s="518">
        <f t="shared" ca="1" si="49"/>
        <v>61</v>
      </c>
      <c r="BB806" s="174">
        <f t="shared" ca="1" si="50"/>
        <v>743</v>
      </c>
      <c r="BC806" s="525" t="e">
        <f ca="1">MATCH(BD806,OFFSET(Pinlist!$A$2,BC805*(BA806=BA805),0,$BM$23,1),0)+BC805*(BA806=BA805)</f>
        <v>#N/A</v>
      </c>
      <c r="BD806" s="167">
        <f t="shared" ca="1" si="51"/>
        <v>0</v>
      </c>
      <c r="BE806" s="191" t="e">
        <f ca="1">(OFFSET(Pinlist!$E$1,BC806,0)-$BN$16)*$BN$19</f>
        <v>#N/A</v>
      </c>
      <c r="BF806" s="192" t="e">
        <f ca="1">(OFFSET(Pinlist!$F$1,BC806,0)-$BO$16)*$BO$19</f>
        <v>#N/A</v>
      </c>
      <c r="BG806" s="1098" t="str">
        <f ca="1">IF(LEFT(BD806,2)="RF",OFFSET(Pinlist!$D$1,Chart!BC806,0)&amp;"_"&amp;OFFSET(Pinlist!$G$1,Chart!BC806,0),"")</f>
        <v/>
      </c>
      <c r="BH806" s="1098"/>
      <c r="BI806" s="178"/>
      <c r="BJ806" s="178"/>
      <c r="BK806" s="178"/>
      <c r="BL806" s="178"/>
      <c r="BM806" s="178"/>
      <c r="BN806" s="178"/>
      <c r="BO806" s="178"/>
      <c r="BP806" s="178"/>
      <c r="BQ806" s="196"/>
      <c r="BR806" s="196"/>
      <c r="BS806" s="196"/>
      <c r="BT806" s="196"/>
      <c r="BU806" s="196"/>
      <c r="BV806" s="196"/>
      <c r="BW806" s="178"/>
      <c r="BX806" s="196"/>
      <c r="BY806" s="196"/>
      <c r="BZ806" s="196"/>
      <c r="CA806" s="196"/>
      <c r="CB806" s="178"/>
      <c r="CC806" s="178"/>
      <c r="CD806" s="202"/>
      <c r="CE806" s="202"/>
      <c r="CF806" s="178"/>
      <c r="CG806" s="196"/>
      <c r="CH806" s="178"/>
      <c r="CI806" s="178"/>
      <c r="CJ806" s="178"/>
      <c r="CK806" s="178"/>
      <c r="CL806" s="178"/>
      <c r="CM806" s="178"/>
      <c r="CN806" s="178"/>
      <c r="CO806" s="178"/>
      <c r="CP806" s="178"/>
      <c r="CQ806" s="178"/>
      <c r="CR806" s="178"/>
      <c r="CS806" s="178"/>
      <c r="CT806" s="178"/>
      <c r="CU806" s="178"/>
      <c r="CV806" s="178"/>
      <c r="CW806" s="178"/>
      <c r="CX806" s="178"/>
      <c r="CY806" s="178"/>
      <c r="CZ806" s="178"/>
      <c r="DA806" s="150"/>
    </row>
    <row r="807" spans="53:105" x14ac:dyDescent="0.2">
      <c r="BA807" s="518">
        <f t="shared" ca="1" si="49"/>
        <v>61</v>
      </c>
      <c r="BB807" s="174">
        <f t="shared" ca="1" si="50"/>
        <v>744</v>
      </c>
      <c r="BC807" s="525" t="e">
        <f ca="1">MATCH(BD807,OFFSET(Pinlist!$A$2,BC806*(BA807=BA806),0,$BM$23,1),0)+BC806*(BA807=BA806)</f>
        <v>#N/A</v>
      </c>
      <c r="BD807" s="167">
        <f t="shared" ca="1" si="51"/>
        <v>0</v>
      </c>
      <c r="BE807" s="191" t="e">
        <f ca="1">(OFFSET(Pinlist!$E$1,BC807,0)-$BN$16)*$BN$19</f>
        <v>#N/A</v>
      </c>
      <c r="BF807" s="192" t="e">
        <f ca="1">(OFFSET(Pinlist!$F$1,BC807,0)-$BO$16)*$BO$19</f>
        <v>#N/A</v>
      </c>
      <c r="BG807" s="1098" t="str">
        <f ca="1">IF(LEFT(BD807,2)="RF",OFFSET(Pinlist!$D$1,Chart!BC807,0)&amp;"_"&amp;OFFSET(Pinlist!$G$1,Chart!BC807,0),"")</f>
        <v/>
      </c>
      <c r="BH807" s="1098"/>
      <c r="BI807" s="178"/>
      <c r="BJ807" s="178"/>
      <c r="BK807" s="178"/>
      <c r="BL807" s="178"/>
      <c r="BM807" s="178"/>
      <c r="BN807" s="178"/>
      <c r="BO807" s="178"/>
      <c r="BP807" s="178"/>
      <c r="BQ807" s="196"/>
      <c r="BR807" s="196"/>
      <c r="BS807" s="196"/>
      <c r="BT807" s="196"/>
      <c r="BU807" s="196"/>
      <c r="BV807" s="196"/>
      <c r="BW807" s="178"/>
      <c r="BX807" s="196"/>
      <c r="BY807" s="196"/>
      <c r="BZ807" s="196"/>
      <c r="CA807" s="196"/>
      <c r="CB807" s="178"/>
      <c r="CC807" s="178"/>
      <c r="CD807" s="202"/>
      <c r="CE807" s="202"/>
      <c r="CF807" s="178"/>
      <c r="CG807" s="196"/>
      <c r="CH807" s="178"/>
      <c r="CI807" s="178"/>
      <c r="CJ807" s="178"/>
      <c r="CK807" s="178"/>
      <c r="CL807" s="178"/>
      <c r="CM807" s="178"/>
      <c r="CN807" s="178"/>
      <c r="CO807" s="178"/>
      <c r="CP807" s="178"/>
      <c r="CQ807" s="178"/>
      <c r="CR807" s="178"/>
      <c r="CS807" s="178"/>
      <c r="CT807" s="178"/>
      <c r="CU807" s="178"/>
      <c r="CV807" s="178"/>
      <c r="CW807" s="178"/>
      <c r="CX807" s="178"/>
      <c r="CY807" s="178"/>
      <c r="CZ807" s="178"/>
      <c r="DA807" s="150"/>
    </row>
    <row r="808" spans="53:105" x14ac:dyDescent="0.2">
      <c r="BA808" s="518">
        <f t="shared" ca="1" si="49"/>
        <v>61</v>
      </c>
      <c r="BB808" s="174">
        <f t="shared" ca="1" si="50"/>
        <v>745</v>
      </c>
      <c r="BC808" s="525" t="e">
        <f ca="1">MATCH(BD808,OFFSET(Pinlist!$A$2,BC807*(BA808=BA807),0,$BM$23,1),0)+BC807*(BA808=BA807)</f>
        <v>#N/A</v>
      </c>
      <c r="BD808" s="167">
        <f t="shared" ca="1" si="51"/>
        <v>0</v>
      </c>
      <c r="BE808" s="191" t="e">
        <f ca="1">(OFFSET(Pinlist!$E$1,BC808,0)-$BN$16)*$BN$19</f>
        <v>#N/A</v>
      </c>
      <c r="BF808" s="192" t="e">
        <f ca="1">(OFFSET(Pinlist!$F$1,BC808,0)-$BO$16)*$BO$19</f>
        <v>#N/A</v>
      </c>
      <c r="BG808" s="1098" t="str">
        <f ca="1">IF(LEFT(BD808,2)="RF",OFFSET(Pinlist!$D$1,Chart!BC808,0)&amp;"_"&amp;OFFSET(Pinlist!$G$1,Chart!BC808,0),"")</f>
        <v/>
      </c>
      <c r="BH808" s="1098"/>
      <c r="BI808" s="178"/>
      <c r="BJ808" s="178"/>
      <c r="BK808" s="178"/>
      <c r="BL808" s="178"/>
      <c r="BM808" s="178"/>
      <c r="BN808" s="178"/>
      <c r="BO808" s="178"/>
      <c r="BP808" s="178"/>
      <c r="BQ808" s="196"/>
      <c r="BR808" s="196"/>
      <c r="BS808" s="196"/>
      <c r="BT808" s="196"/>
      <c r="BU808" s="196"/>
      <c r="BV808" s="196"/>
      <c r="BW808" s="178"/>
      <c r="BX808" s="196"/>
      <c r="BY808" s="196"/>
      <c r="BZ808" s="196"/>
      <c r="CA808" s="196"/>
      <c r="CB808" s="178"/>
      <c r="CC808" s="178"/>
      <c r="CD808" s="202"/>
      <c r="CE808" s="202"/>
      <c r="CF808" s="178"/>
      <c r="CG808" s="196"/>
      <c r="CH808" s="178"/>
      <c r="CI808" s="178"/>
      <c r="CJ808" s="178"/>
      <c r="CK808" s="178"/>
      <c r="CL808" s="178"/>
      <c r="CM808" s="178"/>
      <c r="CN808" s="178"/>
      <c r="CO808" s="178"/>
      <c r="CP808" s="178"/>
      <c r="CQ808" s="178"/>
      <c r="CR808" s="178"/>
      <c r="CS808" s="178"/>
      <c r="CT808" s="178"/>
      <c r="CU808" s="178"/>
      <c r="CV808" s="178"/>
      <c r="CW808" s="178"/>
      <c r="CX808" s="178"/>
      <c r="CY808" s="178"/>
      <c r="CZ808" s="178"/>
      <c r="DA808" s="150"/>
    </row>
    <row r="809" spans="53:105" x14ac:dyDescent="0.2">
      <c r="BA809" s="518">
        <f t="shared" ca="1" si="49"/>
        <v>61</v>
      </c>
      <c r="BB809" s="174">
        <f t="shared" ca="1" si="50"/>
        <v>746</v>
      </c>
      <c r="BC809" s="525" t="e">
        <f ca="1">MATCH(BD809,OFFSET(Pinlist!$A$2,BC808*(BA809=BA808),0,$BM$23,1),0)+BC808*(BA809=BA808)</f>
        <v>#N/A</v>
      </c>
      <c r="BD809" s="167">
        <f t="shared" ca="1" si="51"/>
        <v>0</v>
      </c>
      <c r="BE809" s="191" t="e">
        <f ca="1">(OFFSET(Pinlist!$E$1,BC809,0)-$BN$16)*$BN$19</f>
        <v>#N/A</v>
      </c>
      <c r="BF809" s="192" t="e">
        <f ca="1">(OFFSET(Pinlist!$F$1,BC809,0)-$BO$16)*$BO$19</f>
        <v>#N/A</v>
      </c>
      <c r="BG809" s="1098" t="str">
        <f ca="1">IF(LEFT(BD809,2)="RF",OFFSET(Pinlist!$D$1,Chart!BC809,0)&amp;"_"&amp;OFFSET(Pinlist!$G$1,Chart!BC809,0),"")</f>
        <v/>
      </c>
      <c r="BH809" s="1098"/>
      <c r="BI809" s="178"/>
      <c r="BJ809" s="178"/>
      <c r="BK809" s="178"/>
      <c r="BL809" s="178"/>
      <c r="BM809" s="178"/>
      <c r="BN809" s="178"/>
      <c r="BO809" s="178"/>
      <c r="BP809" s="178"/>
      <c r="BQ809" s="196"/>
      <c r="BR809" s="196"/>
      <c r="BS809" s="196"/>
      <c r="BT809" s="196"/>
      <c r="BU809" s="196"/>
      <c r="BV809" s="196"/>
      <c r="BW809" s="178"/>
      <c r="BX809" s="196"/>
      <c r="BY809" s="196"/>
      <c r="BZ809" s="196"/>
      <c r="CA809" s="196"/>
      <c r="CB809" s="178"/>
      <c r="CC809" s="178"/>
      <c r="CD809" s="202"/>
      <c r="CE809" s="202"/>
      <c r="CF809" s="178"/>
      <c r="CG809" s="196"/>
      <c r="CH809" s="178"/>
      <c r="CI809" s="178"/>
      <c r="CJ809" s="178"/>
      <c r="CK809" s="178"/>
      <c r="CL809" s="178"/>
      <c r="CM809" s="178"/>
      <c r="CN809" s="178"/>
      <c r="CO809" s="178"/>
      <c r="CP809" s="178"/>
      <c r="CQ809" s="178"/>
      <c r="CR809" s="178"/>
      <c r="CS809" s="178"/>
      <c r="CT809" s="178"/>
      <c r="CU809" s="178"/>
      <c r="CV809" s="178"/>
      <c r="CW809" s="178"/>
      <c r="CX809" s="178"/>
      <c r="CY809" s="178"/>
      <c r="CZ809" s="178"/>
      <c r="DA809" s="150"/>
    </row>
    <row r="810" spans="53:105" x14ac:dyDescent="0.2">
      <c r="BA810" s="518">
        <f t="shared" ca="1" si="49"/>
        <v>61</v>
      </c>
      <c r="BB810" s="174">
        <f t="shared" ca="1" si="50"/>
        <v>747</v>
      </c>
      <c r="BC810" s="525" t="e">
        <f ca="1">MATCH(BD810,OFFSET(Pinlist!$A$2,BC809*(BA810=BA809),0,$BM$23,1),0)+BC809*(BA810=BA809)</f>
        <v>#N/A</v>
      </c>
      <c r="BD810" s="167">
        <f t="shared" ca="1" si="51"/>
        <v>0</v>
      </c>
      <c r="BE810" s="191" t="e">
        <f ca="1">(OFFSET(Pinlist!$E$1,BC810,0)-$BN$16)*$BN$19</f>
        <v>#N/A</v>
      </c>
      <c r="BF810" s="192" t="e">
        <f ca="1">(OFFSET(Pinlist!$F$1,BC810,0)-$BO$16)*$BO$19</f>
        <v>#N/A</v>
      </c>
      <c r="BG810" s="1098" t="str">
        <f ca="1">IF(LEFT(BD810,2)="RF",OFFSET(Pinlist!$D$1,Chart!BC810,0)&amp;"_"&amp;OFFSET(Pinlist!$G$1,Chart!BC810,0),"")</f>
        <v/>
      </c>
      <c r="BH810" s="1098"/>
      <c r="BI810" s="178"/>
      <c r="BJ810" s="178"/>
      <c r="BK810" s="178"/>
      <c r="BL810" s="178"/>
      <c r="BM810" s="178"/>
      <c r="BN810" s="178"/>
      <c r="BO810" s="178"/>
      <c r="BP810" s="178"/>
      <c r="BQ810" s="196"/>
      <c r="BR810" s="196"/>
      <c r="BS810" s="196"/>
      <c r="BT810" s="196"/>
      <c r="BU810" s="196"/>
      <c r="BV810" s="196"/>
      <c r="BW810" s="178"/>
      <c r="BX810" s="196"/>
      <c r="BY810" s="196"/>
      <c r="BZ810" s="196"/>
      <c r="CA810" s="196"/>
      <c r="CB810" s="178"/>
      <c r="CC810" s="178"/>
      <c r="CD810" s="202"/>
      <c r="CE810" s="202"/>
      <c r="CF810" s="178"/>
      <c r="CG810" s="196"/>
      <c r="CH810" s="178"/>
      <c r="CI810" s="178"/>
      <c r="CJ810" s="178"/>
      <c r="CK810" s="178"/>
      <c r="CL810" s="178"/>
      <c r="CM810" s="178"/>
      <c r="CN810" s="178"/>
      <c r="CO810" s="178"/>
      <c r="CP810" s="178"/>
      <c r="CQ810" s="178"/>
      <c r="CR810" s="178"/>
      <c r="CS810" s="178"/>
      <c r="CT810" s="178"/>
      <c r="CU810" s="178"/>
      <c r="CV810" s="178"/>
      <c r="CW810" s="178"/>
      <c r="CX810" s="178"/>
      <c r="CY810" s="178"/>
      <c r="CZ810" s="178"/>
      <c r="DA810" s="150"/>
    </row>
    <row r="811" spans="53:105" x14ac:dyDescent="0.2">
      <c r="BA811" s="518">
        <f t="shared" ca="1" si="49"/>
        <v>61</v>
      </c>
      <c r="BB811" s="174">
        <f t="shared" ca="1" si="50"/>
        <v>748</v>
      </c>
      <c r="BC811" s="525" t="e">
        <f ca="1">MATCH(BD811,OFFSET(Pinlist!$A$2,BC810*(BA811=BA810),0,$BM$23,1),0)+BC810*(BA811=BA810)</f>
        <v>#N/A</v>
      </c>
      <c r="BD811" s="167">
        <f t="shared" ca="1" si="51"/>
        <v>0</v>
      </c>
      <c r="BE811" s="191" t="e">
        <f ca="1">(OFFSET(Pinlist!$E$1,BC811,0)-$BN$16)*$BN$19</f>
        <v>#N/A</v>
      </c>
      <c r="BF811" s="192" t="e">
        <f ca="1">(OFFSET(Pinlist!$F$1,BC811,0)-$BO$16)*$BO$19</f>
        <v>#N/A</v>
      </c>
      <c r="BG811" s="1098" t="str">
        <f ca="1">IF(LEFT(BD811,2)="RF",OFFSET(Pinlist!$D$1,Chart!BC811,0)&amp;"_"&amp;OFFSET(Pinlist!$G$1,Chart!BC811,0),"")</f>
        <v/>
      </c>
      <c r="BH811" s="1098"/>
      <c r="BI811" s="178"/>
      <c r="BJ811" s="178"/>
      <c r="BK811" s="178"/>
      <c r="BL811" s="178"/>
      <c r="BM811" s="178"/>
      <c r="BN811" s="178"/>
      <c r="BO811" s="178"/>
      <c r="BP811" s="178"/>
      <c r="BQ811" s="196"/>
      <c r="BR811" s="196"/>
      <c r="BS811" s="196"/>
      <c r="BT811" s="196"/>
      <c r="BU811" s="196"/>
      <c r="BV811" s="196"/>
      <c r="BW811" s="178"/>
      <c r="BX811" s="196"/>
      <c r="BY811" s="196"/>
      <c r="BZ811" s="196"/>
      <c r="CA811" s="196"/>
      <c r="CB811" s="178"/>
      <c r="CC811" s="178"/>
      <c r="CD811" s="202"/>
      <c r="CE811" s="202"/>
      <c r="CF811" s="178"/>
      <c r="CG811" s="196"/>
      <c r="CH811" s="178"/>
      <c r="CI811" s="178"/>
      <c r="CJ811" s="178"/>
      <c r="CK811" s="178"/>
      <c r="CL811" s="178"/>
      <c r="CM811" s="178"/>
      <c r="CN811" s="178"/>
      <c r="CO811" s="178"/>
      <c r="CP811" s="178"/>
      <c r="CQ811" s="178"/>
      <c r="CR811" s="178"/>
      <c r="CS811" s="178"/>
      <c r="CT811" s="178"/>
      <c r="CU811" s="178"/>
      <c r="CV811" s="178"/>
      <c r="CW811" s="178"/>
      <c r="CX811" s="178"/>
      <c r="CY811" s="178"/>
      <c r="CZ811" s="178"/>
      <c r="DA811" s="150"/>
    </row>
    <row r="812" spans="53:105" x14ac:dyDescent="0.2">
      <c r="BA812" s="518">
        <f t="shared" ca="1" si="49"/>
        <v>61</v>
      </c>
      <c r="BB812" s="174">
        <f t="shared" ca="1" si="50"/>
        <v>749</v>
      </c>
      <c r="BC812" s="525" t="e">
        <f ca="1">MATCH(BD812,OFFSET(Pinlist!$A$2,BC811*(BA812=BA811),0,$BM$23,1),0)+BC811*(BA812=BA811)</f>
        <v>#N/A</v>
      </c>
      <c r="BD812" s="167">
        <f t="shared" ca="1" si="51"/>
        <v>0</v>
      </c>
      <c r="BE812" s="191" t="e">
        <f ca="1">(OFFSET(Pinlist!$E$1,BC812,0)-$BN$16)*$BN$19</f>
        <v>#N/A</v>
      </c>
      <c r="BF812" s="192" t="e">
        <f ca="1">(OFFSET(Pinlist!$F$1,BC812,0)-$BO$16)*$BO$19</f>
        <v>#N/A</v>
      </c>
      <c r="BG812" s="1098" t="str">
        <f ca="1">IF(LEFT(BD812,2)="RF",OFFSET(Pinlist!$D$1,Chart!BC812,0)&amp;"_"&amp;OFFSET(Pinlist!$G$1,Chart!BC812,0),"")</f>
        <v/>
      </c>
      <c r="BH812" s="1098"/>
      <c r="BI812" s="178"/>
      <c r="BJ812" s="178"/>
      <c r="BK812" s="178"/>
      <c r="BL812" s="178"/>
      <c r="BM812" s="178"/>
      <c r="BN812" s="178"/>
      <c r="BO812" s="178"/>
      <c r="BP812" s="178"/>
      <c r="BQ812" s="196"/>
      <c r="BR812" s="196"/>
      <c r="BS812" s="196"/>
      <c r="BT812" s="196"/>
      <c r="BU812" s="196"/>
      <c r="BV812" s="196"/>
      <c r="BW812" s="178"/>
      <c r="BX812" s="196"/>
      <c r="BY812" s="196"/>
      <c r="BZ812" s="196"/>
      <c r="CA812" s="196"/>
      <c r="CB812" s="178"/>
      <c r="CC812" s="178"/>
      <c r="CD812" s="202"/>
      <c r="CE812" s="202"/>
      <c r="CF812" s="178"/>
      <c r="CG812" s="196"/>
      <c r="CH812" s="178"/>
      <c r="CI812" s="178"/>
      <c r="CJ812" s="178"/>
      <c r="CK812" s="178"/>
      <c r="CL812" s="178"/>
      <c r="CM812" s="178"/>
      <c r="CN812" s="178"/>
      <c r="CO812" s="178"/>
      <c r="CP812" s="178"/>
      <c r="CQ812" s="178"/>
      <c r="CR812" s="178"/>
      <c r="CS812" s="178"/>
      <c r="CT812" s="178"/>
      <c r="CU812" s="178"/>
      <c r="CV812" s="178"/>
      <c r="CW812" s="178"/>
      <c r="CX812" s="178"/>
      <c r="CY812" s="178"/>
      <c r="CZ812" s="178"/>
      <c r="DA812" s="150"/>
    </row>
    <row r="813" spans="53:105" x14ac:dyDescent="0.2">
      <c r="BA813" s="518">
        <f t="shared" ca="1" si="49"/>
        <v>61</v>
      </c>
      <c r="BB813" s="174">
        <f t="shared" ca="1" si="50"/>
        <v>750</v>
      </c>
      <c r="BC813" s="525" t="e">
        <f ca="1">MATCH(BD813,OFFSET(Pinlist!$A$2,BC812*(BA813=BA812),0,$BM$23,1),0)+BC812*(BA813=BA812)</f>
        <v>#N/A</v>
      </c>
      <c r="BD813" s="167">
        <f t="shared" ca="1" si="51"/>
        <v>0</v>
      </c>
      <c r="BE813" s="191" t="e">
        <f ca="1">(OFFSET(Pinlist!$E$1,BC813,0)-$BN$16)*$BN$19</f>
        <v>#N/A</v>
      </c>
      <c r="BF813" s="192" t="e">
        <f ca="1">(OFFSET(Pinlist!$F$1,BC813,0)-$BO$16)*$BO$19</f>
        <v>#N/A</v>
      </c>
      <c r="BG813" s="1098" t="str">
        <f ca="1">IF(LEFT(BD813,2)="RF",OFFSET(Pinlist!$D$1,Chart!BC813,0)&amp;"_"&amp;OFFSET(Pinlist!$G$1,Chart!BC813,0),"")</f>
        <v/>
      </c>
      <c r="BH813" s="1098"/>
      <c r="BI813" s="178"/>
      <c r="BJ813" s="178"/>
      <c r="BK813" s="178"/>
      <c r="BL813" s="178"/>
      <c r="BM813" s="178"/>
      <c r="BN813" s="178"/>
      <c r="BO813" s="178"/>
      <c r="BP813" s="178"/>
      <c r="BQ813" s="196"/>
      <c r="BR813" s="196"/>
      <c r="BS813" s="196"/>
      <c r="BT813" s="196"/>
      <c r="BU813" s="196"/>
      <c r="BV813" s="196"/>
      <c r="BW813" s="178"/>
      <c r="BX813" s="196"/>
      <c r="BY813" s="196"/>
      <c r="BZ813" s="196"/>
      <c r="CA813" s="196"/>
      <c r="CB813" s="178"/>
      <c r="CC813" s="178"/>
      <c r="CD813" s="202"/>
      <c r="CE813" s="202"/>
      <c r="CF813" s="178"/>
      <c r="CG813" s="196"/>
      <c r="CH813" s="178"/>
      <c r="CI813" s="178"/>
      <c r="CJ813" s="178"/>
      <c r="CK813" s="178"/>
      <c r="CL813" s="178"/>
      <c r="CM813" s="178"/>
      <c r="CN813" s="178"/>
      <c r="CO813" s="178"/>
      <c r="CP813" s="178"/>
      <c r="CQ813" s="178"/>
      <c r="CR813" s="178"/>
      <c r="CS813" s="178"/>
      <c r="CT813" s="178"/>
      <c r="CU813" s="178"/>
      <c r="CV813" s="178"/>
      <c r="CW813" s="178"/>
      <c r="CX813" s="178"/>
      <c r="CY813" s="178"/>
      <c r="CZ813" s="178"/>
      <c r="DA813" s="150"/>
    </row>
    <row r="814" spans="53:105" x14ac:dyDescent="0.2">
      <c r="BA814" s="518">
        <f t="shared" ca="1" si="49"/>
        <v>61</v>
      </c>
      <c r="BB814" s="174">
        <f t="shared" ca="1" si="50"/>
        <v>751</v>
      </c>
      <c r="BC814" s="525" t="e">
        <f ca="1">MATCH(BD814,OFFSET(Pinlist!$A$2,BC813*(BA814=BA813),0,$BM$23,1),0)+BC813*(BA814=BA813)</f>
        <v>#N/A</v>
      </c>
      <c r="BD814" s="167">
        <f t="shared" ca="1" si="51"/>
        <v>0</v>
      </c>
      <c r="BE814" s="191" t="e">
        <f ca="1">(OFFSET(Pinlist!$E$1,BC814,0)-$BN$16)*$BN$19</f>
        <v>#N/A</v>
      </c>
      <c r="BF814" s="192" t="e">
        <f ca="1">(OFFSET(Pinlist!$F$1,BC814,0)-$BO$16)*$BO$19</f>
        <v>#N/A</v>
      </c>
      <c r="BG814" s="1098" t="str">
        <f ca="1">IF(LEFT(BD814,2)="RF",OFFSET(Pinlist!$D$1,Chart!BC814,0)&amp;"_"&amp;OFFSET(Pinlist!$G$1,Chart!BC814,0),"")</f>
        <v/>
      </c>
      <c r="BH814" s="1098"/>
      <c r="BI814" s="178"/>
      <c r="BJ814" s="178"/>
      <c r="BK814" s="178"/>
      <c r="BL814" s="178"/>
      <c r="BM814" s="178"/>
      <c r="BN814" s="178"/>
      <c r="BO814" s="178"/>
      <c r="BP814" s="178"/>
      <c r="BQ814" s="196"/>
      <c r="BR814" s="196"/>
      <c r="BS814" s="196"/>
      <c r="BT814" s="196"/>
      <c r="BU814" s="196"/>
      <c r="BV814" s="196"/>
      <c r="BW814" s="178"/>
      <c r="BX814" s="196"/>
      <c r="BY814" s="196"/>
      <c r="BZ814" s="196"/>
      <c r="CA814" s="196"/>
      <c r="CB814" s="178"/>
      <c r="CC814" s="178"/>
      <c r="CD814" s="202"/>
      <c r="CE814" s="202"/>
      <c r="CF814" s="178"/>
      <c r="CG814" s="196"/>
      <c r="CH814" s="178"/>
      <c r="CI814" s="178"/>
      <c r="CJ814" s="178"/>
      <c r="CK814" s="178"/>
      <c r="CL814" s="178"/>
      <c r="CM814" s="178"/>
      <c r="CN814" s="178"/>
      <c r="CO814" s="178"/>
      <c r="CP814" s="178"/>
      <c r="CQ814" s="178"/>
      <c r="CR814" s="178"/>
      <c r="CS814" s="178"/>
      <c r="CT814" s="178"/>
      <c r="CU814" s="178"/>
      <c r="CV814" s="178"/>
      <c r="CW814" s="178"/>
      <c r="CX814" s="178"/>
      <c r="CY814" s="178"/>
      <c r="CZ814" s="178"/>
      <c r="DA814" s="150"/>
    </row>
    <row r="815" spans="53:105" x14ac:dyDescent="0.2">
      <c r="BA815" s="518">
        <f t="shared" ca="1" si="49"/>
        <v>61</v>
      </c>
      <c r="BB815" s="174">
        <f t="shared" ca="1" si="50"/>
        <v>752</v>
      </c>
      <c r="BC815" s="525" t="e">
        <f ca="1">MATCH(BD815,OFFSET(Pinlist!$A$2,BC814*(BA815=BA814),0,$BM$23,1),0)+BC814*(BA815=BA814)</f>
        <v>#N/A</v>
      </c>
      <c r="BD815" s="167">
        <f t="shared" ca="1" si="51"/>
        <v>0</v>
      </c>
      <c r="BE815" s="191" t="e">
        <f ca="1">(OFFSET(Pinlist!$E$1,BC815,0)-$BN$16)*$BN$19</f>
        <v>#N/A</v>
      </c>
      <c r="BF815" s="192" t="e">
        <f ca="1">(OFFSET(Pinlist!$F$1,BC815,0)-$BO$16)*$BO$19</f>
        <v>#N/A</v>
      </c>
      <c r="BG815" s="1098" t="str">
        <f ca="1">IF(LEFT(BD815,2)="RF",OFFSET(Pinlist!$D$1,Chart!BC815,0)&amp;"_"&amp;OFFSET(Pinlist!$G$1,Chart!BC815,0),"")</f>
        <v/>
      </c>
      <c r="BH815" s="1098"/>
      <c r="BI815" s="178"/>
      <c r="BJ815" s="178"/>
      <c r="BK815" s="178"/>
      <c r="BL815" s="178"/>
      <c r="BM815" s="178"/>
      <c r="BN815" s="178"/>
      <c r="BO815" s="178"/>
      <c r="BP815" s="178"/>
      <c r="BQ815" s="196"/>
      <c r="BR815" s="196"/>
      <c r="BS815" s="196"/>
      <c r="BT815" s="196"/>
      <c r="BU815" s="196"/>
      <c r="BV815" s="196"/>
      <c r="BW815" s="178"/>
      <c r="BX815" s="196"/>
      <c r="BY815" s="196"/>
      <c r="BZ815" s="196"/>
      <c r="CA815" s="196"/>
      <c r="CB815" s="178"/>
      <c r="CC815" s="178"/>
      <c r="CD815" s="202"/>
      <c r="CE815" s="202"/>
      <c r="CF815" s="178"/>
      <c r="CG815" s="196"/>
      <c r="CH815" s="178"/>
      <c r="CI815" s="178"/>
      <c r="CJ815" s="178"/>
      <c r="CK815" s="178"/>
      <c r="CL815" s="178"/>
      <c r="CM815" s="178"/>
      <c r="CN815" s="178"/>
      <c r="CO815" s="178"/>
      <c r="CP815" s="178"/>
      <c r="CQ815" s="178"/>
      <c r="CR815" s="178"/>
      <c r="CS815" s="178"/>
      <c r="CT815" s="178"/>
      <c r="CU815" s="178"/>
      <c r="CV815" s="178"/>
      <c r="CW815" s="178"/>
      <c r="CX815" s="178"/>
      <c r="CY815" s="178"/>
      <c r="CZ815" s="178"/>
      <c r="DA815" s="150"/>
    </row>
    <row r="816" spans="53:105" x14ac:dyDescent="0.2">
      <c r="BA816" s="518">
        <f t="shared" ca="1" si="49"/>
        <v>61</v>
      </c>
      <c r="BB816" s="174">
        <f t="shared" ca="1" si="50"/>
        <v>753</v>
      </c>
      <c r="BC816" s="525" t="e">
        <f ca="1">MATCH(BD816,OFFSET(Pinlist!$A$2,BC815*(BA816=BA815),0,$BM$23,1),0)+BC815*(BA816=BA815)</f>
        <v>#N/A</v>
      </c>
      <c r="BD816" s="167">
        <f t="shared" ca="1" si="51"/>
        <v>0</v>
      </c>
      <c r="BE816" s="191" t="e">
        <f ca="1">(OFFSET(Pinlist!$E$1,BC816,0)-$BN$16)*$BN$19</f>
        <v>#N/A</v>
      </c>
      <c r="BF816" s="192" t="e">
        <f ca="1">(OFFSET(Pinlist!$F$1,BC816,0)-$BO$16)*$BO$19</f>
        <v>#N/A</v>
      </c>
      <c r="BG816" s="1098" t="str">
        <f ca="1">IF(LEFT(BD816,2)="RF",OFFSET(Pinlist!$D$1,Chart!BC816,0)&amp;"_"&amp;OFFSET(Pinlist!$G$1,Chart!BC816,0),"")</f>
        <v/>
      </c>
      <c r="BH816" s="1098"/>
      <c r="BI816" s="178"/>
      <c r="BJ816" s="178"/>
      <c r="BK816" s="178"/>
      <c r="BL816" s="178"/>
      <c r="BM816" s="178"/>
      <c r="BN816" s="178"/>
      <c r="BO816" s="178"/>
      <c r="BP816" s="178"/>
      <c r="BQ816" s="196"/>
      <c r="BR816" s="196"/>
      <c r="BS816" s="196"/>
      <c r="BT816" s="196"/>
      <c r="BU816" s="196"/>
      <c r="BV816" s="196"/>
      <c r="BW816" s="178"/>
      <c r="BX816" s="196"/>
      <c r="BY816" s="196"/>
      <c r="BZ816" s="196"/>
      <c r="CA816" s="196"/>
      <c r="CB816" s="178"/>
      <c r="CC816" s="178"/>
      <c r="CD816" s="202"/>
      <c r="CE816" s="202"/>
      <c r="CF816" s="178"/>
      <c r="CG816" s="196"/>
      <c r="CH816" s="178"/>
      <c r="CI816" s="178"/>
      <c r="CJ816" s="178"/>
      <c r="CK816" s="178"/>
      <c r="CL816" s="178"/>
      <c r="CM816" s="178"/>
      <c r="CN816" s="178"/>
      <c r="CO816" s="178"/>
      <c r="CP816" s="178"/>
      <c r="CQ816" s="178"/>
      <c r="CR816" s="178"/>
      <c r="CS816" s="178"/>
      <c r="CT816" s="178"/>
      <c r="CU816" s="178"/>
      <c r="CV816" s="178"/>
      <c r="CW816" s="178"/>
      <c r="CX816" s="178"/>
      <c r="CY816" s="178"/>
      <c r="CZ816" s="178"/>
      <c r="DA816" s="150"/>
    </row>
    <row r="817" spans="53:105" x14ac:dyDescent="0.2">
      <c r="BA817" s="518">
        <f t="shared" ca="1" si="49"/>
        <v>61</v>
      </c>
      <c r="BB817" s="174">
        <f t="shared" ca="1" si="50"/>
        <v>754</v>
      </c>
      <c r="BC817" s="525" t="e">
        <f ca="1">MATCH(BD817,OFFSET(Pinlist!$A$2,BC816*(BA817=BA816),0,$BM$23,1),0)+BC816*(BA817=BA816)</f>
        <v>#N/A</v>
      </c>
      <c r="BD817" s="167">
        <f t="shared" ca="1" si="51"/>
        <v>0</v>
      </c>
      <c r="BE817" s="191" t="e">
        <f ca="1">(OFFSET(Pinlist!$E$1,BC817,0)-$BN$16)*$BN$19</f>
        <v>#N/A</v>
      </c>
      <c r="BF817" s="192" t="e">
        <f ca="1">(OFFSET(Pinlist!$F$1,BC817,0)-$BO$16)*$BO$19</f>
        <v>#N/A</v>
      </c>
      <c r="BG817" s="1098" t="str">
        <f ca="1">IF(LEFT(BD817,2)="RF",OFFSET(Pinlist!$D$1,Chart!BC817,0)&amp;"_"&amp;OFFSET(Pinlist!$G$1,Chart!BC817,0),"")</f>
        <v/>
      </c>
      <c r="BH817" s="1098"/>
      <c r="BI817" s="178"/>
      <c r="BJ817" s="178"/>
      <c r="BK817" s="178"/>
      <c r="BL817" s="178"/>
      <c r="BM817" s="178"/>
      <c r="BN817" s="178"/>
      <c r="BO817" s="178"/>
      <c r="BP817" s="178"/>
      <c r="BQ817" s="196"/>
      <c r="BR817" s="196"/>
      <c r="BS817" s="196"/>
      <c r="BT817" s="196"/>
      <c r="BU817" s="196"/>
      <c r="BV817" s="196"/>
      <c r="BW817" s="178"/>
      <c r="BX817" s="196"/>
      <c r="BY817" s="196"/>
      <c r="BZ817" s="196"/>
      <c r="CA817" s="196"/>
      <c r="CB817" s="178"/>
      <c r="CC817" s="178"/>
      <c r="CD817" s="202"/>
      <c r="CE817" s="202"/>
      <c r="CF817" s="178"/>
      <c r="CG817" s="196"/>
      <c r="CH817" s="178"/>
      <c r="CI817" s="178"/>
      <c r="CJ817" s="178"/>
      <c r="CK817" s="178"/>
      <c r="CL817" s="178"/>
      <c r="CM817" s="178"/>
      <c r="CN817" s="178"/>
      <c r="CO817" s="178"/>
      <c r="CP817" s="178"/>
      <c r="CQ817" s="178"/>
      <c r="CR817" s="178"/>
      <c r="CS817" s="178"/>
      <c r="CT817" s="178"/>
      <c r="CU817" s="178"/>
      <c r="CV817" s="178"/>
      <c r="CW817" s="178"/>
      <c r="CX817" s="178"/>
      <c r="CY817" s="178"/>
      <c r="CZ817" s="178"/>
      <c r="DA817" s="150"/>
    </row>
    <row r="818" spans="53:105" x14ac:dyDescent="0.2">
      <c r="BA818" s="518">
        <f t="shared" ca="1" si="49"/>
        <v>61</v>
      </c>
      <c r="BB818" s="174">
        <f t="shared" ca="1" si="50"/>
        <v>755</v>
      </c>
      <c r="BC818" s="525" t="e">
        <f ca="1">MATCH(BD818,OFFSET(Pinlist!$A$2,BC817*(BA818=BA817),0,$BM$23,1),0)+BC817*(BA818=BA817)</f>
        <v>#N/A</v>
      </c>
      <c r="BD818" s="167">
        <f t="shared" ca="1" si="51"/>
        <v>0</v>
      </c>
      <c r="BE818" s="191" t="e">
        <f ca="1">(OFFSET(Pinlist!$E$1,BC818,0)-$BN$16)*$BN$19</f>
        <v>#N/A</v>
      </c>
      <c r="BF818" s="192" t="e">
        <f ca="1">(OFFSET(Pinlist!$F$1,BC818,0)-$BO$16)*$BO$19</f>
        <v>#N/A</v>
      </c>
      <c r="BG818" s="1098" t="str">
        <f ca="1">IF(LEFT(BD818,2)="RF",OFFSET(Pinlist!$D$1,Chart!BC818,0)&amp;"_"&amp;OFFSET(Pinlist!$G$1,Chart!BC818,0),"")</f>
        <v/>
      </c>
      <c r="BH818" s="1098"/>
      <c r="BI818" s="178"/>
      <c r="BJ818" s="178"/>
      <c r="BK818" s="178"/>
      <c r="BL818" s="178"/>
      <c r="BM818" s="178"/>
      <c r="BN818" s="178"/>
      <c r="BO818" s="178"/>
      <c r="BP818" s="178"/>
      <c r="BQ818" s="196"/>
      <c r="BR818" s="196"/>
      <c r="BS818" s="196"/>
      <c r="BT818" s="196"/>
      <c r="BU818" s="196"/>
      <c r="BV818" s="196"/>
      <c r="BW818" s="178"/>
      <c r="BX818" s="196"/>
      <c r="BY818" s="196"/>
      <c r="BZ818" s="196"/>
      <c r="CA818" s="196"/>
      <c r="CB818" s="178"/>
      <c r="CC818" s="178"/>
      <c r="CD818" s="202"/>
      <c r="CE818" s="202"/>
      <c r="CF818" s="178"/>
      <c r="CG818" s="196"/>
      <c r="CH818" s="178"/>
      <c r="CI818" s="178"/>
      <c r="CJ818" s="178"/>
      <c r="CK818" s="178"/>
      <c r="CL818" s="178"/>
      <c r="CM818" s="178"/>
      <c r="CN818" s="178"/>
      <c r="CO818" s="178"/>
      <c r="CP818" s="178"/>
      <c r="CQ818" s="178"/>
      <c r="CR818" s="178"/>
      <c r="CS818" s="178"/>
      <c r="CT818" s="178"/>
      <c r="CU818" s="178"/>
      <c r="CV818" s="178"/>
      <c r="CW818" s="178"/>
      <c r="CX818" s="178"/>
      <c r="CY818" s="178"/>
      <c r="CZ818" s="178"/>
      <c r="DA818" s="150"/>
    </row>
    <row r="819" spans="53:105" x14ac:dyDescent="0.2">
      <c r="BA819" s="518">
        <f t="shared" ca="1" si="49"/>
        <v>61</v>
      </c>
      <c r="BB819" s="174">
        <f t="shared" ca="1" si="50"/>
        <v>756</v>
      </c>
      <c r="BC819" s="525" t="e">
        <f ca="1">MATCH(BD819,OFFSET(Pinlist!$A$2,BC818*(BA819=BA818),0,$BM$23,1),0)+BC818*(BA819=BA818)</f>
        <v>#N/A</v>
      </c>
      <c r="BD819" s="167">
        <f t="shared" ca="1" si="51"/>
        <v>0</v>
      </c>
      <c r="BE819" s="191" t="e">
        <f ca="1">(OFFSET(Pinlist!$E$1,BC819,0)-$BN$16)*$BN$19</f>
        <v>#N/A</v>
      </c>
      <c r="BF819" s="192" t="e">
        <f ca="1">(OFFSET(Pinlist!$F$1,BC819,0)-$BO$16)*$BO$19</f>
        <v>#N/A</v>
      </c>
      <c r="BG819" s="1098" t="str">
        <f ca="1">IF(LEFT(BD819,2)="RF",OFFSET(Pinlist!$D$1,Chart!BC819,0)&amp;"_"&amp;OFFSET(Pinlist!$G$1,Chart!BC819,0),"")</f>
        <v/>
      </c>
      <c r="BH819" s="1098"/>
      <c r="BI819" s="178"/>
      <c r="BJ819" s="178"/>
      <c r="BK819" s="178"/>
      <c r="BL819" s="178"/>
      <c r="BM819" s="178"/>
      <c r="BN819" s="178"/>
      <c r="BO819" s="178"/>
      <c r="BP819" s="178"/>
      <c r="BQ819" s="196"/>
      <c r="BR819" s="196"/>
      <c r="BS819" s="196"/>
      <c r="BT819" s="196"/>
      <c r="BU819" s="196"/>
      <c r="BV819" s="196"/>
      <c r="BW819" s="178"/>
      <c r="BX819" s="196"/>
      <c r="BY819" s="196"/>
      <c r="BZ819" s="196"/>
      <c r="CA819" s="196"/>
      <c r="CB819" s="178"/>
      <c r="CC819" s="178"/>
      <c r="CD819" s="202"/>
      <c r="CE819" s="202"/>
      <c r="CF819" s="178"/>
      <c r="CG819" s="196"/>
      <c r="CH819" s="178"/>
      <c r="CI819" s="178"/>
      <c r="CJ819" s="178"/>
      <c r="CK819" s="178"/>
      <c r="CL819" s="178"/>
      <c r="CM819" s="178"/>
      <c r="CN819" s="178"/>
      <c r="CO819" s="178"/>
      <c r="CP819" s="178"/>
      <c r="CQ819" s="178"/>
      <c r="CR819" s="178"/>
      <c r="CS819" s="178"/>
      <c r="CT819" s="178"/>
      <c r="CU819" s="178"/>
      <c r="CV819" s="178"/>
      <c r="CW819" s="178"/>
      <c r="CX819" s="178"/>
      <c r="CY819" s="178"/>
      <c r="CZ819" s="178"/>
      <c r="DA819" s="150"/>
    </row>
    <row r="820" spans="53:105" x14ac:dyDescent="0.2">
      <c r="BA820" s="518">
        <f t="shared" ca="1" si="49"/>
        <v>61</v>
      </c>
      <c r="BB820" s="174">
        <f t="shared" ca="1" si="50"/>
        <v>757</v>
      </c>
      <c r="BC820" s="525" t="e">
        <f ca="1">MATCH(BD820,OFFSET(Pinlist!$A$2,BC819*(BA820=BA819),0,$BM$23,1),0)+BC819*(BA820=BA819)</f>
        <v>#N/A</v>
      </c>
      <c r="BD820" s="167">
        <f t="shared" ca="1" si="51"/>
        <v>0</v>
      </c>
      <c r="BE820" s="191" t="e">
        <f ca="1">(OFFSET(Pinlist!$E$1,BC820,0)-$BN$16)*$BN$19</f>
        <v>#N/A</v>
      </c>
      <c r="BF820" s="192" t="e">
        <f ca="1">(OFFSET(Pinlist!$F$1,BC820,0)-$BO$16)*$BO$19</f>
        <v>#N/A</v>
      </c>
      <c r="BG820" s="1098" t="str">
        <f ca="1">IF(LEFT(BD820,2)="RF",OFFSET(Pinlist!$D$1,Chart!BC820,0)&amp;"_"&amp;OFFSET(Pinlist!$G$1,Chart!BC820,0),"")</f>
        <v/>
      </c>
      <c r="BH820" s="1098"/>
      <c r="BI820" s="178"/>
      <c r="BJ820" s="178"/>
      <c r="BK820" s="178"/>
      <c r="BL820" s="178"/>
      <c r="BM820" s="178"/>
      <c r="BN820" s="178"/>
      <c r="BO820" s="178"/>
      <c r="BP820" s="178"/>
      <c r="BQ820" s="196"/>
      <c r="BR820" s="196"/>
      <c r="BS820" s="196"/>
      <c r="BT820" s="196"/>
      <c r="BU820" s="196"/>
      <c r="BV820" s="196"/>
      <c r="BW820" s="178"/>
      <c r="BX820" s="196"/>
      <c r="BY820" s="196"/>
      <c r="BZ820" s="196"/>
      <c r="CA820" s="196"/>
      <c r="CB820" s="178"/>
      <c r="CC820" s="178"/>
      <c r="CD820" s="202"/>
      <c r="CE820" s="202"/>
      <c r="CF820" s="178"/>
      <c r="CG820" s="196"/>
      <c r="CH820" s="178"/>
      <c r="CI820" s="178"/>
      <c r="CJ820" s="178"/>
      <c r="CK820" s="178"/>
      <c r="CL820" s="178"/>
      <c r="CM820" s="178"/>
      <c r="CN820" s="178"/>
      <c r="CO820" s="178"/>
      <c r="CP820" s="178"/>
      <c r="CQ820" s="178"/>
      <c r="CR820" s="178"/>
      <c r="CS820" s="178"/>
      <c r="CT820" s="178"/>
      <c r="CU820" s="178"/>
      <c r="CV820" s="178"/>
      <c r="CW820" s="178"/>
      <c r="CX820" s="178"/>
      <c r="CY820" s="178"/>
      <c r="CZ820" s="178"/>
      <c r="DA820" s="150"/>
    </row>
    <row r="821" spans="53:105" x14ac:dyDescent="0.2">
      <c r="BA821" s="518">
        <f t="shared" ca="1" si="49"/>
        <v>61</v>
      </c>
      <c r="BB821" s="174">
        <f t="shared" ca="1" si="50"/>
        <v>758</v>
      </c>
      <c r="BC821" s="525" t="e">
        <f ca="1">MATCH(BD821,OFFSET(Pinlist!$A$2,BC820*(BA821=BA820),0,$BM$23,1),0)+BC820*(BA821=BA820)</f>
        <v>#N/A</v>
      </c>
      <c r="BD821" s="167">
        <f t="shared" ca="1" si="51"/>
        <v>0</v>
      </c>
      <c r="BE821" s="191" t="e">
        <f ca="1">(OFFSET(Pinlist!$E$1,BC821,0)-$BN$16)*$BN$19</f>
        <v>#N/A</v>
      </c>
      <c r="BF821" s="192" t="e">
        <f ca="1">(OFFSET(Pinlist!$F$1,BC821,0)-$BO$16)*$BO$19</f>
        <v>#N/A</v>
      </c>
      <c r="BG821" s="1098" t="str">
        <f ca="1">IF(LEFT(BD821,2)="RF",OFFSET(Pinlist!$D$1,Chart!BC821,0)&amp;"_"&amp;OFFSET(Pinlist!$G$1,Chart!BC821,0),"")</f>
        <v/>
      </c>
      <c r="BH821" s="1098"/>
      <c r="BI821" s="178"/>
      <c r="BJ821" s="178"/>
      <c r="BK821" s="178"/>
      <c r="BL821" s="178"/>
      <c r="BM821" s="178"/>
      <c r="BN821" s="178"/>
      <c r="BO821" s="178"/>
      <c r="BP821" s="178"/>
      <c r="BQ821" s="196"/>
      <c r="BR821" s="196"/>
      <c r="BS821" s="196"/>
      <c r="BT821" s="196"/>
      <c r="BU821" s="196"/>
      <c r="BV821" s="196"/>
      <c r="BW821" s="178"/>
      <c r="BX821" s="196"/>
      <c r="BY821" s="196"/>
      <c r="BZ821" s="196"/>
      <c r="CA821" s="196"/>
      <c r="CB821" s="178"/>
      <c r="CC821" s="178"/>
      <c r="CD821" s="202"/>
      <c r="CE821" s="202"/>
      <c r="CF821" s="178"/>
      <c r="CG821" s="196"/>
      <c r="CH821" s="178"/>
      <c r="CI821" s="178"/>
      <c r="CJ821" s="178"/>
      <c r="CK821" s="178"/>
      <c r="CL821" s="178"/>
      <c r="CM821" s="178"/>
      <c r="CN821" s="178"/>
      <c r="CO821" s="178"/>
      <c r="CP821" s="178"/>
      <c r="CQ821" s="178"/>
      <c r="CR821" s="178"/>
      <c r="CS821" s="178"/>
      <c r="CT821" s="178"/>
      <c r="CU821" s="178"/>
      <c r="CV821" s="178"/>
      <c r="CW821" s="178"/>
      <c r="CX821" s="178"/>
      <c r="CY821" s="178"/>
      <c r="CZ821" s="178"/>
      <c r="DA821" s="150"/>
    </row>
    <row r="822" spans="53:105" x14ac:dyDescent="0.2">
      <c r="BA822" s="518">
        <f t="shared" ca="1" si="49"/>
        <v>61</v>
      </c>
      <c r="BB822" s="174">
        <f t="shared" ca="1" si="50"/>
        <v>759</v>
      </c>
      <c r="BC822" s="525" t="e">
        <f ca="1">MATCH(BD822,OFFSET(Pinlist!$A$2,BC821*(BA822=BA821),0,$BM$23,1),0)+BC821*(BA822=BA821)</f>
        <v>#N/A</v>
      </c>
      <c r="BD822" s="167">
        <f t="shared" ca="1" si="51"/>
        <v>0</v>
      </c>
      <c r="BE822" s="191" t="e">
        <f ca="1">(OFFSET(Pinlist!$E$1,BC822,0)-$BN$16)*$BN$19</f>
        <v>#N/A</v>
      </c>
      <c r="BF822" s="192" t="e">
        <f ca="1">(OFFSET(Pinlist!$F$1,BC822,0)-$BO$16)*$BO$19</f>
        <v>#N/A</v>
      </c>
      <c r="BG822" s="1098" t="str">
        <f ca="1">IF(LEFT(BD822,2)="RF",OFFSET(Pinlist!$D$1,Chart!BC822,0)&amp;"_"&amp;OFFSET(Pinlist!$G$1,Chart!BC822,0),"")</f>
        <v/>
      </c>
      <c r="BH822" s="1098"/>
      <c r="BI822" s="178"/>
      <c r="BJ822" s="178"/>
      <c r="BK822" s="178"/>
      <c r="BL822" s="178"/>
      <c r="BM822" s="178"/>
      <c r="BN822" s="178"/>
      <c r="BO822" s="178"/>
      <c r="BP822" s="178"/>
      <c r="BQ822" s="196"/>
      <c r="BR822" s="196"/>
      <c r="BS822" s="196"/>
      <c r="BT822" s="196"/>
      <c r="BU822" s="196"/>
      <c r="BV822" s="196"/>
      <c r="BW822" s="178"/>
      <c r="BX822" s="196"/>
      <c r="BY822" s="196"/>
      <c r="BZ822" s="196"/>
      <c r="CA822" s="196"/>
      <c r="CB822" s="178"/>
      <c r="CC822" s="178"/>
      <c r="CD822" s="202"/>
      <c r="CE822" s="202"/>
      <c r="CF822" s="178"/>
      <c r="CG822" s="196"/>
      <c r="CH822" s="178"/>
      <c r="CI822" s="178"/>
      <c r="CJ822" s="178"/>
      <c r="CK822" s="178"/>
      <c r="CL822" s="178"/>
      <c r="CM822" s="178"/>
      <c r="CN822" s="178"/>
      <c r="CO822" s="178"/>
      <c r="CP822" s="178"/>
      <c r="CQ822" s="178"/>
      <c r="CR822" s="178"/>
      <c r="CS822" s="178"/>
      <c r="CT822" s="178"/>
      <c r="CU822" s="178"/>
      <c r="CV822" s="178"/>
      <c r="CW822" s="178"/>
      <c r="CX822" s="178"/>
      <c r="CY822" s="178"/>
      <c r="CZ822" s="178"/>
      <c r="DA822" s="150"/>
    </row>
    <row r="823" spans="53:105" x14ac:dyDescent="0.2">
      <c r="BA823" s="518">
        <f t="shared" ca="1" si="49"/>
        <v>61</v>
      </c>
      <c r="BB823" s="174">
        <f t="shared" ca="1" si="50"/>
        <v>760</v>
      </c>
      <c r="BC823" s="525" t="e">
        <f ca="1">MATCH(BD823,OFFSET(Pinlist!$A$2,BC822*(BA823=BA822),0,$BM$23,1),0)+BC822*(BA823=BA822)</f>
        <v>#N/A</v>
      </c>
      <c r="BD823" s="167">
        <f t="shared" ca="1" si="51"/>
        <v>0</v>
      </c>
      <c r="BE823" s="191" t="e">
        <f ca="1">(OFFSET(Pinlist!$E$1,BC823,0)-$BN$16)*$BN$19</f>
        <v>#N/A</v>
      </c>
      <c r="BF823" s="192" t="e">
        <f ca="1">(OFFSET(Pinlist!$F$1,BC823,0)-$BO$16)*$BO$19</f>
        <v>#N/A</v>
      </c>
      <c r="BG823" s="1098" t="str">
        <f ca="1">IF(LEFT(BD823,2)="RF",OFFSET(Pinlist!$D$1,Chart!BC823,0)&amp;"_"&amp;OFFSET(Pinlist!$G$1,Chart!BC823,0),"")</f>
        <v/>
      </c>
      <c r="BH823" s="1098"/>
      <c r="BI823" s="178"/>
      <c r="BJ823" s="178"/>
      <c r="BK823" s="178"/>
      <c r="BL823" s="178"/>
      <c r="BM823" s="178"/>
      <c r="BN823" s="178"/>
      <c r="BO823" s="178"/>
      <c r="BP823" s="178"/>
      <c r="BQ823" s="196"/>
      <c r="BR823" s="196"/>
      <c r="BS823" s="196"/>
      <c r="BT823" s="196"/>
      <c r="BU823" s="196"/>
      <c r="BV823" s="196"/>
      <c r="BW823" s="178"/>
      <c r="BX823" s="196"/>
      <c r="BY823" s="196"/>
      <c r="BZ823" s="196"/>
      <c r="CA823" s="196"/>
      <c r="CB823" s="178"/>
      <c r="CC823" s="178"/>
      <c r="CD823" s="202"/>
      <c r="CE823" s="202"/>
      <c r="CF823" s="178"/>
      <c r="CG823" s="196"/>
      <c r="CH823" s="178"/>
      <c r="CI823" s="178"/>
      <c r="CJ823" s="178"/>
      <c r="CK823" s="178"/>
      <c r="CL823" s="178"/>
      <c r="CM823" s="178"/>
      <c r="CN823" s="178"/>
      <c r="CO823" s="178"/>
      <c r="CP823" s="178"/>
      <c r="CQ823" s="178"/>
      <c r="CR823" s="178"/>
      <c r="CS823" s="178"/>
      <c r="CT823" s="178"/>
      <c r="CU823" s="178"/>
      <c r="CV823" s="178"/>
      <c r="CW823" s="178"/>
      <c r="CX823" s="178"/>
      <c r="CY823" s="178"/>
      <c r="CZ823" s="178"/>
      <c r="DA823" s="150"/>
    </row>
    <row r="824" spans="53:105" x14ac:dyDescent="0.2">
      <c r="BA824" s="518">
        <f t="shared" ca="1" si="49"/>
        <v>61</v>
      </c>
      <c r="BB824" s="174">
        <f t="shared" ca="1" si="50"/>
        <v>761</v>
      </c>
      <c r="BC824" s="525" t="e">
        <f ca="1">MATCH(BD824,OFFSET(Pinlist!$A$2,BC823*(BA824=BA823),0,$BM$23,1),0)+BC823*(BA824=BA823)</f>
        <v>#N/A</v>
      </c>
      <c r="BD824" s="167">
        <f t="shared" ca="1" si="51"/>
        <v>0</v>
      </c>
      <c r="BE824" s="191" t="e">
        <f ca="1">(OFFSET(Pinlist!$E$1,BC824,0)-$BN$16)*$BN$19</f>
        <v>#N/A</v>
      </c>
      <c r="BF824" s="192" t="e">
        <f ca="1">(OFFSET(Pinlist!$F$1,BC824,0)-$BO$16)*$BO$19</f>
        <v>#N/A</v>
      </c>
      <c r="BG824" s="1098" t="str">
        <f ca="1">IF(LEFT(BD824,2)="RF",OFFSET(Pinlist!$D$1,Chart!BC824,0)&amp;"_"&amp;OFFSET(Pinlist!$G$1,Chart!BC824,0),"")</f>
        <v/>
      </c>
      <c r="BH824" s="1098"/>
      <c r="BI824" s="178"/>
      <c r="BJ824" s="178"/>
      <c r="BK824" s="178"/>
      <c r="BL824" s="178"/>
      <c r="BM824" s="178"/>
      <c r="BN824" s="178"/>
      <c r="BO824" s="178"/>
      <c r="BP824" s="178"/>
      <c r="BQ824" s="196"/>
      <c r="BR824" s="196"/>
      <c r="BS824" s="196"/>
      <c r="BT824" s="196"/>
      <c r="BU824" s="196"/>
      <c r="BV824" s="196"/>
      <c r="BW824" s="178"/>
      <c r="BX824" s="196"/>
      <c r="BY824" s="196"/>
      <c r="BZ824" s="196"/>
      <c r="CA824" s="196"/>
      <c r="CB824" s="178"/>
      <c r="CC824" s="178"/>
      <c r="CD824" s="202"/>
      <c r="CE824" s="202"/>
      <c r="CF824" s="178"/>
      <c r="CG824" s="196"/>
      <c r="CH824" s="178"/>
      <c r="CI824" s="178"/>
      <c r="CJ824" s="178"/>
      <c r="CK824" s="178"/>
      <c r="CL824" s="178"/>
      <c r="CM824" s="178"/>
      <c r="CN824" s="178"/>
      <c r="CO824" s="178"/>
      <c r="CP824" s="178"/>
      <c r="CQ824" s="178"/>
      <c r="CR824" s="178"/>
      <c r="CS824" s="178"/>
      <c r="CT824" s="178"/>
      <c r="CU824" s="178"/>
      <c r="CV824" s="178"/>
      <c r="CW824" s="178"/>
      <c r="CX824" s="178"/>
      <c r="CY824" s="178"/>
      <c r="CZ824" s="178"/>
      <c r="DA824" s="150"/>
    </row>
    <row r="825" spans="53:105" x14ac:dyDescent="0.2">
      <c r="BA825" s="518">
        <f t="shared" ca="1" si="49"/>
        <v>61</v>
      </c>
      <c r="BB825" s="174">
        <f t="shared" ca="1" si="50"/>
        <v>762</v>
      </c>
      <c r="BC825" s="525" t="e">
        <f ca="1">MATCH(BD825,OFFSET(Pinlist!$A$2,BC824*(BA825=BA824),0,$BM$23,1),0)+BC824*(BA825=BA824)</f>
        <v>#N/A</v>
      </c>
      <c r="BD825" s="167">
        <f t="shared" ca="1" si="51"/>
        <v>0</v>
      </c>
      <c r="BE825" s="191" t="e">
        <f ca="1">(OFFSET(Pinlist!$E$1,BC825,0)-$BN$16)*$BN$19</f>
        <v>#N/A</v>
      </c>
      <c r="BF825" s="192" t="e">
        <f ca="1">(OFFSET(Pinlist!$F$1,BC825,0)-$BO$16)*$BO$19</f>
        <v>#N/A</v>
      </c>
      <c r="BG825" s="1098" t="str">
        <f ca="1">IF(LEFT(BD825,2)="RF",OFFSET(Pinlist!$D$1,Chart!BC825,0)&amp;"_"&amp;OFFSET(Pinlist!$G$1,Chart!BC825,0),"")</f>
        <v/>
      </c>
      <c r="BH825" s="1098"/>
      <c r="BI825" s="178"/>
      <c r="BJ825" s="178"/>
      <c r="BK825" s="178"/>
      <c r="BL825" s="178"/>
      <c r="BM825" s="178"/>
      <c r="BN825" s="178"/>
      <c r="BO825" s="178"/>
      <c r="BP825" s="178"/>
      <c r="BQ825" s="196"/>
      <c r="BR825" s="196"/>
      <c r="BS825" s="196"/>
      <c r="BT825" s="196"/>
      <c r="BU825" s="196"/>
      <c r="BV825" s="196"/>
      <c r="BW825" s="178"/>
      <c r="BX825" s="196"/>
      <c r="BY825" s="196"/>
      <c r="BZ825" s="196"/>
      <c r="CA825" s="196"/>
      <c r="CB825" s="178"/>
      <c r="CC825" s="178"/>
      <c r="CD825" s="202"/>
      <c r="CE825" s="202"/>
      <c r="CF825" s="178"/>
      <c r="CG825" s="196"/>
      <c r="CH825" s="178"/>
      <c r="CI825" s="178"/>
      <c r="CJ825" s="178"/>
      <c r="CK825" s="178"/>
      <c r="CL825" s="178"/>
      <c r="CM825" s="178"/>
      <c r="CN825" s="178"/>
      <c r="CO825" s="178"/>
      <c r="CP825" s="178"/>
      <c r="CQ825" s="178"/>
      <c r="CR825" s="178"/>
      <c r="CS825" s="178"/>
      <c r="CT825" s="178"/>
      <c r="CU825" s="178"/>
      <c r="CV825" s="178"/>
      <c r="CW825" s="178"/>
      <c r="CX825" s="178"/>
      <c r="CY825" s="178"/>
      <c r="CZ825" s="178"/>
      <c r="DA825" s="150"/>
    </row>
    <row r="826" spans="53:105" x14ac:dyDescent="0.2">
      <c r="BA826" s="518">
        <f t="shared" ca="1" si="49"/>
        <v>61</v>
      </c>
      <c r="BB826" s="174">
        <f t="shared" ca="1" si="50"/>
        <v>763</v>
      </c>
      <c r="BC826" s="525" t="e">
        <f ca="1">MATCH(BD826,OFFSET(Pinlist!$A$2,BC825*(BA826=BA825),0,$BM$23,1),0)+BC825*(BA826=BA825)</f>
        <v>#N/A</v>
      </c>
      <c r="BD826" s="167">
        <f t="shared" ca="1" si="51"/>
        <v>0</v>
      </c>
      <c r="BE826" s="191" t="e">
        <f ca="1">(OFFSET(Pinlist!$E$1,BC826,0)-$BN$16)*$BN$19</f>
        <v>#N/A</v>
      </c>
      <c r="BF826" s="192" t="e">
        <f ca="1">(OFFSET(Pinlist!$F$1,BC826,0)-$BO$16)*$BO$19</f>
        <v>#N/A</v>
      </c>
      <c r="BG826" s="1098" t="str">
        <f ca="1">IF(LEFT(BD826,2)="RF",OFFSET(Pinlist!$D$1,Chart!BC826,0)&amp;"_"&amp;OFFSET(Pinlist!$G$1,Chart!BC826,0),"")</f>
        <v/>
      </c>
      <c r="BH826" s="1098"/>
      <c r="BI826" s="178"/>
      <c r="BJ826" s="178"/>
      <c r="BK826" s="178"/>
      <c r="BL826" s="178"/>
      <c r="BM826" s="178"/>
      <c r="BN826" s="178"/>
      <c r="BO826" s="178"/>
      <c r="BP826" s="178"/>
      <c r="BQ826" s="196"/>
      <c r="BR826" s="196"/>
      <c r="BS826" s="196"/>
      <c r="BT826" s="196"/>
      <c r="BU826" s="196"/>
      <c r="BV826" s="196"/>
      <c r="BW826" s="178"/>
      <c r="BX826" s="196"/>
      <c r="BY826" s="196"/>
      <c r="BZ826" s="196"/>
      <c r="CA826" s="196"/>
      <c r="CB826" s="178"/>
      <c r="CC826" s="178"/>
      <c r="CD826" s="202"/>
      <c r="CE826" s="202"/>
      <c r="CF826" s="178"/>
      <c r="CG826" s="196"/>
      <c r="CH826" s="178"/>
      <c r="CI826" s="178"/>
      <c r="CJ826" s="178"/>
      <c r="CK826" s="178"/>
      <c r="CL826" s="178"/>
      <c r="CM826" s="178"/>
      <c r="CN826" s="178"/>
      <c r="CO826" s="178"/>
      <c r="CP826" s="178"/>
      <c r="CQ826" s="178"/>
      <c r="CR826" s="178"/>
      <c r="CS826" s="178"/>
      <c r="CT826" s="178"/>
      <c r="CU826" s="178"/>
      <c r="CV826" s="178"/>
      <c r="CW826" s="178"/>
      <c r="CX826" s="178"/>
      <c r="CY826" s="178"/>
      <c r="CZ826" s="178"/>
      <c r="DA826" s="150"/>
    </row>
    <row r="827" spans="53:105" x14ac:dyDescent="0.2">
      <c r="BA827" s="518">
        <f t="shared" ca="1" si="49"/>
        <v>61</v>
      </c>
      <c r="BB827" s="174">
        <f t="shared" ca="1" si="50"/>
        <v>764</v>
      </c>
      <c r="BC827" s="525" t="e">
        <f ca="1">MATCH(BD827,OFFSET(Pinlist!$A$2,BC826*(BA827=BA826),0,$BM$23,1),0)+BC826*(BA827=BA826)</f>
        <v>#N/A</v>
      </c>
      <c r="BD827" s="167">
        <f t="shared" ca="1" si="51"/>
        <v>0</v>
      </c>
      <c r="BE827" s="191" t="e">
        <f ca="1">(OFFSET(Pinlist!$E$1,BC827,0)-$BN$16)*$BN$19</f>
        <v>#N/A</v>
      </c>
      <c r="BF827" s="192" t="e">
        <f ca="1">(OFFSET(Pinlist!$F$1,BC827,0)-$BO$16)*$BO$19</f>
        <v>#N/A</v>
      </c>
      <c r="BG827" s="1098" t="str">
        <f ca="1">IF(LEFT(BD827,2)="RF",OFFSET(Pinlist!$D$1,Chart!BC827,0)&amp;"_"&amp;OFFSET(Pinlist!$G$1,Chart!BC827,0),"")</f>
        <v/>
      </c>
      <c r="BH827" s="1098"/>
      <c r="BI827" s="178"/>
      <c r="BJ827" s="178"/>
      <c r="BK827" s="178"/>
      <c r="BL827" s="178"/>
      <c r="BM827" s="178"/>
      <c r="BN827" s="178"/>
      <c r="BO827" s="178"/>
      <c r="BP827" s="178"/>
      <c r="BQ827" s="196"/>
      <c r="BR827" s="196"/>
      <c r="BS827" s="196"/>
      <c r="BT827" s="196"/>
      <c r="BU827" s="196"/>
      <c r="BV827" s="196"/>
      <c r="BW827" s="178"/>
      <c r="BX827" s="196"/>
      <c r="BY827" s="196"/>
      <c r="BZ827" s="196"/>
      <c r="CA827" s="196"/>
      <c r="CB827" s="178"/>
      <c r="CC827" s="178"/>
      <c r="CD827" s="202"/>
      <c r="CE827" s="202"/>
      <c r="CF827" s="178"/>
      <c r="CG827" s="196"/>
      <c r="CH827" s="178"/>
      <c r="CI827" s="178"/>
      <c r="CJ827" s="178"/>
      <c r="CK827" s="178"/>
      <c r="CL827" s="178"/>
      <c r="CM827" s="178"/>
      <c r="CN827" s="178"/>
      <c r="CO827" s="178"/>
      <c r="CP827" s="178"/>
      <c r="CQ827" s="178"/>
      <c r="CR827" s="178"/>
      <c r="CS827" s="178"/>
      <c r="CT827" s="178"/>
      <c r="CU827" s="178"/>
      <c r="CV827" s="178"/>
      <c r="CW827" s="178"/>
      <c r="CX827" s="178"/>
      <c r="CY827" s="178"/>
      <c r="CZ827" s="178"/>
      <c r="DA827" s="150"/>
    </row>
    <row r="828" spans="53:105" x14ac:dyDescent="0.2">
      <c r="BA828" s="518">
        <f t="shared" ca="1" si="49"/>
        <v>61</v>
      </c>
      <c r="BB828" s="174">
        <f t="shared" ca="1" si="50"/>
        <v>765</v>
      </c>
      <c r="BC828" s="525" t="e">
        <f ca="1">MATCH(BD828,OFFSET(Pinlist!$A$2,BC827*(BA828=BA827),0,$BM$23,1),0)+BC827*(BA828=BA827)</f>
        <v>#N/A</v>
      </c>
      <c r="BD828" s="167">
        <f t="shared" ca="1" si="51"/>
        <v>0</v>
      </c>
      <c r="BE828" s="191" t="e">
        <f ca="1">(OFFSET(Pinlist!$E$1,BC828,0)-$BN$16)*$BN$19</f>
        <v>#N/A</v>
      </c>
      <c r="BF828" s="192" t="e">
        <f ca="1">(OFFSET(Pinlist!$F$1,BC828,0)-$BO$16)*$BO$19</f>
        <v>#N/A</v>
      </c>
      <c r="BG828" s="1098" t="str">
        <f ca="1">IF(LEFT(BD828,2)="RF",OFFSET(Pinlist!$D$1,Chart!BC828,0)&amp;"_"&amp;OFFSET(Pinlist!$G$1,Chart!BC828,0),"")</f>
        <v/>
      </c>
      <c r="BH828" s="1098"/>
      <c r="BI828" s="178"/>
      <c r="BJ828" s="178"/>
      <c r="BK828" s="178"/>
      <c r="BL828" s="178"/>
      <c r="BM828" s="178"/>
      <c r="BN828" s="178"/>
      <c r="BO828" s="178"/>
      <c r="BP828" s="178"/>
      <c r="BQ828" s="196"/>
      <c r="BR828" s="196"/>
      <c r="BS828" s="196"/>
      <c r="BT828" s="196"/>
      <c r="BU828" s="196"/>
      <c r="BV828" s="196"/>
      <c r="BW828" s="178"/>
      <c r="BX828" s="196"/>
      <c r="BY828" s="196"/>
      <c r="BZ828" s="196"/>
      <c r="CA828" s="196"/>
      <c r="CB828" s="178"/>
      <c r="CC828" s="178"/>
      <c r="CD828" s="202"/>
      <c r="CE828" s="202"/>
      <c r="CF828" s="178"/>
      <c r="CG828" s="196"/>
      <c r="CH828" s="178"/>
      <c r="CI828" s="178"/>
      <c r="CJ828" s="178"/>
      <c r="CK828" s="178"/>
      <c r="CL828" s="178"/>
      <c r="CM828" s="178"/>
      <c r="CN828" s="178"/>
      <c r="CO828" s="178"/>
      <c r="CP828" s="178"/>
      <c r="CQ828" s="178"/>
      <c r="CR828" s="178"/>
      <c r="CS828" s="178"/>
      <c r="CT828" s="178"/>
      <c r="CU828" s="178"/>
      <c r="CV828" s="178"/>
      <c r="CW828" s="178"/>
      <c r="CX828" s="178"/>
      <c r="CY828" s="178"/>
      <c r="CZ828" s="178"/>
      <c r="DA828" s="150"/>
    </row>
    <row r="829" spans="53:105" x14ac:dyDescent="0.2">
      <c r="BA829" s="518">
        <f t="shared" ca="1" si="49"/>
        <v>61</v>
      </c>
      <c r="BB829" s="174">
        <f t="shared" ca="1" si="50"/>
        <v>766</v>
      </c>
      <c r="BC829" s="525" t="e">
        <f ca="1">MATCH(BD829,OFFSET(Pinlist!$A$2,BC828*(BA829=BA828),0,$BM$23,1),0)+BC828*(BA829=BA828)</f>
        <v>#N/A</v>
      </c>
      <c r="BD829" s="167">
        <f t="shared" ca="1" si="51"/>
        <v>0</v>
      </c>
      <c r="BE829" s="191" t="e">
        <f ca="1">(OFFSET(Pinlist!$E$1,BC829,0)-$BN$16)*$BN$19</f>
        <v>#N/A</v>
      </c>
      <c r="BF829" s="192" t="e">
        <f ca="1">(OFFSET(Pinlist!$F$1,BC829,0)-$BO$16)*$BO$19</f>
        <v>#N/A</v>
      </c>
      <c r="BG829" s="1098" t="str">
        <f ca="1">IF(LEFT(BD829,2)="RF",OFFSET(Pinlist!$D$1,Chart!BC829,0)&amp;"_"&amp;OFFSET(Pinlist!$G$1,Chart!BC829,0),"")</f>
        <v/>
      </c>
      <c r="BH829" s="1098"/>
      <c r="BI829" s="178"/>
      <c r="BJ829" s="178"/>
      <c r="BK829" s="178"/>
      <c r="BL829" s="178"/>
      <c r="BM829" s="178"/>
      <c r="BN829" s="178"/>
      <c r="BO829" s="178"/>
      <c r="BP829" s="178"/>
      <c r="BQ829" s="196"/>
      <c r="BR829" s="196"/>
      <c r="BS829" s="196"/>
      <c r="BT829" s="196"/>
      <c r="BU829" s="196"/>
      <c r="BV829" s="196"/>
      <c r="BW829" s="178"/>
      <c r="BX829" s="196"/>
      <c r="BY829" s="196"/>
      <c r="BZ829" s="196"/>
      <c r="CA829" s="196"/>
      <c r="CB829" s="178"/>
      <c r="CC829" s="178"/>
      <c r="CD829" s="202"/>
      <c r="CE829" s="202"/>
      <c r="CF829" s="178"/>
      <c r="CG829" s="196"/>
      <c r="CH829" s="178"/>
      <c r="CI829" s="178"/>
      <c r="CJ829" s="178"/>
      <c r="CK829" s="178"/>
      <c r="CL829" s="178"/>
      <c r="CM829" s="178"/>
      <c r="CN829" s="178"/>
      <c r="CO829" s="178"/>
      <c r="CP829" s="178"/>
      <c r="CQ829" s="178"/>
      <c r="CR829" s="178"/>
      <c r="CS829" s="178"/>
      <c r="CT829" s="178"/>
      <c r="CU829" s="178"/>
      <c r="CV829" s="178"/>
      <c r="CW829" s="178"/>
      <c r="CX829" s="178"/>
      <c r="CY829" s="178"/>
      <c r="CZ829" s="178"/>
      <c r="DA829" s="150"/>
    </row>
    <row r="830" spans="53:105" x14ac:dyDescent="0.2">
      <c r="BA830" s="518">
        <f t="shared" ca="1" si="49"/>
        <v>61</v>
      </c>
      <c r="BB830" s="174">
        <f t="shared" ca="1" si="50"/>
        <v>767</v>
      </c>
      <c r="BC830" s="525" t="e">
        <f ca="1">MATCH(BD830,OFFSET(Pinlist!$A$2,BC829*(BA830=BA829),0,$BM$23,1),0)+BC829*(BA830=BA829)</f>
        <v>#N/A</v>
      </c>
      <c r="BD830" s="167">
        <f t="shared" ca="1" si="51"/>
        <v>0</v>
      </c>
      <c r="BE830" s="191" t="e">
        <f ca="1">(OFFSET(Pinlist!$E$1,BC830,0)-$BN$16)*$BN$19</f>
        <v>#N/A</v>
      </c>
      <c r="BF830" s="192" t="e">
        <f ca="1">(OFFSET(Pinlist!$F$1,BC830,0)-$BO$16)*$BO$19</f>
        <v>#N/A</v>
      </c>
      <c r="BG830" s="1098" t="str">
        <f ca="1">IF(LEFT(BD830,2)="RF",OFFSET(Pinlist!$D$1,Chart!BC830,0)&amp;"_"&amp;OFFSET(Pinlist!$G$1,Chart!BC830,0),"")</f>
        <v/>
      </c>
      <c r="BH830" s="1098"/>
      <c r="BI830" s="178"/>
      <c r="BJ830" s="178"/>
      <c r="BK830" s="178"/>
      <c r="BL830" s="178"/>
      <c r="BM830" s="178"/>
      <c r="BN830" s="178"/>
      <c r="BO830" s="178"/>
      <c r="BP830" s="178"/>
      <c r="BQ830" s="196"/>
      <c r="BR830" s="196"/>
      <c r="BS830" s="196"/>
      <c r="BT830" s="196"/>
      <c r="BU830" s="196"/>
      <c r="BV830" s="196"/>
      <c r="BW830" s="178"/>
      <c r="BX830" s="196"/>
      <c r="BY830" s="196"/>
      <c r="BZ830" s="196"/>
      <c r="CA830" s="196"/>
      <c r="CB830" s="178"/>
      <c r="CC830" s="178"/>
      <c r="CD830" s="202"/>
      <c r="CE830" s="202"/>
      <c r="CF830" s="178"/>
      <c r="CG830" s="196"/>
      <c r="CH830" s="178"/>
      <c r="CI830" s="178"/>
      <c r="CJ830" s="178"/>
      <c r="CK830" s="178"/>
      <c r="CL830" s="178"/>
      <c r="CM830" s="178"/>
      <c r="CN830" s="178"/>
      <c r="CO830" s="178"/>
      <c r="CP830" s="178"/>
      <c r="CQ830" s="178"/>
      <c r="CR830" s="178"/>
      <c r="CS830" s="178"/>
      <c r="CT830" s="178"/>
      <c r="CU830" s="178"/>
      <c r="CV830" s="178"/>
      <c r="CW830" s="178"/>
      <c r="CX830" s="178"/>
      <c r="CY830" s="178"/>
      <c r="CZ830" s="178"/>
      <c r="DA830" s="150"/>
    </row>
    <row r="831" spans="53:105" x14ac:dyDescent="0.2">
      <c r="BA831" s="518">
        <f t="shared" ca="1" si="49"/>
        <v>61</v>
      </c>
      <c r="BB831" s="174">
        <f t="shared" ca="1" si="50"/>
        <v>768</v>
      </c>
      <c r="BC831" s="525" t="e">
        <f ca="1">MATCH(BD831,OFFSET(Pinlist!$A$2,BC830*(BA831=BA830),0,$BM$23,1),0)+BC830*(BA831=BA830)</f>
        <v>#N/A</v>
      </c>
      <c r="BD831" s="167">
        <f t="shared" ca="1" si="51"/>
        <v>0</v>
      </c>
      <c r="BE831" s="191" t="e">
        <f ca="1">(OFFSET(Pinlist!$E$1,BC831,0)-$BN$16)*$BN$19</f>
        <v>#N/A</v>
      </c>
      <c r="BF831" s="192" t="e">
        <f ca="1">(OFFSET(Pinlist!$F$1,BC831,0)-$BO$16)*$BO$19</f>
        <v>#N/A</v>
      </c>
      <c r="BG831" s="1098" t="str">
        <f ca="1">IF(LEFT(BD831,2)="RF",OFFSET(Pinlist!$D$1,Chart!BC831,0)&amp;"_"&amp;OFFSET(Pinlist!$G$1,Chart!BC831,0),"")</f>
        <v/>
      </c>
      <c r="BH831" s="1098"/>
      <c r="BI831" s="178"/>
      <c r="BJ831" s="178"/>
      <c r="BK831" s="178"/>
      <c r="BL831" s="178"/>
      <c r="BM831" s="178"/>
      <c r="BN831" s="178"/>
      <c r="BO831" s="178"/>
      <c r="BP831" s="178"/>
      <c r="BQ831" s="196"/>
      <c r="BR831" s="196"/>
      <c r="BS831" s="196"/>
      <c r="BT831" s="196"/>
      <c r="BU831" s="196"/>
      <c r="BV831" s="196"/>
      <c r="BW831" s="178"/>
      <c r="BX831" s="196"/>
      <c r="BY831" s="196"/>
      <c r="BZ831" s="196"/>
      <c r="CA831" s="196"/>
      <c r="CB831" s="178"/>
      <c r="CC831" s="178"/>
      <c r="CD831" s="202"/>
      <c r="CE831" s="202"/>
      <c r="CF831" s="178"/>
      <c r="CG831" s="196"/>
      <c r="CH831" s="178"/>
      <c r="CI831" s="178"/>
      <c r="CJ831" s="178"/>
      <c r="CK831" s="178"/>
      <c r="CL831" s="178"/>
      <c r="CM831" s="178"/>
      <c r="CN831" s="178"/>
      <c r="CO831" s="178"/>
      <c r="CP831" s="178"/>
      <c r="CQ831" s="178"/>
      <c r="CR831" s="178"/>
      <c r="CS831" s="178"/>
      <c r="CT831" s="178"/>
      <c r="CU831" s="178"/>
      <c r="CV831" s="178"/>
      <c r="CW831" s="178"/>
      <c r="CX831" s="178"/>
      <c r="CY831" s="178"/>
      <c r="CZ831" s="178"/>
      <c r="DA831" s="150"/>
    </row>
    <row r="832" spans="53:105" x14ac:dyDescent="0.2">
      <c r="BA832" s="518">
        <f t="shared" ca="1" si="49"/>
        <v>61</v>
      </c>
      <c r="BB832" s="174">
        <f t="shared" ca="1" si="50"/>
        <v>769</v>
      </c>
      <c r="BC832" s="525" t="e">
        <f ca="1">MATCH(BD832,OFFSET(Pinlist!$A$2,BC831*(BA832=BA831),0,$BM$23,1),0)+BC831*(BA832=BA831)</f>
        <v>#N/A</v>
      </c>
      <c r="BD832" s="167">
        <f t="shared" ca="1" si="51"/>
        <v>0</v>
      </c>
      <c r="BE832" s="191" t="e">
        <f ca="1">(OFFSET(Pinlist!$E$1,BC832,0)-$BN$16)*$BN$19</f>
        <v>#N/A</v>
      </c>
      <c r="BF832" s="192" t="e">
        <f ca="1">(OFFSET(Pinlist!$F$1,BC832,0)-$BO$16)*$BO$19</f>
        <v>#N/A</v>
      </c>
      <c r="BG832" s="1098" t="str">
        <f ca="1">IF(LEFT(BD832,2)="RF",OFFSET(Pinlist!$D$1,Chart!BC832,0)&amp;"_"&amp;OFFSET(Pinlist!$G$1,Chart!BC832,0),"")</f>
        <v/>
      </c>
      <c r="BH832" s="1098"/>
      <c r="BI832" s="178"/>
      <c r="BJ832" s="178"/>
      <c r="BK832" s="178"/>
      <c r="BL832" s="178"/>
      <c r="BM832" s="178"/>
      <c r="BN832" s="178"/>
      <c r="BO832" s="178"/>
      <c r="BP832" s="178"/>
      <c r="BQ832" s="196"/>
      <c r="BR832" s="196"/>
      <c r="BS832" s="196"/>
      <c r="BT832" s="196"/>
      <c r="BU832" s="196"/>
      <c r="BV832" s="196"/>
      <c r="BW832" s="178"/>
      <c r="BX832" s="196"/>
      <c r="BY832" s="196"/>
      <c r="BZ832" s="196"/>
      <c r="CA832" s="196"/>
      <c r="CB832" s="178"/>
      <c r="CC832" s="178"/>
      <c r="CD832" s="202"/>
      <c r="CE832" s="202"/>
      <c r="CF832" s="178"/>
      <c r="CG832" s="196"/>
      <c r="CH832" s="178"/>
      <c r="CI832" s="178"/>
      <c r="CJ832" s="178"/>
      <c r="CK832" s="178"/>
      <c r="CL832" s="178"/>
      <c r="CM832" s="178"/>
      <c r="CN832" s="178"/>
      <c r="CO832" s="178"/>
      <c r="CP832" s="178"/>
      <c r="CQ832" s="178"/>
      <c r="CR832" s="178"/>
      <c r="CS832" s="178"/>
      <c r="CT832" s="178"/>
      <c r="CU832" s="178"/>
      <c r="CV832" s="178"/>
      <c r="CW832" s="178"/>
      <c r="CX832" s="178"/>
      <c r="CY832" s="178"/>
      <c r="CZ832" s="178"/>
      <c r="DA832" s="150"/>
    </row>
    <row r="833" spans="53:105" x14ac:dyDescent="0.2">
      <c r="BA833" s="518">
        <f t="shared" ca="1" si="49"/>
        <v>61</v>
      </c>
      <c r="BB833" s="174">
        <f t="shared" ca="1" si="50"/>
        <v>770</v>
      </c>
      <c r="BC833" s="525" t="e">
        <f ca="1">MATCH(BD833,OFFSET(Pinlist!$A$2,BC832*(BA833=BA832),0,$BM$23,1),0)+BC832*(BA833=BA832)</f>
        <v>#N/A</v>
      </c>
      <c r="BD833" s="167">
        <f t="shared" ca="1" si="51"/>
        <v>0</v>
      </c>
      <c r="BE833" s="191" t="e">
        <f ca="1">(OFFSET(Pinlist!$E$1,BC833,0)-$BN$16)*$BN$19</f>
        <v>#N/A</v>
      </c>
      <c r="BF833" s="192" t="e">
        <f ca="1">(OFFSET(Pinlist!$F$1,BC833,0)-$BO$16)*$BO$19</f>
        <v>#N/A</v>
      </c>
      <c r="BG833" s="1098" t="str">
        <f ca="1">IF(LEFT(BD833,2)="RF",OFFSET(Pinlist!$D$1,Chart!BC833,0)&amp;"_"&amp;OFFSET(Pinlist!$G$1,Chart!BC833,0),"")</f>
        <v/>
      </c>
      <c r="BH833" s="1098"/>
      <c r="BI833" s="178"/>
      <c r="BJ833" s="178"/>
      <c r="BK833" s="178"/>
      <c r="BL833" s="178"/>
      <c r="BM833" s="178"/>
      <c r="BN833" s="178"/>
      <c r="BO833" s="178"/>
      <c r="BP833" s="178"/>
      <c r="BQ833" s="196"/>
      <c r="BR833" s="196"/>
      <c r="BS833" s="196"/>
      <c r="BT833" s="196"/>
      <c r="BU833" s="196"/>
      <c r="BV833" s="196"/>
      <c r="BW833" s="178"/>
      <c r="BX833" s="196"/>
      <c r="BY833" s="196"/>
      <c r="BZ833" s="196"/>
      <c r="CA833" s="196"/>
      <c r="CB833" s="178"/>
      <c r="CC833" s="178"/>
      <c r="CD833" s="202"/>
      <c r="CE833" s="202"/>
      <c r="CF833" s="178"/>
      <c r="CG833" s="196"/>
      <c r="CH833" s="178"/>
      <c r="CI833" s="178"/>
      <c r="CJ833" s="178"/>
      <c r="CK833" s="178"/>
      <c r="CL833" s="178"/>
      <c r="CM833" s="178"/>
      <c r="CN833" s="178"/>
      <c r="CO833" s="178"/>
      <c r="CP833" s="178"/>
      <c r="CQ833" s="178"/>
      <c r="CR833" s="178"/>
      <c r="CS833" s="178"/>
      <c r="CT833" s="178"/>
      <c r="CU833" s="178"/>
      <c r="CV833" s="178"/>
      <c r="CW833" s="178"/>
      <c r="CX833" s="178"/>
      <c r="CY833" s="178"/>
      <c r="CZ833" s="178"/>
      <c r="DA833" s="150"/>
    </row>
    <row r="834" spans="53:105" x14ac:dyDescent="0.2">
      <c r="BA834" s="518">
        <f t="shared" ca="1" si="49"/>
        <v>61</v>
      </c>
      <c r="BB834" s="174">
        <f t="shared" ca="1" si="50"/>
        <v>771</v>
      </c>
      <c r="BC834" s="525" t="e">
        <f ca="1">MATCH(BD834,OFFSET(Pinlist!$A$2,BC833*(BA834=BA833),0,$BM$23,1),0)+BC833*(BA834=BA833)</f>
        <v>#N/A</v>
      </c>
      <c r="BD834" s="167">
        <f t="shared" ca="1" si="51"/>
        <v>0</v>
      </c>
      <c r="BE834" s="191" t="e">
        <f ca="1">(OFFSET(Pinlist!$E$1,BC834,0)-$BN$16)*$BN$19</f>
        <v>#N/A</v>
      </c>
      <c r="BF834" s="192" t="e">
        <f ca="1">(OFFSET(Pinlist!$F$1,BC834,0)-$BO$16)*$BO$19</f>
        <v>#N/A</v>
      </c>
      <c r="BG834" s="1098" t="str">
        <f ca="1">IF(LEFT(BD834,2)="RF",OFFSET(Pinlist!$D$1,Chart!BC834,0)&amp;"_"&amp;OFFSET(Pinlist!$G$1,Chart!BC834,0),"")</f>
        <v/>
      </c>
      <c r="BH834" s="1098"/>
      <c r="BI834" s="178"/>
      <c r="BJ834" s="178"/>
      <c r="BK834" s="178"/>
      <c r="BL834" s="178"/>
      <c r="BM834" s="178"/>
      <c r="BN834" s="178"/>
      <c r="BO834" s="178"/>
      <c r="BP834" s="178"/>
      <c r="BQ834" s="196"/>
      <c r="BR834" s="196"/>
      <c r="BS834" s="196"/>
      <c r="BT834" s="196"/>
      <c r="BU834" s="196"/>
      <c r="BV834" s="196"/>
      <c r="BW834" s="178"/>
      <c r="BX834" s="196"/>
      <c r="BY834" s="196"/>
      <c r="BZ834" s="196"/>
      <c r="CA834" s="196"/>
      <c r="CB834" s="178"/>
      <c r="CC834" s="178"/>
      <c r="CD834" s="202"/>
      <c r="CE834" s="202"/>
      <c r="CF834" s="178"/>
      <c r="CG834" s="196"/>
      <c r="CH834" s="178"/>
      <c r="CI834" s="178"/>
      <c r="CJ834" s="178"/>
      <c r="CK834" s="178"/>
      <c r="CL834" s="178"/>
      <c r="CM834" s="178"/>
      <c r="CN834" s="178"/>
      <c r="CO834" s="178"/>
      <c r="CP834" s="178"/>
      <c r="CQ834" s="178"/>
      <c r="CR834" s="178"/>
      <c r="CS834" s="178"/>
      <c r="CT834" s="178"/>
      <c r="CU834" s="178"/>
      <c r="CV834" s="178"/>
      <c r="CW834" s="178"/>
      <c r="CX834" s="178"/>
      <c r="CY834" s="178"/>
      <c r="CZ834" s="178"/>
      <c r="DA834" s="150"/>
    </row>
    <row r="835" spans="53:105" x14ac:dyDescent="0.2">
      <c r="BA835" s="518">
        <f t="shared" ca="1" si="49"/>
        <v>61</v>
      </c>
      <c r="BB835" s="174">
        <f t="shared" ca="1" si="50"/>
        <v>772</v>
      </c>
      <c r="BC835" s="525" t="e">
        <f ca="1">MATCH(BD835,OFFSET(Pinlist!$A$2,BC834*(BA835=BA834),0,$BM$23,1),0)+BC834*(BA835=BA834)</f>
        <v>#N/A</v>
      </c>
      <c r="BD835" s="167">
        <f t="shared" ca="1" si="51"/>
        <v>0</v>
      </c>
      <c r="BE835" s="191" t="e">
        <f ca="1">(OFFSET(Pinlist!$E$1,BC835,0)-$BN$16)*$BN$19</f>
        <v>#N/A</v>
      </c>
      <c r="BF835" s="192" t="e">
        <f ca="1">(OFFSET(Pinlist!$F$1,BC835,0)-$BO$16)*$BO$19</f>
        <v>#N/A</v>
      </c>
      <c r="BG835" s="1098" t="str">
        <f ca="1">IF(LEFT(BD835,2)="RF",OFFSET(Pinlist!$D$1,Chart!BC835,0)&amp;"_"&amp;OFFSET(Pinlist!$G$1,Chart!BC835,0),"")</f>
        <v/>
      </c>
      <c r="BH835" s="1098"/>
      <c r="BI835" s="178"/>
      <c r="BJ835" s="178"/>
      <c r="BK835" s="178"/>
      <c r="BL835" s="178"/>
      <c r="BM835" s="178"/>
      <c r="BN835" s="178"/>
      <c r="BO835" s="178"/>
      <c r="BP835" s="178"/>
      <c r="BQ835" s="196"/>
      <c r="BR835" s="196"/>
      <c r="BS835" s="196"/>
      <c r="BT835" s="196"/>
      <c r="BU835" s="196"/>
      <c r="BV835" s="196"/>
      <c r="BW835" s="178"/>
      <c r="BX835" s="196"/>
      <c r="BY835" s="196"/>
      <c r="BZ835" s="196"/>
      <c r="CA835" s="196"/>
      <c r="CB835" s="178"/>
      <c r="CC835" s="178"/>
      <c r="CD835" s="202"/>
      <c r="CE835" s="202"/>
      <c r="CF835" s="178"/>
      <c r="CG835" s="196"/>
      <c r="CH835" s="178"/>
      <c r="CI835" s="178"/>
      <c r="CJ835" s="178"/>
      <c r="CK835" s="178"/>
      <c r="CL835" s="178"/>
      <c r="CM835" s="178"/>
      <c r="CN835" s="178"/>
      <c r="CO835" s="178"/>
      <c r="CP835" s="178"/>
      <c r="CQ835" s="178"/>
      <c r="CR835" s="178"/>
      <c r="CS835" s="178"/>
      <c r="CT835" s="178"/>
      <c r="CU835" s="178"/>
      <c r="CV835" s="178"/>
      <c r="CW835" s="178"/>
      <c r="CX835" s="178"/>
      <c r="CY835" s="178"/>
      <c r="CZ835" s="178"/>
      <c r="DA835" s="150"/>
    </row>
    <row r="836" spans="53:105" x14ac:dyDescent="0.2">
      <c r="BA836" s="518">
        <f t="shared" ref="BA836:BA899" ca="1" si="52">BA835+(BB835=OFFSET($BZ$3,BA835,0))</f>
        <v>61</v>
      </c>
      <c r="BB836" s="174">
        <f t="shared" ref="BB836:BB899" ca="1" si="53">IF(BA836=BA835,BB835+1,1)</f>
        <v>773</v>
      </c>
      <c r="BC836" s="525" t="e">
        <f ca="1">MATCH(BD836,OFFSET(Pinlist!$A$2,BC835*(BA836=BA835),0,$BM$23,1),0)+BC835*(BA836=BA835)</f>
        <v>#N/A</v>
      </c>
      <c r="BD836" s="167">
        <f t="shared" ref="BD836:BD899" ca="1" si="54">OFFSET($BY$3,BA836,0)</f>
        <v>0</v>
      </c>
      <c r="BE836" s="191" t="e">
        <f ca="1">(OFFSET(Pinlist!$E$1,BC836,0)-$BN$16)*$BN$19</f>
        <v>#N/A</v>
      </c>
      <c r="BF836" s="192" t="e">
        <f ca="1">(OFFSET(Pinlist!$F$1,BC836,0)-$BO$16)*$BO$19</f>
        <v>#N/A</v>
      </c>
      <c r="BG836" s="1098" t="str">
        <f ca="1">IF(LEFT(BD836,2)="RF",OFFSET(Pinlist!$D$1,Chart!BC836,0)&amp;"_"&amp;OFFSET(Pinlist!$G$1,Chart!BC836,0),"")</f>
        <v/>
      </c>
      <c r="BH836" s="1098"/>
      <c r="BI836" s="178"/>
      <c r="BJ836" s="178"/>
      <c r="BK836" s="178"/>
      <c r="BL836" s="178"/>
      <c r="BM836" s="178"/>
      <c r="BN836" s="178"/>
      <c r="BO836" s="178"/>
      <c r="BP836" s="178"/>
      <c r="BQ836" s="196"/>
      <c r="BR836" s="196"/>
      <c r="BS836" s="196"/>
      <c r="BT836" s="196"/>
      <c r="BU836" s="196"/>
      <c r="BV836" s="196"/>
      <c r="BW836" s="178"/>
      <c r="BX836" s="196"/>
      <c r="BY836" s="196"/>
      <c r="BZ836" s="196"/>
      <c r="CA836" s="196"/>
      <c r="CB836" s="178"/>
      <c r="CC836" s="178"/>
      <c r="CD836" s="202"/>
      <c r="CE836" s="202"/>
      <c r="CF836" s="178"/>
      <c r="CG836" s="196"/>
      <c r="CH836" s="178"/>
      <c r="CI836" s="178"/>
      <c r="CJ836" s="178"/>
      <c r="CK836" s="178"/>
      <c r="CL836" s="178"/>
      <c r="CM836" s="178"/>
      <c r="CN836" s="178"/>
      <c r="CO836" s="178"/>
      <c r="CP836" s="178"/>
      <c r="CQ836" s="178"/>
      <c r="CR836" s="178"/>
      <c r="CS836" s="178"/>
      <c r="CT836" s="178"/>
      <c r="CU836" s="178"/>
      <c r="CV836" s="178"/>
      <c r="CW836" s="178"/>
      <c r="CX836" s="178"/>
      <c r="CY836" s="178"/>
      <c r="CZ836" s="178"/>
      <c r="DA836" s="150"/>
    </row>
    <row r="837" spans="53:105" x14ac:dyDescent="0.2">
      <c r="BA837" s="518">
        <f t="shared" ca="1" si="52"/>
        <v>61</v>
      </c>
      <c r="BB837" s="174">
        <f t="shared" ca="1" si="53"/>
        <v>774</v>
      </c>
      <c r="BC837" s="525" t="e">
        <f ca="1">MATCH(BD837,OFFSET(Pinlist!$A$2,BC836*(BA837=BA836),0,$BM$23,1),0)+BC836*(BA837=BA836)</f>
        <v>#N/A</v>
      </c>
      <c r="BD837" s="167">
        <f t="shared" ca="1" si="54"/>
        <v>0</v>
      </c>
      <c r="BE837" s="191" t="e">
        <f ca="1">(OFFSET(Pinlist!$E$1,BC837,0)-$BN$16)*$BN$19</f>
        <v>#N/A</v>
      </c>
      <c r="BF837" s="192" t="e">
        <f ca="1">(OFFSET(Pinlist!$F$1,BC837,0)-$BO$16)*$BO$19</f>
        <v>#N/A</v>
      </c>
      <c r="BG837" s="1098" t="str">
        <f ca="1">IF(LEFT(BD837,2)="RF",OFFSET(Pinlist!$D$1,Chart!BC837,0)&amp;"_"&amp;OFFSET(Pinlist!$G$1,Chart!BC837,0),"")</f>
        <v/>
      </c>
      <c r="BH837" s="1098"/>
      <c r="BI837" s="178"/>
      <c r="BJ837" s="178"/>
      <c r="BK837" s="178"/>
      <c r="BL837" s="178"/>
      <c r="BM837" s="178"/>
      <c r="BN837" s="178"/>
      <c r="BO837" s="178"/>
      <c r="BP837" s="178"/>
      <c r="BQ837" s="196"/>
      <c r="BR837" s="196"/>
      <c r="BS837" s="196"/>
      <c r="BT837" s="196"/>
      <c r="BU837" s="196"/>
      <c r="BV837" s="196"/>
      <c r="BW837" s="178"/>
      <c r="BX837" s="196"/>
      <c r="BY837" s="196"/>
      <c r="BZ837" s="196"/>
      <c r="CA837" s="196"/>
      <c r="CB837" s="178"/>
      <c r="CC837" s="178"/>
      <c r="CD837" s="202"/>
      <c r="CE837" s="202"/>
      <c r="CF837" s="178"/>
      <c r="CG837" s="196"/>
      <c r="CH837" s="178"/>
      <c r="CI837" s="178"/>
      <c r="CJ837" s="178"/>
      <c r="CK837" s="178"/>
      <c r="CL837" s="178"/>
      <c r="CM837" s="178"/>
      <c r="CN837" s="178"/>
      <c r="CO837" s="178"/>
      <c r="CP837" s="178"/>
      <c r="CQ837" s="178"/>
      <c r="CR837" s="178"/>
      <c r="CS837" s="178"/>
      <c r="CT837" s="178"/>
      <c r="CU837" s="178"/>
      <c r="CV837" s="178"/>
      <c r="CW837" s="178"/>
      <c r="CX837" s="178"/>
      <c r="CY837" s="178"/>
      <c r="CZ837" s="178"/>
      <c r="DA837" s="150"/>
    </row>
    <row r="838" spans="53:105" x14ac:dyDescent="0.2">
      <c r="BA838" s="518">
        <f t="shared" ca="1" si="52"/>
        <v>61</v>
      </c>
      <c r="BB838" s="174">
        <f t="shared" ca="1" si="53"/>
        <v>775</v>
      </c>
      <c r="BC838" s="525" t="e">
        <f ca="1">MATCH(BD838,OFFSET(Pinlist!$A$2,BC837*(BA838=BA837),0,$BM$23,1),0)+BC837*(BA838=BA837)</f>
        <v>#N/A</v>
      </c>
      <c r="BD838" s="167">
        <f t="shared" ca="1" si="54"/>
        <v>0</v>
      </c>
      <c r="BE838" s="191" t="e">
        <f ca="1">(OFFSET(Pinlist!$E$1,BC838,0)-$BN$16)*$BN$19</f>
        <v>#N/A</v>
      </c>
      <c r="BF838" s="192" t="e">
        <f ca="1">(OFFSET(Pinlist!$F$1,BC838,0)-$BO$16)*$BO$19</f>
        <v>#N/A</v>
      </c>
      <c r="BG838" s="1098" t="str">
        <f ca="1">IF(LEFT(BD838,2)="RF",OFFSET(Pinlist!$D$1,Chart!BC838,0)&amp;"_"&amp;OFFSET(Pinlist!$G$1,Chart!BC838,0),"")</f>
        <v/>
      </c>
      <c r="BH838" s="1098"/>
      <c r="BI838" s="178"/>
      <c r="BJ838" s="178"/>
      <c r="BK838" s="178"/>
      <c r="BL838" s="178"/>
      <c r="BM838" s="178"/>
      <c r="BN838" s="178"/>
      <c r="BO838" s="178"/>
      <c r="BP838" s="178"/>
      <c r="BQ838" s="196"/>
      <c r="BR838" s="196"/>
      <c r="BS838" s="196"/>
      <c r="BT838" s="196"/>
      <c r="BU838" s="196"/>
      <c r="BV838" s="196"/>
      <c r="BW838" s="178"/>
      <c r="BX838" s="196"/>
      <c r="BY838" s="196"/>
      <c r="BZ838" s="196"/>
      <c r="CA838" s="196"/>
      <c r="CB838" s="178"/>
      <c r="CC838" s="178"/>
      <c r="CD838" s="202"/>
      <c r="CE838" s="202"/>
      <c r="CF838" s="178"/>
      <c r="CG838" s="196"/>
      <c r="CH838" s="178"/>
      <c r="CI838" s="178"/>
      <c r="CJ838" s="178"/>
      <c r="CK838" s="178"/>
      <c r="CL838" s="178"/>
      <c r="CM838" s="178"/>
      <c r="CN838" s="178"/>
      <c r="CO838" s="178"/>
      <c r="CP838" s="178"/>
      <c r="CQ838" s="178"/>
      <c r="CR838" s="178"/>
      <c r="CS838" s="178"/>
      <c r="CT838" s="178"/>
      <c r="CU838" s="178"/>
      <c r="CV838" s="178"/>
      <c r="CW838" s="178"/>
      <c r="CX838" s="178"/>
      <c r="CY838" s="178"/>
      <c r="CZ838" s="178"/>
      <c r="DA838" s="150"/>
    </row>
    <row r="839" spans="53:105" x14ac:dyDescent="0.2">
      <c r="BA839" s="518">
        <f t="shared" ca="1" si="52"/>
        <v>61</v>
      </c>
      <c r="BB839" s="174">
        <f t="shared" ca="1" si="53"/>
        <v>776</v>
      </c>
      <c r="BC839" s="525" t="e">
        <f ca="1">MATCH(BD839,OFFSET(Pinlist!$A$2,BC838*(BA839=BA838),0,$BM$23,1),0)+BC838*(BA839=BA838)</f>
        <v>#N/A</v>
      </c>
      <c r="BD839" s="167">
        <f t="shared" ca="1" si="54"/>
        <v>0</v>
      </c>
      <c r="BE839" s="191" t="e">
        <f ca="1">(OFFSET(Pinlist!$E$1,BC839,0)-$BN$16)*$BN$19</f>
        <v>#N/A</v>
      </c>
      <c r="BF839" s="192" t="e">
        <f ca="1">(OFFSET(Pinlist!$F$1,BC839,0)-$BO$16)*$BO$19</f>
        <v>#N/A</v>
      </c>
      <c r="BG839" s="1098" t="str">
        <f ca="1">IF(LEFT(BD839,2)="RF",OFFSET(Pinlist!$D$1,Chart!BC839,0)&amp;"_"&amp;OFFSET(Pinlist!$G$1,Chart!BC839,0),"")</f>
        <v/>
      </c>
      <c r="BH839" s="1098"/>
      <c r="BI839" s="178"/>
      <c r="BJ839" s="178"/>
      <c r="BK839" s="178"/>
      <c r="BL839" s="178"/>
      <c r="BM839" s="178"/>
      <c r="BN839" s="178"/>
      <c r="BO839" s="178"/>
      <c r="BP839" s="178"/>
      <c r="BQ839" s="196"/>
      <c r="BR839" s="196"/>
      <c r="BS839" s="196"/>
      <c r="BT839" s="196"/>
      <c r="BU839" s="196"/>
      <c r="BV839" s="196"/>
      <c r="BW839" s="178"/>
      <c r="BX839" s="196"/>
      <c r="BY839" s="196"/>
      <c r="BZ839" s="196"/>
      <c r="CA839" s="196"/>
      <c r="CB839" s="178"/>
      <c r="CC839" s="178"/>
      <c r="CD839" s="202"/>
      <c r="CE839" s="202"/>
      <c r="CF839" s="178"/>
      <c r="CG839" s="196"/>
      <c r="CH839" s="178"/>
      <c r="CI839" s="178"/>
      <c r="CJ839" s="178"/>
      <c r="CK839" s="178"/>
      <c r="CL839" s="178"/>
      <c r="CM839" s="178"/>
      <c r="CN839" s="178"/>
      <c r="CO839" s="178"/>
      <c r="CP839" s="178"/>
      <c r="CQ839" s="178"/>
      <c r="CR839" s="178"/>
      <c r="CS839" s="178"/>
      <c r="CT839" s="178"/>
      <c r="CU839" s="178"/>
      <c r="CV839" s="178"/>
      <c r="CW839" s="178"/>
      <c r="CX839" s="178"/>
      <c r="CY839" s="178"/>
      <c r="CZ839" s="178"/>
      <c r="DA839" s="150"/>
    </row>
    <row r="840" spans="53:105" x14ac:dyDescent="0.2">
      <c r="BA840" s="518">
        <f t="shared" ca="1" si="52"/>
        <v>61</v>
      </c>
      <c r="BB840" s="174">
        <f t="shared" ca="1" si="53"/>
        <v>777</v>
      </c>
      <c r="BC840" s="525" t="e">
        <f ca="1">MATCH(BD840,OFFSET(Pinlist!$A$2,BC839*(BA840=BA839),0,$BM$23,1),0)+BC839*(BA840=BA839)</f>
        <v>#N/A</v>
      </c>
      <c r="BD840" s="167">
        <f t="shared" ca="1" si="54"/>
        <v>0</v>
      </c>
      <c r="BE840" s="191" t="e">
        <f ca="1">(OFFSET(Pinlist!$E$1,BC840,0)-$BN$16)*$BN$19</f>
        <v>#N/A</v>
      </c>
      <c r="BF840" s="192" t="e">
        <f ca="1">(OFFSET(Pinlist!$F$1,BC840,0)-$BO$16)*$BO$19</f>
        <v>#N/A</v>
      </c>
      <c r="BG840" s="1098" t="str">
        <f ca="1">IF(LEFT(BD840,2)="RF",OFFSET(Pinlist!$D$1,Chart!BC840,0)&amp;"_"&amp;OFFSET(Pinlist!$G$1,Chart!BC840,0),"")</f>
        <v/>
      </c>
      <c r="BH840" s="1098"/>
      <c r="BI840" s="178"/>
      <c r="BJ840" s="178"/>
      <c r="BK840" s="178"/>
      <c r="BL840" s="178"/>
      <c r="BM840" s="178"/>
      <c r="BN840" s="178"/>
      <c r="BO840" s="178"/>
      <c r="BP840" s="178"/>
      <c r="BQ840" s="196"/>
      <c r="BR840" s="196"/>
      <c r="BS840" s="196"/>
      <c r="BT840" s="196"/>
      <c r="BU840" s="196"/>
      <c r="BV840" s="196"/>
      <c r="BW840" s="178"/>
      <c r="BX840" s="196"/>
      <c r="BY840" s="196"/>
      <c r="BZ840" s="196"/>
      <c r="CA840" s="196"/>
      <c r="CB840" s="178"/>
      <c r="CC840" s="178"/>
      <c r="CD840" s="202"/>
      <c r="CE840" s="202"/>
      <c r="CF840" s="178"/>
      <c r="CG840" s="196"/>
      <c r="CH840" s="178"/>
      <c r="CI840" s="178"/>
      <c r="CJ840" s="178"/>
      <c r="CK840" s="178"/>
      <c r="CL840" s="178"/>
      <c r="CM840" s="178"/>
      <c r="CN840" s="178"/>
      <c r="CO840" s="178"/>
      <c r="CP840" s="178"/>
      <c r="CQ840" s="178"/>
      <c r="CR840" s="178"/>
      <c r="CS840" s="178"/>
      <c r="CT840" s="178"/>
      <c r="CU840" s="178"/>
      <c r="CV840" s="178"/>
      <c r="CW840" s="178"/>
      <c r="CX840" s="178"/>
      <c r="CY840" s="178"/>
      <c r="CZ840" s="178"/>
      <c r="DA840" s="150"/>
    </row>
    <row r="841" spans="53:105" x14ac:dyDescent="0.2">
      <c r="BA841" s="518">
        <f t="shared" ca="1" si="52"/>
        <v>61</v>
      </c>
      <c r="BB841" s="174">
        <f t="shared" ca="1" si="53"/>
        <v>778</v>
      </c>
      <c r="BC841" s="525" t="e">
        <f ca="1">MATCH(BD841,OFFSET(Pinlist!$A$2,BC840*(BA841=BA840),0,$BM$23,1),0)+BC840*(BA841=BA840)</f>
        <v>#N/A</v>
      </c>
      <c r="BD841" s="167">
        <f t="shared" ca="1" si="54"/>
        <v>0</v>
      </c>
      <c r="BE841" s="191" t="e">
        <f ca="1">(OFFSET(Pinlist!$E$1,BC841,0)-$BN$16)*$BN$19</f>
        <v>#N/A</v>
      </c>
      <c r="BF841" s="192" t="e">
        <f ca="1">(OFFSET(Pinlist!$F$1,BC841,0)-$BO$16)*$BO$19</f>
        <v>#N/A</v>
      </c>
      <c r="BG841" s="1098" t="str">
        <f ca="1">IF(LEFT(BD841,2)="RF",OFFSET(Pinlist!$D$1,Chart!BC841,0)&amp;"_"&amp;OFFSET(Pinlist!$G$1,Chart!BC841,0),"")</f>
        <v/>
      </c>
      <c r="BH841" s="1098"/>
      <c r="BI841" s="178"/>
      <c r="BJ841" s="178"/>
      <c r="BK841" s="178"/>
      <c r="BL841" s="178"/>
      <c r="BM841" s="178"/>
      <c r="BN841" s="178"/>
      <c r="BO841" s="178"/>
      <c r="BP841" s="178"/>
      <c r="BQ841" s="196"/>
      <c r="BR841" s="196"/>
      <c r="BS841" s="196"/>
      <c r="BT841" s="196"/>
      <c r="BU841" s="196"/>
      <c r="BV841" s="196"/>
      <c r="BW841" s="178"/>
      <c r="BX841" s="196"/>
      <c r="BY841" s="196"/>
      <c r="BZ841" s="196"/>
      <c r="CA841" s="196"/>
      <c r="CB841" s="178"/>
      <c r="CC841" s="178"/>
      <c r="CD841" s="202"/>
      <c r="CE841" s="202"/>
      <c r="CF841" s="178"/>
      <c r="CG841" s="196"/>
      <c r="CH841" s="178"/>
      <c r="CI841" s="178"/>
      <c r="CJ841" s="178"/>
      <c r="CK841" s="178"/>
      <c r="CL841" s="178"/>
      <c r="CM841" s="178"/>
      <c r="CN841" s="178"/>
      <c r="CO841" s="178"/>
      <c r="CP841" s="178"/>
      <c r="CQ841" s="178"/>
      <c r="CR841" s="178"/>
      <c r="CS841" s="178"/>
      <c r="CT841" s="178"/>
      <c r="CU841" s="178"/>
      <c r="CV841" s="178"/>
      <c r="CW841" s="178"/>
      <c r="CX841" s="178"/>
      <c r="CY841" s="178"/>
      <c r="CZ841" s="178"/>
      <c r="DA841" s="150"/>
    </row>
    <row r="842" spans="53:105" x14ac:dyDescent="0.2">
      <c r="BA842" s="518">
        <f t="shared" ca="1" si="52"/>
        <v>61</v>
      </c>
      <c r="BB842" s="174">
        <f t="shared" ca="1" si="53"/>
        <v>779</v>
      </c>
      <c r="BC842" s="525" t="e">
        <f ca="1">MATCH(BD842,OFFSET(Pinlist!$A$2,BC841*(BA842=BA841),0,$BM$23,1),0)+BC841*(BA842=BA841)</f>
        <v>#N/A</v>
      </c>
      <c r="BD842" s="167">
        <f t="shared" ca="1" si="54"/>
        <v>0</v>
      </c>
      <c r="BE842" s="191" t="e">
        <f ca="1">(OFFSET(Pinlist!$E$1,BC842,0)-$BN$16)*$BN$19</f>
        <v>#N/A</v>
      </c>
      <c r="BF842" s="192" t="e">
        <f ca="1">(OFFSET(Pinlist!$F$1,BC842,0)-$BO$16)*$BO$19</f>
        <v>#N/A</v>
      </c>
      <c r="BG842" s="1098" t="str">
        <f ca="1">IF(LEFT(BD842,2)="RF",OFFSET(Pinlist!$D$1,Chart!BC842,0)&amp;"_"&amp;OFFSET(Pinlist!$G$1,Chart!BC842,0),"")</f>
        <v/>
      </c>
      <c r="BH842" s="1098"/>
      <c r="BI842" s="178"/>
      <c r="BJ842" s="178"/>
      <c r="BK842" s="178"/>
      <c r="BL842" s="178"/>
      <c r="BM842" s="178"/>
      <c r="BN842" s="178"/>
      <c r="BO842" s="178"/>
      <c r="BP842" s="178"/>
      <c r="BQ842" s="196"/>
      <c r="BR842" s="196"/>
      <c r="BS842" s="196"/>
      <c r="BT842" s="196"/>
      <c r="BU842" s="196"/>
      <c r="BV842" s="196"/>
      <c r="BW842" s="178"/>
      <c r="BX842" s="196"/>
      <c r="BY842" s="196"/>
      <c r="BZ842" s="196"/>
      <c r="CA842" s="196"/>
      <c r="CB842" s="178"/>
      <c r="CC842" s="178"/>
      <c r="CD842" s="202"/>
      <c r="CE842" s="202"/>
      <c r="CF842" s="178"/>
      <c r="CG842" s="196"/>
      <c r="CH842" s="178"/>
      <c r="CI842" s="178"/>
      <c r="CJ842" s="178"/>
      <c r="CK842" s="178"/>
      <c r="CL842" s="178"/>
      <c r="CM842" s="178"/>
      <c r="CN842" s="178"/>
      <c r="CO842" s="178"/>
      <c r="CP842" s="178"/>
      <c r="CQ842" s="178"/>
      <c r="CR842" s="178"/>
      <c r="CS842" s="178"/>
      <c r="CT842" s="178"/>
      <c r="CU842" s="178"/>
      <c r="CV842" s="178"/>
      <c r="CW842" s="178"/>
      <c r="CX842" s="178"/>
      <c r="CY842" s="178"/>
      <c r="CZ842" s="178"/>
      <c r="DA842" s="150"/>
    </row>
    <row r="843" spans="53:105" x14ac:dyDescent="0.2">
      <c r="BA843" s="518">
        <f t="shared" ca="1" si="52"/>
        <v>61</v>
      </c>
      <c r="BB843" s="174">
        <f t="shared" ca="1" si="53"/>
        <v>780</v>
      </c>
      <c r="BC843" s="525" t="e">
        <f ca="1">MATCH(BD843,OFFSET(Pinlist!$A$2,BC842*(BA843=BA842),0,$BM$23,1),0)+BC842*(BA843=BA842)</f>
        <v>#N/A</v>
      </c>
      <c r="BD843" s="167">
        <f t="shared" ca="1" si="54"/>
        <v>0</v>
      </c>
      <c r="BE843" s="191" t="e">
        <f ca="1">(OFFSET(Pinlist!$E$1,BC843,0)-$BN$16)*$BN$19</f>
        <v>#N/A</v>
      </c>
      <c r="BF843" s="192" t="e">
        <f ca="1">(OFFSET(Pinlist!$F$1,BC843,0)-$BO$16)*$BO$19</f>
        <v>#N/A</v>
      </c>
      <c r="BG843" s="1098" t="str">
        <f ca="1">IF(LEFT(BD843,2)="RF",OFFSET(Pinlist!$D$1,Chart!BC843,0)&amp;"_"&amp;OFFSET(Pinlist!$G$1,Chart!BC843,0),"")</f>
        <v/>
      </c>
      <c r="BH843" s="1098"/>
      <c r="BI843" s="178"/>
      <c r="BJ843" s="178"/>
      <c r="BK843" s="178"/>
      <c r="BL843" s="178"/>
      <c r="BM843" s="178"/>
      <c r="BN843" s="178"/>
      <c r="BO843" s="178"/>
      <c r="BP843" s="178"/>
      <c r="BQ843" s="196"/>
      <c r="BR843" s="196"/>
      <c r="BS843" s="196"/>
      <c r="BT843" s="196"/>
      <c r="BU843" s="196"/>
      <c r="BV843" s="196"/>
      <c r="BW843" s="178"/>
      <c r="BX843" s="196"/>
      <c r="BY843" s="196"/>
      <c r="BZ843" s="196"/>
      <c r="CA843" s="196"/>
      <c r="CB843" s="178"/>
      <c r="CC843" s="178"/>
      <c r="CD843" s="202"/>
      <c r="CE843" s="202"/>
      <c r="CF843" s="178"/>
      <c r="CG843" s="196"/>
      <c r="CH843" s="178"/>
      <c r="CI843" s="178"/>
      <c r="CJ843" s="178"/>
      <c r="CK843" s="178"/>
      <c r="CL843" s="178"/>
      <c r="CM843" s="178"/>
      <c r="CN843" s="178"/>
      <c r="CO843" s="178"/>
      <c r="CP843" s="178"/>
      <c r="CQ843" s="178"/>
      <c r="CR843" s="178"/>
      <c r="CS843" s="178"/>
      <c r="CT843" s="178"/>
      <c r="CU843" s="178"/>
      <c r="CV843" s="178"/>
      <c r="CW843" s="178"/>
      <c r="CX843" s="178"/>
      <c r="CY843" s="178"/>
      <c r="CZ843" s="178"/>
      <c r="DA843" s="150"/>
    </row>
    <row r="844" spans="53:105" x14ac:dyDescent="0.2">
      <c r="BA844" s="518">
        <f t="shared" ca="1" si="52"/>
        <v>61</v>
      </c>
      <c r="BB844" s="174">
        <f t="shared" ca="1" si="53"/>
        <v>781</v>
      </c>
      <c r="BC844" s="525" t="e">
        <f ca="1">MATCH(BD844,OFFSET(Pinlist!$A$2,BC843*(BA844=BA843),0,$BM$23,1),0)+BC843*(BA844=BA843)</f>
        <v>#N/A</v>
      </c>
      <c r="BD844" s="167">
        <f t="shared" ca="1" si="54"/>
        <v>0</v>
      </c>
      <c r="BE844" s="191" t="e">
        <f ca="1">(OFFSET(Pinlist!$E$1,BC844,0)-$BN$16)*$BN$19</f>
        <v>#N/A</v>
      </c>
      <c r="BF844" s="192" t="e">
        <f ca="1">(OFFSET(Pinlist!$F$1,BC844,0)-$BO$16)*$BO$19</f>
        <v>#N/A</v>
      </c>
      <c r="BG844" s="1098" t="str">
        <f ca="1">IF(LEFT(BD844,2)="RF",OFFSET(Pinlist!$D$1,Chart!BC844,0)&amp;"_"&amp;OFFSET(Pinlist!$G$1,Chart!BC844,0),"")</f>
        <v/>
      </c>
      <c r="BH844" s="1098"/>
      <c r="BI844" s="178"/>
      <c r="BJ844" s="178"/>
      <c r="BK844" s="178"/>
      <c r="BL844" s="178"/>
      <c r="BM844" s="178"/>
      <c r="BN844" s="178"/>
      <c r="BO844" s="178"/>
      <c r="BP844" s="178"/>
      <c r="BQ844" s="196"/>
      <c r="BR844" s="196"/>
      <c r="BS844" s="196"/>
      <c r="BT844" s="196"/>
      <c r="BU844" s="196"/>
      <c r="BV844" s="196"/>
      <c r="BW844" s="178"/>
      <c r="BX844" s="196"/>
      <c r="BY844" s="196"/>
      <c r="BZ844" s="196"/>
      <c r="CA844" s="196"/>
      <c r="CB844" s="178"/>
      <c r="CC844" s="178"/>
      <c r="CD844" s="202"/>
      <c r="CE844" s="202"/>
      <c r="CF844" s="178"/>
      <c r="CG844" s="196"/>
      <c r="CH844" s="178"/>
      <c r="CI844" s="178"/>
      <c r="CJ844" s="178"/>
      <c r="CK844" s="178"/>
      <c r="CL844" s="178"/>
      <c r="CM844" s="178"/>
      <c r="CN844" s="178"/>
      <c r="CO844" s="178"/>
      <c r="CP844" s="178"/>
      <c r="CQ844" s="178"/>
      <c r="CR844" s="178"/>
      <c r="CS844" s="178"/>
      <c r="CT844" s="178"/>
      <c r="CU844" s="178"/>
      <c r="CV844" s="178"/>
      <c r="CW844" s="178"/>
      <c r="CX844" s="178"/>
      <c r="CY844" s="178"/>
      <c r="CZ844" s="178"/>
      <c r="DA844" s="150"/>
    </row>
    <row r="845" spans="53:105" x14ac:dyDescent="0.2">
      <c r="BA845" s="518">
        <f t="shared" ca="1" si="52"/>
        <v>61</v>
      </c>
      <c r="BB845" s="174">
        <f t="shared" ca="1" si="53"/>
        <v>782</v>
      </c>
      <c r="BC845" s="525" t="e">
        <f ca="1">MATCH(BD845,OFFSET(Pinlist!$A$2,BC844*(BA845=BA844),0,$BM$23,1),0)+BC844*(BA845=BA844)</f>
        <v>#N/A</v>
      </c>
      <c r="BD845" s="167">
        <f t="shared" ca="1" si="54"/>
        <v>0</v>
      </c>
      <c r="BE845" s="191" t="e">
        <f ca="1">(OFFSET(Pinlist!$E$1,BC845,0)-$BN$16)*$BN$19</f>
        <v>#N/A</v>
      </c>
      <c r="BF845" s="192" t="e">
        <f ca="1">(OFFSET(Pinlist!$F$1,BC845,0)-$BO$16)*$BO$19</f>
        <v>#N/A</v>
      </c>
      <c r="BG845" s="1098" t="str">
        <f ca="1">IF(LEFT(BD845,2)="RF",OFFSET(Pinlist!$D$1,Chart!BC845,0)&amp;"_"&amp;OFFSET(Pinlist!$G$1,Chart!BC845,0),"")</f>
        <v/>
      </c>
      <c r="BH845" s="1098"/>
      <c r="BI845" s="178"/>
      <c r="BJ845" s="178"/>
      <c r="BK845" s="178"/>
      <c r="BL845" s="178"/>
      <c r="BM845" s="178"/>
      <c r="BN845" s="178"/>
      <c r="BO845" s="178"/>
      <c r="BP845" s="178"/>
      <c r="BQ845" s="196"/>
      <c r="BR845" s="196"/>
      <c r="BS845" s="196"/>
      <c r="BT845" s="196"/>
      <c r="BU845" s="196"/>
      <c r="BV845" s="196"/>
      <c r="BW845" s="178"/>
      <c r="BX845" s="196"/>
      <c r="BY845" s="196"/>
      <c r="BZ845" s="196"/>
      <c r="CA845" s="196"/>
      <c r="CB845" s="178"/>
      <c r="CC845" s="178"/>
      <c r="CD845" s="202"/>
      <c r="CE845" s="202"/>
      <c r="CF845" s="178"/>
      <c r="CG845" s="196"/>
      <c r="CH845" s="178"/>
      <c r="CI845" s="178"/>
      <c r="CJ845" s="178"/>
      <c r="CK845" s="178"/>
      <c r="CL845" s="178"/>
      <c r="CM845" s="178"/>
      <c r="CN845" s="178"/>
      <c r="CO845" s="178"/>
      <c r="CP845" s="178"/>
      <c r="CQ845" s="178"/>
      <c r="CR845" s="178"/>
      <c r="CS845" s="178"/>
      <c r="CT845" s="178"/>
      <c r="CU845" s="178"/>
      <c r="CV845" s="178"/>
      <c r="CW845" s="178"/>
      <c r="CX845" s="178"/>
      <c r="CY845" s="178"/>
      <c r="CZ845" s="178"/>
      <c r="DA845" s="150"/>
    </row>
    <row r="846" spans="53:105" x14ac:dyDescent="0.2">
      <c r="BA846" s="518">
        <f t="shared" ca="1" si="52"/>
        <v>61</v>
      </c>
      <c r="BB846" s="174">
        <f t="shared" ca="1" si="53"/>
        <v>783</v>
      </c>
      <c r="BC846" s="525" t="e">
        <f ca="1">MATCH(BD846,OFFSET(Pinlist!$A$2,BC845*(BA846=BA845),0,$BM$23,1),0)+BC845*(BA846=BA845)</f>
        <v>#N/A</v>
      </c>
      <c r="BD846" s="167">
        <f t="shared" ca="1" si="54"/>
        <v>0</v>
      </c>
      <c r="BE846" s="191" t="e">
        <f ca="1">(OFFSET(Pinlist!$E$1,BC846,0)-$BN$16)*$BN$19</f>
        <v>#N/A</v>
      </c>
      <c r="BF846" s="192" t="e">
        <f ca="1">(OFFSET(Pinlist!$F$1,BC846,0)-$BO$16)*$BO$19</f>
        <v>#N/A</v>
      </c>
      <c r="BG846" s="1098" t="str">
        <f ca="1">IF(LEFT(BD846,2)="RF",OFFSET(Pinlist!$D$1,Chart!BC846,0)&amp;"_"&amp;OFFSET(Pinlist!$G$1,Chart!BC846,0),"")</f>
        <v/>
      </c>
      <c r="BH846" s="1098"/>
      <c r="BI846" s="178"/>
      <c r="BJ846" s="178"/>
      <c r="BK846" s="178"/>
      <c r="BL846" s="178"/>
      <c r="BM846" s="178"/>
      <c r="BN846" s="178"/>
      <c r="BO846" s="178"/>
      <c r="BP846" s="178"/>
      <c r="BQ846" s="196"/>
      <c r="BR846" s="196"/>
      <c r="BS846" s="196"/>
      <c r="BT846" s="196"/>
      <c r="BU846" s="196"/>
      <c r="BV846" s="196"/>
      <c r="BW846" s="178"/>
      <c r="BX846" s="196"/>
      <c r="BY846" s="196"/>
      <c r="BZ846" s="196"/>
      <c r="CA846" s="196"/>
      <c r="CB846" s="178"/>
      <c r="CC846" s="178"/>
      <c r="CD846" s="202"/>
      <c r="CE846" s="202"/>
      <c r="CF846" s="178"/>
      <c r="CG846" s="196"/>
      <c r="CH846" s="178"/>
      <c r="CI846" s="178"/>
      <c r="CJ846" s="178"/>
      <c r="CK846" s="178"/>
      <c r="CL846" s="178"/>
      <c r="CM846" s="178"/>
      <c r="CN846" s="178"/>
      <c r="CO846" s="178"/>
      <c r="CP846" s="178"/>
      <c r="CQ846" s="178"/>
      <c r="CR846" s="178"/>
      <c r="CS846" s="178"/>
      <c r="CT846" s="178"/>
      <c r="CU846" s="178"/>
      <c r="CV846" s="178"/>
      <c r="CW846" s="178"/>
      <c r="CX846" s="178"/>
      <c r="CY846" s="178"/>
      <c r="CZ846" s="178"/>
      <c r="DA846" s="150"/>
    </row>
    <row r="847" spans="53:105" x14ac:dyDescent="0.2">
      <c r="BA847" s="518">
        <f t="shared" ca="1" si="52"/>
        <v>61</v>
      </c>
      <c r="BB847" s="174">
        <f t="shared" ca="1" si="53"/>
        <v>784</v>
      </c>
      <c r="BC847" s="525" t="e">
        <f ca="1">MATCH(BD847,OFFSET(Pinlist!$A$2,BC846*(BA847=BA846),0,$BM$23,1),0)+BC846*(BA847=BA846)</f>
        <v>#N/A</v>
      </c>
      <c r="BD847" s="167">
        <f t="shared" ca="1" si="54"/>
        <v>0</v>
      </c>
      <c r="BE847" s="191" t="e">
        <f ca="1">(OFFSET(Pinlist!$E$1,BC847,0)-$BN$16)*$BN$19</f>
        <v>#N/A</v>
      </c>
      <c r="BF847" s="192" t="e">
        <f ca="1">(OFFSET(Pinlist!$F$1,BC847,0)-$BO$16)*$BO$19</f>
        <v>#N/A</v>
      </c>
      <c r="BG847" s="1098" t="str">
        <f ca="1">IF(LEFT(BD847,2)="RF",OFFSET(Pinlist!$D$1,Chart!BC847,0)&amp;"_"&amp;OFFSET(Pinlist!$G$1,Chart!BC847,0),"")</f>
        <v/>
      </c>
      <c r="BH847" s="1098"/>
      <c r="BI847" s="178"/>
      <c r="BJ847" s="178"/>
      <c r="BK847" s="178"/>
      <c r="BL847" s="178"/>
      <c r="BM847" s="178"/>
      <c r="BN847" s="178"/>
      <c r="BO847" s="178"/>
      <c r="BP847" s="178"/>
      <c r="BQ847" s="196"/>
      <c r="BR847" s="196"/>
      <c r="BS847" s="196"/>
      <c r="BT847" s="196"/>
      <c r="BU847" s="196"/>
      <c r="BV847" s="196"/>
      <c r="BW847" s="178"/>
      <c r="BX847" s="196"/>
      <c r="BY847" s="196"/>
      <c r="BZ847" s="196"/>
      <c r="CA847" s="196"/>
      <c r="CB847" s="178"/>
      <c r="CC847" s="178"/>
      <c r="CD847" s="202"/>
      <c r="CE847" s="202"/>
      <c r="CF847" s="178"/>
      <c r="CG847" s="196"/>
      <c r="CH847" s="178"/>
      <c r="CI847" s="178"/>
      <c r="CJ847" s="178"/>
      <c r="CK847" s="178"/>
      <c r="CL847" s="178"/>
      <c r="CM847" s="178"/>
      <c r="CN847" s="178"/>
      <c r="CO847" s="178"/>
      <c r="CP847" s="178"/>
      <c r="CQ847" s="178"/>
      <c r="CR847" s="178"/>
      <c r="CS847" s="178"/>
      <c r="CT847" s="178"/>
      <c r="CU847" s="178"/>
      <c r="CV847" s="178"/>
      <c r="CW847" s="178"/>
      <c r="CX847" s="178"/>
      <c r="CY847" s="178"/>
      <c r="CZ847" s="178"/>
      <c r="DA847" s="150"/>
    </row>
    <row r="848" spans="53:105" x14ac:dyDescent="0.2">
      <c r="BA848" s="518">
        <f t="shared" ca="1" si="52"/>
        <v>61</v>
      </c>
      <c r="BB848" s="174">
        <f t="shared" ca="1" si="53"/>
        <v>785</v>
      </c>
      <c r="BC848" s="525" t="e">
        <f ca="1">MATCH(BD848,OFFSET(Pinlist!$A$2,BC847*(BA848=BA847),0,$BM$23,1),0)+BC847*(BA848=BA847)</f>
        <v>#N/A</v>
      </c>
      <c r="BD848" s="167">
        <f t="shared" ca="1" si="54"/>
        <v>0</v>
      </c>
      <c r="BE848" s="191" t="e">
        <f ca="1">(OFFSET(Pinlist!$E$1,BC848,0)-$BN$16)*$BN$19</f>
        <v>#N/A</v>
      </c>
      <c r="BF848" s="192" t="e">
        <f ca="1">(OFFSET(Pinlist!$F$1,BC848,0)-$BO$16)*$BO$19</f>
        <v>#N/A</v>
      </c>
      <c r="BG848" s="1098" t="str">
        <f ca="1">IF(LEFT(BD848,2)="RF",OFFSET(Pinlist!$D$1,Chart!BC848,0)&amp;"_"&amp;OFFSET(Pinlist!$G$1,Chart!BC848,0),"")</f>
        <v/>
      </c>
      <c r="BH848" s="1098"/>
      <c r="BI848" s="178"/>
      <c r="BJ848" s="178"/>
      <c r="BK848" s="178"/>
      <c r="BL848" s="178"/>
      <c r="BM848" s="178"/>
      <c r="BN848" s="178"/>
      <c r="BO848" s="178"/>
      <c r="BP848" s="178"/>
      <c r="BQ848" s="196"/>
      <c r="BR848" s="196"/>
      <c r="BS848" s="196"/>
      <c r="BT848" s="196"/>
      <c r="BU848" s="196"/>
      <c r="BV848" s="196"/>
      <c r="BW848" s="178"/>
      <c r="BX848" s="196"/>
      <c r="BY848" s="196"/>
      <c r="BZ848" s="196"/>
      <c r="CA848" s="196"/>
      <c r="CB848" s="178"/>
      <c r="CC848" s="178"/>
      <c r="CD848" s="202"/>
      <c r="CE848" s="202"/>
      <c r="CF848" s="178"/>
      <c r="CG848" s="196"/>
      <c r="CH848" s="178"/>
      <c r="CI848" s="178"/>
      <c r="CJ848" s="178"/>
      <c r="CK848" s="178"/>
      <c r="CL848" s="178"/>
      <c r="CM848" s="178"/>
      <c r="CN848" s="178"/>
      <c r="CO848" s="178"/>
      <c r="CP848" s="178"/>
      <c r="CQ848" s="178"/>
      <c r="CR848" s="178"/>
      <c r="CS848" s="178"/>
      <c r="CT848" s="178"/>
      <c r="CU848" s="178"/>
      <c r="CV848" s="178"/>
      <c r="CW848" s="178"/>
      <c r="CX848" s="178"/>
      <c r="CY848" s="178"/>
      <c r="CZ848" s="178"/>
      <c r="DA848" s="150"/>
    </row>
    <row r="849" spans="53:105" x14ac:dyDescent="0.2">
      <c r="BA849" s="518">
        <f t="shared" ca="1" si="52"/>
        <v>61</v>
      </c>
      <c r="BB849" s="174">
        <f t="shared" ca="1" si="53"/>
        <v>786</v>
      </c>
      <c r="BC849" s="525" t="e">
        <f ca="1">MATCH(BD849,OFFSET(Pinlist!$A$2,BC848*(BA849=BA848),0,$BM$23,1),0)+BC848*(BA849=BA848)</f>
        <v>#N/A</v>
      </c>
      <c r="BD849" s="167">
        <f t="shared" ca="1" si="54"/>
        <v>0</v>
      </c>
      <c r="BE849" s="191" t="e">
        <f ca="1">(OFFSET(Pinlist!$E$1,BC849,0)-$BN$16)*$BN$19</f>
        <v>#N/A</v>
      </c>
      <c r="BF849" s="192" t="e">
        <f ca="1">(OFFSET(Pinlist!$F$1,BC849,0)-$BO$16)*$BO$19</f>
        <v>#N/A</v>
      </c>
      <c r="BG849" s="1098" t="str">
        <f ca="1">IF(LEFT(BD849,2)="RF",OFFSET(Pinlist!$D$1,Chart!BC849,0)&amp;"_"&amp;OFFSET(Pinlist!$G$1,Chart!BC849,0),"")</f>
        <v/>
      </c>
      <c r="BH849" s="1098"/>
      <c r="BI849" s="178"/>
      <c r="BJ849" s="178"/>
      <c r="BK849" s="178"/>
      <c r="BL849" s="178"/>
      <c r="BM849" s="178"/>
      <c r="BN849" s="178"/>
      <c r="BO849" s="178"/>
      <c r="BP849" s="178"/>
      <c r="BQ849" s="196"/>
      <c r="BR849" s="196"/>
      <c r="BS849" s="196"/>
      <c r="BT849" s="196"/>
      <c r="BU849" s="196"/>
      <c r="BV849" s="196"/>
      <c r="BW849" s="178"/>
      <c r="BX849" s="196"/>
      <c r="BY849" s="196"/>
      <c r="BZ849" s="196"/>
      <c r="CA849" s="196"/>
      <c r="CB849" s="178"/>
      <c r="CC849" s="178"/>
      <c r="CD849" s="202"/>
      <c r="CE849" s="202"/>
      <c r="CF849" s="178"/>
      <c r="CG849" s="196"/>
      <c r="CH849" s="178"/>
      <c r="CI849" s="178"/>
      <c r="CJ849" s="178"/>
      <c r="CK849" s="178"/>
      <c r="CL849" s="178"/>
      <c r="CM849" s="178"/>
      <c r="CN849" s="178"/>
      <c r="CO849" s="178"/>
      <c r="CP849" s="178"/>
      <c r="CQ849" s="178"/>
      <c r="CR849" s="178"/>
      <c r="CS849" s="178"/>
      <c r="CT849" s="178"/>
      <c r="CU849" s="178"/>
      <c r="CV849" s="178"/>
      <c r="CW849" s="178"/>
      <c r="CX849" s="178"/>
      <c r="CY849" s="178"/>
      <c r="CZ849" s="178"/>
      <c r="DA849" s="150"/>
    </row>
    <row r="850" spans="53:105" x14ac:dyDescent="0.2">
      <c r="BA850" s="518">
        <f t="shared" ca="1" si="52"/>
        <v>61</v>
      </c>
      <c r="BB850" s="174">
        <f t="shared" ca="1" si="53"/>
        <v>787</v>
      </c>
      <c r="BC850" s="525" t="e">
        <f ca="1">MATCH(BD850,OFFSET(Pinlist!$A$2,BC849*(BA850=BA849),0,$BM$23,1),0)+BC849*(BA850=BA849)</f>
        <v>#N/A</v>
      </c>
      <c r="BD850" s="167">
        <f t="shared" ca="1" si="54"/>
        <v>0</v>
      </c>
      <c r="BE850" s="191" t="e">
        <f ca="1">(OFFSET(Pinlist!$E$1,BC850,0)-$BN$16)*$BN$19</f>
        <v>#N/A</v>
      </c>
      <c r="BF850" s="192" t="e">
        <f ca="1">(OFFSET(Pinlist!$F$1,BC850,0)-$BO$16)*$BO$19</f>
        <v>#N/A</v>
      </c>
      <c r="BG850" s="1098" t="str">
        <f ca="1">IF(LEFT(BD850,2)="RF",OFFSET(Pinlist!$D$1,Chart!BC850,0)&amp;"_"&amp;OFFSET(Pinlist!$G$1,Chart!BC850,0),"")</f>
        <v/>
      </c>
      <c r="BH850" s="1098"/>
      <c r="BI850" s="178"/>
      <c r="BJ850" s="178"/>
      <c r="BK850" s="178"/>
      <c r="BL850" s="178"/>
      <c r="BM850" s="178"/>
      <c r="BN850" s="178"/>
      <c r="BO850" s="178"/>
      <c r="BP850" s="178"/>
      <c r="BQ850" s="196"/>
      <c r="BR850" s="196"/>
      <c r="BS850" s="196"/>
      <c r="BT850" s="196"/>
      <c r="BU850" s="196"/>
      <c r="BV850" s="196"/>
      <c r="BW850" s="178"/>
      <c r="BX850" s="196"/>
      <c r="BY850" s="196"/>
      <c r="BZ850" s="196"/>
      <c r="CA850" s="196"/>
      <c r="CB850" s="178"/>
      <c r="CC850" s="178"/>
      <c r="CD850" s="202"/>
      <c r="CE850" s="202"/>
      <c r="CF850" s="178"/>
      <c r="CG850" s="196"/>
      <c r="CH850" s="178"/>
      <c r="CI850" s="178"/>
      <c r="CJ850" s="178"/>
      <c r="CK850" s="178"/>
      <c r="CL850" s="178"/>
      <c r="CM850" s="178"/>
      <c r="CN850" s="178"/>
      <c r="CO850" s="178"/>
      <c r="CP850" s="178"/>
      <c r="CQ850" s="178"/>
      <c r="CR850" s="178"/>
      <c r="CS850" s="178"/>
      <c r="CT850" s="178"/>
      <c r="CU850" s="178"/>
      <c r="CV850" s="178"/>
      <c r="CW850" s="178"/>
      <c r="CX850" s="178"/>
      <c r="CY850" s="178"/>
      <c r="CZ850" s="178"/>
      <c r="DA850" s="150"/>
    </row>
    <row r="851" spans="53:105" x14ac:dyDescent="0.2">
      <c r="BA851" s="518">
        <f t="shared" ca="1" si="52"/>
        <v>61</v>
      </c>
      <c r="BB851" s="174">
        <f t="shared" ca="1" si="53"/>
        <v>788</v>
      </c>
      <c r="BC851" s="525" t="e">
        <f ca="1">MATCH(BD851,OFFSET(Pinlist!$A$2,BC850*(BA851=BA850),0,$BM$23,1),0)+BC850*(BA851=BA850)</f>
        <v>#N/A</v>
      </c>
      <c r="BD851" s="167">
        <f t="shared" ca="1" si="54"/>
        <v>0</v>
      </c>
      <c r="BE851" s="191" t="e">
        <f ca="1">(OFFSET(Pinlist!$E$1,BC851,0)-$BN$16)*$BN$19</f>
        <v>#N/A</v>
      </c>
      <c r="BF851" s="192" t="e">
        <f ca="1">(OFFSET(Pinlist!$F$1,BC851,0)-$BO$16)*$BO$19</f>
        <v>#N/A</v>
      </c>
      <c r="BG851" s="1098" t="str">
        <f ca="1">IF(LEFT(BD851,2)="RF",OFFSET(Pinlist!$D$1,Chart!BC851,0)&amp;"_"&amp;OFFSET(Pinlist!$G$1,Chart!BC851,0),"")</f>
        <v/>
      </c>
      <c r="BH851" s="1098"/>
      <c r="BI851" s="178"/>
      <c r="BJ851" s="178"/>
      <c r="BK851" s="178"/>
      <c r="BL851" s="178"/>
      <c r="BM851" s="178"/>
      <c r="BN851" s="178"/>
      <c r="BO851" s="178"/>
      <c r="BP851" s="178"/>
      <c r="BQ851" s="196"/>
      <c r="BR851" s="196"/>
      <c r="BS851" s="196"/>
      <c r="BT851" s="196"/>
      <c r="BU851" s="196"/>
      <c r="BV851" s="196"/>
      <c r="BW851" s="178"/>
      <c r="BX851" s="196"/>
      <c r="BY851" s="196"/>
      <c r="BZ851" s="196"/>
      <c r="CA851" s="196"/>
      <c r="CB851" s="178"/>
      <c r="CC851" s="178"/>
      <c r="CD851" s="202"/>
      <c r="CE851" s="202"/>
      <c r="CF851" s="178"/>
      <c r="CG851" s="196"/>
      <c r="CH851" s="178"/>
      <c r="CI851" s="178"/>
      <c r="CJ851" s="178"/>
      <c r="CK851" s="178"/>
      <c r="CL851" s="178"/>
      <c r="CM851" s="178"/>
      <c r="CN851" s="178"/>
      <c r="CO851" s="178"/>
      <c r="CP851" s="178"/>
      <c r="CQ851" s="178"/>
      <c r="CR851" s="178"/>
      <c r="CS851" s="178"/>
      <c r="CT851" s="178"/>
      <c r="CU851" s="178"/>
      <c r="CV851" s="178"/>
      <c r="CW851" s="178"/>
      <c r="CX851" s="178"/>
      <c r="CY851" s="178"/>
      <c r="CZ851" s="178"/>
      <c r="DA851" s="150"/>
    </row>
    <row r="852" spans="53:105" x14ac:dyDescent="0.2">
      <c r="BA852" s="518">
        <f t="shared" ca="1" si="52"/>
        <v>61</v>
      </c>
      <c r="BB852" s="174">
        <f t="shared" ca="1" si="53"/>
        <v>789</v>
      </c>
      <c r="BC852" s="525" t="e">
        <f ca="1">MATCH(BD852,OFFSET(Pinlist!$A$2,BC851*(BA852=BA851),0,$BM$23,1),0)+BC851*(BA852=BA851)</f>
        <v>#N/A</v>
      </c>
      <c r="BD852" s="167">
        <f t="shared" ca="1" si="54"/>
        <v>0</v>
      </c>
      <c r="BE852" s="191" t="e">
        <f ca="1">(OFFSET(Pinlist!$E$1,BC852,0)-$BN$16)*$BN$19</f>
        <v>#N/A</v>
      </c>
      <c r="BF852" s="192" t="e">
        <f ca="1">(OFFSET(Pinlist!$F$1,BC852,0)-$BO$16)*$BO$19</f>
        <v>#N/A</v>
      </c>
      <c r="BG852" s="1098" t="str">
        <f ca="1">IF(LEFT(BD852,2)="RF",OFFSET(Pinlist!$D$1,Chart!BC852,0)&amp;"_"&amp;OFFSET(Pinlist!$G$1,Chart!BC852,0),"")</f>
        <v/>
      </c>
      <c r="BH852" s="1098"/>
      <c r="BI852" s="178"/>
      <c r="BJ852" s="178"/>
      <c r="BK852" s="178"/>
      <c r="BL852" s="178"/>
      <c r="BM852" s="178"/>
      <c r="BN852" s="178"/>
      <c r="BO852" s="178"/>
      <c r="BP852" s="178"/>
      <c r="BQ852" s="196"/>
      <c r="BR852" s="196"/>
      <c r="BS852" s="196"/>
      <c r="BT852" s="196"/>
      <c r="BU852" s="196"/>
      <c r="BV852" s="196"/>
      <c r="BW852" s="178"/>
      <c r="BX852" s="196"/>
      <c r="BY852" s="196"/>
      <c r="BZ852" s="196"/>
      <c r="CA852" s="196"/>
      <c r="CB852" s="178"/>
      <c r="CC852" s="178"/>
      <c r="CD852" s="202"/>
      <c r="CE852" s="202"/>
      <c r="CF852" s="178"/>
      <c r="CG852" s="196"/>
      <c r="CH852" s="178"/>
      <c r="CI852" s="178"/>
      <c r="CJ852" s="178"/>
      <c r="CK852" s="178"/>
      <c r="CL852" s="178"/>
      <c r="CM852" s="178"/>
      <c r="CN852" s="178"/>
      <c r="CO852" s="178"/>
      <c r="CP852" s="178"/>
      <c r="CQ852" s="178"/>
      <c r="CR852" s="178"/>
      <c r="CS852" s="178"/>
      <c r="CT852" s="178"/>
      <c r="CU852" s="178"/>
      <c r="CV852" s="178"/>
      <c r="CW852" s="178"/>
      <c r="CX852" s="178"/>
      <c r="CY852" s="178"/>
      <c r="CZ852" s="178"/>
      <c r="DA852" s="150"/>
    </row>
    <row r="853" spans="53:105" x14ac:dyDescent="0.2">
      <c r="BA853" s="518">
        <f t="shared" ca="1" si="52"/>
        <v>61</v>
      </c>
      <c r="BB853" s="174">
        <f t="shared" ca="1" si="53"/>
        <v>790</v>
      </c>
      <c r="BC853" s="525" t="e">
        <f ca="1">MATCH(BD853,OFFSET(Pinlist!$A$2,BC852*(BA853=BA852),0,$BM$23,1),0)+BC852*(BA853=BA852)</f>
        <v>#N/A</v>
      </c>
      <c r="BD853" s="167">
        <f t="shared" ca="1" si="54"/>
        <v>0</v>
      </c>
      <c r="BE853" s="191" t="e">
        <f ca="1">(OFFSET(Pinlist!$E$1,BC853,0)-$BN$16)*$BN$19</f>
        <v>#N/A</v>
      </c>
      <c r="BF853" s="192" t="e">
        <f ca="1">(OFFSET(Pinlist!$F$1,BC853,0)-$BO$16)*$BO$19</f>
        <v>#N/A</v>
      </c>
      <c r="BG853" s="1098" t="str">
        <f ca="1">IF(LEFT(BD853,2)="RF",OFFSET(Pinlist!$D$1,Chart!BC853,0)&amp;"_"&amp;OFFSET(Pinlist!$G$1,Chart!BC853,0),"")</f>
        <v/>
      </c>
      <c r="BH853" s="1098"/>
      <c r="BI853" s="178"/>
      <c r="BJ853" s="178"/>
      <c r="BK853" s="178"/>
      <c r="BL853" s="178"/>
      <c r="BM853" s="178"/>
      <c r="BN853" s="178"/>
      <c r="BO853" s="178"/>
      <c r="BP853" s="178"/>
      <c r="BQ853" s="196"/>
      <c r="BR853" s="196"/>
      <c r="BS853" s="196"/>
      <c r="BT853" s="196"/>
      <c r="BU853" s="196"/>
      <c r="BV853" s="196"/>
      <c r="BW853" s="178"/>
      <c r="BX853" s="196"/>
      <c r="BY853" s="196"/>
      <c r="BZ853" s="196"/>
      <c r="CA853" s="196"/>
      <c r="CB853" s="178"/>
      <c r="CC853" s="178"/>
      <c r="CD853" s="202"/>
      <c r="CE853" s="202"/>
      <c r="CF853" s="178"/>
      <c r="CG853" s="196"/>
      <c r="CH853" s="178"/>
      <c r="CI853" s="178"/>
      <c r="CJ853" s="178"/>
      <c r="CK853" s="178"/>
      <c r="CL853" s="178"/>
      <c r="CM853" s="178"/>
      <c r="CN853" s="178"/>
      <c r="CO853" s="178"/>
      <c r="CP853" s="178"/>
      <c r="CQ853" s="178"/>
      <c r="CR853" s="178"/>
      <c r="CS853" s="178"/>
      <c r="CT853" s="178"/>
      <c r="CU853" s="178"/>
      <c r="CV853" s="178"/>
      <c r="CW853" s="178"/>
      <c r="CX853" s="178"/>
      <c r="CY853" s="178"/>
      <c r="CZ853" s="178"/>
      <c r="DA853" s="150"/>
    </row>
    <row r="854" spans="53:105" x14ac:dyDescent="0.2">
      <c r="BA854" s="518">
        <f t="shared" ca="1" si="52"/>
        <v>61</v>
      </c>
      <c r="BB854" s="174">
        <f t="shared" ca="1" si="53"/>
        <v>791</v>
      </c>
      <c r="BC854" s="525" t="e">
        <f ca="1">MATCH(BD854,OFFSET(Pinlist!$A$2,BC853*(BA854=BA853),0,$BM$23,1),0)+BC853*(BA854=BA853)</f>
        <v>#N/A</v>
      </c>
      <c r="BD854" s="167">
        <f t="shared" ca="1" si="54"/>
        <v>0</v>
      </c>
      <c r="BE854" s="191" t="e">
        <f ca="1">(OFFSET(Pinlist!$E$1,BC854,0)-$BN$16)*$BN$19</f>
        <v>#N/A</v>
      </c>
      <c r="BF854" s="192" t="e">
        <f ca="1">(OFFSET(Pinlist!$F$1,BC854,0)-$BO$16)*$BO$19</f>
        <v>#N/A</v>
      </c>
      <c r="BG854" s="1098" t="str">
        <f ca="1">IF(LEFT(BD854,2)="RF",OFFSET(Pinlist!$D$1,Chart!BC854,0)&amp;"_"&amp;OFFSET(Pinlist!$G$1,Chart!BC854,0),"")</f>
        <v/>
      </c>
      <c r="BH854" s="1098"/>
      <c r="BI854" s="178"/>
      <c r="BJ854" s="178"/>
      <c r="BK854" s="178"/>
      <c r="BL854" s="178"/>
      <c r="BM854" s="178"/>
      <c r="BN854" s="178"/>
      <c r="BO854" s="178"/>
      <c r="BP854" s="178"/>
      <c r="BQ854" s="196"/>
      <c r="BR854" s="196"/>
      <c r="BS854" s="196"/>
      <c r="BT854" s="196"/>
      <c r="BU854" s="196"/>
      <c r="BV854" s="196"/>
      <c r="BW854" s="178"/>
      <c r="BX854" s="196"/>
      <c r="BY854" s="196"/>
      <c r="BZ854" s="196"/>
      <c r="CA854" s="196"/>
      <c r="CB854" s="178"/>
      <c r="CC854" s="178"/>
      <c r="CD854" s="202"/>
      <c r="CE854" s="202"/>
      <c r="CF854" s="178"/>
      <c r="CG854" s="196"/>
      <c r="CH854" s="178"/>
      <c r="CI854" s="178"/>
      <c r="CJ854" s="178"/>
      <c r="CK854" s="178"/>
      <c r="CL854" s="178"/>
      <c r="CM854" s="178"/>
      <c r="CN854" s="178"/>
      <c r="CO854" s="178"/>
      <c r="CP854" s="178"/>
      <c r="CQ854" s="178"/>
      <c r="CR854" s="178"/>
      <c r="CS854" s="178"/>
      <c r="CT854" s="178"/>
      <c r="CU854" s="178"/>
      <c r="CV854" s="178"/>
      <c r="CW854" s="178"/>
      <c r="CX854" s="178"/>
      <c r="CY854" s="178"/>
      <c r="CZ854" s="178"/>
      <c r="DA854" s="150"/>
    </row>
    <row r="855" spans="53:105" x14ac:dyDescent="0.2">
      <c r="BA855" s="518">
        <f t="shared" ca="1" si="52"/>
        <v>61</v>
      </c>
      <c r="BB855" s="174">
        <f t="shared" ca="1" si="53"/>
        <v>792</v>
      </c>
      <c r="BC855" s="525" t="e">
        <f ca="1">MATCH(BD855,OFFSET(Pinlist!$A$2,BC854*(BA855=BA854),0,$BM$23,1),0)+BC854*(BA855=BA854)</f>
        <v>#N/A</v>
      </c>
      <c r="BD855" s="167">
        <f t="shared" ca="1" si="54"/>
        <v>0</v>
      </c>
      <c r="BE855" s="191" t="e">
        <f ca="1">(OFFSET(Pinlist!$E$1,BC855,0)-$BN$16)*$BN$19</f>
        <v>#N/A</v>
      </c>
      <c r="BF855" s="192" t="e">
        <f ca="1">(OFFSET(Pinlist!$F$1,BC855,0)-$BO$16)*$BO$19</f>
        <v>#N/A</v>
      </c>
      <c r="BG855" s="1098" t="str">
        <f ca="1">IF(LEFT(BD855,2)="RF",OFFSET(Pinlist!$D$1,Chart!BC855,0)&amp;"_"&amp;OFFSET(Pinlist!$G$1,Chart!BC855,0),"")</f>
        <v/>
      </c>
      <c r="BH855" s="1098"/>
      <c r="BI855" s="178"/>
      <c r="BJ855" s="178"/>
      <c r="BK855" s="178"/>
      <c r="BL855" s="178"/>
      <c r="BM855" s="178"/>
      <c r="BN855" s="178"/>
      <c r="BO855" s="178"/>
      <c r="BP855" s="178"/>
      <c r="BQ855" s="196"/>
      <c r="BR855" s="196"/>
      <c r="BS855" s="196"/>
      <c r="BT855" s="196"/>
      <c r="BU855" s="196"/>
      <c r="BV855" s="196"/>
      <c r="BW855" s="178"/>
      <c r="BX855" s="196"/>
      <c r="BY855" s="196"/>
      <c r="BZ855" s="196"/>
      <c r="CA855" s="196"/>
      <c r="CB855" s="178"/>
      <c r="CC855" s="178"/>
      <c r="CD855" s="202"/>
      <c r="CE855" s="202"/>
      <c r="CF855" s="178"/>
      <c r="CG855" s="196"/>
      <c r="CH855" s="178"/>
      <c r="CI855" s="178"/>
      <c r="CJ855" s="178"/>
      <c r="CK855" s="178"/>
      <c r="CL855" s="178"/>
      <c r="CM855" s="178"/>
      <c r="CN855" s="178"/>
      <c r="CO855" s="178"/>
      <c r="CP855" s="178"/>
      <c r="CQ855" s="178"/>
      <c r="CR855" s="178"/>
      <c r="CS855" s="178"/>
      <c r="CT855" s="178"/>
      <c r="CU855" s="178"/>
      <c r="CV855" s="178"/>
      <c r="CW855" s="178"/>
      <c r="CX855" s="178"/>
      <c r="CY855" s="178"/>
      <c r="CZ855" s="178"/>
      <c r="DA855" s="150"/>
    </row>
    <row r="856" spans="53:105" x14ac:dyDescent="0.2">
      <c r="BA856" s="518">
        <f t="shared" ca="1" si="52"/>
        <v>61</v>
      </c>
      <c r="BB856" s="174">
        <f t="shared" ca="1" si="53"/>
        <v>793</v>
      </c>
      <c r="BC856" s="525" t="e">
        <f ca="1">MATCH(BD856,OFFSET(Pinlist!$A$2,BC855*(BA856=BA855),0,$BM$23,1),0)+BC855*(BA856=BA855)</f>
        <v>#N/A</v>
      </c>
      <c r="BD856" s="167">
        <f t="shared" ca="1" si="54"/>
        <v>0</v>
      </c>
      <c r="BE856" s="191" t="e">
        <f ca="1">(OFFSET(Pinlist!$E$1,BC856,0)-$BN$16)*$BN$19</f>
        <v>#N/A</v>
      </c>
      <c r="BF856" s="192" t="e">
        <f ca="1">(OFFSET(Pinlist!$F$1,BC856,0)-$BO$16)*$BO$19</f>
        <v>#N/A</v>
      </c>
      <c r="BG856" s="1098" t="str">
        <f ca="1">IF(LEFT(BD856,2)="RF",OFFSET(Pinlist!$D$1,Chart!BC856,0)&amp;"_"&amp;OFFSET(Pinlist!$G$1,Chart!BC856,0),"")</f>
        <v/>
      </c>
      <c r="BH856" s="1098"/>
      <c r="BI856" s="178"/>
      <c r="BJ856" s="178"/>
      <c r="BK856" s="178"/>
      <c r="BL856" s="178"/>
      <c r="BM856" s="178"/>
      <c r="BN856" s="178"/>
      <c r="BO856" s="178"/>
      <c r="BP856" s="178"/>
      <c r="BQ856" s="196"/>
      <c r="BR856" s="196"/>
      <c r="BS856" s="196"/>
      <c r="BT856" s="196"/>
      <c r="BU856" s="196"/>
      <c r="BV856" s="196"/>
      <c r="BW856" s="178"/>
      <c r="BX856" s="196"/>
      <c r="BY856" s="196"/>
      <c r="BZ856" s="196"/>
      <c r="CA856" s="196"/>
      <c r="CB856" s="178"/>
      <c r="CC856" s="178"/>
      <c r="CD856" s="202"/>
      <c r="CE856" s="202"/>
      <c r="CF856" s="178"/>
      <c r="CG856" s="196"/>
      <c r="CH856" s="178"/>
      <c r="CI856" s="178"/>
      <c r="CJ856" s="178"/>
      <c r="CK856" s="178"/>
      <c r="CL856" s="178"/>
      <c r="CM856" s="178"/>
      <c r="CN856" s="178"/>
      <c r="CO856" s="178"/>
      <c r="CP856" s="178"/>
      <c r="CQ856" s="178"/>
      <c r="CR856" s="178"/>
      <c r="CS856" s="178"/>
      <c r="CT856" s="178"/>
      <c r="CU856" s="178"/>
      <c r="CV856" s="178"/>
      <c r="CW856" s="178"/>
      <c r="CX856" s="178"/>
      <c r="CY856" s="178"/>
      <c r="CZ856" s="178"/>
      <c r="DA856" s="150"/>
    </row>
    <row r="857" spans="53:105" x14ac:dyDescent="0.2">
      <c r="BA857" s="518">
        <f t="shared" ca="1" si="52"/>
        <v>61</v>
      </c>
      <c r="BB857" s="174">
        <f t="shared" ca="1" si="53"/>
        <v>794</v>
      </c>
      <c r="BC857" s="525" t="e">
        <f ca="1">MATCH(BD857,OFFSET(Pinlist!$A$2,BC856*(BA857=BA856),0,$BM$23,1),0)+BC856*(BA857=BA856)</f>
        <v>#N/A</v>
      </c>
      <c r="BD857" s="167">
        <f t="shared" ca="1" si="54"/>
        <v>0</v>
      </c>
      <c r="BE857" s="191" t="e">
        <f ca="1">(OFFSET(Pinlist!$E$1,BC857,0)-$BN$16)*$BN$19</f>
        <v>#N/A</v>
      </c>
      <c r="BF857" s="192" t="e">
        <f ca="1">(OFFSET(Pinlist!$F$1,BC857,0)-$BO$16)*$BO$19</f>
        <v>#N/A</v>
      </c>
      <c r="BG857" s="1098" t="str">
        <f ca="1">IF(LEFT(BD857,2)="RF",OFFSET(Pinlist!$D$1,Chart!BC857,0)&amp;"_"&amp;OFFSET(Pinlist!$G$1,Chart!BC857,0),"")</f>
        <v/>
      </c>
      <c r="BH857" s="1098"/>
      <c r="BI857" s="178"/>
      <c r="BJ857" s="178"/>
      <c r="BK857" s="178"/>
      <c r="BL857" s="178"/>
      <c r="BM857" s="178"/>
      <c r="BN857" s="178"/>
      <c r="BO857" s="178"/>
      <c r="BP857" s="178"/>
      <c r="BQ857" s="196"/>
      <c r="BR857" s="196"/>
      <c r="BS857" s="196"/>
      <c r="BT857" s="196"/>
      <c r="BU857" s="196"/>
      <c r="BV857" s="196"/>
      <c r="BW857" s="178"/>
      <c r="BX857" s="196"/>
      <c r="BY857" s="196"/>
      <c r="BZ857" s="196"/>
      <c r="CA857" s="196"/>
      <c r="CB857" s="178"/>
      <c r="CC857" s="178"/>
      <c r="CD857" s="202"/>
      <c r="CE857" s="202"/>
      <c r="CF857" s="178"/>
      <c r="CG857" s="196"/>
      <c r="CH857" s="178"/>
      <c r="CI857" s="178"/>
      <c r="CJ857" s="178"/>
      <c r="CK857" s="178"/>
      <c r="CL857" s="178"/>
      <c r="CM857" s="178"/>
      <c r="CN857" s="178"/>
      <c r="CO857" s="178"/>
      <c r="CP857" s="178"/>
      <c r="CQ857" s="178"/>
      <c r="CR857" s="178"/>
      <c r="CS857" s="178"/>
      <c r="CT857" s="178"/>
      <c r="CU857" s="178"/>
      <c r="CV857" s="178"/>
      <c r="CW857" s="178"/>
      <c r="CX857" s="178"/>
      <c r="CY857" s="178"/>
      <c r="CZ857" s="178"/>
      <c r="DA857" s="150"/>
    </row>
    <row r="858" spans="53:105" x14ac:dyDescent="0.2">
      <c r="BA858" s="518">
        <f t="shared" ca="1" si="52"/>
        <v>61</v>
      </c>
      <c r="BB858" s="174">
        <f t="shared" ca="1" si="53"/>
        <v>795</v>
      </c>
      <c r="BC858" s="525" t="e">
        <f ca="1">MATCH(BD858,OFFSET(Pinlist!$A$2,BC857*(BA858=BA857),0,$BM$23,1),0)+BC857*(BA858=BA857)</f>
        <v>#N/A</v>
      </c>
      <c r="BD858" s="167">
        <f t="shared" ca="1" si="54"/>
        <v>0</v>
      </c>
      <c r="BE858" s="191" t="e">
        <f ca="1">(OFFSET(Pinlist!$E$1,BC858,0)-$BN$16)*$BN$19</f>
        <v>#N/A</v>
      </c>
      <c r="BF858" s="192" t="e">
        <f ca="1">(OFFSET(Pinlist!$F$1,BC858,0)-$BO$16)*$BO$19</f>
        <v>#N/A</v>
      </c>
      <c r="BG858" s="1098" t="str">
        <f ca="1">IF(LEFT(BD858,2)="RF",OFFSET(Pinlist!$D$1,Chart!BC858,0)&amp;"_"&amp;OFFSET(Pinlist!$G$1,Chart!BC858,0),"")</f>
        <v/>
      </c>
      <c r="BH858" s="1098"/>
      <c r="BI858" s="178"/>
      <c r="BJ858" s="178"/>
      <c r="BK858" s="178"/>
      <c r="BL858" s="178"/>
      <c r="BM858" s="178"/>
      <c r="BN858" s="178"/>
      <c r="BO858" s="178"/>
      <c r="BP858" s="178"/>
      <c r="BQ858" s="196"/>
      <c r="BR858" s="196"/>
      <c r="BS858" s="196"/>
      <c r="BT858" s="196"/>
      <c r="BU858" s="196"/>
      <c r="BV858" s="196"/>
      <c r="BW858" s="178"/>
      <c r="BX858" s="196"/>
      <c r="BY858" s="196"/>
      <c r="BZ858" s="196"/>
      <c r="CA858" s="196"/>
      <c r="CB858" s="178"/>
      <c r="CC858" s="178"/>
      <c r="CD858" s="202"/>
      <c r="CE858" s="202"/>
      <c r="CF858" s="178"/>
      <c r="CG858" s="196"/>
      <c r="CH858" s="178"/>
      <c r="CI858" s="178"/>
      <c r="CJ858" s="178"/>
      <c r="CK858" s="178"/>
      <c r="CL858" s="178"/>
      <c r="CM858" s="178"/>
      <c r="CN858" s="178"/>
      <c r="CO858" s="178"/>
      <c r="CP858" s="178"/>
      <c r="CQ858" s="178"/>
      <c r="CR858" s="178"/>
      <c r="CS858" s="178"/>
      <c r="CT858" s="178"/>
      <c r="CU858" s="178"/>
      <c r="CV858" s="178"/>
      <c r="CW858" s="178"/>
      <c r="CX858" s="178"/>
      <c r="CY858" s="178"/>
      <c r="CZ858" s="178"/>
      <c r="DA858" s="150"/>
    </row>
    <row r="859" spans="53:105" x14ac:dyDescent="0.2">
      <c r="BA859" s="518">
        <f t="shared" ca="1" si="52"/>
        <v>61</v>
      </c>
      <c r="BB859" s="174">
        <f t="shared" ca="1" si="53"/>
        <v>796</v>
      </c>
      <c r="BC859" s="525" t="e">
        <f ca="1">MATCH(BD859,OFFSET(Pinlist!$A$2,BC858*(BA859=BA858),0,$BM$23,1),0)+BC858*(BA859=BA858)</f>
        <v>#N/A</v>
      </c>
      <c r="BD859" s="167">
        <f t="shared" ca="1" si="54"/>
        <v>0</v>
      </c>
      <c r="BE859" s="191" t="e">
        <f ca="1">(OFFSET(Pinlist!$E$1,BC859,0)-$BN$16)*$BN$19</f>
        <v>#N/A</v>
      </c>
      <c r="BF859" s="192" t="e">
        <f ca="1">(OFFSET(Pinlist!$F$1,BC859,0)-$BO$16)*$BO$19</f>
        <v>#N/A</v>
      </c>
      <c r="BG859" s="1098" t="str">
        <f ca="1">IF(LEFT(BD859,2)="RF",OFFSET(Pinlist!$D$1,Chart!BC859,0)&amp;"_"&amp;OFFSET(Pinlist!$G$1,Chart!BC859,0),"")</f>
        <v/>
      </c>
      <c r="BH859" s="1098"/>
      <c r="BI859" s="178"/>
      <c r="BJ859" s="178"/>
      <c r="BK859" s="178"/>
      <c r="BL859" s="178"/>
      <c r="BM859" s="178"/>
      <c r="BN859" s="178"/>
      <c r="BO859" s="178"/>
      <c r="BP859" s="178"/>
      <c r="BQ859" s="196"/>
      <c r="BR859" s="196"/>
      <c r="BS859" s="196"/>
      <c r="BT859" s="196"/>
      <c r="BU859" s="196"/>
      <c r="BV859" s="196"/>
      <c r="BW859" s="178"/>
      <c r="BX859" s="196"/>
      <c r="BY859" s="196"/>
      <c r="BZ859" s="196"/>
      <c r="CA859" s="196"/>
      <c r="CB859" s="178"/>
      <c r="CC859" s="178"/>
      <c r="CD859" s="202"/>
      <c r="CE859" s="202"/>
      <c r="CF859" s="178"/>
      <c r="CG859" s="196"/>
      <c r="CH859" s="178"/>
      <c r="CI859" s="178"/>
      <c r="CJ859" s="178"/>
      <c r="CK859" s="178"/>
      <c r="CL859" s="178"/>
      <c r="CM859" s="178"/>
      <c r="CN859" s="178"/>
      <c r="CO859" s="178"/>
      <c r="CP859" s="178"/>
      <c r="CQ859" s="178"/>
      <c r="CR859" s="178"/>
      <c r="CS859" s="178"/>
      <c r="CT859" s="178"/>
      <c r="CU859" s="178"/>
      <c r="CV859" s="178"/>
      <c r="CW859" s="178"/>
      <c r="CX859" s="178"/>
      <c r="CY859" s="178"/>
      <c r="CZ859" s="178"/>
      <c r="DA859" s="150"/>
    </row>
    <row r="860" spans="53:105" x14ac:dyDescent="0.2">
      <c r="BA860" s="518">
        <f t="shared" ca="1" si="52"/>
        <v>61</v>
      </c>
      <c r="BB860" s="174">
        <f t="shared" ca="1" si="53"/>
        <v>797</v>
      </c>
      <c r="BC860" s="525" t="e">
        <f ca="1">MATCH(BD860,OFFSET(Pinlist!$A$2,BC859*(BA860=BA859),0,$BM$23,1),0)+BC859*(BA860=BA859)</f>
        <v>#N/A</v>
      </c>
      <c r="BD860" s="167">
        <f t="shared" ca="1" si="54"/>
        <v>0</v>
      </c>
      <c r="BE860" s="191" t="e">
        <f ca="1">(OFFSET(Pinlist!$E$1,BC860,0)-$BN$16)*$BN$19</f>
        <v>#N/A</v>
      </c>
      <c r="BF860" s="192" t="e">
        <f ca="1">(OFFSET(Pinlist!$F$1,BC860,0)-$BO$16)*$BO$19</f>
        <v>#N/A</v>
      </c>
      <c r="BG860" s="1098" t="str">
        <f ca="1">IF(LEFT(BD860,2)="RF",OFFSET(Pinlist!$D$1,Chart!BC860,0)&amp;"_"&amp;OFFSET(Pinlist!$G$1,Chart!BC860,0),"")</f>
        <v/>
      </c>
      <c r="BH860" s="1098"/>
      <c r="BI860" s="178"/>
      <c r="BJ860" s="178"/>
      <c r="BK860" s="178"/>
      <c r="BL860" s="178"/>
      <c r="BM860" s="178"/>
      <c r="BN860" s="178"/>
      <c r="BO860" s="178"/>
      <c r="BP860" s="178"/>
      <c r="BQ860" s="196"/>
      <c r="BR860" s="196"/>
      <c r="BS860" s="196"/>
      <c r="BT860" s="196"/>
      <c r="BU860" s="196"/>
      <c r="BV860" s="196"/>
      <c r="BW860" s="178"/>
      <c r="BX860" s="196"/>
      <c r="BY860" s="196"/>
      <c r="BZ860" s="196"/>
      <c r="CA860" s="196"/>
      <c r="CB860" s="178"/>
      <c r="CC860" s="178"/>
      <c r="CD860" s="202"/>
      <c r="CE860" s="202"/>
      <c r="CF860" s="178"/>
      <c r="CG860" s="196"/>
      <c r="CH860" s="178"/>
      <c r="CI860" s="178"/>
      <c r="CJ860" s="178"/>
      <c r="CK860" s="178"/>
      <c r="CL860" s="178"/>
      <c r="CM860" s="178"/>
      <c r="CN860" s="178"/>
      <c r="CO860" s="178"/>
      <c r="CP860" s="178"/>
      <c r="CQ860" s="178"/>
      <c r="CR860" s="178"/>
      <c r="CS860" s="178"/>
      <c r="CT860" s="178"/>
      <c r="CU860" s="178"/>
      <c r="CV860" s="178"/>
      <c r="CW860" s="178"/>
      <c r="CX860" s="178"/>
      <c r="CY860" s="178"/>
      <c r="CZ860" s="178"/>
      <c r="DA860" s="150"/>
    </row>
    <row r="861" spans="53:105" x14ac:dyDescent="0.2">
      <c r="BA861" s="518">
        <f t="shared" ca="1" si="52"/>
        <v>61</v>
      </c>
      <c r="BB861" s="174">
        <f t="shared" ca="1" si="53"/>
        <v>798</v>
      </c>
      <c r="BC861" s="525" t="e">
        <f ca="1">MATCH(BD861,OFFSET(Pinlist!$A$2,BC860*(BA861=BA860),0,$BM$23,1),0)+BC860*(BA861=BA860)</f>
        <v>#N/A</v>
      </c>
      <c r="BD861" s="167">
        <f t="shared" ca="1" si="54"/>
        <v>0</v>
      </c>
      <c r="BE861" s="191" t="e">
        <f ca="1">(OFFSET(Pinlist!$E$1,BC861,0)-$BN$16)*$BN$19</f>
        <v>#N/A</v>
      </c>
      <c r="BF861" s="192" t="e">
        <f ca="1">(OFFSET(Pinlist!$F$1,BC861,0)-$BO$16)*$BO$19</f>
        <v>#N/A</v>
      </c>
      <c r="BG861" s="1098" t="str">
        <f ca="1">IF(LEFT(BD861,2)="RF",OFFSET(Pinlist!$D$1,Chart!BC861,0)&amp;"_"&amp;OFFSET(Pinlist!$G$1,Chart!BC861,0),"")</f>
        <v/>
      </c>
      <c r="BH861" s="1098"/>
      <c r="BI861" s="178"/>
      <c r="BJ861" s="178"/>
      <c r="BK861" s="178"/>
      <c r="BL861" s="178"/>
      <c r="BM861" s="178"/>
      <c r="BN861" s="178"/>
      <c r="BO861" s="178"/>
      <c r="BP861" s="178"/>
      <c r="BQ861" s="196"/>
      <c r="BR861" s="196"/>
      <c r="BS861" s="196"/>
      <c r="BT861" s="196"/>
      <c r="BU861" s="196"/>
      <c r="BV861" s="196"/>
      <c r="BW861" s="178"/>
      <c r="BX861" s="196"/>
      <c r="BY861" s="196"/>
      <c r="BZ861" s="196"/>
      <c r="CA861" s="196"/>
      <c r="CB861" s="178"/>
      <c r="CC861" s="178"/>
      <c r="CD861" s="202"/>
      <c r="CE861" s="202"/>
      <c r="CF861" s="178"/>
      <c r="CG861" s="196"/>
      <c r="CH861" s="178"/>
      <c r="CI861" s="178"/>
      <c r="CJ861" s="178"/>
      <c r="CK861" s="178"/>
      <c r="CL861" s="178"/>
      <c r="CM861" s="178"/>
      <c r="CN861" s="178"/>
      <c r="CO861" s="178"/>
      <c r="CP861" s="178"/>
      <c r="CQ861" s="178"/>
      <c r="CR861" s="178"/>
      <c r="CS861" s="178"/>
      <c r="CT861" s="178"/>
      <c r="CU861" s="178"/>
      <c r="CV861" s="178"/>
      <c r="CW861" s="178"/>
      <c r="CX861" s="178"/>
      <c r="CY861" s="178"/>
      <c r="CZ861" s="178"/>
      <c r="DA861" s="150"/>
    </row>
    <row r="862" spans="53:105" x14ac:dyDescent="0.2">
      <c r="BA862" s="518">
        <f t="shared" ca="1" si="52"/>
        <v>61</v>
      </c>
      <c r="BB862" s="174">
        <f t="shared" ca="1" si="53"/>
        <v>799</v>
      </c>
      <c r="BC862" s="525" t="e">
        <f ca="1">MATCH(BD862,OFFSET(Pinlist!$A$2,BC861*(BA862=BA861),0,$BM$23,1),0)+BC861*(BA862=BA861)</f>
        <v>#N/A</v>
      </c>
      <c r="BD862" s="167">
        <f t="shared" ca="1" si="54"/>
        <v>0</v>
      </c>
      <c r="BE862" s="191" t="e">
        <f ca="1">(OFFSET(Pinlist!$E$1,BC862,0)-$BN$16)*$BN$19</f>
        <v>#N/A</v>
      </c>
      <c r="BF862" s="192" t="e">
        <f ca="1">(OFFSET(Pinlist!$F$1,BC862,0)-$BO$16)*$BO$19</f>
        <v>#N/A</v>
      </c>
      <c r="BG862" s="1098" t="str">
        <f ca="1">IF(LEFT(BD862,2)="RF",OFFSET(Pinlist!$D$1,Chart!BC862,0)&amp;"_"&amp;OFFSET(Pinlist!$G$1,Chart!BC862,0),"")</f>
        <v/>
      </c>
      <c r="BH862" s="1098"/>
      <c r="BI862" s="178"/>
      <c r="BJ862" s="178"/>
      <c r="BK862" s="178"/>
      <c r="BL862" s="178"/>
      <c r="BM862" s="178"/>
      <c r="BN862" s="178"/>
      <c r="BO862" s="178"/>
      <c r="BP862" s="178"/>
      <c r="BQ862" s="196"/>
      <c r="BR862" s="196"/>
      <c r="BS862" s="196"/>
      <c r="BT862" s="196"/>
      <c r="BU862" s="196"/>
      <c r="BV862" s="196"/>
      <c r="BW862" s="178"/>
      <c r="BX862" s="196"/>
      <c r="BY862" s="196"/>
      <c r="BZ862" s="196"/>
      <c r="CA862" s="196"/>
      <c r="CB862" s="178"/>
      <c r="CC862" s="178"/>
      <c r="CD862" s="202"/>
      <c r="CE862" s="202"/>
      <c r="CF862" s="178"/>
      <c r="CG862" s="196"/>
      <c r="CH862" s="178"/>
      <c r="CI862" s="178"/>
      <c r="CJ862" s="178"/>
      <c r="CK862" s="178"/>
      <c r="CL862" s="178"/>
      <c r="CM862" s="178"/>
      <c r="CN862" s="178"/>
      <c r="CO862" s="178"/>
      <c r="CP862" s="178"/>
      <c r="CQ862" s="178"/>
      <c r="CR862" s="178"/>
      <c r="CS862" s="178"/>
      <c r="CT862" s="178"/>
      <c r="CU862" s="178"/>
      <c r="CV862" s="178"/>
      <c r="CW862" s="178"/>
      <c r="CX862" s="178"/>
      <c r="CY862" s="178"/>
      <c r="CZ862" s="178"/>
      <c r="DA862" s="150"/>
    </row>
    <row r="863" spans="53:105" x14ac:dyDescent="0.2">
      <c r="BA863" s="518">
        <f t="shared" ca="1" si="52"/>
        <v>61</v>
      </c>
      <c r="BB863" s="174">
        <f t="shared" ca="1" si="53"/>
        <v>800</v>
      </c>
      <c r="BC863" s="525" t="e">
        <f ca="1">MATCH(BD863,OFFSET(Pinlist!$A$2,BC862*(BA863=BA862),0,$BM$23,1),0)+BC862*(BA863=BA862)</f>
        <v>#N/A</v>
      </c>
      <c r="BD863" s="167">
        <f t="shared" ca="1" si="54"/>
        <v>0</v>
      </c>
      <c r="BE863" s="191" t="e">
        <f ca="1">(OFFSET(Pinlist!$E$1,BC863,0)-$BN$16)*$BN$19</f>
        <v>#N/A</v>
      </c>
      <c r="BF863" s="192" t="e">
        <f ca="1">(OFFSET(Pinlist!$F$1,BC863,0)-$BO$16)*$BO$19</f>
        <v>#N/A</v>
      </c>
      <c r="BG863" s="1098" t="str">
        <f ca="1">IF(LEFT(BD863,2)="RF",OFFSET(Pinlist!$D$1,Chart!BC863,0)&amp;"_"&amp;OFFSET(Pinlist!$G$1,Chart!BC863,0),"")</f>
        <v/>
      </c>
      <c r="BH863" s="1098"/>
      <c r="BI863" s="178"/>
      <c r="BJ863" s="178"/>
      <c r="BK863" s="178"/>
      <c r="BL863" s="178"/>
      <c r="BM863" s="178"/>
      <c r="BN863" s="178"/>
      <c r="BO863" s="178"/>
      <c r="BP863" s="178"/>
      <c r="BQ863" s="196"/>
      <c r="BR863" s="196"/>
      <c r="BS863" s="196"/>
      <c r="BT863" s="196"/>
      <c r="BU863" s="196"/>
      <c r="BV863" s="196"/>
      <c r="BW863" s="178"/>
      <c r="BX863" s="196"/>
      <c r="BY863" s="196"/>
      <c r="BZ863" s="196"/>
      <c r="CA863" s="196"/>
      <c r="CB863" s="178"/>
      <c r="CC863" s="178"/>
      <c r="CD863" s="202"/>
      <c r="CE863" s="202"/>
      <c r="CF863" s="178"/>
      <c r="CG863" s="196"/>
      <c r="CH863" s="178"/>
      <c r="CI863" s="178"/>
      <c r="CJ863" s="178"/>
      <c r="CK863" s="178"/>
      <c r="CL863" s="178"/>
      <c r="CM863" s="178"/>
      <c r="CN863" s="178"/>
      <c r="CO863" s="178"/>
      <c r="CP863" s="178"/>
      <c r="CQ863" s="178"/>
      <c r="CR863" s="178"/>
      <c r="CS863" s="178"/>
      <c r="CT863" s="178"/>
      <c r="CU863" s="178"/>
      <c r="CV863" s="178"/>
      <c r="CW863" s="178"/>
      <c r="CX863" s="178"/>
      <c r="CY863" s="178"/>
      <c r="CZ863" s="178"/>
      <c r="DA863" s="150"/>
    </row>
    <row r="864" spans="53:105" x14ac:dyDescent="0.2">
      <c r="BA864" s="518">
        <f t="shared" ca="1" si="52"/>
        <v>61</v>
      </c>
      <c r="BB864" s="174">
        <f t="shared" ca="1" si="53"/>
        <v>801</v>
      </c>
      <c r="BC864" s="525" t="e">
        <f ca="1">MATCH(BD864,OFFSET(Pinlist!$A$2,BC863*(BA864=BA863),0,$BM$23,1),0)+BC863*(BA864=BA863)</f>
        <v>#N/A</v>
      </c>
      <c r="BD864" s="167">
        <f t="shared" ca="1" si="54"/>
        <v>0</v>
      </c>
      <c r="BE864" s="191" t="e">
        <f ca="1">(OFFSET(Pinlist!$E$1,BC864,0)-$BN$16)*$BN$19</f>
        <v>#N/A</v>
      </c>
      <c r="BF864" s="192" t="e">
        <f ca="1">(OFFSET(Pinlist!$F$1,BC864,0)-$BO$16)*$BO$19</f>
        <v>#N/A</v>
      </c>
      <c r="BG864" s="1098" t="str">
        <f ca="1">IF(LEFT(BD864,2)="RF",OFFSET(Pinlist!$D$1,Chart!BC864,0)&amp;"_"&amp;OFFSET(Pinlist!$G$1,Chart!BC864,0),"")</f>
        <v/>
      </c>
      <c r="BH864" s="1098"/>
      <c r="BI864" s="178"/>
      <c r="BJ864" s="178"/>
      <c r="BK864" s="178"/>
      <c r="BL864" s="178"/>
      <c r="BM864" s="178"/>
      <c r="BN864" s="178"/>
      <c r="BO864" s="178"/>
      <c r="BP864" s="178"/>
      <c r="BQ864" s="196"/>
      <c r="BR864" s="196"/>
      <c r="BS864" s="196"/>
      <c r="BT864" s="196"/>
      <c r="BU864" s="196"/>
      <c r="BV864" s="196"/>
      <c r="BW864" s="178"/>
      <c r="BX864" s="196"/>
      <c r="BY864" s="196"/>
      <c r="BZ864" s="196"/>
      <c r="CA864" s="196"/>
      <c r="CB864" s="178"/>
      <c r="CC864" s="178"/>
      <c r="CD864" s="202"/>
      <c r="CE864" s="202"/>
      <c r="CF864" s="178"/>
      <c r="CG864" s="196"/>
      <c r="CH864" s="178"/>
      <c r="CI864" s="178"/>
      <c r="CJ864" s="178"/>
      <c r="CK864" s="178"/>
      <c r="CL864" s="178"/>
      <c r="CM864" s="178"/>
      <c r="CN864" s="178"/>
      <c r="CO864" s="178"/>
      <c r="CP864" s="178"/>
      <c r="CQ864" s="178"/>
      <c r="CR864" s="178"/>
      <c r="CS864" s="178"/>
      <c r="CT864" s="178"/>
      <c r="CU864" s="178"/>
      <c r="CV864" s="178"/>
      <c r="CW864" s="178"/>
      <c r="CX864" s="178"/>
      <c r="CY864" s="178"/>
      <c r="CZ864" s="178"/>
      <c r="DA864" s="150"/>
    </row>
    <row r="865" spans="53:105" x14ac:dyDescent="0.2">
      <c r="BA865" s="518">
        <f t="shared" ca="1" si="52"/>
        <v>61</v>
      </c>
      <c r="BB865" s="174">
        <f t="shared" ca="1" si="53"/>
        <v>802</v>
      </c>
      <c r="BC865" s="525" t="e">
        <f ca="1">MATCH(BD865,OFFSET(Pinlist!$A$2,BC864*(BA865=BA864),0,$BM$23,1),0)+BC864*(BA865=BA864)</f>
        <v>#N/A</v>
      </c>
      <c r="BD865" s="167">
        <f t="shared" ca="1" si="54"/>
        <v>0</v>
      </c>
      <c r="BE865" s="191" t="e">
        <f ca="1">(OFFSET(Pinlist!$E$1,BC865,0)-$BN$16)*$BN$19</f>
        <v>#N/A</v>
      </c>
      <c r="BF865" s="192" t="e">
        <f ca="1">(OFFSET(Pinlist!$F$1,BC865,0)-$BO$16)*$BO$19</f>
        <v>#N/A</v>
      </c>
      <c r="BG865" s="1098" t="str">
        <f ca="1">IF(LEFT(BD865,2)="RF",OFFSET(Pinlist!$D$1,Chart!BC865,0)&amp;"_"&amp;OFFSET(Pinlist!$G$1,Chart!BC865,0),"")</f>
        <v/>
      </c>
      <c r="BH865" s="1098"/>
      <c r="BI865" s="178"/>
      <c r="BJ865" s="178"/>
      <c r="BK865" s="178"/>
      <c r="BL865" s="178"/>
      <c r="BM865" s="178"/>
      <c r="BN865" s="178"/>
      <c r="BO865" s="178"/>
      <c r="BP865" s="178"/>
      <c r="BQ865" s="196"/>
      <c r="BR865" s="196"/>
      <c r="BS865" s="196"/>
      <c r="BT865" s="196"/>
      <c r="BU865" s="196"/>
      <c r="BV865" s="196"/>
      <c r="BW865" s="178"/>
      <c r="BX865" s="196"/>
      <c r="BY865" s="196"/>
      <c r="BZ865" s="196"/>
      <c r="CA865" s="196"/>
      <c r="CB865" s="178"/>
      <c r="CC865" s="178"/>
      <c r="CD865" s="202"/>
      <c r="CE865" s="202"/>
      <c r="CF865" s="178"/>
      <c r="CG865" s="196"/>
      <c r="CH865" s="178"/>
      <c r="CI865" s="178"/>
      <c r="CJ865" s="178"/>
      <c r="CK865" s="178"/>
      <c r="CL865" s="178"/>
      <c r="CM865" s="178"/>
      <c r="CN865" s="178"/>
      <c r="CO865" s="178"/>
      <c r="CP865" s="178"/>
      <c r="CQ865" s="178"/>
      <c r="CR865" s="178"/>
      <c r="CS865" s="178"/>
      <c r="CT865" s="178"/>
      <c r="CU865" s="178"/>
      <c r="CV865" s="178"/>
      <c r="CW865" s="178"/>
      <c r="CX865" s="178"/>
      <c r="CY865" s="178"/>
      <c r="CZ865" s="178"/>
      <c r="DA865" s="150"/>
    </row>
    <row r="866" spans="53:105" x14ac:dyDescent="0.2">
      <c r="BA866" s="518">
        <f t="shared" ca="1" si="52"/>
        <v>61</v>
      </c>
      <c r="BB866" s="174">
        <f t="shared" ca="1" si="53"/>
        <v>803</v>
      </c>
      <c r="BC866" s="525" t="e">
        <f ca="1">MATCH(BD866,OFFSET(Pinlist!$A$2,BC865*(BA866=BA865),0,$BM$23,1),0)+BC865*(BA866=BA865)</f>
        <v>#N/A</v>
      </c>
      <c r="BD866" s="167">
        <f t="shared" ca="1" si="54"/>
        <v>0</v>
      </c>
      <c r="BE866" s="191" t="e">
        <f ca="1">(OFFSET(Pinlist!$E$1,BC866,0)-$BN$16)*$BN$19</f>
        <v>#N/A</v>
      </c>
      <c r="BF866" s="192" t="e">
        <f ca="1">(OFFSET(Pinlist!$F$1,BC866,0)-$BO$16)*$BO$19</f>
        <v>#N/A</v>
      </c>
      <c r="BG866" s="1098" t="str">
        <f ca="1">IF(LEFT(BD866,2)="RF",OFFSET(Pinlist!$D$1,Chart!BC866,0)&amp;"_"&amp;OFFSET(Pinlist!$G$1,Chart!BC866,0),"")</f>
        <v/>
      </c>
      <c r="BH866" s="1098"/>
      <c r="BI866" s="178"/>
      <c r="BJ866" s="178"/>
      <c r="BK866" s="178"/>
      <c r="BL866" s="178"/>
      <c r="BM866" s="178"/>
      <c r="BN866" s="178"/>
      <c r="BO866" s="178"/>
      <c r="BP866" s="178"/>
      <c r="BQ866" s="196"/>
      <c r="BR866" s="196"/>
      <c r="BS866" s="196"/>
      <c r="BT866" s="196"/>
      <c r="BU866" s="196"/>
      <c r="BV866" s="196"/>
      <c r="BW866" s="178"/>
      <c r="BX866" s="196"/>
      <c r="BY866" s="196"/>
      <c r="BZ866" s="196"/>
      <c r="CA866" s="196"/>
      <c r="CB866" s="178"/>
      <c r="CC866" s="178"/>
      <c r="CD866" s="202"/>
      <c r="CE866" s="202"/>
      <c r="CF866" s="178"/>
      <c r="CG866" s="196"/>
      <c r="CH866" s="178"/>
      <c r="CI866" s="178"/>
      <c r="CJ866" s="178"/>
      <c r="CK866" s="178"/>
      <c r="CL866" s="178"/>
      <c r="CM866" s="178"/>
      <c r="CN866" s="178"/>
      <c r="CO866" s="178"/>
      <c r="CP866" s="178"/>
      <c r="CQ866" s="178"/>
      <c r="CR866" s="178"/>
      <c r="CS866" s="178"/>
      <c r="CT866" s="178"/>
      <c r="CU866" s="178"/>
      <c r="CV866" s="178"/>
      <c r="CW866" s="178"/>
      <c r="CX866" s="178"/>
      <c r="CY866" s="178"/>
      <c r="CZ866" s="178"/>
      <c r="DA866" s="150"/>
    </row>
    <row r="867" spans="53:105" x14ac:dyDescent="0.2">
      <c r="BA867" s="518">
        <f t="shared" ca="1" si="52"/>
        <v>61</v>
      </c>
      <c r="BB867" s="174">
        <f t="shared" ca="1" si="53"/>
        <v>804</v>
      </c>
      <c r="BC867" s="525" t="e">
        <f ca="1">MATCH(BD867,OFFSET(Pinlist!$A$2,BC866*(BA867=BA866),0,$BM$23,1),0)+BC866*(BA867=BA866)</f>
        <v>#N/A</v>
      </c>
      <c r="BD867" s="167">
        <f t="shared" ca="1" si="54"/>
        <v>0</v>
      </c>
      <c r="BE867" s="191" t="e">
        <f ca="1">(OFFSET(Pinlist!$E$1,BC867,0)-$BN$16)*$BN$19</f>
        <v>#N/A</v>
      </c>
      <c r="BF867" s="192" t="e">
        <f ca="1">(OFFSET(Pinlist!$F$1,BC867,0)-$BO$16)*$BO$19</f>
        <v>#N/A</v>
      </c>
      <c r="BG867" s="1098" t="str">
        <f ca="1">IF(LEFT(BD867,2)="RF",OFFSET(Pinlist!$D$1,Chart!BC867,0)&amp;"_"&amp;OFFSET(Pinlist!$G$1,Chart!BC867,0),"")</f>
        <v/>
      </c>
      <c r="BH867" s="1098"/>
      <c r="BI867" s="178"/>
      <c r="BJ867" s="178"/>
      <c r="BK867" s="178"/>
      <c r="BL867" s="178"/>
      <c r="BM867" s="178"/>
      <c r="BN867" s="178"/>
      <c r="BO867" s="178"/>
      <c r="BP867" s="178"/>
      <c r="BQ867" s="196"/>
      <c r="BR867" s="196"/>
      <c r="BS867" s="196"/>
      <c r="BT867" s="196"/>
      <c r="BU867" s="196"/>
      <c r="BV867" s="196"/>
      <c r="BW867" s="178"/>
      <c r="BX867" s="196"/>
      <c r="BY867" s="196"/>
      <c r="BZ867" s="196"/>
      <c r="CA867" s="196"/>
      <c r="CB867" s="178"/>
      <c r="CC867" s="178"/>
      <c r="CD867" s="202"/>
      <c r="CE867" s="202"/>
      <c r="CF867" s="178"/>
      <c r="CG867" s="196"/>
      <c r="CH867" s="178"/>
      <c r="CI867" s="178"/>
      <c r="CJ867" s="178"/>
      <c r="CK867" s="178"/>
      <c r="CL867" s="178"/>
      <c r="CM867" s="178"/>
      <c r="CN867" s="178"/>
      <c r="CO867" s="178"/>
      <c r="CP867" s="178"/>
      <c r="CQ867" s="178"/>
      <c r="CR867" s="178"/>
      <c r="CS867" s="178"/>
      <c r="CT867" s="178"/>
      <c r="CU867" s="178"/>
      <c r="CV867" s="178"/>
      <c r="CW867" s="178"/>
      <c r="CX867" s="178"/>
      <c r="CY867" s="178"/>
      <c r="CZ867" s="178"/>
      <c r="DA867" s="150"/>
    </row>
    <row r="868" spans="53:105" x14ac:dyDescent="0.2">
      <c r="BA868" s="518">
        <f t="shared" ca="1" si="52"/>
        <v>61</v>
      </c>
      <c r="BB868" s="174">
        <f t="shared" ca="1" si="53"/>
        <v>805</v>
      </c>
      <c r="BC868" s="525" t="e">
        <f ca="1">MATCH(BD868,OFFSET(Pinlist!$A$2,BC867*(BA868=BA867),0,$BM$23,1),0)+BC867*(BA868=BA867)</f>
        <v>#N/A</v>
      </c>
      <c r="BD868" s="167">
        <f t="shared" ca="1" si="54"/>
        <v>0</v>
      </c>
      <c r="BE868" s="191" t="e">
        <f ca="1">(OFFSET(Pinlist!$E$1,BC868,0)-$BN$16)*$BN$19</f>
        <v>#N/A</v>
      </c>
      <c r="BF868" s="192" t="e">
        <f ca="1">(OFFSET(Pinlist!$F$1,BC868,0)-$BO$16)*$BO$19</f>
        <v>#N/A</v>
      </c>
      <c r="BG868" s="1098" t="str">
        <f ca="1">IF(LEFT(BD868,2)="RF",OFFSET(Pinlist!$D$1,Chart!BC868,0)&amp;"_"&amp;OFFSET(Pinlist!$G$1,Chart!BC868,0),"")</f>
        <v/>
      </c>
      <c r="BH868" s="1098"/>
      <c r="BI868" s="178"/>
      <c r="BJ868" s="178"/>
      <c r="BK868" s="178"/>
      <c r="BL868" s="178"/>
      <c r="BM868" s="178"/>
      <c r="BN868" s="178"/>
      <c r="BO868" s="178"/>
      <c r="BP868" s="178"/>
      <c r="BQ868" s="196"/>
      <c r="BR868" s="196"/>
      <c r="BS868" s="196"/>
      <c r="BT868" s="196"/>
      <c r="BU868" s="196"/>
      <c r="BV868" s="196"/>
      <c r="BW868" s="178"/>
      <c r="BX868" s="196"/>
      <c r="BY868" s="196"/>
      <c r="BZ868" s="196"/>
      <c r="CA868" s="196"/>
      <c r="CB868" s="178"/>
      <c r="CC868" s="178"/>
      <c r="CD868" s="202"/>
      <c r="CE868" s="202"/>
      <c r="CF868" s="178"/>
      <c r="CG868" s="196"/>
      <c r="CH868" s="178"/>
      <c r="CI868" s="178"/>
      <c r="CJ868" s="178"/>
      <c r="CK868" s="178"/>
      <c r="CL868" s="178"/>
      <c r="CM868" s="178"/>
      <c r="CN868" s="178"/>
      <c r="CO868" s="178"/>
      <c r="CP868" s="178"/>
      <c r="CQ868" s="178"/>
      <c r="CR868" s="178"/>
      <c r="CS868" s="178"/>
      <c r="CT868" s="178"/>
      <c r="CU868" s="178"/>
      <c r="CV868" s="178"/>
      <c r="CW868" s="178"/>
      <c r="CX868" s="178"/>
      <c r="CY868" s="178"/>
      <c r="CZ868" s="178"/>
      <c r="DA868" s="150"/>
    </row>
    <row r="869" spans="53:105" x14ac:dyDescent="0.2">
      <c r="BA869" s="518">
        <f t="shared" ca="1" si="52"/>
        <v>61</v>
      </c>
      <c r="BB869" s="174">
        <f t="shared" ca="1" si="53"/>
        <v>806</v>
      </c>
      <c r="BC869" s="525" t="e">
        <f ca="1">MATCH(BD869,OFFSET(Pinlist!$A$2,BC868*(BA869=BA868),0,$BM$23,1),0)+BC868*(BA869=BA868)</f>
        <v>#N/A</v>
      </c>
      <c r="BD869" s="167">
        <f t="shared" ca="1" si="54"/>
        <v>0</v>
      </c>
      <c r="BE869" s="191" t="e">
        <f ca="1">(OFFSET(Pinlist!$E$1,BC869,0)-$BN$16)*$BN$19</f>
        <v>#N/A</v>
      </c>
      <c r="BF869" s="192" t="e">
        <f ca="1">(OFFSET(Pinlist!$F$1,BC869,0)-$BO$16)*$BO$19</f>
        <v>#N/A</v>
      </c>
      <c r="BG869" s="1098" t="str">
        <f ca="1">IF(LEFT(BD869,2)="RF",OFFSET(Pinlist!$D$1,Chart!BC869,0)&amp;"_"&amp;OFFSET(Pinlist!$G$1,Chart!BC869,0),"")</f>
        <v/>
      </c>
      <c r="BH869" s="1098"/>
      <c r="BI869" s="178"/>
      <c r="BJ869" s="178"/>
      <c r="BK869" s="178"/>
      <c r="BL869" s="178"/>
      <c r="BM869" s="178"/>
      <c r="BN869" s="178"/>
      <c r="BO869" s="178"/>
      <c r="BP869" s="178"/>
      <c r="BQ869" s="196"/>
      <c r="BR869" s="196"/>
      <c r="BS869" s="196"/>
      <c r="BT869" s="196"/>
      <c r="BU869" s="196"/>
      <c r="BV869" s="196"/>
      <c r="BW869" s="178"/>
      <c r="BX869" s="196"/>
      <c r="BY869" s="196"/>
      <c r="BZ869" s="196"/>
      <c r="CA869" s="196"/>
      <c r="CB869" s="178"/>
      <c r="CC869" s="178"/>
      <c r="CD869" s="202"/>
      <c r="CE869" s="202"/>
      <c r="CF869" s="178"/>
      <c r="CG869" s="196"/>
      <c r="CH869" s="178"/>
      <c r="CI869" s="178"/>
      <c r="CJ869" s="178"/>
      <c r="CK869" s="178"/>
      <c r="CL869" s="178"/>
      <c r="CM869" s="178"/>
      <c r="CN869" s="178"/>
      <c r="CO869" s="178"/>
      <c r="CP869" s="178"/>
      <c r="CQ869" s="178"/>
      <c r="CR869" s="178"/>
      <c r="CS869" s="178"/>
      <c r="CT869" s="178"/>
      <c r="CU869" s="178"/>
      <c r="CV869" s="178"/>
      <c r="CW869" s="178"/>
      <c r="CX869" s="178"/>
      <c r="CY869" s="178"/>
      <c r="CZ869" s="178"/>
      <c r="DA869" s="150"/>
    </row>
    <row r="870" spans="53:105" x14ac:dyDescent="0.2">
      <c r="BA870" s="518">
        <f t="shared" ca="1" si="52"/>
        <v>61</v>
      </c>
      <c r="BB870" s="174">
        <f t="shared" ca="1" si="53"/>
        <v>807</v>
      </c>
      <c r="BC870" s="525" t="e">
        <f ca="1">MATCH(BD870,OFFSET(Pinlist!$A$2,BC869*(BA870=BA869),0,$BM$23,1),0)+BC869*(BA870=BA869)</f>
        <v>#N/A</v>
      </c>
      <c r="BD870" s="167">
        <f t="shared" ca="1" si="54"/>
        <v>0</v>
      </c>
      <c r="BE870" s="191" t="e">
        <f ca="1">(OFFSET(Pinlist!$E$1,BC870,0)-$BN$16)*$BN$19</f>
        <v>#N/A</v>
      </c>
      <c r="BF870" s="192" t="e">
        <f ca="1">(OFFSET(Pinlist!$F$1,BC870,0)-$BO$16)*$BO$19</f>
        <v>#N/A</v>
      </c>
      <c r="BG870" s="1098" t="str">
        <f ca="1">IF(LEFT(BD870,2)="RF",OFFSET(Pinlist!$D$1,Chart!BC870,0)&amp;"_"&amp;OFFSET(Pinlist!$G$1,Chart!BC870,0),"")</f>
        <v/>
      </c>
      <c r="BH870" s="1098"/>
      <c r="BI870" s="178"/>
      <c r="BJ870" s="178"/>
      <c r="BK870" s="178"/>
      <c r="BL870" s="178"/>
      <c r="BM870" s="178"/>
      <c r="BN870" s="178"/>
      <c r="BO870" s="178"/>
      <c r="BP870" s="178"/>
      <c r="BQ870" s="196"/>
      <c r="BR870" s="196"/>
      <c r="BS870" s="196"/>
      <c r="BT870" s="196"/>
      <c r="BU870" s="196"/>
      <c r="BV870" s="196"/>
      <c r="BW870" s="178"/>
      <c r="BX870" s="196"/>
      <c r="BY870" s="196"/>
      <c r="BZ870" s="196"/>
      <c r="CA870" s="196"/>
      <c r="CB870" s="178"/>
      <c r="CC870" s="178"/>
      <c r="CD870" s="202"/>
      <c r="CE870" s="202"/>
      <c r="CF870" s="178"/>
      <c r="CG870" s="196"/>
      <c r="CH870" s="178"/>
      <c r="CI870" s="178"/>
      <c r="CJ870" s="178"/>
      <c r="CK870" s="178"/>
      <c r="CL870" s="178"/>
      <c r="CM870" s="178"/>
      <c r="CN870" s="178"/>
      <c r="CO870" s="178"/>
      <c r="CP870" s="178"/>
      <c r="CQ870" s="178"/>
      <c r="CR870" s="178"/>
      <c r="CS870" s="178"/>
      <c r="CT870" s="178"/>
      <c r="CU870" s="178"/>
      <c r="CV870" s="178"/>
      <c r="CW870" s="178"/>
      <c r="CX870" s="178"/>
      <c r="CY870" s="178"/>
      <c r="CZ870" s="178"/>
      <c r="DA870" s="150"/>
    </row>
    <row r="871" spans="53:105" x14ac:dyDescent="0.2">
      <c r="BA871" s="518">
        <f t="shared" ca="1" si="52"/>
        <v>61</v>
      </c>
      <c r="BB871" s="174">
        <f t="shared" ca="1" si="53"/>
        <v>808</v>
      </c>
      <c r="BC871" s="525" t="e">
        <f ca="1">MATCH(BD871,OFFSET(Pinlist!$A$2,BC870*(BA871=BA870),0,$BM$23,1),0)+BC870*(BA871=BA870)</f>
        <v>#N/A</v>
      </c>
      <c r="BD871" s="167">
        <f t="shared" ca="1" si="54"/>
        <v>0</v>
      </c>
      <c r="BE871" s="191" t="e">
        <f ca="1">(OFFSET(Pinlist!$E$1,BC871,0)-$BN$16)*$BN$19</f>
        <v>#N/A</v>
      </c>
      <c r="BF871" s="192" t="e">
        <f ca="1">(OFFSET(Pinlist!$F$1,BC871,0)-$BO$16)*$BO$19</f>
        <v>#N/A</v>
      </c>
      <c r="BG871" s="1098" t="str">
        <f ca="1">IF(LEFT(BD871,2)="RF",OFFSET(Pinlist!$D$1,Chart!BC871,0)&amp;"_"&amp;OFFSET(Pinlist!$G$1,Chart!BC871,0),"")</f>
        <v/>
      </c>
      <c r="BH871" s="1098"/>
      <c r="BI871" s="178"/>
      <c r="BJ871" s="178"/>
      <c r="BK871" s="178"/>
      <c r="BL871" s="178"/>
      <c r="BM871" s="178"/>
      <c r="BN871" s="178"/>
      <c r="BO871" s="178"/>
      <c r="BP871" s="178"/>
      <c r="BQ871" s="196"/>
      <c r="BR871" s="196"/>
      <c r="BS871" s="196"/>
      <c r="BT871" s="196"/>
      <c r="BU871" s="196"/>
      <c r="BV871" s="196"/>
      <c r="BW871" s="178"/>
      <c r="BX871" s="196"/>
      <c r="BY871" s="196"/>
      <c r="BZ871" s="196"/>
      <c r="CA871" s="196"/>
      <c r="CB871" s="178"/>
      <c r="CC871" s="178"/>
      <c r="CD871" s="202"/>
      <c r="CE871" s="202"/>
      <c r="CF871" s="178"/>
      <c r="CG871" s="196"/>
      <c r="CH871" s="178"/>
      <c r="CI871" s="178"/>
      <c r="CJ871" s="178"/>
      <c r="CK871" s="178"/>
      <c r="CL871" s="178"/>
      <c r="CM871" s="178"/>
      <c r="CN871" s="178"/>
      <c r="CO871" s="178"/>
      <c r="CP871" s="178"/>
      <c r="CQ871" s="178"/>
      <c r="CR871" s="178"/>
      <c r="CS871" s="178"/>
      <c r="CT871" s="178"/>
      <c r="CU871" s="178"/>
      <c r="CV871" s="178"/>
      <c r="CW871" s="178"/>
      <c r="CX871" s="178"/>
      <c r="CY871" s="178"/>
      <c r="CZ871" s="178"/>
      <c r="DA871" s="150"/>
    </row>
    <row r="872" spans="53:105" x14ac:dyDescent="0.2">
      <c r="BA872" s="518">
        <f t="shared" ca="1" si="52"/>
        <v>61</v>
      </c>
      <c r="BB872" s="174">
        <f t="shared" ca="1" si="53"/>
        <v>809</v>
      </c>
      <c r="BC872" s="525" t="e">
        <f ca="1">MATCH(BD872,OFFSET(Pinlist!$A$2,BC871*(BA872=BA871),0,$BM$23,1),0)+BC871*(BA872=BA871)</f>
        <v>#N/A</v>
      </c>
      <c r="BD872" s="167">
        <f t="shared" ca="1" si="54"/>
        <v>0</v>
      </c>
      <c r="BE872" s="191" t="e">
        <f ca="1">(OFFSET(Pinlist!$E$1,BC872,0)-$BN$16)*$BN$19</f>
        <v>#N/A</v>
      </c>
      <c r="BF872" s="192" t="e">
        <f ca="1">(OFFSET(Pinlist!$F$1,BC872,0)-$BO$16)*$BO$19</f>
        <v>#N/A</v>
      </c>
      <c r="BG872" s="1098" t="str">
        <f ca="1">IF(LEFT(BD872,2)="RF",OFFSET(Pinlist!$D$1,Chart!BC872,0)&amp;"_"&amp;OFFSET(Pinlist!$G$1,Chart!BC872,0),"")</f>
        <v/>
      </c>
      <c r="BH872" s="1098"/>
      <c r="BI872" s="178"/>
      <c r="BJ872" s="178"/>
      <c r="BK872" s="178"/>
      <c r="BL872" s="178"/>
      <c r="BM872" s="178"/>
      <c r="BN872" s="178"/>
      <c r="BO872" s="178"/>
      <c r="BP872" s="178"/>
      <c r="BQ872" s="196"/>
      <c r="BR872" s="196"/>
      <c r="BS872" s="196"/>
      <c r="BT872" s="196"/>
      <c r="BU872" s="196"/>
      <c r="BV872" s="196"/>
      <c r="BW872" s="178"/>
      <c r="BX872" s="196"/>
      <c r="BY872" s="196"/>
      <c r="BZ872" s="196"/>
      <c r="CA872" s="196"/>
      <c r="CB872" s="178"/>
      <c r="CC872" s="178"/>
      <c r="CD872" s="202"/>
      <c r="CE872" s="202"/>
      <c r="CF872" s="178"/>
      <c r="CG872" s="196"/>
      <c r="CH872" s="178"/>
      <c r="CI872" s="178"/>
      <c r="CJ872" s="178"/>
      <c r="CK872" s="178"/>
      <c r="CL872" s="178"/>
      <c r="CM872" s="178"/>
      <c r="CN872" s="178"/>
      <c r="CO872" s="178"/>
      <c r="CP872" s="178"/>
      <c r="CQ872" s="178"/>
      <c r="CR872" s="178"/>
      <c r="CS872" s="178"/>
      <c r="CT872" s="178"/>
      <c r="CU872" s="178"/>
      <c r="CV872" s="178"/>
      <c r="CW872" s="178"/>
      <c r="CX872" s="178"/>
      <c r="CY872" s="178"/>
      <c r="CZ872" s="178"/>
      <c r="DA872" s="150"/>
    </row>
    <row r="873" spans="53:105" x14ac:dyDescent="0.2">
      <c r="BA873" s="518">
        <f t="shared" ca="1" si="52"/>
        <v>61</v>
      </c>
      <c r="BB873" s="174">
        <f t="shared" ca="1" si="53"/>
        <v>810</v>
      </c>
      <c r="BC873" s="525" t="e">
        <f ca="1">MATCH(BD873,OFFSET(Pinlist!$A$2,BC872*(BA873=BA872),0,$BM$23,1),0)+BC872*(BA873=BA872)</f>
        <v>#N/A</v>
      </c>
      <c r="BD873" s="167">
        <f t="shared" ca="1" si="54"/>
        <v>0</v>
      </c>
      <c r="BE873" s="191" t="e">
        <f ca="1">(OFFSET(Pinlist!$E$1,BC873,0)-$BN$16)*$BN$19</f>
        <v>#N/A</v>
      </c>
      <c r="BF873" s="192" t="e">
        <f ca="1">(OFFSET(Pinlist!$F$1,BC873,0)-$BO$16)*$BO$19</f>
        <v>#N/A</v>
      </c>
      <c r="BG873" s="1098" t="str">
        <f ca="1">IF(LEFT(BD873,2)="RF",OFFSET(Pinlist!$D$1,Chart!BC873,0)&amp;"_"&amp;OFFSET(Pinlist!$G$1,Chart!BC873,0),"")</f>
        <v/>
      </c>
      <c r="BH873" s="1098"/>
      <c r="BI873" s="178"/>
      <c r="BJ873" s="178"/>
      <c r="BK873" s="178"/>
      <c r="BL873" s="178"/>
      <c r="BM873" s="178"/>
      <c r="BN873" s="178"/>
      <c r="BO873" s="178"/>
      <c r="BP873" s="178"/>
      <c r="BQ873" s="196"/>
      <c r="BR873" s="196"/>
      <c r="BS873" s="196"/>
      <c r="BT873" s="196"/>
      <c r="BU873" s="196"/>
      <c r="BV873" s="196"/>
      <c r="BW873" s="178"/>
      <c r="BX873" s="196"/>
      <c r="BY873" s="196"/>
      <c r="BZ873" s="196"/>
      <c r="CA873" s="196"/>
      <c r="CB873" s="178"/>
      <c r="CC873" s="178"/>
      <c r="CD873" s="202"/>
      <c r="CE873" s="202"/>
      <c r="CF873" s="178"/>
      <c r="CG873" s="196"/>
      <c r="CH873" s="178"/>
      <c r="CI873" s="178"/>
      <c r="CJ873" s="178"/>
      <c r="CK873" s="178"/>
      <c r="CL873" s="178"/>
      <c r="CM873" s="178"/>
      <c r="CN873" s="178"/>
      <c r="CO873" s="178"/>
      <c r="CP873" s="178"/>
      <c r="CQ873" s="178"/>
      <c r="CR873" s="178"/>
      <c r="CS873" s="178"/>
      <c r="CT873" s="178"/>
      <c r="CU873" s="178"/>
      <c r="CV873" s="178"/>
      <c r="CW873" s="178"/>
      <c r="CX873" s="178"/>
      <c r="CY873" s="178"/>
      <c r="CZ873" s="178"/>
      <c r="DA873" s="150"/>
    </row>
    <row r="874" spans="53:105" x14ac:dyDescent="0.2">
      <c r="BA874" s="518">
        <f t="shared" ca="1" si="52"/>
        <v>61</v>
      </c>
      <c r="BB874" s="174">
        <f t="shared" ca="1" si="53"/>
        <v>811</v>
      </c>
      <c r="BC874" s="525" t="e">
        <f ca="1">MATCH(BD874,OFFSET(Pinlist!$A$2,BC873*(BA874=BA873),0,$BM$23,1),0)+BC873*(BA874=BA873)</f>
        <v>#N/A</v>
      </c>
      <c r="BD874" s="167">
        <f t="shared" ca="1" si="54"/>
        <v>0</v>
      </c>
      <c r="BE874" s="191" t="e">
        <f ca="1">(OFFSET(Pinlist!$E$1,BC874,0)-$BN$16)*$BN$19</f>
        <v>#N/A</v>
      </c>
      <c r="BF874" s="192" t="e">
        <f ca="1">(OFFSET(Pinlist!$F$1,BC874,0)-$BO$16)*$BO$19</f>
        <v>#N/A</v>
      </c>
      <c r="BG874" s="1098" t="str">
        <f ca="1">IF(LEFT(BD874,2)="RF",OFFSET(Pinlist!$D$1,Chart!BC874,0)&amp;"_"&amp;OFFSET(Pinlist!$G$1,Chart!BC874,0),"")</f>
        <v/>
      </c>
      <c r="BH874" s="1098"/>
      <c r="BI874" s="178"/>
      <c r="BJ874" s="178"/>
      <c r="BK874" s="178"/>
      <c r="BL874" s="178"/>
      <c r="BM874" s="178"/>
      <c r="BN874" s="178"/>
      <c r="BO874" s="178"/>
      <c r="BP874" s="178"/>
      <c r="BQ874" s="196"/>
      <c r="BR874" s="196"/>
      <c r="BS874" s="196"/>
      <c r="BT874" s="196"/>
      <c r="BU874" s="196"/>
      <c r="BV874" s="196"/>
      <c r="BW874" s="178"/>
      <c r="BX874" s="196"/>
      <c r="BY874" s="196"/>
      <c r="BZ874" s="196"/>
      <c r="CA874" s="196"/>
      <c r="CB874" s="178"/>
      <c r="CC874" s="178"/>
      <c r="CD874" s="202"/>
      <c r="CE874" s="202"/>
      <c r="CF874" s="178"/>
      <c r="CG874" s="196"/>
      <c r="CH874" s="178"/>
      <c r="CI874" s="178"/>
      <c r="CJ874" s="178"/>
      <c r="CK874" s="178"/>
      <c r="CL874" s="178"/>
      <c r="CM874" s="178"/>
      <c r="CN874" s="178"/>
      <c r="CO874" s="178"/>
      <c r="CP874" s="178"/>
      <c r="CQ874" s="178"/>
      <c r="CR874" s="178"/>
      <c r="CS874" s="178"/>
      <c r="CT874" s="178"/>
      <c r="CU874" s="178"/>
      <c r="CV874" s="178"/>
      <c r="CW874" s="178"/>
      <c r="CX874" s="178"/>
      <c r="CY874" s="178"/>
      <c r="CZ874" s="178"/>
      <c r="DA874" s="150"/>
    </row>
    <row r="875" spans="53:105" x14ac:dyDescent="0.2">
      <c r="BA875" s="518">
        <f t="shared" ca="1" si="52"/>
        <v>61</v>
      </c>
      <c r="BB875" s="174">
        <f t="shared" ca="1" si="53"/>
        <v>812</v>
      </c>
      <c r="BC875" s="525" t="e">
        <f ca="1">MATCH(BD875,OFFSET(Pinlist!$A$2,BC874*(BA875=BA874),0,$BM$23,1),0)+BC874*(BA875=BA874)</f>
        <v>#N/A</v>
      </c>
      <c r="BD875" s="167">
        <f t="shared" ca="1" si="54"/>
        <v>0</v>
      </c>
      <c r="BE875" s="191" t="e">
        <f ca="1">(OFFSET(Pinlist!$E$1,BC875,0)-$BN$16)*$BN$19</f>
        <v>#N/A</v>
      </c>
      <c r="BF875" s="192" t="e">
        <f ca="1">(OFFSET(Pinlist!$F$1,BC875,0)-$BO$16)*$BO$19</f>
        <v>#N/A</v>
      </c>
      <c r="BG875" s="1098" t="str">
        <f ca="1">IF(LEFT(BD875,2)="RF",OFFSET(Pinlist!$D$1,Chart!BC875,0)&amp;"_"&amp;OFFSET(Pinlist!$G$1,Chart!BC875,0),"")</f>
        <v/>
      </c>
      <c r="BH875" s="1098"/>
      <c r="BI875" s="178"/>
      <c r="BJ875" s="178"/>
      <c r="BK875" s="178"/>
      <c r="BL875" s="178"/>
      <c r="BM875" s="178"/>
      <c r="BN875" s="178"/>
      <c r="BO875" s="178"/>
      <c r="BP875" s="178"/>
      <c r="BQ875" s="196"/>
      <c r="BR875" s="196"/>
      <c r="BS875" s="196"/>
      <c r="BT875" s="196"/>
      <c r="BU875" s="196"/>
      <c r="BV875" s="196"/>
      <c r="BW875" s="178"/>
      <c r="BX875" s="196"/>
      <c r="BY875" s="196"/>
      <c r="BZ875" s="196"/>
      <c r="CA875" s="196"/>
      <c r="CB875" s="178"/>
      <c r="CC875" s="178"/>
      <c r="CD875" s="202"/>
      <c r="CE875" s="202"/>
      <c r="CF875" s="178"/>
      <c r="CG875" s="196"/>
      <c r="CH875" s="178"/>
      <c r="CI875" s="178"/>
      <c r="CJ875" s="178"/>
      <c r="CK875" s="178"/>
      <c r="CL875" s="178"/>
      <c r="CM875" s="178"/>
      <c r="CN875" s="178"/>
      <c r="CO875" s="178"/>
      <c r="CP875" s="178"/>
      <c r="CQ875" s="178"/>
      <c r="CR875" s="178"/>
      <c r="CS875" s="178"/>
      <c r="CT875" s="178"/>
      <c r="CU875" s="178"/>
      <c r="CV875" s="178"/>
      <c r="CW875" s="178"/>
      <c r="CX875" s="178"/>
      <c r="CY875" s="178"/>
      <c r="CZ875" s="178"/>
      <c r="DA875" s="150"/>
    </row>
    <row r="876" spans="53:105" x14ac:dyDescent="0.2">
      <c r="BA876" s="518">
        <f t="shared" ca="1" si="52"/>
        <v>61</v>
      </c>
      <c r="BB876" s="174">
        <f t="shared" ca="1" si="53"/>
        <v>813</v>
      </c>
      <c r="BC876" s="525" t="e">
        <f ca="1">MATCH(BD876,OFFSET(Pinlist!$A$2,BC875*(BA876=BA875),0,$BM$23,1),0)+BC875*(BA876=BA875)</f>
        <v>#N/A</v>
      </c>
      <c r="BD876" s="167">
        <f t="shared" ca="1" si="54"/>
        <v>0</v>
      </c>
      <c r="BE876" s="191" t="e">
        <f ca="1">(OFFSET(Pinlist!$E$1,BC876,0)-$BN$16)*$BN$19</f>
        <v>#N/A</v>
      </c>
      <c r="BF876" s="192" t="e">
        <f ca="1">(OFFSET(Pinlist!$F$1,BC876,0)-$BO$16)*$BO$19</f>
        <v>#N/A</v>
      </c>
      <c r="BG876" s="1098" t="str">
        <f ca="1">IF(LEFT(BD876,2)="RF",OFFSET(Pinlist!$D$1,Chart!BC876,0)&amp;"_"&amp;OFFSET(Pinlist!$G$1,Chart!BC876,0),"")</f>
        <v/>
      </c>
      <c r="BH876" s="1098"/>
      <c r="BI876" s="178"/>
      <c r="BJ876" s="178"/>
      <c r="BK876" s="178"/>
      <c r="BL876" s="178"/>
      <c r="BM876" s="178"/>
      <c r="BN876" s="178"/>
      <c r="BO876" s="178"/>
      <c r="BP876" s="178"/>
      <c r="BQ876" s="196"/>
      <c r="BR876" s="196"/>
      <c r="BS876" s="196"/>
      <c r="BT876" s="196"/>
      <c r="BU876" s="196"/>
      <c r="BV876" s="196"/>
      <c r="BW876" s="178"/>
      <c r="BX876" s="196"/>
      <c r="BY876" s="196"/>
      <c r="BZ876" s="196"/>
      <c r="CA876" s="196"/>
      <c r="CB876" s="178"/>
      <c r="CC876" s="178"/>
      <c r="CD876" s="202"/>
      <c r="CE876" s="202"/>
      <c r="CF876" s="178"/>
      <c r="CG876" s="196"/>
      <c r="CH876" s="178"/>
      <c r="CI876" s="178"/>
      <c r="CJ876" s="178"/>
      <c r="CK876" s="178"/>
      <c r="CL876" s="178"/>
      <c r="CM876" s="178"/>
      <c r="CN876" s="178"/>
      <c r="CO876" s="178"/>
      <c r="CP876" s="178"/>
      <c r="CQ876" s="178"/>
      <c r="CR876" s="178"/>
      <c r="CS876" s="178"/>
      <c r="CT876" s="178"/>
      <c r="CU876" s="178"/>
      <c r="CV876" s="178"/>
      <c r="CW876" s="178"/>
      <c r="CX876" s="178"/>
      <c r="CY876" s="178"/>
      <c r="CZ876" s="178"/>
      <c r="DA876" s="150"/>
    </row>
    <row r="877" spans="53:105" x14ac:dyDescent="0.2">
      <c r="BA877" s="518">
        <f t="shared" ca="1" si="52"/>
        <v>61</v>
      </c>
      <c r="BB877" s="174">
        <f t="shared" ca="1" si="53"/>
        <v>814</v>
      </c>
      <c r="BC877" s="525" t="e">
        <f ca="1">MATCH(BD877,OFFSET(Pinlist!$A$2,BC876*(BA877=BA876),0,$BM$23,1),0)+BC876*(BA877=BA876)</f>
        <v>#N/A</v>
      </c>
      <c r="BD877" s="167">
        <f t="shared" ca="1" si="54"/>
        <v>0</v>
      </c>
      <c r="BE877" s="191" t="e">
        <f ca="1">(OFFSET(Pinlist!$E$1,BC877,0)-$BN$16)*$BN$19</f>
        <v>#N/A</v>
      </c>
      <c r="BF877" s="192" t="e">
        <f ca="1">(OFFSET(Pinlist!$F$1,BC877,0)-$BO$16)*$BO$19</f>
        <v>#N/A</v>
      </c>
      <c r="BG877" s="1098" t="str">
        <f ca="1">IF(LEFT(BD877,2)="RF",OFFSET(Pinlist!$D$1,Chart!BC877,0)&amp;"_"&amp;OFFSET(Pinlist!$G$1,Chart!BC877,0),"")</f>
        <v/>
      </c>
      <c r="BH877" s="1098"/>
      <c r="BI877" s="178"/>
      <c r="BJ877" s="178"/>
      <c r="BK877" s="178"/>
      <c r="BL877" s="178"/>
      <c r="BM877" s="178"/>
      <c r="BN877" s="178"/>
      <c r="BO877" s="178"/>
      <c r="BP877" s="178"/>
      <c r="BQ877" s="196"/>
      <c r="BR877" s="196"/>
      <c r="BS877" s="196"/>
      <c r="BT877" s="196"/>
      <c r="BU877" s="196"/>
      <c r="BV877" s="196"/>
      <c r="BW877" s="178"/>
      <c r="BX877" s="196"/>
      <c r="BY877" s="196"/>
      <c r="BZ877" s="196"/>
      <c r="CA877" s="196"/>
      <c r="CB877" s="178"/>
      <c r="CC877" s="178"/>
      <c r="CD877" s="202"/>
      <c r="CE877" s="202"/>
      <c r="CF877" s="178"/>
      <c r="CG877" s="196"/>
      <c r="CH877" s="178"/>
      <c r="CI877" s="178"/>
      <c r="CJ877" s="178"/>
      <c r="CK877" s="178"/>
      <c r="CL877" s="178"/>
      <c r="CM877" s="178"/>
      <c r="CN877" s="178"/>
      <c r="CO877" s="178"/>
      <c r="CP877" s="178"/>
      <c r="CQ877" s="178"/>
      <c r="CR877" s="178"/>
      <c r="CS877" s="178"/>
      <c r="CT877" s="178"/>
      <c r="CU877" s="178"/>
      <c r="CV877" s="178"/>
      <c r="CW877" s="178"/>
      <c r="CX877" s="178"/>
      <c r="CY877" s="178"/>
      <c r="CZ877" s="178"/>
      <c r="DA877" s="150"/>
    </row>
    <row r="878" spans="53:105" x14ac:dyDescent="0.2">
      <c r="BA878" s="518">
        <f t="shared" ca="1" si="52"/>
        <v>61</v>
      </c>
      <c r="BB878" s="174">
        <f t="shared" ca="1" si="53"/>
        <v>815</v>
      </c>
      <c r="BC878" s="525" t="e">
        <f ca="1">MATCH(BD878,OFFSET(Pinlist!$A$2,BC877*(BA878=BA877),0,$BM$23,1),0)+BC877*(BA878=BA877)</f>
        <v>#N/A</v>
      </c>
      <c r="BD878" s="167">
        <f t="shared" ca="1" si="54"/>
        <v>0</v>
      </c>
      <c r="BE878" s="191" t="e">
        <f ca="1">(OFFSET(Pinlist!$E$1,BC878,0)-$BN$16)*$BN$19</f>
        <v>#N/A</v>
      </c>
      <c r="BF878" s="192" t="e">
        <f ca="1">(OFFSET(Pinlist!$F$1,BC878,0)-$BO$16)*$BO$19</f>
        <v>#N/A</v>
      </c>
      <c r="BG878" s="1098" t="str">
        <f ca="1">IF(LEFT(BD878,2)="RF",OFFSET(Pinlist!$D$1,Chart!BC878,0)&amp;"_"&amp;OFFSET(Pinlist!$G$1,Chart!BC878,0),"")</f>
        <v/>
      </c>
      <c r="BH878" s="1098"/>
      <c r="BI878" s="178"/>
      <c r="BJ878" s="178"/>
      <c r="BK878" s="178"/>
      <c r="BL878" s="178"/>
      <c r="BM878" s="178"/>
      <c r="BN878" s="178"/>
      <c r="BO878" s="178"/>
      <c r="BP878" s="178"/>
      <c r="BQ878" s="196"/>
      <c r="BR878" s="196"/>
      <c r="BS878" s="196"/>
      <c r="BT878" s="196"/>
      <c r="BU878" s="196"/>
      <c r="BV878" s="196"/>
      <c r="BW878" s="178"/>
      <c r="BX878" s="196"/>
      <c r="BY878" s="196"/>
      <c r="BZ878" s="196"/>
      <c r="CA878" s="196"/>
      <c r="CB878" s="178"/>
      <c r="CC878" s="178"/>
      <c r="CD878" s="202"/>
      <c r="CE878" s="202"/>
      <c r="CF878" s="178"/>
      <c r="CG878" s="196"/>
      <c r="CH878" s="178"/>
      <c r="CI878" s="178"/>
      <c r="CJ878" s="178"/>
      <c r="CK878" s="178"/>
      <c r="CL878" s="178"/>
      <c r="CM878" s="178"/>
      <c r="CN878" s="178"/>
      <c r="CO878" s="178"/>
      <c r="CP878" s="178"/>
      <c r="CQ878" s="178"/>
      <c r="CR878" s="178"/>
      <c r="CS878" s="178"/>
      <c r="CT878" s="178"/>
      <c r="CU878" s="178"/>
      <c r="CV878" s="178"/>
      <c r="CW878" s="178"/>
      <c r="CX878" s="178"/>
      <c r="CY878" s="178"/>
      <c r="CZ878" s="178"/>
      <c r="DA878" s="150"/>
    </row>
    <row r="879" spans="53:105" x14ac:dyDescent="0.2">
      <c r="BA879" s="518">
        <f t="shared" ca="1" si="52"/>
        <v>61</v>
      </c>
      <c r="BB879" s="174">
        <f t="shared" ca="1" si="53"/>
        <v>816</v>
      </c>
      <c r="BC879" s="525" t="e">
        <f ca="1">MATCH(BD879,OFFSET(Pinlist!$A$2,BC878*(BA879=BA878),0,$BM$23,1),0)+BC878*(BA879=BA878)</f>
        <v>#N/A</v>
      </c>
      <c r="BD879" s="167">
        <f t="shared" ca="1" si="54"/>
        <v>0</v>
      </c>
      <c r="BE879" s="191" t="e">
        <f ca="1">(OFFSET(Pinlist!$E$1,BC879,0)-$BN$16)*$BN$19</f>
        <v>#N/A</v>
      </c>
      <c r="BF879" s="192" t="e">
        <f ca="1">(OFFSET(Pinlist!$F$1,BC879,0)-$BO$16)*$BO$19</f>
        <v>#N/A</v>
      </c>
      <c r="BG879" s="1098" t="str">
        <f ca="1">IF(LEFT(BD879,2)="RF",OFFSET(Pinlist!$D$1,Chart!BC879,0)&amp;"_"&amp;OFFSET(Pinlist!$G$1,Chart!BC879,0),"")</f>
        <v/>
      </c>
      <c r="BH879" s="1098"/>
      <c r="BI879" s="178"/>
      <c r="BJ879" s="178"/>
      <c r="BK879" s="178"/>
      <c r="BL879" s="178"/>
      <c r="BM879" s="178"/>
      <c r="BN879" s="178"/>
      <c r="BO879" s="178"/>
      <c r="BP879" s="178"/>
      <c r="BQ879" s="196"/>
      <c r="BR879" s="196"/>
      <c r="BS879" s="196"/>
      <c r="BT879" s="196"/>
      <c r="BU879" s="196"/>
      <c r="BV879" s="196"/>
      <c r="BW879" s="178"/>
      <c r="BX879" s="196"/>
      <c r="BY879" s="196"/>
      <c r="BZ879" s="196"/>
      <c r="CA879" s="196"/>
      <c r="CB879" s="178"/>
      <c r="CC879" s="178"/>
      <c r="CD879" s="202"/>
      <c r="CE879" s="202"/>
      <c r="CF879" s="178"/>
      <c r="CG879" s="196"/>
      <c r="CH879" s="178"/>
      <c r="CI879" s="178"/>
      <c r="CJ879" s="178"/>
      <c r="CK879" s="178"/>
      <c r="CL879" s="178"/>
      <c r="CM879" s="178"/>
      <c r="CN879" s="178"/>
      <c r="CO879" s="178"/>
      <c r="CP879" s="178"/>
      <c r="CQ879" s="178"/>
      <c r="CR879" s="178"/>
      <c r="CS879" s="178"/>
      <c r="CT879" s="178"/>
      <c r="CU879" s="178"/>
      <c r="CV879" s="178"/>
      <c r="CW879" s="178"/>
      <c r="CX879" s="178"/>
      <c r="CY879" s="178"/>
      <c r="CZ879" s="178"/>
      <c r="DA879" s="150"/>
    </row>
    <row r="880" spans="53:105" x14ac:dyDescent="0.2">
      <c r="BA880" s="518">
        <f t="shared" ca="1" si="52"/>
        <v>61</v>
      </c>
      <c r="BB880" s="174">
        <f t="shared" ca="1" si="53"/>
        <v>817</v>
      </c>
      <c r="BC880" s="525" t="e">
        <f ca="1">MATCH(BD880,OFFSET(Pinlist!$A$2,BC879*(BA880=BA879),0,$BM$23,1),0)+BC879*(BA880=BA879)</f>
        <v>#N/A</v>
      </c>
      <c r="BD880" s="167">
        <f t="shared" ca="1" si="54"/>
        <v>0</v>
      </c>
      <c r="BE880" s="191" t="e">
        <f ca="1">(OFFSET(Pinlist!$E$1,BC880,0)-$BN$16)*$BN$19</f>
        <v>#N/A</v>
      </c>
      <c r="BF880" s="192" t="e">
        <f ca="1">(OFFSET(Pinlist!$F$1,BC880,0)-$BO$16)*$BO$19</f>
        <v>#N/A</v>
      </c>
      <c r="BG880" s="1098" t="str">
        <f ca="1">IF(LEFT(BD880,2)="RF",OFFSET(Pinlist!$D$1,Chart!BC880,0)&amp;"_"&amp;OFFSET(Pinlist!$G$1,Chart!BC880,0),"")</f>
        <v/>
      </c>
      <c r="BH880" s="1098"/>
      <c r="BI880" s="178"/>
      <c r="BJ880" s="178"/>
      <c r="BK880" s="178"/>
      <c r="BL880" s="178"/>
      <c r="BM880" s="178"/>
      <c r="BN880" s="178"/>
      <c r="BO880" s="178"/>
      <c r="BP880" s="178"/>
      <c r="BQ880" s="196"/>
      <c r="BR880" s="196"/>
      <c r="BS880" s="196"/>
      <c r="BT880" s="196"/>
      <c r="BU880" s="196"/>
      <c r="BV880" s="196"/>
      <c r="BW880" s="178"/>
      <c r="BX880" s="196"/>
      <c r="BY880" s="196"/>
      <c r="BZ880" s="196"/>
      <c r="CA880" s="196"/>
      <c r="CB880" s="178"/>
      <c r="CC880" s="178"/>
      <c r="CD880" s="202"/>
      <c r="CE880" s="202"/>
      <c r="CF880" s="178"/>
      <c r="CG880" s="196"/>
      <c r="CH880" s="178"/>
      <c r="CI880" s="178"/>
      <c r="CJ880" s="178"/>
      <c r="CK880" s="178"/>
      <c r="CL880" s="178"/>
      <c r="CM880" s="178"/>
      <c r="CN880" s="178"/>
      <c r="CO880" s="178"/>
      <c r="CP880" s="178"/>
      <c r="CQ880" s="178"/>
      <c r="CR880" s="178"/>
      <c r="CS880" s="178"/>
      <c r="CT880" s="178"/>
      <c r="CU880" s="178"/>
      <c r="CV880" s="178"/>
      <c r="CW880" s="178"/>
      <c r="CX880" s="178"/>
      <c r="CY880" s="178"/>
      <c r="CZ880" s="178"/>
      <c r="DA880" s="150"/>
    </row>
    <row r="881" spans="53:105" x14ac:dyDescent="0.2">
      <c r="BA881" s="518">
        <f t="shared" ca="1" si="52"/>
        <v>61</v>
      </c>
      <c r="BB881" s="174">
        <f t="shared" ca="1" si="53"/>
        <v>818</v>
      </c>
      <c r="BC881" s="525" t="e">
        <f ca="1">MATCH(BD881,OFFSET(Pinlist!$A$2,BC880*(BA881=BA880),0,$BM$23,1),0)+BC880*(BA881=BA880)</f>
        <v>#N/A</v>
      </c>
      <c r="BD881" s="167">
        <f t="shared" ca="1" si="54"/>
        <v>0</v>
      </c>
      <c r="BE881" s="191" t="e">
        <f ca="1">(OFFSET(Pinlist!$E$1,BC881,0)-$BN$16)*$BN$19</f>
        <v>#N/A</v>
      </c>
      <c r="BF881" s="192" t="e">
        <f ca="1">(OFFSET(Pinlist!$F$1,BC881,0)-$BO$16)*$BO$19</f>
        <v>#N/A</v>
      </c>
      <c r="BG881" s="1098" t="str">
        <f ca="1">IF(LEFT(BD881,2)="RF",OFFSET(Pinlist!$D$1,Chart!BC881,0)&amp;"_"&amp;OFFSET(Pinlist!$G$1,Chart!BC881,0),"")</f>
        <v/>
      </c>
      <c r="BH881" s="1098"/>
      <c r="BI881" s="178"/>
      <c r="BJ881" s="178"/>
      <c r="BK881" s="178"/>
      <c r="BL881" s="178"/>
      <c r="BM881" s="178"/>
      <c r="BN881" s="178"/>
      <c r="BO881" s="178"/>
      <c r="BP881" s="178"/>
      <c r="BQ881" s="196"/>
      <c r="BR881" s="196"/>
      <c r="BS881" s="196"/>
      <c r="BT881" s="196"/>
      <c r="BU881" s="196"/>
      <c r="BV881" s="196"/>
      <c r="BW881" s="178"/>
      <c r="BX881" s="196"/>
      <c r="BY881" s="196"/>
      <c r="BZ881" s="196"/>
      <c r="CA881" s="196"/>
      <c r="CB881" s="178"/>
      <c r="CC881" s="178"/>
      <c r="CD881" s="202"/>
      <c r="CE881" s="202"/>
      <c r="CF881" s="178"/>
      <c r="CG881" s="196"/>
      <c r="CH881" s="178"/>
      <c r="CI881" s="178"/>
      <c r="CJ881" s="178"/>
      <c r="CK881" s="178"/>
      <c r="CL881" s="178"/>
      <c r="CM881" s="178"/>
      <c r="CN881" s="178"/>
      <c r="CO881" s="178"/>
      <c r="CP881" s="178"/>
      <c r="CQ881" s="178"/>
      <c r="CR881" s="178"/>
      <c r="CS881" s="178"/>
      <c r="CT881" s="178"/>
      <c r="CU881" s="178"/>
      <c r="CV881" s="178"/>
      <c r="CW881" s="178"/>
      <c r="CX881" s="178"/>
      <c r="CY881" s="178"/>
      <c r="CZ881" s="178"/>
      <c r="DA881" s="150"/>
    </row>
    <row r="882" spans="53:105" x14ac:dyDescent="0.2">
      <c r="BA882" s="518">
        <f t="shared" ca="1" si="52"/>
        <v>61</v>
      </c>
      <c r="BB882" s="174">
        <f t="shared" ca="1" si="53"/>
        <v>819</v>
      </c>
      <c r="BC882" s="525" t="e">
        <f ca="1">MATCH(BD882,OFFSET(Pinlist!$A$2,BC881*(BA882=BA881),0,$BM$23,1),0)+BC881*(BA882=BA881)</f>
        <v>#N/A</v>
      </c>
      <c r="BD882" s="167">
        <f t="shared" ca="1" si="54"/>
        <v>0</v>
      </c>
      <c r="BE882" s="191" t="e">
        <f ca="1">(OFFSET(Pinlist!$E$1,BC882,0)-$BN$16)*$BN$19</f>
        <v>#N/A</v>
      </c>
      <c r="BF882" s="192" t="e">
        <f ca="1">(OFFSET(Pinlist!$F$1,BC882,0)-$BO$16)*$BO$19</f>
        <v>#N/A</v>
      </c>
      <c r="BG882" s="1098" t="str">
        <f ca="1">IF(LEFT(BD882,2)="RF",OFFSET(Pinlist!$D$1,Chart!BC882,0)&amp;"_"&amp;OFFSET(Pinlist!$G$1,Chart!BC882,0),"")</f>
        <v/>
      </c>
      <c r="BH882" s="1098"/>
      <c r="BI882" s="178"/>
      <c r="BJ882" s="178"/>
      <c r="BK882" s="178"/>
      <c r="BL882" s="178"/>
      <c r="BM882" s="178"/>
      <c r="BN882" s="178"/>
      <c r="BO882" s="178"/>
      <c r="BP882" s="178"/>
      <c r="BQ882" s="196"/>
      <c r="BR882" s="196"/>
      <c r="BS882" s="196"/>
      <c r="BT882" s="196"/>
      <c r="BU882" s="196"/>
      <c r="BV882" s="196"/>
      <c r="BW882" s="178"/>
      <c r="BX882" s="196"/>
      <c r="BY882" s="196"/>
      <c r="BZ882" s="196"/>
      <c r="CA882" s="196"/>
      <c r="CB882" s="178"/>
      <c r="CC882" s="178"/>
      <c r="CD882" s="202"/>
      <c r="CE882" s="202"/>
      <c r="CF882" s="178"/>
      <c r="CG882" s="196"/>
      <c r="CH882" s="178"/>
      <c r="CI882" s="178"/>
      <c r="CJ882" s="178"/>
      <c r="CK882" s="178"/>
      <c r="CL882" s="178"/>
      <c r="CM882" s="178"/>
      <c r="CN882" s="178"/>
      <c r="CO882" s="178"/>
      <c r="CP882" s="178"/>
      <c r="CQ882" s="178"/>
      <c r="CR882" s="178"/>
      <c r="CS882" s="178"/>
      <c r="CT882" s="178"/>
      <c r="CU882" s="178"/>
      <c r="CV882" s="178"/>
      <c r="CW882" s="178"/>
      <c r="CX882" s="178"/>
      <c r="CY882" s="178"/>
      <c r="CZ882" s="178"/>
      <c r="DA882" s="150"/>
    </row>
    <row r="883" spans="53:105" x14ac:dyDescent="0.2">
      <c r="BA883" s="518">
        <f t="shared" ca="1" si="52"/>
        <v>61</v>
      </c>
      <c r="BB883" s="174">
        <f t="shared" ca="1" si="53"/>
        <v>820</v>
      </c>
      <c r="BC883" s="525" t="e">
        <f ca="1">MATCH(BD883,OFFSET(Pinlist!$A$2,BC882*(BA883=BA882),0,$BM$23,1),0)+BC882*(BA883=BA882)</f>
        <v>#N/A</v>
      </c>
      <c r="BD883" s="167">
        <f t="shared" ca="1" si="54"/>
        <v>0</v>
      </c>
      <c r="BE883" s="191" t="e">
        <f ca="1">(OFFSET(Pinlist!$E$1,BC883,0)-$BN$16)*$BN$19</f>
        <v>#N/A</v>
      </c>
      <c r="BF883" s="192" t="e">
        <f ca="1">(OFFSET(Pinlist!$F$1,BC883,0)-$BO$16)*$BO$19</f>
        <v>#N/A</v>
      </c>
      <c r="BG883" s="1098" t="str">
        <f ca="1">IF(LEFT(BD883,2)="RF",OFFSET(Pinlist!$D$1,Chart!BC883,0)&amp;"_"&amp;OFFSET(Pinlist!$G$1,Chart!BC883,0),"")</f>
        <v/>
      </c>
      <c r="BH883" s="1098"/>
      <c r="BI883" s="178"/>
      <c r="BJ883" s="178"/>
      <c r="BK883" s="178"/>
      <c r="BL883" s="178"/>
      <c r="BM883" s="178"/>
      <c r="BN883" s="178"/>
      <c r="BO883" s="178"/>
      <c r="BP883" s="178"/>
      <c r="BQ883" s="196"/>
      <c r="BR883" s="196"/>
      <c r="BS883" s="196"/>
      <c r="BT883" s="196"/>
      <c r="BU883" s="196"/>
      <c r="BV883" s="196"/>
      <c r="BW883" s="178"/>
      <c r="BX883" s="196"/>
      <c r="BY883" s="196"/>
      <c r="BZ883" s="196"/>
      <c r="CA883" s="196"/>
      <c r="CB883" s="178"/>
      <c r="CC883" s="178"/>
      <c r="CD883" s="202"/>
      <c r="CE883" s="202"/>
      <c r="CF883" s="178"/>
      <c r="CG883" s="196"/>
      <c r="CH883" s="178"/>
      <c r="CI883" s="178"/>
      <c r="CJ883" s="178"/>
      <c r="CK883" s="178"/>
      <c r="CL883" s="178"/>
      <c r="CM883" s="178"/>
      <c r="CN883" s="178"/>
      <c r="CO883" s="178"/>
      <c r="CP883" s="178"/>
      <c r="CQ883" s="178"/>
      <c r="CR883" s="178"/>
      <c r="CS883" s="178"/>
      <c r="CT883" s="178"/>
      <c r="CU883" s="178"/>
      <c r="CV883" s="178"/>
      <c r="CW883" s="178"/>
      <c r="CX883" s="178"/>
      <c r="CY883" s="178"/>
      <c r="CZ883" s="178"/>
      <c r="DA883" s="150"/>
    </row>
    <row r="884" spans="53:105" x14ac:dyDescent="0.2">
      <c r="BA884" s="518">
        <f t="shared" ca="1" si="52"/>
        <v>61</v>
      </c>
      <c r="BB884" s="174">
        <f t="shared" ca="1" si="53"/>
        <v>821</v>
      </c>
      <c r="BC884" s="525" t="e">
        <f ca="1">MATCH(BD884,OFFSET(Pinlist!$A$2,BC883*(BA884=BA883),0,$BM$23,1),0)+BC883*(BA884=BA883)</f>
        <v>#N/A</v>
      </c>
      <c r="BD884" s="167">
        <f t="shared" ca="1" si="54"/>
        <v>0</v>
      </c>
      <c r="BE884" s="191" t="e">
        <f ca="1">(OFFSET(Pinlist!$E$1,BC884,0)-$BN$16)*$BN$19</f>
        <v>#N/A</v>
      </c>
      <c r="BF884" s="192" t="e">
        <f ca="1">(OFFSET(Pinlist!$F$1,BC884,0)-$BO$16)*$BO$19</f>
        <v>#N/A</v>
      </c>
      <c r="BG884" s="1098" t="str">
        <f ca="1">IF(LEFT(BD884,2)="RF",OFFSET(Pinlist!$D$1,Chart!BC884,0)&amp;"_"&amp;OFFSET(Pinlist!$G$1,Chart!BC884,0),"")</f>
        <v/>
      </c>
      <c r="BH884" s="1098"/>
      <c r="BI884" s="178"/>
      <c r="BJ884" s="178"/>
      <c r="BK884" s="178"/>
      <c r="BL884" s="178"/>
      <c r="BM884" s="178"/>
      <c r="BN884" s="178"/>
      <c r="BO884" s="178"/>
      <c r="BP884" s="178"/>
      <c r="BQ884" s="196"/>
      <c r="BR884" s="196"/>
      <c r="BS884" s="196"/>
      <c r="BT884" s="196"/>
      <c r="BU884" s="196"/>
      <c r="BV884" s="196"/>
      <c r="BW884" s="178"/>
      <c r="BX884" s="196"/>
      <c r="BY884" s="196"/>
      <c r="BZ884" s="196"/>
      <c r="CA884" s="196"/>
      <c r="CB884" s="178"/>
      <c r="CC884" s="178"/>
      <c r="CD884" s="202"/>
      <c r="CE884" s="202"/>
      <c r="CF884" s="178"/>
      <c r="CG884" s="196"/>
      <c r="CH884" s="178"/>
      <c r="CI884" s="178"/>
      <c r="CJ884" s="178"/>
      <c r="CK884" s="178"/>
      <c r="CL884" s="178"/>
      <c r="CM884" s="178"/>
      <c r="CN884" s="178"/>
      <c r="CO884" s="178"/>
      <c r="CP884" s="178"/>
      <c r="CQ884" s="178"/>
      <c r="CR884" s="178"/>
      <c r="CS884" s="178"/>
      <c r="CT884" s="178"/>
      <c r="CU884" s="178"/>
      <c r="CV884" s="178"/>
      <c r="CW884" s="178"/>
      <c r="CX884" s="178"/>
      <c r="CY884" s="178"/>
      <c r="CZ884" s="178"/>
      <c r="DA884" s="150"/>
    </row>
    <row r="885" spans="53:105" x14ac:dyDescent="0.2">
      <c r="BA885" s="518">
        <f t="shared" ca="1" si="52"/>
        <v>61</v>
      </c>
      <c r="BB885" s="174">
        <f t="shared" ca="1" si="53"/>
        <v>822</v>
      </c>
      <c r="BC885" s="525" t="e">
        <f ca="1">MATCH(BD885,OFFSET(Pinlist!$A$2,BC884*(BA885=BA884),0,$BM$23,1),0)+BC884*(BA885=BA884)</f>
        <v>#N/A</v>
      </c>
      <c r="BD885" s="167">
        <f t="shared" ca="1" si="54"/>
        <v>0</v>
      </c>
      <c r="BE885" s="191" t="e">
        <f ca="1">(OFFSET(Pinlist!$E$1,BC885,0)-$BN$16)*$BN$19</f>
        <v>#N/A</v>
      </c>
      <c r="BF885" s="192" t="e">
        <f ca="1">(OFFSET(Pinlist!$F$1,BC885,0)-$BO$16)*$BO$19</f>
        <v>#N/A</v>
      </c>
      <c r="BG885" s="1098" t="str">
        <f ca="1">IF(LEFT(BD885,2)="RF",OFFSET(Pinlist!$D$1,Chart!BC885,0)&amp;"_"&amp;OFFSET(Pinlist!$G$1,Chart!BC885,0),"")</f>
        <v/>
      </c>
      <c r="BH885" s="1098"/>
      <c r="BI885" s="178"/>
      <c r="BJ885" s="178"/>
      <c r="BK885" s="178"/>
      <c r="BL885" s="178"/>
      <c r="BM885" s="178"/>
      <c r="BN885" s="178"/>
      <c r="BO885" s="178"/>
      <c r="BP885" s="178"/>
      <c r="BQ885" s="196"/>
      <c r="BR885" s="196"/>
      <c r="BS885" s="196"/>
      <c r="BT885" s="196"/>
      <c r="BU885" s="196"/>
      <c r="BV885" s="196"/>
      <c r="BW885" s="178"/>
      <c r="BX885" s="196"/>
      <c r="BY885" s="196"/>
      <c r="BZ885" s="196"/>
      <c r="CA885" s="196"/>
      <c r="CB885" s="178"/>
      <c r="CC885" s="178"/>
      <c r="CD885" s="202"/>
      <c r="CE885" s="202"/>
      <c r="CF885" s="178"/>
      <c r="CG885" s="196"/>
      <c r="CH885" s="178"/>
      <c r="CI885" s="178"/>
      <c r="CJ885" s="178"/>
      <c r="CK885" s="178"/>
      <c r="CL885" s="178"/>
      <c r="CM885" s="178"/>
      <c r="CN885" s="178"/>
      <c r="CO885" s="178"/>
      <c r="CP885" s="178"/>
      <c r="CQ885" s="178"/>
      <c r="CR885" s="178"/>
      <c r="CS885" s="178"/>
      <c r="CT885" s="178"/>
      <c r="CU885" s="178"/>
      <c r="CV885" s="178"/>
      <c r="CW885" s="178"/>
      <c r="CX885" s="178"/>
      <c r="CY885" s="178"/>
      <c r="CZ885" s="178"/>
      <c r="DA885" s="150"/>
    </row>
    <row r="886" spans="53:105" x14ac:dyDescent="0.2">
      <c r="BA886" s="518">
        <f t="shared" ca="1" si="52"/>
        <v>61</v>
      </c>
      <c r="BB886" s="174">
        <f t="shared" ca="1" si="53"/>
        <v>823</v>
      </c>
      <c r="BC886" s="525" t="e">
        <f ca="1">MATCH(BD886,OFFSET(Pinlist!$A$2,BC885*(BA886=BA885),0,$BM$23,1),0)+BC885*(BA886=BA885)</f>
        <v>#N/A</v>
      </c>
      <c r="BD886" s="167">
        <f t="shared" ca="1" si="54"/>
        <v>0</v>
      </c>
      <c r="BE886" s="191" t="e">
        <f ca="1">(OFFSET(Pinlist!$E$1,BC886,0)-$BN$16)*$BN$19</f>
        <v>#N/A</v>
      </c>
      <c r="BF886" s="192" t="e">
        <f ca="1">(OFFSET(Pinlist!$F$1,BC886,0)-$BO$16)*$BO$19</f>
        <v>#N/A</v>
      </c>
      <c r="BG886" s="1098" t="str">
        <f ca="1">IF(LEFT(BD886,2)="RF",OFFSET(Pinlist!$D$1,Chart!BC886,0)&amp;"_"&amp;OFFSET(Pinlist!$G$1,Chart!BC886,0),"")</f>
        <v/>
      </c>
      <c r="BH886" s="1098"/>
      <c r="BI886" s="178"/>
      <c r="BJ886" s="178"/>
      <c r="BK886" s="178"/>
      <c r="BL886" s="178"/>
      <c r="BM886" s="178"/>
      <c r="BN886" s="178"/>
      <c r="BO886" s="178"/>
      <c r="BP886" s="178"/>
      <c r="BQ886" s="196"/>
      <c r="BR886" s="196"/>
      <c r="BS886" s="196"/>
      <c r="BT886" s="196"/>
      <c r="BU886" s="196"/>
      <c r="BV886" s="196"/>
      <c r="BW886" s="178"/>
      <c r="BX886" s="196"/>
      <c r="BY886" s="196"/>
      <c r="BZ886" s="196"/>
      <c r="CA886" s="196"/>
      <c r="CB886" s="178"/>
      <c r="CC886" s="178"/>
      <c r="CD886" s="202"/>
      <c r="CE886" s="202"/>
      <c r="CF886" s="178"/>
      <c r="CG886" s="196"/>
      <c r="CH886" s="178"/>
      <c r="CI886" s="178"/>
      <c r="CJ886" s="178"/>
      <c r="CK886" s="178"/>
      <c r="CL886" s="178"/>
      <c r="CM886" s="178"/>
      <c r="CN886" s="178"/>
      <c r="CO886" s="178"/>
      <c r="CP886" s="178"/>
      <c r="CQ886" s="178"/>
      <c r="CR886" s="178"/>
      <c r="CS886" s="178"/>
      <c r="CT886" s="178"/>
      <c r="CU886" s="178"/>
      <c r="CV886" s="178"/>
      <c r="CW886" s="178"/>
      <c r="CX886" s="178"/>
      <c r="CY886" s="178"/>
      <c r="CZ886" s="178"/>
      <c r="DA886" s="150"/>
    </row>
    <row r="887" spans="53:105" x14ac:dyDescent="0.2">
      <c r="BA887" s="518">
        <f t="shared" ca="1" si="52"/>
        <v>61</v>
      </c>
      <c r="BB887" s="174">
        <f t="shared" ca="1" si="53"/>
        <v>824</v>
      </c>
      <c r="BC887" s="525" t="e">
        <f ca="1">MATCH(BD887,OFFSET(Pinlist!$A$2,BC886*(BA887=BA886),0,$BM$23,1),0)+BC886*(BA887=BA886)</f>
        <v>#N/A</v>
      </c>
      <c r="BD887" s="167">
        <f t="shared" ca="1" si="54"/>
        <v>0</v>
      </c>
      <c r="BE887" s="191" t="e">
        <f ca="1">(OFFSET(Pinlist!$E$1,BC887,0)-$BN$16)*$BN$19</f>
        <v>#N/A</v>
      </c>
      <c r="BF887" s="192" t="e">
        <f ca="1">(OFFSET(Pinlist!$F$1,BC887,0)-$BO$16)*$BO$19</f>
        <v>#N/A</v>
      </c>
      <c r="BG887" s="1098" t="str">
        <f ca="1">IF(LEFT(BD887,2)="RF",OFFSET(Pinlist!$D$1,Chart!BC887,0)&amp;"_"&amp;OFFSET(Pinlist!$G$1,Chart!BC887,0),"")</f>
        <v/>
      </c>
      <c r="BH887" s="1098"/>
      <c r="BI887" s="178"/>
      <c r="BJ887" s="178"/>
      <c r="BK887" s="178"/>
      <c r="BL887" s="178"/>
      <c r="BM887" s="178"/>
      <c r="BN887" s="178"/>
      <c r="BO887" s="178"/>
      <c r="BP887" s="178"/>
      <c r="BQ887" s="196"/>
      <c r="BR887" s="196"/>
      <c r="BS887" s="196"/>
      <c r="BT887" s="196"/>
      <c r="BU887" s="196"/>
      <c r="BV887" s="196"/>
      <c r="BW887" s="178"/>
      <c r="BX887" s="196"/>
      <c r="BY887" s="196"/>
      <c r="BZ887" s="196"/>
      <c r="CA887" s="196"/>
      <c r="CB887" s="178"/>
      <c r="CC887" s="178"/>
      <c r="CD887" s="202"/>
      <c r="CE887" s="202"/>
      <c r="CF887" s="178"/>
      <c r="CG887" s="196"/>
      <c r="CH887" s="178"/>
      <c r="CI887" s="178"/>
      <c r="CJ887" s="178"/>
      <c r="CK887" s="178"/>
      <c r="CL887" s="178"/>
      <c r="CM887" s="178"/>
      <c r="CN887" s="178"/>
      <c r="CO887" s="178"/>
      <c r="CP887" s="178"/>
      <c r="CQ887" s="178"/>
      <c r="CR887" s="178"/>
      <c r="CS887" s="178"/>
      <c r="CT887" s="178"/>
      <c r="CU887" s="178"/>
      <c r="CV887" s="178"/>
      <c r="CW887" s="178"/>
      <c r="CX887" s="178"/>
      <c r="CY887" s="178"/>
      <c r="CZ887" s="178"/>
      <c r="DA887" s="150"/>
    </row>
    <row r="888" spans="53:105" x14ac:dyDescent="0.2">
      <c r="BA888" s="518">
        <f t="shared" ca="1" si="52"/>
        <v>61</v>
      </c>
      <c r="BB888" s="174">
        <f t="shared" ca="1" si="53"/>
        <v>825</v>
      </c>
      <c r="BC888" s="525" t="e">
        <f ca="1">MATCH(BD888,OFFSET(Pinlist!$A$2,BC887*(BA888=BA887),0,$BM$23,1),0)+BC887*(BA888=BA887)</f>
        <v>#N/A</v>
      </c>
      <c r="BD888" s="167">
        <f t="shared" ca="1" si="54"/>
        <v>0</v>
      </c>
      <c r="BE888" s="191" t="e">
        <f ca="1">(OFFSET(Pinlist!$E$1,BC888,0)-$BN$16)*$BN$19</f>
        <v>#N/A</v>
      </c>
      <c r="BF888" s="192" t="e">
        <f ca="1">(OFFSET(Pinlist!$F$1,BC888,0)-$BO$16)*$BO$19</f>
        <v>#N/A</v>
      </c>
      <c r="BG888" s="1098" t="str">
        <f ca="1">IF(LEFT(BD888,2)="RF",OFFSET(Pinlist!$D$1,Chart!BC888,0)&amp;"_"&amp;OFFSET(Pinlist!$G$1,Chart!BC888,0),"")</f>
        <v/>
      </c>
      <c r="BH888" s="1098"/>
      <c r="BI888" s="178"/>
      <c r="BJ888" s="178"/>
      <c r="BK888" s="178"/>
      <c r="BL888" s="178"/>
      <c r="BM888" s="178"/>
      <c r="BN888" s="178"/>
      <c r="BO888" s="178"/>
      <c r="BP888" s="178"/>
      <c r="BQ888" s="196"/>
      <c r="BR888" s="196"/>
      <c r="BS888" s="196"/>
      <c r="BT888" s="196"/>
      <c r="BU888" s="196"/>
      <c r="BV888" s="196"/>
      <c r="BW888" s="178"/>
      <c r="BX888" s="196"/>
      <c r="BY888" s="196"/>
      <c r="BZ888" s="196"/>
      <c r="CA888" s="196"/>
      <c r="CB888" s="178"/>
      <c r="CC888" s="178"/>
      <c r="CD888" s="202"/>
      <c r="CE888" s="202"/>
      <c r="CF888" s="178"/>
      <c r="CG888" s="196"/>
      <c r="CH888" s="178"/>
      <c r="CI888" s="178"/>
      <c r="CJ888" s="178"/>
      <c r="CK888" s="178"/>
      <c r="CL888" s="178"/>
      <c r="CM888" s="178"/>
      <c r="CN888" s="178"/>
      <c r="CO888" s="178"/>
      <c r="CP888" s="178"/>
      <c r="CQ888" s="178"/>
      <c r="CR888" s="178"/>
      <c r="CS888" s="178"/>
      <c r="CT888" s="178"/>
      <c r="CU888" s="178"/>
      <c r="CV888" s="178"/>
      <c r="CW888" s="178"/>
      <c r="CX888" s="178"/>
      <c r="CY888" s="178"/>
      <c r="CZ888" s="178"/>
      <c r="DA888" s="150"/>
    </row>
    <row r="889" spans="53:105" x14ac:dyDescent="0.2">
      <c r="BA889" s="518">
        <f t="shared" ca="1" si="52"/>
        <v>61</v>
      </c>
      <c r="BB889" s="174">
        <f t="shared" ca="1" si="53"/>
        <v>826</v>
      </c>
      <c r="BC889" s="525" t="e">
        <f ca="1">MATCH(BD889,OFFSET(Pinlist!$A$2,BC888*(BA889=BA888),0,$BM$23,1),0)+BC888*(BA889=BA888)</f>
        <v>#N/A</v>
      </c>
      <c r="BD889" s="167">
        <f t="shared" ca="1" si="54"/>
        <v>0</v>
      </c>
      <c r="BE889" s="191" t="e">
        <f ca="1">(OFFSET(Pinlist!$E$1,BC889,0)-$BN$16)*$BN$19</f>
        <v>#N/A</v>
      </c>
      <c r="BF889" s="192" t="e">
        <f ca="1">(OFFSET(Pinlist!$F$1,BC889,0)-$BO$16)*$BO$19</f>
        <v>#N/A</v>
      </c>
      <c r="BG889" s="1098" t="str">
        <f ca="1">IF(LEFT(BD889,2)="RF",OFFSET(Pinlist!$D$1,Chart!BC889,0)&amp;"_"&amp;OFFSET(Pinlist!$G$1,Chart!BC889,0),"")</f>
        <v/>
      </c>
      <c r="BH889" s="1098"/>
      <c r="BI889" s="178"/>
      <c r="BJ889" s="178"/>
      <c r="BK889" s="178"/>
      <c r="BL889" s="178"/>
      <c r="BM889" s="178"/>
      <c r="BN889" s="178"/>
      <c r="BO889" s="178"/>
      <c r="BP889" s="178"/>
      <c r="BQ889" s="196"/>
      <c r="BR889" s="196"/>
      <c r="BS889" s="196"/>
      <c r="BT889" s="196"/>
      <c r="BU889" s="196"/>
      <c r="BV889" s="196"/>
      <c r="BW889" s="178"/>
      <c r="BX889" s="196"/>
      <c r="BY889" s="196"/>
      <c r="BZ889" s="196"/>
      <c r="CA889" s="196"/>
      <c r="CB889" s="178"/>
      <c r="CC889" s="178"/>
      <c r="CD889" s="202"/>
      <c r="CE889" s="202"/>
      <c r="CF889" s="178"/>
      <c r="CG889" s="196"/>
      <c r="CH889" s="178"/>
      <c r="CI889" s="178"/>
      <c r="CJ889" s="178"/>
      <c r="CK889" s="178"/>
      <c r="CL889" s="178"/>
      <c r="CM889" s="178"/>
      <c r="CN889" s="178"/>
      <c r="CO889" s="178"/>
      <c r="CP889" s="178"/>
      <c r="CQ889" s="178"/>
      <c r="CR889" s="178"/>
      <c r="CS889" s="178"/>
      <c r="CT889" s="178"/>
      <c r="CU889" s="178"/>
      <c r="CV889" s="178"/>
      <c r="CW889" s="178"/>
      <c r="CX889" s="178"/>
      <c r="CY889" s="178"/>
      <c r="CZ889" s="178"/>
      <c r="DA889" s="150"/>
    </row>
    <row r="890" spans="53:105" x14ac:dyDescent="0.2">
      <c r="BA890" s="518">
        <f t="shared" ca="1" si="52"/>
        <v>61</v>
      </c>
      <c r="BB890" s="174">
        <f t="shared" ca="1" si="53"/>
        <v>827</v>
      </c>
      <c r="BC890" s="525" t="e">
        <f ca="1">MATCH(BD890,OFFSET(Pinlist!$A$2,BC889*(BA890=BA889),0,$BM$23,1),0)+BC889*(BA890=BA889)</f>
        <v>#N/A</v>
      </c>
      <c r="BD890" s="167">
        <f t="shared" ca="1" si="54"/>
        <v>0</v>
      </c>
      <c r="BE890" s="191" t="e">
        <f ca="1">(OFFSET(Pinlist!$E$1,BC890,0)-$BN$16)*$BN$19</f>
        <v>#N/A</v>
      </c>
      <c r="BF890" s="192" t="e">
        <f ca="1">(OFFSET(Pinlist!$F$1,BC890,0)-$BO$16)*$BO$19</f>
        <v>#N/A</v>
      </c>
      <c r="BG890" s="1098" t="str">
        <f ca="1">IF(LEFT(BD890,2)="RF",OFFSET(Pinlist!$D$1,Chart!BC890,0)&amp;"_"&amp;OFFSET(Pinlist!$G$1,Chart!BC890,0),"")</f>
        <v/>
      </c>
      <c r="BH890" s="1098"/>
      <c r="BI890" s="178"/>
      <c r="BJ890" s="178"/>
      <c r="BK890" s="178"/>
      <c r="BL890" s="178"/>
      <c r="BM890" s="178"/>
      <c r="BN890" s="178"/>
      <c r="BO890" s="178"/>
      <c r="BP890" s="178"/>
      <c r="BQ890" s="196"/>
      <c r="BR890" s="196"/>
      <c r="BS890" s="196"/>
      <c r="BT890" s="196"/>
      <c r="BU890" s="196"/>
      <c r="BV890" s="196"/>
      <c r="BW890" s="178"/>
      <c r="BX890" s="196"/>
      <c r="BY890" s="196"/>
      <c r="BZ890" s="196"/>
      <c r="CA890" s="196"/>
      <c r="CB890" s="178"/>
      <c r="CC890" s="178"/>
      <c r="CD890" s="202"/>
      <c r="CE890" s="202"/>
      <c r="CF890" s="178"/>
      <c r="CG890" s="196"/>
      <c r="CH890" s="178"/>
      <c r="CI890" s="178"/>
      <c r="CJ890" s="178"/>
      <c r="CK890" s="178"/>
      <c r="CL890" s="178"/>
      <c r="CM890" s="178"/>
      <c r="CN890" s="178"/>
      <c r="CO890" s="178"/>
      <c r="CP890" s="178"/>
      <c r="CQ890" s="178"/>
      <c r="CR890" s="178"/>
      <c r="CS890" s="178"/>
      <c r="CT890" s="178"/>
      <c r="CU890" s="178"/>
      <c r="CV890" s="178"/>
      <c r="CW890" s="178"/>
      <c r="CX890" s="178"/>
      <c r="CY890" s="178"/>
      <c r="CZ890" s="178"/>
      <c r="DA890" s="150"/>
    </row>
    <row r="891" spans="53:105" x14ac:dyDescent="0.2">
      <c r="BA891" s="518">
        <f t="shared" ca="1" si="52"/>
        <v>61</v>
      </c>
      <c r="BB891" s="174">
        <f t="shared" ca="1" si="53"/>
        <v>828</v>
      </c>
      <c r="BC891" s="525" t="e">
        <f ca="1">MATCH(BD891,OFFSET(Pinlist!$A$2,BC890*(BA891=BA890),0,$BM$23,1),0)+BC890*(BA891=BA890)</f>
        <v>#N/A</v>
      </c>
      <c r="BD891" s="167">
        <f t="shared" ca="1" si="54"/>
        <v>0</v>
      </c>
      <c r="BE891" s="191" t="e">
        <f ca="1">(OFFSET(Pinlist!$E$1,BC891,0)-$BN$16)*$BN$19</f>
        <v>#N/A</v>
      </c>
      <c r="BF891" s="192" t="e">
        <f ca="1">(OFFSET(Pinlist!$F$1,BC891,0)-$BO$16)*$BO$19</f>
        <v>#N/A</v>
      </c>
      <c r="BG891" s="1098" t="str">
        <f ca="1">IF(LEFT(BD891,2)="RF",OFFSET(Pinlist!$D$1,Chart!BC891,0)&amp;"_"&amp;OFFSET(Pinlist!$G$1,Chart!BC891,0),"")</f>
        <v/>
      </c>
      <c r="BH891" s="1098"/>
      <c r="BI891" s="178"/>
      <c r="BJ891" s="178"/>
      <c r="BK891" s="178"/>
      <c r="BL891" s="178"/>
      <c r="BM891" s="178"/>
      <c r="BN891" s="178"/>
      <c r="BO891" s="178"/>
      <c r="BP891" s="178"/>
      <c r="BQ891" s="196"/>
      <c r="BR891" s="196"/>
      <c r="BS891" s="196"/>
      <c r="BT891" s="196"/>
      <c r="BU891" s="196"/>
      <c r="BV891" s="196"/>
      <c r="BW891" s="178"/>
      <c r="BX891" s="196"/>
      <c r="BY891" s="196"/>
      <c r="BZ891" s="196"/>
      <c r="CA891" s="196"/>
      <c r="CB891" s="178"/>
      <c r="CC891" s="178"/>
      <c r="CD891" s="202"/>
      <c r="CE891" s="202"/>
      <c r="CF891" s="178"/>
      <c r="CG891" s="196"/>
      <c r="CH891" s="178"/>
      <c r="CI891" s="178"/>
      <c r="CJ891" s="178"/>
      <c r="CK891" s="178"/>
      <c r="CL891" s="178"/>
      <c r="CM891" s="178"/>
      <c r="CN891" s="178"/>
      <c r="CO891" s="178"/>
      <c r="CP891" s="178"/>
      <c r="CQ891" s="178"/>
      <c r="CR891" s="178"/>
      <c r="CS891" s="178"/>
      <c r="CT891" s="178"/>
      <c r="CU891" s="178"/>
      <c r="CV891" s="178"/>
      <c r="CW891" s="178"/>
      <c r="CX891" s="178"/>
      <c r="CY891" s="178"/>
      <c r="CZ891" s="178"/>
      <c r="DA891" s="150"/>
    </row>
    <row r="892" spans="53:105" x14ac:dyDescent="0.2">
      <c r="BA892" s="518">
        <f t="shared" ca="1" si="52"/>
        <v>61</v>
      </c>
      <c r="BB892" s="174">
        <f t="shared" ca="1" si="53"/>
        <v>829</v>
      </c>
      <c r="BC892" s="525" t="e">
        <f ca="1">MATCH(BD892,OFFSET(Pinlist!$A$2,BC891*(BA892=BA891),0,$BM$23,1),0)+BC891*(BA892=BA891)</f>
        <v>#N/A</v>
      </c>
      <c r="BD892" s="167">
        <f t="shared" ca="1" si="54"/>
        <v>0</v>
      </c>
      <c r="BE892" s="191" t="e">
        <f ca="1">(OFFSET(Pinlist!$E$1,BC892,0)-$BN$16)*$BN$19</f>
        <v>#N/A</v>
      </c>
      <c r="BF892" s="192" t="e">
        <f ca="1">(OFFSET(Pinlist!$F$1,BC892,0)-$BO$16)*$BO$19</f>
        <v>#N/A</v>
      </c>
      <c r="BG892" s="1098" t="str">
        <f ca="1">IF(LEFT(BD892,2)="RF",OFFSET(Pinlist!$D$1,Chart!BC892,0)&amp;"_"&amp;OFFSET(Pinlist!$G$1,Chart!BC892,0),"")</f>
        <v/>
      </c>
      <c r="BH892" s="1098"/>
      <c r="BI892" s="178"/>
      <c r="BJ892" s="178"/>
      <c r="BK892" s="178"/>
      <c r="BL892" s="178"/>
      <c r="BM892" s="178"/>
      <c r="BN892" s="178"/>
      <c r="BO892" s="178"/>
      <c r="BP892" s="178"/>
      <c r="BQ892" s="196"/>
      <c r="BR892" s="196"/>
      <c r="BS892" s="196"/>
      <c r="BT892" s="196"/>
      <c r="BU892" s="196"/>
      <c r="BV892" s="196"/>
      <c r="BW892" s="178"/>
      <c r="BX892" s="196"/>
      <c r="BY892" s="196"/>
      <c r="BZ892" s="196"/>
      <c r="CA892" s="196"/>
      <c r="CB892" s="178"/>
      <c r="CC892" s="178"/>
      <c r="CD892" s="202"/>
      <c r="CE892" s="202"/>
      <c r="CF892" s="178"/>
      <c r="CG892" s="196"/>
      <c r="CH892" s="178"/>
      <c r="CI892" s="178"/>
      <c r="CJ892" s="178"/>
      <c r="CK892" s="178"/>
      <c r="CL892" s="178"/>
      <c r="CM892" s="178"/>
      <c r="CN892" s="178"/>
      <c r="CO892" s="178"/>
      <c r="CP892" s="178"/>
      <c r="CQ892" s="178"/>
      <c r="CR892" s="178"/>
      <c r="CS892" s="178"/>
      <c r="CT892" s="178"/>
      <c r="CU892" s="178"/>
      <c r="CV892" s="178"/>
      <c r="CW892" s="178"/>
      <c r="CX892" s="178"/>
      <c r="CY892" s="178"/>
      <c r="CZ892" s="178"/>
      <c r="DA892" s="150"/>
    </row>
    <row r="893" spans="53:105" x14ac:dyDescent="0.2">
      <c r="BA893" s="518">
        <f t="shared" ca="1" si="52"/>
        <v>61</v>
      </c>
      <c r="BB893" s="174">
        <f t="shared" ca="1" si="53"/>
        <v>830</v>
      </c>
      <c r="BC893" s="525" t="e">
        <f ca="1">MATCH(BD893,OFFSET(Pinlist!$A$2,BC892*(BA893=BA892),0,$BM$23,1),0)+BC892*(BA893=BA892)</f>
        <v>#N/A</v>
      </c>
      <c r="BD893" s="167">
        <f t="shared" ca="1" si="54"/>
        <v>0</v>
      </c>
      <c r="BE893" s="191" t="e">
        <f ca="1">(OFFSET(Pinlist!$E$1,BC893,0)-$BN$16)*$BN$19</f>
        <v>#N/A</v>
      </c>
      <c r="BF893" s="192" t="e">
        <f ca="1">(OFFSET(Pinlist!$F$1,BC893,0)-$BO$16)*$BO$19</f>
        <v>#N/A</v>
      </c>
      <c r="BG893" s="1098" t="str">
        <f ca="1">IF(LEFT(BD893,2)="RF",OFFSET(Pinlist!$D$1,Chart!BC893,0)&amp;"_"&amp;OFFSET(Pinlist!$G$1,Chart!BC893,0),"")</f>
        <v/>
      </c>
      <c r="BH893" s="1098"/>
      <c r="BI893" s="178"/>
      <c r="BJ893" s="178"/>
      <c r="BK893" s="178"/>
      <c r="BL893" s="178"/>
      <c r="BM893" s="178"/>
      <c r="BN893" s="178"/>
      <c r="BO893" s="178"/>
      <c r="BP893" s="178"/>
      <c r="BQ893" s="196"/>
      <c r="BR893" s="196"/>
      <c r="BS893" s="196"/>
      <c r="BT893" s="196"/>
      <c r="BU893" s="196"/>
      <c r="BV893" s="196"/>
      <c r="BW893" s="178"/>
      <c r="BX893" s="196"/>
      <c r="BY893" s="196"/>
      <c r="BZ893" s="196"/>
      <c r="CA893" s="196"/>
      <c r="CB893" s="178"/>
      <c r="CC893" s="178"/>
      <c r="CD893" s="202"/>
      <c r="CE893" s="202"/>
      <c r="CF893" s="178"/>
      <c r="CG893" s="196"/>
      <c r="CH893" s="178"/>
      <c r="CI893" s="178"/>
      <c r="CJ893" s="178"/>
      <c r="CK893" s="178"/>
      <c r="CL893" s="178"/>
      <c r="CM893" s="178"/>
      <c r="CN893" s="178"/>
      <c r="CO893" s="178"/>
      <c r="CP893" s="178"/>
      <c r="CQ893" s="178"/>
      <c r="CR893" s="178"/>
      <c r="CS893" s="178"/>
      <c r="CT893" s="178"/>
      <c r="CU893" s="178"/>
      <c r="CV893" s="178"/>
      <c r="CW893" s="178"/>
      <c r="CX893" s="178"/>
      <c r="CY893" s="178"/>
      <c r="CZ893" s="178"/>
      <c r="DA893" s="150"/>
    </row>
    <row r="894" spans="53:105" x14ac:dyDescent="0.2">
      <c r="BA894" s="518">
        <f t="shared" ca="1" si="52"/>
        <v>61</v>
      </c>
      <c r="BB894" s="174">
        <f t="shared" ca="1" si="53"/>
        <v>831</v>
      </c>
      <c r="BC894" s="525" t="e">
        <f ca="1">MATCH(BD894,OFFSET(Pinlist!$A$2,BC893*(BA894=BA893),0,$BM$23,1),0)+BC893*(BA894=BA893)</f>
        <v>#N/A</v>
      </c>
      <c r="BD894" s="167">
        <f t="shared" ca="1" si="54"/>
        <v>0</v>
      </c>
      <c r="BE894" s="191" t="e">
        <f ca="1">(OFFSET(Pinlist!$E$1,BC894,0)-$BN$16)*$BN$19</f>
        <v>#N/A</v>
      </c>
      <c r="BF894" s="192" t="e">
        <f ca="1">(OFFSET(Pinlist!$F$1,BC894,0)-$BO$16)*$BO$19</f>
        <v>#N/A</v>
      </c>
      <c r="BG894" s="1098" t="str">
        <f ca="1">IF(LEFT(BD894,2)="RF",OFFSET(Pinlist!$D$1,Chart!BC894,0)&amp;"_"&amp;OFFSET(Pinlist!$G$1,Chart!BC894,0),"")</f>
        <v/>
      </c>
      <c r="BH894" s="1098"/>
      <c r="BI894" s="178"/>
      <c r="BJ894" s="178"/>
      <c r="BK894" s="178"/>
      <c r="BL894" s="178"/>
      <c r="BM894" s="178"/>
      <c r="BN894" s="178"/>
      <c r="BO894" s="178"/>
      <c r="BP894" s="178"/>
      <c r="BQ894" s="196"/>
      <c r="BR894" s="196"/>
      <c r="BS894" s="196"/>
      <c r="BT894" s="196"/>
      <c r="BU894" s="196"/>
      <c r="BV894" s="196"/>
      <c r="BW894" s="178"/>
      <c r="BX894" s="196"/>
      <c r="BY894" s="196"/>
      <c r="BZ894" s="196"/>
      <c r="CA894" s="196"/>
      <c r="CB894" s="178"/>
      <c r="CC894" s="178"/>
      <c r="CD894" s="202"/>
      <c r="CE894" s="202"/>
      <c r="CF894" s="178"/>
      <c r="CG894" s="196"/>
      <c r="CH894" s="178"/>
      <c r="CI894" s="178"/>
      <c r="CJ894" s="178"/>
      <c r="CK894" s="178"/>
      <c r="CL894" s="178"/>
      <c r="CM894" s="178"/>
      <c r="CN894" s="178"/>
      <c r="CO894" s="178"/>
      <c r="CP894" s="178"/>
      <c r="CQ894" s="178"/>
      <c r="CR894" s="178"/>
      <c r="CS894" s="178"/>
      <c r="CT894" s="178"/>
      <c r="CU894" s="178"/>
      <c r="CV894" s="178"/>
      <c r="CW894" s="178"/>
      <c r="CX894" s="178"/>
      <c r="CY894" s="178"/>
      <c r="CZ894" s="178"/>
      <c r="DA894" s="150"/>
    </row>
    <row r="895" spans="53:105" x14ac:dyDescent="0.2">
      <c r="BA895" s="518">
        <f t="shared" ca="1" si="52"/>
        <v>61</v>
      </c>
      <c r="BB895" s="174">
        <f t="shared" ca="1" si="53"/>
        <v>832</v>
      </c>
      <c r="BC895" s="525" t="e">
        <f ca="1">MATCH(BD895,OFFSET(Pinlist!$A$2,BC894*(BA895=BA894),0,$BM$23,1),0)+BC894*(BA895=BA894)</f>
        <v>#N/A</v>
      </c>
      <c r="BD895" s="167">
        <f t="shared" ca="1" si="54"/>
        <v>0</v>
      </c>
      <c r="BE895" s="191" t="e">
        <f ca="1">(OFFSET(Pinlist!$E$1,BC895,0)-$BN$16)*$BN$19</f>
        <v>#N/A</v>
      </c>
      <c r="BF895" s="192" t="e">
        <f ca="1">(OFFSET(Pinlist!$F$1,BC895,0)-$BO$16)*$BO$19</f>
        <v>#N/A</v>
      </c>
      <c r="BG895" s="1098" t="str">
        <f ca="1">IF(LEFT(BD895,2)="RF",OFFSET(Pinlist!$D$1,Chart!BC895,0)&amp;"_"&amp;OFFSET(Pinlist!$G$1,Chart!BC895,0),"")</f>
        <v/>
      </c>
      <c r="BH895" s="1098"/>
      <c r="BI895" s="178"/>
      <c r="BJ895" s="178"/>
      <c r="BK895" s="178"/>
      <c r="BL895" s="178"/>
      <c r="BM895" s="178"/>
      <c r="BN895" s="178"/>
      <c r="BO895" s="178"/>
      <c r="BP895" s="178"/>
      <c r="BQ895" s="196"/>
      <c r="BR895" s="196"/>
      <c r="BS895" s="196"/>
      <c r="BT895" s="196"/>
      <c r="BU895" s="196"/>
      <c r="BV895" s="196"/>
      <c r="BW895" s="178"/>
      <c r="BX895" s="196"/>
      <c r="BY895" s="196"/>
      <c r="BZ895" s="196"/>
      <c r="CA895" s="196"/>
      <c r="CB895" s="178"/>
      <c r="CC895" s="178"/>
      <c r="CD895" s="202"/>
      <c r="CE895" s="202"/>
      <c r="CF895" s="178"/>
      <c r="CG895" s="196"/>
      <c r="CH895" s="178"/>
      <c r="CI895" s="178"/>
      <c r="CJ895" s="178"/>
      <c r="CK895" s="178"/>
      <c r="CL895" s="178"/>
      <c r="CM895" s="178"/>
      <c r="CN895" s="178"/>
      <c r="CO895" s="178"/>
      <c r="CP895" s="178"/>
      <c r="CQ895" s="178"/>
      <c r="CR895" s="178"/>
      <c r="CS895" s="178"/>
      <c r="CT895" s="178"/>
      <c r="CU895" s="178"/>
      <c r="CV895" s="178"/>
      <c r="CW895" s="178"/>
      <c r="CX895" s="178"/>
      <c r="CY895" s="178"/>
      <c r="CZ895" s="178"/>
      <c r="DA895" s="150"/>
    </row>
    <row r="896" spans="53:105" x14ac:dyDescent="0.2">
      <c r="BA896" s="518">
        <f t="shared" ca="1" si="52"/>
        <v>61</v>
      </c>
      <c r="BB896" s="174">
        <f t="shared" ca="1" si="53"/>
        <v>833</v>
      </c>
      <c r="BC896" s="525" t="e">
        <f ca="1">MATCH(BD896,OFFSET(Pinlist!$A$2,BC895*(BA896=BA895),0,$BM$23,1),0)+BC895*(BA896=BA895)</f>
        <v>#N/A</v>
      </c>
      <c r="BD896" s="167">
        <f t="shared" ca="1" si="54"/>
        <v>0</v>
      </c>
      <c r="BE896" s="191" t="e">
        <f ca="1">(OFFSET(Pinlist!$E$1,BC896,0)-$BN$16)*$BN$19</f>
        <v>#N/A</v>
      </c>
      <c r="BF896" s="192" t="e">
        <f ca="1">(OFFSET(Pinlist!$F$1,BC896,0)-$BO$16)*$BO$19</f>
        <v>#N/A</v>
      </c>
      <c r="BG896" s="1098" t="str">
        <f ca="1">IF(LEFT(BD896,2)="RF",OFFSET(Pinlist!$D$1,Chart!BC896,0)&amp;"_"&amp;OFFSET(Pinlist!$G$1,Chart!BC896,0),"")</f>
        <v/>
      </c>
      <c r="BH896" s="1098"/>
      <c r="BI896" s="178"/>
      <c r="BJ896" s="178"/>
      <c r="BK896" s="178"/>
      <c r="BL896" s="178"/>
      <c r="BM896" s="178"/>
      <c r="BN896" s="178"/>
      <c r="BO896" s="178"/>
      <c r="BP896" s="178"/>
      <c r="BQ896" s="196"/>
      <c r="BR896" s="196"/>
      <c r="BS896" s="196"/>
      <c r="BT896" s="196"/>
      <c r="BU896" s="196"/>
      <c r="BV896" s="196"/>
      <c r="BW896" s="178"/>
      <c r="BX896" s="196"/>
      <c r="BY896" s="196"/>
      <c r="BZ896" s="196"/>
      <c r="CA896" s="196"/>
      <c r="CB896" s="178"/>
      <c r="CC896" s="178"/>
      <c r="CD896" s="202"/>
      <c r="CE896" s="202"/>
      <c r="CF896" s="178"/>
      <c r="CG896" s="196"/>
      <c r="CH896" s="178"/>
      <c r="CI896" s="178"/>
      <c r="CJ896" s="178"/>
      <c r="CK896" s="178"/>
      <c r="CL896" s="178"/>
      <c r="CM896" s="178"/>
      <c r="CN896" s="178"/>
      <c r="CO896" s="178"/>
      <c r="CP896" s="178"/>
      <c r="CQ896" s="178"/>
      <c r="CR896" s="178"/>
      <c r="CS896" s="178"/>
      <c r="CT896" s="178"/>
      <c r="CU896" s="178"/>
      <c r="CV896" s="178"/>
      <c r="CW896" s="178"/>
      <c r="CX896" s="178"/>
      <c r="CY896" s="178"/>
      <c r="CZ896" s="178"/>
      <c r="DA896" s="150"/>
    </row>
    <row r="897" spans="53:105" x14ac:dyDescent="0.2">
      <c r="BA897" s="518">
        <f t="shared" ca="1" si="52"/>
        <v>61</v>
      </c>
      <c r="BB897" s="174">
        <f t="shared" ca="1" si="53"/>
        <v>834</v>
      </c>
      <c r="BC897" s="525" t="e">
        <f ca="1">MATCH(BD897,OFFSET(Pinlist!$A$2,BC896*(BA897=BA896),0,$BM$23,1),0)+BC896*(BA897=BA896)</f>
        <v>#N/A</v>
      </c>
      <c r="BD897" s="167">
        <f t="shared" ca="1" si="54"/>
        <v>0</v>
      </c>
      <c r="BE897" s="191" t="e">
        <f ca="1">(OFFSET(Pinlist!$E$1,BC897,0)-$BN$16)*$BN$19</f>
        <v>#N/A</v>
      </c>
      <c r="BF897" s="192" t="e">
        <f ca="1">(OFFSET(Pinlist!$F$1,BC897,0)-$BO$16)*$BO$19</f>
        <v>#N/A</v>
      </c>
      <c r="BG897" s="1098" t="str">
        <f ca="1">IF(LEFT(BD897,2)="RF",OFFSET(Pinlist!$D$1,Chart!BC897,0)&amp;"_"&amp;OFFSET(Pinlist!$G$1,Chart!BC897,0),"")</f>
        <v/>
      </c>
      <c r="BH897" s="1098"/>
      <c r="BI897" s="178"/>
      <c r="BJ897" s="178"/>
      <c r="BK897" s="178"/>
      <c r="BL897" s="178"/>
      <c r="BM897" s="178"/>
      <c r="BN897" s="178"/>
      <c r="BO897" s="178"/>
      <c r="BP897" s="178"/>
      <c r="BQ897" s="196"/>
      <c r="BR897" s="196"/>
      <c r="BS897" s="196"/>
      <c r="BT897" s="196"/>
      <c r="BU897" s="196"/>
      <c r="BV897" s="196"/>
      <c r="BW897" s="178"/>
      <c r="BX897" s="196"/>
      <c r="BY897" s="196"/>
      <c r="BZ897" s="196"/>
      <c r="CA897" s="196"/>
      <c r="CB897" s="178"/>
      <c r="CC897" s="178"/>
      <c r="CD897" s="202"/>
      <c r="CE897" s="202"/>
      <c r="CF897" s="178"/>
      <c r="CG897" s="196"/>
      <c r="CH897" s="178"/>
      <c r="CI897" s="178"/>
      <c r="CJ897" s="178"/>
      <c r="CK897" s="178"/>
      <c r="CL897" s="178"/>
      <c r="CM897" s="178"/>
      <c r="CN897" s="178"/>
      <c r="CO897" s="178"/>
      <c r="CP897" s="178"/>
      <c r="CQ897" s="178"/>
      <c r="CR897" s="178"/>
      <c r="CS897" s="178"/>
      <c r="CT897" s="178"/>
      <c r="CU897" s="178"/>
      <c r="CV897" s="178"/>
      <c r="CW897" s="178"/>
      <c r="CX897" s="178"/>
      <c r="CY897" s="178"/>
      <c r="CZ897" s="178"/>
      <c r="DA897" s="150"/>
    </row>
    <row r="898" spans="53:105" x14ac:dyDescent="0.2">
      <c r="BA898" s="518">
        <f t="shared" ca="1" si="52"/>
        <v>61</v>
      </c>
      <c r="BB898" s="174">
        <f t="shared" ca="1" si="53"/>
        <v>835</v>
      </c>
      <c r="BC898" s="525" t="e">
        <f ca="1">MATCH(BD898,OFFSET(Pinlist!$A$2,BC897*(BA898=BA897),0,$BM$23,1),0)+BC897*(BA898=BA897)</f>
        <v>#N/A</v>
      </c>
      <c r="BD898" s="167">
        <f t="shared" ca="1" si="54"/>
        <v>0</v>
      </c>
      <c r="BE898" s="191" t="e">
        <f ca="1">(OFFSET(Pinlist!$E$1,BC898,0)-$BN$16)*$BN$19</f>
        <v>#N/A</v>
      </c>
      <c r="BF898" s="192" t="e">
        <f ca="1">(OFFSET(Pinlist!$F$1,BC898,0)-$BO$16)*$BO$19</f>
        <v>#N/A</v>
      </c>
      <c r="BG898" s="1098" t="str">
        <f ca="1">IF(LEFT(BD898,2)="RF",OFFSET(Pinlist!$D$1,Chart!BC898,0)&amp;"_"&amp;OFFSET(Pinlist!$G$1,Chart!BC898,0),"")</f>
        <v/>
      </c>
      <c r="BH898" s="1098"/>
      <c r="BI898" s="178"/>
      <c r="BJ898" s="178"/>
      <c r="BK898" s="178"/>
      <c r="BL898" s="178"/>
      <c r="BM898" s="178"/>
      <c r="BN898" s="178"/>
      <c r="BO898" s="178"/>
      <c r="BP898" s="178"/>
      <c r="BQ898" s="196"/>
      <c r="BR898" s="196"/>
      <c r="BS898" s="196"/>
      <c r="BT898" s="196"/>
      <c r="BU898" s="196"/>
      <c r="BV898" s="196"/>
      <c r="BW898" s="178"/>
      <c r="BX898" s="196"/>
      <c r="BY898" s="196"/>
      <c r="BZ898" s="196"/>
      <c r="CA898" s="196"/>
      <c r="CB898" s="178"/>
      <c r="CC898" s="178"/>
      <c r="CD898" s="202"/>
      <c r="CE898" s="202"/>
      <c r="CF898" s="178"/>
      <c r="CG898" s="196"/>
      <c r="CH898" s="178"/>
      <c r="CI898" s="178"/>
      <c r="CJ898" s="178"/>
      <c r="CK898" s="178"/>
      <c r="CL898" s="178"/>
      <c r="CM898" s="178"/>
      <c r="CN898" s="178"/>
      <c r="CO898" s="178"/>
      <c r="CP898" s="178"/>
      <c r="CQ898" s="178"/>
      <c r="CR898" s="178"/>
      <c r="CS898" s="178"/>
      <c r="CT898" s="178"/>
      <c r="CU898" s="178"/>
      <c r="CV898" s="178"/>
      <c r="CW898" s="178"/>
      <c r="CX898" s="178"/>
      <c r="CY898" s="178"/>
      <c r="CZ898" s="178"/>
      <c r="DA898" s="150"/>
    </row>
    <row r="899" spans="53:105" x14ac:dyDescent="0.2">
      <c r="BA899" s="518">
        <f t="shared" ca="1" si="52"/>
        <v>61</v>
      </c>
      <c r="BB899" s="174">
        <f t="shared" ca="1" si="53"/>
        <v>836</v>
      </c>
      <c r="BC899" s="525" t="e">
        <f ca="1">MATCH(BD899,OFFSET(Pinlist!$A$2,BC898*(BA899=BA898),0,$BM$23,1),0)+BC898*(BA899=BA898)</f>
        <v>#N/A</v>
      </c>
      <c r="BD899" s="167">
        <f t="shared" ca="1" si="54"/>
        <v>0</v>
      </c>
      <c r="BE899" s="191" t="e">
        <f ca="1">(OFFSET(Pinlist!$E$1,BC899,0)-$BN$16)*$BN$19</f>
        <v>#N/A</v>
      </c>
      <c r="BF899" s="192" t="e">
        <f ca="1">(OFFSET(Pinlist!$F$1,BC899,0)-$BO$16)*$BO$19</f>
        <v>#N/A</v>
      </c>
      <c r="BG899" s="1098" t="str">
        <f ca="1">IF(LEFT(BD899,2)="RF",OFFSET(Pinlist!$D$1,Chart!BC899,0)&amp;"_"&amp;OFFSET(Pinlist!$G$1,Chart!BC899,0),"")</f>
        <v/>
      </c>
      <c r="BH899" s="1098"/>
      <c r="BI899" s="178"/>
      <c r="BJ899" s="178"/>
      <c r="BK899" s="178"/>
      <c r="BL899" s="178"/>
      <c r="BM899" s="178"/>
      <c r="BN899" s="178"/>
      <c r="BO899" s="178"/>
      <c r="BP899" s="178"/>
      <c r="BQ899" s="196"/>
      <c r="BR899" s="196"/>
      <c r="BS899" s="196"/>
      <c r="BT899" s="196"/>
      <c r="BU899" s="196"/>
      <c r="BV899" s="196"/>
      <c r="BW899" s="178"/>
      <c r="BX899" s="196"/>
      <c r="BY899" s="196"/>
      <c r="BZ899" s="196"/>
      <c r="CA899" s="196"/>
      <c r="CB899" s="178"/>
      <c r="CC899" s="178"/>
      <c r="CD899" s="202"/>
      <c r="CE899" s="202"/>
      <c r="CF899" s="178"/>
      <c r="CG899" s="196"/>
      <c r="CH899" s="178"/>
      <c r="CI899" s="178"/>
      <c r="CJ899" s="178"/>
      <c r="CK899" s="178"/>
      <c r="CL899" s="178"/>
      <c r="CM899" s="178"/>
      <c r="CN899" s="178"/>
      <c r="CO899" s="178"/>
      <c r="CP899" s="178"/>
      <c r="CQ899" s="178"/>
      <c r="CR899" s="178"/>
      <c r="CS899" s="178"/>
      <c r="CT899" s="178"/>
      <c r="CU899" s="178"/>
      <c r="CV899" s="178"/>
      <c r="CW899" s="178"/>
      <c r="CX899" s="178"/>
      <c r="CY899" s="178"/>
      <c r="CZ899" s="178"/>
      <c r="DA899" s="150"/>
    </row>
    <row r="900" spans="53:105" x14ac:dyDescent="0.2">
      <c r="BA900" s="518">
        <f t="shared" ref="BA900:BA963" ca="1" si="55">BA899+(BB899=OFFSET($BZ$3,BA899,0))</f>
        <v>61</v>
      </c>
      <c r="BB900" s="174">
        <f t="shared" ref="BB900:BB963" ca="1" si="56">IF(BA900=BA899,BB899+1,1)</f>
        <v>837</v>
      </c>
      <c r="BC900" s="525" t="e">
        <f ca="1">MATCH(BD900,OFFSET(Pinlist!$A$2,BC899*(BA900=BA899),0,$BM$23,1),0)+BC899*(BA900=BA899)</f>
        <v>#N/A</v>
      </c>
      <c r="BD900" s="167">
        <f t="shared" ref="BD900:BD963" ca="1" si="57">OFFSET($BY$3,BA900,0)</f>
        <v>0</v>
      </c>
      <c r="BE900" s="191" t="e">
        <f ca="1">(OFFSET(Pinlist!$E$1,BC900,0)-$BN$16)*$BN$19</f>
        <v>#N/A</v>
      </c>
      <c r="BF900" s="192" t="e">
        <f ca="1">(OFFSET(Pinlist!$F$1,BC900,0)-$BO$16)*$BO$19</f>
        <v>#N/A</v>
      </c>
      <c r="BG900" s="1098" t="str">
        <f ca="1">IF(LEFT(BD900,2)="RF",OFFSET(Pinlist!$D$1,Chart!BC900,0)&amp;"_"&amp;OFFSET(Pinlist!$G$1,Chart!BC900,0),"")</f>
        <v/>
      </c>
      <c r="BH900" s="1098"/>
      <c r="BI900" s="178"/>
      <c r="BJ900" s="178"/>
      <c r="BK900" s="178"/>
      <c r="BL900" s="178"/>
      <c r="BM900" s="178"/>
      <c r="BN900" s="178"/>
      <c r="BO900" s="178"/>
      <c r="BP900" s="178"/>
      <c r="BQ900" s="196"/>
      <c r="BR900" s="196"/>
      <c r="BS900" s="196"/>
      <c r="BT900" s="196"/>
      <c r="BU900" s="196"/>
      <c r="BV900" s="196"/>
      <c r="BW900" s="178"/>
      <c r="BX900" s="196"/>
      <c r="BY900" s="196"/>
      <c r="BZ900" s="196"/>
      <c r="CA900" s="196"/>
      <c r="CB900" s="178"/>
      <c r="CC900" s="178"/>
      <c r="CD900" s="202"/>
      <c r="CE900" s="202"/>
      <c r="CF900" s="178"/>
      <c r="CG900" s="196"/>
      <c r="CH900" s="178"/>
      <c r="CI900" s="178"/>
      <c r="CJ900" s="178"/>
      <c r="CK900" s="178"/>
      <c r="CL900" s="178"/>
      <c r="CM900" s="178"/>
      <c r="CN900" s="178"/>
      <c r="CO900" s="178"/>
      <c r="CP900" s="178"/>
      <c r="CQ900" s="178"/>
      <c r="CR900" s="178"/>
      <c r="CS900" s="178"/>
      <c r="CT900" s="178"/>
      <c r="CU900" s="178"/>
      <c r="CV900" s="178"/>
      <c r="CW900" s="178"/>
      <c r="CX900" s="178"/>
      <c r="CY900" s="178"/>
      <c r="CZ900" s="178"/>
      <c r="DA900" s="150"/>
    </row>
    <row r="901" spans="53:105" x14ac:dyDescent="0.2">
      <c r="BA901" s="518">
        <f t="shared" ca="1" si="55"/>
        <v>61</v>
      </c>
      <c r="BB901" s="174">
        <f t="shared" ca="1" si="56"/>
        <v>838</v>
      </c>
      <c r="BC901" s="525" t="e">
        <f ca="1">MATCH(BD901,OFFSET(Pinlist!$A$2,BC900*(BA901=BA900),0,$BM$23,1),0)+BC900*(BA901=BA900)</f>
        <v>#N/A</v>
      </c>
      <c r="BD901" s="167">
        <f t="shared" ca="1" si="57"/>
        <v>0</v>
      </c>
      <c r="BE901" s="191" t="e">
        <f ca="1">(OFFSET(Pinlist!$E$1,BC901,0)-$BN$16)*$BN$19</f>
        <v>#N/A</v>
      </c>
      <c r="BF901" s="192" t="e">
        <f ca="1">(OFFSET(Pinlist!$F$1,BC901,0)-$BO$16)*$BO$19</f>
        <v>#N/A</v>
      </c>
      <c r="BG901" s="1098" t="str">
        <f ca="1">IF(LEFT(BD901,2)="RF",OFFSET(Pinlist!$D$1,Chart!BC901,0)&amp;"_"&amp;OFFSET(Pinlist!$G$1,Chart!BC901,0),"")</f>
        <v/>
      </c>
      <c r="BH901" s="1098"/>
      <c r="BI901" s="178"/>
      <c r="BJ901" s="178"/>
      <c r="BK901" s="178"/>
      <c r="BL901" s="178"/>
      <c r="BM901" s="178"/>
      <c r="BN901" s="178"/>
      <c r="BO901" s="178"/>
      <c r="BP901" s="178"/>
      <c r="BQ901" s="196"/>
      <c r="BR901" s="196"/>
      <c r="BS901" s="196"/>
      <c r="BT901" s="196"/>
      <c r="BU901" s="196"/>
      <c r="BV901" s="196"/>
      <c r="BW901" s="178"/>
      <c r="BX901" s="196"/>
      <c r="BY901" s="196"/>
      <c r="BZ901" s="196"/>
      <c r="CA901" s="196"/>
      <c r="CB901" s="178"/>
      <c r="CC901" s="178"/>
      <c r="CD901" s="202"/>
      <c r="CE901" s="202"/>
      <c r="CF901" s="178"/>
      <c r="CG901" s="196"/>
      <c r="CH901" s="178"/>
      <c r="CI901" s="178"/>
      <c r="CJ901" s="178"/>
      <c r="CK901" s="178"/>
      <c r="CL901" s="178"/>
      <c r="CM901" s="178"/>
      <c r="CN901" s="178"/>
      <c r="CO901" s="178"/>
      <c r="CP901" s="178"/>
      <c r="CQ901" s="178"/>
      <c r="CR901" s="178"/>
      <c r="CS901" s="178"/>
      <c r="CT901" s="178"/>
      <c r="CU901" s="178"/>
      <c r="CV901" s="178"/>
      <c r="CW901" s="178"/>
      <c r="CX901" s="178"/>
      <c r="CY901" s="178"/>
      <c r="CZ901" s="178"/>
      <c r="DA901" s="150"/>
    </row>
    <row r="902" spans="53:105" x14ac:dyDescent="0.2">
      <c r="BA902" s="518">
        <f t="shared" ca="1" si="55"/>
        <v>61</v>
      </c>
      <c r="BB902" s="174">
        <f t="shared" ca="1" si="56"/>
        <v>839</v>
      </c>
      <c r="BC902" s="525" t="e">
        <f ca="1">MATCH(BD902,OFFSET(Pinlist!$A$2,BC901*(BA902=BA901),0,$BM$23,1),0)+BC901*(BA902=BA901)</f>
        <v>#N/A</v>
      </c>
      <c r="BD902" s="167">
        <f t="shared" ca="1" si="57"/>
        <v>0</v>
      </c>
      <c r="BE902" s="191" t="e">
        <f ca="1">(OFFSET(Pinlist!$E$1,BC902,0)-$BN$16)*$BN$19</f>
        <v>#N/A</v>
      </c>
      <c r="BF902" s="192" t="e">
        <f ca="1">(OFFSET(Pinlist!$F$1,BC902,0)-$BO$16)*$BO$19</f>
        <v>#N/A</v>
      </c>
      <c r="BG902" s="1098" t="str">
        <f ca="1">IF(LEFT(BD902,2)="RF",OFFSET(Pinlist!$D$1,Chart!BC902,0)&amp;"_"&amp;OFFSET(Pinlist!$G$1,Chart!BC902,0),"")</f>
        <v/>
      </c>
      <c r="BH902" s="1098"/>
      <c r="BI902" s="178"/>
      <c r="BJ902" s="178"/>
      <c r="BK902" s="178"/>
      <c r="BL902" s="178"/>
      <c r="BM902" s="178"/>
      <c r="BN902" s="178"/>
      <c r="BO902" s="178"/>
      <c r="BP902" s="178"/>
      <c r="BQ902" s="196"/>
      <c r="BR902" s="196"/>
      <c r="BS902" s="196"/>
      <c r="BT902" s="196"/>
      <c r="BU902" s="196"/>
      <c r="BV902" s="196"/>
      <c r="BW902" s="178"/>
      <c r="BX902" s="196"/>
      <c r="BY902" s="196"/>
      <c r="BZ902" s="196"/>
      <c r="CA902" s="196"/>
      <c r="CB902" s="178"/>
      <c r="CC902" s="178"/>
      <c r="CD902" s="202"/>
      <c r="CE902" s="202"/>
      <c r="CF902" s="178"/>
      <c r="CG902" s="196"/>
      <c r="CH902" s="178"/>
      <c r="CI902" s="178"/>
      <c r="CJ902" s="178"/>
      <c r="CK902" s="178"/>
      <c r="CL902" s="178"/>
      <c r="CM902" s="178"/>
      <c r="CN902" s="178"/>
      <c r="CO902" s="178"/>
      <c r="CP902" s="178"/>
      <c r="CQ902" s="178"/>
      <c r="CR902" s="178"/>
      <c r="CS902" s="178"/>
      <c r="CT902" s="178"/>
      <c r="CU902" s="178"/>
      <c r="CV902" s="178"/>
      <c r="CW902" s="178"/>
      <c r="CX902" s="178"/>
      <c r="CY902" s="178"/>
      <c r="CZ902" s="178"/>
      <c r="DA902" s="150"/>
    </row>
    <row r="903" spans="53:105" x14ac:dyDescent="0.2">
      <c r="BA903" s="518">
        <f t="shared" ca="1" si="55"/>
        <v>61</v>
      </c>
      <c r="BB903" s="174">
        <f t="shared" ca="1" si="56"/>
        <v>840</v>
      </c>
      <c r="BC903" s="525" t="e">
        <f ca="1">MATCH(BD903,OFFSET(Pinlist!$A$2,BC902*(BA903=BA902),0,$BM$23,1),0)+BC902*(BA903=BA902)</f>
        <v>#N/A</v>
      </c>
      <c r="BD903" s="167">
        <f t="shared" ca="1" si="57"/>
        <v>0</v>
      </c>
      <c r="BE903" s="191" t="e">
        <f ca="1">(OFFSET(Pinlist!$E$1,BC903,0)-$BN$16)*$BN$19</f>
        <v>#N/A</v>
      </c>
      <c r="BF903" s="192" t="e">
        <f ca="1">(OFFSET(Pinlist!$F$1,BC903,0)-$BO$16)*$BO$19</f>
        <v>#N/A</v>
      </c>
      <c r="BG903" s="1098" t="str">
        <f ca="1">IF(LEFT(BD903,2)="RF",OFFSET(Pinlist!$D$1,Chart!BC903,0)&amp;"_"&amp;OFFSET(Pinlist!$G$1,Chart!BC903,0),"")</f>
        <v/>
      </c>
      <c r="BH903" s="1098"/>
      <c r="BI903" s="178"/>
      <c r="BJ903" s="178"/>
      <c r="BK903" s="178"/>
      <c r="BL903" s="178"/>
      <c r="BM903" s="178"/>
      <c r="BN903" s="178"/>
      <c r="BO903" s="178"/>
      <c r="BP903" s="178"/>
      <c r="BQ903" s="196"/>
      <c r="BR903" s="196"/>
      <c r="BS903" s="196"/>
      <c r="BT903" s="196"/>
      <c r="BU903" s="196"/>
      <c r="BV903" s="196"/>
      <c r="BW903" s="178"/>
      <c r="BX903" s="196"/>
      <c r="BY903" s="196"/>
      <c r="BZ903" s="196"/>
      <c r="CA903" s="196"/>
      <c r="CB903" s="178"/>
      <c r="CC903" s="178"/>
      <c r="CD903" s="202"/>
      <c r="CE903" s="202"/>
      <c r="CF903" s="178"/>
      <c r="CG903" s="196"/>
      <c r="CH903" s="178"/>
      <c r="CI903" s="178"/>
      <c r="CJ903" s="178"/>
      <c r="CK903" s="178"/>
      <c r="CL903" s="178"/>
      <c r="CM903" s="178"/>
      <c r="CN903" s="178"/>
      <c r="CO903" s="178"/>
      <c r="CP903" s="178"/>
      <c r="CQ903" s="178"/>
      <c r="CR903" s="178"/>
      <c r="CS903" s="178"/>
      <c r="CT903" s="178"/>
      <c r="CU903" s="178"/>
      <c r="CV903" s="178"/>
      <c r="CW903" s="178"/>
      <c r="CX903" s="178"/>
      <c r="CY903" s="178"/>
      <c r="CZ903" s="178"/>
      <c r="DA903" s="150"/>
    </row>
    <row r="904" spans="53:105" x14ac:dyDescent="0.2">
      <c r="BA904" s="518">
        <f t="shared" ca="1" si="55"/>
        <v>61</v>
      </c>
      <c r="BB904" s="174">
        <f t="shared" ca="1" si="56"/>
        <v>841</v>
      </c>
      <c r="BC904" s="525" t="e">
        <f ca="1">MATCH(BD904,OFFSET(Pinlist!$A$2,BC903*(BA904=BA903),0,$BM$23,1),0)+BC903*(BA904=BA903)</f>
        <v>#N/A</v>
      </c>
      <c r="BD904" s="167">
        <f t="shared" ca="1" si="57"/>
        <v>0</v>
      </c>
      <c r="BE904" s="191" t="e">
        <f ca="1">(OFFSET(Pinlist!$E$1,BC904,0)-$BN$16)*$BN$19</f>
        <v>#N/A</v>
      </c>
      <c r="BF904" s="192" t="e">
        <f ca="1">(OFFSET(Pinlist!$F$1,BC904,0)-$BO$16)*$BO$19</f>
        <v>#N/A</v>
      </c>
      <c r="BG904" s="1098" t="str">
        <f ca="1">IF(LEFT(BD904,2)="RF",OFFSET(Pinlist!$D$1,Chart!BC904,0)&amp;"_"&amp;OFFSET(Pinlist!$G$1,Chart!BC904,0),"")</f>
        <v/>
      </c>
      <c r="BH904" s="1098"/>
      <c r="BI904" s="178"/>
      <c r="BJ904" s="178"/>
      <c r="BK904" s="178"/>
      <c r="BL904" s="178"/>
      <c r="BM904" s="178"/>
      <c r="BN904" s="178"/>
      <c r="BO904" s="178"/>
      <c r="BP904" s="178"/>
      <c r="BQ904" s="196"/>
      <c r="BR904" s="196"/>
      <c r="BS904" s="196"/>
      <c r="BT904" s="196"/>
      <c r="BU904" s="196"/>
      <c r="BV904" s="196"/>
      <c r="BW904" s="178"/>
      <c r="BX904" s="196"/>
      <c r="BY904" s="196"/>
      <c r="BZ904" s="196"/>
      <c r="CA904" s="196"/>
      <c r="CB904" s="178"/>
      <c r="CC904" s="178"/>
      <c r="CD904" s="202"/>
      <c r="CE904" s="202"/>
      <c r="CF904" s="178"/>
      <c r="CG904" s="196"/>
      <c r="CH904" s="178"/>
      <c r="CI904" s="178"/>
      <c r="CJ904" s="178"/>
      <c r="CK904" s="178"/>
      <c r="CL904" s="178"/>
      <c r="CM904" s="178"/>
      <c r="CN904" s="178"/>
      <c r="CO904" s="178"/>
      <c r="CP904" s="178"/>
      <c r="CQ904" s="178"/>
      <c r="CR904" s="178"/>
      <c r="CS904" s="178"/>
      <c r="CT904" s="178"/>
      <c r="CU904" s="178"/>
      <c r="CV904" s="178"/>
      <c r="CW904" s="178"/>
      <c r="CX904" s="178"/>
      <c r="CY904" s="178"/>
      <c r="CZ904" s="178"/>
      <c r="DA904" s="150"/>
    </row>
    <row r="905" spans="53:105" x14ac:dyDescent="0.2">
      <c r="BA905" s="518">
        <f t="shared" ca="1" si="55"/>
        <v>61</v>
      </c>
      <c r="BB905" s="174">
        <f t="shared" ca="1" si="56"/>
        <v>842</v>
      </c>
      <c r="BC905" s="525" t="e">
        <f ca="1">MATCH(BD905,OFFSET(Pinlist!$A$2,BC904*(BA905=BA904),0,$BM$23,1),0)+BC904*(BA905=BA904)</f>
        <v>#N/A</v>
      </c>
      <c r="BD905" s="167">
        <f t="shared" ca="1" si="57"/>
        <v>0</v>
      </c>
      <c r="BE905" s="191" t="e">
        <f ca="1">(OFFSET(Pinlist!$E$1,BC905,0)-$BN$16)*$BN$19</f>
        <v>#N/A</v>
      </c>
      <c r="BF905" s="192" t="e">
        <f ca="1">(OFFSET(Pinlist!$F$1,BC905,0)-$BO$16)*$BO$19</f>
        <v>#N/A</v>
      </c>
      <c r="BG905" s="1098" t="str">
        <f ca="1">IF(LEFT(BD905,2)="RF",OFFSET(Pinlist!$D$1,Chart!BC905,0)&amp;"_"&amp;OFFSET(Pinlist!$G$1,Chart!BC905,0),"")</f>
        <v/>
      </c>
      <c r="BH905" s="1098"/>
      <c r="BI905" s="178"/>
      <c r="BJ905" s="178"/>
      <c r="BK905" s="178"/>
      <c r="BL905" s="178"/>
      <c r="BM905" s="178"/>
      <c r="BN905" s="178"/>
      <c r="BO905" s="178"/>
      <c r="BP905" s="178"/>
      <c r="BQ905" s="196"/>
      <c r="BR905" s="196"/>
      <c r="BS905" s="196"/>
      <c r="BT905" s="196"/>
      <c r="BU905" s="196"/>
      <c r="BV905" s="196"/>
      <c r="BW905" s="178"/>
      <c r="BX905" s="196"/>
      <c r="BY905" s="196"/>
      <c r="BZ905" s="196"/>
      <c r="CA905" s="196"/>
      <c r="CB905" s="178"/>
      <c r="CC905" s="178"/>
      <c r="CD905" s="202"/>
      <c r="CE905" s="202"/>
      <c r="CF905" s="178"/>
      <c r="CG905" s="196"/>
      <c r="CH905" s="178"/>
      <c r="CI905" s="178"/>
      <c r="CJ905" s="178"/>
      <c r="CK905" s="178"/>
      <c r="CL905" s="178"/>
      <c r="CM905" s="178"/>
      <c r="CN905" s="178"/>
      <c r="CO905" s="178"/>
      <c r="CP905" s="178"/>
      <c r="CQ905" s="178"/>
      <c r="CR905" s="178"/>
      <c r="CS905" s="178"/>
      <c r="CT905" s="178"/>
      <c r="CU905" s="178"/>
      <c r="CV905" s="178"/>
      <c r="CW905" s="178"/>
      <c r="CX905" s="178"/>
      <c r="CY905" s="178"/>
      <c r="CZ905" s="178"/>
      <c r="DA905" s="150"/>
    </row>
    <row r="906" spans="53:105" x14ac:dyDescent="0.2">
      <c r="BA906" s="518">
        <f t="shared" ca="1" si="55"/>
        <v>61</v>
      </c>
      <c r="BB906" s="174">
        <f t="shared" ca="1" si="56"/>
        <v>843</v>
      </c>
      <c r="BC906" s="525" t="e">
        <f ca="1">MATCH(BD906,OFFSET(Pinlist!$A$2,BC905*(BA906=BA905),0,$BM$23,1),0)+BC905*(BA906=BA905)</f>
        <v>#N/A</v>
      </c>
      <c r="BD906" s="167">
        <f t="shared" ca="1" si="57"/>
        <v>0</v>
      </c>
      <c r="BE906" s="191" t="e">
        <f ca="1">(OFFSET(Pinlist!$E$1,BC906,0)-$BN$16)*$BN$19</f>
        <v>#N/A</v>
      </c>
      <c r="BF906" s="192" t="e">
        <f ca="1">(OFFSET(Pinlist!$F$1,BC906,0)-$BO$16)*$BO$19</f>
        <v>#N/A</v>
      </c>
      <c r="BG906" s="1098" t="str">
        <f ca="1">IF(LEFT(BD906,2)="RF",OFFSET(Pinlist!$D$1,Chart!BC906,0)&amp;"_"&amp;OFFSET(Pinlist!$G$1,Chart!BC906,0),"")</f>
        <v/>
      </c>
      <c r="BH906" s="1098"/>
      <c r="BI906" s="178"/>
      <c r="BJ906" s="178"/>
      <c r="BK906" s="178"/>
      <c r="BL906" s="178"/>
      <c r="BM906" s="178"/>
      <c r="BN906" s="178"/>
      <c r="BO906" s="178"/>
      <c r="BP906" s="178"/>
      <c r="BQ906" s="196"/>
      <c r="BR906" s="196"/>
      <c r="BS906" s="196"/>
      <c r="BT906" s="196"/>
      <c r="BU906" s="196"/>
      <c r="BV906" s="196"/>
      <c r="BW906" s="178"/>
      <c r="BX906" s="196"/>
      <c r="BY906" s="196"/>
      <c r="BZ906" s="196"/>
      <c r="CA906" s="196"/>
      <c r="CB906" s="178"/>
      <c r="CC906" s="178"/>
      <c r="CD906" s="202"/>
      <c r="CE906" s="202"/>
      <c r="CF906" s="178"/>
      <c r="CG906" s="196"/>
      <c r="CH906" s="178"/>
      <c r="CI906" s="178"/>
      <c r="CJ906" s="178"/>
      <c r="CK906" s="178"/>
      <c r="CL906" s="178"/>
      <c r="CM906" s="178"/>
      <c r="CN906" s="178"/>
      <c r="CO906" s="178"/>
      <c r="CP906" s="178"/>
      <c r="CQ906" s="178"/>
      <c r="CR906" s="178"/>
      <c r="CS906" s="178"/>
      <c r="CT906" s="178"/>
      <c r="CU906" s="178"/>
      <c r="CV906" s="178"/>
      <c r="CW906" s="178"/>
      <c r="CX906" s="178"/>
      <c r="CY906" s="178"/>
      <c r="CZ906" s="178"/>
      <c r="DA906" s="150"/>
    </row>
    <row r="907" spans="53:105" x14ac:dyDescent="0.2">
      <c r="BA907" s="518">
        <f t="shared" ca="1" si="55"/>
        <v>61</v>
      </c>
      <c r="BB907" s="174">
        <f t="shared" ca="1" si="56"/>
        <v>844</v>
      </c>
      <c r="BC907" s="525" t="e">
        <f ca="1">MATCH(BD907,OFFSET(Pinlist!$A$2,BC906*(BA907=BA906),0,$BM$23,1),0)+BC906*(BA907=BA906)</f>
        <v>#N/A</v>
      </c>
      <c r="BD907" s="167">
        <f t="shared" ca="1" si="57"/>
        <v>0</v>
      </c>
      <c r="BE907" s="191" t="e">
        <f ca="1">(OFFSET(Pinlist!$E$1,BC907,0)-$BN$16)*$BN$19</f>
        <v>#N/A</v>
      </c>
      <c r="BF907" s="192" t="e">
        <f ca="1">(OFFSET(Pinlist!$F$1,BC907,0)-$BO$16)*$BO$19</f>
        <v>#N/A</v>
      </c>
      <c r="BG907" s="1098" t="str">
        <f ca="1">IF(LEFT(BD907,2)="RF",OFFSET(Pinlist!$D$1,Chart!BC907,0)&amp;"_"&amp;OFFSET(Pinlist!$G$1,Chart!BC907,0),"")</f>
        <v/>
      </c>
      <c r="BH907" s="1098"/>
      <c r="BI907" s="178"/>
      <c r="BJ907" s="178"/>
      <c r="BK907" s="178"/>
      <c r="BL907" s="178"/>
      <c r="BM907" s="178"/>
      <c r="BN907" s="178"/>
      <c r="BO907" s="178"/>
      <c r="BP907" s="178"/>
      <c r="BQ907" s="196"/>
      <c r="BR907" s="196"/>
      <c r="BS907" s="196"/>
      <c r="BT907" s="196"/>
      <c r="BU907" s="196"/>
      <c r="BV907" s="196"/>
      <c r="BW907" s="178"/>
      <c r="BX907" s="196"/>
      <c r="BY907" s="196"/>
      <c r="BZ907" s="196"/>
      <c r="CA907" s="196"/>
      <c r="CB907" s="178"/>
      <c r="CC907" s="178"/>
      <c r="CD907" s="202"/>
      <c r="CE907" s="202"/>
      <c r="CF907" s="178"/>
      <c r="CG907" s="196"/>
      <c r="CH907" s="178"/>
      <c r="CI907" s="178"/>
      <c r="CJ907" s="178"/>
      <c r="CK907" s="178"/>
      <c r="CL907" s="178"/>
      <c r="CM907" s="178"/>
      <c r="CN907" s="178"/>
      <c r="CO907" s="178"/>
      <c r="CP907" s="178"/>
      <c r="CQ907" s="178"/>
      <c r="CR907" s="178"/>
      <c r="CS907" s="178"/>
      <c r="CT907" s="178"/>
      <c r="CU907" s="178"/>
      <c r="CV907" s="178"/>
      <c r="CW907" s="178"/>
      <c r="CX907" s="178"/>
      <c r="CY907" s="178"/>
      <c r="CZ907" s="178"/>
      <c r="DA907" s="150"/>
    </row>
    <row r="908" spans="53:105" x14ac:dyDescent="0.2">
      <c r="BA908" s="518">
        <f t="shared" ca="1" si="55"/>
        <v>61</v>
      </c>
      <c r="BB908" s="174">
        <f t="shared" ca="1" si="56"/>
        <v>845</v>
      </c>
      <c r="BC908" s="525" t="e">
        <f ca="1">MATCH(BD908,OFFSET(Pinlist!$A$2,BC907*(BA908=BA907),0,$BM$23,1),0)+BC907*(BA908=BA907)</f>
        <v>#N/A</v>
      </c>
      <c r="BD908" s="167">
        <f t="shared" ca="1" si="57"/>
        <v>0</v>
      </c>
      <c r="BE908" s="191" t="e">
        <f ca="1">(OFFSET(Pinlist!$E$1,BC908,0)-$BN$16)*$BN$19</f>
        <v>#N/A</v>
      </c>
      <c r="BF908" s="192" t="e">
        <f ca="1">(OFFSET(Pinlist!$F$1,BC908,0)-$BO$16)*$BO$19</f>
        <v>#N/A</v>
      </c>
      <c r="BG908" s="1098" t="str">
        <f ca="1">IF(LEFT(BD908,2)="RF",OFFSET(Pinlist!$D$1,Chart!BC908,0)&amp;"_"&amp;OFFSET(Pinlist!$G$1,Chart!BC908,0),"")</f>
        <v/>
      </c>
      <c r="BH908" s="1098"/>
      <c r="BI908" s="178"/>
      <c r="BJ908" s="178"/>
      <c r="BK908" s="178"/>
      <c r="BL908" s="178"/>
      <c r="BM908" s="178"/>
      <c r="BN908" s="178"/>
      <c r="BO908" s="178"/>
      <c r="BP908" s="178"/>
      <c r="BQ908" s="196"/>
      <c r="BR908" s="196"/>
      <c r="BS908" s="196"/>
      <c r="BT908" s="196"/>
      <c r="BU908" s="196"/>
      <c r="BV908" s="196"/>
      <c r="BW908" s="178"/>
      <c r="BX908" s="196"/>
      <c r="BY908" s="196"/>
      <c r="BZ908" s="196"/>
      <c r="CA908" s="196"/>
      <c r="CB908" s="178"/>
      <c r="CC908" s="178"/>
      <c r="CD908" s="202"/>
      <c r="CE908" s="202"/>
      <c r="CF908" s="178"/>
      <c r="CG908" s="196"/>
      <c r="CH908" s="178"/>
      <c r="CI908" s="178"/>
      <c r="CJ908" s="178"/>
      <c r="CK908" s="178"/>
      <c r="CL908" s="178"/>
      <c r="CM908" s="178"/>
      <c r="CN908" s="178"/>
      <c r="CO908" s="178"/>
      <c r="CP908" s="178"/>
      <c r="CQ908" s="178"/>
      <c r="CR908" s="178"/>
      <c r="CS908" s="178"/>
      <c r="CT908" s="178"/>
      <c r="CU908" s="178"/>
      <c r="CV908" s="178"/>
      <c r="CW908" s="178"/>
      <c r="CX908" s="178"/>
      <c r="CY908" s="178"/>
      <c r="CZ908" s="178"/>
      <c r="DA908" s="150"/>
    </row>
    <row r="909" spans="53:105" x14ac:dyDescent="0.2">
      <c r="BA909" s="518">
        <f t="shared" ca="1" si="55"/>
        <v>61</v>
      </c>
      <c r="BB909" s="174">
        <f t="shared" ca="1" si="56"/>
        <v>846</v>
      </c>
      <c r="BC909" s="525" t="e">
        <f ca="1">MATCH(BD909,OFFSET(Pinlist!$A$2,BC908*(BA909=BA908),0,$BM$23,1),0)+BC908*(BA909=BA908)</f>
        <v>#N/A</v>
      </c>
      <c r="BD909" s="167">
        <f t="shared" ca="1" si="57"/>
        <v>0</v>
      </c>
      <c r="BE909" s="191" t="e">
        <f ca="1">(OFFSET(Pinlist!$E$1,BC909,0)-$BN$16)*$BN$19</f>
        <v>#N/A</v>
      </c>
      <c r="BF909" s="192" t="e">
        <f ca="1">(OFFSET(Pinlist!$F$1,BC909,0)-$BO$16)*$BO$19</f>
        <v>#N/A</v>
      </c>
      <c r="BG909" s="1098" t="str">
        <f ca="1">IF(LEFT(BD909,2)="RF",OFFSET(Pinlist!$D$1,Chart!BC909,0)&amp;"_"&amp;OFFSET(Pinlist!$G$1,Chart!BC909,0),"")</f>
        <v/>
      </c>
      <c r="BH909" s="1098"/>
      <c r="BI909" s="178"/>
      <c r="BJ909" s="178"/>
      <c r="BK909" s="178"/>
      <c r="BL909" s="178"/>
      <c r="BM909" s="178"/>
      <c r="BN909" s="178"/>
      <c r="BO909" s="178"/>
      <c r="BP909" s="178"/>
      <c r="BQ909" s="196"/>
      <c r="BR909" s="196"/>
      <c r="BS909" s="196"/>
      <c r="BT909" s="196"/>
      <c r="BU909" s="196"/>
      <c r="BV909" s="196"/>
      <c r="BW909" s="178"/>
      <c r="BX909" s="196"/>
      <c r="BY909" s="196"/>
      <c r="BZ909" s="196"/>
      <c r="CA909" s="196"/>
      <c r="CB909" s="178"/>
      <c r="CC909" s="178"/>
      <c r="CD909" s="202"/>
      <c r="CE909" s="202"/>
      <c r="CF909" s="178"/>
      <c r="CG909" s="196"/>
      <c r="CH909" s="178"/>
      <c r="CI909" s="178"/>
      <c r="CJ909" s="178"/>
      <c r="CK909" s="178"/>
      <c r="CL909" s="178"/>
      <c r="CM909" s="178"/>
      <c r="CN909" s="178"/>
      <c r="CO909" s="178"/>
      <c r="CP909" s="178"/>
      <c r="CQ909" s="178"/>
      <c r="CR909" s="178"/>
      <c r="CS909" s="178"/>
      <c r="CT909" s="178"/>
      <c r="CU909" s="178"/>
      <c r="CV909" s="178"/>
      <c r="CW909" s="178"/>
      <c r="CX909" s="178"/>
      <c r="CY909" s="178"/>
      <c r="CZ909" s="178"/>
      <c r="DA909" s="150"/>
    </row>
    <row r="910" spans="53:105" x14ac:dyDescent="0.2">
      <c r="BA910" s="518">
        <f t="shared" ca="1" si="55"/>
        <v>61</v>
      </c>
      <c r="BB910" s="174">
        <f t="shared" ca="1" si="56"/>
        <v>847</v>
      </c>
      <c r="BC910" s="525" t="e">
        <f ca="1">MATCH(BD910,OFFSET(Pinlist!$A$2,BC909*(BA910=BA909),0,$BM$23,1),0)+BC909*(BA910=BA909)</f>
        <v>#N/A</v>
      </c>
      <c r="BD910" s="167">
        <f t="shared" ca="1" si="57"/>
        <v>0</v>
      </c>
      <c r="BE910" s="191" t="e">
        <f ca="1">(OFFSET(Pinlist!$E$1,BC910,0)-$BN$16)*$BN$19</f>
        <v>#N/A</v>
      </c>
      <c r="BF910" s="192" t="e">
        <f ca="1">(OFFSET(Pinlist!$F$1,BC910,0)-$BO$16)*$BO$19</f>
        <v>#N/A</v>
      </c>
      <c r="BG910" s="1098" t="str">
        <f ca="1">IF(LEFT(BD910,2)="RF",OFFSET(Pinlist!$D$1,Chart!BC910,0)&amp;"_"&amp;OFFSET(Pinlist!$G$1,Chart!BC910,0),"")</f>
        <v/>
      </c>
      <c r="BH910" s="1098"/>
      <c r="BI910" s="178"/>
      <c r="BJ910" s="178"/>
      <c r="BK910" s="178"/>
      <c r="BL910" s="178"/>
      <c r="BM910" s="178"/>
      <c r="BN910" s="178"/>
      <c r="BO910" s="178"/>
      <c r="BP910" s="178"/>
      <c r="BQ910" s="196"/>
      <c r="BR910" s="196"/>
      <c r="BS910" s="196"/>
      <c r="BT910" s="196"/>
      <c r="BU910" s="196"/>
      <c r="BV910" s="196"/>
      <c r="BW910" s="178"/>
      <c r="BX910" s="196"/>
      <c r="BY910" s="196"/>
      <c r="BZ910" s="196"/>
      <c r="CA910" s="196"/>
      <c r="CB910" s="178"/>
      <c r="CC910" s="178"/>
      <c r="CD910" s="202"/>
      <c r="CE910" s="202"/>
      <c r="CF910" s="178"/>
      <c r="CG910" s="196"/>
      <c r="CH910" s="178"/>
      <c r="CI910" s="178"/>
      <c r="CJ910" s="178"/>
      <c r="CK910" s="178"/>
      <c r="CL910" s="178"/>
      <c r="CM910" s="178"/>
      <c r="CN910" s="178"/>
      <c r="CO910" s="178"/>
      <c r="CP910" s="178"/>
      <c r="CQ910" s="178"/>
      <c r="CR910" s="178"/>
      <c r="CS910" s="178"/>
      <c r="CT910" s="178"/>
      <c r="CU910" s="178"/>
      <c r="CV910" s="178"/>
      <c r="CW910" s="178"/>
      <c r="CX910" s="178"/>
      <c r="CY910" s="178"/>
      <c r="CZ910" s="178"/>
      <c r="DA910" s="150"/>
    </row>
    <row r="911" spans="53:105" x14ac:dyDescent="0.2">
      <c r="BA911" s="518">
        <f t="shared" ca="1" si="55"/>
        <v>61</v>
      </c>
      <c r="BB911" s="174">
        <f t="shared" ca="1" si="56"/>
        <v>848</v>
      </c>
      <c r="BC911" s="525" t="e">
        <f ca="1">MATCH(BD911,OFFSET(Pinlist!$A$2,BC910*(BA911=BA910),0,$BM$23,1),0)+BC910*(BA911=BA910)</f>
        <v>#N/A</v>
      </c>
      <c r="BD911" s="167">
        <f t="shared" ca="1" si="57"/>
        <v>0</v>
      </c>
      <c r="BE911" s="191" t="e">
        <f ca="1">(OFFSET(Pinlist!$E$1,BC911,0)-$BN$16)*$BN$19</f>
        <v>#N/A</v>
      </c>
      <c r="BF911" s="192" t="e">
        <f ca="1">(OFFSET(Pinlist!$F$1,BC911,0)-$BO$16)*$BO$19</f>
        <v>#N/A</v>
      </c>
      <c r="BG911" s="1098" t="str">
        <f ca="1">IF(LEFT(BD911,2)="RF",OFFSET(Pinlist!$D$1,Chart!BC911,0)&amp;"_"&amp;OFFSET(Pinlist!$G$1,Chart!BC911,0),"")</f>
        <v/>
      </c>
      <c r="BH911" s="1098"/>
      <c r="BI911" s="178"/>
      <c r="BJ911" s="178"/>
      <c r="BK911" s="178"/>
      <c r="BL911" s="178"/>
      <c r="BM911" s="178"/>
      <c r="BN911" s="178"/>
      <c r="BO911" s="178"/>
      <c r="BP911" s="178"/>
      <c r="BQ911" s="196"/>
      <c r="BR911" s="196"/>
      <c r="BS911" s="196"/>
      <c r="BT911" s="196"/>
      <c r="BU911" s="196"/>
      <c r="BV911" s="196"/>
      <c r="BW911" s="178"/>
      <c r="BX911" s="196"/>
      <c r="BY911" s="196"/>
      <c r="BZ911" s="196"/>
      <c r="CA911" s="196"/>
      <c r="CB911" s="178"/>
      <c r="CC911" s="178"/>
      <c r="CD911" s="202"/>
      <c r="CE911" s="202"/>
      <c r="CF911" s="178"/>
      <c r="CG911" s="196"/>
      <c r="CH911" s="178"/>
      <c r="CI911" s="178"/>
      <c r="CJ911" s="178"/>
      <c r="CK911" s="178"/>
      <c r="CL911" s="178"/>
      <c r="CM911" s="178"/>
      <c r="CN911" s="178"/>
      <c r="CO911" s="178"/>
      <c r="CP911" s="178"/>
      <c r="CQ911" s="178"/>
      <c r="CR911" s="178"/>
      <c r="CS911" s="178"/>
      <c r="CT911" s="178"/>
      <c r="CU911" s="178"/>
      <c r="CV911" s="178"/>
      <c r="CW911" s="178"/>
      <c r="CX911" s="178"/>
      <c r="CY911" s="178"/>
      <c r="CZ911" s="178"/>
      <c r="DA911" s="150"/>
    </row>
    <row r="912" spans="53:105" x14ac:dyDescent="0.2">
      <c r="BA912" s="518">
        <f t="shared" ca="1" si="55"/>
        <v>61</v>
      </c>
      <c r="BB912" s="174">
        <f t="shared" ca="1" si="56"/>
        <v>849</v>
      </c>
      <c r="BC912" s="525" t="e">
        <f ca="1">MATCH(BD912,OFFSET(Pinlist!$A$2,BC911*(BA912=BA911),0,$BM$23,1),0)+BC911*(BA912=BA911)</f>
        <v>#N/A</v>
      </c>
      <c r="BD912" s="167">
        <f t="shared" ca="1" si="57"/>
        <v>0</v>
      </c>
      <c r="BE912" s="191" t="e">
        <f ca="1">(OFFSET(Pinlist!$E$1,BC912,0)-$BN$16)*$BN$19</f>
        <v>#N/A</v>
      </c>
      <c r="BF912" s="192" t="e">
        <f ca="1">(OFFSET(Pinlist!$F$1,BC912,0)-$BO$16)*$BO$19</f>
        <v>#N/A</v>
      </c>
      <c r="BG912" s="1098" t="str">
        <f ca="1">IF(LEFT(BD912,2)="RF",OFFSET(Pinlist!$D$1,Chart!BC912,0)&amp;"_"&amp;OFFSET(Pinlist!$G$1,Chart!BC912,0),"")</f>
        <v/>
      </c>
      <c r="BH912" s="1098"/>
      <c r="BI912" s="178"/>
      <c r="BJ912" s="178"/>
      <c r="BK912" s="178"/>
      <c r="BL912" s="178"/>
      <c r="BM912" s="178"/>
      <c r="BN912" s="178"/>
      <c r="BO912" s="178"/>
      <c r="BP912" s="178"/>
      <c r="BQ912" s="196"/>
      <c r="BR912" s="196"/>
      <c r="BS912" s="196"/>
      <c r="BT912" s="196"/>
      <c r="BU912" s="196"/>
      <c r="BV912" s="196"/>
      <c r="BW912" s="178"/>
      <c r="BX912" s="196"/>
      <c r="BY912" s="196"/>
      <c r="BZ912" s="196"/>
      <c r="CA912" s="196"/>
      <c r="CB912" s="178"/>
      <c r="CC912" s="178"/>
      <c r="CD912" s="202"/>
      <c r="CE912" s="202"/>
      <c r="CF912" s="178"/>
      <c r="CG912" s="196"/>
      <c r="CH912" s="178"/>
      <c r="CI912" s="178"/>
      <c r="CJ912" s="178"/>
      <c r="CK912" s="178"/>
      <c r="CL912" s="178"/>
      <c r="CM912" s="178"/>
      <c r="CN912" s="178"/>
      <c r="CO912" s="178"/>
      <c r="CP912" s="178"/>
      <c r="CQ912" s="178"/>
      <c r="CR912" s="178"/>
      <c r="CS912" s="178"/>
      <c r="CT912" s="178"/>
      <c r="CU912" s="178"/>
      <c r="CV912" s="178"/>
      <c r="CW912" s="178"/>
      <c r="CX912" s="178"/>
      <c r="CY912" s="178"/>
      <c r="CZ912" s="178"/>
      <c r="DA912" s="150"/>
    </row>
    <row r="913" spans="53:105" x14ac:dyDescent="0.2">
      <c r="BA913" s="518">
        <f t="shared" ca="1" si="55"/>
        <v>61</v>
      </c>
      <c r="BB913" s="174">
        <f t="shared" ca="1" si="56"/>
        <v>850</v>
      </c>
      <c r="BC913" s="525" t="e">
        <f ca="1">MATCH(BD913,OFFSET(Pinlist!$A$2,BC912*(BA913=BA912),0,$BM$23,1),0)+BC912*(BA913=BA912)</f>
        <v>#N/A</v>
      </c>
      <c r="BD913" s="167">
        <f t="shared" ca="1" si="57"/>
        <v>0</v>
      </c>
      <c r="BE913" s="191" t="e">
        <f ca="1">(OFFSET(Pinlist!$E$1,BC913,0)-$BN$16)*$BN$19</f>
        <v>#N/A</v>
      </c>
      <c r="BF913" s="192" t="e">
        <f ca="1">(OFFSET(Pinlist!$F$1,BC913,0)-$BO$16)*$BO$19</f>
        <v>#N/A</v>
      </c>
      <c r="BG913" s="1098" t="str">
        <f ca="1">IF(LEFT(BD913,2)="RF",OFFSET(Pinlist!$D$1,Chart!BC913,0)&amp;"_"&amp;OFFSET(Pinlist!$G$1,Chart!BC913,0),"")</f>
        <v/>
      </c>
      <c r="BH913" s="1098"/>
      <c r="BI913" s="178"/>
      <c r="BJ913" s="178"/>
      <c r="BK913" s="178"/>
      <c r="BL913" s="178"/>
      <c r="BM913" s="178"/>
      <c r="BN913" s="178"/>
      <c r="BO913" s="178"/>
      <c r="BP913" s="178"/>
      <c r="BQ913" s="196"/>
      <c r="BR913" s="196"/>
      <c r="BS913" s="196"/>
      <c r="BT913" s="196"/>
      <c r="BU913" s="196"/>
      <c r="BV913" s="196"/>
      <c r="BW913" s="178"/>
      <c r="BX913" s="196"/>
      <c r="BY913" s="196"/>
      <c r="BZ913" s="196"/>
      <c r="CA913" s="196"/>
      <c r="CB913" s="178"/>
      <c r="CC913" s="178"/>
      <c r="CD913" s="202"/>
      <c r="CE913" s="202"/>
      <c r="CF913" s="178"/>
      <c r="CG913" s="196"/>
      <c r="CH913" s="178"/>
      <c r="CI913" s="178"/>
      <c r="CJ913" s="178"/>
      <c r="CK913" s="178"/>
      <c r="CL913" s="178"/>
      <c r="CM913" s="178"/>
      <c r="CN913" s="178"/>
      <c r="CO913" s="178"/>
      <c r="CP913" s="178"/>
      <c r="CQ913" s="178"/>
      <c r="CR913" s="178"/>
      <c r="CS913" s="178"/>
      <c r="CT913" s="178"/>
      <c r="CU913" s="178"/>
      <c r="CV913" s="178"/>
      <c r="CW913" s="178"/>
      <c r="CX913" s="178"/>
      <c r="CY913" s="178"/>
      <c r="CZ913" s="178"/>
      <c r="DA913" s="150"/>
    </row>
    <row r="914" spans="53:105" x14ac:dyDescent="0.2">
      <c r="BA914" s="518">
        <f t="shared" ca="1" si="55"/>
        <v>61</v>
      </c>
      <c r="BB914" s="174">
        <f t="shared" ca="1" si="56"/>
        <v>851</v>
      </c>
      <c r="BC914" s="525" t="e">
        <f ca="1">MATCH(BD914,OFFSET(Pinlist!$A$2,BC913*(BA914=BA913),0,$BM$23,1),0)+BC913*(BA914=BA913)</f>
        <v>#N/A</v>
      </c>
      <c r="BD914" s="167">
        <f t="shared" ca="1" si="57"/>
        <v>0</v>
      </c>
      <c r="BE914" s="191" t="e">
        <f ca="1">(OFFSET(Pinlist!$E$1,BC914,0)-$BN$16)*$BN$19</f>
        <v>#N/A</v>
      </c>
      <c r="BF914" s="192" t="e">
        <f ca="1">(OFFSET(Pinlist!$F$1,BC914,0)-$BO$16)*$BO$19</f>
        <v>#N/A</v>
      </c>
      <c r="BG914" s="1098" t="str">
        <f ca="1">IF(LEFT(BD914,2)="RF",OFFSET(Pinlist!$D$1,Chart!BC914,0)&amp;"_"&amp;OFFSET(Pinlist!$G$1,Chart!BC914,0),"")</f>
        <v/>
      </c>
      <c r="BH914" s="1098"/>
      <c r="BI914" s="178"/>
      <c r="BJ914" s="178"/>
      <c r="BK914" s="178"/>
      <c r="BL914" s="178"/>
      <c r="BM914" s="178"/>
      <c r="BN914" s="178"/>
      <c r="BO914" s="178"/>
      <c r="BP914" s="178"/>
      <c r="BQ914" s="196"/>
      <c r="BR914" s="196"/>
      <c r="BS914" s="196"/>
      <c r="BT914" s="196"/>
      <c r="BU914" s="196"/>
      <c r="BV914" s="196"/>
      <c r="BW914" s="178"/>
      <c r="BX914" s="196"/>
      <c r="BY914" s="196"/>
      <c r="BZ914" s="196"/>
      <c r="CA914" s="196"/>
      <c r="CB914" s="178"/>
      <c r="CC914" s="178"/>
      <c r="CD914" s="202"/>
      <c r="CE914" s="202"/>
      <c r="CF914" s="178"/>
      <c r="CG914" s="196"/>
      <c r="CH914" s="178"/>
      <c r="CI914" s="178"/>
      <c r="CJ914" s="178"/>
      <c r="CK914" s="178"/>
      <c r="CL914" s="178"/>
      <c r="CM914" s="178"/>
      <c r="CN914" s="178"/>
      <c r="CO914" s="178"/>
      <c r="CP914" s="178"/>
      <c r="CQ914" s="178"/>
      <c r="CR914" s="178"/>
      <c r="CS914" s="178"/>
      <c r="CT914" s="178"/>
      <c r="CU914" s="178"/>
      <c r="CV914" s="178"/>
      <c r="CW914" s="178"/>
      <c r="CX914" s="178"/>
      <c r="CY914" s="178"/>
      <c r="CZ914" s="178"/>
      <c r="DA914" s="150"/>
    </row>
    <row r="915" spans="53:105" x14ac:dyDescent="0.2">
      <c r="BA915" s="518">
        <f t="shared" ca="1" si="55"/>
        <v>61</v>
      </c>
      <c r="BB915" s="174">
        <f t="shared" ca="1" si="56"/>
        <v>852</v>
      </c>
      <c r="BC915" s="525" t="e">
        <f ca="1">MATCH(BD915,OFFSET(Pinlist!$A$2,BC914*(BA915=BA914),0,$BM$23,1),0)+BC914*(BA915=BA914)</f>
        <v>#N/A</v>
      </c>
      <c r="BD915" s="167">
        <f t="shared" ca="1" si="57"/>
        <v>0</v>
      </c>
      <c r="BE915" s="191" t="e">
        <f ca="1">(OFFSET(Pinlist!$E$1,BC915,0)-$BN$16)*$BN$19</f>
        <v>#N/A</v>
      </c>
      <c r="BF915" s="192" t="e">
        <f ca="1">(OFFSET(Pinlist!$F$1,BC915,0)-$BO$16)*$BO$19</f>
        <v>#N/A</v>
      </c>
      <c r="BG915" s="1098" t="str">
        <f ca="1">IF(LEFT(BD915,2)="RF",OFFSET(Pinlist!$D$1,Chart!BC915,0)&amp;"_"&amp;OFFSET(Pinlist!$G$1,Chart!BC915,0),"")</f>
        <v/>
      </c>
      <c r="BH915" s="1098"/>
      <c r="BI915" s="178"/>
      <c r="BJ915" s="178"/>
      <c r="BK915" s="178"/>
      <c r="BL915" s="178"/>
      <c r="BM915" s="178"/>
      <c r="BN915" s="178"/>
      <c r="BO915" s="178"/>
      <c r="BP915" s="178"/>
      <c r="BQ915" s="196"/>
      <c r="BR915" s="196"/>
      <c r="BS915" s="196"/>
      <c r="BT915" s="196"/>
      <c r="BU915" s="196"/>
      <c r="BV915" s="196"/>
      <c r="BW915" s="178"/>
      <c r="BX915" s="196"/>
      <c r="BY915" s="196"/>
      <c r="BZ915" s="196"/>
      <c r="CA915" s="196"/>
      <c r="CB915" s="178"/>
      <c r="CC915" s="178"/>
      <c r="CD915" s="202"/>
      <c r="CE915" s="202"/>
      <c r="CF915" s="178"/>
      <c r="CG915" s="196"/>
      <c r="CH915" s="178"/>
      <c r="CI915" s="178"/>
      <c r="CJ915" s="178"/>
      <c r="CK915" s="178"/>
      <c r="CL915" s="178"/>
      <c r="CM915" s="178"/>
      <c r="CN915" s="178"/>
      <c r="CO915" s="178"/>
      <c r="CP915" s="178"/>
      <c r="CQ915" s="178"/>
      <c r="CR915" s="178"/>
      <c r="CS915" s="178"/>
      <c r="CT915" s="178"/>
      <c r="CU915" s="178"/>
      <c r="CV915" s="178"/>
      <c r="CW915" s="178"/>
      <c r="CX915" s="178"/>
      <c r="CY915" s="178"/>
      <c r="CZ915" s="178"/>
      <c r="DA915" s="150"/>
    </row>
    <row r="916" spans="53:105" x14ac:dyDescent="0.2">
      <c r="BA916" s="518">
        <f t="shared" ca="1" si="55"/>
        <v>61</v>
      </c>
      <c r="BB916" s="174">
        <f t="shared" ca="1" si="56"/>
        <v>853</v>
      </c>
      <c r="BC916" s="525" t="e">
        <f ca="1">MATCH(BD916,OFFSET(Pinlist!$A$2,BC915*(BA916=BA915),0,$BM$23,1),0)+BC915*(BA916=BA915)</f>
        <v>#N/A</v>
      </c>
      <c r="BD916" s="167">
        <f t="shared" ca="1" si="57"/>
        <v>0</v>
      </c>
      <c r="BE916" s="191" t="e">
        <f ca="1">(OFFSET(Pinlist!$E$1,BC916,0)-$BN$16)*$BN$19</f>
        <v>#N/A</v>
      </c>
      <c r="BF916" s="192" t="e">
        <f ca="1">(OFFSET(Pinlist!$F$1,BC916,0)-$BO$16)*$BO$19</f>
        <v>#N/A</v>
      </c>
      <c r="BG916" s="1098" t="str">
        <f ca="1">IF(LEFT(BD916,2)="RF",OFFSET(Pinlist!$D$1,Chart!BC916,0)&amp;"_"&amp;OFFSET(Pinlist!$G$1,Chart!BC916,0),"")</f>
        <v/>
      </c>
      <c r="BH916" s="1098"/>
      <c r="BI916" s="178"/>
      <c r="BJ916" s="178"/>
      <c r="BK916" s="178"/>
      <c r="BL916" s="178"/>
      <c r="BM916" s="178"/>
      <c r="BN916" s="178"/>
      <c r="BO916" s="178"/>
      <c r="BP916" s="178"/>
      <c r="BQ916" s="196"/>
      <c r="BR916" s="196"/>
      <c r="BS916" s="196"/>
      <c r="BT916" s="196"/>
      <c r="BU916" s="196"/>
      <c r="BV916" s="196"/>
      <c r="BW916" s="178"/>
      <c r="BX916" s="196"/>
      <c r="BY916" s="196"/>
      <c r="BZ916" s="196"/>
      <c r="CA916" s="196"/>
      <c r="CB916" s="178"/>
      <c r="CC916" s="178"/>
      <c r="CD916" s="202"/>
      <c r="CE916" s="202"/>
      <c r="CF916" s="178"/>
      <c r="CG916" s="196"/>
      <c r="CH916" s="178"/>
      <c r="CI916" s="178"/>
      <c r="CJ916" s="178"/>
      <c r="CK916" s="178"/>
      <c r="CL916" s="178"/>
      <c r="CM916" s="178"/>
      <c r="CN916" s="178"/>
      <c r="CO916" s="178"/>
      <c r="CP916" s="178"/>
      <c r="CQ916" s="178"/>
      <c r="CR916" s="178"/>
      <c r="CS916" s="178"/>
      <c r="CT916" s="178"/>
      <c r="CU916" s="178"/>
      <c r="CV916" s="178"/>
      <c r="CW916" s="178"/>
      <c r="CX916" s="178"/>
      <c r="CY916" s="178"/>
      <c r="CZ916" s="178"/>
      <c r="DA916" s="150"/>
    </row>
    <row r="917" spans="53:105" x14ac:dyDescent="0.2">
      <c r="BA917" s="518">
        <f t="shared" ca="1" si="55"/>
        <v>61</v>
      </c>
      <c r="BB917" s="174">
        <f t="shared" ca="1" si="56"/>
        <v>854</v>
      </c>
      <c r="BC917" s="525" t="e">
        <f ca="1">MATCH(BD917,OFFSET(Pinlist!$A$2,BC916*(BA917=BA916),0,$BM$23,1),0)+BC916*(BA917=BA916)</f>
        <v>#N/A</v>
      </c>
      <c r="BD917" s="167">
        <f t="shared" ca="1" si="57"/>
        <v>0</v>
      </c>
      <c r="BE917" s="191" t="e">
        <f ca="1">(OFFSET(Pinlist!$E$1,BC917,0)-$BN$16)*$BN$19</f>
        <v>#N/A</v>
      </c>
      <c r="BF917" s="192" t="e">
        <f ca="1">(OFFSET(Pinlist!$F$1,BC917,0)-$BO$16)*$BO$19</f>
        <v>#N/A</v>
      </c>
      <c r="BG917" s="1098" t="str">
        <f ca="1">IF(LEFT(BD917,2)="RF",OFFSET(Pinlist!$D$1,Chart!BC917,0)&amp;"_"&amp;OFFSET(Pinlist!$G$1,Chart!BC917,0),"")</f>
        <v/>
      </c>
      <c r="BH917" s="1098"/>
      <c r="BI917" s="178"/>
      <c r="BJ917" s="178"/>
      <c r="BK917" s="178"/>
      <c r="BL917" s="178"/>
      <c r="BM917" s="178"/>
      <c r="BN917" s="178"/>
      <c r="BO917" s="178"/>
      <c r="BP917" s="178"/>
      <c r="BQ917" s="196"/>
      <c r="BR917" s="196"/>
      <c r="BS917" s="196"/>
      <c r="BT917" s="196"/>
      <c r="BU917" s="196"/>
      <c r="BV917" s="196"/>
      <c r="BW917" s="178"/>
      <c r="BX917" s="196"/>
      <c r="BY917" s="196"/>
      <c r="BZ917" s="196"/>
      <c r="CA917" s="196"/>
      <c r="CB917" s="178"/>
      <c r="CC917" s="178"/>
      <c r="CD917" s="202"/>
      <c r="CE917" s="202"/>
      <c r="CF917" s="178"/>
      <c r="CG917" s="196"/>
      <c r="CH917" s="178"/>
      <c r="CI917" s="178"/>
      <c r="CJ917" s="178"/>
      <c r="CK917" s="178"/>
      <c r="CL917" s="178"/>
      <c r="CM917" s="178"/>
      <c r="CN917" s="178"/>
      <c r="CO917" s="178"/>
      <c r="CP917" s="178"/>
      <c r="CQ917" s="178"/>
      <c r="CR917" s="178"/>
      <c r="CS917" s="178"/>
      <c r="CT917" s="178"/>
      <c r="CU917" s="178"/>
      <c r="CV917" s="178"/>
      <c r="CW917" s="178"/>
      <c r="CX917" s="178"/>
      <c r="CY917" s="178"/>
      <c r="CZ917" s="178"/>
      <c r="DA917" s="150"/>
    </row>
    <row r="918" spans="53:105" x14ac:dyDescent="0.2">
      <c r="BA918" s="518">
        <f t="shared" ca="1" si="55"/>
        <v>61</v>
      </c>
      <c r="BB918" s="174">
        <f t="shared" ca="1" si="56"/>
        <v>855</v>
      </c>
      <c r="BC918" s="525" t="e">
        <f ca="1">MATCH(BD918,OFFSET(Pinlist!$A$2,BC917*(BA918=BA917),0,$BM$23,1),0)+BC917*(BA918=BA917)</f>
        <v>#N/A</v>
      </c>
      <c r="BD918" s="167">
        <f t="shared" ca="1" si="57"/>
        <v>0</v>
      </c>
      <c r="BE918" s="191" t="e">
        <f ca="1">(OFFSET(Pinlist!$E$1,BC918,0)-$BN$16)*$BN$19</f>
        <v>#N/A</v>
      </c>
      <c r="BF918" s="192" t="e">
        <f ca="1">(OFFSET(Pinlist!$F$1,BC918,0)-$BO$16)*$BO$19</f>
        <v>#N/A</v>
      </c>
      <c r="BG918" s="1098" t="str">
        <f ca="1">IF(LEFT(BD918,2)="RF",OFFSET(Pinlist!$D$1,Chart!BC918,0)&amp;"_"&amp;OFFSET(Pinlist!$G$1,Chart!BC918,0),"")</f>
        <v/>
      </c>
      <c r="BH918" s="1098"/>
      <c r="BI918" s="178"/>
      <c r="BJ918" s="178"/>
      <c r="BK918" s="178"/>
      <c r="BL918" s="178"/>
      <c r="BM918" s="178"/>
      <c r="BN918" s="178"/>
      <c r="BO918" s="178"/>
      <c r="BP918" s="178"/>
      <c r="BQ918" s="196"/>
      <c r="BR918" s="196"/>
      <c r="BS918" s="196"/>
      <c r="BT918" s="196"/>
      <c r="BU918" s="196"/>
      <c r="BV918" s="196"/>
      <c r="BW918" s="178"/>
      <c r="BX918" s="196"/>
      <c r="BY918" s="196"/>
      <c r="BZ918" s="196"/>
      <c r="CA918" s="196"/>
      <c r="CB918" s="178"/>
      <c r="CC918" s="178"/>
      <c r="CD918" s="202"/>
      <c r="CE918" s="202"/>
      <c r="CF918" s="178"/>
      <c r="CG918" s="196"/>
      <c r="CH918" s="178"/>
      <c r="CI918" s="178"/>
      <c r="CJ918" s="178"/>
      <c r="CK918" s="178"/>
      <c r="CL918" s="178"/>
      <c r="CM918" s="178"/>
      <c r="CN918" s="178"/>
      <c r="CO918" s="178"/>
      <c r="CP918" s="178"/>
      <c r="CQ918" s="178"/>
      <c r="CR918" s="178"/>
      <c r="CS918" s="178"/>
      <c r="CT918" s="178"/>
      <c r="CU918" s="178"/>
      <c r="CV918" s="178"/>
      <c r="CW918" s="178"/>
      <c r="CX918" s="178"/>
      <c r="CY918" s="178"/>
      <c r="CZ918" s="178"/>
      <c r="DA918" s="150"/>
    </row>
    <row r="919" spans="53:105" x14ac:dyDescent="0.2">
      <c r="BA919" s="518">
        <f t="shared" ca="1" si="55"/>
        <v>61</v>
      </c>
      <c r="BB919" s="174">
        <f t="shared" ca="1" si="56"/>
        <v>856</v>
      </c>
      <c r="BC919" s="525" t="e">
        <f ca="1">MATCH(BD919,OFFSET(Pinlist!$A$2,BC918*(BA919=BA918),0,$BM$23,1),0)+BC918*(BA919=BA918)</f>
        <v>#N/A</v>
      </c>
      <c r="BD919" s="167">
        <f t="shared" ca="1" si="57"/>
        <v>0</v>
      </c>
      <c r="BE919" s="191" t="e">
        <f ca="1">(OFFSET(Pinlist!$E$1,BC919,0)-$BN$16)*$BN$19</f>
        <v>#N/A</v>
      </c>
      <c r="BF919" s="192" t="e">
        <f ca="1">(OFFSET(Pinlist!$F$1,BC919,0)-$BO$16)*$BO$19</f>
        <v>#N/A</v>
      </c>
      <c r="BG919" s="1098" t="str">
        <f ca="1">IF(LEFT(BD919,2)="RF",OFFSET(Pinlist!$D$1,Chart!BC919,0)&amp;"_"&amp;OFFSET(Pinlist!$G$1,Chart!BC919,0),"")</f>
        <v/>
      </c>
      <c r="BH919" s="1098"/>
      <c r="BI919" s="178"/>
      <c r="BJ919" s="178"/>
      <c r="BK919" s="178"/>
      <c r="BL919" s="178"/>
      <c r="BM919" s="178"/>
      <c r="BN919" s="178"/>
      <c r="BO919" s="178"/>
      <c r="BP919" s="178"/>
      <c r="BQ919" s="196"/>
      <c r="BR919" s="196"/>
      <c r="BS919" s="196"/>
      <c r="BT919" s="196"/>
      <c r="BU919" s="196"/>
      <c r="BV919" s="196"/>
      <c r="BW919" s="178"/>
      <c r="BX919" s="196"/>
      <c r="BY919" s="196"/>
      <c r="BZ919" s="196"/>
      <c r="CA919" s="196"/>
      <c r="CB919" s="178"/>
      <c r="CC919" s="178"/>
      <c r="CD919" s="202"/>
      <c r="CE919" s="202"/>
      <c r="CF919" s="178"/>
      <c r="CG919" s="196"/>
      <c r="CH919" s="178"/>
      <c r="CI919" s="178"/>
      <c r="CJ919" s="178"/>
      <c r="CK919" s="178"/>
      <c r="CL919" s="178"/>
      <c r="CM919" s="178"/>
      <c r="CN919" s="178"/>
      <c r="CO919" s="178"/>
      <c r="CP919" s="178"/>
      <c r="CQ919" s="178"/>
      <c r="CR919" s="178"/>
      <c r="CS919" s="178"/>
      <c r="CT919" s="178"/>
      <c r="CU919" s="178"/>
      <c r="CV919" s="178"/>
      <c r="CW919" s="178"/>
      <c r="CX919" s="178"/>
      <c r="CY919" s="178"/>
      <c r="CZ919" s="178"/>
      <c r="DA919" s="150"/>
    </row>
    <row r="920" spans="53:105" x14ac:dyDescent="0.2">
      <c r="BA920" s="518">
        <f t="shared" ca="1" si="55"/>
        <v>61</v>
      </c>
      <c r="BB920" s="174">
        <f t="shared" ca="1" si="56"/>
        <v>857</v>
      </c>
      <c r="BC920" s="525" t="e">
        <f ca="1">MATCH(BD920,OFFSET(Pinlist!$A$2,BC919*(BA920=BA919),0,$BM$23,1),0)+BC919*(BA920=BA919)</f>
        <v>#N/A</v>
      </c>
      <c r="BD920" s="167">
        <f t="shared" ca="1" si="57"/>
        <v>0</v>
      </c>
      <c r="BE920" s="191" t="e">
        <f ca="1">(OFFSET(Pinlist!$E$1,BC920,0)-$BN$16)*$BN$19</f>
        <v>#N/A</v>
      </c>
      <c r="BF920" s="192" t="e">
        <f ca="1">(OFFSET(Pinlist!$F$1,BC920,0)-$BO$16)*$BO$19</f>
        <v>#N/A</v>
      </c>
      <c r="BG920" s="1098" t="str">
        <f ca="1">IF(LEFT(BD920,2)="RF",OFFSET(Pinlist!$D$1,Chart!BC920,0)&amp;"_"&amp;OFFSET(Pinlist!$G$1,Chart!BC920,0),"")</f>
        <v/>
      </c>
      <c r="BH920" s="1098"/>
      <c r="BI920" s="178"/>
      <c r="BJ920" s="178"/>
      <c r="BK920" s="178"/>
      <c r="BL920" s="178"/>
      <c r="BM920" s="178"/>
      <c r="BN920" s="178"/>
      <c r="BO920" s="178"/>
      <c r="BP920" s="178"/>
      <c r="BQ920" s="196"/>
      <c r="BR920" s="196"/>
      <c r="BS920" s="196"/>
      <c r="BT920" s="196"/>
      <c r="BU920" s="196"/>
      <c r="BV920" s="196"/>
      <c r="BW920" s="178"/>
      <c r="BX920" s="196"/>
      <c r="BY920" s="196"/>
      <c r="BZ920" s="196"/>
      <c r="CA920" s="196"/>
      <c r="CB920" s="178"/>
      <c r="CC920" s="178"/>
      <c r="CD920" s="202"/>
      <c r="CE920" s="202"/>
      <c r="CF920" s="178"/>
      <c r="CG920" s="196"/>
      <c r="CH920" s="178"/>
      <c r="CI920" s="178"/>
      <c r="CJ920" s="178"/>
      <c r="CK920" s="178"/>
      <c r="CL920" s="178"/>
      <c r="CM920" s="178"/>
      <c r="CN920" s="178"/>
      <c r="CO920" s="178"/>
      <c r="CP920" s="178"/>
      <c r="CQ920" s="178"/>
      <c r="CR920" s="178"/>
      <c r="CS920" s="178"/>
      <c r="CT920" s="178"/>
      <c r="CU920" s="178"/>
      <c r="CV920" s="178"/>
      <c r="CW920" s="178"/>
      <c r="CX920" s="178"/>
      <c r="CY920" s="178"/>
      <c r="CZ920" s="178"/>
      <c r="DA920" s="150"/>
    </row>
    <row r="921" spans="53:105" x14ac:dyDescent="0.2">
      <c r="BA921" s="518">
        <f t="shared" ca="1" si="55"/>
        <v>61</v>
      </c>
      <c r="BB921" s="174">
        <f t="shared" ca="1" si="56"/>
        <v>858</v>
      </c>
      <c r="BC921" s="525" t="e">
        <f ca="1">MATCH(BD921,OFFSET(Pinlist!$A$2,BC920*(BA921=BA920),0,$BM$23,1),0)+BC920*(BA921=BA920)</f>
        <v>#N/A</v>
      </c>
      <c r="BD921" s="167">
        <f t="shared" ca="1" si="57"/>
        <v>0</v>
      </c>
      <c r="BE921" s="191" t="e">
        <f ca="1">(OFFSET(Pinlist!$E$1,BC921,0)-$BN$16)*$BN$19</f>
        <v>#N/A</v>
      </c>
      <c r="BF921" s="192" t="e">
        <f ca="1">(OFFSET(Pinlist!$F$1,BC921,0)-$BO$16)*$BO$19</f>
        <v>#N/A</v>
      </c>
      <c r="BG921" s="1098" t="str">
        <f ca="1">IF(LEFT(BD921,2)="RF",OFFSET(Pinlist!$D$1,Chart!BC921,0)&amp;"_"&amp;OFFSET(Pinlist!$G$1,Chart!BC921,0),"")</f>
        <v/>
      </c>
      <c r="BH921" s="1098"/>
      <c r="BI921" s="178"/>
      <c r="BJ921" s="178"/>
      <c r="BK921" s="178"/>
      <c r="BL921" s="178"/>
      <c r="BM921" s="178"/>
      <c r="BN921" s="178"/>
      <c r="BO921" s="178"/>
      <c r="BP921" s="178"/>
      <c r="BQ921" s="196"/>
      <c r="BR921" s="196"/>
      <c r="BS921" s="196"/>
      <c r="BT921" s="196"/>
      <c r="BU921" s="196"/>
      <c r="BV921" s="196"/>
      <c r="BW921" s="178"/>
      <c r="BX921" s="196"/>
      <c r="BY921" s="196"/>
      <c r="BZ921" s="196"/>
      <c r="CA921" s="196"/>
      <c r="CB921" s="178"/>
      <c r="CC921" s="178"/>
      <c r="CD921" s="202"/>
      <c r="CE921" s="202"/>
      <c r="CF921" s="178"/>
      <c r="CG921" s="196"/>
      <c r="CH921" s="178"/>
      <c r="CI921" s="178"/>
      <c r="CJ921" s="178"/>
      <c r="CK921" s="178"/>
      <c r="CL921" s="178"/>
      <c r="CM921" s="178"/>
      <c r="CN921" s="178"/>
      <c r="CO921" s="178"/>
      <c r="CP921" s="178"/>
      <c r="CQ921" s="178"/>
      <c r="CR921" s="178"/>
      <c r="CS921" s="178"/>
      <c r="CT921" s="178"/>
      <c r="CU921" s="178"/>
      <c r="CV921" s="178"/>
      <c r="CW921" s="178"/>
      <c r="CX921" s="178"/>
      <c r="CY921" s="178"/>
      <c r="CZ921" s="178"/>
      <c r="DA921" s="150"/>
    </row>
    <row r="922" spans="53:105" x14ac:dyDescent="0.2">
      <c r="BA922" s="518">
        <f t="shared" ca="1" si="55"/>
        <v>61</v>
      </c>
      <c r="BB922" s="174">
        <f t="shared" ca="1" si="56"/>
        <v>859</v>
      </c>
      <c r="BC922" s="525" t="e">
        <f ca="1">MATCH(BD922,OFFSET(Pinlist!$A$2,BC921*(BA922=BA921),0,$BM$23,1),0)+BC921*(BA922=BA921)</f>
        <v>#N/A</v>
      </c>
      <c r="BD922" s="167">
        <f t="shared" ca="1" si="57"/>
        <v>0</v>
      </c>
      <c r="BE922" s="191" t="e">
        <f ca="1">(OFFSET(Pinlist!$E$1,BC922,0)-$BN$16)*$BN$19</f>
        <v>#N/A</v>
      </c>
      <c r="BF922" s="192" t="e">
        <f ca="1">(OFFSET(Pinlist!$F$1,BC922,0)-$BO$16)*$BO$19</f>
        <v>#N/A</v>
      </c>
      <c r="BG922" s="1098" t="str">
        <f ca="1">IF(LEFT(BD922,2)="RF",OFFSET(Pinlist!$D$1,Chart!BC922,0)&amp;"_"&amp;OFFSET(Pinlist!$G$1,Chart!BC922,0),"")</f>
        <v/>
      </c>
      <c r="BH922" s="1098"/>
      <c r="BI922" s="178"/>
      <c r="BJ922" s="178"/>
      <c r="BK922" s="178"/>
      <c r="BL922" s="178"/>
      <c r="BM922" s="178"/>
      <c r="BN922" s="178"/>
      <c r="BO922" s="178"/>
      <c r="BP922" s="178"/>
      <c r="BQ922" s="196"/>
      <c r="BR922" s="196"/>
      <c r="BS922" s="196"/>
      <c r="BT922" s="196"/>
      <c r="BU922" s="196"/>
      <c r="BV922" s="196"/>
      <c r="BW922" s="178"/>
      <c r="BX922" s="196"/>
      <c r="BY922" s="196"/>
      <c r="BZ922" s="196"/>
      <c r="CA922" s="196"/>
      <c r="CB922" s="178"/>
      <c r="CC922" s="178"/>
      <c r="CD922" s="202"/>
      <c r="CE922" s="202"/>
      <c r="CF922" s="178"/>
      <c r="CG922" s="196"/>
      <c r="CH922" s="178"/>
      <c r="CI922" s="178"/>
      <c r="CJ922" s="178"/>
      <c r="CK922" s="178"/>
      <c r="CL922" s="178"/>
      <c r="CM922" s="178"/>
      <c r="CN922" s="178"/>
      <c r="CO922" s="178"/>
      <c r="CP922" s="178"/>
      <c r="CQ922" s="178"/>
      <c r="CR922" s="178"/>
      <c r="CS922" s="178"/>
      <c r="CT922" s="178"/>
      <c r="CU922" s="178"/>
      <c r="CV922" s="178"/>
      <c r="CW922" s="178"/>
      <c r="CX922" s="178"/>
      <c r="CY922" s="178"/>
      <c r="CZ922" s="178"/>
      <c r="DA922" s="150"/>
    </row>
    <row r="923" spans="53:105" x14ac:dyDescent="0.2">
      <c r="BA923" s="518">
        <f t="shared" ca="1" si="55"/>
        <v>61</v>
      </c>
      <c r="BB923" s="174">
        <f t="shared" ca="1" si="56"/>
        <v>860</v>
      </c>
      <c r="BC923" s="525" t="e">
        <f ca="1">MATCH(BD923,OFFSET(Pinlist!$A$2,BC922*(BA923=BA922),0,$BM$23,1),0)+BC922*(BA923=BA922)</f>
        <v>#N/A</v>
      </c>
      <c r="BD923" s="167">
        <f t="shared" ca="1" si="57"/>
        <v>0</v>
      </c>
      <c r="BE923" s="191" t="e">
        <f ca="1">(OFFSET(Pinlist!$E$1,BC923,0)-$BN$16)*$BN$19</f>
        <v>#N/A</v>
      </c>
      <c r="BF923" s="192" t="e">
        <f ca="1">(OFFSET(Pinlist!$F$1,BC923,0)-$BO$16)*$BO$19</f>
        <v>#N/A</v>
      </c>
      <c r="BG923" s="1098" t="str">
        <f ca="1">IF(LEFT(BD923,2)="RF",OFFSET(Pinlist!$D$1,Chart!BC923,0)&amp;"_"&amp;OFFSET(Pinlist!$G$1,Chart!BC923,0),"")</f>
        <v/>
      </c>
      <c r="BH923" s="1098"/>
      <c r="BI923" s="178"/>
      <c r="BJ923" s="178"/>
      <c r="BK923" s="178"/>
      <c r="BL923" s="178"/>
      <c r="BM923" s="178"/>
      <c r="BN923" s="178"/>
      <c r="BO923" s="178"/>
      <c r="BP923" s="178"/>
      <c r="BQ923" s="196"/>
      <c r="BR923" s="196"/>
      <c r="BS923" s="196"/>
      <c r="BT923" s="196"/>
      <c r="BU923" s="196"/>
      <c r="BV923" s="196"/>
      <c r="BW923" s="178"/>
      <c r="BX923" s="196"/>
      <c r="BY923" s="196"/>
      <c r="BZ923" s="196"/>
      <c r="CA923" s="196"/>
      <c r="CB923" s="178"/>
      <c r="CC923" s="178"/>
      <c r="CD923" s="202"/>
      <c r="CE923" s="202"/>
      <c r="CF923" s="178"/>
      <c r="CG923" s="196"/>
      <c r="CH923" s="178"/>
      <c r="CI923" s="178"/>
      <c r="CJ923" s="178"/>
      <c r="CK923" s="178"/>
      <c r="CL923" s="178"/>
      <c r="CM923" s="178"/>
      <c r="CN923" s="178"/>
      <c r="CO923" s="178"/>
      <c r="CP923" s="178"/>
      <c r="CQ923" s="178"/>
      <c r="CR923" s="178"/>
      <c r="CS923" s="178"/>
      <c r="CT923" s="178"/>
      <c r="CU923" s="178"/>
      <c r="CV923" s="178"/>
      <c r="CW923" s="178"/>
      <c r="CX923" s="178"/>
      <c r="CY923" s="178"/>
      <c r="CZ923" s="178"/>
      <c r="DA923" s="150"/>
    </row>
    <row r="924" spans="53:105" x14ac:dyDescent="0.2">
      <c r="BA924" s="518">
        <f t="shared" ca="1" si="55"/>
        <v>61</v>
      </c>
      <c r="BB924" s="174">
        <f t="shared" ca="1" si="56"/>
        <v>861</v>
      </c>
      <c r="BC924" s="525" t="e">
        <f ca="1">MATCH(BD924,OFFSET(Pinlist!$A$2,BC923*(BA924=BA923),0,$BM$23,1),0)+BC923*(BA924=BA923)</f>
        <v>#N/A</v>
      </c>
      <c r="BD924" s="167">
        <f t="shared" ca="1" si="57"/>
        <v>0</v>
      </c>
      <c r="BE924" s="191" t="e">
        <f ca="1">(OFFSET(Pinlist!$E$1,BC924,0)-$BN$16)*$BN$19</f>
        <v>#N/A</v>
      </c>
      <c r="BF924" s="192" t="e">
        <f ca="1">(OFFSET(Pinlist!$F$1,BC924,0)-$BO$16)*$BO$19</f>
        <v>#N/A</v>
      </c>
      <c r="BG924" s="1098" t="str">
        <f ca="1">IF(LEFT(BD924,2)="RF",OFFSET(Pinlist!$D$1,Chart!BC924,0)&amp;"_"&amp;OFFSET(Pinlist!$G$1,Chart!BC924,0),"")</f>
        <v/>
      </c>
      <c r="BH924" s="1098"/>
      <c r="BI924" s="178"/>
      <c r="BJ924" s="178"/>
      <c r="BK924" s="178"/>
      <c r="BL924" s="178"/>
      <c r="BM924" s="178"/>
      <c r="BN924" s="178"/>
      <c r="BO924" s="178"/>
      <c r="BP924" s="178"/>
      <c r="BQ924" s="196"/>
      <c r="BR924" s="196"/>
      <c r="BS924" s="196"/>
      <c r="BT924" s="196"/>
      <c r="BU924" s="196"/>
      <c r="BV924" s="196"/>
      <c r="BW924" s="178"/>
      <c r="BX924" s="196"/>
      <c r="BY924" s="196"/>
      <c r="BZ924" s="196"/>
      <c r="CA924" s="196"/>
      <c r="CB924" s="178"/>
      <c r="CC924" s="178"/>
      <c r="CD924" s="202"/>
      <c r="CE924" s="202"/>
      <c r="CF924" s="178"/>
      <c r="CG924" s="196"/>
      <c r="CH924" s="178"/>
      <c r="CI924" s="178"/>
      <c r="CJ924" s="178"/>
      <c r="CK924" s="178"/>
      <c r="CL924" s="178"/>
      <c r="CM924" s="178"/>
      <c r="CN924" s="178"/>
      <c r="CO924" s="178"/>
      <c r="CP924" s="178"/>
      <c r="CQ924" s="178"/>
      <c r="CR924" s="178"/>
      <c r="CS924" s="178"/>
      <c r="CT924" s="178"/>
      <c r="CU924" s="178"/>
      <c r="CV924" s="178"/>
      <c r="CW924" s="178"/>
      <c r="CX924" s="178"/>
      <c r="CY924" s="178"/>
      <c r="CZ924" s="178"/>
      <c r="DA924" s="150"/>
    </row>
    <row r="925" spans="53:105" x14ac:dyDescent="0.2">
      <c r="BA925" s="518">
        <f t="shared" ca="1" si="55"/>
        <v>61</v>
      </c>
      <c r="BB925" s="174">
        <f t="shared" ca="1" si="56"/>
        <v>862</v>
      </c>
      <c r="BC925" s="525" t="e">
        <f ca="1">MATCH(BD925,OFFSET(Pinlist!$A$2,BC924*(BA925=BA924),0,$BM$23,1),0)+BC924*(BA925=BA924)</f>
        <v>#N/A</v>
      </c>
      <c r="BD925" s="167">
        <f t="shared" ca="1" si="57"/>
        <v>0</v>
      </c>
      <c r="BE925" s="191" t="e">
        <f ca="1">(OFFSET(Pinlist!$E$1,BC925,0)-$BN$16)*$BN$19</f>
        <v>#N/A</v>
      </c>
      <c r="BF925" s="192" t="e">
        <f ca="1">(OFFSET(Pinlist!$F$1,BC925,0)-$BO$16)*$BO$19</f>
        <v>#N/A</v>
      </c>
      <c r="BG925" s="1098" t="str">
        <f ca="1">IF(LEFT(BD925,2)="RF",OFFSET(Pinlist!$D$1,Chart!BC925,0)&amp;"_"&amp;OFFSET(Pinlist!$G$1,Chart!BC925,0),"")</f>
        <v/>
      </c>
      <c r="BH925" s="1098"/>
      <c r="BI925" s="178"/>
      <c r="BJ925" s="178"/>
      <c r="BK925" s="178"/>
      <c r="BL925" s="178"/>
      <c r="BM925" s="178"/>
      <c r="BN925" s="178"/>
      <c r="BO925" s="178"/>
      <c r="BP925" s="178"/>
      <c r="BQ925" s="196"/>
      <c r="BR925" s="196"/>
      <c r="BS925" s="196"/>
      <c r="BT925" s="196"/>
      <c r="BU925" s="196"/>
      <c r="BV925" s="196"/>
      <c r="BW925" s="178"/>
      <c r="BX925" s="196"/>
      <c r="BY925" s="196"/>
      <c r="BZ925" s="196"/>
      <c r="CA925" s="196"/>
      <c r="CB925" s="178"/>
      <c r="CC925" s="178"/>
      <c r="CD925" s="202"/>
      <c r="CE925" s="202"/>
      <c r="CF925" s="178"/>
      <c r="CG925" s="196"/>
      <c r="CH925" s="178"/>
      <c r="CI925" s="178"/>
      <c r="CJ925" s="178"/>
      <c r="CK925" s="178"/>
      <c r="CL925" s="178"/>
      <c r="CM925" s="178"/>
      <c r="CN925" s="178"/>
      <c r="CO925" s="178"/>
      <c r="CP925" s="178"/>
      <c r="CQ925" s="178"/>
      <c r="CR925" s="178"/>
      <c r="CS925" s="178"/>
      <c r="CT925" s="178"/>
      <c r="CU925" s="178"/>
      <c r="CV925" s="178"/>
      <c r="CW925" s="178"/>
      <c r="CX925" s="178"/>
      <c r="CY925" s="178"/>
      <c r="CZ925" s="178"/>
      <c r="DA925" s="150"/>
    </row>
    <row r="926" spans="53:105" x14ac:dyDescent="0.2">
      <c r="BA926" s="518">
        <f t="shared" ca="1" si="55"/>
        <v>61</v>
      </c>
      <c r="BB926" s="174">
        <f t="shared" ca="1" si="56"/>
        <v>863</v>
      </c>
      <c r="BC926" s="525" t="e">
        <f ca="1">MATCH(BD926,OFFSET(Pinlist!$A$2,BC925*(BA926=BA925),0,$BM$23,1),0)+BC925*(BA926=BA925)</f>
        <v>#N/A</v>
      </c>
      <c r="BD926" s="167">
        <f t="shared" ca="1" si="57"/>
        <v>0</v>
      </c>
      <c r="BE926" s="191" t="e">
        <f ca="1">(OFFSET(Pinlist!$E$1,BC926,0)-$BN$16)*$BN$19</f>
        <v>#N/A</v>
      </c>
      <c r="BF926" s="192" t="e">
        <f ca="1">(OFFSET(Pinlist!$F$1,BC926,0)-$BO$16)*$BO$19</f>
        <v>#N/A</v>
      </c>
      <c r="BG926" s="1098" t="str">
        <f ca="1">IF(LEFT(BD926,2)="RF",OFFSET(Pinlist!$D$1,Chart!BC926,0)&amp;"_"&amp;OFFSET(Pinlist!$G$1,Chart!BC926,0),"")</f>
        <v/>
      </c>
      <c r="BH926" s="1098"/>
      <c r="BI926" s="178"/>
      <c r="BJ926" s="178"/>
      <c r="BK926" s="178"/>
      <c r="BL926" s="178"/>
      <c r="BM926" s="178"/>
      <c r="BN926" s="178"/>
      <c r="BO926" s="178"/>
      <c r="BP926" s="178"/>
      <c r="BQ926" s="196"/>
      <c r="BR926" s="196"/>
      <c r="BS926" s="196"/>
      <c r="BT926" s="196"/>
      <c r="BU926" s="196"/>
      <c r="BV926" s="196"/>
      <c r="BW926" s="178"/>
      <c r="BX926" s="196"/>
      <c r="BY926" s="196"/>
      <c r="BZ926" s="196"/>
      <c r="CA926" s="196"/>
      <c r="CB926" s="178"/>
      <c r="CC926" s="178"/>
      <c r="CD926" s="202"/>
      <c r="CE926" s="202"/>
      <c r="CF926" s="178"/>
      <c r="CG926" s="196"/>
      <c r="CH926" s="178"/>
      <c r="CI926" s="178"/>
      <c r="CJ926" s="178"/>
      <c r="CK926" s="178"/>
      <c r="CL926" s="178"/>
      <c r="CM926" s="178"/>
      <c r="CN926" s="178"/>
      <c r="CO926" s="178"/>
      <c r="CP926" s="178"/>
      <c r="CQ926" s="178"/>
      <c r="CR926" s="178"/>
      <c r="CS926" s="178"/>
      <c r="CT926" s="178"/>
      <c r="CU926" s="178"/>
      <c r="CV926" s="178"/>
      <c r="CW926" s="178"/>
      <c r="CX926" s="178"/>
      <c r="CY926" s="178"/>
      <c r="CZ926" s="178"/>
      <c r="DA926" s="150"/>
    </row>
    <row r="927" spans="53:105" x14ac:dyDescent="0.2">
      <c r="BA927" s="518">
        <f t="shared" ca="1" si="55"/>
        <v>61</v>
      </c>
      <c r="BB927" s="174">
        <f t="shared" ca="1" si="56"/>
        <v>864</v>
      </c>
      <c r="BC927" s="525" t="e">
        <f ca="1">MATCH(BD927,OFFSET(Pinlist!$A$2,BC926*(BA927=BA926),0,$BM$23,1),0)+BC926*(BA927=BA926)</f>
        <v>#N/A</v>
      </c>
      <c r="BD927" s="167">
        <f t="shared" ca="1" si="57"/>
        <v>0</v>
      </c>
      <c r="BE927" s="191" t="e">
        <f ca="1">(OFFSET(Pinlist!$E$1,BC927,0)-$BN$16)*$BN$19</f>
        <v>#N/A</v>
      </c>
      <c r="BF927" s="192" t="e">
        <f ca="1">(OFFSET(Pinlist!$F$1,BC927,0)-$BO$16)*$BO$19</f>
        <v>#N/A</v>
      </c>
      <c r="BG927" s="1098" t="str">
        <f ca="1">IF(LEFT(BD927,2)="RF",OFFSET(Pinlist!$D$1,Chart!BC927,0)&amp;"_"&amp;OFFSET(Pinlist!$G$1,Chart!BC927,0),"")</f>
        <v/>
      </c>
      <c r="BH927" s="1098"/>
      <c r="BI927" s="178"/>
      <c r="BJ927" s="178"/>
      <c r="BK927" s="178"/>
      <c r="BL927" s="178"/>
      <c r="BM927" s="178"/>
      <c r="BN927" s="178"/>
      <c r="BO927" s="178"/>
      <c r="BP927" s="178"/>
      <c r="BQ927" s="196"/>
      <c r="BR927" s="196"/>
      <c r="BS927" s="196"/>
      <c r="BT927" s="196"/>
      <c r="BU927" s="196"/>
      <c r="BV927" s="196"/>
      <c r="BW927" s="178"/>
      <c r="BX927" s="196"/>
      <c r="BY927" s="196"/>
      <c r="BZ927" s="196"/>
      <c r="CA927" s="196"/>
      <c r="CB927" s="178"/>
      <c r="CC927" s="178"/>
      <c r="CD927" s="202"/>
      <c r="CE927" s="202"/>
      <c r="CF927" s="178"/>
      <c r="CG927" s="196"/>
      <c r="CH927" s="178"/>
      <c r="CI927" s="178"/>
      <c r="CJ927" s="178"/>
      <c r="CK927" s="178"/>
      <c r="CL927" s="178"/>
      <c r="CM927" s="178"/>
      <c r="CN927" s="178"/>
      <c r="CO927" s="178"/>
      <c r="CP927" s="178"/>
      <c r="CQ927" s="178"/>
      <c r="CR927" s="178"/>
      <c r="CS927" s="178"/>
      <c r="CT927" s="178"/>
      <c r="CU927" s="178"/>
      <c r="CV927" s="178"/>
      <c r="CW927" s="178"/>
      <c r="CX927" s="178"/>
      <c r="CY927" s="178"/>
      <c r="CZ927" s="178"/>
      <c r="DA927" s="150"/>
    </row>
    <row r="928" spans="53:105" x14ac:dyDescent="0.2">
      <c r="BA928" s="518">
        <f t="shared" ca="1" si="55"/>
        <v>61</v>
      </c>
      <c r="BB928" s="174">
        <f t="shared" ca="1" si="56"/>
        <v>865</v>
      </c>
      <c r="BC928" s="525" t="e">
        <f ca="1">MATCH(BD928,OFFSET(Pinlist!$A$2,BC927*(BA928=BA927),0,$BM$23,1),0)+BC927*(BA928=BA927)</f>
        <v>#N/A</v>
      </c>
      <c r="BD928" s="167">
        <f t="shared" ca="1" si="57"/>
        <v>0</v>
      </c>
      <c r="BE928" s="191" t="e">
        <f ca="1">(OFFSET(Pinlist!$E$1,BC928,0)-$BN$16)*$BN$19</f>
        <v>#N/A</v>
      </c>
      <c r="BF928" s="192" t="e">
        <f ca="1">(OFFSET(Pinlist!$F$1,BC928,0)-$BO$16)*$BO$19</f>
        <v>#N/A</v>
      </c>
      <c r="BG928" s="1098" t="str">
        <f ca="1">IF(LEFT(BD928,2)="RF",OFFSET(Pinlist!$D$1,Chart!BC928,0)&amp;"_"&amp;OFFSET(Pinlist!$G$1,Chart!BC928,0),"")</f>
        <v/>
      </c>
      <c r="BH928" s="1098"/>
      <c r="BI928" s="178"/>
      <c r="BJ928" s="178"/>
      <c r="BK928" s="178"/>
      <c r="BL928" s="178"/>
      <c r="BM928" s="178"/>
      <c r="BN928" s="178"/>
      <c r="BO928" s="178"/>
      <c r="BP928" s="178"/>
      <c r="BQ928" s="196"/>
      <c r="BR928" s="196"/>
      <c r="BS928" s="196"/>
      <c r="BT928" s="196"/>
      <c r="BU928" s="196"/>
      <c r="BV928" s="196"/>
      <c r="BW928" s="178"/>
      <c r="BX928" s="196"/>
      <c r="BY928" s="196"/>
      <c r="BZ928" s="196"/>
      <c r="CA928" s="196"/>
      <c r="CB928" s="178"/>
      <c r="CC928" s="178"/>
      <c r="CD928" s="202"/>
      <c r="CE928" s="202"/>
      <c r="CF928" s="178"/>
      <c r="CG928" s="196"/>
      <c r="CH928" s="178"/>
      <c r="CI928" s="178"/>
      <c r="CJ928" s="178"/>
      <c r="CK928" s="178"/>
      <c r="CL928" s="178"/>
      <c r="CM928" s="178"/>
      <c r="CN928" s="178"/>
      <c r="CO928" s="178"/>
      <c r="CP928" s="178"/>
      <c r="CQ928" s="178"/>
      <c r="CR928" s="178"/>
      <c r="CS928" s="178"/>
      <c r="CT928" s="178"/>
      <c r="CU928" s="178"/>
      <c r="CV928" s="178"/>
      <c r="CW928" s="178"/>
      <c r="CX928" s="178"/>
      <c r="CY928" s="178"/>
      <c r="CZ928" s="178"/>
      <c r="DA928" s="150"/>
    </row>
    <row r="929" spans="53:105" x14ac:dyDescent="0.2">
      <c r="BA929" s="518">
        <f t="shared" ca="1" si="55"/>
        <v>61</v>
      </c>
      <c r="BB929" s="174">
        <f t="shared" ca="1" si="56"/>
        <v>866</v>
      </c>
      <c r="BC929" s="525" t="e">
        <f ca="1">MATCH(BD929,OFFSET(Pinlist!$A$2,BC928*(BA929=BA928),0,$BM$23,1),0)+BC928*(BA929=BA928)</f>
        <v>#N/A</v>
      </c>
      <c r="BD929" s="167">
        <f t="shared" ca="1" si="57"/>
        <v>0</v>
      </c>
      <c r="BE929" s="191" t="e">
        <f ca="1">(OFFSET(Pinlist!$E$1,BC929,0)-$BN$16)*$BN$19</f>
        <v>#N/A</v>
      </c>
      <c r="BF929" s="192" t="e">
        <f ca="1">(OFFSET(Pinlist!$F$1,BC929,0)-$BO$16)*$BO$19</f>
        <v>#N/A</v>
      </c>
      <c r="BG929" s="1098" t="str">
        <f ca="1">IF(LEFT(BD929,2)="RF",OFFSET(Pinlist!$D$1,Chart!BC929,0)&amp;"_"&amp;OFFSET(Pinlist!$G$1,Chart!BC929,0),"")</f>
        <v/>
      </c>
      <c r="BH929" s="1098"/>
      <c r="BI929" s="178"/>
      <c r="BJ929" s="178"/>
      <c r="BK929" s="178"/>
      <c r="BL929" s="178"/>
      <c r="BM929" s="178"/>
      <c r="BN929" s="178"/>
      <c r="BO929" s="178"/>
      <c r="BP929" s="178"/>
      <c r="BQ929" s="196"/>
      <c r="BR929" s="196"/>
      <c r="BS929" s="196"/>
      <c r="BT929" s="196"/>
      <c r="BU929" s="196"/>
      <c r="BV929" s="196"/>
      <c r="BW929" s="178"/>
      <c r="BX929" s="196"/>
      <c r="BY929" s="196"/>
      <c r="BZ929" s="196"/>
      <c r="CA929" s="196"/>
      <c r="CB929" s="178"/>
      <c r="CC929" s="178"/>
      <c r="CD929" s="202"/>
      <c r="CE929" s="202"/>
      <c r="CF929" s="178"/>
      <c r="CG929" s="196"/>
      <c r="CH929" s="178"/>
      <c r="CI929" s="178"/>
      <c r="CJ929" s="178"/>
      <c r="CK929" s="178"/>
      <c r="CL929" s="178"/>
      <c r="CM929" s="178"/>
      <c r="CN929" s="178"/>
      <c r="CO929" s="178"/>
      <c r="CP929" s="178"/>
      <c r="CQ929" s="178"/>
      <c r="CR929" s="178"/>
      <c r="CS929" s="178"/>
      <c r="CT929" s="178"/>
      <c r="CU929" s="178"/>
      <c r="CV929" s="178"/>
      <c r="CW929" s="178"/>
      <c r="CX929" s="178"/>
      <c r="CY929" s="178"/>
      <c r="CZ929" s="178"/>
      <c r="DA929" s="150"/>
    </row>
    <row r="930" spans="53:105" x14ac:dyDescent="0.2">
      <c r="BA930" s="518">
        <f t="shared" ca="1" si="55"/>
        <v>61</v>
      </c>
      <c r="BB930" s="174">
        <f t="shared" ca="1" si="56"/>
        <v>867</v>
      </c>
      <c r="BC930" s="525" t="e">
        <f ca="1">MATCH(BD930,OFFSET(Pinlist!$A$2,BC929*(BA930=BA929),0,$BM$23,1),0)+BC929*(BA930=BA929)</f>
        <v>#N/A</v>
      </c>
      <c r="BD930" s="167">
        <f t="shared" ca="1" si="57"/>
        <v>0</v>
      </c>
      <c r="BE930" s="191" t="e">
        <f ca="1">(OFFSET(Pinlist!$E$1,BC930,0)-$BN$16)*$BN$19</f>
        <v>#N/A</v>
      </c>
      <c r="BF930" s="192" t="e">
        <f ca="1">(OFFSET(Pinlist!$F$1,BC930,0)-$BO$16)*$BO$19</f>
        <v>#N/A</v>
      </c>
      <c r="BG930" s="1098" t="str">
        <f ca="1">IF(LEFT(BD930,2)="RF",OFFSET(Pinlist!$D$1,Chart!BC930,0)&amp;"_"&amp;OFFSET(Pinlist!$G$1,Chart!BC930,0),"")</f>
        <v/>
      </c>
      <c r="BH930" s="1098"/>
      <c r="BI930" s="178"/>
      <c r="BJ930" s="178"/>
      <c r="BK930" s="178"/>
      <c r="BL930" s="178"/>
      <c r="BM930" s="178"/>
      <c r="BN930" s="178"/>
      <c r="BO930" s="178"/>
      <c r="BP930" s="178"/>
      <c r="BQ930" s="196"/>
      <c r="BR930" s="196"/>
      <c r="BS930" s="196"/>
      <c r="BT930" s="196"/>
      <c r="BU930" s="196"/>
      <c r="BV930" s="196"/>
      <c r="BW930" s="178"/>
      <c r="BX930" s="196"/>
      <c r="BY930" s="196"/>
      <c r="BZ930" s="196"/>
      <c r="CA930" s="196"/>
      <c r="CB930" s="178"/>
      <c r="CC930" s="178"/>
      <c r="CD930" s="202"/>
      <c r="CE930" s="202"/>
      <c r="CF930" s="178"/>
      <c r="CG930" s="196"/>
      <c r="CH930" s="178"/>
      <c r="CI930" s="178"/>
      <c r="CJ930" s="178"/>
      <c r="CK930" s="178"/>
      <c r="CL930" s="178"/>
      <c r="CM930" s="178"/>
      <c r="CN930" s="178"/>
      <c r="CO930" s="178"/>
      <c r="CP930" s="178"/>
      <c r="CQ930" s="178"/>
      <c r="CR930" s="178"/>
      <c r="CS930" s="178"/>
      <c r="CT930" s="178"/>
      <c r="CU930" s="178"/>
      <c r="CV930" s="178"/>
      <c r="CW930" s="178"/>
      <c r="CX930" s="178"/>
      <c r="CY930" s="178"/>
      <c r="CZ930" s="178"/>
      <c r="DA930" s="150"/>
    </row>
    <row r="931" spans="53:105" x14ac:dyDescent="0.2">
      <c r="BA931" s="518">
        <f t="shared" ca="1" si="55"/>
        <v>61</v>
      </c>
      <c r="BB931" s="174">
        <f t="shared" ca="1" si="56"/>
        <v>868</v>
      </c>
      <c r="BC931" s="525" t="e">
        <f ca="1">MATCH(BD931,OFFSET(Pinlist!$A$2,BC930*(BA931=BA930),0,$BM$23,1),0)+BC930*(BA931=BA930)</f>
        <v>#N/A</v>
      </c>
      <c r="BD931" s="167">
        <f t="shared" ca="1" si="57"/>
        <v>0</v>
      </c>
      <c r="BE931" s="191" t="e">
        <f ca="1">(OFFSET(Pinlist!$E$1,BC931,0)-$BN$16)*$BN$19</f>
        <v>#N/A</v>
      </c>
      <c r="BF931" s="192" t="e">
        <f ca="1">(OFFSET(Pinlist!$F$1,BC931,0)-$BO$16)*$BO$19</f>
        <v>#N/A</v>
      </c>
      <c r="BG931" s="1098" t="str">
        <f ca="1">IF(LEFT(BD931,2)="RF",OFFSET(Pinlist!$D$1,Chart!BC931,0)&amp;"_"&amp;OFFSET(Pinlist!$G$1,Chart!BC931,0),"")</f>
        <v/>
      </c>
      <c r="BH931" s="1098"/>
      <c r="BI931" s="178"/>
      <c r="BJ931" s="178"/>
      <c r="BK931" s="178"/>
      <c r="BL931" s="178"/>
      <c r="BM931" s="178"/>
      <c r="BN931" s="178"/>
      <c r="BO931" s="178"/>
      <c r="BP931" s="178"/>
      <c r="BQ931" s="196"/>
      <c r="BR931" s="196"/>
      <c r="BS931" s="196"/>
      <c r="BT931" s="196"/>
      <c r="BU931" s="196"/>
      <c r="BV931" s="196"/>
      <c r="BW931" s="178"/>
      <c r="BX931" s="196"/>
      <c r="BY931" s="196"/>
      <c r="BZ931" s="196"/>
      <c r="CA931" s="196"/>
      <c r="CB931" s="178"/>
      <c r="CC931" s="178"/>
      <c r="CD931" s="202"/>
      <c r="CE931" s="202"/>
      <c r="CF931" s="178"/>
      <c r="CG931" s="196"/>
      <c r="CH931" s="178"/>
      <c r="CI931" s="178"/>
      <c r="CJ931" s="178"/>
      <c r="CK931" s="178"/>
      <c r="CL931" s="178"/>
      <c r="CM931" s="178"/>
      <c r="CN931" s="178"/>
      <c r="CO931" s="178"/>
      <c r="CP931" s="178"/>
      <c r="CQ931" s="178"/>
      <c r="CR931" s="178"/>
      <c r="CS931" s="178"/>
      <c r="CT931" s="178"/>
      <c r="CU931" s="178"/>
      <c r="CV931" s="178"/>
      <c r="CW931" s="178"/>
      <c r="CX931" s="178"/>
      <c r="CY931" s="178"/>
      <c r="CZ931" s="178"/>
      <c r="DA931" s="150"/>
    </row>
    <row r="932" spans="53:105" x14ac:dyDescent="0.2">
      <c r="BA932" s="518">
        <f t="shared" ca="1" si="55"/>
        <v>61</v>
      </c>
      <c r="BB932" s="174">
        <f t="shared" ca="1" si="56"/>
        <v>869</v>
      </c>
      <c r="BC932" s="525" t="e">
        <f ca="1">MATCH(BD932,OFFSET(Pinlist!$A$2,BC931*(BA932=BA931),0,$BM$23,1),0)+BC931*(BA932=BA931)</f>
        <v>#N/A</v>
      </c>
      <c r="BD932" s="167">
        <f t="shared" ca="1" si="57"/>
        <v>0</v>
      </c>
      <c r="BE932" s="191" t="e">
        <f ca="1">(OFFSET(Pinlist!$E$1,BC932,0)-$BN$16)*$BN$19</f>
        <v>#N/A</v>
      </c>
      <c r="BF932" s="192" t="e">
        <f ca="1">(OFFSET(Pinlist!$F$1,BC932,0)-$BO$16)*$BO$19</f>
        <v>#N/A</v>
      </c>
      <c r="BG932" s="1098" t="str">
        <f ca="1">IF(LEFT(BD932,2)="RF",OFFSET(Pinlist!$D$1,Chart!BC932,0)&amp;"_"&amp;OFFSET(Pinlist!$G$1,Chart!BC932,0),"")</f>
        <v/>
      </c>
      <c r="BH932" s="1098"/>
      <c r="BI932" s="178"/>
      <c r="BJ932" s="178"/>
      <c r="BK932" s="178"/>
      <c r="BL932" s="178"/>
      <c r="BM932" s="178"/>
      <c r="BN932" s="178"/>
      <c r="BO932" s="178"/>
      <c r="BP932" s="178"/>
      <c r="BQ932" s="196"/>
      <c r="BR932" s="196"/>
      <c r="BS932" s="196"/>
      <c r="BT932" s="196"/>
      <c r="BU932" s="196"/>
      <c r="BV932" s="196"/>
      <c r="BW932" s="178"/>
      <c r="BX932" s="196"/>
      <c r="BY932" s="196"/>
      <c r="BZ932" s="196"/>
      <c r="CA932" s="196"/>
      <c r="CB932" s="178"/>
      <c r="CC932" s="178"/>
      <c r="CD932" s="202"/>
      <c r="CE932" s="202"/>
      <c r="CF932" s="178"/>
      <c r="CG932" s="196"/>
      <c r="CH932" s="178"/>
      <c r="CI932" s="178"/>
      <c r="CJ932" s="178"/>
      <c r="CK932" s="178"/>
      <c r="CL932" s="178"/>
      <c r="CM932" s="178"/>
      <c r="CN932" s="178"/>
      <c r="CO932" s="178"/>
      <c r="CP932" s="178"/>
      <c r="CQ932" s="178"/>
      <c r="CR932" s="178"/>
      <c r="CS932" s="178"/>
      <c r="CT932" s="178"/>
      <c r="CU932" s="178"/>
      <c r="CV932" s="178"/>
      <c r="CW932" s="178"/>
      <c r="CX932" s="178"/>
      <c r="CY932" s="178"/>
      <c r="CZ932" s="178"/>
      <c r="DA932" s="150"/>
    </row>
    <row r="933" spans="53:105" x14ac:dyDescent="0.2">
      <c r="BA933" s="518">
        <f t="shared" ca="1" si="55"/>
        <v>61</v>
      </c>
      <c r="BB933" s="174">
        <f t="shared" ca="1" si="56"/>
        <v>870</v>
      </c>
      <c r="BC933" s="525" t="e">
        <f ca="1">MATCH(BD933,OFFSET(Pinlist!$A$2,BC932*(BA933=BA932),0,$BM$23,1),0)+BC932*(BA933=BA932)</f>
        <v>#N/A</v>
      </c>
      <c r="BD933" s="167">
        <f t="shared" ca="1" si="57"/>
        <v>0</v>
      </c>
      <c r="BE933" s="191" t="e">
        <f ca="1">(OFFSET(Pinlist!$E$1,BC933,0)-$BN$16)*$BN$19</f>
        <v>#N/A</v>
      </c>
      <c r="BF933" s="192" t="e">
        <f ca="1">(OFFSET(Pinlist!$F$1,BC933,0)-$BO$16)*$BO$19</f>
        <v>#N/A</v>
      </c>
      <c r="BG933" s="1098" t="str">
        <f ca="1">IF(LEFT(BD933,2)="RF",OFFSET(Pinlist!$D$1,Chart!BC933,0)&amp;"_"&amp;OFFSET(Pinlist!$G$1,Chart!BC933,0),"")</f>
        <v/>
      </c>
      <c r="BH933" s="1098"/>
      <c r="BI933" s="178"/>
      <c r="BJ933" s="178"/>
      <c r="BK933" s="178"/>
      <c r="BL933" s="178"/>
      <c r="BM933" s="178"/>
      <c r="BN933" s="178"/>
      <c r="BO933" s="178"/>
      <c r="BP933" s="178"/>
      <c r="BQ933" s="196"/>
      <c r="BR933" s="196"/>
      <c r="BS933" s="196"/>
      <c r="BT933" s="196"/>
      <c r="BU933" s="196"/>
      <c r="BV933" s="196"/>
      <c r="BW933" s="178"/>
      <c r="BX933" s="196"/>
      <c r="BY933" s="196"/>
      <c r="BZ933" s="196"/>
      <c r="CA933" s="196"/>
      <c r="CB933" s="178"/>
      <c r="CC933" s="178"/>
      <c r="CD933" s="202"/>
      <c r="CE933" s="202"/>
      <c r="CF933" s="178"/>
      <c r="CG933" s="196"/>
      <c r="CH933" s="178"/>
      <c r="CI933" s="178"/>
      <c r="CJ933" s="178"/>
      <c r="CK933" s="178"/>
      <c r="CL933" s="178"/>
      <c r="CM933" s="178"/>
      <c r="CN933" s="178"/>
      <c r="CO933" s="178"/>
      <c r="CP933" s="178"/>
      <c r="CQ933" s="178"/>
      <c r="CR933" s="178"/>
      <c r="CS933" s="178"/>
      <c r="CT933" s="178"/>
      <c r="CU933" s="178"/>
      <c r="CV933" s="178"/>
      <c r="CW933" s="178"/>
      <c r="CX933" s="178"/>
      <c r="CY933" s="178"/>
      <c r="CZ933" s="178"/>
      <c r="DA933" s="150"/>
    </row>
    <row r="934" spans="53:105" x14ac:dyDescent="0.2">
      <c r="BA934" s="518">
        <f t="shared" ca="1" si="55"/>
        <v>61</v>
      </c>
      <c r="BB934" s="174">
        <f t="shared" ca="1" si="56"/>
        <v>871</v>
      </c>
      <c r="BC934" s="525" t="e">
        <f ca="1">MATCH(BD934,OFFSET(Pinlist!$A$2,BC933*(BA934=BA933),0,$BM$23,1),0)+BC933*(BA934=BA933)</f>
        <v>#N/A</v>
      </c>
      <c r="BD934" s="167">
        <f t="shared" ca="1" si="57"/>
        <v>0</v>
      </c>
      <c r="BE934" s="191" t="e">
        <f ca="1">(OFFSET(Pinlist!$E$1,BC934,0)-$BN$16)*$BN$19</f>
        <v>#N/A</v>
      </c>
      <c r="BF934" s="192" t="e">
        <f ca="1">(OFFSET(Pinlist!$F$1,BC934,0)-$BO$16)*$BO$19</f>
        <v>#N/A</v>
      </c>
      <c r="BG934" s="1098" t="str">
        <f ca="1">IF(LEFT(BD934,2)="RF",OFFSET(Pinlist!$D$1,Chart!BC934,0)&amp;"_"&amp;OFFSET(Pinlist!$G$1,Chart!BC934,0),"")</f>
        <v/>
      </c>
      <c r="BH934" s="1098"/>
      <c r="BI934" s="178"/>
      <c r="BJ934" s="178"/>
      <c r="BK934" s="178"/>
      <c r="BL934" s="178"/>
      <c r="BM934" s="178"/>
      <c r="BN934" s="178"/>
      <c r="BO934" s="178"/>
      <c r="BP934" s="178"/>
      <c r="BQ934" s="196"/>
      <c r="BR934" s="196"/>
      <c r="BS934" s="196"/>
      <c r="BT934" s="196"/>
      <c r="BU934" s="196"/>
      <c r="BV934" s="196"/>
      <c r="BW934" s="178"/>
      <c r="BX934" s="196"/>
      <c r="BY934" s="196"/>
      <c r="BZ934" s="196"/>
      <c r="CA934" s="196"/>
      <c r="CB934" s="178"/>
      <c r="CC934" s="178"/>
      <c r="CD934" s="202"/>
      <c r="CE934" s="202"/>
      <c r="CF934" s="178"/>
      <c r="CG934" s="196"/>
      <c r="CH934" s="178"/>
      <c r="CI934" s="178"/>
      <c r="CJ934" s="178"/>
      <c r="CK934" s="178"/>
      <c r="CL934" s="178"/>
      <c r="CM934" s="178"/>
      <c r="CN934" s="178"/>
      <c r="CO934" s="178"/>
      <c r="CP934" s="178"/>
      <c r="CQ934" s="178"/>
      <c r="CR934" s="178"/>
      <c r="CS934" s="178"/>
      <c r="CT934" s="178"/>
      <c r="CU934" s="178"/>
      <c r="CV934" s="178"/>
      <c r="CW934" s="178"/>
      <c r="CX934" s="178"/>
      <c r="CY934" s="178"/>
      <c r="CZ934" s="178"/>
      <c r="DA934" s="150"/>
    </row>
    <row r="935" spans="53:105" x14ac:dyDescent="0.2">
      <c r="BA935" s="518">
        <f t="shared" ca="1" si="55"/>
        <v>61</v>
      </c>
      <c r="BB935" s="174">
        <f t="shared" ca="1" si="56"/>
        <v>872</v>
      </c>
      <c r="BC935" s="525" t="e">
        <f ca="1">MATCH(BD935,OFFSET(Pinlist!$A$2,BC934*(BA935=BA934),0,$BM$23,1),0)+BC934*(BA935=BA934)</f>
        <v>#N/A</v>
      </c>
      <c r="BD935" s="167">
        <f t="shared" ca="1" si="57"/>
        <v>0</v>
      </c>
      <c r="BE935" s="191" t="e">
        <f ca="1">(OFFSET(Pinlist!$E$1,BC935,0)-$BN$16)*$BN$19</f>
        <v>#N/A</v>
      </c>
      <c r="BF935" s="192" t="e">
        <f ca="1">(OFFSET(Pinlist!$F$1,BC935,0)-$BO$16)*$BO$19</f>
        <v>#N/A</v>
      </c>
      <c r="BG935" s="1098" t="str">
        <f ca="1">IF(LEFT(BD935,2)="RF",OFFSET(Pinlist!$D$1,Chart!BC935,0)&amp;"_"&amp;OFFSET(Pinlist!$G$1,Chart!BC935,0),"")</f>
        <v/>
      </c>
      <c r="BH935" s="1098"/>
      <c r="BI935" s="178"/>
      <c r="BJ935" s="178"/>
      <c r="BK935" s="178"/>
      <c r="BL935" s="178"/>
      <c r="BM935" s="178"/>
      <c r="BN935" s="178"/>
      <c r="BO935" s="178"/>
      <c r="BP935" s="178"/>
      <c r="BQ935" s="196"/>
      <c r="BR935" s="196"/>
      <c r="BS935" s="196"/>
      <c r="BT935" s="196"/>
      <c r="BU935" s="196"/>
      <c r="BV935" s="196"/>
      <c r="BW935" s="178"/>
      <c r="BX935" s="196"/>
      <c r="BY935" s="196"/>
      <c r="BZ935" s="196"/>
      <c r="CA935" s="196"/>
      <c r="CB935" s="178"/>
      <c r="CC935" s="178"/>
      <c r="CD935" s="202"/>
      <c r="CE935" s="202"/>
      <c r="CF935" s="178"/>
      <c r="CG935" s="196"/>
      <c r="CH935" s="178"/>
      <c r="CI935" s="178"/>
      <c r="CJ935" s="178"/>
      <c r="CK935" s="178"/>
      <c r="CL935" s="178"/>
      <c r="CM935" s="178"/>
      <c r="CN935" s="178"/>
      <c r="CO935" s="178"/>
      <c r="CP935" s="178"/>
      <c r="CQ935" s="178"/>
      <c r="CR935" s="178"/>
      <c r="CS935" s="178"/>
      <c r="CT935" s="178"/>
      <c r="CU935" s="178"/>
      <c r="CV935" s="178"/>
      <c r="CW935" s="178"/>
      <c r="CX935" s="178"/>
      <c r="CY935" s="178"/>
      <c r="CZ935" s="178"/>
      <c r="DA935" s="150"/>
    </row>
    <row r="936" spans="53:105" x14ac:dyDescent="0.2">
      <c r="BA936" s="518">
        <f t="shared" ca="1" si="55"/>
        <v>61</v>
      </c>
      <c r="BB936" s="174">
        <f t="shared" ca="1" si="56"/>
        <v>873</v>
      </c>
      <c r="BC936" s="525" t="e">
        <f ca="1">MATCH(BD936,OFFSET(Pinlist!$A$2,BC935*(BA936=BA935),0,$BM$23,1),0)+BC935*(BA936=BA935)</f>
        <v>#N/A</v>
      </c>
      <c r="BD936" s="167">
        <f t="shared" ca="1" si="57"/>
        <v>0</v>
      </c>
      <c r="BE936" s="191" t="e">
        <f ca="1">(OFFSET(Pinlist!$E$1,BC936,0)-$BN$16)*$BN$19</f>
        <v>#N/A</v>
      </c>
      <c r="BF936" s="192" t="e">
        <f ca="1">(OFFSET(Pinlist!$F$1,BC936,0)-$BO$16)*$BO$19</f>
        <v>#N/A</v>
      </c>
      <c r="BG936" s="1098" t="str">
        <f ca="1">IF(LEFT(BD936,2)="RF",OFFSET(Pinlist!$D$1,Chart!BC936,0)&amp;"_"&amp;OFFSET(Pinlist!$G$1,Chart!BC936,0),"")</f>
        <v/>
      </c>
      <c r="BH936" s="1098"/>
      <c r="BI936" s="178"/>
      <c r="BJ936" s="178"/>
      <c r="BK936" s="178"/>
      <c r="BL936" s="178"/>
      <c r="BM936" s="178"/>
      <c r="BN936" s="178"/>
      <c r="BO936" s="178"/>
      <c r="BP936" s="178"/>
      <c r="BQ936" s="196"/>
      <c r="BR936" s="196"/>
      <c r="BS936" s="196"/>
      <c r="BT936" s="196"/>
      <c r="BU936" s="196"/>
      <c r="BV936" s="196"/>
      <c r="BW936" s="178"/>
      <c r="BX936" s="196"/>
      <c r="BY936" s="196"/>
      <c r="BZ936" s="196"/>
      <c r="CA936" s="196"/>
      <c r="CB936" s="178"/>
      <c r="CC936" s="178"/>
      <c r="CD936" s="202"/>
      <c r="CE936" s="202"/>
      <c r="CF936" s="178"/>
      <c r="CG936" s="196"/>
      <c r="CH936" s="178"/>
      <c r="CI936" s="178"/>
      <c r="CJ936" s="178"/>
      <c r="CK936" s="178"/>
      <c r="CL936" s="178"/>
      <c r="CM936" s="178"/>
      <c r="CN936" s="178"/>
      <c r="CO936" s="178"/>
      <c r="CP936" s="178"/>
      <c r="CQ936" s="178"/>
      <c r="CR936" s="178"/>
      <c r="CS936" s="178"/>
      <c r="CT936" s="178"/>
      <c r="CU936" s="178"/>
      <c r="CV936" s="178"/>
      <c r="CW936" s="178"/>
      <c r="CX936" s="178"/>
      <c r="CY936" s="178"/>
      <c r="CZ936" s="178"/>
      <c r="DA936" s="150"/>
    </row>
    <row r="937" spans="53:105" x14ac:dyDescent="0.2">
      <c r="BA937" s="518">
        <f t="shared" ca="1" si="55"/>
        <v>61</v>
      </c>
      <c r="BB937" s="174">
        <f t="shared" ca="1" si="56"/>
        <v>874</v>
      </c>
      <c r="BC937" s="525" t="e">
        <f ca="1">MATCH(BD937,OFFSET(Pinlist!$A$2,BC936*(BA937=BA936),0,$BM$23,1),0)+BC936*(BA937=BA936)</f>
        <v>#N/A</v>
      </c>
      <c r="BD937" s="167">
        <f t="shared" ca="1" si="57"/>
        <v>0</v>
      </c>
      <c r="BE937" s="191" t="e">
        <f ca="1">(OFFSET(Pinlist!$E$1,BC937,0)-$BN$16)*$BN$19</f>
        <v>#N/A</v>
      </c>
      <c r="BF937" s="192" t="e">
        <f ca="1">(OFFSET(Pinlist!$F$1,BC937,0)-$BO$16)*$BO$19</f>
        <v>#N/A</v>
      </c>
      <c r="BG937" s="1098" t="str">
        <f ca="1">IF(LEFT(BD937,2)="RF",OFFSET(Pinlist!$D$1,Chart!BC937,0)&amp;"_"&amp;OFFSET(Pinlist!$G$1,Chart!BC937,0),"")</f>
        <v/>
      </c>
      <c r="BH937" s="1098"/>
      <c r="BI937" s="178"/>
      <c r="BJ937" s="178"/>
      <c r="BK937" s="178"/>
      <c r="BL937" s="178"/>
      <c r="BM937" s="178"/>
      <c r="BN937" s="178"/>
      <c r="BO937" s="178"/>
      <c r="BP937" s="178"/>
      <c r="BQ937" s="196"/>
      <c r="BR937" s="196"/>
      <c r="BS937" s="196"/>
      <c r="BT937" s="196"/>
      <c r="BU937" s="196"/>
      <c r="BV937" s="196"/>
      <c r="BW937" s="178"/>
      <c r="BX937" s="196"/>
      <c r="BY937" s="196"/>
      <c r="BZ937" s="196"/>
      <c r="CA937" s="196"/>
      <c r="CB937" s="178"/>
      <c r="CC937" s="178"/>
      <c r="CD937" s="202"/>
      <c r="CE937" s="202"/>
      <c r="CF937" s="178"/>
      <c r="CG937" s="196"/>
      <c r="CH937" s="178"/>
      <c r="CI937" s="178"/>
      <c r="CJ937" s="178"/>
      <c r="CK937" s="178"/>
      <c r="CL937" s="178"/>
      <c r="CM937" s="178"/>
      <c r="CN937" s="178"/>
      <c r="CO937" s="178"/>
      <c r="CP937" s="178"/>
      <c r="CQ937" s="178"/>
      <c r="CR937" s="178"/>
      <c r="CS937" s="178"/>
      <c r="CT937" s="178"/>
      <c r="CU937" s="178"/>
      <c r="CV937" s="178"/>
      <c r="CW937" s="178"/>
      <c r="CX937" s="178"/>
      <c r="CY937" s="178"/>
      <c r="CZ937" s="178"/>
      <c r="DA937" s="150"/>
    </row>
    <row r="938" spans="53:105" x14ac:dyDescent="0.2">
      <c r="BA938" s="518">
        <f t="shared" ca="1" si="55"/>
        <v>61</v>
      </c>
      <c r="BB938" s="174">
        <f t="shared" ca="1" si="56"/>
        <v>875</v>
      </c>
      <c r="BC938" s="525" t="e">
        <f ca="1">MATCH(BD938,OFFSET(Pinlist!$A$2,BC937*(BA938=BA937),0,$BM$23,1),0)+BC937*(BA938=BA937)</f>
        <v>#N/A</v>
      </c>
      <c r="BD938" s="167">
        <f t="shared" ca="1" si="57"/>
        <v>0</v>
      </c>
      <c r="BE938" s="191" t="e">
        <f ca="1">(OFFSET(Pinlist!$E$1,BC938,0)-$BN$16)*$BN$19</f>
        <v>#N/A</v>
      </c>
      <c r="BF938" s="192" t="e">
        <f ca="1">(OFFSET(Pinlist!$F$1,BC938,0)-$BO$16)*$BO$19</f>
        <v>#N/A</v>
      </c>
      <c r="BG938" s="1098" t="str">
        <f ca="1">IF(LEFT(BD938,2)="RF",OFFSET(Pinlist!$D$1,Chart!BC938,0)&amp;"_"&amp;OFFSET(Pinlist!$G$1,Chart!BC938,0),"")</f>
        <v/>
      </c>
      <c r="BH938" s="1098"/>
      <c r="BI938" s="178"/>
      <c r="BJ938" s="178"/>
      <c r="BK938" s="178"/>
      <c r="BL938" s="178"/>
      <c r="BM938" s="178"/>
      <c r="BN938" s="178"/>
      <c r="BO938" s="178"/>
      <c r="BP938" s="178"/>
      <c r="BQ938" s="196"/>
      <c r="BR938" s="196"/>
      <c r="BS938" s="196"/>
      <c r="BT938" s="196"/>
      <c r="BU938" s="196"/>
      <c r="BV938" s="196"/>
      <c r="BW938" s="178"/>
      <c r="BX938" s="196"/>
      <c r="BY938" s="196"/>
      <c r="BZ938" s="196"/>
      <c r="CA938" s="196"/>
      <c r="CB938" s="178"/>
      <c r="CC938" s="178"/>
      <c r="CD938" s="202"/>
      <c r="CE938" s="202"/>
      <c r="CF938" s="178"/>
      <c r="CG938" s="196"/>
      <c r="CH938" s="178"/>
      <c r="CI938" s="178"/>
      <c r="CJ938" s="178"/>
      <c r="CK938" s="178"/>
      <c r="CL938" s="178"/>
      <c r="CM938" s="178"/>
      <c r="CN938" s="178"/>
      <c r="CO938" s="178"/>
      <c r="CP938" s="178"/>
      <c r="CQ938" s="178"/>
      <c r="CR938" s="178"/>
      <c r="CS938" s="178"/>
      <c r="CT938" s="178"/>
      <c r="CU938" s="178"/>
      <c r="CV938" s="178"/>
      <c r="CW938" s="178"/>
      <c r="CX938" s="178"/>
      <c r="CY938" s="178"/>
      <c r="CZ938" s="178"/>
      <c r="DA938" s="150"/>
    </row>
    <row r="939" spans="53:105" x14ac:dyDescent="0.2">
      <c r="BA939" s="518">
        <f t="shared" ca="1" si="55"/>
        <v>61</v>
      </c>
      <c r="BB939" s="174">
        <f t="shared" ca="1" si="56"/>
        <v>876</v>
      </c>
      <c r="BC939" s="525" t="e">
        <f ca="1">MATCH(BD939,OFFSET(Pinlist!$A$2,BC938*(BA939=BA938),0,$BM$23,1),0)+BC938*(BA939=BA938)</f>
        <v>#N/A</v>
      </c>
      <c r="BD939" s="167">
        <f t="shared" ca="1" si="57"/>
        <v>0</v>
      </c>
      <c r="BE939" s="191" t="e">
        <f ca="1">(OFFSET(Pinlist!$E$1,BC939,0)-$BN$16)*$BN$19</f>
        <v>#N/A</v>
      </c>
      <c r="BF939" s="192" t="e">
        <f ca="1">(OFFSET(Pinlist!$F$1,BC939,0)-$BO$16)*$BO$19</f>
        <v>#N/A</v>
      </c>
      <c r="BG939" s="1098" t="str">
        <f ca="1">IF(LEFT(BD939,2)="RF",OFFSET(Pinlist!$D$1,Chart!BC939,0)&amp;"_"&amp;OFFSET(Pinlist!$G$1,Chart!BC939,0),"")</f>
        <v/>
      </c>
      <c r="BH939" s="1098"/>
      <c r="BI939" s="178"/>
      <c r="BJ939" s="178"/>
      <c r="BK939" s="178"/>
      <c r="BL939" s="178"/>
      <c r="BM939" s="178"/>
      <c r="BN939" s="178"/>
      <c r="BO939" s="178"/>
      <c r="BP939" s="178"/>
      <c r="BQ939" s="196"/>
      <c r="BR939" s="196"/>
      <c r="BS939" s="196"/>
      <c r="BT939" s="196"/>
      <c r="BU939" s="196"/>
      <c r="BV939" s="196"/>
      <c r="BW939" s="178"/>
      <c r="BX939" s="196"/>
      <c r="BY939" s="196"/>
      <c r="BZ939" s="196"/>
      <c r="CA939" s="196"/>
      <c r="CB939" s="178"/>
      <c r="CC939" s="178"/>
      <c r="CD939" s="202"/>
      <c r="CE939" s="202"/>
      <c r="CF939" s="178"/>
      <c r="CG939" s="196"/>
      <c r="CH939" s="178"/>
      <c r="CI939" s="178"/>
      <c r="CJ939" s="178"/>
      <c r="CK939" s="178"/>
      <c r="CL939" s="178"/>
      <c r="CM939" s="178"/>
      <c r="CN939" s="178"/>
      <c r="CO939" s="178"/>
      <c r="CP939" s="178"/>
      <c r="CQ939" s="178"/>
      <c r="CR939" s="178"/>
      <c r="CS939" s="178"/>
      <c r="CT939" s="178"/>
      <c r="CU939" s="178"/>
      <c r="CV939" s="178"/>
      <c r="CW939" s="178"/>
      <c r="CX939" s="178"/>
      <c r="CY939" s="178"/>
      <c r="CZ939" s="178"/>
      <c r="DA939" s="150"/>
    </row>
    <row r="940" spans="53:105" x14ac:dyDescent="0.2">
      <c r="BA940" s="518">
        <f t="shared" ca="1" si="55"/>
        <v>61</v>
      </c>
      <c r="BB940" s="174">
        <f t="shared" ca="1" si="56"/>
        <v>877</v>
      </c>
      <c r="BC940" s="525" t="e">
        <f ca="1">MATCH(BD940,OFFSET(Pinlist!$A$2,BC939*(BA940=BA939),0,$BM$23,1),0)+BC939*(BA940=BA939)</f>
        <v>#N/A</v>
      </c>
      <c r="BD940" s="167">
        <f t="shared" ca="1" si="57"/>
        <v>0</v>
      </c>
      <c r="BE940" s="191" t="e">
        <f ca="1">(OFFSET(Pinlist!$E$1,BC940,0)-$BN$16)*$BN$19</f>
        <v>#N/A</v>
      </c>
      <c r="BF940" s="192" t="e">
        <f ca="1">(OFFSET(Pinlist!$F$1,BC940,0)-$BO$16)*$BO$19</f>
        <v>#N/A</v>
      </c>
      <c r="BG940" s="1098" t="str">
        <f ca="1">IF(LEFT(BD940,2)="RF",OFFSET(Pinlist!$D$1,Chart!BC940,0)&amp;"_"&amp;OFFSET(Pinlist!$G$1,Chart!BC940,0),"")</f>
        <v/>
      </c>
      <c r="BH940" s="1098"/>
      <c r="BI940" s="178"/>
      <c r="BJ940" s="178"/>
      <c r="BK940" s="178"/>
      <c r="BL940" s="178"/>
      <c r="BM940" s="178"/>
      <c r="BN940" s="178"/>
      <c r="BO940" s="178"/>
      <c r="BP940" s="178"/>
      <c r="BQ940" s="196"/>
      <c r="BR940" s="196"/>
      <c r="BS940" s="196"/>
      <c r="BT940" s="196"/>
      <c r="BU940" s="196"/>
      <c r="BV940" s="196"/>
      <c r="BW940" s="178"/>
      <c r="BX940" s="196"/>
      <c r="BY940" s="196"/>
      <c r="BZ940" s="196"/>
      <c r="CA940" s="196"/>
      <c r="CB940" s="178"/>
      <c r="CC940" s="178"/>
      <c r="CD940" s="202"/>
      <c r="CE940" s="202"/>
      <c r="CF940" s="178"/>
      <c r="CG940" s="196"/>
      <c r="CH940" s="178"/>
      <c r="CI940" s="178"/>
      <c r="CJ940" s="178"/>
      <c r="CK940" s="178"/>
      <c r="CL940" s="178"/>
      <c r="CM940" s="178"/>
      <c r="CN940" s="178"/>
      <c r="CO940" s="178"/>
      <c r="CP940" s="178"/>
      <c r="CQ940" s="178"/>
      <c r="CR940" s="178"/>
      <c r="CS940" s="178"/>
      <c r="CT940" s="178"/>
      <c r="CU940" s="178"/>
      <c r="CV940" s="178"/>
      <c r="CW940" s="178"/>
      <c r="CX940" s="178"/>
      <c r="CY940" s="178"/>
      <c r="CZ940" s="178"/>
      <c r="DA940" s="150"/>
    </row>
    <row r="941" spans="53:105" x14ac:dyDescent="0.2">
      <c r="BA941" s="518">
        <f t="shared" ca="1" si="55"/>
        <v>61</v>
      </c>
      <c r="BB941" s="174">
        <f t="shared" ca="1" si="56"/>
        <v>878</v>
      </c>
      <c r="BC941" s="525" t="e">
        <f ca="1">MATCH(BD941,OFFSET(Pinlist!$A$2,BC940*(BA941=BA940),0,$BM$23,1),0)+BC940*(BA941=BA940)</f>
        <v>#N/A</v>
      </c>
      <c r="BD941" s="167">
        <f t="shared" ca="1" si="57"/>
        <v>0</v>
      </c>
      <c r="BE941" s="191" t="e">
        <f ca="1">(OFFSET(Pinlist!$E$1,BC941,0)-$BN$16)*$BN$19</f>
        <v>#N/A</v>
      </c>
      <c r="BF941" s="192" t="e">
        <f ca="1">(OFFSET(Pinlist!$F$1,BC941,0)-$BO$16)*$BO$19</f>
        <v>#N/A</v>
      </c>
      <c r="BG941" s="1098" t="str">
        <f ca="1">IF(LEFT(BD941,2)="RF",OFFSET(Pinlist!$D$1,Chart!BC941,0)&amp;"_"&amp;OFFSET(Pinlist!$G$1,Chart!BC941,0),"")</f>
        <v/>
      </c>
      <c r="BH941" s="1098"/>
      <c r="BI941" s="178"/>
      <c r="BJ941" s="178"/>
      <c r="BK941" s="178"/>
      <c r="BL941" s="178"/>
      <c r="BM941" s="178"/>
      <c r="BN941" s="178"/>
      <c r="BO941" s="178"/>
      <c r="BP941" s="178"/>
      <c r="BQ941" s="196"/>
      <c r="BR941" s="196"/>
      <c r="BS941" s="196"/>
      <c r="BT941" s="196"/>
      <c r="BU941" s="196"/>
      <c r="BV941" s="196"/>
      <c r="BW941" s="178"/>
      <c r="BX941" s="196"/>
      <c r="BY941" s="196"/>
      <c r="BZ941" s="196"/>
      <c r="CA941" s="196"/>
      <c r="CB941" s="178"/>
      <c r="CC941" s="178"/>
      <c r="CD941" s="202"/>
      <c r="CE941" s="202"/>
      <c r="CF941" s="178"/>
      <c r="CG941" s="196"/>
      <c r="CH941" s="178"/>
      <c r="CI941" s="178"/>
      <c r="CJ941" s="178"/>
      <c r="CK941" s="178"/>
      <c r="CL941" s="178"/>
      <c r="CM941" s="178"/>
      <c r="CN941" s="178"/>
      <c r="CO941" s="178"/>
      <c r="CP941" s="178"/>
      <c r="CQ941" s="178"/>
      <c r="CR941" s="178"/>
      <c r="CS941" s="178"/>
      <c r="CT941" s="178"/>
      <c r="CU941" s="178"/>
      <c r="CV941" s="178"/>
      <c r="CW941" s="178"/>
      <c r="CX941" s="178"/>
      <c r="CY941" s="178"/>
      <c r="CZ941" s="178"/>
      <c r="DA941" s="150"/>
    </row>
    <row r="942" spans="53:105" x14ac:dyDescent="0.2">
      <c r="BA942" s="518">
        <f t="shared" ca="1" si="55"/>
        <v>61</v>
      </c>
      <c r="BB942" s="174">
        <f t="shared" ca="1" si="56"/>
        <v>879</v>
      </c>
      <c r="BC942" s="525" t="e">
        <f ca="1">MATCH(BD942,OFFSET(Pinlist!$A$2,BC941*(BA942=BA941),0,$BM$23,1),0)+BC941*(BA942=BA941)</f>
        <v>#N/A</v>
      </c>
      <c r="BD942" s="167">
        <f t="shared" ca="1" si="57"/>
        <v>0</v>
      </c>
      <c r="BE942" s="191" t="e">
        <f ca="1">(OFFSET(Pinlist!$E$1,BC942,0)-$BN$16)*$BN$19</f>
        <v>#N/A</v>
      </c>
      <c r="BF942" s="192" t="e">
        <f ca="1">(OFFSET(Pinlist!$F$1,BC942,0)-$BO$16)*$BO$19</f>
        <v>#N/A</v>
      </c>
      <c r="BG942" s="1098" t="str">
        <f ca="1">IF(LEFT(BD942,2)="RF",OFFSET(Pinlist!$D$1,Chart!BC942,0)&amp;"_"&amp;OFFSET(Pinlist!$G$1,Chart!BC942,0),"")</f>
        <v/>
      </c>
      <c r="BH942" s="1098"/>
      <c r="BI942" s="178"/>
      <c r="BJ942" s="178"/>
      <c r="BK942" s="178"/>
      <c r="BL942" s="178"/>
      <c r="BM942" s="178"/>
      <c r="BN942" s="178"/>
      <c r="BO942" s="178"/>
      <c r="BP942" s="178"/>
      <c r="BQ942" s="196"/>
      <c r="BR942" s="196"/>
      <c r="BS942" s="196"/>
      <c r="BT942" s="196"/>
      <c r="BU942" s="196"/>
      <c r="BV942" s="196"/>
      <c r="BW942" s="178"/>
      <c r="BX942" s="196"/>
      <c r="BY942" s="196"/>
      <c r="BZ942" s="196"/>
      <c r="CA942" s="196"/>
      <c r="CB942" s="178"/>
      <c r="CC942" s="178"/>
      <c r="CD942" s="202"/>
      <c r="CE942" s="202"/>
      <c r="CF942" s="178"/>
      <c r="CG942" s="196"/>
      <c r="CH942" s="178"/>
      <c r="CI942" s="178"/>
      <c r="CJ942" s="178"/>
      <c r="CK942" s="178"/>
      <c r="CL942" s="178"/>
      <c r="CM942" s="178"/>
      <c r="CN942" s="178"/>
      <c r="CO942" s="178"/>
      <c r="CP942" s="178"/>
      <c r="CQ942" s="178"/>
      <c r="CR942" s="178"/>
      <c r="CS942" s="178"/>
      <c r="CT942" s="178"/>
      <c r="CU942" s="178"/>
      <c r="CV942" s="178"/>
      <c r="CW942" s="178"/>
      <c r="CX942" s="178"/>
      <c r="CY942" s="178"/>
      <c r="CZ942" s="178"/>
      <c r="DA942" s="150"/>
    </row>
    <row r="943" spans="53:105" x14ac:dyDescent="0.2">
      <c r="BA943" s="518">
        <f t="shared" ca="1" si="55"/>
        <v>61</v>
      </c>
      <c r="BB943" s="174">
        <f t="shared" ca="1" si="56"/>
        <v>880</v>
      </c>
      <c r="BC943" s="525" t="e">
        <f ca="1">MATCH(BD943,OFFSET(Pinlist!$A$2,BC942*(BA943=BA942),0,$BM$23,1),0)+BC942*(BA943=BA942)</f>
        <v>#N/A</v>
      </c>
      <c r="BD943" s="167">
        <f t="shared" ca="1" si="57"/>
        <v>0</v>
      </c>
      <c r="BE943" s="191" t="e">
        <f ca="1">(OFFSET(Pinlist!$E$1,BC943,0)-$BN$16)*$BN$19</f>
        <v>#N/A</v>
      </c>
      <c r="BF943" s="192" t="e">
        <f ca="1">(OFFSET(Pinlist!$F$1,BC943,0)-$BO$16)*$BO$19</f>
        <v>#N/A</v>
      </c>
      <c r="BG943" s="1098" t="str">
        <f ca="1">IF(LEFT(BD943,2)="RF",OFFSET(Pinlist!$D$1,Chart!BC943,0)&amp;"_"&amp;OFFSET(Pinlist!$G$1,Chart!BC943,0),"")</f>
        <v/>
      </c>
      <c r="BH943" s="1098"/>
      <c r="BI943" s="178"/>
      <c r="BJ943" s="178"/>
      <c r="BK943" s="178"/>
      <c r="BL943" s="178"/>
      <c r="BM943" s="178"/>
      <c r="BN943" s="178"/>
      <c r="BO943" s="178"/>
      <c r="BP943" s="178"/>
      <c r="BQ943" s="196"/>
      <c r="BR943" s="196"/>
      <c r="BS943" s="196"/>
      <c r="BT943" s="196"/>
      <c r="BU943" s="196"/>
      <c r="BV943" s="196"/>
      <c r="BW943" s="178"/>
      <c r="BX943" s="196"/>
      <c r="BY943" s="196"/>
      <c r="BZ943" s="196"/>
      <c r="CA943" s="196"/>
      <c r="CB943" s="178"/>
      <c r="CC943" s="178"/>
      <c r="CD943" s="202"/>
      <c r="CE943" s="202"/>
      <c r="CF943" s="178"/>
      <c r="CG943" s="196"/>
      <c r="CH943" s="178"/>
      <c r="CI943" s="178"/>
      <c r="CJ943" s="178"/>
      <c r="CK943" s="178"/>
      <c r="CL943" s="178"/>
      <c r="CM943" s="178"/>
      <c r="CN943" s="178"/>
      <c r="CO943" s="178"/>
      <c r="CP943" s="178"/>
      <c r="CQ943" s="178"/>
      <c r="CR943" s="178"/>
      <c r="CS943" s="178"/>
      <c r="CT943" s="178"/>
      <c r="CU943" s="178"/>
      <c r="CV943" s="178"/>
      <c r="CW943" s="178"/>
      <c r="CX943" s="178"/>
      <c r="CY943" s="178"/>
      <c r="CZ943" s="178"/>
      <c r="DA943" s="150"/>
    </row>
    <row r="944" spans="53:105" x14ac:dyDescent="0.2">
      <c r="BA944" s="518">
        <f t="shared" ca="1" si="55"/>
        <v>61</v>
      </c>
      <c r="BB944" s="174">
        <f t="shared" ca="1" si="56"/>
        <v>881</v>
      </c>
      <c r="BC944" s="525" t="e">
        <f ca="1">MATCH(BD944,OFFSET(Pinlist!$A$2,BC943*(BA944=BA943),0,$BM$23,1),0)+BC943*(BA944=BA943)</f>
        <v>#N/A</v>
      </c>
      <c r="BD944" s="167">
        <f t="shared" ca="1" si="57"/>
        <v>0</v>
      </c>
      <c r="BE944" s="191" t="e">
        <f ca="1">(OFFSET(Pinlist!$E$1,BC944,0)-$BN$16)*$BN$19</f>
        <v>#N/A</v>
      </c>
      <c r="BF944" s="192" t="e">
        <f ca="1">(OFFSET(Pinlist!$F$1,BC944,0)-$BO$16)*$BO$19</f>
        <v>#N/A</v>
      </c>
      <c r="BG944" s="1098" t="str">
        <f ca="1">IF(LEFT(BD944,2)="RF",OFFSET(Pinlist!$D$1,Chart!BC944,0)&amp;"_"&amp;OFFSET(Pinlist!$G$1,Chart!BC944,0),"")</f>
        <v/>
      </c>
      <c r="BH944" s="1098"/>
      <c r="BI944" s="178"/>
      <c r="BJ944" s="178"/>
      <c r="BK944" s="178"/>
      <c r="BL944" s="178"/>
      <c r="BM944" s="178"/>
      <c r="BN944" s="178"/>
      <c r="BO944" s="178"/>
      <c r="BP944" s="178"/>
      <c r="BQ944" s="196"/>
      <c r="BR944" s="196"/>
      <c r="BS944" s="196"/>
      <c r="BT944" s="196"/>
      <c r="BU944" s="196"/>
      <c r="BV944" s="196"/>
      <c r="BW944" s="178"/>
      <c r="BX944" s="196"/>
      <c r="BY944" s="196"/>
      <c r="BZ944" s="196"/>
      <c r="CA944" s="196"/>
      <c r="CB944" s="178"/>
      <c r="CC944" s="178"/>
      <c r="CD944" s="202"/>
      <c r="CE944" s="202"/>
      <c r="CF944" s="178"/>
      <c r="CG944" s="196"/>
      <c r="CH944" s="178"/>
      <c r="CI944" s="178"/>
      <c r="CJ944" s="178"/>
      <c r="CK944" s="178"/>
      <c r="CL944" s="178"/>
      <c r="CM944" s="178"/>
      <c r="CN944" s="178"/>
      <c r="CO944" s="178"/>
      <c r="CP944" s="178"/>
      <c r="CQ944" s="178"/>
      <c r="CR944" s="178"/>
      <c r="CS944" s="178"/>
      <c r="CT944" s="178"/>
      <c r="CU944" s="178"/>
      <c r="CV944" s="178"/>
      <c r="CW944" s="178"/>
      <c r="CX944" s="178"/>
      <c r="CY944" s="178"/>
      <c r="CZ944" s="178"/>
      <c r="DA944" s="150"/>
    </row>
    <row r="945" spans="53:105" x14ac:dyDescent="0.2">
      <c r="BA945" s="518">
        <f t="shared" ca="1" si="55"/>
        <v>61</v>
      </c>
      <c r="BB945" s="174">
        <f t="shared" ca="1" si="56"/>
        <v>882</v>
      </c>
      <c r="BC945" s="525" t="e">
        <f ca="1">MATCH(BD945,OFFSET(Pinlist!$A$2,BC944*(BA945=BA944),0,$BM$23,1),0)+BC944*(BA945=BA944)</f>
        <v>#N/A</v>
      </c>
      <c r="BD945" s="167">
        <f t="shared" ca="1" si="57"/>
        <v>0</v>
      </c>
      <c r="BE945" s="191" t="e">
        <f ca="1">(OFFSET(Pinlist!$E$1,BC945,0)-$BN$16)*$BN$19</f>
        <v>#N/A</v>
      </c>
      <c r="BF945" s="192" t="e">
        <f ca="1">(OFFSET(Pinlist!$F$1,BC945,0)-$BO$16)*$BO$19</f>
        <v>#N/A</v>
      </c>
      <c r="BG945" s="1098" t="str">
        <f ca="1">IF(LEFT(BD945,2)="RF",OFFSET(Pinlist!$D$1,Chart!BC945,0)&amp;"_"&amp;OFFSET(Pinlist!$G$1,Chart!BC945,0),"")</f>
        <v/>
      </c>
      <c r="BH945" s="1098"/>
      <c r="BI945" s="178"/>
      <c r="BJ945" s="178"/>
      <c r="BK945" s="178"/>
      <c r="BL945" s="178"/>
      <c r="BM945" s="178"/>
      <c r="BN945" s="178"/>
      <c r="BO945" s="178"/>
      <c r="BP945" s="178"/>
      <c r="BQ945" s="196"/>
      <c r="BR945" s="196"/>
      <c r="BS945" s="196"/>
      <c r="BT945" s="196"/>
      <c r="BU945" s="196"/>
      <c r="BV945" s="196"/>
      <c r="BW945" s="178"/>
      <c r="BX945" s="196"/>
      <c r="BY945" s="196"/>
      <c r="BZ945" s="196"/>
      <c r="CA945" s="196"/>
      <c r="CB945" s="178"/>
      <c r="CC945" s="178"/>
      <c r="CD945" s="202"/>
      <c r="CE945" s="202"/>
      <c r="CF945" s="178"/>
      <c r="CG945" s="196"/>
      <c r="CH945" s="178"/>
      <c r="CI945" s="178"/>
      <c r="CJ945" s="178"/>
      <c r="CK945" s="178"/>
      <c r="CL945" s="178"/>
      <c r="CM945" s="178"/>
      <c r="CN945" s="178"/>
      <c r="CO945" s="178"/>
      <c r="CP945" s="178"/>
      <c r="CQ945" s="178"/>
      <c r="CR945" s="178"/>
      <c r="CS945" s="178"/>
      <c r="CT945" s="178"/>
      <c r="CU945" s="178"/>
      <c r="CV945" s="178"/>
      <c r="CW945" s="178"/>
      <c r="CX945" s="178"/>
      <c r="CY945" s="178"/>
      <c r="CZ945" s="178"/>
      <c r="DA945" s="150"/>
    </row>
    <row r="946" spans="53:105" x14ac:dyDescent="0.2">
      <c r="BA946" s="518">
        <f t="shared" ca="1" si="55"/>
        <v>61</v>
      </c>
      <c r="BB946" s="174">
        <f t="shared" ca="1" si="56"/>
        <v>883</v>
      </c>
      <c r="BC946" s="525" t="e">
        <f ca="1">MATCH(BD946,OFFSET(Pinlist!$A$2,BC945*(BA946=BA945),0,$BM$23,1),0)+BC945*(BA946=BA945)</f>
        <v>#N/A</v>
      </c>
      <c r="BD946" s="167">
        <f t="shared" ca="1" si="57"/>
        <v>0</v>
      </c>
      <c r="BE946" s="191" t="e">
        <f ca="1">(OFFSET(Pinlist!$E$1,BC946,0)-$BN$16)*$BN$19</f>
        <v>#N/A</v>
      </c>
      <c r="BF946" s="192" t="e">
        <f ca="1">(OFFSET(Pinlist!$F$1,BC946,0)-$BO$16)*$BO$19</f>
        <v>#N/A</v>
      </c>
      <c r="BG946" s="1098" t="str">
        <f ca="1">IF(LEFT(BD946,2)="RF",OFFSET(Pinlist!$D$1,Chart!BC946,0)&amp;"_"&amp;OFFSET(Pinlist!$G$1,Chart!BC946,0),"")</f>
        <v/>
      </c>
      <c r="BH946" s="1098"/>
      <c r="BI946" s="178"/>
      <c r="BJ946" s="178"/>
      <c r="BK946" s="178"/>
      <c r="BL946" s="178"/>
      <c r="BM946" s="178"/>
      <c r="BN946" s="178"/>
      <c r="BO946" s="178"/>
      <c r="BP946" s="178"/>
      <c r="BQ946" s="196"/>
      <c r="BR946" s="196"/>
      <c r="BS946" s="196"/>
      <c r="BT946" s="196"/>
      <c r="BU946" s="196"/>
      <c r="BV946" s="196"/>
      <c r="BW946" s="178"/>
      <c r="BX946" s="196"/>
      <c r="BY946" s="196"/>
      <c r="BZ946" s="196"/>
      <c r="CA946" s="196"/>
      <c r="CB946" s="178"/>
      <c r="CC946" s="178"/>
      <c r="CD946" s="202"/>
      <c r="CE946" s="202"/>
      <c r="CF946" s="178"/>
      <c r="CG946" s="196"/>
      <c r="CH946" s="178"/>
      <c r="CI946" s="178"/>
      <c r="CJ946" s="178"/>
      <c r="CK946" s="178"/>
      <c r="CL946" s="178"/>
      <c r="CM946" s="178"/>
      <c r="CN946" s="178"/>
      <c r="CO946" s="178"/>
      <c r="CP946" s="178"/>
      <c r="CQ946" s="178"/>
      <c r="CR946" s="178"/>
      <c r="CS946" s="178"/>
      <c r="CT946" s="178"/>
      <c r="CU946" s="178"/>
      <c r="CV946" s="178"/>
      <c r="CW946" s="178"/>
      <c r="CX946" s="178"/>
      <c r="CY946" s="178"/>
      <c r="CZ946" s="178"/>
      <c r="DA946" s="150"/>
    </row>
    <row r="947" spans="53:105" x14ac:dyDescent="0.2">
      <c r="BA947" s="518">
        <f t="shared" ca="1" si="55"/>
        <v>61</v>
      </c>
      <c r="BB947" s="174">
        <f t="shared" ca="1" si="56"/>
        <v>884</v>
      </c>
      <c r="BC947" s="525" t="e">
        <f ca="1">MATCH(BD947,OFFSET(Pinlist!$A$2,BC946*(BA947=BA946),0,$BM$23,1),0)+BC946*(BA947=BA946)</f>
        <v>#N/A</v>
      </c>
      <c r="BD947" s="167">
        <f t="shared" ca="1" si="57"/>
        <v>0</v>
      </c>
      <c r="BE947" s="191" t="e">
        <f ca="1">(OFFSET(Pinlist!$E$1,BC947,0)-$BN$16)*$BN$19</f>
        <v>#N/A</v>
      </c>
      <c r="BF947" s="192" t="e">
        <f ca="1">(OFFSET(Pinlist!$F$1,BC947,0)-$BO$16)*$BO$19</f>
        <v>#N/A</v>
      </c>
      <c r="BG947" s="1098" t="str">
        <f ca="1">IF(LEFT(BD947,2)="RF",OFFSET(Pinlist!$D$1,Chart!BC947,0)&amp;"_"&amp;OFFSET(Pinlist!$G$1,Chart!BC947,0),"")</f>
        <v/>
      </c>
      <c r="BH947" s="1098"/>
      <c r="BI947" s="178"/>
      <c r="BJ947" s="178"/>
      <c r="BK947" s="178"/>
      <c r="BL947" s="178"/>
      <c r="BM947" s="178"/>
      <c r="BN947" s="178"/>
      <c r="BO947" s="178"/>
      <c r="BP947" s="178"/>
      <c r="BQ947" s="196"/>
      <c r="BR947" s="196"/>
      <c r="BS947" s="196"/>
      <c r="BT947" s="196"/>
      <c r="BU947" s="196"/>
      <c r="BV947" s="196"/>
      <c r="BW947" s="178"/>
      <c r="BX947" s="196"/>
      <c r="BY947" s="196"/>
      <c r="BZ947" s="196"/>
      <c r="CA947" s="196"/>
      <c r="CB947" s="178"/>
      <c r="CC947" s="178"/>
      <c r="CD947" s="202"/>
      <c r="CE947" s="202"/>
      <c r="CF947" s="178"/>
      <c r="CG947" s="196"/>
      <c r="CH947" s="178"/>
      <c r="CI947" s="178"/>
      <c r="CJ947" s="178"/>
      <c r="CK947" s="178"/>
      <c r="CL947" s="178"/>
      <c r="CM947" s="178"/>
      <c r="CN947" s="178"/>
      <c r="CO947" s="178"/>
      <c r="CP947" s="178"/>
      <c r="CQ947" s="178"/>
      <c r="CR947" s="178"/>
      <c r="CS947" s="178"/>
      <c r="CT947" s="178"/>
      <c r="CU947" s="178"/>
      <c r="CV947" s="178"/>
      <c r="CW947" s="178"/>
      <c r="CX947" s="178"/>
      <c r="CY947" s="178"/>
      <c r="CZ947" s="178"/>
      <c r="DA947" s="150"/>
    </row>
    <row r="948" spans="53:105" x14ac:dyDescent="0.2">
      <c r="BA948" s="518">
        <f t="shared" ca="1" si="55"/>
        <v>61</v>
      </c>
      <c r="BB948" s="174">
        <f t="shared" ca="1" si="56"/>
        <v>885</v>
      </c>
      <c r="BC948" s="525" t="e">
        <f ca="1">MATCH(BD948,OFFSET(Pinlist!$A$2,BC947*(BA948=BA947),0,$BM$23,1),0)+BC947*(BA948=BA947)</f>
        <v>#N/A</v>
      </c>
      <c r="BD948" s="167">
        <f t="shared" ca="1" si="57"/>
        <v>0</v>
      </c>
      <c r="BE948" s="191" t="e">
        <f ca="1">(OFFSET(Pinlist!$E$1,BC948,0)-$BN$16)*$BN$19</f>
        <v>#N/A</v>
      </c>
      <c r="BF948" s="192" t="e">
        <f ca="1">(OFFSET(Pinlist!$F$1,BC948,0)-$BO$16)*$BO$19</f>
        <v>#N/A</v>
      </c>
      <c r="BG948" s="1098" t="str">
        <f ca="1">IF(LEFT(BD948,2)="RF",OFFSET(Pinlist!$D$1,Chart!BC948,0)&amp;"_"&amp;OFFSET(Pinlist!$G$1,Chart!BC948,0),"")</f>
        <v/>
      </c>
      <c r="BH948" s="1098"/>
      <c r="BI948" s="178"/>
      <c r="BJ948" s="178"/>
      <c r="BK948" s="178"/>
      <c r="BL948" s="178"/>
      <c r="BM948" s="178"/>
      <c r="BN948" s="178"/>
      <c r="BO948" s="178"/>
      <c r="BP948" s="178"/>
      <c r="BQ948" s="196"/>
      <c r="BR948" s="196"/>
      <c r="BS948" s="196"/>
      <c r="BT948" s="196"/>
      <c r="BU948" s="196"/>
      <c r="BV948" s="196"/>
      <c r="BW948" s="178"/>
      <c r="BX948" s="196"/>
      <c r="BY948" s="196"/>
      <c r="BZ948" s="196"/>
      <c r="CA948" s="196"/>
      <c r="CB948" s="178"/>
      <c r="CC948" s="178"/>
      <c r="CD948" s="202"/>
      <c r="CE948" s="202"/>
      <c r="CF948" s="178"/>
      <c r="CG948" s="196"/>
      <c r="CH948" s="178"/>
      <c r="CI948" s="178"/>
      <c r="CJ948" s="178"/>
      <c r="CK948" s="178"/>
      <c r="CL948" s="178"/>
      <c r="CM948" s="178"/>
      <c r="CN948" s="178"/>
      <c r="CO948" s="178"/>
      <c r="CP948" s="178"/>
      <c r="CQ948" s="178"/>
      <c r="CR948" s="178"/>
      <c r="CS948" s="178"/>
      <c r="CT948" s="178"/>
      <c r="CU948" s="178"/>
      <c r="CV948" s="178"/>
      <c r="CW948" s="178"/>
      <c r="CX948" s="178"/>
      <c r="CY948" s="178"/>
      <c r="CZ948" s="178"/>
      <c r="DA948" s="150"/>
    </row>
    <row r="949" spans="53:105" x14ac:dyDescent="0.2">
      <c r="BA949" s="518">
        <f t="shared" ca="1" si="55"/>
        <v>61</v>
      </c>
      <c r="BB949" s="174">
        <f t="shared" ca="1" si="56"/>
        <v>886</v>
      </c>
      <c r="BC949" s="525" t="e">
        <f ca="1">MATCH(BD949,OFFSET(Pinlist!$A$2,BC948*(BA949=BA948),0,$BM$23,1),0)+BC948*(BA949=BA948)</f>
        <v>#N/A</v>
      </c>
      <c r="BD949" s="167">
        <f t="shared" ca="1" si="57"/>
        <v>0</v>
      </c>
      <c r="BE949" s="191" t="e">
        <f ca="1">(OFFSET(Pinlist!$E$1,BC949,0)-$BN$16)*$BN$19</f>
        <v>#N/A</v>
      </c>
      <c r="BF949" s="192" t="e">
        <f ca="1">(OFFSET(Pinlist!$F$1,BC949,0)-$BO$16)*$BO$19</f>
        <v>#N/A</v>
      </c>
      <c r="BG949" s="1098" t="str">
        <f ca="1">IF(LEFT(BD949,2)="RF",OFFSET(Pinlist!$D$1,Chart!BC949,0)&amp;"_"&amp;OFFSET(Pinlist!$G$1,Chart!BC949,0),"")</f>
        <v/>
      </c>
      <c r="BH949" s="1098"/>
      <c r="BI949" s="178"/>
      <c r="BJ949" s="178"/>
      <c r="BK949" s="178"/>
      <c r="BL949" s="178"/>
      <c r="BM949" s="178"/>
      <c r="BN949" s="178"/>
      <c r="BO949" s="178"/>
      <c r="BP949" s="178"/>
      <c r="BQ949" s="196"/>
      <c r="BR949" s="196"/>
      <c r="BS949" s="196"/>
      <c r="BT949" s="196"/>
      <c r="BU949" s="196"/>
      <c r="BV949" s="196"/>
      <c r="BW949" s="178"/>
      <c r="BX949" s="196"/>
      <c r="BY949" s="196"/>
      <c r="BZ949" s="196"/>
      <c r="CA949" s="196"/>
      <c r="CB949" s="178"/>
      <c r="CC949" s="178"/>
      <c r="CD949" s="202"/>
      <c r="CE949" s="202"/>
      <c r="CF949" s="178"/>
      <c r="CG949" s="196"/>
      <c r="CH949" s="178"/>
      <c r="CI949" s="178"/>
      <c r="CJ949" s="178"/>
      <c r="CK949" s="178"/>
      <c r="CL949" s="178"/>
      <c r="CM949" s="178"/>
      <c r="CN949" s="178"/>
      <c r="CO949" s="178"/>
      <c r="CP949" s="178"/>
      <c r="CQ949" s="178"/>
      <c r="CR949" s="178"/>
      <c r="CS949" s="178"/>
      <c r="CT949" s="178"/>
      <c r="CU949" s="178"/>
      <c r="CV949" s="178"/>
      <c r="CW949" s="178"/>
      <c r="CX949" s="178"/>
      <c r="CY949" s="178"/>
      <c r="CZ949" s="178"/>
      <c r="DA949" s="150"/>
    </row>
    <row r="950" spans="53:105" x14ac:dyDescent="0.2">
      <c r="BA950" s="518">
        <f t="shared" ca="1" si="55"/>
        <v>61</v>
      </c>
      <c r="BB950" s="174">
        <f t="shared" ca="1" si="56"/>
        <v>887</v>
      </c>
      <c r="BC950" s="525" t="e">
        <f ca="1">MATCH(BD950,OFFSET(Pinlist!$A$2,BC949*(BA950=BA949),0,$BM$23,1),0)+BC949*(BA950=BA949)</f>
        <v>#N/A</v>
      </c>
      <c r="BD950" s="167">
        <f t="shared" ca="1" si="57"/>
        <v>0</v>
      </c>
      <c r="BE950" s="191" t="e">
        <f ca="1">(OFFSET(Pinlist!$E$1,BC950,0)-$BN$16)*$BN$19</f>
        <v>#N/A</v>
      </c>
      <c r="BF950" s="192" t="e">
        <f ca="1">(OFFSET(Pinlist!$F$1,BC950,0)-$BO$16)*$BO$19</f>
        <v>#N/A</v>
      </c>
      <c r="BG950" s="1098" t="str">
        <f ca="1">IF(LEFT(BD950,2)="RF",OFFSET(Pinlist!$D$1,Chart!BC950,0)&amp;"_"&amp;OFFSET(Pinlist!$G$1,Chart!BC950,0),"")</f>
        <v/>
      </c>
      <c r="BH950" s="1098"/>
      <c r="BI950" s="178"/>
      <c r="BJ950" s="178"/>
      <c r="BK950" s="178"/>
      <c r="BL950" s="178"/>
      <c r="BM950" s="178"/>
      <c r="BN950" s="178"/>
      <c r="BO950" s="178"/>
      <c r="BP950" s="178"/>
      <c r="BQ950" s="196"/>
      <c r="BR950" s="196"/>
      <c r="BS950" s="196"/>
      <c r="BT950" s="196"/>
      <c r="BU950" s="196"/>
      <c r="BV950" s="196"/>
      <c r="BW950" s="178"/>
      <c r="BX950" s="196"/>
      <c r="BY950" s="196"/>
      <c r="BZ950" s="196"/>
      <c r="CA950" s="196"/>
      <c r="CB950" s="178"/>
      <c r="CC950" s="178"/>
      <c r="CD950" s="202"/>
      <c r="CE950" s="202"/>
      <c r="CF950" s="178"/>
      <c r="CG950" s="196"/>
      <c r="CH950" s="178"/>
      <c r="CI950" s="178"/>
      <c r="CJ950" s="178"/>
      <c r="CK950" s="178"/>
      <c r="CL950" s="178"/>
      <c r="CM950" s="178"/>
      <c r="CN950" s="178"/>
      <c r="CO950" s="178"/>
      <c r="CP950" s="178"/>
      <c r="CQ950" s="178"/>
      <c r="CR950" s="178"/>
      <c r="CS950" s="178"/>
      <c r="CT950" s="178"/>
      <c r="CU950" s="178"/>
      <c r="CV950" s="178"/>
      <c r="CW950" s="178"/>
      <c r="CX950" s="178"/>
      <c r="CY950" s="178"/>
      <c r="CZ950" s="178"/>
      <c r="DA950" s="150"/>
    </row>
    <row r="951" spans="53:105" x14ac:dyDescent="0.2">
      <c r="BA951" s="518">
        <f t="shared" ca="1" si="55"/>
        <v>61</v>
      </c>
      <c r="BB951" s="174">
        <f t="shared" ca="1" si="56"/>
        <v>888</v>
      </c>
      <c r="BC951" s="525" t="e">
        <f ca="1">MATCH(BD951,OFFSET(Pinlist!$A$2,BC950*(BA951=BA950),0,$BM$23,1),0)+BC950*(BA951=BA950)</f>
        <v>#N/A</v>
      </c>
      <c r="BD951" s="167">
        <f t="shared" ca="1" si="57"/>
        <v>0</v>
      </c>
      <c r="BE951" s="191" t="e">
        <f ca="1">(OFFSET(Pinlist!$E$1,BC951,0)-$BN$16)*$BN$19</f>
        <v>#N/A</v>
      </c>
      <c r="BF951" s="192" t="e">
        <f ca="1">(OFFSET(Pinlist!$F$1,BC951,0)-$BO$16)*$BO$19</f>
        <v>#N/A</v>
      </c>
      <c r="BG951" s="1098" t="str">
        <f ca="1">IF(LEFT(BD951,2)="RF",OFFSET(Pinlist!$D$1,Chart!BC951,0)&amp;"_"&amp;OFFSET(Pinlist!$G$1,Chart!BC951,0),"")</f>
        <v/>
      </c>
      <c r="BH951" s="1098"/>
      <c r="BI951" s="178"/>
      <c r="BJ951" s="178"/>
      <c r="BK951" s="178"/>
      <c r="BL951" s="178"/>
      <c r="BM951" s="178"/>
      <c r="BN951" s="178"/>
      <c r="BO951" s="178"/>
      <c r="BP951" s="178"/>
      <c r="BQ951" s="196"/>
      <c r="BR951" s="196"/>
      <c r="BS951" s="196"/>
      <c r="BT951" s="196"/>
      <c r="BU951" s="196"/>
      <c r="BV951" s="196"/>
      <c r="BW951" s="178"/>
      <c r="BX951" s="196"/>
      <c r="BY951" s="196"/>
      <c r="BZ951" s="196"/>
      <c r="CA951" s="196"/>
      <c r="CB951" s="178"/>
      <c r="CC951" s="178"/>
      <c r="CD951" s="202"/>
      <c r="CE951" s="202"/>
      <c r="CF951" s="178"/>
      <c r="CG951" s="196"/>
      <c r="CH951" s="178"/>
      <c r="CI951" s="178"/>
      <c r="CJ951" s="178"/>
      <c r="CK951" s="178"/>
      <c r="CL951" s="178"/>
      <c r="CM951" s="178"/>
      <c r="CN951" s="178"/>
      <c r="CO951" s="178"/>
      <c r="CP951" s="178"/>
      <c r="CQ951" s="178"/>
      <c r="CR951" s="178"/>
      <c r="CS951" s="178"/>
      <c r="CT951" s="178"/>
      <c r="CU951" s="178"/>
      <c r="CV951" s="178"/>
      <c r="CW951" s="178"/>
      <c r="CX951" s="178"/>
      <c r="CY951" s="178"/>
      <c r="CZ951" s="178"/>
      <c r="DA951" s="150"/>
    </row>
    <row r="952" spans="53:105" x14ac:dyDescent="0.2">
      <c r="BA952" s="518">
        <f t="shared" ca="1" si="55"/>
        <v>61</v>
      </c>
      <c r="BB952" s="174">
        <f t="shared" ca="1" si="56"/>
        <v>889</v>
      </c>
      <c r="BC952" s="525" t="e">
        <f ca="1">MATCH(BD952,OFFSET(Pinlist!$A$2,BC951*(BA952=BA951),0,$BM$23,1),0)+BC951*(BA952=BA951)</f>
        <v>#N/A</v>
      </c>
      <c r="BD952" s="167">
        <f t="shared" ca="1" si="57"/>
        <v>0</v>
      </c>
      <c r="BE952" s="191" t="e">
        <f ca="1">(OFFSET(Pinlist!$E$1,BC952,0)-$BN$16)*$BN$19</f>
        <v>#N/A</v>
      </c>
      <c r="BF952" s="192" t="e">
        <f ca="1">(OFFSET(Pinlist!$F$1,BC952,0)-$BO$16)*$BO$19</f>
        <v>#N/A</v>
      </c>
      <c r="BG952" s="1098" t="str">
        <f ca="1">IF(LEFT(BD952,2)="RF",OFFSET(Pinlist!$D$1,Chart!BC952,0)&amp;"_"&amp;OFFSET(Pinlist!$G$1,Chart!BC952,0),"")</f>
        <v/>
      </c>
      <c r="BH952" s="1098"/>
      <c r="BI952" s="178"/>
      <c r="BJ952" s="178"/>
      <c r="BK952" s="178"/>
      <c r="BL952" s="178"/>
      <c r="BM952" s="178"/>
      <c r="BN952" s="178"/>
      <c r="BO952" s="178"/>
      <c r="BP952" s="178"/>
      <c r="BQ952" s="196"/>
      <c r="BR952" s="196"/>
      <c r="BS952" s="196"/>
      <c r="BT952" s="196"/>
      <c r="BU952" s="196"/>
      <c r="BV952" s="196"/>
      <c r="BW952" s="178"/>
      <c r="BX952" s="196"/>
      <c r="BY952" s="196"/>
      <c r="BZ952" s="196"/>
      <c r="CA952" s="196"/>
      <c r="CB952" s="178"/>
      <c r="CC952" s="178"/>
      <c r="CD952" s="202"/>
      <c r="CE952" s="202"/>
      <c r="CF952" s="178"/>
      <c r="CG952" s="196"/>
      <c r="CH952" s="178"/>
      <c r="CI952" s="178"/>
      <c r="CJ952" s="178"/>
      <c r="CK952" s="178"/>
      <c r="CL952" s="178"/>
      <c r="CM952" s="178"/>
      <c r="CN952" s="178"/>
      <c r="CO952" s="178"/>
      <c r="CP952" s="178"/>
      <c r="CQ952" s="178"/>
      <c r="CR952" s="178"/>
      <c r="CS952" s="178"/>
      <c r="CT952" s="178"/>
      <c r="CU952" s="178"/>
      <c r="CV952" s="178"/>
      <c r="CW952" s="178"/>
      <c r="CX952" s="178"/>
      <c r="CY952" s="178"/>
      <c r="CZ952" s="178"/>
      <c r="DA952" s="150"/>
    </row>
    <row r="953" spans="53:105" x14ac:dyDescent="0.2">
      <c r="BA953" s="518">
        <f t="shared" ca="1" si="55"/>
        <v>61</v>
      </c>
      <c r="BB953" s="174">
        <f t="shared" ca="1" si="56"/>
        <v>890</v>
      </c>
      <c r="BC953" s="525" t="e">
        <f ca="1">MATCH(BD953,OFFSET(Pinlist!$A$2,BC952*(BA953=BA952),0,$BM$23,1),0)+BC952*(BA953=BA952)</f>
        <v>#N/A</v>
      </c>
      <c r="BD953" s="167">
        <f t="shared" ca="1" si="57"/>
        <v>0</v>
      </c>
      <c r="BE953" s="191" t="e">
        <f ca="1">(OFFSET(Pinlist!$E$1,BC953,0)-$BN$16)*$BN$19</f>
        <v>#N/A</v>
      </c>
      <c r="BF953" s="192" t="e">
        <f ca="1">(OFFSET(Pinlist!$F$1,BC953,0)-$BO$16)*$BO$19</f>
        <v>#N/A</v>
      </c>
      <c r="BG953" s="1098" t="str">
        <f ca="1">IF(LEFT(BD953,2)="RF",OFFSET(Pinlist!$D$1,Chart!BC953,0)&amp;"_"&amp;OFFSET(Pinlist!$G$1,Chart!BC953,0),"")</f>
        <v/>
      </c>
      <c r="BH953" s="1098"/>
      <c r="BI953" s="178"/>
      <c r="BJ953" s="178"/>
      <c r="BK953" s="178"/>
      <c r="BL953" s="178"/>
      <c r="BM953" s="178"/>
      <c r="BN953" s="178"/>
      <c r="BO953" s="178"/>
      <c r="BP953" s="178"/>
      <c r="BQ953" s="196"/>
      <c r="BR953" s="196"/>
      <c r="BS953" s="196"/>
      <c r="BT953" s="196"/>
      <c r="BU953" s="196"/>
      <c r="BV953" s="196"/>
      <c r="BW953" s="178"/>
      <c r="BX953" s="196"/>
      <c r="BY953" s="196"/>
      <c r="BZ953" s="196"/>
      <c r="CA953" s="196"/>
      <c r="CB953" s="178"/>
      <c r="CC953" s="178"/>
      <c r="CD953" s="202"/>
      <c r="CE953" s="202"/>
      <c r="CF953" s="178"/>
      <c r="CG953" s="196"/>
      <c r="CH953" s="178"/>
      <c r="CI953" s="178"/>
      <c r="CJ953" s="178"/>
      <c r="CK953" s="178"/>
      <c r="CL953" s="178"/>
      <c r="CM953" s="178"/>
      <c r="CN953" s="178"/>
      <c r="CO953" s="178"/>
      <c r="CP953" s="178"/>
      <c r="CQ953" s="178"/>
      <c r="CR953" s="178"/>
      <c r="CS953" s="178"/>
      <c r="CT953" s="178"/>
      <c r="CU953" s="178"/>
      <c r="CV953" s="178"/>
      <c r="CW953" s="178"/>
      <c r="CX953" s="178"/>
      <c r="CY953" s="178"/>
      <c r="CZ953" s="178"/>
      <c r="DA953" s="150"/>
    </row>
    <row r="954" spans="53:105" x14ac:dyDescent="0.2">
      <c r="BA954" s="518">
        <f t="shared" ca="1" si="55"/>
        <v>61</v>
      </c>
      <c r="BB954" s="174">
        <f t="shared" ca="1" si="56"/>
        <v>891</v>
      </c>
      <c r="BC954" s="525" t="e">
        <f ca="1">MATCH(BD954,OFFSET(Pinlist!$A$2,BC953*(BA954=BA953),0,$BM$23,1),0)+BC953*(BA954=BA953)</f>
        <v>#N/A</v>
      </c>
      <c r="BD954" s="167">
        <f t="shared" ca="1" si="57"/>
        <v>0</v>
      </c>
      <c r="BE954" s="191" t="e">
        <f ca="1">(OFFSET(Pinlist!$E$1,BC954,0)-$BN$16)*$BN$19</f>
        <v>#N/A</v>
      </c>
      <c r="BF954" s="192" t="e">
        <f ca="1">(OFFSET(Pinlist!$F$1,BC954,0)-$BO$16)*$BO$19</f>
        <v>#N/A</v>
      </c>
      <c r="BG954" s="1098" t="str">
        <f ca="1">IF(LEFT(BD954,2)="RF",OFFSET(Pinlist!$D$1,Chart!BC954,0)&amp;"_"&amp;OFFSET(Pinlist!$G$1,Chart!BC954,0),"")</f>
        <v/>
      </c>
      <c r="BH954" s="1098"/>
      <c r="BI954" s="178"/>
      <c r="BJ954" s="178"/>
      <c r="BK954" s="178"/>
      <c r="BL954" s="178"/>
      <c r="BM954" s="178"/>
      <c r="BN954" s="178"/>
      <c r="BO954" s="178"/>
      <c r="BP954" s="178"/>
      <c r="BQ954" s="196"/>
      <c r="BR954" s="196"/>
      <c r="BS954" s="196"/>
      <c r="BT954" s="196"/>
      <c r="BU954" s="196"/>
      <c r="BV954" s="196"/>
      <c r="BW954" s="178"/>
      <c r="BX954" s="196"/>
      <c r="BY954" s="196"/>
      <c r="BZ954" s="196"/>
      <c r="CA954" s="196"/>
      <c r="CB954" s="178"/>
      <c r="CC954" s="178"/>
      <c r="CD954" s="202"/>
      <c r="CE954" s="202"/>
      <c r="CF954" s="178"/>
      <c r="CG954" s="196"/>
      <c r="CH954" s="178"/>
      <c r="CI954" s="178"/>
      <c r="CJ954" s="178"/>
      <c r="CK954" s="178"/>
      <c r="CL954" s="178"/>
      <c r="CM954" s="178"/>
      <c r="CN954" s="178"/>
      <c r="CO954" s="178"/>
      <c r="CP954" s="178"/>
      <c r="CQ954" s="178"/>
      <c r="CR954" s="178"/>
      <c r="CS954" s="178"/>
      <c r="CT954" s="178"/>
      <c r="CU954" s="178"/>
      <c r="CV954" s="178"/>
      <c r="CW954" s="178"/>
      <c r="CX954" s="178"/>
      <c r="CY954" s="178"/>
      <c r="CZ954" s="178"/>
      <c r="DA954" s="150"/>
    </row>
    <row r="955" spans="53:105" x14ac:dyDescent="0.2">
      <c r="BA955" s="518">
        <f t="shared" ca="1" si="55"/>
        <v>61</v>
      </c>
      <c r="BB955" s="174">
        <f t="shared" ca="1" si="56"/>
        <v>892</v>
      </c>
      <c r="BC955" s="525" t="e">
        <f ca="1">MATCH(BD955,OFFSET(Pinlist!$A$2,BC954*(BA955=BA954),0,$BM$23,1),0)+BC954*(BA955=BA954)</f>
        <v>#N/A</v>
      </c>
      <c r="BD955" s="167">
        <f t="shared" ca="1" si="57"/>
        <v>0</v>
      </c>
      <c r="BE955" s="191" t="e">
        <f ca="1">(OFFSET(Pinlist!$E$1,BC955,0)-$BN$16)*$BN$19</f>
        <v>#N/A</v>
      </c>
      <c r="BF955" s="192" t="e">
        <f ca="1">(OFFSET(Pinlist!$F$1,BC955,0)-$BO$16)*$BO$19</f>
        <v>#N/A</v>
      </c>
      <c r="BG955" s="1098" t="str">
        <f ca="1">IF(LEFT(BD955,2)="RF",OFFSET(Pinlist!$D$1,Chart!BC955,0)&amp;"_"&amp;OFFSET(Pinlist!$G$1,Chart!BC955,0),"")</f>
        <v/>
      </c>
      <c r="BH955" s="1098"/>
      <c r="BI955" s="178"/>
      <c r="BJ955" s="178"/>
      <c r="BK955" s="178"/>
      <c r="BL955" s="178"/>
      <c r="BM955" s="178"/>
      <c r="BN955" s="178"/>
      <c r="BO955" s="178"/>
      <c r="BP955" s="178"/>
      <c r="BQ955" s="196"/>
      <c r="BR955" s="196"/>
      <c r="BS955" s="196"/>
      <c r="BT955" s="196"/>
      <c r="BU955" s="196"/>
      <c r="BV955" s="196"/>
      <c r="BW955" s="178"/>
      <c r="BX955" s="196"/>
      <c r="BY955" s="196"/>
      <c r="BZ955" s="196"/>
      <c r="CA955" s="196"/>
      <c r="CB955" s="178"/>
      <c r="CC955" s="178"/>
      <c r="CD955" s="202"/>
      <c r="CE955" s="202"/>
      <c r="CF955" s="178"/>
      <c r="CG955" s="196"/>
      <c r="CH955" s="178"/>
      <c r="CI955" s="178"/>
      <c r="CJ955" s="178"/>
      <c r="CK955" s="178"/>
      <c r="CL955" s="178"/>
      <c r="CM955" s="178"/>
      <c r="CN955" s="178"/>
      <c r="CO955" s="178"/>
      <c r="CP955" s="178"/>
      <c r="CQ955" s="178"/>
      <c r="CR955" s="178"/>
      <c r="CS955" s="178"/>
      <c r="CT955" s="178"/>
      <c r="CU955" s="178"/>
      <c r="CV955" s="178"/>
      <c r="CW955" s="178"/>
      <c r="CX955" s="178"/>
      <c r="CY955" s="178"/>
      <c r="CZ955" s="178"/>
      <c r="DA955" s="150"/>
    </row>
    <row r="956" spans="53:105" x14ac:dyDescent="0.2">
      <c r="BA956" s="518">
        <f t="shared" ca="1" si="55"/>
        <v>61</v>
      </c>
      <c r="BB956" s="174">
        <f t="shared" ca="1" si="56"/>
        <v>893</v>
      </c>
      <c r="BC956" s="525" t="e">
        <f ca="1">MATCH(BD956,OFFSET(Pinlist!$A$2,BC955*(BA956=BA955),0,$BM$23,1),0)+BC955*(BA956=BA955)</f>
        <v>#N/A</v>
      </c>
      <c r="BD956" s="167">
        <f t="shared" ca="1" si="57"/>
        <v>0</v>
      </c>
      <c r="BE956" s="191" t="e">
        <f ca="1">(OFFSET(Pinlist!$E$1,BC956,0)-$BN$16)*$BN$19</f>
        <v>#N/A</v>
      </c>
      <c r="BF956" s="192" t="e">
        <f ca="1">(OFFSET(Pinlist!$F$1,BC956,0)-$BO$16)*$BO$19</f>
        <v>#N/A</v>
      </c>
      <c r="BG956" s="1098" t="str">
        <f ca="1">IF(LEFT(BD956,2)="RF",OFFSET(Pinlist!$D$1,Chart!BC956,0)&amp;"_"&amp;OFFSET(Pinlist!$G$1,Chart!BC956,0),"")</f>
        <v/>
      </c>
      <c r="BH956" s="1098"/>
      <c r="BI956" s="178"/>
      <c r="BJ956" s="178"/>
      <c r="BK956" s="178"/>
      <c r="BL956" s="178"/>
      <c r="BM956" s="178"/>
      <c r="BN956" s="178"/>
      <c r="BO956" s="178"/>
      <c r="BP956" s="178"/>
      <c r="BQ956" s="196"/>
      <c r="BR956" s="196"/>
      <c r="BS956" s="196"/>
      <c r="BT956" s="196"/>
      <c r="BU956" s="196"/>
      <c r="BV956" s="196"/>
      <c r="BW956" s="178"/>
      <c r="BX956" s="196"/>
      <c r="BY956" s="196"/>
      <c r="BZ956" s="196"/>
      <c r="CA956" s="196"/>
      <c r="CB956" s="178"/>
      <c r="CC956" s="178"/>
      <c r="CD956" s="202"/>
      <c r="CE956" s="202"/>
      <c r="CF956" s="178"/>
      <c r="CG956" s="196"/>
      <c r="CH956" s="178"/>
      <c r="CI956" s="178"/>
      <c r="CJ956" s="178"/>
      <c r="CK956" s="178"/>
      <c r="CL956" s="178"/>
      <c r="CM956" s="178"/>
      <c r="CN956" s="178"/>
      <c r="CO956" s="178"/>
      <c r="CP956" s="178"/>
      <c r="CQ956" s="178"/>
      <c r="CR956" s="178"/>
      <c r="CS956" s="178"/>
      <c r="CT956" s="178"/>
      <c r="CU956" s="178"/>
      <c r="CV956" s="178"/>
      <c r="CW956" s="178"/>
      <c r="CX956" s="178"/>
      <c r="CY956" s="178"/>
      <c r="CZ956" s="178"/>
      <c r="DA956" s="150"/>
    </row>
    <row r="957" spans="53:105" x14ac:dyDescent="0.2">
      <c r="BA957" s="518">
        <f t="shared" ca="1" si="55"/>
        <v>61</v>
      </c>
      <c r="BB957" s="174">
        <f t="shared" ca="1" si="56"/>
        <v>894</v>
      </c>
      <c r="BC957" s="525" t="e">
        <f ca="1">MATCH(BD957,OFFSET(Pinlist!$A$2,BC956*(BA957=BA956),0,$BM$23,1),0)+BC956*(BA957=BA956)</f>
        <v>#N/A</v>
      </c>
      <c r="BD957" s="167">
        <f t="shared" ca="1" si="57"/>
        <v>0</v>
      </c>
      <c r="BE957" s="191" t="e">
        <f ca="1">(OFFSET(Pinlist!$E$1,BC957,0)-$BN$16)*$BN$19</f>
        <v>#N/A</v>
      </c>
      <c r="BF957" s="192" t="e">
        <f ca="1">(OFFSET(Pinlist!$F$1,BC957,0)-$BO$16)*$BO$19</f>
        <v>#N/A</v>
      </c>
      <c r="BG957" s="1098" t="str">
        <f ca="1">IF(LEFT(BD957,2)="RF",OFFSET(Pinlist!$D$1,Chart!BC957,0)&amp;"_"&amp;OFFSET(Pinlist!$G$1,Chart!BC957,0),"")</f>
        <v/>
      </c>
      <c r="BH957" s="1098"/>
      <c r="BI957" s="178"/>
      <c r="BJ957" s="178"/>
      <c r="BK957" s="178"/>
      <c r="BL957" s="178"/>
      <c r="BM957" s="178"/>
      <c r="BN957" s="178"/>
      <c r="BO957" s="178"/>
      <c r="BP957" s="178"/>
      <c r="BQ957" s="196"/>
      <c r="BR957" s="196"/>
      <c r="BS957" s="196"/>
      <c r="BT957" s="196"/>
      <c r="BU957" s="196"/>
      <c r="BV957" s="196"/>
      <c r="BW957" s="178"/>
      <c r="BX957" s="196"/>
      <c r="BY957" s="196"/>
      <c r="BZ957" s="196"/>
      <c r="CA957" s="196"/>
      <c r="CB957" s="178"/>
      <c r="CC957" s="178"/>
      <c r="CD957" s="202"/>
      <c r="CE957" s="202"/>
      <c r="CF957" s="178"/>
      <c r="CG957" s="196"/>
      <c r="CH957" s="178"/>
      <c r="CI957" s="178"/>
      <c r="CJ957" s="178"/>
      <c r="CK957" s="178"/>
      <c r="CL957" s="178"/>
      <c r="CM957" s="178"/>
      <c r="CN957" s="178"/>
      <c r="CO957" s="178"/>
      <c r="CP957" s="178"/>
      <c r="CQ957" s="178"/>
      <c r="CR957" s="178"/>
      <c r="CS957" s="178"/>
      <c r="CT957" s="178"/>
      <c r="CU957" s="178"/>
      <c r="CV957" s="178"/>
      <c r="CW957" s="178"/>
      <c r="CX957" s="178"/>
      <c r="CY957" s="178"/>
      <c r="CZ957" s="178"/>
      <c r="DA957" s="150"/>
    </row>
    <row r="958" spans="53:105" x14ac:dyDescent="0.2">
      <c r="BA958" s="518">
        <f t="shared" ca="1" si="55"/>
        <v>61</v>
      </c>
      <c r="BB958" s="174">
        <f t="shared" ca="1" si="56"/>
        <v>895</v>
      </c>
      <c r="BC958" s="525" t="e">
        <f ca="1">MATCH(BD958,OFFSET(Pinlist!$A$2,BC957*(BA958=BA957),0,$BM$23,1),0)+BC957*(BA958=BA957)</f>
        <v>#N/A</v>
      </c>
      <c r="BD958" s="167">
        <f t="shared" ca="1" si="57"/>
        <v>0</v>
      </c>
      <c r="BE958" s="191" t="e">
        <f ca="1">(OFFSET(Pinlist!$E$1,BC958,0)-$BN$16)*$BN$19</f>
        <v>#N/A</v>
      </c>
      <c r="BF958" s="192" t="e">
        <f ca="1">(OFFSET(Pinlist!$F$1,BC958,0)-$BO$16)*$BO$19</f>
        <v>#N/A</v>
      </c>
      <c r="BG958" s="1098" t="str">
        <f ca="1">IF(LEFT(BD958,2)="RF",OFFSET(Pinlist!$D$1,Chart!BC958,0)&amp;"_"&amp;OFFSET(Pinlist!$G$1,Chart!BC958,0),"")</f>
        <v/>
      </c>
      <c r="BH958" s="1098"/>
      <c r="BI958" s="178"/>
      <c r="BJ958" s="178"/>
      <c r="BK958" s="178"/>
      <c r="BL958" s="178"/>
      <c r="BM958" s="178"/>
      <c r="BN958" s="178"/>
      <c r="BO958" s="178"/>
      <c r="BP958" s="178"/>
      <c r="BQ958" s="196"/>
      <c r="BR958" s="196"/>
      <c r="BS958" s="196"/>
      <c r="BT958" s="196"/>
      <c r="BU958" s="196"/>
      <c r="BV958" s="196"/>
      <c r="BW958" s="178"/>
      <c r="BX958" s="196"/>
      <c r="BY958" s="196"/>
      <c r="BZ958" s="196"/>
      <c r="CA958" s="196"/>
      <c r="CB958" s="178"/>
      <c r="CC958" s="178"/>
      <c r="CD958" s="202"/>
      <c r="CE958" s="202"/>
      <c r="CF958" s="178"/>
      <c r="CG958" s="196"/>
      <c r="CH958" s="178"/>
      <c r="CI958" s="178"/>
      <c r="CJ958" s="178"/>
      <c r="CK958" s="178"/>
      <c r="CL958" s="178"/>
      <c r="CM958" s="178"/>
      <c r="CN958" s="178"/>
      <c r="CO958" s="178"/>
      <c r="CP958" s="178"/>
      <c r="CQ958" s="178"/>
      <c r="CR958" s="178"/>
      <c r="CS958" s="178"/>
      <c r="CT958" s="178"/>
      <c r="CU958" s="178"/>
      <c r="CV958" s="178"/>
      <c r="CW958" s="178"/>
      <c r="CX958" s="178"/>
      <c r="CY958" s="178"/>
      <c r="CZ958" s="178"/>
      <c r="DA958" s="150"/>
    </row>
    <row r="959" spans="53:105" x14ac:dyDescent="0.2">
      <c r="BA959" s="518">
        <f t="shared" ca="1" si="55"/>
        <v>61</v>
      </c>
      <c r="BB959" s="174">
        <f t="shared" ca="1" si="56"/>
        <v>896</v>
      </c>
      <c r="BC959" s="525" t="e">
        <f ca="1">MATCH(BD959,OFFSET(Pinlist!$A$2,BC958*(BA959=BA958),0,$BM$23,1),0)+BC958*(BA959=BA958)</f>
        <v>#N/A</v>
      </c>
      <c r="BD959" s="167">
        <f t="shared" ca="1" si="57"/>
        <v>0</v>
      </c>
      <c r="BE959" s="191" t="e">
        <f ca="1">(OFFSET(Pinlist!$E$1,BC959,0)-$BN$16)*$BN$19</f>
        <v>#N/A</v>
      </c>
      <c r="BF959" s="192" t="e">
        <f ca="1">(OFFSET(Pinlist!$F$1,BC959,0)-$BO$16)*$BO$19</f>
        <v>#N/A</v>
      </c>
      <c r="BG959" s="1098" t="str">
        <f ca="1">IF(LEFT(BD959,2)="RF",OFFSET(Pinlist!$D$1,Chart!BC959,0)&amp;"_"&amp;OFFSET(Pinlist!$G$1,Chart!BC959,0),"")</f>
        <v/>
      </c>
      <c r="BH959" s="1098"/>
      <c r="BI959" s="178"/>
      <c r="BJ959" s="178"/>
      <c r="BK959" s="178"/>
      <c r="BL959" s="178"/>
      <c r="BM959" s="178"/>
      <c r="BN959" s="178"/>
      <c r="BO959" s="178"/>
      <c r="BP959" s="178"/>
      <c r="BQ959" s="196"/>
      <c r="BR959" s="196"/>
      <c r="BS959" s="196"/>
      <c r="BT959" s="196"/>
      <c r="BU959" s="196"/>
      <c r="BV959" s="196"/>
      <c r="BW959" s="178"/>
      <c r="BX959" s="196"/>
      <c r="BY959" s="196"/>
      <c r="BZ959" s="196"/>
      <c r="CA959" s="196"/>
      <c r="CB959" s="178"/>
      <c r="CC959" s="178"/>
      <c r="CD959" s="202"/>
      <c r="CE959" s="202"/>
      <c r="CF959" s="178"/>
      <c r="CG959" s="196"/>
      <c r="CH959" s="178"/>
      <c r="CI959" s="178"/>
      <c r="CJ959" s="178"/>
      <c r="CK959" s="178"/>
      <c r="CL959" s="178"/>
      <c r="CM959" s="178"/>
      <c r="CN959" s="178"/>
      <c r="CO959" s="178"/>
      <c r="CP959" s="178"/>
      <c r="CQ959" s="178"/>
      <c r="CR959" s="178"/>
      <c r="CS959" s="178"/>
      <c r="CT959" s="178"/>
      <c r="CU959" s="178"/>
      <c r="CV959" s="178"/>
      <c r="CW959" s="178"/>
      <c r="CX959" s="178"/>
      <c r="CY959" s="178"/>
      <c r="CZ959" s="178"/>
      <c r="DA959" s="150"/>
    </row>
    <row r="960" spans="53:105" x14ac:dyDescent="0.2">
      <c r="BA960" s="518">
        <f t="shared" ca="1" si="55"/>
        <v>61</v>
      </c>
      <c r="BB960" s="174">
        <f t="shared" ca="1" si="56"/>
        <v>897</v>
      </c>
      <c r="BC960" s="525" t="e">
        <f ca="1">MATCH(BD960,OFFSET(Pinlist!$A$2,BC959*(BA960=BA959),0,$BM$23,1),0)+BC959*(BA960=BA959)</f>
        <v>#N/A</v>
      </c>
      <c r="BD960" s="167">
        <f t="shared" ca="1" si="57"/>
        <v>0</v>
      </c>
      <c r="BE960" s="191" t="e">
        <f ca="1">(OFFSET(Pinlist!$E$1,BC960,0)-$BN$16)*$BN$19</f>
        <v>#N/A</v>
      </c>
      <c r="BF960" s="192" t="e">
        <f ca="1">(OFFSET(Pinlist!$F$1,BC960,0)-$BO$16)*$BO$19</f>
        <v>#N/A</v>
      </c>
      <c r="BG960" s="1098" t="str">
        <f ca="1">IF(LEFT(BD960,2)="RF",OFFSET(Pinlist!$D$1,Chart!BC960,0)&amp;"_"&amp;OFFSET(Pinlist!$G$1,Chart!BC960,0),"")</f>
        <v/>
      </c>
      <c r="BH960" s="1098"/>
      <c r="BI960" s="178"/>
      <c r="BJ960" s="178"/>
      <c r="BK960" s="178"/>
      <c r="BL960" s="178"/>
      <c r="BM960" s="178"/>
      <c r="BN960" s="178"/>
      <c r="BO960" s="178"/>
      <c r="BP960" s="178"/>
      <c r="BQ960" s="196"/>
      <c r="BR960" s="196"/>
      <c r="BS960" s="196"/>
      <c r="BT960" s="196"/>
      <c r="BU960" s="196"/>
      <c r="BV960" s="196"/>
      <c r="BW960" s="178"/>
      <c r="BX960" s="196"/>
      <c r="BY960" s="196"/>
      <c r="BZ960" s="196"/>
      <c r="CA960" s="196"/>
      <c r="CB960" s="178"/>
      <c r="CC960" s="178"/>
      <c r="CD960" s="202"/>
      <c r="CE960" s="202"/>
      <c r="CF960" s="178"/>
      <c r="CG960" s="196"/>
      <c r="CH960" s="178"/>
      <c r="CI960" s="178"/>
      <c r="CJ960" s="178"/>
      <c r="CK960" s="178"/>
      <c r="CL960" s="178"/>
      <c r="CM960" s="178"/>
      <c r="CN960" s="178"/>
      <c r="CO960" s="178"/>
      <c r="CP960" s="178"/>
      <c r="CQ960" s="178"/>
      <c r="CR960" s="178"/>
      <c r="CS960" s="178"/>
      <c r="CT960" s="178"/>
      <c r="CU960" s="178"/>
      <c r="CV960" s="178"/>
      <c r="CW960" s="178"/>
      <c r="CX960" s="178"/>
      <c r="CY960" s="178"/>
      <c r="CZ960" s="178"/>
      <c r="DA960" s="150"/>
    </row>
    <row r="961" spans="53:105" x14ac:dyDescent="0.2">
      <c r="BA961" s="518">
        <f t="shared" ca="1" si="55"/>
        <v>61</v>
      </c>
      <c r="BB961" s="174">
        <f t="shared" ca="1" si="56"/>
        <v>898</v>
      </c>
      <c r="BC961" s="525" t="e">
        <f ca="1">MATCH(BD961,OFFSET(Pinlist!$A$2,BC960*(BA961=BA960),0,$BM$23,1),0)+BC960*(BA961=BA960)</f>
        <v>#N/A</v>
      </c>
      <c r="BD961" s="167">
        <f t="shared" ca="1" si="57"/>
        <v>0</v>
      </c>
      <c r="BE961" s="191" t="e">
        <f ca="1">(OFFSET(Pinlist!$E$1,BC961,0)-$BN$16)*$BN$19</f>
        <v>#N/A</v>
      </c>
      <c r="BF961" s="192" t="e">
        <f ca="1">(OFFSET(Pinlist!$F$1,BC961,0)-$BO$16)*$BO$19</f>
        <v>#N/A</v>
      </c>
      <c r="BG961" s="1098" t="str">
        <f ca="1">IF(LEFT(BD961,2)="RF",OFFSET(Pinlist!$D$1,Chart!BC961,0)&amp;"_"&amp;OFFSET(Pinlist!$G$1,Chart!BC961,0),"")</f>
        <v/>
      </c>
      <c r="BH961" s="1098"/>
      <c r="BI961" s="178"/>
      <c r="BJ961" s="178"/>
      <c r="BK961" s="178"/>
      <c r="BL961" s="178"/>
      <c r="BM961" s="178"/>
      <c r="BN961" s="178"/>
      <c r="BO961" s="178"/>
      <c r="BP961" s="178"/>
      <c r="BQ961" s="196"/>
      <c r="BR961" s="196"/>
      <c r="BS961" s="196"/>
      <c r="BT961" s="196"/>
      <c r="BU961" s="196"/>
      <c r="BV961" s="196"/>
      <c r="BW961" s="178"/>
      <c r="BX961" s="196"/>
      <c r="BY961" s="196"/>
      <c r="BZ961" s="196"/>
      <c r="CA961" s="196"/>
      <c r="CB961" s="178"/>
      <c r="CC961" s="178"/>
      <c r="CD961" s="202"/>
      <c r="CE961" s="202"/>
      <c r="CF961" s="178"/>
      <c r="CG961" s="196"/>
      <c r="CH961" s="178"/>
      <c r="CI961" s="178"/>
      <c r="CJ961" s="178"/>
      <c r="CK961" s="178"/>
      <c r="CL961" s="178"/>
      <c r="CM961" s="178"/>
      <c r="CN961" s="178"/>
      <c r="CO961" s="178"/>
      <c r="CP961" s="178"/>
      <c r="CQ961" s="178"/>
      <c r="CR961" s="178"/>
      <c r="CS961" s="178"/>
      <c r="CT961" s="178"/>
      <c r="CU961" s="178"/>
      <c r="CV961" s="178"/>
      <c r="CW961" s="178"/>
      <c r="CX961" s="178"/>
      <c r="CY961" s="178"/>
      <c r="CZ961" s="178"/>
      <c r="DA961" s="150"/>
    </row>
    <row r="962" spans="53:105" x14ac:dyDescent="0.2">
      <c r="BA962" s="518">
        <f t="shared" ca="1" si="55"/>
        <v>61</v>
      </c>
      <c r="BB962" s="174">
        <f t="shared" ca="1" si="56"/>
        <v>899</v>
      </c>
      <c r="BC962" s="525" t="e">
        <f ca="1">MATCH(BD962,OFFSET(Pinlist!$A$2,BC961*(BA962=BA961),0,$BM$23,1),0)+BC961*(BA962=BA961)</f>
        <v>#N/A</v>
      </c>
      <c r="BD962" s="167">
        <f t="shared" ca="1" si="57"/>
        <v>0</v>
      </c>
      <c r="BE962" s="191" t="e">
        <f ca="1">(OFFSET(Pinlist!$E$1,BC962,0)-$BN$16)*$BN$19</f>
        <v>#N/A</v>
      </c>
      <c r="BF962" s="192" t="e">
        <f ca="1">(OFFSET(Pinlist!$F$1,BC962,0)-$BO$16)*$BO$19</f>
        <v>#N/A</v>
      </c>
      <c r="BG962" s="1098" t="str">
        <f ca="1">IF(LEFT(BD962,2)="RF",OFFSET(Pinlist!$D$1,Chart!BC962,0)&amp;"_"&amp;OFFSET(Pinlist!$G$1,Chart!BC962,0),"")</f>
        <v/>
      </c>
      <c r="BH962" s="1098"/>
      <c r="BI962" s="178"/>
      <c r="BJ962" s="178"/>
      <c r="BK962" s="178"/>
      <c r="BL962" s="178"/>
      <c r="BM962" s="178"/>
      <c r="BN962" s="178"/>
      <c r="BO962" s="178"/>
      <c r="BP962" s="178"/>
      <c r="BQ962" s="196"/>
      <c r="BR962" s="196"/>
      <c r="BS962" s="196"/>
      <c r="BT962" s="196"/>
      <c r="BU962" s="196"/>
      <c r="BV962" s="196"/>
      <c r="BW962" s="178"/>
      <c r="BX962" s="196"/>
      <c r="BY962" s="196"/>
      <c r="BZ962" s="196"/>
      <c r="CA962" s="196"/>
      <c r="CB962" s="178"/>
      <c r="CC962" s="178"/>
      <c r="CD962" s="202"/>
      <c r="CE962" s="202"/>
      <c r="CF962" s="178"/>
      <c r="CG962" s="196"/>
      <c r="CH962" s="178"/>
      <c r="CI962" s="178"/>
      <c r="CJ962" s="178"/>
      <c r="CK962" s="178"/>
      <c r="CL962" s="178"/>
      <c r="CM962" s="178"/>
      <c r="CN962" s="178"/>
      <c r="CO962" s="178"/>
      <c r="CP962" s="178"/>
      <c r="CQ962" s="178"/>
      <c r="CR962" s="178"/>
      <c r="CS962" s="178"/>
      <c r="CT962" s="178"/>
      <c r="CU962" s="178"/>
      <c r="CV962" s="178"/>
      <c r="CW962" s="178"/>
      <c r="CX962" s="178"/>
      <c r="CY962" s="178"/>
      <c r="CZ962" s="178"/>
      <c r="DA962" s="150"/>
    </row>
    <row r="963" spans="53:105" x14ac:dyDescent="0.2">
      <c r="BA963" s="518">
        <f t="shared" ca="1" si="55"/>
        <v>61</v>
      </c>
      <c r="BB963" s="174">
        <f t="shared" ca="1" si="56"/>
        <v>900</v>
      </c>
      <c r="BC963" s="525" t="e">
        <f ca="1">MATCH(BD963,OFFSET(Pinlist!$A$2,BC962*(BA963=BA962),0,$BM$23,1),0)+BC962*(BA963=BA962)</f>
        <v>#N/A</v>
      </c>
      <c r="BD963" s="167">
        <f t="shared" ca="1" si="57"/>
        <v>0</v>
      </c>
      <c r="BE963" s="191" t="e">
        <f ca="1">(OFFSET(Pinlist!$E$1,BC963,0)-$BN$16)*$BN$19</f>
        <v>#N/A</v>
      </c>
      <c r="BF963" s="192" t="e">
        <f ca="1">(OFFSET(Pinlist!$F$1,BC963,0)-$BO$16)*$BO$19</f>
        <v>#N/A</v>
      </c>
      <c r="BG963" s="1098" t="str">
        <f ca="1">IF(LEFT(BD963,2)="RF",OFFSET(Pinlist!$D$1,Chart!BC963,0)&amp;"_"&amp;OFFSET(Pinlist!$G$1,Chart!BC963,0),"")</f>
        <v/>
      </c>
      <c r="BH963" s="1098"/>
      <c r="BI963" s="178"/>
      <c r="BJ963" s="178"/>
      <c r="BK963" s="178"/>
      <c r="BL963" s="178"/>
      <c r="BM963" s="178"/>
      <c r="BN963" s="178"/>
      <c r="BO963" s="178"/>
      <c r="BP963" s="178"/>
      <c r="BQ963" s="196"/>
      <c r="BR963" s="196"/>
      <c r="BS963" s="196"/>
      <c r="BT963" s="196"/>
      <c r="BU963" s="196"/>
      <c r="BV963" s="196"/>
      <c r="BW963" s="178"/>
      <c r="BX963" s="196"/>
      <c r="BY963" s="196"/>
      <c r="BZ963" s="196"/>
      <c r="CA963" s="196"/>
      <c r="CB963" s="178"/>
      <c r="CC963" s="178"/>
      <c r="CD963" s="202"/>
      <c r="CE963" s="202"/>
      <c r="CF963" s="178"/>
      <c r="CG963" s="196"/>
      <c r="CH963" s="178"/>
      <c r="CI963" s="178"/>
      <c r="CJ963" s="178"/>
      <c r="CK963" s="178"/>
      <c r="CL963" s="178"/>
      <c r="CM963" s="178"/>
      <c r="CN963" s="178"/>
      <c r="CO963" s="178"/>
      <c r="CP963" s="178"/>
      <c r="CQ963" s="178"/>
      <c r="CR963" s="178"/>
      <c r="CS963" s="178"/>
      <c r="CT963" s="178"/>
      <c r="CU963" s="178"/>
      <c r="CV963" s="178"/>
      <c r="CW963" s="178"/>
      <c r="CX963" s="178"/>
      <c r="CY963" s="178"/>
      <c r="CZ963" s="178"/>
      <c r="DA963" s="150"/>
    </row>
    <row r="964" spans="53:105" x14ac:dyDescent="0.2">
      <c r="BA964" s="518">
        <f t="shared" ref="BA964:BA1027" ca="1" si="58">BA963+(BB963=OFFSET($BZ$3,BA963,0))</f>
        <v>61</v>
      </c>
      <c r="BB964" s="174">
        <f t="shared" ref="BB964:BB1027" ca="1" si="59">IF(BA964=BA963,BB963+1,1)</f>
        <v>901</v>
      </c>
      <c r="BC964" s="525" t="e">
        <f ca="1">MATCH(BD964,OFFSET(Pinlist!$A$2,BC963*(BA964=BA963),0,$BM$23,1),0)+BC963*(BA964=BA963)</f>
        <v>#N/A</v>
      </c>
      <c r="BD964" s="167">
        <f t="shared" ref="BD964:BD1027" ca="1" si="60">OFFSET($BY$3,BA964,0)</f>
        <v>0</v>
      </c>
      <c r="BE964" s="191" t="e">
        <f ca="1">(OFFSET(Pinlist!$E$1,BC964,0)-$BN$16)*$BN$19</f>
        <v>#N/A</v>
      </c>
      <c r="BF964" s="192" t="e">
        <f ca="1">(OFFSET(Pinlist!$F$1,BC964,0)-$BO$16)*$BO$19</f>
        <v>#N/A</v>
      </c>
      <c r="BG964" s="1098" t="str">
        <f ca="1">IF(LEFT(BD964,2)="RF",OFFSET(Pinlist!$D$1,Chart!BC964,0)&amp;"_"&amp;OFFSET(Pinlist!$G$1,Chart!BC964,0),"")</f>
        <v/>
      </c>
      <c r="BH964" s="1098"/>
      <c r="BI964" s="178"/>
      <c r="BJ964" s="178"/>
      <c r="BK964" s="178"/>
      <c r="BL964" s="178"/>
      <c r="BM964" s="178"/>
      <c r="BN964" s="178"/>
      <c r="BO964" s="178"/>
      <c r="BP964" s="178"/>
      <c r="BQ964" s="196"/>
      <c r="BR964" s="196"/>
      <c r="BS964" s="196"/>
      <c r="BT964" s="196"/>
      <c r="BU964" s="196"/>
      <c r="BV964" s="196"/>
      <c r="BW964" s="178"/>
      <c r="BX964" s="196"/>
      <c r="BY964" s="196"/>
      <c r="BZ964" s="196"/>
      <c r="CA964" s="196"/>
      <c r="CB964" s="178"/>
      <c r="CC964" s="178"/>
      <c r="CD964" s="202"/>
      <c r="CE964" s="202"/>
      <c r="CF964" s="178"/>
      <c r="CG964" s="196"/>
      <c r="CH964" s="178"/>
      <c r="CI964" s="178"/>
      <c r="CJ964" s="178"/>
      <c r="CK964" s="178"/>
      <c r="CL964" s="178"/>
      <c r="CM964" s="178"/>
      <c r="CN964" s="178"/>
      <c r="CO964" s="178"/>
      <c r="CP964" s="178"/>
      <c r="CQ964" s="178"/>
      <c r="CR964" s="178"/>
      <c r="CS964" s="178"/>
      <c r="CT964" s="178"/>
      <c r="CU964" s="178"/>
      <c r="CV964" s="178"/>
      <c r="CW964" s="178"/>
      <c r="CX964" s="178"/>
      <c r="CY964" s="178"/>
      <c r="CZ964" s="178"/>
      <c r="DA964" s="150"/>
    </row>
    <row r="965" spans="53:105" x14ac:dyDescent="0.2">
      <c r="BA965" s="518">
        <f t="shared" ca="1" si="58"/>
        <v>61</v>
      </c>
      <c r="BB965" s="174">
        <f t="shared" ca="1" si="59"/>
        <v>902</v>
      </c>
      <c r="BC965" s="525" t="e">
        <f ca="1">MATCH(BD965,OFFSET(Pinlist!$A$2,BC964*(BA965=BA964),0,$BM$23,1),0)+BC964*(BA965=BA964)</f>
        <v>#N/A</v>
      </c>
      <c r="BD965" s="167">
        <f t="shared" ca="1" si="60"/>
        <v>0</v>
      </c>
      <c r="BE965" s="191" t="e">
        <f ca="1">(OFFSET(Pinlist!$E$1,BC965,0)-$BN$16)*$BN$19</f>
        <v>#N/A</v>
      </c>
      <c r="BF965" s="192" t="e">
        <f ca="1">(OFFSET(Pinlist!$F$1,BC965,0)-$BO$16)*$BO$19</f>
        <v>#N/A</v>
      </c>
      <c r="BG965" s="1098" t="str">
        <f ca="1">IF(LEFT(BD965,2)="RF",OFFSET(Pinlist!$D$1,Chart!BC965,0)&amp;"_"&amp;OFFSET(Pinlist!$G$1,Chart!BC965,0),"")</f>
        <v/>
      </c>
      <c r="BH965" s="1098"/>
      <c r="BI965" s="178"/>
      <c r="BJ965" s="178"/>
      <c r="BK965" s="178"/>
      <c r="BL965" s="178"/>
      <c r="BM965" s="178"/>
      <c r="BN965" s="178"/>
      <c r="BO965" s="178"/>
      <c r="BP965" s="178"/>
      <c r="BQ965" s="196"/>
      <c r="BR965" s="196"/>
      <c r="BS965" s="196"/>
      <c r="BT965" s="196"/>
      <c r="BU965" s="196"/>
      <c r="BV965" s="196"/>
      <c r="BW965" s="178"/>
      <c r="BX965" s="196"/>
      <c r="BY965" s="196"/>
      <c r="BZ965" s="196"/>
      <c r="CA965" s="196"/>
      <c r="CB965" s="178"/>
      <c r="CC965" s="178"/>
      <c r="CD965" s="202"/>
      <c r="CE965" s="202"/>
      <c r="CF965" s="178"/>
      <c r="CG965" s="196"/>
      <c r="CH965" s="178"/>
      <c r="CI965" s="178"/>
      <c r="CJ965" s="178"/>
      <c r="CK965" s="178"/>
      <c r="CL965" s="178"/>
      <c r="CM965" s="178"/>
      <c r="CN965" s="178"/>
      <c r="CO965" s="178"/>
      <c r="CP965" s="178"/>
      <c r="CQ965" s="178"/>
      <c r="CR965" s="178"/>
      <c r="CS965" s="178"/>
      <c r="CT965" s="178"/>
      <c r="CU965" s="178"/>
      <c r="CV965" s="178"/>
      <c r="CW965" s="178"/>
      <c r="CX965" s="178"/>
      <c r="CY965" s="178"/>
      <c r="CZ965" s="178"/>
      <c r="DA965" s="150"/>
    </row>
    <row r="966" spans="53:105" x14ac:dyDescent="0.2">
      <c r="BA966" s="518">
        <f t="shared" ca="1" si="58"/>
        <v>61</v>
      </c>
      <c r="BB966" s="174">
        <f t="shared" ca="1" si="59"/>
        <v>903</v>
      </c>
      <c r="BC966" s="525" t="e">
        <f ca="1">MATCH(BD966,OFFSET(Pinlist!$A$2,BC965*(BA966=BA965),0,$BM$23,1),0)+BC965*(BA966=BA965)</f>
        <v>#N/A</v>
      </c>
      <c r="BD966" s="167">
        <f t="shared" ca="1" si="60"/>
        <v>0</v>
      </c>
      <c r="BE966" s="191" t="e">
        <f ca="1">(OFFSET(Pinlist!$E$1,BC966,0)-$BN$16)*$BN$19</f>
        <v>#N/A</v>
      </c>
      <c r="BF966" s="192" t="e">
        <f ca="1">(OFFSET(Pinlist!$F$1,BC966,0)-$BO$16)*$BO$19</f>
        <v>#N/A</v>
      </c>
      <c r="BG966" s="1098" t="str">
        <f ca="1">IF(LEFT(BD966,2)="RF",OFFSET(Pinlist!$D$1,Chart!BC966,0)&amp;"_"&amp;OFFSET(Pinlist!$G$1,Chart!BC966,0),"")</f>
        <v/>
      </c>
      <c r="BH966" s="1098"/>
      <c r="BI966" s="178"/>
      <c r="BJ966" s="178"/>
      <c r="BK966" s="178"/>
      <c r="BL966" s="178"/>
      <c r="BM966" s="178"/>
      <c r="BN966" s="178"/>
      <c r="BO966" s="178"/>
      <c r="BP966" s="178"/>
      <c r="BQ966" s="196"/>
      <c r="BR966" s="196"/>
      <c r="BS966" s="196"/>
      <c r="BT966" s="196"/>
      <c r="BU966" s="196"/>
      <c r="BV966" s="196"/>
      <c r="BW966" s="178"/>
      <c r="BX966" s="196"/>
      <c r="BY966" s="196"/>
      <c r="BZ966" s="196"/>
      <c r="CA966" s="196"/>
      <c r="CB966" s="178"/>
      <c r="CC966" s="178"/>
      <c r="CD966" s="202"/>
      <c r="CE966" s="202"/>
      <c r="CF966" s="178"/>
      <c r="CG966" s="196"/>
      <c r="CH966" s="178"/>
      <c r="CI966" s="178"/>
      <c r="CJ966" s="178"/>
      <c r="CK966" s="178"/>
      <c r="CL966" s="178"/>
      <c r="CM966" s="178"/>
      <c r="CN966" s="178"/>
      <c r="CO966" s="178"/>
      <c r="CP966" s="178"/>
      <c r="CQ966" s="178"/>
      <c r="CR966" s="178"/>
      <c r="CS966" s="178"/>
      <c r="CT966" s="178"/>
      <c r="CU966" s="178"/>
      <c r="CV966" s="178"/>
      <c r="CW966" s="178"/>
      <c r="CX966" s="178"/>
      <c r="CY966" s="178"/>
      <c r="CZ966" s="178"/>
      <c r="DA966" s="150"/>
    </row>
    <row r="967" spans="53:105" x14ac:dyDescent="0.2">
      <c r="BA967" s="518">
        <f t="shared" ca="1" si="58"/>
        <v>61</v>
      </c>
      <c r="BB967" s="174">
        <f t="shared" ca="1" si="59"/>
        <v>904</v>
      </c>
      <c r="BC967" s="525" t="e">
        <f ca="1">MATCH(BD967,OFFSET(Pinlist!$A$2,BC966*(BA967=BA966),0,$BM$23,1),0)+BC966*(BA967=BA966)</f>
        <v>#N/A</v>
      </c>
      <c r="BD967" s="167">
        <f t="shared" ca="1" si="60"/>
        <v>0</v>
      </c>
      <c r="BE967" s="191" t="e">
        <f ca="1">(OFFSET(Pinlist!$E$1,BC967,0)-$BN$16)*$BN$19</f>
        <v>#N/A</v>
      </c>
      <c r="BF967" s="192" t="e">
        <f ca="1">(OFFSET(Pinlist!$F$1,BC967,0)-$BO$16)*$BO$19</f>
        <v>#N/A</v>
      </c>
      <c r="BG967" s="1098" t="str">
        <f ca="1">IF(LEFT(BD967,2)="RF",OFFSET(Pinlist!$D$1,Chart!BC967,0)&amp;"_"&amp;OFFSET(Pinlist!$G$1,Chart!BC967,0),"")</f>
        <v/>
      </c>
      <c r="BH967" s="1098"/>
      <c r="BI967" s="178"/>
      <c r="BJ967" s="178"/>
      <c r="BK967" s="178"/>
      <c r="BL967" s="178"/>
      <c r="BM967" s="178"/>
      <c r="BN967" s="178"/>
      <c r="BO967" s="178"/>
      <c r="BP967" s="178"/>
      <c r="BQ967" s="196"/>
      <c r="BR967" s="196"/>
      <c r="BS967" s="196"/>
      <c r="BT967" s="196"/>
      <c r="BU967" s="196"/>
      <c r="BV967" s="196"/>
      <c r="BW967" s="178"/>
      <c r="BX967" s="196"/>
      <c r="BY967" s="196"/>
      <c r="BZ967" s="196"/>
      <c r="CA967" s="196"/>
      <c r="CB967" s="178"/>
      <c r="CC967" s="178"/>
      <c r="CD967" s="202"/>
      <c r="CE967" s="202"/>
      <c r="CF967" s="178"/>
      <c r="CG967" s="196"/>
      <c r="CH967" s="178"/>
      <c r="CI967" s="178"/>
      <c r="CJ967" s="178"/>
      <c r="CK967" s="178"/>
      <c r="CL967" s="178"/>
      <c r="CM967" s="178"/>
      <c r="CN967" s="178"/>
      <c r="CO967" s="178"/>
      <c r="CP967" s="178"/>
      <c r="CQ967" s="178"/>
      <c r="CR967" s="178"/>
      <c r="CS967" s="178"/>
      <c r="CT967" s="178"/>
      <c r="CU967" s="178"/>
      <c r="CV967" s="178"/>
      <c r="CW967" s="178"/>
      <c r="CX967" s="178"/>
      <c r="CY967" s="178"/>
      <c r="CZ967" s="178"/>
      <c r="DA967" s="150"/>
    </row>
    <row r="968" spans="53:105" x14ac:dyDescent="0.2">
      <c r="BA968" s="518">
        <f t="shared" ca="1" si="58"/>
        <v>61</v>
      </c>
      <c r="BB968" s="174">
        <f t="shared" ca="1" si="59"/>
        <v>905</v>
      </c>
      <c r="BC968" s="525" t="e">
        <f ca="1">MATCH(BD968,OFFSET(Pinlist!$A$2,BC967*(BA968=BA967),0,$BM$23,1),0)+BC967*(BA968=BA967)</f>
        <v>#N/A</v>
      </c>
      <c r="BD968" s="167">
        <f t="shared" ca="1" si="60"/>
        <v>0</v>
      </c>
      <c r="BE968" s="191" t="e">
        <f ca="1">(OFFSET(Pinlist!$E$1,BC968,0)-$BN$16)*$BN$19</f>
        <v>#N/A</v>
      </c>
      <c r="BF968" s="192" t="e">
        <f ca="1">(OFFSET(Pinlist!$F$1,BC968,0)-$BO$16)*$BO$19</f>
        <v>#N/A</v>
      </c>
      <c r="BG968" s="1098" t="str">
        <f ca="1">IF(LEFT(BD968,2)="RF",OFFSET(Pinlist!$D$1,Chart!BC968,0)&amp;"_"&amp;OFFSET(Pinlist!$G$1,Chart!BC968,0),"")</f>
        <v/>
      </c>
      <c r="BH968" s="1098"/>
      <c r="BI968" s="178"/>
      <c r="BJ968" s="178"/>
      <c r="BK968" s="178"/>
      <c r="BL968" s="178"/>
      <c r="BM968" s="178"/>
      <c r="BN968" s="178"/>
      <c r="BO968" s="178"/>
      <c r="BP968" s="178"/>
      <c r="BQ968" s="196"/>
      <c r="BR968" s="196"/>
      <c r="BS968" s="196"/>
      <c r="BT968" s="196"/>
      <c r="BU968" s="196"/>
      <c r="BV968" s="196"/>
      <c r="BW968" s="178"/>
      <c r="BX968" s="196"/>
      <c r="BY968" s="196"/>
      <c r="BZ968" s="196"/>
      <c r="CA968" s="196"/>
      <c r="CB968" s="178"/>
      <c r="CC968" s="178"/>
      <c r="CD968" s="202"/>
      <c r="CE968" s="202"/>
      <c r="CF968" s="178"/>
      <c r="CG968" s="196"/>
      <c r="CH968" s="178"/>
      <c r="CI968" s="178"/>
      <c r="CJ968" s="178"/>
      <c r="CK968" s="178"/>
      <c r="CL968" s="178"/>
      <c r="CM968" s="178"/>
      <c r="CN968" s="178"/>
      <c r="CO968" s="178"/>
      <c r="CP968" s="178"/>
      <c r="CQ968" s="178"/>
      <c r="CR968" s="178"/>
      <c r="CS968" s="178"/>
      <c r="CT968" s="178"/>
      <c r="CU968" s="178"/>
      <c r="CV968" s="178"/>
      <c r="CW968" s="178"/>
      <c r="CX968" s="178"/>
      <c r="CY968" s="178"/>
      <c r="CZ968" s="178"/>
      <c r="DA968" s="150"/>
    </row>
    <row r="969" spans="53:105" x14ac:dyDescent="0.2">
      <c r="BA969" s="518">
        <f t="shared" ca="1" si="58"/>
        <v>61</v>
      </c>
      <c r="BB969" s="174">
        <f t="shared" ca="1" si="59"/>
        <v>906</v>
      </c>
      <c r="BC969" s="525" t="e">
        <f ca="1">MATCH(BD969,OFFSET(Pinlist!$A$2,BC968*(BA969=BA968),0,$BM$23,1),0)+BC968*(BA969=BA968)</f>
        <v>#N/A</v>
      </c>
      <c r="BD969" s="167">
        <f t="shared" ca="1" si="60"/>
        <v>0</v>
      </c>
      <c r="BE969" s="191" t="e">
        <f ca="1">(OFFSET(Pinlist!$E$1,BC969,0)-$BN$16)*$BN$19</f>
        <v>#N/A</v>
      </c>
      <c r="BF969" s="192" t="e">
        <f ca="1">(OFFSET(Pinlist!$F$1,BC969,0)-$BO$16)*$BO$19</f>
        <v>#N/A</v>
      </c>
      <c r="BG969" s="1098" t="str">
        <f ca="1">IF(LEFT(BD969,2)="RF",OFFSET(Pinlist!$D$1,Chart!BC969,0)&amp;"_"&amp;OFFSET(Pinlist!$G$1,Chart!BC969,0),"")</f>
        <v/>
      </c>
      <c r="BH969" s="1098"/>
      <c r="BI969" s="178"/>
      <c r="BJ969" s="178"/>
      <c r="BK969" s="178"/>
      <c r="BL969" s="178"/>
      <c r="BM969" s="178"/>
      <c r="BN969" s="178"/>
      <c r="BO969" s="178"/>
      <c r="BP969" s="178"/>
      <c r="BQ969" s="196"/>
      <c r="BR969" s="196"/>
      <c r="BS969" s="196"/>
      <c r="BT969" s="196"/>
      <c r="BU969" s="196"/>
      <c r="BV969" s="196"/>
      <c r="BW969" s="178"/>
      <c r="BX969" s="196"/>
      <c r="BY969" s="196"/>
      <c r="BZ969" s="196"/>
      <c r="CA969" s="196"/>
      <c r="CB969" s="178"/>
      <c r="CC969" s="178"/>
      <c r="CD969" s="202"/>
      <c r="CE969" s="202"/>
      <c r="CF969" s="178"/>
      <c r="CG969" s="196"/>
      <c r="CH969" s="178"/>
      <c r="CI969" s="178"/>
      <c r="CJ969" s="178"/>
      <c r="CK969" s="178"/>
      <c r="CL969" s="178"/>
      <c r="CM969" s="178"/>
      <c r="CN969" s="178"/>
      <c r="CO969" s="178"/>
      <c r="CP969" s="178"/>
      <c r="CQ969" s="178"/>
      <c r="CR969" s="178"/>
      <c r="CS969" s="178"/>
      <c r="CT969" s="178"/>
      <c r="CU969" s="178"/>
      <c r="CV969" s="178"/>
      <c r="CW969" s="178"/>
      <c r="CX969" s="178"/>
      <c r="CY969" s="178"/>
      <c r="CZ969" s="178"/>
      <c r="DA969" s="150"/>
    </row>
    <row r="970" spans="53:105" x14ac:dyDescent="0.2">
      <c r="BA970" s="518">
        <f t="shared" ca="1" si="58"/>
        <v>61</v>
      </c>
      <c r="BB970" s="174">
        <f t="shared" ca="1" si="59"/>
        <v>907</v>
      </c>
      <c r="BC970" s="525" t="e">
        <f ca="1">MATCH(BD970,OFFSET(Pinlist!$A$2,BC969*(BA970=BA969),0,$BM$23,1),0)+BC969*(BA970=BA969)</f>
        <v>#N/A</v>
      </c>
      <c r="BD970" s="167">
        <f t="shared" ca="1" si="60"/>
        <v>0</v>
      </c>
      <c r="BE970" s="191" t="e">
        <f ca="1">(OFFSET(Pinlist!$E$1,BC970,0)-$BN$16)*$BN$19</f>
        <v>#N/A</v>
      </c>
      <c r="BF970" s="192" t="e">
        <f ca="1">(OFFSET(Pinlist!$F$1,BC970,0)-$BO$16)*$BO$19</f>
        <v>#N/A</v>
      </c>
      <c r="BG970" s="1098" t="str">
        <f ca="1">IF(LEFT(BD970,2)="RF",OFFSET(Pinlist!$D$1,Chart!BC970,0)&amp;"_"&amp;OFFSET(Pinlist!$G$1,Chart!BC970,0),"")</f>
        <v/>
      </c>
      <c r="BH970" s="1098"/>
      <c r="BI970" s="178"/>
      <c r="BJ970" s="178"/>
      <c r="BK970" s="178"/>
      <c r="BL970" s="178"/>
      <c r="BM970" s="178"/>
      <c r="BN970" s="178"/>
      <c r="BO970" s="178"/>
      <c r="BP970" s="178"/>
      <c r="BQ970" s="196"/>
      <c r="BR970" s="196"/>
      <c r="BS970" s="196"/>
      <c r="BT970" s="196"/>
      <c r="BU970" s="196"/>
      <c r="BV970" s="196"/>
      <c r="BW970" s="178"/>
      <c r="BX970" s="196"/>
      <c r="BY970" s="196"/>
      <c r="BZ970" s="196"/>
      <c r="CA970" s="196"/>
      <c r="CB970" s="178"/>
      <c r="CC970" s="178"/>
      <c r="CD970" s="202"/>
      <c r="CE970" s="202"/>
      <c r="CF970" s="178"/>
      <c r="CG970" s="196"/>
      <c r="CH970" s="178"/>
      <c r="CI970" s="178"/>
      <c r="CJ970" s="178"/>
      <c r="CK970" s="178"/>
      <c r="CL970" s="178"/>
      <c r="CM970" s="178"/>
      <c r="CN970" s="178"/>
      <c r="CO970" s="178"/>
      <c r="CP970" s="178"/>
      <c r="CQ970" s="178"/>
      <c r="CR970" s="178"/>
      <c r="CS970" s="178"/>
      <c r="CT970" s="178"/>
      <c r="CU970" s="178"/>
      <c r="CV970" s="178"/>
      <c r="CW970" s="178"/>
      <c r="CX970" s="178"/>
      <c r="CY970" s="178"/>
      <c r="CZ970" s="178"/>
      <c r="DA970" s="150"/>
    </row>
    <row r="971" spans="53:105" x14ac:dyDescent="0.2">
      <c r="BA971" s="518">
        <f t="shared" ca="1" si="58"/>
        <v>61</v>
      </c>
      <c r="BB971" s="174">
        <f t="shared" ca="1" si="59"/>
        <v>908</v>
      </c>
      <c r="BC971" s="525" t="e">
        <f ca="1">MATCH(BD971,OFFSET(Pinlist!$A$2,BC970*(BA971=BA970),0,$BM$23,1),0)+BC970*(BA971=BA970)</f>
        <v>#N/A</v>
      </c>
      <c r="BD971" s="167">
        <f t="shared" ca="1" si="60"/>
        <v>0</v>
      </c>
      <c r="BE971" s="191" t="e">
        <f ca="1">(OFFSET(Pinlist!$E$1,BC971,0)-$BN$16)*$BN$19</f>
        <v>#N/A</v>
      </c>
      <c r="BF971" s="192" t="e">
        <f ca="1">(OFFSET(Pinlist!$F$1,BC971,0)-$BO$16)*$BO$19</f>
        <v>#N/A</v>
      </c>
      <c r="BG971" s="1098" t="str">
        <f ca="1">IF(LEFT(BD971,2)="RF",OFFSET(Pinlist!$D$1,Chart!BC971,0)&amp;"_"&amp;OFFSET(Pinlist!$G$1,Chart!BC971,0),"")</f>
        <v/>
      </c>
      <c r="BH971" s="1098"/>
      <c r="BI971" s="178"/>
      <c r="BJ971" s="178"/>
      <c r="BK971" s="178"/>
      <c r="BL971" s="178"/>
      <c r="BM971" s="178"/>
      <c r="BN971" s="178"/>
      <c r="BO971" s="178"/>
      <c r="BP971" s="178"/>
      <c r="BQ971" s="196"/>
      <c r="BR971" s="196"/>
      <c r="BS971" s="196"/>
      <c r="BT971" s="196"/>
      <c r="BU971" s="196"/>
      <c r="BV971" s="196"/>
      <c r="BW971" s="178"/>
      <c r="BX971" s="196"/>
      <c r="BY971" s="196"/>
      <c r="BZ971" s="196"/>
      <c r="CA971" s="196"/>
      <c r="CB971" s="178"/>
      <c r="CC971" s="178"/>
      <c r="CD971" s="202"/>
      <c r="CE971" s="202"/>
      <c r="CF971" s="178"/>
      <c r="CG971" s="196"/>
      <c r="CH971" s="178"/>
      <c r="CI971" s="178"/>
      <c r="CJ971" s="178"/>
      <c r="CK971" s="178"/>
      <c r="CL971" s="178"/>
      <c r="CM971" s="178"/>
      <c r="CN971" s="178"/>
      <c r="CO971" s="178"/>
      <c r="CP971" s="178"/>
      <c r="CQ971" s="178"/>
      <c r="CR971" s="178"/>
      <c r="CS971" s="178"/>
      <c r="CT971" s="178"/>
      <c r="CU971" s="178"/>
      <c r="CV971" s="178"/>
      <c r="CW971" s="178"/>
      <c r="CX971" s="178"/>
      <c r="CY971" s="178"/>
      <c r="CZ971" s="178"/>
      <c r="DA971" s="150"/>
    </row>
    <row r="972" spans="53:105" x14ac:dyDescent="0.2">
      <c r="BA972" s="518">
        <f t="shared" ca="1" si="58"/>
        <v>61</v>
      </c>
      <c r="BB972" s="174">
        <f t="shared" ca="1" si="59"/>
        <v>909</v>
      </c>
      <c r="BC972" s="525" t="e">
        <f ca="1">MATCH(BD972,OFFSET(Pinlist!$A$2,BC971*(BA972=BA971),0,$BM$23,1),0)+BC971*(BA972=BA971)</f>
        <v>#N/A</v>
      </c>
      <c r="BD972" s="167">
        <f t="shared" ca="1" si="60"/>
        <v>0</v>
      </c>
      <c r="BE972" s="191" t="e">
        <f ca="1">(OFFSET(Pinlist!$E$1,BC972,0)-$BN$16)*$BN$19</f>
        <v>#N/A</v>
      </c>
      <c r="BF972" s="192" t="e">
        <f ca="1">(OFFSET(Pinlist!$F$1,BC972,0)-$BO$16)*$BO$19</f>
        <v>#N/A</v>
      </c>
      <c r="BG972" s="1098" t="str">
        <f ca="1">IF(LEFT(BD972,2)="RF",OFFSET(Pinlist!$D$1,Chart!BC972,0)&amp;"_"&amp;OFFSET(Pinlist!$G$1,Chart!BC972,0),"")</f>
        <v/>
      </c>
      <c r="BH972" s="1098"/>
      <c r="BI972" s="178"/>
      <c r="BJ972" s="178"/>
      <c r="BK972" s="178"/>
      <c r="BL972" s="178"/>
      <c r="BM972" s="178"/>
      <c r="BN972" s="178"/>
      <c r="BO972" s="178"/>
      <c r="BP972" s="178"/>
      <c r="BQ972" s="196"/>
      <c r="BR972" s="196"/>
      <c r="BS972" s="196"/>
      <c r="BT972" s="196"/>
      <c r="BU972" s="196"/>
      <c r="BV972" s="196"/>
      <c r="BW972" s="178"/>
      <c r="BX972" s="196"/>
      <c r="BY972" s="196"/>
      <c r="BZ972" s="196"/>
      <c r="CA972" s="196"/>
      <c r="CB972" s="178"/>
      <c r="CC972" s="178"/>
      <c r="CD972" s="202"/>
      <c r="CE972" s="202"/>
      <c r="CF972" s="178"/>
      <c r="CG972" s="196"/>
      <c r="CH972" s="178"/>
      <c r="CI972" s="178"/>
      <c r="CJ972" s="178"/>
      <c r="CK972" s="178"/>
      <c r="CL972" s="178"/>
      <c r="CM972" s="178"/>
      <c r="CN972" s="178"/>
      <c r="CO972" s="178"/>
      <c r="CP972" s="178"/>
      <c r="CQ972" s="178"/>
      <c r="CR972" s="178"/>
      <c r="CS972" s="178"/>
      <c r="CT972" s="178"/>
      <c r="CU972" s="178"/>
      <c r="CV972" s="178"/>
      <c r="CW972" s="178"/>
      <c r="CX972" s="178"/>
      <c r="CY972" s="178"/>
      <c r="CZ972" s="178"/>
      <c r="DA972" s="150"/>
    </row>
    <row r="973" spans="53:105" x14ac:dyDescent="0.2">
      <c r="BA973" s="518">
        <f t="shared" ca="1" si="58"/>
        <v>61</v>
      </c>
      <c r="BB973" s="174">
        <f t="shared" ca="1" si="59"/>
        <v>910</v>
      </c>
      <c r="BC973" s="525" t="e">
        <f ca="1">MATCH(BD973,OFFSET(Pinlist!$A$2,BC972*(BA973=BA972),0,$BM$23,1),0)+BC972*(BA973=BA972)</f>
        <v>#N/A</v>
      </c>
      <c r="BD973" s="167">
        <f t="shared" ca="1" si="60"/>
        <v>0</v>
      </c>
      <c r="BE973" s="191" t="e">
        <f ca="1">(OFFSET(Pinlist!$E$1,BC973,0)-$BN$16)*$BN$19</f>
        <v>#N/A</v>
      </c>
      <c r="BF973" s="192" t="e">
        <f ca="1">(OFFSET(Pinlist!$F$1,BC973,0)-$BO$16)*$BO$19</f>
        <v>#N/A</v>
      </c>
      <c r="BG973" s="1098" t="str">
        <f ca="1">IF(LEFT(BD973,2)="RF",OFFSET(Pinlist!$D$1,Chart!BC973,0)&amp;"_"&amp;OFFSET(Pinlist!$G$1,Chart!BC973,0),"")</f>
        <v/>
      </c>
      <c r="BH973" s="1098"/>
      <c r="BI973" s="178"/>
      <c r="BJ973" s="178"/>
      <c r="BK973" s="178"/>
      <c r="BL973" s="178"/>
      <c r="BM973" s="178"/>
      <c r="BN973" s="178"/>
      <c r="BO973" s="178"/>
      <c r="BP973" s="178"/>
      <c r="BQ973" s="196"/>
      <c r="BR973" s="196"/>
      <c r="BS973" s="196"/>
      <c r="BT973" s="196"/>
      <c r="BU973" s="196"/>
      <c r="BV973" s="196"/>
      <c r="BW973" s="178"/>
      <c r="BX973" s="196"/>
      <c r="BY973" s="196"/>
      <c r="BZ973" s="196"/>
      <c r="CA973" s="196"/>
      <c r="CB973" s="178"/>
      <c r="CC973" s="178"/>
      <c r="CD973" s="202"/>
      <c r="CE973" s="202"/>
      <c r="CF973" s="178"/>
      <c r="CG973" s="196"/>
      <c r="CH973" s="178"/>
      <c r="CI973" s="178"/>
      <c r="CJ973" s="178"/>
      <c r="CK973" s="178"/>
      <c r="CL973" s="178"/>
      <c r="CM973" s="178"/>
      <c r="CN973" s="178"/>
      <c r="CO973" s="178"/>
      <c r="CP973" s="178"/>
      <c r="CQ973" s="178"/>
      <c r="CR973" s="178"/>
      <c r="CS973" s="178"/>
      <c r="CT973" s="178"/>
      <c r="CU973" s="178"/>
      <c r="CV973" s="178"/>
      <c r="CW973" s="178"/>
      <c r="CX973" s="178"/>
      <c r="CY973" s="178"/>
      <c r="CZ973" s="178"/>
      <c r="DA973" s="150"/>
    </row>
    <row r="974" spans="53:105" x14ac:dyDescent="0.2">
      <c r="BA974" s="518">
        <f t="shared" ca="1" si="58"/>
        <v>61</v>
      </c>
      <c r="BB974" s="174">
        <f t="shared" ca="1" si="59"/>
        <v>911</v>
      </c>
      <c r="BC974" s="525" t="e">
        <f ca="1">MATCH(BD974,OFFSET(Pinlist!$A$2,BC973*(BA974=BA973),0,$BM$23,1),0)+BC973*(BA974=BA973)</f>
        <v>#N/A</v>
      </c>
      <c r="BD974" s="167">
        <f t="shared" ca="1" si="60"/>
        <v>0</v>
      </c>
      <c r="BE974" s="191" t="e">
        <f ca="1">(OFFSET(Pinlist!$E$1,BC974,0)-$BN$16)*$BN$19</f>
        <v>#N/A</v>
      </c>
      <c r="BF974" s="192" t="e">
        <f ca="1">(OFFSET(Pinlist!$F$1,BC974,0)-$BO$16)*$BO$19</f>
        <v>#N/A</v>
      </c>
      <c r="BG974" s="1098" t="str">
        <f ca="1">IF(LEFT(BD974,2)="RF",OFFSET(Pinlist!$D$1,Chart!BC974,0)&amp;"_"&amp;OFFSET(Pinlist!$G$1,Chart!BC974,0),"")</f>
        <v/>
      </c>
      <c r="BH974" s="1098"/>
      <c r="BI974" s="178"/>
      <c r="BJ974" s="178"/>
      <c r="BK974" s="178"/>
      <c r="BL974" s="178"/>
      <c r="BM974" s="178"/>
      <c r="BN974" s="178"/>
      <c r="BO974" s="178"/>
      <c r="BP974" s="178"/>
      <c r="BQ974" s="196"/>
      <c r="BR974" s="196"/>
      <c r="BS974" s="196"/>
      <c r="BT974" s="196"/>
      <c r="BU974" s="196"/>
      <c r="BV974" s="196"/>
      <c r="BW974" s="178"/>
      <c r="BX974" s="196"/>
      <c r="BY974" s="196"/>
      <c r="BZ974" s="196"/>
      <c r="CA974" s="196"/>
      <c r="CB974" s="178"/>
      <c r="CC974" s="178"/>
      <c r="CD974" s="202"/>
      <c r="CE974" s="202"/>
      <c r="CF974" s="178"/>
      <c r="CG974" s="196"/>
      <c r="CH974" s="178"/>
      <c r="CI974" s="178"/>
      <c r="CJ974" s="178"/>
      <c r="CK974" s="178"/>
      <c r="CL974" s="178"/>
      <c r="CM974" s="178"/>
      <c r="CN974" s="178"/>
      <c r="CO974" s="178"/>
      <c r="CP974" s="178"/>
      <c r="CQ974" s="178"/>
      <c r="CR974" s="178"/>
      <c r="CS974" s="178"/>
      <c r="CT974" s="178"/>
      <c r="CU974" s="178"/>
      <c r="CV974" s="178"/>
      <c r="CW974" s="178"/>
      <c r="CX974" s="178"/>
      <c r="CY974" s="178"/>
      <c r="CZ974" s="178"/>
      <c r="DA974" s="150"/>
    </row>
    <row r="975" spans="53:105" x14ac:dyDescent="0.2">
      <c r="BA975" s="518">
        <f t="shared" ca="1" si="58"/>
        <v>61</v>
      </c>
      <c r="BB975" s="174">
        <f t="shared" ca="1" si="59"/>
        <v>912</v>
      </c>
      <c r="BC975" s="525" t="e">
        <f ca="1">MATCH(BD975,OFFSET(Pinlist!$A$2,BC974*(BA975=BA974),0,$BM$23,1),0)+BC974*(BA975=BA974)</f>
        <v>#N/A</v>
      </c>
      <c r="BD975" s="167">
        <f t="shared" ca="1" si="60"/>
        <v>0</v>
      </c>
      <c r="BE975" s="191" t="e">
        <f ca="1">(OFFSET(Pinlist!$E$1,BC975,0)-$BN$16)*$BN$19</f>
        <v>#N/A</v>
      </c>
      <c r="BF975" s="192" t="e">
        <f ca="1">(OFFSET(Pinlist!$F$1,BC975,0)-$BO$16)*$BO$19</f>
        <v>#N/A</v>
      </c>
      <c r="BG975" s="1098" t="str">
        <f ca="1">IF(LEFT(BD975,2)="RF",OFFSET(Pinlist!$D$1,Chart!BC975,0)&amp;"_"&amp;OFFSET(Pinlist!$G$1,Chart!BC975,0),"")</f>
        <v/>
      </c>
      <c r="BH975" s="1098"/>
      <c r="BI975" s="178"/>
      <c r="BJ975" s="178"/>
      <c r="BK975" s="178"/>
      <c r="BL975" s="178"/>
      <c r="BM975" s="178"/>
      <c r="BN975" s="178"/>
      <c r="BO975" s="178"/>
      <c r="BP975" s="178"/>
      <c r="BQ975" s="196"/>
      <c r="BR975" s="196"/>
      <c r="BS975" s="196"/>
      <c r="BT975" s="196"/>
      <c r="BU975" s="196"/>
      <c r="BV975" s="196"/>
      <c r="BW975" s="178"/>
      <c r="BX975" s="196"/>
      <c r="BY975" s="196"/>
      <c r="BZ975" s="196"/>
      <c r="CA975" s="196"/>
      <c r="CB975" s="178"/>
      <c r="CC975" s="178"/>
      <c r="CD975" s="202"/>
      <c r="CE975" s="202"/>
      <c r="CF975" s="178"/>
      <c r="CG975" s="196"/>
      <c r="CH975" s="178"/>
      <c r="CI975" s="178"/>
      <c r="CJ975" s="178"/>
      <c r="CK975" s="178"/>
      <c r="CL975" s="178"/>
      <c r="CM975" s="178"/>
      <c r="CN975" s="178"/>
      <c r="CO975" s="178"/>
      <c r="CP975" s="178"/>
      <c r="CQ975" s="178"/>
      <c r="CR975" s="178"/>
      <c r="CS975" s="178"/>
      <c r="CT975" s="178"/>
      <c r="CU975" s="178"/>
      <c r="CV975" s="178"/>
      <c r="CW975" s="178"/>
      <c r="CX975" s="178"/>
      <c r="CY975" s="178"/>
      <c r="CZ975" s="178"/>
      <c r="DA975" s="150"/>
    </row>
    <row r="976" spans="53:105" x14ac:dyDescent="0.2">
      <c r="BA976" s="518">
        <f t="shared" ca="1" si="58"/>
        <v>61</v>
      </c>
      <c r="BB976" s="174">
        <f t="shared" ca="1" si="59"/>
        <v>913</v>
      </c>
      <c r="BC976" s="525" t="e">
        <f ca="1">MATCH(BD976,OFFSET(Pinlist!$A$2,BC975*(BA976=BA975),0,$BM$23,1),0)+BC975*(BA976=BA975)</f>
        <v>#N/A</v>
      </c>
      <c r="BD976" s="167">
        <f t="shared" ca="1" si="60"/>
        <v>0</v>
      </c>
      <c r="BE976" s="191" t="e">
        <f ca="1">(OFFSET(Pinlist!$E$1,BC976,0)-$BN$16)*$BN$19</f>
        <v>#N/A</v>
      </c>
      <c r="BF976" s="192" t="e">
        <f ca="1">(OFFSET(Pinlist!$F$1,BC976,0)-$BO$16)*$BO$19</f>
        <v>#N/A</v>
      </c>
      <c r="BG976" s="1098" t="str">
        <f ca="1">IF(LEFT(BD976,2)="RF",OFFSET(Pinlist!$D$1,Chart!BC976,0)&amp;"_"&amp;OFFSET(Pinlist!$G$1,Chart!BC976,0),"")</f>
        <v/>
      </c>
      <c r="BH976" s="1098"/>
      <c r="BI976" s="178"/>
      <c r="BJ976" s="178"/>
      <c r="BK976" s="178"/>
      <c r="BL976" s="178"/>
      <c r="BM976" s="178"/>
      <c r="BN976" s="178"/>
      <c r="BO976" s="178"/>
      <c r="BP976" s="178"/>
      <c r="BQ976" s="196"/>
      <c r="BR976" s="196"/>
      <c r="BS976" s="196"/>
      <c r="BT976" s="196"/>
      <c r="BU976" s="196"/>
      <c r="BV976" s="196"/>
      <c r="BW976" s="178"/>
      <c r="BX976" s="196"/>
      <c r="BY976" s="196"/>
      <c r="BZ976" s="196"/>
      <c r="CA976" s="196"/>
      <c r="CB976" s="178"/>
      <c r="CC976" s="178"/>
      <c r="CD976" s="202"/>
      <c r="CE976" s="202"/>
      <c r="CF976" s="178"/>
      <c r="CG976" s="196"/>
      <c r="CH976" s="178"/>
      <c r="CI976" s="178"/>
      <c r="CJ976" s="178"/>
      <c r="CK976" s="178"/>
      <c r="CL976" s="178"/>
      <c r="CM976" s="178"/>
      <c r="CN976" s="178"/>
      <c r="CO976" s="178"/>
      <c r="CP976" s="178"/>
      <c r="CQ976" s="178"/>
      <c r="CR976" s="178"/>
      <c r="CS976" s="178"/>
      <c r="CT976" s="178"/>
      <c r="CU976" s="178"/>
      <c r="CV976" s="178"/>
      <c r="CW976" s="178"/>
      <c r="CX976" s="178"/>
      <c r="CY976" s="178"/>
      <c r="CZ976" s="178"/>
      <c r="DA976" s="150"/>
    </row>
    <row r="977" spans="53:105" x14ac:dyDescent="0.2">
      <c r="BA977" s="518">
        <f t="shared" ca="1" si="58"/>
        <v>61</v>
      </c>
      <c r="BB977" s="174">
        <f t="shared" ca="1" si="59"/>
        <v>914</v>
      </c>
      <c r="BC977" s="525" t="e">
        <f ca="1">MATCH(BD977,OFFSET(Pinlist!$A$2,BC976*(BA977=BA976),0,$BM$23,1),0)+BC976*(BA977=BA976)</f>
        <v>#N/A</v>
      </c>
      <c r="BD977" s="167">
        <f t="shared" ca="1" si="60"/>
        <v>0</v>
      </c>
      <c r="BE977" s="191" t="e">
        <f ca="1">(OFFSET(Pinlist!$E$1,BC977,0)-$BN$16)*$BN$19</f>
        <v>#N/A</v>
      </c>
      <c r="BF977" s="192" t="e">
        <f ca="1">(OFFSET(Pinlist!$F$1,BC977,0)-$BO$16)*$BO$19</f>
        <v>#N/A</v>
      </c>
      <c r="BG977" s="1098" t="str">
        <f ca="1">IF(LEFT(BD977,2)="RF",OFFSET(Pinlist!$D$1,Chart!BC977,0)&amp;"_"&amp;OFFSET(Pinlist!$G$1,Chart!BC977,0),"")</f>
        <v/>
      </c>
      <c r="BH977" s="1098"/>
      <c r="BI977" s="178"/>
      <c r="BJ977" s="178"/>
      <c r="BK977" s="178"/>
      <c r="BL977" s="178"/>
      <c r="BM977" s="178"/>
      <c r="BN977" s="178"/>
      <c r="BO977" s="178"/>
      <c r="BP977" s="178"/>
      <c r="BQ977" s="196"/>
      <c r="BR977" s="196"/>
      <c r="BS977" s="196"/>
      <c r="BT977" s="196"/>
      <c r="BU977" s="196"/>
      <c r="BV977" s="196"/>
      <c r="BW977" s="178"/>
      <c r="BX977" s="196"/>
      <c r="BY977" s="196"/>
      <c r="BZ977" s="196"/>
      <c r="CA977" s="196"/>
      <c r="CB977" s="178"/>
      <c r="CC977" s="178"/>
      <c r="CD977" s="202"/>
      <c r="CE977" s="202"/>
      <c r="CF977" s="178"/>
      <c r="CG977" s="196"/>
      <c r="CH977" s="178"/>
      <c r="CI977" s="178"/>
      <c r="CJ977" s="178"/>
      <c r="CK977" s="178"/>
      <c r="CL977" s="178"/>
      <c r="CM977" s="178"/>
      <c r="CN977" s="178"/>
      <c r="CO977" s="178"/>
      <c r="CP977" s="178"/>
      <c r="CQ977" s="178"/>
      <c r="CR977" s="178"/>
      <c r="CS977" s="178"/>
      <c r="CT977" s="178"/>
      <c r="CU977" s="178"/>
      <c r="CV977" s="178"/>
      <c r="CW977" s="178"/>
      <c r="CX977" s="178"/>
      <c r="CY977" s="178"/>
      <c r="CZ977" s="178"/>
      <c r="DA977" s="150"/>
    </row>
    <row r="978" spans="53:105" x14ac:dyDescent="0.2">
      <c r="BA978" s="518">
        <f t="shared" ca="1" si="58"/>
        <v>61</v>
      </c>
      <c r="BB978" s="174">
        <f t="shared" ca="1" si="59"/>
        <v>915</v>
      </c>
      <c r="BC978" s="525" t="e">
        <f ca="1">MATCH(BD978,OFFSET(Pinlist!$A$2,BC977*(BA978=BA977),0,$BM$23,1),0)+BC977*(BA978=BA977)</f>
        <v>#N/A</v>
      </c>
      <c r="BD978" s="167">
        <f t="shared" ca="1" si="60"/>
        <v>0</v>
      </c>
      <c r="BE978" s="191" t="e">
        <f ca="1">(OFFSET(Pinlist!$E$1,BC978,0)-$BN$16)*$BN$19</f>
        <v>#N/A</v>
      </c>
      <c r="BF978" s="192" t="e">
        <f ca="1">(OFFSET(Pinlist!$F$1,BC978,0)-$BO$16)*$BO$19</f>
        <v>#N/A</v>
      </c>
      <c r="BG978" s="1098" t="str">
        <f ca="1">IF(LEFT(BD978,2)="RF",OFFSET(Pinlist!$D$1,Chart!BC978,0)&amp;"_"&amp;OFFSET(Pinlist!$G$1,Chart!BC978,0),"")</f>
        <v/>
      </c>
      <c r="BH978" s="1098"/>
      <c r="BI978" s="178"/>
      <c r="BJ978" s="178"/>
      <c r="BK978" s="178"/>
      <c r="BL978" s="178"/>
      <c r="BM978" s="178"/>
      <c r="BN978" s="178"/>
      <c r="BO978" s="178"/>
      <c r="BP978" s="178"/>
      <c r="BQ978" s="196"/>
      <c r="BR978" s="196"/>
      <c r="BS978" s="196"/>
      <c r="BT978" s="196"/>
      <c r="BU978" s="196"/>
      <c r="BV978" s="196"/>
      <c r="BW978" s="178"/>
      <c r="BX978" s="196"/>
      <c r="BY978" s="196"/>
      <c r="BZ978" s="196"/>
      <c r="CA978" s="196"/>
      <c r="CB978" s="178"/>
      <c r="CC978" s="178"/>
      <c r="CD978" s="202"/>
      <c r="CE978" s="202"/>
      <c r="CF978" s="178"/>
      <c r="CG978" s="196"/>
      <c r="CH978" s="178"/>
      <c r="CI978" s="178"/>
      <c r="CJ978" s="178"/>
      <c r="CK978" s="178"/>
      <c r="CL978" s="178"/>
      <c r="CM978" s="178"/>
      <c r="CN978" s="178"/>
      <c r="CO978" s="178"/>
      <c r="CP978" s="178"/>
      <c r="CQ978" s="178"/>
      <c r="CR978" s="178"/>
      <c r="CS978" s="178"/>
      <c r="CT978" s="178"/>
      <c r="CU978" s="178"/>
      <c r="CV978" s="178"/>
      <c r="CW978" s="178"/>
      <c r="CX978" s="178"/>
      <c r="CY978" s="178"/>
      <c r="CZ978" s="178"/>
      <c r="DA978" s="150"/>
    </row>
    <row r="979" spans="53:105" x14ac:dyDescent="0.2">
      <c r="BA979" s="518">
        <f t="shared" ca="1" si="58"/>
        <v>61</v>
      </c>
      <c r="BB979" s="174">
        <f t="shared" ca="1" si="59"/>
        <v>916</v>
      </c>
      <c r="BC979" s="525" t="e">
        <f ca="1">MATCH(BD979,OFFSET(Pinlist!$A$2,BC978*(BA979=BA978),0,$BM$23,1),0)+BC978*(BA979=BA978)</f>
        <v>#N/A</v>
      </c>
      <c r="BD979" s="167">
        <f t="shared" ca="1" si="60"/>
        <v>0</v>
      </c>
      <c r="BE979" s="191" t="e">
        <f ca="1">(OFFSET(Pinlist!$E$1,BC979,0)-$BN$16)*$BN$19</f>
        <v>#N/A</v>
      </c>
      <c r="BF979" s="192" t="e">
        <f ca="1">(OFFSET(Pinlist!$F$1,BC979,0)-$BO$16)*$BO$19</f>
        <v>#N/A</v>
      </c>
      <c r="BG979" s="1098" t="str">
        <f ca="1">IF(LEFT(BD979,2)="RF",OFFSET(Pinlist!$D$1,Chart!BC979,0)&amp;"_"&amp;OFFSET(Pinlist!$G$1,Chart!BC979,0),"")</f>
        <v/>
      </c>
      <c r="BH979" s="1098"/>
      <c r="BI979" s="178"/>
      <c r="BJ979" s="178"/>
      <c r="BK979" s="178"/>
      <c r="BL979" s="178"/>
      <c r="BM979" s="178"/>
      <c r="BN979" s="178"/>
      <c r="BO979" s="178"/>
      <c r="BP979" s="178"/>
      <c r="BQ979" s="196"/>
      <c r="BR979" s="196"/>
      <c r="BS979" s="196"/>
      <c r="BT979" s="196"/>
      <c r="BU979" s="196"/>
      <c r="BV979" s="196"/>
      <c r="BW979" s="178"/>
      <c r="BX979" s="196"/>
      <c r="BY979" s="196"/>
      <c r="BZ979" s="196"/>
      <c r="CA979" s="196"/>
      <c r="CB979" s="178"/>
      <c r="CC979" s="178"/>
      <c r="CD979" s="202"/>
      <c r="CE979" s="202"/>
      <c r="CF979" s="178"/>
      <c r="CG979" s="196"/>
      <c r="CH979" s="178"/>
      <c r="CI979" s="178"/>
      <c r="CJ979" s="178"/>
      <c r="CK979" s="178"/>
      <c r="CL979" s="178"/>
      <c r="CM979" s="178"/>
      <c r="CN979" s="178"/>
      <c r="CO979" s="178"/>
      <c r="CP979" s="178"/>
      <c r="CQ979" s="178"/>
      <c r="CR979" s="178"/>
      <c r="CS979" s="178"/>
      <c r="CT979" s="178"/>
      <c r="CU979" s="178"/>
      <c r="CV979" s="178"/>
      <c r="CW979" s="178"/>
      <c r="CX979" s="178"/>
      <c r="CY979" s="178"/>
      <c r="CZ979" s="178"/>
      <c r="DA979" s="150"/>
    </row>
    <row r="980" spans="53:105" x14ac:dyDescent="0.2">
      <c r="BA980" s="518">
        <f t="shared" ca="1" si="58"/>
        <v>61</v>
      </c>
      <c r="BB980" s="174">
        <f t="shared" ca="1" si="59"/>
        <v>917</v>
      </c>
      <c r="BC980" s="525" t="e">
        <f ca="1">MATCH(BD980,OFFSET(Pinlist!$A$2,BC979*(BA980=BA979),0,$BM$23,1),0)+BC979*(BA980=BA979)</f>
        <v>#N/A</v>
      </c>
      <c r="BD980" s="167">
        <f t="shared" ca="1" si="60"/>
        <v>0</v>
      </c>
      <c r="BE980" s="191" t="e">
        <f ca="1">(OFFSET(Pinlist!$E$1,BC980,0)-$BN$16)*$BN$19</f>
        <v>#N/A</v>
      </c>
      <c r="BF980" s="192" t="e">
        <f ca="1">(OFFSET(Pinlist!$F$1,BC980,0)-$BO$16)*$BO$19</f>
        <v>#N/A</v>
      </c>
      <c r="BG980" s="1098" t="str">
        <f ca="1">IF(LEFT(BD980,2)="RF",OFFSET(Pinlist!$D$1,Chart!BC980,0)&amp;"_"&amp;OFFSET(Pinlist!$G$1,Chart!BC980,0),"")</f>
        <v/>
      </c>
      <c r="BH980" s="1098"/>
      <c r="BI980" s="178"/>
      <c r="BJ980" s="178"/>
      <c r="BK980" s="178"/>
      <c r="BL980" s="178"/>
      <c r="BM980" s="178"/>
      <c r="BN980" s="178"/>
      <c r="BO980" s="178"/>
      <c r="BP980" s="178"/>
      <c r="BQ980" s="196"/>
      <c r="BR980" s="196"/>
      <c r="BS980" s="196"/>
      <c r="BT980" s="196"/>
      <c r="BU980" s="196"/>
      <c r="BV980" s="196"/>
      <c r="BW980" s="178"/>
      <c r="BX980" s="196"/>
      <c r="BY980" s="196"/>
      <c r="BZ980" s="196"/>
      <c r="CA980" s="196"/>
      <c r="CB980" s="178"/>
      <c r="CC980" s="178"/>
      <c r="CD980" s="202"/>
      <c r="CE980" s="202"/>
      <c r="CF980" s="178"/>
      <c r="CG980" s="196"/>
      <c r="CH980" s="178"/>
      <c r="CI980" s="178"/>
      <c r="CJ980" s="178"/>
      <c r="CK980" s="178"/>
      <c r="CL980" s="178"/>
      <c r="CM980" s="178"/>
      <c r="CN980" s="178"/>
      <c r="CO980" s="178"/>
      <c r="CP980" s="178"/>
      <c r="CQ980" s="178"/>
      <c r="CR980" s="178"/>
      <c r="CS980" s="178"/>
      <c r="CT980" s="178"/>
      <c r="CU980" s="178"/>
      <c r="CV980" s="178"/>
      <c r="CW980" s="178"/>
      <c r="CX980" s="178"/>
      <c r="CY980" s="178"/>
      <c r="CZ980" s="178"/>
      <c r="DA980" s="150"/>
    </row>
    <row r="981" spans="53:105" x14ac:dyDescent="0.2">
      <c r="BA981" s="518">
        <f t="shared" ca="1" si="58"/>
        <v>61</v>
      </c>
      <c r="BB981" s="174">
        <f t="shared" ca="1" si="59"/>
        <v>918</v>
      </c>
      <c r="BC981" s="525" t="e">
        <f ca="1">MATCH(BD981,OFFSET(Pinlist!$A$2,BC980*(BA981=BA980),0,$BM$23,1),0)+BC980*(BA981=BA980)</f>
        <v>#N/A</v>
      </c>
      <c r="BD981" s="167">
        <f t="shared" ca="1" si="60"/>
        <v>0</v>
      </c>
      <c r="BE981" s="191" t="e">
        <f ca="1">(OFFSET(Pinlist!$E$1,BC981,0)-$BN$16)*$BN$19</f>
        <v>#N/A</v>
      </c>
      <c r="BF981" s="192" t="e">
        <f ca="1">(OFFSET(Pinlist!$F$1,BC981,0)-$BO$16)*$BO$19</f>
        <v>#N/A</v>
      </c>
      <c r="BG981" s="1098" t="str">
        <f ca="1">IF(LEFT(BD981,2)="RF",OFFSET(Pinlist!$D$1,Chart!BC981,0)&amp;"_"&amp;OFFSET(Pinlist!$G$1,Chart!BC981,0),"")</f>
        <v/>
      </c>
      <c r="BH981" s="1098"/>
      <c r="BI981" s="178"/>
      <c r="BJ981" s="178"/>
      <c r="BK981" s="178"/>
      <c r="BL981" s="178"/>
      <c r="BM981" s="178"/>
      <c r="BN981" s="178"/>
      <c r="BO981" s="178"/>
      <c r="BP981" s="178"/>
      <c r="BQ981" s="196"/>
      <c r="BR981" s="196"/>
      <c r="BS981" s="196"/>
      <c r="BT981" s="196"/>
      <c r="BU981" s="196"/>
      <c r="BV981" s="196"/>
      <c r="BW981" s="178"/>
      <c r="BX981" s="196"/>
      <c r="BY981" s="196"/>
      <c r="BZ981" s="196"/>
      <c r="CA981" s="196"/>
      <c r="CB981" s="178"/>
      <c r="CC981" s="178"/>
      <c r="CD981" s="202"/>
      <c r="CE981" s="202"/>
      <c r="CF981" s="178"/>
      <c r="CG981" s="196"/>
      <c r="CH981" s="178"/>
      <c r="CI981" s="178"/>
      <c r="CJ981" s="178"/>
      <c r="CK981" s="178"/>
      <c r="CL981" s="178"/>
      <c r="CM981" s="178"/>
      <c r="CN981" s="178"/>
      <c r="CO981" s="178"/>
      <c r="CP981" s="178"/>
      <c r="CQ981" s="178"/>
      <c r="CR981" s="178"/>
      <c r="CS981" s="178"/>
      <c r="CT981" s="178"/>
      <c r="CU981" s="178"/>
      <c r="CV981" s="178"/>
      <c r="CW981" s="178"/>
      <c r="CX981" s="178"/>
      <c r="CY981" s="178"/>
      <c r="CZ981" s="178"/>
      <c r="DA981" s="150"/>
    </row>
    <row r="982" spans="53:105" x14ac:dyDescent="0.2">
      <c r="BA982" s="518">
        <f t="shared" ca="1" si="58"/>
        <v>61</v>
      </c>
      <c r="BB982" s="174">
        <f t="shared" ca="1" si="59"/>
        <v>919</v>
      </c>
      <c r="BC982" s="525" t="e">
        <f ca="1">MATCH(BD982,OFFSET(Pinlist!$A$2,BC981*(BA982=BA981),0,$BM$23,1),0)+BC981*(BA982=BA981)</f>
        <v>#N/A</v>
      </c>
      <c r="BD982" s="167">
        <f t="shared" ca="1" si="60"/>
        <v>0</v>
      </c>
      <c r="BE982" s="191" t="e">
        <f ca="1">(OFFSET(Pinlist!$E$1,BC982,0)-$BN$16)*$BN$19</f>
        <v>#N/A</v>
      </c>
      <c r="BF982" s="192" t="e">
        <f ca="1">(OFFSET(Pinlist!$F$1,BC982,0)-$BO$16)*$BO$19</f>
        <v>#N/A</v>
      </c>
      <c r="BG982" s="1098" t="str">
        <f ca="1">IF(LEFT(BD982,2)="RF",OFFSET(Pinlist!$D$1,Chart!BC982,0)&amp;"_"&amp;OFFSET(Pinlist!$G$1,Chart!BC982,0),"")</f>
        <v/>
      </c>
      <c r="BH982" s="1098"/>
      <c r="BI982" s="178"/>
      <c r="BJ982" s="178"/>
      <c r="BK982" s="178"/>
      <c r="BL982" s="178"/>
      <c r="BM982" s="178"/>
      <c r="BN982" s="178"/>
      <c r="BO982" s="178"/>
      <c r="BP982" s="178"/>
      <c r="BQ982" s="196"/>
      <c r="BR982" s="196"/>
      <c r="BS982" s="196"/>
      <c r="BT982" s="196"/>
      <c r="BU982" s="196"/>
      <c r="BV982" s="196"/>
      <c r="BW982" s="178"/>
      <c r="BX982" s="196"/>
      <c r="BY982" s="196"/>
      <c r="BZ982" s="196"/>
      <c r="CA982" s="196"/>
      <c r="CB982" s="178"/>
      <c r="CC982" s="178"/>
      <c r="CD982" s="202"/>
      <c r="CE982" s="202"/>
      <c r="CF982" s="178"/>
      <c r="CG982" s="196"/>
      <c r="CH982" s="178"/>
      <c r="CI982" s="178"/>
      <c r="CJ982" s="178"/>
      <c r="CK982" s="178"/>
      <c r="CL982" s="178"/>
      <c r="CM982" s="178"/>
      <c r="CN982" s="178"/>
      <c r="CO982" s="178"/>
      <c r="CP982" s="178"/>
      <c r="CQ982" s="178"/>
      <c r="CR982" s="178"/>
      <c r="CS982" s="178"/>
      <c r="CT982" s="178"/>
      <c r="CU982" s="178"/>
      <c r="CV982" s="178"/>
      <c r="CW982" s="178"/>
      <c r="CX982" s="178"/>
      <c r="CY982" s="178"/>
      <c r="CZ982" s="178"/>
      <c r="DA982" s="150"/>
    </row>
    <row r="983" spans="53:105" x14ac:dyDescent="0.2">
      <c r="BA983" s="518">
        <f t="shared" ca="1" si="58"/>
        <v>61</v>
      </c>
      <c r="BB983" s="174">
        <f t="shared" ca="1" si="59"/>
        <v>920</v>
      </c>
      <c r="BC983" s="525" t="e">
        <f ca="1">MATCH(BD983,OFFSET(Pinlist!$A$2,BC982*(BA983=BA982),0,$BM$23,1),0)+BC982*(BA983=BA982)</f>
        <v>#N/A</v>
      </c>
      <c r="BD983" s="167">
        <f t="shared" ca="1" si="60"/>
        <v>0</v>
      </c>
      <c r="BE983" s="191" t="e">
        <f ca="1">(OFFSET(Pinlist!$E$1,BC983,0)-$BN$16)*$BN$19</f>
        <v>#N/A</v>
      </c>
      <c r="BF983" s="192" t="e">
        <f ca="1">(OFFSET(Pinlist!$F$1,BC983,0)-$BO$16)*$BO$19</f>
        <v>#N/A</v>
      </c>
      <c r="BG983" s="1098" t="str">
        <f ca="1">IF(LEFT(BD983,2)="RF",OFFSET(Pinlist!$D$1,Chart!BC983,0)&amp;"_"&amp;OFFSET(Pinlist!$G$1,Chart!BC983,0),"")</f>
        <v/>
      </c>
      <c r="BH983" s="1098"/>
      <c r="BI983" s="178"/>
      <c r="BJ983" s="178"/>
      <c r="BK983" s="178"/>
      <c r="BL983" s="178"/>
      <c r="BM983" s="178"/>
      <c r="BN983" s="178"/>
      <c r="BO983" s="178"/>
      <c r="BP983" s="178"/>
      <c r="BQ983" s="196"/>
      <c r="BR983" s="196"/>
      <c r="BS983" s="196"/>
      <c r="BT983" s="196"/>
      <c r="BU983" s="196"/>
      <c r="BV983" s="196"/>
      <c r="BW983" s="178"/>
      <c r="BX983" s="196"/>
      <c r="BY983" s="196"/>
      <c r="BZ983" s="196"/>
      <c r="CA983" s="196"/>
      <c r="CB983" s="178"/>
      <c r="CC983" s="178"/>
      <c r="CD983" s="202"/>
      <c r="CE983" s="202"/>
      <c r="CF983" s="178"/>
      <c r="CG983" s="196"/>
      <c r="CH983" s="178"/>
      <c r="CI983" s="178"/>
      <c r="CJ983" s="178"/>
      <c r="CK983" s="178"/>
      <c r="CL983" s="178"/>
      <c r="CM983" s="178"/>
      <c r="CN983" s="178"/>
      <c r="CO983" s="178"/>
      <c r="CP983" s="178"/>
      <c r="CQ983" s="178"/>
      <c r="CR983" s="178"/>
      <c r="CS983" s="178"/>
      <c r="CT983" s="178"/>
      <c r="CU983" s="178"/>
      <c r="CV983" s="178"/>
      <c r="CW983" s="178"/>
      <c r="CX983" s="178"/>
      <c r="CY983" s="178"/>
      <c r="CZ983" s="178"/>
      <c r="DA983" s="150"/>
    </row>
    <row r="984" spans="53:105" x14ac:dyDescent="0.2">
      <c r="BA984" s="518">
        <f t="shared" ca="1" si="58"/>
        <v>61</v>
      </c>
      <c r="BB984" s="174">
        <f t="shared" ca="1" si="59"/>
        <v>921</v>
      </c>
      <c r="BC984" s="525" t="e">
        <f ca="1">MATCH(BD984,OFFSET(Pinlist!$A$2,BC983*(BA984=BA983),0,$BM$23,1),0)+BC983*(BA984=BA983)</f>
        <v>#N/A</v>
      </c>
      <c r="BD984" s="167">
        <f t="shared" ca="1" si="60"/>
        <v>0</v>
      </c>
      <c r="BE984" s="191" t="e">
        <f ca="1">(OFFSET(Pinlist!$E$1,BC984,0)-$BN$16)*$BN$19</f>
        <v>#N/A</v>
      </c>
      <c r="BF984" s="192" t="e">
        <f ca="1">(OFFSET(Pinlist!$F$1,BC984,0)-$BO$16)*$BO$19</f>
        <v>#N/A</v>
      </c>
      <c r="BG984" s="1098" t="str">
        <f ca="1">IF(LEFT(BD984,2)="RF",OFFSET(Pinlist!$D$1,Chart!BC984,0)&amp;"_"&amp;OFFSET(Pinlist!$G$1,Chart!BC984,0),"")</f>
        <v/>
      </c>
      <c r="BH984" s="1098"/>
      <c r="BI984" s="178"/>
      <c r="BJ984" s="178"/>
      <c r="BK984" s="178"/>
      <c r="BL984" s="178"/>
      <c r="BM984" s="178"/>
      <c r="BN984" s="178"/>
      <c r="BO984" s="178"/>
      <c r="BP984" s="178"/>
      <c r="BQ984" s="196"/>
      <c r="BR984" s="196"/>
      <c r="BS984" s="196"/>
      <c r="BT984" s="196"/>
      <c r="BU984" s="196"/>
      <c r="BV984" s="196"/>
      <c r="BW984" s="178"/>
      <c r="BX984" s="196"/>
      <c r="BY984" s="196"/>
      <c r="BZ984" s="196"/>
      <c r="CA984" s="196"/>
      <c r="CB984" s="178"/>
      <c r="CC984" s="178"/>
      <c r="CD984" s="202"/>
      <c r="CE984" s="202"/>
      <c r="CF984" s="178"/>
      <c r="CG984" s="196"/>
      <c r="CH984" s="178"/>
      <c r="CI984" s="178"/>
      <c r="CJ984" s="178"/>
      <c r="CK984" s="178"/>
      <c r="CL984" s="178"/>
      <c r="CM984" s="178"/>
      <c r="CN984" s="178"/>
      <c r="CO984" s="178"/>
      <c r="CP984" s="178"/>
      <c r="CQ984" s="178"/>
      <c r="CR984" s="178"/>
      <c r="CS984" s="178"/>
      <c r="CT984" s="178"/>
      <c r="CU984" s="178"/>
      <c r="CV984" s="178"/>
      <c r="CW984" s="178"/>
      <c r="CX984" s="178"/>
      <c r="CY984" s="178"/>
      <c r="CZ984" s="178"/>
      <c r="DA984" s="150"/>
    </row>
    <row r="985" spans="53:105" x14ac:dyDescent="0.2">
      <c r="BA985" s="518">
        <f t="shared" ca="1" si="58"/>
        <v>61</v>
      </c>
      <c r="BB985" s="174">
        <f t="shared" ca="1" si="59"/>
        <v>922</v>
      </c>
      <c r="BC985" s="525" t="e">
        <f ca="1">MATCH(BD985,OFFSET(Pinlist!$A$2,BC984*(BA985=BA984),0,$BM$23,1),0)+BC984*(BA985=BA984)</f>
        <v>#N/A</v>
      </c>
      <c r="BD985" s="167">
        <f t="shared" ca="1" si="60"/>
        <v>0</v>
      </c>
      <c r="BE985" s="191" t="e">
        <f ca="1">(OFFSET(Pinlist!$E$1,BC985,0)-$BN$16)*$BN$19</f>
        <v>#N/A</v>
      </c>
      <c r="BF985" s="192" t="e">
        <f ca="1">(OFFSET(Pinlist!$F$1,BC985,0)-$BO$16)*$BO$19</f>
        <v>#N/A</v>
      </c>
      <c r="BG985" s="1098" t="str">
        <f ca="1">IF(LEFT(BD985,2)="RF",OFFSET(Pinlist!$D$1,Chart!BC985,0)&amp;"_"&amp;OFFSET(Pinlist!$G$1,Chart!BC985,0),"")</f>
        <v/>
      </c>
      <c r="BH985" s="1098"/>
      <c r="BI985" s="178"/>
      <c r="BJ985" s="178"/>
      <c r="BK985" s="178"/>
      <c r="BL985" s="178"/>
      <c r="BM985" s="178"/>
      <c r="BN985" s="178"/>
      <c r="BO985" s="178"/>
      <c r="BP985" s="178"/>
      <c r="BQ985" s="196"/>
      <c r="BR985" s="196"/>
      <c r="BS985" s="196"/>
      <c r="BT985" s="196"/>
      <c r="BU985" s="196"/>
      <c r="BV985" s="196"/>
      <c r="BW985" s="178"/>
      <c r="BX985" s="196"/>
      <c r="BY985" s="196"/>
      <c r="BZ985" s="196"/>
      <c r="CA985" s="196"/>
      <c r="CB985" s="178"/>
      <c r="CC985" s="178"/>
      <c r="CD985" s="202"/>
      <c r="CE985" s="202"/>
      <c r="CF985" s="178"/>
      <c r="CG985" s="196"/>
      <c r="CH985" s="178"/>
      <c r="CI985" s="178"/>
      <c r="CJ985" s="178"/>
      <c r="CK985" s="178"/>
      <c r="CL985" s="178"/>
      <c r="CM985" s="178"/>
      <c r="CN985" s="178"/>
      <c r="CO985" s="178"/>
      <c r="CP985" s="178"/>
      <c r="CQ985" s="178"/>
      <c r="CR985" s="178"/>
      <c r="CS985" s="178"/>
      <c r="CT985" s="178"/>
      <c r="CU985" s="178"/>
      <c r="CV985" s="178"/>
      <c r="CW985" s="178"/>
      <c r="CX985" s="178"/>
      <c r="CY985" s="178"/>
      <c r="CZ985" s="178"/>
      <c r="DA985" s="150"/>
    </row>
    <row r="986" spans="53:105" x14ac:dyDescent="0.2">
      <c r="BA986" s="518">
        <f t="shared" ca="1" si="58"/>
        <v>61</v>
      </c>
      <c r="BB986" s="174">
        <f t="shared" ca="1" si="59"/>
        <v>923</v>
      </c>
      <c r="BC986" s="525" t="e">
        <f ca="1">MATCH(BD986,OFFSET(Pinlist!$A$2,BC985*(BA986=BA985),0,$BM$23,1),0)+BC985*(BA986=BA985)</f>
        <v>#N/A</v>
      </c>
      <c r="BD986" s="167">
        <f t="shared" ca="1" si="60"/>
        <v>0</v>
      </c>
      <c r="BE986" s="191" t="e">
        <f ca="1">(OFFSET(Pinlist!$E$1,BC986,0)-$BN$16)*$BN$19</f>
        <v>#N/A</v>
      </c>
      <c r="BF986" s="192" t="e">
        <f ca="1">(OFFSET(Pinlist!$F$1,BC986,0)-$BO$16)*$BO$19</f>
        <v>#N/A</v>
      </c>
      <c r="BG986" s="1098" t="str">
        <f ca="1">IF(LEFT(BD986,2)="RF",OFFSET(Pinlist!$D$1,Chart!BC986,0)&amp;"_"&amp;OFFSET(Pinlist!$G$1,Chart!BC986,0),"")</f>
        <v/>
      </c>
      <c r="BH986" s="1098"/>
      <c r="BI986" s="178"/>
      <c r="BJ986" s="178"/>
      <c r="BK986" s="178"/>
      <c r="BL986" s="178"/>
      <c r="BM986" s="178"/>
      <c r="BN986" s="178"/>
      <c r="BO986" s="178"/>
      <c r="BP986" s="178"/>
      <c r="BQ986" s="196"/>
      <c r="BR986" s="196"/>
      <c r="BS986" s="196"/>
      <c r="BT986" s="196"/>
      <c r="BU986" s="196"/>
      <c r="BV986" s="196"/>
      <c r="BW986" s="178"/>
      <c r="BX986" s="196"/>
      <c r="BY986" s="196"/>
      <c r="BZ986" s="196"/>
      <c r="CA986" s="196"/>
      <c r="CB986" s="178"/>
      <c r="CC986" s="178"/>
      <c r="CD986" s="202"/>
      <c r="CE986" s="202"/>
      <c r="CF986" s="178"/>
      <c r="CG986" s="196"/>
      <c r="CH986" s="178"/>
      <c r="CI986" s="178"/>
      <c r="CJ986" s="178"/>
      <c r="CK986" s="178"/>
      <c r="CL986" s="178"/>
      <c r="CM986" s="178"/>
      <c r="CN986" s="178"/>
      <c r="CO986" s="178"/>
      <c r="CP986" s="178"/>
      <c r="CQ986" s="178"/>
      <c r="CR986" s="178"/>
      <c r="CS986" s="178"/>
      <c r="CT986" s="178"/>
      <c r="CU986" s="178"/>
      <c r="CV986" s="178"/>
      <c r="CW986" s="178"/>
      <c r="CX986" s="178"/>
      <c r="CY986" s="178"/>
      <c r="CZ986" s="178"/>
      <c r="DA986" s="150"/>
    </row>
    <row r="987" spans="53:105" x14ac:dyDescent="0.2">
      <c r="BA987" s="518">
        <f t="shared" ca="1" si="58"/>
        <v>61</v>
      </c>
      <c r="BB987" s="174">
        <f t="shared" ca="1" si="59"/>
        <v>924</v>
      </c>
      <c r="BC987" s="525" t="e">
        <f ca="1">MATCH(BD987,OFFSET(Pinlist!$A$2,BC986*(BA987=BA986),0,$BM$23,1),0)+BC986*(BA987=BA986)</f>
        <v>#N/A</v>
      </c>
      <c r="BD987" s="167">
        <f t="shared" ca="1" si="60"/>
        <v>0</v>
      </c>
      <c r="BE987" s="191" t="e">
        <f ca="1">(OFFSET(Pinlist!$E$1,BC987,0)-$BN$16)*$BN$19</f>
        <v>#N/A</v>
      </c>
      <c r="BF987" s="192" t="e">
        <f ca="1">(OFFSET(Pinlist!$F$1,BC987,0)-$BO$16)*$BO$19</f>
        <v>#N/A</v>
      </c>
      <c r="BG987" s="1098" t="str">
        <f ca="1">IF(LEFT(BD987,2)="RF",OFFSET(Pinlist!$D$1,Chart!BC987,0)&amp;"_"&amp;OFFSET(Pinlist!$G$1,Chart!BC987,0),"")</f>
        <v/>
      </c>
      <c r="BH987" s="1098"/>
      <c r="BI987" s="178"/>
      <c r="BJ987" s="178"/>
      <c r="BK987" s="178"/>
      <c r="BL987" s="178"/>
      <c r="BM987" s="178"/>
      <c r="BN987" s="178"/>
      <c r="BO987" s="178"/>
      <c r="BP987" s="178"/>
      <c r="BQ987" s="196"/>
      <c r="BR987" s="196"/>
      <c r="BS987" s="196"/>
      <c r="BT987" s="196"/>
      <c r="BU987" s="196"/>
      <c r="BV987" s="196"/>
      <c r="BW987" s="178"/>
      <c r="BX987" s="196"/>
      <c r="BY987" s="196"/>
      <c r="BZ987" s="196"/>
      <c r="CA987" s="196"/>
      <c r="CB987" s="178"/>
      <c r="CC987" s="178"/>
      <c r="CD987" s="202"/>
      <c r="CE987" s="202"/>
      <c r="CF987" s="178"/>
      <c r="CG987" s="196"/>
      <c r="CH987" s="178"/>
      <c r="CI987" s="178"/>
      <c r="CJ987" s="178"/>
      <c r="CK987" s="178"/>
      <c r="CL987" s="178"/>
      <c r="CM987" s="178"/>
      <c r="CN987" s="178"/>
      <c r="CO987" s="178"/>
      <c r="CP987" s="178"/>
      <c r="CQ987" s="178"/>
      <c r="CR987" s="178"/>
      <c r="CS987" s="178"/>
      <c r="CT987" s="178"/>
      <c r="CU987" s="178"/>
      <c r="CV987" s="178"/>
      <c r="CW987" s="178"/>
      <c r="CX987" s="178"/>
      <c r="CY987" s="178"/>
      <c r="CZ987" s="178"/>
      <c r="DA987" s="150"/>
    </row>
    <row r="988" spans="53:105" x14ac:dyDescent="0.2">
      <c r="BA988" s="518">
        <f t="shared" ca="1" si="58"/>
        <v>61</v>
      </c>
      <c r="BB988" s="174">
        <f t="shared" ca="1" si="59"/>
        <v>925</v>
      </c>
      <c r="BC988" s="525" t="e">
        <f ca="1">MATCH(BD988,OFFSET(Pinlist!$A$2,BC987*(BA988=BA987),0,$BM$23,1),0)+BC987*(BA988=BA987)</f>
        <v>#N/A</v>
      </c>
      <c r="BD988" s="167">
        <f t="shared" ca="1" si="60"/>
        <v>0</v>
      </c>
      <c r="BE988" s="191" t="e">
        <f ca="1">(OFFSET(Pinlist!$E$1,BC988,0)-$BN$16)*$BN$19</f>
        <v>#N/A</v>
      </c>
      <c r="BF988" s="192" t="e">
        <f ca="1">(OFFSET(Pinlist!$F$1,BC988,0)-$BO$16)*$BO$19</f>
        <v>#N/A</v>
      </c>
      <c r="BG988" s="1098" t="str">
        <f ca="1">IF(LEFT(BD988,2)="RF",OFFSET(Pinlist!$D$1,Chart!BC988,0)&amp;"_"&amp;OFFSET(Pinlist!$G$1,Chart!BC988,0),"")</f>
        <v/>
      </c>
      <c r="BH988" s="1098"/>
      <c r="BI988" s="178"/>
      <c r="BJ988" s="178"/>
      <c r="BK988" s="178"/>
      <c r="BL988" s="178"/>
      <c r="BM988" s="178"/>
      <c r="BN988" s="178"/>
      <c r="BO988" s="178"/>
      <c r="BP988" s="178"/>
      <c r="BQ988" s="196"/>
      <c r="BR988" s="196"/>
      <c r="BS988" s="196"/>
      <c r="BT988" s="196"/>
      <c r="BU988" s="196"/>
      <c r="BV988" s="196"/>
      <c r="BW988" s="178"/>
      <c r="BX988" s="196"/>
      <c r="BY988" s="196"/>
      <c r="BZ988" s="196"/>
      <c r="CA988" s="196"/>
      <c r="CB988" s="178"/>
      <c r="CC988" s="178"/>
      <c r="CD988" s="202"/>
      <c r="CE988" s="202"/>
      <c r="CF988" s="178"/>
      <c r="CG988" s="196"/>
      <c r="CH988" s="178"/>
      <c r="CI988" s="178"/>
      <c r="CJ988" s="178"/>
      <c r="CK988" s="178"/>
      <c r="CL988" s="178"/>
      <c r="CM988" s="178"/>
      <c r="CN988" s="178"/>
      <c r="CO988" s="178"/>
      <c r="CP988" s="178"/>
      <c r="CQ988" s="178"/>
      <c r="CR988" s="178"/>
      <c r="CS988" s="178"/>
      <c r="CT988" s="178"/>
      <c r="CU988" s="178"/>
      <c r="CV988" s="178"/>
      <c r="CW988" s="178"/>
      <c r="CX988" s="178"/>
      <c r="CY988" s="178"/>
      <c r="CZ988" s="178"/>
      <c r="DA988" s="150"/>
    </row>
    <row r="989" spans="53:105" x14ac:dyDescent="0.2">
      <c r="BA989" s="518">
        <f t="shared" ca="1" si="58"/>
        <v>61</v>
      </c>
      <c r="BB989" s="174">
        <f t="shared" ca="1" si="59"/>
        <v>926</v>
      </c>
      <c r="BC989" s="525" t="e">
        <f ca="1">MATCH(BD989,OFFSET(Pinlist!$A$2,BC988*(BA989=BA988),0,$BM$23,1),0)+BC988*(BA989=BA988)</f>
        <v>#N/A</v>
      </c>
      <c r="BD989" s="167">
        <f t="shared" ca="1" si="60"/>
        <v>0</v>
      </c>
      <c r="BE989" s="191" t="e">
        <f ca="1">(OFFSET(Pinlist!$E$1,BC989,0)-$BN$16)*$BN$19</f>
        <v>#N/A</v>
      </c>
      <c r="BF989" s="192" t="e">
        <f ca="1">(OFFSET(Pinlist!$F$1,BC989,0)-$BO$16)*$BO$19</f>
        <v>#N/A</v>
      </c>
      <c r="BG989" s="1098" t="str">
        <f ca="1">IF(LEFT(BD989,2)="RF",OFFSET(Pinlist!$D$1,Chart!BC989,0)&amp;"_"&amp;OFFSET(Pinlist!$G$1,Chart!BC989,0),"")</f>
        <v/>
      </c>
      <c r="BH989" s="1098"/>
      <c r="BI989" s="178"/>
      <c r="BJ989" s="178"/>
      <c r="BK989" s="178"/>
      <c r="BL989" s="178"/>
      <c r="BM989" s="178"/>
      <c r="BN989" s="178"/>
      <c r="BO989" s="178"/>
      <c r="BP989" s="178"/>
      <c r="BQ989" s="196"/>
      <c r="BR989" s="196"/>
      <c r="BS989" s="196"/>
      <c r="BT989" s="196"/>
      <c r="BU989" s="196"/>
      <c r="BV989" s="196"/>
      <c r="BW989" s="178"/>
      <c r="BX989" s="196"/>
      <c r="BY989" s="196"/>
      <c r="BZ989" s="196"/>
      <c r="CA989" s="196"/>
      <c r="CB989" s="178"/>
      <c r="CC989" s="178"/>
      <c r="CD989" s="202"/>
      <c r="CE989" s="202"/>
      <c r="CF989" s="178"/>
      <c r="CG989" s="196"/>
      <c r="CH989" s="178"/>
      <c r="CI989" s="178"/>
      <c r="CJ989" s="178"/>
      <c r="CK989" s="178"/>
      <c r="CL989" s="178"/>
      <c r="CM989" s="178"/>
      <c r="CN989" s="178"/>
      <c r="CO989" s="178"/>
      <c r="CP989" s="178"/>
      <c r="CQ989" s="178"/>
      <c r="CR989" s="178"/>
      <c r="CS989" s="178"/>
      <c r="CT989" s="178"/>
      <c r="CU989" s="178"/>
      <c r="CV989" s="178"/>
      <c r="CW989" s="178"/>
      <c r="CX989" s="178"/>
      <c r="CY989" s="178"/>
      <c r="CZ989" s="178"/>
      <c r="DA989" s="150"/>
    </row>
    <row r="990" spans="53:105" x14ac:dyDescent="0.2">
      <c r="BA990" s="518">
        <f t="shared" ca="1" si="58"/>
        <v>61</v>
      </c>
      <c r="BB990" s="174">
        <f t="shared" ca="1" si="59"/>
        <v>927</v>
      </c>
      <c r="BC990" s="525" t="e">
        <f ca="1">MATCH(BD990,OFFSET(Pinlist!$A$2,BC989*(BA990=BA989),0,$BM$23,1),0)+BC989*(BA990=BA989)</f>
        <v>#N/A</v>
      </c>
      <c r="BD990" s="167">
        <f t="shared" ca="1" si="60"/>
        <v>0</v>
      </c>
      <c r="BE990" s="191" t="e">
        <f ca="1">(OFFSET(Pinlist!$E$1,BC990,0)-$BN$16)*$BN$19</f>
        <v>#N/A</v>
      </c>
      <c r="BF990" s="192" t="e">
        <f ca="1">(OFFSET(Pinlist!$F$1,BC990,0)-$BO$16)*$BO$19</f>
        <v>#N/A</v>
      </c>
      <c r="BG990" s="1098" t="str">
        <f ca="1">IF(LEFT(BD990,2)="RF",OFFSET(Pinlist!$D$1,Chart!BC990,0)&amp;"_"&amp;OFFSET(Pinlist!$G$1,Chart!BC990,0),"")</f>
        <v/>
      </c>
      <c r="BH990" s="1098"/>
      <c r="BI990" s="178"/>
      <c r="BJ990" s="178"/>
      <c r="BK990" s="178"/>
      <c r="BL990" s="178"/>
      <c r="BM990" s="178"/>
      <c r="BN990" s="178"/>
      <c r="BO990" s="178"/>
      <c r="BP990" s="178"/>
      <c r="BQ990" s="196"/>
      <c r="BR990" s="196"/>
      <c r="BS990" s="196"/>
      <c r="BT990" s="196"/>
      <c r="BU990" s="196"/>
      <c r="BV990" s="196"/>
      <c r="BW990" s="178"/>
      <c r="BX990" s="196"/>
      <c r="BY990" s="196"/>
      <c r="BZ990" s="196"/>
      <c r="CA990" s="196"/>
      <c r="CB990" s="178"/>
      <c r="CC990" s="178"/>
      <c r="CD990" s="202"/>
      <c r="CE990" s="202"/>
      <c r="CF990" s="178"/>
      <c r="CG990" s="196"/>
      <c r="CH990" s="178"/>
      <c r="CI990" s="178"/>
      <c r="CJ990" s="178"/>
      <c r="CK990" s="178"/>
      <c r="CL990" s="178"/>
      <c r="CM990" s="178"/>
      <c r="CN990" s="178"/>
      <c r="CO990" s="178"/>
      <c r="CP990" s="178"/>
      <c r="CQ990" s="178"/>
      <c r="CR990" s="178"/>
      <c r="CS990" s="178"/>
      <c r="CT990" s="178"/>
      <c r="CU990" s="178"/>
      <c r="CV990" s="178"/>
      <c r="CW990" s="178"/>
      <c r="CX990" s="178"/>
      <c r="CY990" s="178"/>
      <c r="CZ990" s="178"/>
      <c r="DA990" s="150"/>
    </row>
    <row r="991" spans="53:105" x14ac:dyDescent="0.2">
      <c r="BA991" s="518">
        <f t="shared" ca="1" si="58"/>
        <v>61</v>
      </c>
      <c r="BB991" s="174">
        <f t="shared" ca="1" si="59"/>
        <v>928</v>
      </c>
      <c r="BC991" s="525" t="e">
        <f ca="1">MATCH(BD991,OFFSET(Pinlist!$A$2,BC990*(BA991=BA990),0,$BM$23,1),0)+BC990*(BA991=BA990)</f>
        <v>#N/A</v>
      </c>
      <c r="BD991" s="167">
        <f t="shared" ca="1" si="60"/>
        <v>0</v>
      </c>
      <c r="BE991" s="191" t="e">
        <f ca="1">(OFFSET(Pinlist!$E$1,BC991,0)-$BN$16)*$BN$19</f>
        <v>#N/A</v>
      </c>
      <c r="BF991" s="192" t="e">
        <f ca="1">(OFFSET(Pinlist!$F$1,BC991,0)-$BO$16)*$BO$19</f>
        <v>#N/A</v>
      </c>
      <c r="BG991" s="1098" t="str">
        <f ca="1">IF(LEFT(BD991,2)="RF",OFFSET(Pinlist!$D$1,Chart!BC991,0)&amp;"_"&amp;OFFSET(Pinlist!$G$1,Chart!BC991,0),"")</f>
        <v/>
      </c>
      <c r="BH991" s="1098"/>
      <c r="BI991" s="178"/>
      <c r="BJ991" s="178"/>
      <c r="BK991" s="178"/>
      <c r="BL991" s="178"/>
      <c r="BM991" s="178"/>
      <c r="BN991" s="178"/>
      <c r="BO991" s="178"/>
      <c r="BP991" s="178"/>
      <c r="BQ991" s="196"/>
      <c r="BR991" s="196"/>
      <c r="BS991" s="196"/>
      <c r="BT991" s="196"/>
      <c r="BU991" s="196"/>
      <c r="BV991" s="196"/>
      <c r="BW991" s="178"/>
      <c r="BX991" s="196"/>
      <c r="BY991" s="196"/>
      <c r="BZ991" s="196"/>
      <c r="CA991" s="196"/>
      <c r="CB991" s="178"/>
      <c r="CC991" s="178"/>
      <c r="CD991" s="202"/>
      <c r="CE991" s="202"/>
      <c r="CF991" s="178"/>
      <c r="CG991" s="196"/>
      <c r="CH991" s="178"/>
      <c r="CI991" s="178"/>
      <c r="CJ991" s="178"/>
      <c r="CK991" s="178"/>
      <c r="CL991" s="178"/>
      <c r="CM991" s="178"/>
      <c r="CN991" s="178"/>
      <c r="CO991" s="178"/>
      <c r="CP991" s="178"/>
      <c r="CQ991" s="178"/>
      <c r="CR991" s="178"/>
      <c r="CS991" s="178"/>
      <c r="CT991" s="178"/>
      <c r="CU991" s="178"/>
      <c r="CV991" s="178"/>
      <c r="CW991" s="178"/>
      <c r="CX991" s="178"/>
      <c r="CY991" s="178"/>
      <c r="CZ991" s="178"/>
      <c r="DA991" s="150"/>
    </row>
    <row r="992" spans="53:105" x14ac:dyDescent="0.2">
      <c r="BA992" s="518">
        <f t="shared" ca="1" si="58"/>
        <v>61</v>
      </c>
      <c r="BB992" s="174">
        <f t="shared" ca="1" si="59"/>
        <v>929</v>
      </c>
      <c r="BC992" s="525" t="e">
        <f ca="1">MATCH(BD992,OFFSET(Pinlist!$A$2,BC991*(BA992=BA991),0,$BM$23,1),0)+BC991*(BA992=BA991)</f>
        <v>#N/A</v>
      </c>
      <c r="BD992" s="167">
        <f t="shared" ca="1" si="60"/>
        <v>0</v>
      </c>
      <c r="BE992" s="191" t="e">
        <f ca="1">(OFFSET(Pinlist!$E$1,BC992,0)-$BN$16)*$BN$19</f>
        <v>#N/A</v>
      </c>
      <c r="BF992" s="192" t="e">
        <f ca="1">(OFFSET(Pinlist!$F$1,BC992,0)-$BO$16)*$BO$19</f>
        <v>#N/A</v>
      </c>
      <c r="BG992" s="1098" t="str">
        <f ca="1">IF(LEFT(BD992,2)="RF",OFFSET(Pinlist!$D$1,Chart!BC992,0)&amp;"_"&amp;OFFSET(Pinlist!$G$1,Chart!BC992,0),"")</f>
        <v/>
      </c>
      <c r="BH992" s="1098"/>
      <c r="BI992" s="178"/>
      <c r="BJ992" s="178"/>
      <c r="BK992" s="178"/>
      <c r="BL992" s="178"/>
      <c r="BM992" s="178"/>
      <c r="BN992" s="178"/>
      <c r="BO992" s="178"/>
      <c r="BP992" s="178"/>
      <c r="BQ992" s="196"/>
      <c r="BR992" s="196"/>
      <c r="BS992" s="196"/>
      <c r="BT992" s="196"/>
      <c r="BU992" s="196"/>
      <c r="BV992" s="196"/>
      <c r="BW992" s="178"/>
      <c r="BX992" s="196"/>
      <c r="BY992" s="196"/>
      <c r="BZ992" s="196"/>
      <c r="CA992" s="196"/>
      <c r="CB992" s="178"/>
      <c r="CC992" s="178"/>
      <c r="CD992" s="202"/>
      <c r="CE992" s="202"/>
      <c r="CF992" s="178"/>
      <c r="CG992" s="196"/>
      <c r="CH992" s="178"/>
      <c r="CI992" s="178"/>
      <c r="CJ992" s="178"/>
      <c r="CK992" s="178"/>
      <c r="CL992" s="178"/>
      <c r="CM992" s="178"/>
      <c r="CN992" s="178"/>
      <c r="CO992" s="178"/>
      <c r="CP992" s="178"/>
      <c r="CQ992" s="178"/>
      <c r="CR992" s="178"/>
      <c r="CS992" s="178"/>
      <c r="CT992" s="178"/>
      <c r="CU992" s="178"/>
      <c r="CV992" s="178"/>
      <c r="CW992" s="178"/>
      <c r="CX992" s="178"/>
      <c r="CY992" s="178"/>
      <c r="CZ992" s="178"/>
      <c r="DA992" s="150"/>
    </row>
    <row r="993" spans="53:105" x14ac:dyDescent="0.2">
      <c r="BA993" s="518">
        <f t="shared" ca="1" si="58"/>
        <v>61</v>
      </c>
      <c r="BB993" s="174">
        <f t="shared" ca="1" si="59"/>
        <v>930</v>
      </c>
      <c r="BC993" s="525" t="e">
        <f ca="1">MATCH(BD993,OFFSET(Pinlist!$A$2,BC992*(BA993=BA992),0,$BM$23,1),0)+BC992*(BA993=BA992)</f>
        <v>#N/A</v>
      </c>
      <c r="BD993" s="167">
        <f t="shared" ca="1" si="60"/>
        <v>0</v>
      </c>
      <c r="BE993" s="191" t="e">
        <f ca="1">(OFFSET(Pinlist!$E$1,BC993,0)-$BN$16)*$BN$19</f>
        <v>#N/A</v>
      </c>
      <c r="BF993" s="192" t="e">
        <f ca="1">(OFFSET(Pinlist!$F$1,BC993,0)-$BO$16)*$BO$19</f>
        <v>#N/A</v>
      </c>
      <c r="BG993" s="1098" t="str">
        <f ca="1">IF(LEFT(BD993,2)="RF",OFFSET(Pinlist!$D$1,Chart!BC993,0)&amp;"_"&amp;OFFSET(Pinlist!$G$1,Chart!BC993,0),"")</f>
        <v/>
      </c>
      <c r="BH993" s="1098"/>
      <c r="BI993" s="178"/>
      <c r="BJ993" s="178"/>
      <c r="BK993" s="178"/>
      <c r="BL993" s="178"/>
      <c r="BM993" s="178"/>
      <c r="BN993" s="178"/>
      <c r="BO993" s="178"/>
      <c r="BP993" s="178"/>
      <c r="BQ993" s="196"/>
      <c r="BR993" s="196"/>
      <c r="BS993" s="196"/>
      <c r="BT993" s="196"/>
      <c r="BU993" s="196"/>
      <c r="BV993" s="196"/>
      <c r="BW993" s="178"/>
      <c r="BX993" s="196"/>
      <c r="BY993" s="196"/>
      <c r="BZ993" s="196"/>
      <c r="CA993" s="196"/>
      <c r="CB993" s="178"/>
      <c r="CC993" s="178"/>
      <c r="CD993" s="202"/>
      <c r="CE993" s="202"/>
      <c r="CF993" s="178"/>
      <c r="CG993" s="196"/>
      <c r="CH993" s="178"/>
      <c r="CI993" s="178"/>
      <c r="CJ993" s="178"/>
      <c r="CK993" s="178"/>
      <c r="CL993" s="178"/>
      <c r="CM993" s="178"/>
      <c r="CN993" s="178"/>
      <c r="CO993" s="178"/>
      <c r="CP993" s="178"/>
      <c r="CQ993" s="178"/>
      <c r="CR993" s="178"/>
      <c r="CS993" s="178"/>
      <c r="CT993" s="178"/>
      <c r="CU993" s="178"/>
      <c r="CV993" s="178"/>
      <c r="CW993" s="178"/>
      <c r="CX993" s="178"/>
      <c r="CY993" s="178"/>
      <c r="CZ993" s="178"/>
      <c r="DA993" s="150"/>
    </row>
    <row r="994" spans="53:105" x14ac:dyDescent="0.2">
      <c r="BA994" s="518">
        <f t="shared" ca="1" si="58"/>
        <v>61</v>
      </c>
      <c r="BB994" s="174">
        <f t="shared" ca="1" si="59"/>
        <v>931</v>
      </c>
      <c r="BC994" s="525" t="e">
        <f ca="1">MATCH(BD994,OFFSET(Pinlist!$A$2,BC993*(BA994=BA993),0,$BM$23,1),0)+BC993*(BA994=BA993)</f>
        <v>#N/A</v>
      </c>
      <c r="BD994" s="167">
        <f t="shared" ca="1" si="60"/>
        <v>0</v>
      </c>
      <c r="BE994" s="191" t="e">
        <f ca="1">(OFFSET(Pinlist!$E$1,BC994,0)-$BN$16)*$BN$19</f>
        <v>#N/A</v>
      </c>
      <c r="BF994" s="192" t="e">
        <f ca="1">(OFFSET(Pinlist!$F$1,BC994,0)-$BO$16)*$BO$19</f>
        <v>#N/A</v>
      </c>
      <c r="BG994" s="1098" t="str">
        <f ca="1">IF(LEFT(BD994,2)="RF",OFFSET(Pinlist!$D$1,Chart!BC994,0)&amp;"_"&amp;OFFSET(Pinlist!$G$1,Chart!BC994,0),"")</f>
        <v/>
      </c>
      <c r="BH994" s="1098"/>
      <c r="BI994" s="178"/>
      <c r="BJ994" s="178"/>
      <c r="BK994" s="178"/>
      <c r="BL994" s="178"/>
      <c r="BM994" s="178"/>
      <c r="BN994" s="178"/>
      <c r="BO994" s="178"/>
      <c r="BP994" s="178"/>
      <c r="BQ994" s="196"/>
      <c r="BR994" s="196"/>
      <c r="BS994" s="196"/>
      <c r="BT994" s="196"/>
      <c r="BU994" s="196"/>
      <c r="BV994" s="196"/>
      <c r="BW994" s="178"/>
      <c r="BX994" s="196"/>
      <c r="BY994" s="196"/>
      <c r="BZ994" s="196"/>
      <c r="CA994" s="196"/>
      <c r="CB994" s="178"/>
      <c r="CC994" s="178"/>
      <c r="CD994" s="202"/>
      <c r="CE994" s="202"/>
      <c r="CF994" s="178"/>
      <c r="CG994" s="196"/>
      <c r="CH994" s="178"/>
      <c r="CI994" s="178"/>
      <c r="CJ994" s="178"/>
      <c r="CK994" s="178"/>
      <c r="CL994" s="178"/>
      <c r="CM994" s="178"/>
      <c r="CN994" s="178"/>
      <c r="CO994" s="178"/>
      <c r="CP994" s="178"/>
      <c r="CQ994" s="178"/>
      <c r="CR994" s="178"/>
      <c r="CS994" s="178"/>
      <c r="CT994" s="178"/>
      <c r="CU994" s="178"/>
      <c r="CV994" s="178"/>
      <c r="CW994" s="178"/>
      <c r="CX994" s="178"/>
      <c r="CY994" s="178"/>
      <c r="CZ994" s="178"/>
      <c r="DA994" s="150"/>
    </row>
    <row r="995" spans="53:105" x14ac:dyDescent="0.2">
      <c r="BA995" s="518">
        <f t="shared" ca="1" si="58"/>
        <v>61</v>
      </c>
      <c r="BB995" s="174">
        <f t="shared" ca="1" si="59"/>
        <v>932</v>
      </c>
      <c r="BC995" s="525" t="e">
        <f ca="1">MATCH(BD995,OFFSET(Pinlist!$A$2,BC994*(BA995=BA994),0,$BM$23,1),0)+BC994*(BA995=BA994)</f>
        <v>#N/A</v>
      </c>
      <c r="BD995" s="167">
        <f t="shared" ca="1" si="60"/>
        <v>0</v>
      </c>
      <c r="BE995" s="191" t="e">
        <f ca="1">(OFFSET(Pinlist!$E$1,BC995,0)-$BN$16)*$BN$19</f>
        <v>#N/A</v>
      </c>
      <c r="BF995" s="192" t="e">
        <f ca="1">(OFFSET(Pinlist!$F$1,BC995,0)-$BO$16)*$BO$19</f>
        <v>#N/A</v>
      </c>
      <c r="BG995" s="1098" t="str">
        <f ca="1">IF(LEFT(BD995,2)="RF",OFFSET(Pinlist!$D$1,Chart!BC995,0)&amp;"_"&amp;OFFSET(Pinlist!$G$1,Chart!BC995,0),"")</f>
        <v/>
      </c>
      <c r="BH995" s="1098"/>
      <c r="BI995" s="178"/>
      <c r="BJ995" s="178"/>
      <c r="BK995" s="178"/>
      <c r="BL995" s="178"/>
      <c r="BM995" s="178"/>
      <c r="BN995" s="178"/>
      <c r="BO995" s="178"/>
      <c r="BP995" s="178"/>
      <c r="BQ995" s="196"/>
      <c r="BR995" s="196"/>
      <c r="BS995" s="196"/>
      <c r="BT995" s="196"/>
      <c r="BU995" s="196"/>
      <c r="BV995" s="196"/>
      <c r="BW995" s="178"/>
      <c r="BX995" s="196"/>
      <c r="BY995" s="196"/>
      <c r="BZ995" s="196"/>
      <c r="CA995" s="196"/>
      <c r="CB995" s="178"/>
      <c r="CC995" s="178"/>
      <c r="CD995" s="202"/>
      <c r="CE995" s="202"/>
      <c r="CF995" s="178"/>
      <c r="CG995" s="196"/>
      <c r="CH995" s="178"/>
      <c r="CI995" s="178"/>
      <c r="CJ995" s="178"/>
      <c r="CK995" s="178"/>
      <c r="CL995" s="178"/>
      <c r="CM995" s="178"/>
      <c r="CN995" s="178"/>
      <c r="CO995" s="178"/>
      <c r="CP995" s="178"/>
      <c r="CQ995" s="178"/>
      <c r="CR995" s="178"/>
      <c r="CS995" s="178"/>
      <c r="CT995" s="178"/>
      <c r="CU995" s="178"/>
      <c r="CV995" s="178"/>
      <c r="CW995" s="178"/>
      <c r="CX995" s="178"/>
      <c r="CY995" s="178"/>
      <c r="CZ995" s="178"/>
      <c r="DA995" s="150"/>
    </row>
    <row r="996" spans="53:105" x14ac:dyDescent="0.2">
      <c r="BA996" s="518">
        <f t="shared" ca="1" si="58"/>
        <v>61</v>
      </c>
      <c r="BB996" s="174">
        <f t="shared" ca="1" si="59"/>
        <v>933</v>
      </c>
      <c r="BC996" s="525" t="e">
        <f ca="1">MATCH(BD996,OFFSET(Pinlist!$A$2,BC995*(BA996=BA995),0,$BM$23,1),0)+BC995*(BA996=BA995)</f>
        <v>#N/A</v>
      </c>
      <c r="BD996" s="167">
        <f t="shared" ca="1" si="60"/>
        <v>0</v>
      </c>
      <c r="BE996" s="191" t="e">
        <f ca="1">(OFFSET(Pinlist!$E$1,BC996,0)-$BN$16)*$BN$19</f>
        <v>#N/A</v>
      </c>
      <c r="BF996" s="192" t="e">
        <f ca="1">(OFFSET(Pinlist!$F$1,BC996,0)-$BO$16)*$BO$19</f>
        <v>#N/A</v>
      </c>
      <c r="BG996" s="1098" t="str">
        <f ca="1">IF(LEFT(BD996,2)="RF",OFFSET(Pinlist!$D$1,Chart!BC996,0)&amp;"_"&amp;OFFSET(Pinlist!$G$1,Chart!BC996,0),"")</f>
        <v/>
      </c>
      <c r="BH996" s="1098"/>
      <c r="BI996" s="178"/>
      <c r="BJ996" s="178"/>
      <c r="BK996" s="178"/>
      <c r="BL996" s="178"/>
      <c r="BM996" s="178"/>
      <c r="BN996" s="178"/>
      <c r="BO996" s="178"/>
      <c r="BP996" s="178"/>
      <c r="BQ996" s="196"/>
      <c r="BR996" s="196"/>
      <c r="BS996" s="196"/>
      <c r="BT996" s="196"/>
      <c r="BU996" s="196"/>
      <c r="BV996" s="196"/>
      <c r="BW996" s="178"/>
      <c r="BX996" s="196"/>
      <c r="BY996" s="196"/>
      <c r="BZ996" s="196"/>
      <c r="CA996" s="196"/>
      <c r="CB996" s="178"/>
      <c r="CC996" s="178"/>
      <c r="CD996" s="202"/>
      <c r="CE996" s="202"/>
      <c r="CF996" s="178"/>
      <c r="CG996" s="196"/>
      <c r="CH996" s="178"/>
      <c r="CI996" s="178"/>
      <c r="CJ996" s="178"/>
      <c r="CK996" s="178"/>
      <c r="CL996" s="178"/>
      <c r="CM996" s="178"/>
      <c r="CN996" s="178"/>
      <c r="CO996" s="178"/>
      <c r="CP996" s="178"/>
      <c r="CQ996" s="178"/>
      <c r="CR996" s="178"/>
      <c r="CS996" s="178"/>
      <c r="CT996" s="178"/>
      <c r="CU996" s="178"/>
      <c r="CV996" s="178"/>
      <c r="CW996" s="178"/>
      <c r="CX996" s="178"/>
      <c r="CY996" s="178"/>
      <c r="CZ996" s="178"/>
      <c r="DA996" s="150"/>
    </row>
    <row r="997" spans="53:105" x14ac:dyDescent="0.2">
      <c r="BA997" s="518">
        <f t="shared" ca="1" si="58"/>
        <v>61</v>
      </c>
      <c r="BB997" s="174">
        <f t="shared" ca="1" si="59"/>
        <v>934</v>
      </c>
      <c r="BC997" s="525" t="e">
        <f ca="1">MATCH(BD997,OFFSET(Pinlist!$A$2,BC996*(BA997=BA996),0,$BM$23,1),0)+BC996*(BA997=BA996)</f>
        <v>#N/A</v>
      </c>
      <c r="BD997" s="167">
        <f t="shared" ca="1" si="60"/>
        <v>0</v>
      </c>
      <c r="BE997" s="191" t="e">
        <f ca="1">(OFFSET(Pinlist!$E$1,BC997,0)-$BN$16)*$BN$19</f>
        <v>#N/A</v>
      </c>
      <c r="BF997" s="192" t="e">
        <f ca="1">(OFFSET(Pinlist!$F$1,BC997,0)-$BO$16)*$BO$19</f>
        <v>#N/A</v>
      </c>
      <c r="BG997" s="1098" t="str">
        <f ca="1">IF(LEFT(BD997,2)="RF",OFFSET(Pinlist!$D$1,Chart!BC997,0)&amp;"_"&amp;OFFSET(Pinlist!$G$1,Chart!BC997,0),"")</f>
        <v/>
      </c>
      <c r="BH997" s="1098"/>
      <c r="BI997" s="178"/>
      <c r="BJ997" s="178"/>
      <c r="BK997" s="178"/>
      <c r="BL997" s="178"/>
      <c r="BM997" s="178"/>
      <c r="BN997" s="178"/>
      <c r="BO997" s="178"/>
      <c r="BP997" s="178"/>
      <c r="BQ997" s="196"/>
      <c r="BR997" s="196"/>
      <c r="BS997" s="196"/>
      <c r="BT997" s="196"/>
      <c r="BU997" s="196"/>
      <c r="BV997" s="196"/>
      <c r="BW997" s="178"/>
      <c r="BX997" s="196"/>
      <c r="BY997" s="196"/>
      <c r="BZ997" s="196"/>
      <c r="CA997" s="196"/>
      <c r="CB997" s="178"/>
      <c r="CC997" s="178"/>
      <c r="CD997" s="202"/>
      <c r="CE997" s="202"/>
      <c r="CF997" s="178"/>
      <c r="CG997" s="196"/>
      <c r="CH997" s="178"/>
      <c r="CI997" s="178"/>
      <c r="CJ997" s="178"/>
      <c r="CK997" s="178"/>
      <c r="CL997" s="178"/>
      <c r="CM997" s="178"/>
      <c r="CN997" s="178"/>
      <c r="CO997" s="178"/>
      <c r="CP997" s="178"/>
      <c r="CQ997" s="178"/>
      <c r="CR997" s="178"/>
      <c r="CS997" s="178"/>
      <c r="CT997" s="178"/>
      <c r="CU997" s="178"/>
      <c r="CV997" s="178"/>
      <c r="CW997" s="178"/>
      <c r="CX997" s="178"/>
      <c r="CY997" s="178"/>
      <c r="CZ997" s="178"/>
      <c r="DA997" s="150"/>
    </row>
    <row r="998" spans="53:105" x14ac:dyDescent="0.2">
      <c r="BA998" s="518">
        <f t="shared" ca="1" si="58"/>
        <v>61</v>
      </c>
      <c r="BB998" s="174">
        <f t="shared" ca="1" si="59"/>
        <v>935</v>
      </c>
      <c r="BC998" s="525" t="e">
        <f ca="1">MATCH(BD998,OFFSET(Pinlist!$A$2,BC997*(BA998=BA997),0,$BM$23,1),0)+BC997*(BA998=BA997)</f>
        <v>#N/A</v>
      </c>
      <c r="BD998" s="167">
        <f t="shared" ca="1" si="60"/>
        <v>0</v>
      </c>
      <c r="BE998" s="191" t="e">
        <f ca="1">(OFFSET(Pinlist!$E$1,BC998,0)-$BN$16)*$BN$19</f>
        <v>#N/A</v>
      </c>
      <c r="BF998" s="192" t="e">
        <f ca="1">(OFFSET(Pinlist!$F$1,BC998,0)-$BO$16)*$BO$19</f>
        <v>#N/A</v>
      </c>
      <c r="BG998" s="1098" t="str">
        <f ca="1">IF(LEFT(BD998,2)="RF",OFFSET(Pinlist!$D$1,Chart!BC998,0)&amp;"_"&amp;OFFSET(Pinlist!$G$1,Chart!BC998,0),"")</f>
        <v/>
      </c>
      <c r="BH998" s="1098"/>
      <c r="BI998" s="178"/>
      <c r="BJ998" s="178"/>
      <c r="BK998" s="178"/>
      <c r="BL998" s="178"/>
      <c r="BM998" s="178"/>
      <c r="BN998" s="178"/>
      <c r="BO998" s="178"/>
      <c r="BP998" s="178"/>
      <c r="BQ998" s="196"/>
      <c r="BR998" s="196"/>
      <c r="BS998" s="196"/>
      <c r="BT998" s="196"/>
      <c r="BU998" s="196"/>
      <c r="BV998" s="196"/>
      <c r="BW998" s="178"/>
      <c r="BX998" s="196"/>
      <c r="BY998" s="196"/>
      <c r="BZ998" s="196"/>
      <c r="CA998" s="196"/>
      <c r="CB998" s="178"/>
      <c r="CC998" s="178"/>
      <c r="CD998" s="202"/>
      <c r="CE998" s="202"/>
      <c r="CF998" s="178"/>
      <c r="CG998" s="196"/>
      <c r="CH998" s="178"/>
      <c r="CI998" s="178"/>
      <c r="CJ998" s="178"/>
      <c r="CK998" s="178"/>
      <c r="CL998" s="178"/>
      <c r="CM998" s="178"/>
      <c r="CN998" s="178"/>
      <c r="CO998" s="178"/>
      <c r="CP998" s="178"/>
      <c r="CQ998" s="178"/>
      <c r="CR998" s="178"/>
      <c r="CS998" s="178"/>
      <c r="CT998" s="178"/>
      <c r="CU998" s="178"/>
      <c r="CV998" s="178"/>
      <c r="CW998" s="178"/>
      <c r="CX998" s="178"/>
      <c r="CY998" s="178"/>
      <c r="CZ998" s="178"/>
      <c r="DA998" s="150"/>
    </row>
    <row r="999" spans="53:105" x14ac:dyDescent="0.2">
      <c r="BA999" s="518">
        <f t="shared" ca="1" si="58"/>
        <v>61</v>
      </c>
      <c r="BB999" s="174">
        <f t="shared" ca="1" si="59"/>
        <v>936</v>
      </c>
      <c r="BC999" s="525" t="e">
        <f ca="1">MATCH(BD999,OFFSET(Pinlist!$A$2,BC998*(BA999=BA998),0,$BM$23,1),0)+BC998*(BA999=BA998)</f>
        <v>#N/A</v>
      </c>
      <c r="BD999" s="167">
        <f t="shared" ca="1" si="60"/>
        <v>0</v>
      </c>
      <c r="BE999" s="191" t="e">
        <f ca="1">(OFFSET(Pinlist!$E$1,BC999,0)-$BN$16)*$BN$19</f>
        <v>#N/A</v>
      </c>
      <c r="BF999" s="192" t="e">
        <f ca="1">(OFFSET(Pinlist!$F$1,BC999,0)-$BO$16)*$BO$19</f>
        <v>#N/A</v>
      </c>
      <c r="BG999" s="1098" t="str">
        <f ca="1">IF(LEFT(BD999,2)="RF",OFFSET(Pinlist!$D$1,Chart!BC999,0)&amp;"_"&amp;OFFSET(Pinlist!$G$1,Chart!BC999,0),"")</f>
        <v/>
      </c>
      <c r="BH999" s="1098"/>
      <c r="BI999" s="178"/>
      <c r="BJ999" s="178"/>
      <c r="BK999" s="178"/>
      <c r="BL999" s="178"/>
      <c r="BM999" s="178"/>
      <c r="BN999" s="178"/>
      <c r="BO999" s="178"/>
      <c r="BP999" s="178"/>
      <c r="BQ999" s="196"/>
      <c r="BR999" s="196"/>
      <c r="BS999" s="196"/>
      <c r="BT999" s="196"/>
      <c r="BU999" s="196"/>
      <c r="BV999" s="196"/>
      <c r="BW999" s="178"/>
      <c r="BX999" s="196"/>
      <c r="BY999" s="196"/>
      <c r="BZ999" s="196"/>
      <c r="CA999" s="196"/>
      <c r="CB999" s="178"/>
      <c r="CC999" s="178"/>
      <c r="CD999" s="202"/>
      <c r="CE999" s="202"/>
      <c r="CF999" s="178"/>
      <c r="CG999" s="196"/>
      <c r="CH999" s="178"/>
      <c r="CI999" s="178"/>
      <c r="CJ999" s="178"/>
      <c r="CK999" s="178"/>
      <c r="CL999" s="178"/>
      <c r="CM999" s="178"/>
      <c r="CN999" s="178"/>
      <c r="CO999" s="178"/>
      <c r="CP999" s="178"/>
      <c r="CQ999" s="178"/>
      <c r="CR999" s="178"/>
      <c r="CS999" s="178"/>
      <c r="CT999" s="178"/>
      <c r="CU999" s="178"/>
      <c r="CV999" s="178"/>
      <c r="CW999" s="178"/>
      <c r="CX999" s="178"/>
      <c r="CY999" s="178"/>
      <c r="CZ999" s="178"/>
      <c r="DA999" s="150"/>
    </row>
    <row r="1000" spans="53:105" x14ac:dyDescent="0.2">
      <c r="BA1000" s="518">
        <f t="shared" ca="1" si="58"/>
        <v>61</v>
      </c>
      <c r="BB1000" s="174">
        <f t="shared" ca="1" si="59"/>
        <v>937</v>
      </c>
      <c r="BC1000" s="525" t="e">
        <f ca="1">MATCH(BD1000,OFFSET(Pinlist!$A$2,BC999*(BA1000=BA999),0,$BM$23,1),0)+BC999*(BA1000=BA999)</f>
        <v>#N/A</v>
      </c>
      <c r="BD1000" s="167">
        <f t="shared" ca="1" si="60"/>
        <v>0</v>
      </c>
      <c r="BE1000" s="191" t="e">
        <f ca="1">(OFFSET(Pinlist!$E$1,BC1000,0)-$BN$16)*$BN$19</f>
        <v>#N/A</v>
      </c>
      <c r="BF1000" s="192" t="e">
        <f ca="1">(OFFSET(Pinlist!$F$1,BC1000,0)-$BO$16)*$BO$19</f>
        <v>#N/A</v>
      </c>
      <c r="BG1000" s="1098" t="str">
        <f ca="1">IF(LEFT(BD1000,2)="RF",OFFSET(Pinlist!$D$1,Chart!BC1000,0)&amp;"_"&amp;OFFSET(Pinlist!$G$1,Chart!BC1000,0),"")</f>
        <v/>
      </c>
      <c r="BH1000" s="1098"/>
      <c r="BI1000" s="178"/>
      <c r="BJ1000" s="178"/>
      <c r="BK1000" s="178"/>
      <c r="BL1000" s="178"/>
      <c r="BM1000" s="178"/>
      <c r="BN1000" s="178"/>
      <c r="BO1000" s="178"/>
      <c r="BP1000" s="178"/>
      <c r="BQ1000" s="196"/>
      <c r="BR1000" s="196"/>
      <c r="BS1000" s="196"/>
      <c r="BT1000" s="196"/>
      <c r="BU1000" s="196"/>
      <c r="BV1000" s="196"/>
      <c r="BW1000" s="178"/>
      <c r="BX1000" s="196"/>
      <c r="BY1000" s="196"/>
      <c r="BZ1000" s="196"/>
      <c r="CA1000" s="196"/>
      <c r="CB1000" s="178"/>
      <c r="CC1000" s="178"/>
      <c r="CD1000" s="202"/>
      <c r="CE1000" s="202"/>
      <c r="CF1000" s="178"/>
      <c r="CG1000" s="196"/>
      <c r="CH1000" s="178"/>
      <c r="CI1000" s="178"/>
      <c r="CJ1000" s="178"/>
      <c r="CK1000" s="178"/>
      <c r="CL1000" s="178"/>
      <c r="CM1000" s="178"/>
      <c r="CN1000" s="178"/>
      <c r="CO1000" s="178"/>
      <c r="CP1000" s="178"/>
      <c r="CQ1000" s="178"/>
      <c r="CR1000" s="178"/>
      <c r="CS1000" s="178"/>
      <c r="CT1000" s="178"/>
      <c r="CU1000" s="178"/>
      <c r="CV1000" s="178"/>
      <c r="CW1000" s="178"/>
      <c r="CX1000" s="178"/>
      <c r="CY1000" s="178"/>
      <c r="CZ1000" s="178"/>
      <c r="DA1000" s="150"/>
    </row>
    <row r="1001" spans="53:105" x14ac:dyDescent="0.2">
      <c r="BA1001" s="518">
        <f t="shared" ca="1" si="58"/>
        <v>61</v>
      </c>
      <c r="BB1001" s="174">
        <f t="shared" ca="1" si="59"/>
        <v>938</v>
      </c>
      <c r="BC1001" s="525" t="e">
        <f ca="1">MATCH(BD1001,OFFSET(Pinlist!$A$2,BC1000*(BA1001=BA1000),0,$BM$23,1),0)+BC1000*(BA1001=BA1000)</f>
        <v>#N/A</v>
      </c>
      <c r="BD1001" s="167">
        <f t="shared" ca="1" si="60"/>
        <v>0</v>
      </c>
      <c r="BE1001" s="191" t="e">
        <f ca="1">(OFFSET(Pinlist!$E$1,BC1001,0)-$BN$16)*$BN$19</f>
        <v>#N/A</v>
      </c>
      <c r="BF1001" s="192" t="e">
        <f ca="1">(OFFSET(Pinlist!$F$1,BC1001,0)-$BO$16)*$BO$19</f>
        <v>#N/A</v>
      </c>
      <c r="BG1001" s="1098" t="str">
        <f ca="1">IF(LEFT(BD1001,2)="RF",OFFSET(Pinlist!$D$1,Chart!BC1001,0)&amp;"_"&amp;OFFSET(Pinlist!$G$1,Chart!BC1001,0),"")</f>
        <v/>
      </c>
      <c r="BH1001" s="1098"/>
      <c r="BI1001" s="178"/>
      <c r="BJ1001" s="178"/>
      <c r="BK1001" s="178"/>
      <c r="BL1001" s="178"/>
      <c r="BM1001" s="178"/>
      <c r="BN1001" s="178"/>
      <c r="BO1001" s="178"/>
      <c r="BP1001" s="178"/>
      <c r="BQ1001" s="196"/>
      <c r="BR1001" s="196"/>
      <c r="BS1001" s="196"/>
      <c r="BT1001" s="196"/>
      <c r="BU1001" s="196"/>
      <c r="BV1001" s="196"/>
      <c r="BW1001" s="178"/>
      <c r="BX1001" s="196"/>
      <c r="BY1001" s="196"/>
      <c r="BZ1001" s="196"/>
      <c r="CA1001" s="196"/>
      <c r="CB1001" s="178"/>
      <c r="CC1001" s="178"/>
      <c r="CD1001" s="202"/>
      <c r="CE1001" s="202"/>
      <c r="CF1001" s="178"/>
      <c r="CG1001" s="196"/>
      <c r="CH1001" s="178"/>
      <c r="CI1001" s="178"/>
      <c r="CJ1001" s="178"/>
      <c r="CK1001" s="178"/>
      <c r="CL1001" s="178"/>
      <c r="CM1001" s="178"/>
      <c r="CN1001" s="178"/>
      <c r="CO1001" s="178"/>
      <c r="CP1001" s="178"/>
      <c r="CQ1001" s="178"/>
      <c r="CR1001" s="178"/>
      <c r="CS1001" s="178"/>
      <c r="CT1001" s="178"/>
      <c r="CU1001" s="178"/>
      <c r="CV1001" s="178"/>
      <c r="CW1001" s="178"/>
      <c r="CX1001" s="178"/>
      <c r="CY1001" s="178"/>
      <c r="CZ1001" s="178"/>
      <c r="DA1001" s="150"/>
    </row>
    <row r="1002" spans="53:105" x14ac:dyDescent="0.2">
      <c r="BA1002" s="518">
        <f t="shared" ca="1" si="58"/>
        <v>61</v>
      </c>
      <c r="BB1002" s="174">
        <f t="shared" ca="1" si="59"/>
        <v>939</v>
      </c>
      <c r="BC1002" s="525" t="e">
        <f ca="1">MATCH(BD1002,OFFSET(Pinlist!$A$2,BC1001*(BA1002=BA1001),0,$BM$23,1),0)+BC1001*(BA1002=BA1001)</f>
        <v>#N/A</v>
      </c>
      <c r="BD1002" s="167">
        <f t="shared" ca="1" si="60"/>
        <v>0</v>
      </c>
      <c r="BE1002" s="191" t="e">
        <f ca="1">(OFFSET(Pinlist!$E$1,BC1002,0)-$BN$16)*$BN$19</f>
        <v>#N/A</v>
      </c>
      <c r="BF1002" s="192" t="e">
        <f ca="1">(OFFSET(Pinlist!$F$1,BC1002,0)-$BO$16)*$BO$19</f>
        <v>#N/A</v>
      </c>
      <c r="BG1002" s="1098" t="str">
        <f ca="1">IF(LEFT(BD1002,2)="RF",OFFSET(Pinlist!$D$1,Chart!BC1002,0)&amp;"_"&amp;OFFSET(Pinlist!$G$1,Chart!BC1002,0),"")</f>
        <v/>
      </c>
      <c r="BH1002" s="1098"/>
      <c r="BI1002" s="178"/>
      <c r="BJ1002" s="178"/>
      <c r="BK1002" s="178"/>
      <c r="BL1002" s="178"/>
      <c r="BM1002" s="178"/>
      <c r="BN1002" s="178"/>
      <c r="BO1002" s="178"/>
      <c r="BP1002" s="178"/>
      <c r="BQ1002" s="196"/>
      <c r="BR1002" s="196"/>
      <c r="BS1002" s="196"/>
      <c r="BT1002" s="196"/>
      <c r="BU1002" s="196"/>
      <c r="BV1002" s="196"/>
      <c r="BW1002" s="178"/>
      <c r="BX1002" s="196"/>
      <c r="BY1002" s="196"/>
      <c r="BZ1002" s="196"/>
      <c r="CA1002" s="196"/>
      <c r="CB1002" s="178"/>
      <c r="CC1002" s="178"/>
      <c r="CD1002" s="202"/>
      <c r="CE1002" s="202"/>
      <c r="CF1002" s="178"/>
      <c r="CG1002" s="196"/>
      <c r="CH1002" s="178"/>
      <c r="CI1002" s="178"/>
      <c r="CJ1002" s="178"/>
      <c r="CK1002" s="178"/>
      <c r="CL1002" s="178"/>
      <c r="CM1002" s="178"/>
      <c r="CN1002" s="178"/>
      <c r="CO1002" s="178"/>
      <c r="CP1002" s="178"/>
      <c r="CQ1002" s="178"/>
      <c r="CR1002" s="178"/>
      <c r="CS1002" s="178"/>
      <c r="CT1002" s="178"/>
      <c r="CU1002" s="178"/>
      <c r="CV1002" s="178"/>
      <c r="CW1002" s="178"/>
      <c r="CX1002" s="178"/>
      <c r="CY1002" s="178"/>
      <c r="CZ1002" s="178"/>
      <c r="DA1002" s="150"/>
    </row>
    <row r="1003" spans="53:105" x14ac:dyDescent="0.2">
      <c r="BA1003" s="518">
        <f t="shared" ca="1" si="58"/>
        <v>61</v>
      </c>
      <c r="BB1003" s="174">
        <f t="shared" ca="1" si="59"/>
        <v>940</v>
      </c>
      <c r="BC1003" s="525" t="e">
        <f ca="1">MATCH(BD1003,OFFSET(Pinlist!$A$2,BC1002*(BA1003=BA1002),0,$BM$23,1),0)+BC1002*(BA1003=BA1002)</f>
        <v>#N/A</v>
      </c>
      <c r="BD1003" s="167">
        <f t="shared" ca="1" si="60"/>
        <v>0</v>
      </c>
      <c r="BE1003" s="191" t="e">
        <f ca="1">(OFFSET(Pinlist!$E$1,BC1003,0)-$BN$16)*$BN$19</f>
        <v>#N/A</v>
      </c>
      <c r="BF1003" s="192" t="e">
        <f ca="1">(OFFSET(Pinlist!$F$1,BC1003,0)-$BO$16)*$BO$19</f>
        <v>#N/A</v>
      </c>
      <c r="BG1003" s="1098" t="str">
        <f ca="1">IF(LEFT(BD1003,2)="RF",OFFSET(Pinlist!$D$1,Chart!BC1003,0)&amp;"_"&amp;OFFSET(Pinlist!$G$1,Chart!BC1003,0),"")</f>
        <v/>
      </c>
      <c r="BH1003" s="1098"/>
      <c r="BI1003" s="178"/>
      <c r="BJ1003" s="178"/>
      <c r="BK1003" s="178"/>
      <c r="BL1003" s="178"/>
      <c r="BM1003" s="178"/>
      <c r="BN1003" s="178"/>
      <c r="BO1003" s="178"/>
      <c r="BP1003" s="178"/>
      <c r="BQ1003" s="196"/>
      <c r="BR1003" s="196"/>
      <c r="BS1003" s="196"/>
      <c r="BT1003" s="196"/>
      <c r="BU1003" s="196"/>
      <c r="BV1003" s="196"/>
      <c r="BW1003" s="178"/>
      <c r="BX1003" s="196"/>
      <c r="BY1003" s="196"/>
      <c r="BZ1003" s="196"/>
      <c r="CA1003" s="196"/>
      <c r="CB1003" s="178"/>
      <c r="CC1003" s="178"/>
      <c r="CD1003" s="202"/>
      <c r="CE1003" s="202"/>
      <c r="CF1003" s="178"/>
      <c r="CG1003" s="196"/>
      <c r="CH1003" s="178"/>
      <c r="CI1003" s="178"/>
      <c r="CJ1003" s="178"/>
      <c r="CK1003" s="178"/>
      <c r="CL1003" s="178"/>
      <c r="CM1003" s="178"/>
      <c r="CN1003" s="178"/>
      <c r="CO1003" s="178"/>
      <c r="CP1003" s="178"/>
      <c r="CQ1003" s="178"/>
      <c r="CR1003" s="178"/>
      <c r="CS1003" s="178"/>
      <c r="CT1003" s="178"/>
      <c r="CU1003" s="178"/>
      <c r="CV1003" s="178"/>
      <c r="CW1003" s="178"/>
      <c r="CX1003" s="178"/>
      <c r="CY1003" s="178"/>
      <c r="CZ1003" s="178"/>
      <c r="DA1003" s="150"/>
    </row>
    <row r="1004" spans="53:105" x14ac:dyDescent="0.2">
      <c r="BA1004" s="518">
        <f t="shared" ca="1" si="58"/>
        <v>61</v>
      </c>
      <c r="BB1004" s="174">
        <f t="shared" ca="1" si="59"/>
        <v>941</v>
      </c>
      <c r="BC1004" s="525" t="e">
        <f ca="1">MATCH(BD1004,OFFSET(Pinlist!$A$2,BC1003*(BA1004=BA1003),0,$BM$23,1),0)+BC1003*(BA1004=BA1003)</f>
        <v>#N/A</v>
      </c>
      <c r="BD1004" s="167">
        <f t="shared" ca="1" si="60"/>
        <v>0</v>
      </c>
      <c r="BE1004" s="191" t="e">
        <f ca="1">(OFFSET(Pinlist!$E$1,BC1004,0)-$BN$16)*$BN$19</f>
        <v>#N/A</v>
      </c>
      <c r="BF1004" s="192" t="e">
        <f ca="1">(OFFSET(Pinlist!$F$1,BC1004,0)-$BO$16)*$BO$19</f>
        <v>#N/A</v>
      </c>
      <c r="BG1004" s="1098" t="str">
        <f ca="1">IF(LEFT(BD1004,2)="RF",OFFSET(Pinlist!$D$1,Chart!BC1004,0)&amp;"_"&amp;OFFSET(Pinlist!$G$1,Chart!BC1004,0),"")</f>
        <v/>
      </c>
      <c r="BH1004" s="1098"/>
      <c r="BI1004" s="178"/>
      <c r="BJ1004" s="178"/>
      <c r="BK1004" s="178"/>
      <c r="BL1004" s="178"/>
      <c r="BM1004" s="178"/>
      <c r="BN1004" s="178"/>
      <c r="BO1004" s="178"/>
      <c r="BP1004" s="178"/>
      <c r="BQ1004" s="196"/>
      <c r="BR1004" s="196"/>
      <c r="BS1004" s="196"/>
      <c r="BT1004" s="196"/>
      <c r="BU1004" s="196"/>
      <c r="BV1004" s="196"/>
      <c r="BW1004" s="178"/>
      <c r="BX1004" s="196"/>
      <c r="BY1004" s="196"/>
      <c r="BZ1004" s="196"/>
      <c r="CA1004" s="196"/>
      <c r="CB1004" s="178"/>
      <c r="CC1004" s="178"/>
      <c r="CD1004" s="202"/>
      <c r="CE1004" s="202"/>
      <c r="CF1004" s="178"/>
      <c r="CG1004" s="196"/>
      <c r="CH1004" s="178"/>
      <c r="CI1004" s="178"/>
      <c r="CJ1004" s="178"/>
      <c r="CK1004" s="178"/>
      <c r="CL1004" s="178"/>
      <c r="CM1004" s="178"/>
      <c r="CN1004" s="178"/>
      <c r="CO1004" s="178"/>
      <c r="CP1004" s="178"/>
      <c r="CQ1004" s="178"/>
      <c r="CR1004" s="178"/>
      <c r="CS1004" s="178"/>
      <c r="CT1004" s="178"/>
      <c r="CU1004" s="178"/>
      <c r="CV1004" s="178"/>
      <c r="CW1004" s="178"/>
      <c r="CX1004" s="178"/>
      <c r="CY1004" s="178"/>
      <c r="CZ1004" s="178"/>
      <c r="DA1004" s="150"/>
    </row>
    <row r="1005" spans="53:105" x14ac:dyDescent="0.2">
      <c r="BA1005" s="518">
        <f t="shared" ca="1" si="58"/>
        <v>61</v>
      </c>
      <c r="BB1005" s="174">
        <f t="shared" ca="1" si="59"/>
        <v>942</v>
      </c>
      <c r="BC1005" s="525" t="e">
        <f ca="1">MATCH(BD1005,OFFSET(Pinlist!$A$2,BC1004*(BA1005=BA1004),0,$BM$23,1),0)+BC1004*(BA1005=BA1004)</f>
        <v>#N/A</v>
      </c>
      <c r="BD1005" s="167">
        <f t="shared" ca="1" si="60"/>
        <v>0</v>
      </c>
      <c r="BE1005" s="191" t="e">
        <f ca="1">(OFFSET(Pinlist!$E$1,BC1005,0)-$BN$16)*$BN$19</f>
        <v>#N/A</v>
      </c>
      <c r="BF1005" s="192" t="e">
        <f ca="1">(OFFSET(Pinlist!$F$1,BC1005,0)-$BO$16)*$BO$19</f>
        <v>#N/A</v>
      </c>
      <c r="BG1005" s="1098" t="str">
        <f ca="1">IF(LEFT(BD1005,2)="RF",OFFSET(Pinlist!$D$1,Chart!BC1005,0)&amp;"_"&amp;OFFSET(Pinlist!$G$1,Chart!BC1005,0),"")</f>
        <v/>
      </c>
      <c r="BH1005" s="1098"/>
      <c r="BI1005" s="178"/>
      <c r="BJ1005" s="178"/>
      <c r="BK1005" s="178"/>
      <c r="BL1005" s="178"/>
      <c r="BM1005" s="178"/>
      <c r="BN1005" s="178"/>
      <c r="BO1005" s="178"/>
      <c r="BP1005" s="178"/>
      <c r="BQ1005" s="196"/>
      <c r="BR1005" s="196"/>
      <c r="BS1005" s="196"/>
      <c r="BT1005" s="196"/>
      <c r="BU1005" s="196"/>
      <c r="BV1005" s="196"/>
      <c r="BW1005" s="178"/>
      <c r="BX1005" s="196"/>
      <c r="BY1005" s="196"/>
      <c r="BZ1005" s="196"/>
      <c r="CA1005" s="196"/>
      <c r="CB1005" s="178"/>
      <c r="CC1005" s="178"/>
      <c r="CD1005" s="202"/>
      <c r="CE1005" s="202"/>
      <c r="CF1005" s="178"/>
      <c r="CG1005" s="196"/>
      <c r="CH1005" s="178"/>
      <c r="CI1005" s="178"/>
      <c r="CJ1005" s="178"/>
      <c r="CK1005" s="178"/>
      <c r="CL1005" s="178"/>
      <c r="CM1005" s="178"/>
      <c r="CN1005" s="178"/>
      <c r="CO1005" s="178"/>
      <c r="CP1005" s="178"/>
      <c r="CQ1005" s="178"/>
      <c r="CR1005" s="178"/>
      <c r="CS1005" s="178"/>
      <c r="CT1005" s="178"/>
      <c r="CU1005" s="178"/>
      <c r="CV1005" s="178"/>
      <c r="CW1005" s="178"/>
      <c r="CX1005" s="178"/>
      <c r="CY1005" s="178"/>
      <c r="CZ1005" s="178"/>
      <c r="DA1005" s="150"/>
    </row>
    <row r="1006" spans="53:105" x14ac:dyDescent="0.2">
      <c r="BA1006" s="518">
        <f t="shared" ca="1" si="58"/>
        <v>61</v>
      </c>
      <c r="BB1006" s="174">
        <f t="shared" ca="1" si="59"/>
        <v>943</v>
      </c>
      <c r="BC1006" s="525" t="e">
        <f ca="1">MATCH(BD1006,OFFSET(Pinlist!$A$2,BC1005*(BA1006=BA1005),0,$BM$23,1),0)+BC1005*(BA1006=BA1005)</f>
        <v>#N/A</v>
      </c>
      <c r="BD1006" s="167">
        <f t="shared" ca="1" si="60"/>
        <v>0</v>
      </c>
      <c r="BE1006" s="191" t="e">
        <f ca="1">(OFFSET(Pinlist!$E$1,BC1006,0)-$BN$16)*$BN$19</f>
        <v>#N/A</v>
      </c>
      <c r="BF1006" s="192" t="e">
        <f ca="1">(OFFSET(Pinlist!$F$1,BC1006,0)-$BO$16)*$BO$19</f>
        <v>#N/A</v>
      </c>
      <c r="BG1006" s="1098" t="str">
        <f ca="1">IF(LEFT(BD1006,2)="RF",OFFSET(Pinlist!$D$1,Chart!BC1006,0)&amp;"_"&amp;OFFSET(Pinlist!$G$1,Chart!BC1006,0),"")</f>
        <v/>
      </c>
      <c r="BH1006" s="1098"/>
      <c r="BI1006" s="178"/>
      <c r="BJ1006" s="178"/>
      <c r="BK1006" s="178"/>
      <c r="BL1006" s="178"/>
      <c r="BM1006" s="178"/>
      <c r="BN1006" s="178"/>
      <c r="BO1006" s="178"/>
      <c r="BP1006" s="178"/>
      <c r="BQ1006" s="196"/>
      <c r="BR1006" s="196"/>
      <c r="BS1006" s="196"/>
      <c r="BT1006" s="196"/>
      <c r="BU1006" s="196"/>
      <c r="BV1006" s="196"/>
      <c r="BW1006" s="178"/>
      <c r="BX1006" s="196"/>
      <c r="BY1006" s="196"/>
      <c r="BZ1006" s="196"/>
      <c r="CA1006" s="196"/>
      <c r="CB1006" s="178"/>
      <c r="CC1006" s="178"/>
      <c r="CD1006" s="202"/>
      <c r="CE1006" s="202"/>
      <c r="CF1006" s="178"/>
      <c r="CG1006" s="196"/>
      <c r="CH1006" s="178"/>
      <c r="CI1006" s="178"/>
      <c r="CJ1006" s="178"/>
      <c r="CK1006" s="178"/>
      <c r="CL1006" s="178"/>
      <c r="CM1006" s="178"/>
      <c r="CN1006" s="178"/>
      <c r="CO1006" s="178"/>
      <c r="CP1006" s="178"/>
      <c r="CQ1006" s="178"/>
      <c r="CR1006" s="178"/>
      <c r="CS1006" s="178"/>
      <c r="CT1006" s="178"/>
      <c r="CU1006" s="178"/>
      <c r="CV1006" s="178"/>
      <c r="CW1006" s="178"/>
      <c r="CX1006" s="178"/>
      <c r="CY1006" s="178"/>
      <c r="CZ1006" s="178"/>
      <c r="DA1006" s="150"/>
    </row>
    <row r="1007" spans="53:105" x14ac:dyDescent="0.2">
      <c r="BA1007" s="518">
        <f t="shared" ca="1" si="58"/>
        <v>61</v>
      </c>
      <c r="BB1007" s="174">
        <f t="shared" ca="1" si="59"/>
        <v>944</v>
      </c>
      <c r="BC1007" s="525" t="e">
        <f ca="1">MATCH(BD1007,OFFSET(Pinlist!$A$2,BC1006*(BA1007=BA1006),0,$BM$23,1),0)+BC1006*(BA1007=BA1006)</f>
        <v>#N/A</v>
      </c>
      <c r="BD1007" s="167">
        <f t="shared" ca="1" si="60"/>
        <v>0</v>
      </c>
      <c r="BE1007" s="191" t="e">
        <f ca="1">(OFFSET(Pinlist!$E$1,BC1007,0)-$BN$16)*$BN$19</f>
        <v>#N/A</v>
      </c>
      <c r="BF1007" s="192" t="e">
        <f ca="1">(OFFSET(Pinlist!$F$1,BC1007,0)-$BO$16)*$BO$19</f>
        <v>#N/A</v>
      </c>
      <c r="BG1007" s="1098" t="str">
        <f ca="1">IF(LEFT(BD1007,2)="RF",OFFSET(Pinlist!$D$1,Chart!BC1007,0)&amp;"_"&amp;OFFSET(Pinlist!$G$1,Chart!BC1007,0),"")</f>
        <v/>
      </c>
      <c r="BH1007" s="1098"/>
      <c r="BI1007" s="178"/>
      <c r="BJ1007" s="178"/>
      <c r="BK1007" s="178"/>
      <c r="BL1007" s="178"/>
      <c r="BM1007" s="178"/>
      <c r="BN1007" s="178"/>
      <c r="BO1007" s="178"/>
      <c r="BP1007" s="178"/>
      <c r="BQ1007" s="196"/>
      <c r="BR1007" s="196"/>
      <c r="BS1007" s="196"/>
      <c r="BT1007" s="196"/>
      <c r="BU1007" s="196"/>
      <c r="BV1007" s="196"/>
      <c r="BW1007" s="178"/>
      <c r="BX1007" s="196"/>
      <c r="BY1007" s="196"/>
      <c r="BZ1007" s="196"/>
      <c r="CA1007" s="196"/>
      <c r="CB1007" s="178"/>
      <c r="CC1007" s="178"/>
      <c r="CD1007" s="202"/>
      <c r="CE1007" s="202"/>
      <c r="CF1007" s="178"/>
      <c r="CG1007" s="196"/>
      <c r="CH1007" s="178"/>
      <c r="CI1007" s="178"/>
      <c r="CJ1007" s="178"/>
      <c r="CK1007" s="178"/>
      <c r="CL1007" s="178"/>
      <c r="CM1007" s="178"/>
      <c r="CN1007" s="178"/>
      <c r="CO1007" s="178"/>
      <c r="CP1007" s="178"/>
      <c r="CQ1007" s="178"/>
      <c r="CR1007" s="178"/>
      <c r="CS1007" s="178"/>
      <c r="CT1007" s="178"/>
      <c r="CU1007" s="178"/>
      <c r="CV1007" s="178"/>
      <c r="CW1007" s="178"/>
      <c r="CX1007" s="178"/>
      <c r="CY1007" s="178"/>
      <c r="CZ1007" s="178"/>
      <c r="DA1007" s="150"/>
    </row>
    <row r="1008" spans="53:105" x14ac:dyDescent="0.2">
      <c r="BA1008" s="518">
        <f t="shared" ca="1" si="58"/>
        <v>61</v>
      </c>
      <c r="BB1008" s="174">
        <f t="shared" ca="1" si="59"/>
        <v>945</v>
      </c>
      <c r="BC1008" s="525" t="e">
        <f ca="1">MATCH(BD1008,OFFSET(Pinlist!$A$2,BC1007*(BA1008=BA1007),0,$BM$23,1),0)+BC1007*(BA1008=BA1007)</f>
        <v>#N/A</v>
      </c>
      <c r="BD1008" s="167">
        <f t="shared" ca="1" si="60"/>
        <v>0</v>
      </c>
      <c r="BE1008" s="191" t="e">
        <f ca="1">(OFFSET(Pinlist!$E$1,BC1008,0)-$BN$16)*$BN$19</f>
        <v>#N/A</v>
      </c>
      <c r="BF1008" s="192" t="e">
        <f ca="1">(OFFSET(Pinlist!$F$1,BC1008,0)-$BO$16)*$BO$19</f>
        <v>#N/A</v>
      </c>
      <c r="BG1008" s="1098" t="str">
        <f ca="1">IF(LEFT(BD1008,2)="RF",OFFSET(Pinlist!$D$1,Chart!BC1008,0)&amp;"_"&amp;OFFSET(Pinlist!$G$1,Chart!BC1008,0),"")</f>
        <v/>
      </c>
      <c r="BH1008" s="1098"/>
      <c r="BI1008" s="178"/>
      <c r="BJ1008" s="178"/>
      <c r="BK1008" s="178"/>
      <c r="BL1008" s="178"/>
      <c r="BM1008" s="178"/>
      <c r="BN1008" s="178"/>
      <c r="BO1008" s="178"/>
      <c r="BP1008" s="178"/>
      <c r="BQ1008" s="196"/>
      <c r="BR1008" s="196"/>
      <c r="BS1008" s="196"/>
      <c r="BT1008" s="196"/>
      <c r="BU1008" s="196"/>
      <c r="BV1008" s="196"/>
      <c r="BW1008" s="178"/>
      <c r="BX1008" s="196"/>
      <c r="BY1008" s="196"/>
      <c r="BZ1008" s="196"/>
      <c r="CA1008" s="196"/>
      <c r="CB1008" s="178"/>
      <c r="CC1008" s="178"/>
      <c r="CD1008" s="202"/>
      <c r="CE1008" s="202"/>
      <c r="CF1008" s="178"/>
      <c r="CG1008" s="196"/>
      <c r="CH1008" s="178"/>
      <c r="CI1008" s="178"/>
      <c r="CJ1008" s="178"/>
      <c r="CK1008" s="178"/>
      <c r="CL1008" s="178"/>
      <c r="CM1008" s="178"/>
      <c r="CN1008" s="178"/>
      <c r="CO1008" s="178"/>
      <c r="CP1008" s="178"/>
      <c r="CQ1008" s="178"/>
      <c r="CR1008" s="178"/>
      <c r="CS1008" s="178"/>
      <c r="CT1008" s="178"/>
      <c r="CU1008" s="178"/>
      <c r="CV1008" s="178"/>
      <c r="CW1008" s="178"/>
      <c r="CX1008" s="178"/>
      <c r="CY1008" s="178"/>
      <c r="CZ1008" s="178"/>
      <c r="DA1008" s="150"/>
    </row>
    <row r="1009" spans="53:105" x14ac:dyDescent="0.2">
      <c r="BA1009" s="518">
        <f t="shared" ca="1" si="58"/>
        <v>61</v>
      </c>
      <c r="BB1009" s="174">
        <f t="shared" ca="1" si="59"/>
        <v>946</v>
      </c>
      <c r="BC1009" s="525" t="e">
        <f ca="1">MATCH(BD1009,OFFSET(Pinlist!$A$2,BC1008*(BA1009=BA1008),0,$BM$23,1),0)+BC1008*(BA1009=BA1008)</f>
        <v>#N/A</v>
      </c>
      <c r="BD1009" s="167">
        <f t="shared" ca="1" si="60"/>
        <v>0</v>
      </c>
      <c r="BE1009" s="191" t="e">
        <f ca="1">(OFFSET(Pinlist!$E$1,BC1009,0)-$BN$16)*$BN$19</f>
        <v>#N/A</v>
      </c>
      <c r="BF1009" s="192" t="e">
        <f ca="1">(OFFSET(Pinlist!$F$1,BC1009,0)-$BO$16)*$BO$19</f>
        <v>#N/A</v>
      </c>
      <c r="BG1009" s="1098" t="str">
        <f ca="1">IF(LEFT(BD1009,2)="RF",OFFSET(Pinlist!$D$1,Chart!BC1009,0)&amp;"_"&amp;OFFSET(Pinlist!$G$1,Chart!BC1009,0),"")</f>
        <v/>
      </c>
      <c r="BH1009" s="1098"/>
      <c r="BI1009" s="178"/>
      <c r="BJ1009" s="178"/>
      <c r="BK1009" s="178"/>
      <c r="BL1009" s="178"/>
      <c r="BM1009" s="178"/>
      <c r="BN1009" s="178"/>
      <c r="BO1009" s="178"/>
      <c r="BP1009" s="178"/>
      <c r="BQ1009" s="196"/>
      <c r="BR1009" s="196"/>
      <c r="BS1009" s="196"/>
      <c r="BT1009" s="196"/>
      <c r="BU1009" s="196"/>
      <c r="BV1009" s="196"/>
      <c r="BW1009" s="178"/>
      <c r="BX1009" s="196"/>
      <c r="BY1009" s="196"/>
      <c r="BZ1009" s="196"/>
      <c r="CA1009" s="196"/>
      <c r="CB1009" s="178"/>
      <c r="CC1009" s="178"/>
      <c r="CD1009" s="202"/>
      <c r="CE1009" s="202"/>
      <c r="CF1009" s="178"/>
      <c r="CG1009" s="196"/>
      <c r="CH1009" s="178"/>
      <c r="CI1009" s="178"/>
      <c r="CJ1009" s="178"/>
      <c r="CK1009" s="178"/>
      <c r="CL1009" s="178"/>
      <c r="CM1009" s="178"/>
      <c r="CN1009" s="178"/>
      <c r="CO1009" s="178"/>
      <c r="CP1009" s="178"/>
      <c r="CQ1009" s="178"/>
      <c r="CR1009" s="178"/>
      <c r="CS1009" s="178"/>
      <c r="CT1009" s="178"/>
      <c r="CU1009" s="178"/>
      <c r="CV1009" s="178"/>
      <c r="CW1009" s="178"/>
      <c r="CX1009" s="178"/>
      <c r="CY1009" s="178"/>
      <c r="CZ1009" s="178"/>
      <c r="DA1009" s="150"/>
    </row>
    <row r="1010" spans="53:105" x14ac:dyDescent="0.2">
      <c r="BA1010" s="518">
        <f t="shared" ca="1" si="58"/>
        <v>61</v>
      </c>
      <c r="BB1010" s="174">
        <f t="shared" ca="1" si="59"/>
        <v>947</v>
      </c>
      <c r="BC1010" s="525" t="e">
        <f ca="1">MATCH(BD1010,OFFSET(Pinlist!$A$2,BC1009*(BA1010=BA1009),0,$BM$23,1),0)+BC1009*(BA1010=BA1009)</f>
        <v>#N/A</v>
      </c>
      <c r="BD1010" s="167">
        <f t="shared" ca="1" si="60"/>
        <v>0</v>
      </c>
      <c r="BE1010" s="191" t="e">
        <f ca="1">(OFFSET(Pinlist!$E$1,BC1010,0)-$BN$16)*$BN$19</f>
        <v>#N/A</v>
      </c>
      <c r="BF1010" s="192" t="e">
        <f ca="1">(OFFSET(Pinlist!$F$1,BC1010,0)-$BO$16)*$BO$19</f>
        <v>#N/A</v>
      </c>
      <c r="BG1010" s="1098" t="str">
        <f ca="1">IF(LEFT(BD1010,2)="RF",OFFSET(Pinlist!$D$1,Chart!BC1010,0)&amp;"_"&amp;OFFSET(Pinlist!$G$1,Chart!BC1010,0),"")</f>
        <v/>
      </c>
      <c r="BH1010" s="1098"/>
      <c r="BI1010" s="178"/>
      <c r="BJ1010" s="178"/>
      <c r="BK1010" s="178"/>
      <c r="BL1010" s="178"/>
      <c r="BM1010" s="178"/>
      <c r="BN1010" s="178"/>
      <c r="BO1010" s="178"/>
      <c r="BP1010" s="178"/>
      <c r="BQ1010" s="196"/>
      <c r="BR1010" s="196"/>
      <c r="BS1010" s="196"/>
      <c r="BT1010" s="196"/>
      <c r="BU1010" s="196"/>
      <c r="BV1010" s="196"/>
      <c r="BW1010" s="178"/>
      <c r="BX1010" s="196"/>
      <c r="BY1010" s="196"/>
      <c r="BZ1010" s="196"/>
      <c r="CA1010" s="196"/>
      <c r="CB1010" s="178"/>
      <c r="CC1010" s="178"/>
      <c r="CD1010" s="202"/>
      <c r="CE1010" s="202"/>
      <c r="CF1010" s="178"/>
      <c r="CG1010" s="196"/>
      <c r="CH1010" s="178"/>
      <c r="CI1010" s="178"/>
      <c r="CJ1010" s="178"/>
      <c r="CK1010" s="178"/>
      <c r="CL1010" s="178"/>
      <c r="CM1010" s="178"/>
      <c r="CN1010" s="178"/>
      <c r="CO1010" s="178"/>
      <c r="CP1010" s="178"/>
      <c r="CQ1010" s="178"/>
      <c r="CR1010" s="178"/>
      <c r="CS1010" s="178"/>
      <c r="CT1010" s="178"/>
      <c r="CU1010" s="178"/>
      <c r="CV1010" s="178"/>
      <c r="CW1010" s="178"/>
      <c r="CX1010" s="178"/>
      <c r="CY1010" s="178"/>
      <c r="CZ1010" s="178"/>
      <c r="DA1010" s="150"/>
    </row>
    <row r="1011" spans="53:105" x14ac:dyDescent="0.2">
      <c r="BA1011" s="518">
        <f t="shared" ca="1" si="58"/>
        <v>61</v>
      </c>
      <c r="BB1011" s="174">
        <f t="shared" ca="1" si="59"/>
        <v>948</v>
      </c>
      <c r="BC1011" s="525" t="e">
        <f ca="1">MATCH(BD1011,OFFSET(Pinlist!$A$2,BC1010*(BA1011=BA1010),0,$BM$23,1),0)+BC1010*(BA1011=BA1010)</f>
        <v>#N/A</v>
      </c>
      <c r="BD1011" s="167">
        <f t="shared" ca="1" si="60"/>
        <v>0</v>
      </c>
      <c r="BE1011" s="191" t="e">
        <f ca="1">(OFFSET(Pinlist!$E$1,BC1011,0)-$BN$16)*$BN$19</f>
        <v>#N/A</v>
      </c>
      <c r="BF1011" s="192" t="e">
        <f ca="1">(OFFSET(Pinlist!$F$1,BC1011,0)-$BO$16)*$BO$19</f>
        <v>#N/A</v>
      </c>
      <c r="BG1011" s="1098" t="str">
        <f ca="1">IF(LEFT(BD1011,2)="RF",OFFSET(Pinlist!$D$1,Chart!BC1011,0)&amp;"_"&amp;OFFSET(Pinlist!$G$1,Chart!BC1011,0),"")</f>
        <v/>
      </c>
      <c r="BH1011" s="1098"/>
      <c r="BI1011" s="178"/>
      <c r="BJ1011" s="178"/>
      <c r="BK1011" s="178"/>
      <c r="BL1011" s="178"/>
      <c r="BM1011" s="178"/>
      <c r="BN1011" s="178"/>
      <c r="BO1011" s="178"/>
      <c r="BP1011" s="178"/>
      <c r="BQ1011" s="196"/>
      <c r="BR1011" s="196"/>
      <c r="BS1011" s="196"/>
      <c r="BT1011" s="196"/>
      <c r="BU1011" s="196"/>
      <c r="BV1011" s="196"/>
      <c r="BW1011" s="178"/>
      <c r="BX1011" s="196"/>
      <c r="BY1011" s="196"/>
      <c r="BZ1011" s="196"/>
      <c r="CA1011" s="196"/>
      <c r="CB1011" s="178"/>
      <c r="CC1011" s="178"/>
      <c r="CD1011" s="202"/>
      <c r="CE1011" s="202"/>
      <c r="CF1011" s="178"/>
      <c r="CG1011" s="196"/>
      <c r="CH1011" s="178"/>
      <c r="CI1011" s="178"/>
      <c r="CJ1011" s="178"/>
      <c r="CK1011" s="178"/>
      <c r="CL1011" s="178"/>
      <c r="CM1011" s="178"/>
      <c r="CN1011" s="178"/>
      <c r="CO1011" s="178"/>
      <c r="CP1011" s="178"/>
      <c r="CQ1011" s="178"/>
      <c r="CR1011" s="178"/>
      <c r="CS1011" s="178"/>
      <c r="CT1011" s="178"/>
      <c r="CU1011" s="178"/>
      <c r="CV1011" s="178"/>
      <c r="CW1011" s="178"/>
      <c r="CX1011" s="178"/>
      <c r="CY1011" s="178"/>
      <c r="CZ1011" s="178"/>
      <c r="DA1011" s="150"/>
    </row>
    <row r="1012" spans="53:105" x14ac:dyDescent="0.2">
      <c r="BA1012" s="518">
        <f t="shared" ca="1" si="58"/>
        <v>61</v>
      </c>
      <c r="BB1012" s="174">
        <f t="shared" ca="1" si="59"/>
        <v>949</v>
      </c>
      <c r="BC1012" s="525" t="e">
        <f ca="1">MATCH(BD1012,OFFSET(Pinlist!$A$2,BC1011*(BA1012=BA1011),0,$BM$23,1),0)+BC1011*(BA1012=BA1011)</f>
        <v>#N/A</v>
      </c>
      <c r="BD1012" s="167">
        <f t="shared" ca="1" si="60"/>
        <v>0</v>
      </c>
      <c r="BE1012" s="191" t="e">
        <f ca="1">(OFFSET(Pinlist!$E$1,BC1012,0)-$BN$16)*$BN$19</f>
        <v>#N/A</v>
      </c>
      <c r="BF1012" s="192" t="e">
        <f ca="1">(OFFSET(Pinlist!$F$1,BC1012,0)-$BO$16)*$BO$19</f>
        <v>#N/A</v>
      </c>
      <c r="BG1012" s="1098" t="str">
        <f ca="1">IF(LEFT(BD1012,2)="RF",OFFSET(Pinlist!$D$1,Chart!BC1012,0)&amp;"_"&amp;OFFSET(Pinlist!$G$1,Chart!BC1012,0),"")</f>
        <v/>
      </c>
      <c r="BH1012" s="1098"/>
      <c r="BI1012" s="178"/>
      <c r="BJ1012" s="178"/>
      <c r="BK1012" s="178"/>
      <c r="BL1012" s="178"/>
      <c r="BM1012" s="178"/>
      <c r="BN1012" s="178"/>
      <c r="BO1012" s="178"/>
      <c r="BP1012" s="178"/>
      <c r="BQ1012" s="196"/>
      <c r="BR1012" s="196"/>
      <c r="BS1012" s="196"/>
      <c r="BT1012" s="196"/>
      <c r="BU1012" s="196"/>
      <c r="BV1012" s="196"/>
      <c r="BW1012" s="178"/>
      <c r="BX1012" s="196"/>
      <c r="BY1012" s="196"/>
      <c r="BZ1012" s="196"/>
      <c r="CA1012" s="196"/>
      <c r="CB1012" s="178"/>
      <c r="CC1012" s="178"/>
      <c r="CD1012" s="202"/>
      <c r="CE1012" s="202"/>
      <c r="CF1012" s="178"/>
      <c r="CG1012" s="196"/>
      <c r="CH1012" s="178"/>
      <c r="CI1012" s="178"/>
      <c r="CJ1012" s="178"/>
      <c r="CK1012" s="178"/>
      <c r="CL1012" s="178"/>
      <c r="CM1012" s="178"/>
      <c r="CN1012" s="178"/>
      <c r="CO1012" s="178"/>
      <c r="CP1012" s="178"/>
      <c r="CQ1012" s="178"/>
      <c r="CR1012" s="178"/>
      <c r="CS1012" s="178"/>
      <c r="CT1012" s="178"/>
      <c r="CU1012" s="178"/>
      <c r="CV1012" s="178"/>
      <c r="CW1012" s="178"/>
      <c r="CX1012" s="178"/>
      <c r="CY1012" s="178"/>
      <c r="CZ1012" s="178"/>
      <c r="DA1012" s="150"/>
    </row>
    <row r="1013" spans="53:105" x14ac:dyDescent="0.2">
      <c r="BA1013" s="518">
        <f t="shared" ca="1" si="58"/>
        <v>61</v>
      </c>
      <c r="BB1013" s="174">
        <f t="shared" ca="1" si="59"/>
        <v>950</v>
      </c>
      <c r="BC1013" s="525" t="e">
        <f ca="1">MATCH(BD1013,OFFSET(Pinlist!$A$2,BC1012*(BA1013=BA1012),0,$BM$23,1),0)+BC1012*(BA1013=BA1012)</f>
        <v>#N/A</v>
      </c>
      <c r="BD1013" s="167">
        <f t="shared" ca="1" si="60"/>
        <v>0</v>
      </c>
      <c r="BE1013" s="191" t="e">
        <f ca="1">(OFFSET(Pinlist!$E$1,BC1013,0)-$BN$16)*$BN$19</f>
        <v>#N/A</v>
      </c>
      <c r="BF1013" s="192" t="e">
        <f ca="1">(OFFSET(Pinlist!$F$1,BC1013,0)-$BO$16)*$BO$19</f>
        <v>#N/A</v>
      </c>
      <c r="BG1013" s="1098" t="str">
        <f ca="1">IF(LEFT(BD1013,2)="RF",OFFSET(Pinlist!$D$1,Chart!BC1013,0)&amp;"_"&amp;OFFSET(Pinlist!$G$1,Chart!BC1013,0),"")</f>
        <v/>
      </c>
      <c r="BH1013" s="1098"/>
      <c r="BI1013" s="178"/>
      <c r="BJ1013" s="178"/>
      <c r="BK1013" s="178"/>
      <c r="BL1013" s="178"/>
      <c r="BM1013" s="178"/>
      <c r="BN1013" s="178"/>
      <c r="BO1013" s="178"/>
      <c r="BP1013" s="178"/>
      <c r="BQ1013" s="196"/>
      <c r="BR1013" s="196"/>
      <c r="BS1013" s="196"/>
      <c r="BT1013" s="196"/>
      <c r="BU1013" s="196"/>
      <c r="BV1013" s="196"/>
      <c r="BW1013" s="178"/>
      <c r="BX1013" s="196"/>
      <c r="BY1013" s="196"/>
      <c r="BZ1013" s="196"/>
      <c r="CA1013" s="196"/>
      <c r="CB1013" s="178"/>
      <c r="CC1013" s="178"/>
      <c r="CD1013" s="202"/>
      <c r="CE1013" s="202"/>
      <c r="CF1013" s="178"/>
      <c r="CG1013" s="196"/>
      <c r="CH1013" s="178"/>
      <c r="CI1013" s="178"/>
      <c r="CJ1013" s="178"/>
      <c r="CK1013" s="178"/>
      <c r="CL1013" s="178"/>
      <c r="CM1013" s="178"/>
      <c r="CN1013" s="178"/>
      <c r="CO1013" s="178"/>
      <c r="CP1013" s="178"/>
      <c r="CQ1013" s="178"/>
      <c r="CR1013" s="178"/>
      <c r="CS1013" s="178"/>
      <c r="CT1013" s="178"/>
      <c r="CU1013" s="178"/>
      <c r="CV1013" s="178"/>
      <c r="CW1013" s="178"/>
      <c r="CX1013" s="178"/>
      <c r="CY1013" s="178"/>
      <c r="CZ1013" s="178"/>
      <c r="DA1013" s="150"/>
    </row>
    <row r="1014" spans="53:105" x14ac:dyDescent="0.2">
      <c r="BA1014" s="518">
        <f t="shared" ca="1" si="58"/>
        <v>61</v>
      </c>
      <c r="BB1014" s="174">
        <f t="shared" ca="1" si="59"/>
        <v>951</v>
      </c>
      <c r="BC1014" s="525" t="e">
        <f ca="1">MATCH(BD1014,OFFSET(Pinlist!$A$2,BC1013*(BA1014=BA1013),0,$BM$23,1),0)+BC1013*(BA1014=BA1013)</f>
        <v>#N/A</v>
      </c>
      <c r="BD1014" s="167">
        <f t="shared" ca="1" si="60"/>
        <v>0</v>
      </c>
      <c r="BE1014" s="191" t="e">
        <f ca="1">(OFFSET(Pinlist!$E$1,BC1014,0)-$BN$16)*$BN$19</f>
        <v>#N/A</v>
      </c>
      <c r="BF1014" s="192" t="e">
        <f ca="1">(OFFSET(Pinlist!$F$1,BC1014,0)-$BO$16)*$BO$19</f>
        <v>#N/A</v>
      </c>
      <c r="BG1014" s="1098" t="str">
        <f ca="1">IF(LEFT(BD1014,2)="RF",OFFSET(Pinlist!$D$1,Chart!BC1014,0)&amp;"_"&amp;OFFSET(Pinlist!$G$1,Chart!BC1014,0),"")</f>
        <v/>
      </c>
      <c r="BH1014" s="1098"/>
      <c r="BI1014" s="178"/>
      <c r="BJ1014" s="178"/>
      <c r="BK1014" s="178"/>
      <c r="BL1014" s="178"/>
      <c r="BM1014" s="178"/>
      <c r="BN1014" s="178"/>
      <c r="BO1014" s="178"/>
      <c r="BP1014" s="178"/>
      <c r="BQ1014" s="196"/>
      <c r="BR1014" s="196"/>
      <c r="BS1014" s="196"/>
      <c r="BT1014" s="196"/>
      <c r="BU1014" s="196"/>
      <c r="BV1014" s="196"/>
      <c r="BW1014" s="178"/>
      <c r="BX1014" s="196"/>
      <c r="BY1014" s="196"/>
      <c r="BZ1014" s="196"/>
      <c r="CA1014" s="196"/>
      <c r="CB1014" s="178"/>
      <c r="CC1014" s="178"/>
      <c r="CD1014" s="202"/>
      <c r="CE1014" s="202"/>
      <c r="CF1014" s="178"/>
      <c r="CG1014" s="196"/>
      <c r="CH1014" s="178"/>
      <c r="CI1014" s="178"/>
      <c r="CJ1014" s="178"/>
      <c r="CK1014" s="178"/>
      <c r="CL1014" s="178"/>
      <c r="CM1014" s="178"/>
      <c r="CN1014" s="178"/>
      <c r="CO1014" s="178"/>
      <c r="CP1014" s="178"/>
      <c r="CQ1014" s="178"/>
      <c r="CR1014" s="178"/>
      <c r="CS1014" s="178"/>
      <c r="CT1014" s="178"/>
      <c r="CU1014" s="178"/>
      <c r="CV1014" s="178"/>
      <c r="CW1014" s="178"/>
      <c r="CX1014" s="178"/>
      <c r="CY1014" s="178"/>
      <c r="CZ1014" s="178"/>
      <c r="DA1014" s="150"/>
    </row>
    <row r="1015" spans="53:105" x14ac:dyDescent="0.2">
      <c r="BA1015" s="518">
        <f t="shared" ca="1" si="58"/>
        <v>61</v>
      </c>
      <c r="BB1015" s="174">
        <f t="shared" ca="1" si="59"/>
        <v>952</v>
      </c>
      <c r="BC1015" s="525" t="e">
        <f ca="1">MATCH(BD1015,OFFSET(Pinlist!$A$2,BC1014*(BA1015=BA1014),0,$BM$23,1),0)+BC1014*(BA1015=BA1014)</f>
        <v>#N/A</v>
      </c>
      <c r="BD1015" s="167">
        <f t="shared" ca="1" si="60"/>
        <v>0</v>
      </c>
      <c r="BE1015" s="191" t="e">
        <f ca="1">(OFFSET(Pinlist!$E$1,BC1015,0)-$BN$16)*$BN$19</f>
        <v>#N/A</v>
      </c>
      <c r="BF1015" s="192" t="e">
        <f ca="1">(OFFSET(Pinlist!$F$1,BC1015,0)-$BO$16)*$BO$19</f>
        <v>#N/A</v>
      </c>
      <c r="BG1015" s="1098" t="str">
        <f ca="1">IF(LEFT(BD1015,2)="RF",OFFSET(Pinlist!$D$1,Chart!BC1015,0)&amp;"_"&amp;OFFSET(Pinlist!$G$1,Chart!BC1015,0),"")</f>
        <v/>
      </c>
      <c r="BH1015" s="1098"/>
      <c r="BI1015" s="178"/>
      <c r="BJ1015" s="178"/>
      <c r="BK1015" s="178"/>
      <c r="BL1015" s="178"/>
      <c r="BM1015" s="178"/>
      <c r="BN1015" s="178"/>
      <c r="BO1015" s="178"/>
      <c r="BP1015" s="178"/>
      <c r="BQ1015" s="196"/>
      <c r="BR1015" s="196"/>
      <c r="BS1015" s="196"/>
      <c r="BT1015" s="196"/>
      <c r="BU1015" s="196"/>
      <c r="BV1015" s="196"/>
      <c r="BW1015" s="178"/>
      <c r="BX1015" s="196"/>
      <c r="BY1015" s="196"/>
      <c r="BZ1015" s="196"/>
      <c r="CA1015" s="196"/>
      <c r="CB1015" s="178"/>
      <c r="CC1015" s="178"/>
      <c r="CD1015" s="202"/>
      <c r="CE1015" s="202"/>
      <c r="CF1015" s="178"/>
      <c r="CG1015" s="196"/>
      <c r="CH1015" s="178"/>
      <c r="CI1015" s="178"/>
      <c r="CJ1015" s="178"/>
      <c r="CK1015" s="178"/>
      <c r="CL1015" s="178"/>
      <c r="CM1015" s="178"/>
      <c r="CN1015" s="178"/>
      <c r="CO1015" s="178"/>
      <c r="CP1015" s="178"/>
      <c r="CQ1015" s="178"/>
      <c r="CR1015" s="178"/>
      <c r="CS1015" s="178"/>
      <c r="CT1015" s="178"/>
      <c r="CU1015" s="178"/>
      <c r="CV1015" s="178"/>
      <c r="CW1015" s="178"/>
      <c r="CX1015" s="178"/>
      <c r="CY1015" s="178"/>
      <c r="CZ1015" s="178"/>
      <c r="DA1015" s="150"/>
    </row>
    <row r="1016" spans="53:105" x14ac:dyDescent="0.2">
      <c r="BA1016" s="518">
        <f t="shared" ca="1" si="58"/>
        <v>61</v>
      </c>
      <c r="BB1016" s="174">
        <f t="shared" ca="1" si="59"/>
        <v>953</v>
      </c>
      <c r="BC1016" s="525" t="e">
        <f ca="1">MATCH(BD1016,OFFSET(Pinlist!$A$2,BC1015*(BA1016=BA1015),0,$BM$23,1),0)+BC1015*(BA1016=BA1015)</f>
        <v>#N/A</v>
      </c>
      <c r="BD1016" s="167">
        <f t="shared" ca="1" si="60"/>
        <v>0</v>
      </c>
      <c r="BE1016" s="191" t="e">
        <f ca="1">(OFFSET(Pinlist!$E$1,BC1016,0)-$BN$16)*$BN$19</f>
        <v>#N/A</v>
      </c>
      <c r="BF1016" s="192" t="e">
        <f ca="1">(OFFSET(Pinlist!$F$1,BC1016,0)-$BO$16)*$BO$19</f>
        <v>#N/A</v>
      </c>
      <c r="BG1016" s="1098" t="str">
        <f ca="1">IF(LEFT(BD1016,2)="RF",OFFSET(Pinlist!$D$1,Chart!BC1016,0)&amp;"_"&amp;OFFSET(Pinlist!$G$1,Chart!BC1016,0),"")</f>
        <v/>
      </c>
      <c r="BH1016" s="1098"/>
      <c r="BI1016" s="178"/>
      <c r="BJ1016" s="178"/>
      <c r="BK1016" s="178"/>
      <c r="BL1016" s="178"/>
      <c r="BM1016" s="178"/>
      <c r="BN1016" s="178"/>
      <c r="BO1016" s="178"/>
      <c r="BP1016" s="178"/>
      <c r="BQ1016" s="196"/>
      <c r="BR1016" s="196"/>
      <c r="BS1016" s="196"/>
      <c r="BT1016" s="196"/>
      <c r="BU1016" s="196"/>
      <c r="BV1016" s="196"/>
      <c r="BW1016" s="178"/>
      <c r="BX1016" s="196"/>
      <c r="BY1016" s="196"/>
      <c r="BZ1016" s="196"/>
      <c r="CA1016" s="196"/>
      <c r="CB1016" s="178"/>
      <c r="CC1016" s="178"/>
      <c r="CD1016" s="202"/>
      <c r="CE1016" s="202"/>
      <c r="CF1016" s="178"/>
      <c r="CG1016" s="196"/>
      <c r="CH1016" s="178"/>
      <c r="CI1016" s="178"/>
      <c r="CJ1016" s="178"/>
      <c r="CK1016" s="178"/>
      <c r="CL1016" s="178"/>
      <c r="CM1016" s="178"/>
      <c r="CN1016" s="178"/>
      <c r="CO1016" s="178"/>
      <c r="CP1016" s="178"/>
      <c r="CQ1016" s="178"/>
      <c r="CR1016" s="178"/>
      <c r="CS1016" s="178"/>
      <c r="CT1016" s="178"/>
      <c r="CU1016" s="178"/>
      <c r="CV1016" s="178"/>
      <c r="CW1016" s="178"/>
      <c r="CX1016" s="178"/>
      <c r="CY1016" s="178"/>
      <c r="CZ1016" s="178"/>
      <c r="DA1016" s="150"/>
    </row>
    <row r="1017" spans="53:105" x14ac:dyDescent="0.2">
      <c r="BA1017" s="518">
        <f t="shared" ca="1" si="58"/>
        <v>61</v>
      </c>
      <c r="BB1017" s="174">
        <f t="shared" ca="1" si="59"/>
        <v>954</v>
      </c>
      <c r="BC1017" s="525" t="e">
        <f ca="1">MATCH(BD1017,OFFSET(Pinlist!$A$2,BC1016*(BA1017=BA1016),0,$BM$23,1),0)+BC1016*(BA1017=BA1016)</f>
        <v>#N/A</v>
      </c>
      <c r="BD1017" s="167">
        <f t="shared" ca="1" si="60"/>
        <v>0</v>
      </c>
      <c r="BE1017" s="191" t="e">
        <f ca="1">(OFFSET(Pinlist!$E$1,BC1017,0)-$BN$16)*$BN$19</f>
        <v>#N/A</v>
      </c>
      <c r="BF1017" s="192" t="e">
        <f ca="1">(OFFSET(Pinlist!$F$1,BC1017,0)-$BO$16)*$BO$19</f>
        <v>#N/A</v>
      </c>
      <c r="BG1017" s="1098" t="str">
        <f ca="1">IF(LEFT(BD1017,2)="RF",OFFSET(Pinlist!$D$1,Chart!BC1017,0)&amp;"_"&amp;OFFSET(Pinlist!$G$1,Chart!BC1017,0),"")</f>
        <v/>
      </c>
      <c r="BH1017" s="1098"/>
      <c r="BI1017" s="178"/>
      <c r="BJ1017" s="178"/>
      <c r="BK1017" s="178"/>
      <c r="BL1017" s="178"/>
      <c r="BM1017" s="178"/>
      <c r="BN1017" s="178"/>
      <c r="BO1017" s="178"/>
      <c r="BP1017" s="178"/>
      <c r="BQ1017" s="196"/>
      <c r="BR1017" s="196"/>
      <c r="BS1017" s="196"/>
      <c r="BT1017" s="196"/>
      <c r="BU1017" s="196"/>
      <c r="BV1017" s="196"/>
      <c r="BW1017" s="178"/>
      <c r="BX1017" s="196"/>
      <c r="BY1017" s="196"/>
      <c r="BZ1017" s="196"/>
      <c r="CA1017" s="196"/>
      <c r="CB1017" s="178"/>
      <c r="CC1017" s="178"/>
      <c r="CD1017" s="202"/>
      <c r="CE1017" s="202"/>
      <c r="CF1017" s="178"/>
      <c r="CG1017" s="196"/>
      <c r="CH1017" s="178"/>
      <c r="CI1017" s="178"/>
      <c r="CJ1017" s="178"/>
      <c r="CK1017" s="178"/>
      <c r="CL1017" s="178"/>
      <c r="CM1017" s="178"/>
      <c r="CN1017" s="178"/>
      <c r="CO1017" s="178"/>
      <c r="CP1017" s="178"/>
      <c r="CQ1017" s="178"/>
      <c r="CR1017" s="178"/>
      <c r="CS1017" s="178"/>
      <c r="CT1017" s="178"/>
      <c r="CU1017" s="178"/>
      <c r="CV1017" s="178"/>
      <c r="CW1017" s="178"/>
      <c r="CX1017" s="178"/>
      <c r="CY1017" s="178"/>
      <c r="CZ1017" s="178"/>
      <c r="DA1017" s="150"/>
    </row>
    <row r="1018" spans="53:105" x14ac:dyDescent="0.2">
      <c r="BA1018" s="518">
        <f t="shared" ca="1" si="58"/>
        <v>61</v>
      </c>
      <c r="BB1018" s="174">
        <f t="shared" ca="1" si="59"/>
        <v>955</v>
      </c>
      <c r="BC1018" s="525" t="e">
        <f ca="1">MATCH(BD1018,OFFSET(Pinlist!$A$2,BC1017*(BA1018=BA1017),0,$BM$23,1),0)+BC1017*(BA1018=BA1017)</f>
        <v>#N/A</v>
      </c>
      <c r="BD1018" s="167">
        <f t="shared" ca="1" si="60"/>
        <v>0</v>
      </c>
      <c r="BE1018" s="191" t="e">
        <f ca="1">(OFFSET(Pinlist!$E$1,BC1018,0)-$BN$16)*$BN$19</f>
        <v>#N/A</v>
      </c>
      <c r="BF1018" s="192" t="e">
        <f ca="1">(OFFSET(Pinlist!$F$1,BC1018,0)-$BO$16)*$BO$19</f>
        <v>#N/A</v>
      </c>
      <c r="BG1018" s="1098" t="str">
        <f ca="1">IF(LEFT(BD1018,2)="RF",OFFSET(Pinlist!$D$1,Chart!BC1018,0)&amp;"_"&amp;OFFSET(Pinlist!$G$1,Chart!BC1018,0),"")</f>
        <v/>
      </c>
      <c r="BH1018" s="1098"/>
      <c r="BI1018" s="178"/>
      <c r="BJ1018" s="178"/>
      <c r="BK1018" s="178"/>
      <c r="BL1018" s="178"/>
      <c r="BM1018" s="178"/>
      <c r="BN1018" s="178"/>
      <c r="BO1018" s="178"/>
      <c r="BP1018" s="178"/>
      <c r="BQ1018" s="196"/>
      <c r="BR1018" s="196"/>
      <c r="BS1018" s="196"/>
      <c r="BT1018" s="196"/>
      <c r="BU1018" s="196"/>
      <c r="BV1018" s="196"/>
      <c r="BW1018" s="178"/>
      <c r="BX1018" s="196"/>
      <c r="BY1018" s="196"/>
      <c r="BZ1018" s="196"/>
      <c r="CA1018" s="196"/>
      <c r="CB1018" s="178"/>
      <c r="CC1018" s="178"/>
      <c r="CD1018" s="202"/>
      <c r="CE1018" s="202"/>
      <c r="CF1018" s="178"/>
      <c r="CG1018" s="196"/>
      <c r="CH1018" s="178"/>
      <c r="CI1018" s="178"/>
      <c r="CJ1018" s="178"/>
      <c r="CK1018" s="178"/>
      <c r="CL1018" s="178"/>
      <c r="CM1018" s="178"/>
      <c r="CN1018" s="178"/>
      <c r="CO1018" s="178"/>
      <c r="CP1018" s="178"/>
      <c r="CQ1018" s="178"/>
      <c r="CR1018" s="178"/>
      <c r="CS1018" s="178"/>
      <c r="CT1018" s="178"/>
      <c r="CU1018" s="178"/>
      <c r="CV1018" s="178"/>
      <c r="CW1018" s="178"/>
      <c r="CX1018" s="178"/>
      <c r="CY1018" s="178"/>
      <c r="CZ1018" s="178"/>
      <c r="DA1018" s="150"/>
    </row>
    <row r="1019" spans="53:105" x14ac:dyDescent="0.2">
      <c r="BA1019" s="518">
        <f t="shared" ca="1" si="58"/>
        <v>61</v>
      </c>
      <c r="BB1019" s="174">
        <f t="shared" ca="1" si="59"/>
        <v>956</v>
      </c>
      <c r="BC1019" s="525" t="e">
        <f ca="1">MATCH(BD1019,OFFSET(Pinlist!$A$2,BC1018*(BA1019=BA1018),0,$BM$23,1),0)+BC1018*(BA1019=BA1018)</f>
        <v>#N/A</v>
      </c>
      <c r="BD1019" s="167">
        <f t="shared" ca="1" si="60"/>
        <v>0</v>
      </c>
      <c r="BE1019" s="191" t="e">
        <f ca="1">(OFFSET(Pinlist!$E$1,BC1019,0)-$BN$16)*$BN$19</f>
        <v>#N/A</v>
      </c>
      <c r="BF1019" s="192" t="e">
        <f ca="1">(OFFSET(Pinlist!$F$1,BC1019,0)-$BO$16)*$BO$19</f>
        <v>#N/A</v>
      </c>
      <c r="BG1019" s="1098" t="str">
        <f ca="1">IF(LEFT(BD1019,2)="RF",OFFSET(Pinlist!$D$1,Chart!BC1019,0)&amp;"_"&amp;OFFSET(Pinlist!$G$1,Chart!BC1019,0),"")</f>
        <v/>
      </c>
      <c r="BH1019" s="1098"/>
      <c r="BI1019" s="178"/>
      <c r="BJ1019" s="178"/>
      <c r="BK1019" s="178"/>
      <c r="BL1019" s="178"/>
      <c r="BM1019" s="178"/>
      <c r="BN1019" s="178"/>
      <c r="BO1019" s="178"/>
      <c r="BP1019" s="178"/>
      <c r="BQ1019" s="196"/>
      <c r="BR1019" s="196"/>
      <c r="BS1019" s="196"/>
      <c r="BT1019" s="196"/>
      <c r="BU1019" s="196"/>
      <c r="BV1019" s="196"/>
      <c r="BW1019" s="178"/>
      <c r="BX1019" s="196"/>
      <c r="BY1019" s="196"/>
      <c r="BZ1019" s="196"/>
      <c r="CA1019" s="196"/>
      <c r="CB1019" s="178"/>
      <c r="CC1019" s="178"/>
      <c r="CD1019" s="202"/>
      <c r="CE1019" s="202"/>
      <c r="CF1019" s="178"/>
      <c r="CG1019" s="196"/>
      <c r="CH1019" s="178"/>
      <c r="CI1019" s="178"/>
      <c r="CJ1019" s="178"/>
      <c r="CK1019" s="178"/>
      <c r="CL1019" s="178"/>
      <c r="CM1019" s="178"/>
      <c r="CN1019" s="178"/>
      <c r="CO1019" s="178"/>
      <c r="CP1019" s="178"/>
      <c r="CQ1019" s="178"/>
      <c r="CR1019" s="178"/>
      <c r="CS1019" s="178"/>
      <c r="CT1019" s="178"/>
      <c r="CU1019" s="178"/>
      <c r="CV1019" s="178"/>
      <c r="CW1019" s="178"/>
      <c r="CX1019" s="178"/>
      <c r="CY1019" s="178"/>
      <c r="CZ1019" s="178"/>
      <c r="DA1019" s="150"/>
    </row>
    <row r="1020" spans="53:105" x14ac:dyDescent="0.2">
      <c r="BA1020" s="518">
        <f t="shared" ca="1" si="58"/>
        <v>61</v>
      </c>
      <c r="BB1020" s="174">
        <f t="shared" ca="1" si="59"/>
        <v>957</v>
      </c>
      <c r="BC1020" s="525" t="e">
        <f ca="1">MATCH(BD1020,OFFSET(Pinlist!$A$2,BC1019*(BA1020=BA1019),0,$BM$23,1),0)+BC1019*(BA1020=BA1019)</f>
        <v>#N/A</v>
      </c>
      <c r="BD1020" s="167">
        <f t="shared" ca="1" si="60"/>
        <v>0</v>
      </c>
      <c r="BE1020" s="191" t="e">
        <f ca="1">(OFFSET(Pinlist!$E$1,BC1020,0)-$BN$16)*$BN$19</f>
        <v>#N/A</v>
      </c>
      <c r="BF1020" s="192" t="e">
        <f ca="1">(OFFSET(Pinlist!$F$1,BC1020,0)-$BO$16)*$BO$19</f>
        <v>#N/A</v>
      </c>
      <c r="BG1020" s="1098" t="str">
        <f ca="1">IF(LEFT(BD1020,2)="RF",OFFSET(Pinlist!$D$1,Chart!BC1020,0)&amp;"_"&amp;OFFSET(Pinlist!$G$1,Chart!BC1020,0),"")</f>
        <v/>
      </c>
      <c r="BH1020" s="1098"/>
      <c r="BI1020" s="178"/>
      <c r="BJ1020" s="178"/>
      <c r="BK1020" s="178"/>
      <c r="BL1020" s="178"/>
      <c r="BM1020" s="178"/>
      <c r="BN1020" s="178"/>
      <c r="BO1020" s="178"/>
      <c r="BP1020" s="178"/>
      <c r="BQ1020" s="196"/>
      <c r="BR1020" s="196"/>
      <c r="BS1020" s="196"/>
      <c r="BT1020" s="196"/>
      <c r="BU1020" s="196"/>
      <c r="BV1020" s="196"/>
      <c r="BW1020" s="178"/>
      <c r="BX1020" s="196"/>
      <c r="BY1020" s="196"/>
      <c r="BZ1020" s="196"/>
      <c r="CA1020" s="196"/>
      <c r="CB1020" s="178"/>
      <c r="CC1020" s="178"/>
      <c r="CD1020" s="202"/>
      <c r="CE1020" s="202"/>
      <c r="CF1020" s="178"/>
      <c r="CG1020" s="196"/>
      <c r="CH1020" s="178"/>
      <c r="CI1020" s="178"/>
      <c r="CJ1020" s="178"/>
      <c r="CK1020" s="178"/>
      <c r="CL1020" s="178"/>
      <c r="CM1020" s="178"/>
      <c r="CN1020" s="178"/>
      <c r="CO1020" s="178"/>
      <c r="CP1020" s="178"/>
      <c r="CQ1020" s="178"/>
      <c r="CR1020" s="178"/>
      <c r="CS1020" s="178"/>
      <c r="CT1020" s="178"/>
      <c r="CU1020" s="178"/>
      <c r="CV1020" s="178"/>
      <c r="CW1020" s="178"/>
      <c r="CX1020" s="178"/>
      <c r="CY1020" s="178"/>
      <c r="CZ1020" s="178"/>
      <c r="DA1020" s="150"/>
    </row>
    <row r="1021" spans="53:105" x14ac:dyDescent="0.2">
      <c r="BA1021" s="518">
        <f t="shared" ca="1" si="58"/>
        <v>61</v>
      </c>
      <c r="BB1021" s="174">
        <f t="shared" ca="1" si="59"/>
        <v>958</v>
      </c>
      <c r="BC1021" s="525" t="e">
        <f ca="1">MATCH(BD1021,OFFSET(Pinlist!$A$2,BC1020*(BA1021=BA1020),0,$BM$23,1),0)+BC1020*(BA1021=BA1020)</f>
        <v>#N/A</v>
      </c>
      <c r="BD1021" s="167">
        <f t="shared" ca="1" si="60"/>
        <v>0</v>
      </c>
      <c r="BE1021" s="191" t="e">
        <f ca="1">(OFFSET(Pinlist!$E$1,BC1021,0)-$BN$16)*$BN$19</f>
        <v>#N/A</v>
      </c>
      <c r="BF1021" s="192" t="e">
        <f ca="1">(OFFSET(Pinlist!$F$1,BC1021,0)-$BO$16)*$BO$19</f>
        <v>#N/A</v>
      </c>
      <c r="BG1021" s="1098" t="str">
        <f ca="1">IF(LEFT(BD1021,2)="RF",OFFSET(Pinlist!$D$1,Chart!BC1021,0)&amp;"_"&amp;OFFSET(Pinlist!$G$1,Chart!BC1021,0),"")</f>
        <v/>
      </c>
      <c r="BH1021" s="1098"/>
      <c r="BI1021" s="178"/>
      <c r="BJ1021" s="178"/>
      <c r="BK1021" s="178"/>
      <c r="BL1021" s="178"/>
      <c r="BM1021" s="178"/>
      <c r="BN1021" s="178"/>
      <c r="BO1021" s="178"/>
      <c r="BP1021" s="178"/>
      <c r="BQ1021" s="196"/>
      <c r="BR1021" s="196"/>
      <c r="BS1021" s="196"/>
      <c r="BT1021" s="196"/>
      <c r="BU1021" s="196"/>
      <c r="BV1021" s="196"/>
      <c r="BW1021" s="178"/>
      <c r="BX1021" s="196"/>
      <c r="BY1021" s="196"/>
      <c r="BZ1021" s="196"/>
      <c r="CA1021" s="196"/>
      <c r="CB1021" s="178"/>
      <c r="CC1021" s="178"/>
      <c r="CD1021" s="202"/>
      <c r="CE1021" s="202"/>
      <c r="CF1021" s="178"/>
      <c r="CG1021" s="196"/>
      <c r="CH1021" s="178"/>
      <c r="CI1021" s="178"/>
      <c r="CJ1021" s="178"/>
      <c r="CK1021" s="178"/>
      <c r="CL1021" s="178"/>
      <c r="CM1021" s="178"/>
      <c r="CN1021" s="178"/>
      <c r="CO1021" s="178"/>
      <c r="CP1021" s="178"/>
      <c r="CQ1021" s="178"/>
      <c r="CR1021" s="178"/>
      <c r="CS1021" s="178"/>
      <c r="CT1021" s="178"/>
      <c r="CU1021" s="178"/>
      <c r="CV1021" s="178"/>
      <c r="CW1021" s="178"/>
      <c r="CX1021" s="178"/>
      <c r="CY1021" s="178"/>
      <c r="CZ1021" s="178"/>
      <c r="DA1021" s="150"/>
    </row>
    <row r="1022" spans="53:105" x14ac:dyDescent="0.2">
      <c r="BA1022" s="518">
        <f t="shared" ca="1" si="58"/>
        <v>61</v>
      </c>
      <c r="BB1022" s="174">
        <f t="shared" ca="1" si="59"/>
        <v>959</v>
      </c>
      <c r="BC1022" s="525" t="e">
        <f ca="1">MATCH(BD1022,OFFSET(Pinlist!$A$2,BC1021*(BA1022=BA1021),0,$BM$23,1),0)+BC1021*(BA1022=BA1021)</f>
        <v>#N/A</v>
      </c>
      <c r="BD1022" s="167">
        <f t="shared" ca="1" si="60"/>
        <v>0</v>
      </c>
      <c r="BE1022" s="191" t="e">
        <f ca="1">(OFFSET(Pinlist!$E$1,BC1022,0)-$BN$16)*$BN$19</f>
        <v>#N/A</v>
      </c>
      <c r="BF1022" s="192" t="e">
        <f ca="1">(OFFSET(Pinlist!$F$1,BC1022,0)-$BO$16)*$BO$19</f>
        <v>#N/A</v>
      </c>
      <c r="BG1022" s="1098" t="str">
        <f ca="1">IF(LEFT(BD1022,2)="RF",OFFSET(Pinlist!$D$1,Chart!BC1022,0)&amp;"_"&amp;OFFSET(Pinlist!$G$1,Chart!BC1022,0),"")</f>
        <v/>
      </c>
      <c r="BH1022" s="1098"/>
      <c r="BI1022" s="178"/>
      <c r="BJ1022" s="178"/>
      <c r="BK1022" s="178"/>
      <c r="BL1022" s="178"/>
      <c r="BM1022" s="178"/>
      <c r="BN1022" s="178"/>
      <c r="BO1022" s="178"/>
      <c r="BP1022" s="178"/>
      <c r="BQ1022" s="196"/>
      <c r="BR1022" s="196"/>
      <c r="BS1022" s="196"/>
      <c r="BT1022" s="196"/>
      <c r="BU1022" s="196"/>
      <c r="BV1022" s="196"/>
      <c r="BW1022" s="178"/>
      <c r="BX1022" s="196"/>
      <c r="BY1022" s="196"/>
      <c r="BZ1022" s="196"/>
      <c r="CA1022" s="196"/>
      <c r="CB1022" s="178"/>
      <c r="CC1022" s="178"/>
      <c r="CD1022" s="202"/>
      <c r="CE1022" s="202"/>
      <c r="CF1022" s="178"/>
      <c r="CG1022" s="196"/>
      <c r="CH1022" s="178"/>
      <c r="CI1022" s="178"/>
      <c r="CJ1022" s="178"/>
      <c r="CK1022" s="178"/>
      <c r="CL1022" s="178"/>
      <c r="CM1022" s="178"/>
      <c r="CN1022" s="178"/>
      <c r="CO1022" s="178"/>
      <c r="CP1022" s="178"/>
      <c r="CQ1022" s="178"/>
      <c r="CR1022" s="178"/>
      <c r="CS1022" s="178"/>
      <c r="CT1022" s="178"/>
      <c r="CU1022" s="178"/>
      <c r="CV1022" s="178"/>
      <c r="CW1022" s="178"/>
      <c r="CX1022" s="178"/>
      <c r="CY1022" s="178"/>
      <c r="CZ1022" s="178"/>
      <c r="DA1022" s="150"/>
    </row>
    <row r="1023" spans="53:105" x14ac:dyDescent="0.2">
      <c r="BA1023" s="518">
        <f t="shared" ca="1" si="58"/>
        <v>61</v>
      </c>
      <c r="BB1023" s="174">
        <f t="shared" ca="1" si="59"/>
        <v>960</v>
      </c>
      <c r="BC1023" s="525" t="e">
        <f ca="1">MATCH(BD1023,OFFSET(Pinlist!$A$2,BC1022*(BA1023=BA1022),0,$BM$23,1),0)+BC1022*(BA1023=BA1022)</f>
        <v>#N/A</v>
      </c>
      <c r="BD1023" s="167">
        <f t="shared" ca="1" si="60"/>
        <v>0</v>
      </c>
      <c r="BE1023" s="191" t="e">
        <f ca="1">(OFFSET(Pinlist!$E$1,BC1023,0)-$BN$16)*$BN$19</f>
        <v>#N/A</v>
      </c>
      <c r="BF1023" s="192" t="e">
        <f ca="1">(OFFSET(Pinlist!$F$1,BC1023,0)-$BO$16)*$BO$19</f>
        <v>#N/A</v>
      </c>
      <c r="BG1023" s="1098" t="str">
        <f ca="1">IF(LEFT(BD1023,2)="RF",OFFSET(Pinlist!$D$1,Chart!BC1023,0)&amp;"_"&amp;OFFSET(Pinlist!$G$1,Chart!BC1023,0),"")</f>
        <v/>
      </c>
      <c r="BH1023" s="1098"/>
      <c r="BI1023" s="178"/>
      <c r="BJ1023" s="178"/>
      <c r="BK1023" s="178"/>
      <c r="BL1023" s="178"/>
      <c r="BM1023" s="178"/>
      <c r="BN1023" s="178"/>
      <c r="BO1023" s="178"/>
      <c r="BP1023" s="178"/>
      <c r="BQ1023" s="196"/>
      <c r="BR1023" s="196"/>
      <c r="BS1023" s="196"/>
      <c r="BT1023" s="196"/>
      <c r="BU1023" s="196"/>
      <c r="BV1023" s="196"/>
      <c r="BW1023" s="178"/>
      <c r="BX1023" s="196"/>
      <c r="BY1023" s="196"/>
      <c r="BZ1023" s="196"/>
      <c r="CA1023" s="196"/>
      <c r="CB1023" s="178"/>
      <c r="CC1023" s="178"/>
      <c r="CD1023" s="202"/>
      <c r="CE1023" s="202"/>
      <c r="CF1023" s="178"/>
      <c r="CG1023" s="196"/>
      <c r="CH1023" s="178"/>
      <c r="CI1023" s="178"/>
      <c r="CJ1023" s="178"/>
      <c r="CK1023" s="178"/>
      <c r="CL1023" s="178"/>
      <c r="CM1023" s="178"/>
      <c r="CN1023" s="178"/>
      <c r="CO1023" s="178"/>
      <c r="CP1023" s="178"/>
      <c r="CQ1023" s="178"/>
      <c r="CR1023" s="178"/>
      <c r="CS1023" s="178"/>
      <c r="CT1023" s="178"/>
      <c r="CU1023" s="178"/>
      <c r="CV1023" s="178"/>
      <c r="CW1023" s="178"/>
      <c r="CX1023" s="178"/>
      <c r="CY1023" s="178"/>
      <c r="CZ1023" s="178"/>
      <c r="DA1023" s="150"/>
    </row>
    <row r="1024" spans="53:105" x14ac:dyDescent="0.2">
      <c r="BA1024" s="518">
        <f t="shared" ca="1" si="58"/>
        <v>61</v>
      </c>
      <c r="BB1024" s="174">
        <f t="shared" ca="1" si="59"/>
        <v>961</v>
      </c>
      <c r="BC1024" s="525" t="e">
        <f ca="1">MATCH(BD1024,OFFSET(Pinlist!$A$2,BC1023*(BA1024=BA1023),0,$BM$23,1),0)+BC1023*(BA1024=BA1023)</f>
        <v>#N/A</v>
      </c>
      <c r="BD1024" s="167">
        <f t="shared" ca="1" si="60"/>
        <v>0</v>
      </c>
      <c r="BE1024" s="191" t="e">
        <f ca="1">(OFFSET(Pinlist!$E$1,BC1024,0)-$BN$16)*$BN$19</f>
        <v>#N/A</v>
      </c>
      <c r="BF1024" s="192" t="e">
        <f ca="1">(OFFSET(Pinlist!$F$1,BC1024,0)-$BO$16)*$BO$19</f>
        <v>#N/A</v>
      </c>
      <c r="BG1024" s="1098" t="str">
        <f ca="1">IF(LEFT(BD1024,2)="RF",OFFSET(Pinlist!$D$1,Chart!BC1024,0)&amp;"_"&amp;OFFSET(Pinlist!$G$1,Chart!BC1024,0),"")</f>
        <v/>
      </c>
      <c r="BH1024" s="1098"/>
      <c r="BI1024" s="178"/>
      <c r="BJ1024" s="178"/>
      <c r="BK1024" s="178"/>
      <c r="BL1024" s="178"/>
      <c r="BM1024" s="178"/>
      <c r="BN1024" s="178"/>
      <c r="BO1024" s="178"/>
      <c r="BP1024" s="178"/>
      <c r="BQ1024" s="196"/>
      <c r="BR1024" s="196"/>
      <c r="BS1024" s="196"/>
      <c r="BT1024" s="196"/>
      <c r="BU1024" s="196"/>
      <c r="BV1024" s="196"/>
      <c r="BW1024" s="178"/>
      <c r="BX1024" s="196"/>
      <c r="BY1024" s="196"/>
      <c r="BZ1024" s="196"/>
      <c r="CA1024" s="196"/>
      <c r="CB1024" s="178"/>
      <c r="CC1024" s="178"/>
      <c r="CD1024" s="202"/>
      <c r="CE1024" s="202"/>
      <c r="CF1024" s="178"/>
      <c r="CG1024" s="196"/>
      <c r="CH1024" s="178"/>
      <c r="CI1024" s="178"/>
      <c r="CJ1024" s="178"/>
      <c r="CK1024" s="178"/>
      <c r="CL1024" s="178"/>
      <c r="CM1024" s="178"/>
      <c r="CN1024" s="178"/>
      <c r="CO1024" s="178"/>
      <c r="CP1024" s="178"/>
      <c r="CQ1024" s="178"/>
      <c r="CR1024" s="178"/>
      <c r="CS1024" s="178"/>
      <c r="CT1024" s="178"/>
      <c r="CU1024" s="178"/>
      <c r="CV1024" s="178"/>
      <c r="CW1024" s="178"/>
      <c r="CX1024" s="178"/>
      <c r="CY1024" s="178"/>
      <c r="CZ1024" s="178"/>
      <c r="DA1024" s="150"/>
    </row>
    <row r="1025" spans="53:105" x14ac:dyDescent="0.2">
      <c r="BA1025" s="518">
        <f t="shared" ca="1" si="58"/>
        <v>61</v>
      </c>
      <c r="BB1025" s="174">
        <f t="shared" ca="1" si="59"/>
        <v>962</v>
      </c>
      <c r="BC1025" s="525" t="e">
        <f ca="1">MATCH(BD1025,OFFSET(Pinlist!$A$2,BC1024*(BA1025=BA1024),0,$BM$23,1),0)+BC1024*(BA1025=BA1024)</f>
        <v>#N/A</v>
      </c>
      <c r="BD1025" s="167">
        <f t="shared" ca="1" si="60"/>
        <v>0</v>
      </c>
      <c r="BE1025" s="191" t="e">
        <f ca="1">(OFFSET(Pinlist!$E$1,BC1025,0)-$BN$16)*$BN$19</f>
        <v>#N/A</v>
      </c>
      <c r="BF1025" s="192" t="e">
        <f ca="1">(OFFSET(Pinlist!$F$1,BC1025,0)-$BO$16)*$BO$19</f>
        <v>#N/A</v>
      </c>
      <c r="BG1025" s="1098" t="str">
        <f ca="1">IF(LEFT(BD1025,2)="RF",OFFSET(Pinlist!$D$1,Chart!BC1025,0)&amp;"_"&amp;OFFSET(Pinlist!$G$1,Chart!BC1025,0),"")</f>
        <v/>
      </c>
      <c r="BH1025" s="1098"/>
      <c r="BI1025" s="178"/>
      <c r="BJ1025" s="178"/>
      <c r="BK1025" s="178"/>
      <c r="BL1025" s="178"/>
      <c r="BM1025" s="178"/>
      <c r="BN1025" s="178"/>
      <c r="BO1025" s="178"/>
      <c r="BP1025" s="178"/>
      <c r="BQ1025" s="196"/>
      <c r="BR1025" s="196"/>
      <c r="BS1025" s="196"/>
      <c r="BT1025" s="196"/>
      <c r="BU1025" s="196"/>
      <c r="BV1025" s="196"/>
      <c r="BW1025" s="178"/>
      <c r="BX1025" s="196"/>
      <c r="BY1025" s="196"/>
      <c r="BZ1025" s="196"/>
      <c r="CA1025" s="196"/>
      <c r="CB1025" s="178"/>
      <c r="CC1025" s="178"/>
      <c r="CD1025" s="202"/>
      <c r="CE1025" s="202"/>
      <c r="CF1025" s="178"/>
      <c r="CG1025" s="196"/>
      <c r="CH1025" s="178"/>
      <c r="CI1025" s="178"/>
      <c r="CJ1025" s="178"/>
      <c r="CK1025" s="178"/>
      <c r="CL1025" s="178"/>
      <c r="CM1025" s="178"/>
      <c r="CN1025" s="178"/>
      <c r="CO1025" s="178"/>
      <c r="CP1025" s="178"/>
      <c r="CQ1025" s="178"/>
      <c r="CR1025" s="178"/>
      <c r="CS1025" s="178"/>
      <c r="CT1025" s="178"/>
      <c r="CU1025" s="178"/>
      <c r="CV1025" s="178"/>
      <c r="CW1025" s="178"/>
      <c r="CX1025" s="178"/>
      <c r="CY1025" s="178"/>
      <c r="CZ1025" s="178"/>
      <c r="DA1025" s="150"/>
    </row>
    <row r="1026" spans="53:105" x14ac:dyDescent="0.2">
      <c r="BA1026" s="518">
        <f t="shared" ca="1" si="58"/>
        <v>61</v>
      </c>
      <c r="BB1026" s="174">
        <f t="shared" ca="1" si="59"/>
        <v>963</v>
      </c>
      <c r="BC1026" s="525" t="e">
        <f ca="1">MATCH(BD1026,OFFSET(Pinlist!$A$2,BC1025*(BA1026=BA1025),0,$BM$23,1),0)+BC1025*(BA1026=BA1025)</f>
        <v>#N/A</v>
      </c>
      <c r="BD1026" s="167">
        <f t="shared" ca="1" si="60"/>
        <v>0</v>
      </c>
      <c r="BE1026" s="191" t="e">
        <f ca="1">(OFFSET(Pinlist!$E$1,BC1026,0)-$BN$16)*$BN$19</f>
        <v>#N/A</v>
      </c>
      <c r="BF1026" s="192" t="e">
        <f ca="1">(OFFSET(Pinlist!$F$1,BC1026,0)-$BO$16)*$BO$19</f>
        <v>#N/A</v>
      </c>
      <c r="BG1026" s="1098" t="str">
        <f ca="1">IF(LEFT(BD1026,2)="RF",OFFSET(Pinlist!$D$1,Chart!BC1026,0)&amp;"_"&amp;OFFSET(Pinlist!$G$1,Chart!BC1026,0),"")</f>
        <v/>
      </c>
      <c r="BH1026" s="1098"/>
      <c r="BI1026" s="178"/>
      <c r="BJ1026" s="178"/>
      <c r="BK1026" s="178"/>
      <c r="BL1026" s="178"/>
      <c r="BM1026" s="178"/>
      <c r="BN1026" s="178"/>
      <c r="BO1026" s="178"/>
      <c r="BP1026" s="178"/>
      <c r="BQ1026" s="196"/>
      <c r="BR1026" s="196"/>
      <c r="BS1026" s="196"/>
      <c r="BT1026" s="196"/>
      <c r="BU1026" s="196"/>
      <c r="BV1026" s="196"/>
      <c r="BW1026" s="178"/>
      <c r="BX1026" s="196"/>
      <c r="BY1026" s="196"/>
      <c r="BZ1026" s="196"/>
      <c r="CA1026" s="196"/>
      <c r="CB1026" s="178"/>
      <c r="CC1026" s="178"/>
      <c r="CD1026" s="202"/>
      <c r="CE1026" s="202"/>
      <c r="CF1026" s="178"/>
      <c r="CG1026" s="196"/>
      <c r="CH1026" s="178"/>
      <c r="CI1026" s="178"/>
      <c r="CJ1026" s="178"/>
      <c r="CK1026" s="178"/>
      <c r="CL1026" s="178"/>
      <c r="CM1026" s="178"/>
      <c r="CN1026" s="178"/>
      <c r="CO1026" s="178"/>
      <c r="CP1026" s="178"/>
      <c r="CQ1026" s="178"/>
      <c r="CR1026" s="178"/>
      <c r="CS1026" s="178"/>
      <c r="CT1026" s="178"/>
      <c r="CU1026" s="178"/>
      <c r="CV1026" s="178"/>
      <c r="CW1026" s="178"/>
      <c r="CX1026" s="178"/>
      <c r="CY1026" s="178"/>
      <c r="CZ1026" s="178"/>
      <c r="DA1026" s="150"/>
    </row>
    <row r="1027" spans="53:105" x14ac:dyDescent="0.2">
      <c r="BA1027" s="518">
        <f t="shared" ca="1" si="58"/>
        <v>61</v>
      </c>
      <c r="BB1027" s="174">
        <f t="shared" ca="1" si="59"/>
        <v>964</v>
      </c>
      <c r="BC1027" s="525" t="e">
        <f ca="1">MATCH(BD1027,OFFSET(Pinlist!$A$2,BC1026*(BA1027=BA1026),0,$BM$23,1),0)+BC1026*(BA1027=BA1026)</f>
        <v>#N/A</v>
      </c>
      <c r="BD1027" s="167">
        <f t="shared" ca="1" si="60"/>
        <v>0</v>
      </c>
      <c r="BE1027" s="191" t="e">
        <f ca="1">(OFFSET(Pinlist!$E$1,BC1027,0)-$BN$16)*$BN$19</f>
        <v>#N/A</v>
      </c>
      <c r="BF1027" s="192" t="e">
        <f ca="1">(OFFSET(Pinlist!$F$1,BC1027,0)-$BO$16)*$BO$19</f>
        <v>#N/A</v>
      </c>
      <c r="BG1027" s="1098" t="str">
        <f ca="1">IF(LEFT(BD1027,2)="RF",OFFSET(Pinlist!$D$1,Chart!BC1027,0)&amp;"_"&amp;OFFSET(Pinlist!$G$1,Chart!BC1027,0),"")</f>
        <v/>
      </c>
      <c r="BH1027" s="1098"/>
      <c r="BI1027" s="178"/>
      <c r="BJ1027" s="178"/>
      <c r="BK1027" s="178"/>
      <c r="BL1027" s="178"/>
      <c r="BM1027" s="178"/>
      <c r="BN1027" s="178"/>
      <c r="BO1027" s="178"/>
      <c r="BP1027" s="178"/>
      <c r="BQ1027" s="196"/>
      <c r="BR1027" s="196"/>
      <c r="BS1027" s="196"/>
      <c r="BT1027" s="196"/>
      <c r="BU1027" s="196"/>
      <c r="BV1027" s="196"/>
      <c r="BW1027" s="178"/>
      <c r="BX1027" s="196"/>
      <c r="BY1027" s="196"/>
      <c r="BZ1027" s="196"/>
      <c r="CA1027" s="196"/>
      <c r="CB1027" s="178"/>
      <c r="CC1027" s="178"/>
      <c r="CD1027" s="202"/>
      <c r="CE1027" s="202"/>
      <c r="CF1027" s="178"/>
      <c r="CG1027" s="196"/>
      <c r="CH1027" s="178"/>
      <c r="CI1027" s="178"/>
      <c r="CJ1027" s="178"/>
      <c r="CK1027" s="178"/>
      <c r="CL1027" s="178"/>
      <c r="CM1027" s="178"/>
      <c r="CN1027" s="178"/>
      <c r="CO1027" s="178"/>
      <c r="CP1027" s="178"/>
      <c r="CQ1027" s="178"/>
      <c r="CR1027" s="178"/>
      <c r="CS1027" s="178"/>
      <c r="CT1027" s="178"/>
      <c r="CU1027" s="178"/>
      <c r="CV1027" s="178"/>
      <c r="CW1027" s="178"/>
      <c r="CX1027" s="178"/>
      <c r="CY1027" s="178"/>
      <c r="CZ1027" s="178"/>
      <c r="DA1027" s="150"/>
    </row>
    <row r="1028" spans="53:105" x14ac:dyDescent="0.2">
      <c r="BA1028" s="518">
        <f t="shared" ref="BA1028:BA1091" ca="1" si="61">BA1027+(BB1027=OFFSET($BZ$3,BA1027,0))</f>
        <v>61</v>
      </c>
      <c r="BB1028" s="174">
        <f t="shared" ref="BB1028:BB1091" ca="1" si="62">IF(BA1028=BA1027,BB1027+1,1)</f>
        <v>965</v>
      </c>
      <c r="BC1028" s="525" t="e">
        <f ca="1">MATCH(BD1028,OFFSET(Pinlist!$A$2,BC1027*(BA1028=BA1027),0,$BM$23,1),0)+BC1027*(BA1028=BA1027)</f>
        <v>#N/A</v>
      </c>
      <c r="BD1028" s="167">
        <f t="shared" ref="BD1028:BD1091" ca="1" si="63">OFFSET($BY$3,BA1028,0)</f>
        <v>0</v>
      </c>
      <c r="BE1028" s="191" t="e">
        <f ca="1">(OFFSET(Pinlist!$E$1,BC1028,0)-$BN$16)*$BN$19</f>
        <v>#N/A</v>
      </c>
      <c r="BF1028" s="192" t="e">
        <f ca="1">(OFFSET(Pinlist!$F$1,BC1028,0)-$BO$16)*$BO$19</f>
        <v>#N/A</v>
      </c>
      <c r="BG1028" s="1098" t="str">
        <f ca="1">IF(LEFT(BD1028,2)="RF",OFFSET(Pinlist!$D$1,Chart!BC1028,0)&amp;"_"&amp;OFFSET(Pinlist!$G$1,Chart!BC1028,0),"")</f>
        <v/>
      </c>
      <c r="BH1028" s="1098"/>
      <c r="BI1028" s="178"/>
      <c r="BJ1028" s="178"/>
      <c r="BK1028" s="178"/>
      <c r="BL1028" s="178"/>
      <c r="BM1028" s="178"/>
      <c r="BN1028" s="178"/>
      <c r="BO1028" s="178"/>
      <c r="BP1028" s="178"/>
      <c r="BQ1028" s="196"/>
      <c r="BR1028" s="196"/>
      <c r="BS1028" s="196"/>
      <c r="BT1028" s="196"/>
      <c r="BU1028" s="196"/>
      <c r="BV1028" s="196"/>
      <c r="BW1028" s="178"/>
      <c r="BX1028" s="196"/>
      <c r="BY1028" s="196"/>
      <c r="BZ1028" s="196"/>
      <c r="CA1028" s="196"/>
      <c r="CB1028" s="178"/>
      <c r="CC1028" s="178"/>
      <c r="CD1028" s="202"/>
      <c r="CE1028" s="202"/>
      <c r="CF1028" s="178"/>
      <c r="CG1028" s="196"/>
      <c r="CH1028" s="178"/>
      <c r="CI1028" s="178"/>
      <c r="CJ1028" s="178"/>
      <c r="CK1028" s="178"/>
      <c r="CL1028" s="178"/>
      <c r="CM1028" s="178"/>
      <c r="CN1028" s="178"/>
      <c r="CO1028" s="178"/>
      <c r="CP1028" s="178"/>
      <c r="CQ1028" s="178"/>
      <c r="CR1028" s="178"/>
      <c r="CS1028" s="178"/>
      <c r="CT1028" s="178"/>
      <c r="CU1028" s="178"/>
      <c r="CV1028" s="178"/>
      <c r="CW1028" s="178"/>
      <c r="CX1028" s="178"/>
      <c r="CY1028" s="178"/>
      <c r="CZ1028" s="178"/>
      <c r="DA1028" s="150"/>
    </row>
    <row r="1029" spans="53:105" x14ac:dyDescent="0.2">
      <c r="BA1029" s="518">
        <f t="shared" ca="1" si="61"/>
        <v>61</v>
      </c>
      <c r="BB1029" s="174">
        <f t="shared" ca="1" si="62"/>
        <v>966</v>
      </c>
      <c r="BC1029" s="525" t="e">
        <f ca="1">MATCH(BD1029,OFFSET(Pinlist!$A$2,BC1028*(BA1029=BA1028),0,$BM$23,1),0)+BC1028*(BA1029=BA1028)</f>
        <v>#N/A</v>
      </c>
      <c r="BD1029" s="167">
        <f t="shared" ca="1" si="63"/>
        <v>0</v>
      </c>
      <c r="BE1029" s="191" t="e">
        <f ca="1">(OFFSET(Pinlist!$E$1,BC1029,0)-$BN$16)*$BN$19</f>
        <v>#N/A</v>
      </c>
      <c r="BF1029" s="192" t="e">
        <f ca="1">(OFFSET(Pinlist!$F$1,BC1029,0)-$BO$16)*$BO$19</f>
        <v>#N/A</v>
      </c>
      <c r="BG1029" s="1098" t="str">
        <f ca="1">IF(LEFT(BD1029,2)="RF",OFFSET(Pinlist!$D$1,Chart!BC1029,0)&amp;"_"&amp;OFFSET(Pinlist!$G$1,Chart!BC1029,0),"")</f>
        <v/>
      </c>
      <c r="BH1029" s="1098"/>
      <c r="BI1029" s="178"/>
      <c r="BJ1029" s="178"/>
      <c r="BK1029" s="178"/>
      <c r="BL1029" s="178"/>
      <c r="BM1029" s="178"/>
      <c r="BN1029" s="178"/>
      <c r="BO1029" s="178"/>
      <c r="BP1029" s="178"/>
      <c r="BQ1029" s="196"/>
      <c r="BR1029" s="196"/>
      <c r="BS1029" s="196"/>
      <c r="BT1029" s="196"/>
      <c r="BU1029" s="196"/>
      <c r="BV1029" s="196"/>
      <c r="BW1029" s="178"/>
      <c r="BX1029" s="196"/>
      <c r="BY1029" s="196"/>
      <c r="BZ1029" s="196"/>
      <c r="CA1029" s="196"/>
      <c r="CB1029" s="178"/>
      <c r="CC1029" s="178"/>
      <c r="CD1029" s="202"/>
      <c r="CE1029" s="202"/>
      <c r="CF1029" s="178"/>
      <c r="CG1029" s="196"/>
      <c r="CH1029" s="178"/>
      <c r="CI1029" s="178"/>
      <c r="CJ1029" s="178"/>
      <c r="CK1029" s="178"/>
      <c r="CL1029" s="178"/>
      <c r="CM1029" s="178"/>
      <c r="CN1029" s="178"/>
      <c r="CO1029" s="178"/>
      <c r="CP1029" s="178"/>
      <c r="CQ1029" s="178"/>
      <c r="CR1029" s="178"/>
      <c r="CS1029" s="178"/>
      <c r="CT1029" s="178"/>
      <c r="CU1029" s="178"/>
      <c r="CV1029" s="178"/>
      <c r="CW1029" s="178"/>
      <c r="CX1029" s="178"/>
      <c r="CY1029" s="178"/>
      <c r="CZ1029" s="178"/>
      <c r="DA1029" s="150"/>
    </row>
    <row r="1030" spans="53:105" x14ac:dyDescent="0.2">
      <c r="BA1030" s="518">
        <f t="shared" ca="1" si="61"/>
        <v>61</v>
      </c>
      <c r="BB1030" s="174">
        <f t="shared" ca="1" si="62"/>
        <v>967</v>
      </c>
      <c r="BC1030" s="525" t="e">
        <f ca="1">MATCH(BD1030,OFFSET(Pinlist!$A$2,BC1029*(BA1030=BA1029),0,$BM$23,1),0)+BC1029*(BA1030=BA1029)</f>
        <v>#N/A</v>
      </c>
      <c r="BD1030" s="167">
        <f t="shared" ca="1" si="63"/>
        <v>0</v>
      </c>
      <c r="BE1030" s="191" t="e">
        <f ca="1">(OFFSET(Pinlist!$E$1,BC1030,0)-$BN$16)*$BN$19</f>
        <v>#N/A</v>
      </c>
      <c r="BF1030" s="192" t="e">
        <f ca="1">(OFFSET(Pinlist!$F$1,BC1030,0)-$BO$16)*$BO$19</f>
        <v>#N/A</v>
      </c>
      <c r="BG1030" s="1098" t="str">
        <f ca="1">IF(LEFT(BD1030,2)="RF",OFFSET(Pinlist!$D$1,Chart!BC1030,0)&amp;"_"&amp;OFFSET(Pinlist!$G$1,Chart!BC1030,0),"")</f>
        <v/>
      </c>
      <c r="BH1030" s="1098"/>
      <c r="BI1030" s="178"/>
      <c r="BJ1030" s="178"/>
      <c r="BK1030" s="178"/>
      <c r="BL1030" s="178"/>
      <c r="BM1030" s="178"/>
      <c r="BN1030" s="178"/>
      <c r="BO1030" s="178"/>
      <c r="BP1030" s="178"/>
      <c r="BQ1030" s="196"/>
      <c r="BR1030" s="196"/>
      <c r="BS1030" s="196"/>
      <c r="BT1030" s="196"/>
      <c r="BU1030" s="196"/>
      <c r="BV1030" s="196"/>
      <c r="BW1030" s="178"/>
      <c r="BX1030" s="196"/>
      <c r="BY1030" s="196"/>
      <c r="BZ1030" s="196"/>
      <c r="CA1030" s="196"/>
      <c r="CB1030" s="178"/>
      <c r="CC1030" s="178"/>
      <c r="CD1030" s="202"/>
      <c r="CE1030" s="202"/>
      <c r="CF1030" s="178"/>
      <c r="CG1030" s="196"/>
      <c r="CH1030" s="178"/>
      <c r="CI1030" s="178"/>
      <c r="CJ1030" s="178"/>
      <c r="CK1030" s="178"/>
      <c r="CL1030" s="178"/>
      <c r="CM1030" s="178"/>
      <c r="CN1030" s="178"/>
      <c r="CO1030" s="178"/>
      <c r="CP1030" s="178"/>
      <c r="CQ1030" s="178"/>
      <c r="CR1030" s="178"/>
      <c r="CS1030" s="178"/>
      <c r="CT1030" s="178"/>
      <c r="CU1030" s="178"/>
      <c r="CV1030" s="178"/>
      <c r="CW1030" s="178"/>
      <c r="CX1030" s="178"/>
      <c r="CY1030" s="178"/>
      <c r="CZ1030" s="178"/>
      <c r="DA1030" s="150"/>
    </row>
    <row r="1031" spans="53:105" x14ac:dyDescent="0.2">
      <c r="BA1031" s="518">
        <f t="shared" ca="1" si="61"/>
        <v>61</v>
      </c>
      <c r="BB1031" s="174">
        <f t="shared" ca="1" si="62"/>
        <v>968</v>
      </c>
      <c r="BC1031" s="525" t="e">
        <f ca="1">MATCH(BD1031,OFFSET(Pinlist!$A$2,BC1030*(BA1031=BA1030),0,$BM$23,1),0)+BC1030*(BA1031=BA1030)</f>
        <v>#N/A</v>
      </c>
      <c r="BD1031" s="167">
        <f t="shared" ca="1" si="63"/>
        <v>0</v>
      </c>
      <c r="BE1031" s="191" t="e">
        <f ca="1">(OFFSET(Pinlist!$E$1,BC1031,0)-$BN$16)*$BN$19</f>
        <v>#N/A</v>
      </c>
      <c r="BF1031" s="192" t="e">
        <f ca="1">(OFFSET(Pinlist!$F$1,BC1031,0)-$BO$16)*$BO$19</f>
        <v>#N/A</v>
      </c>
      <c r="BG1031" s="1098" t="str">
        <f ca="1">IF(LEFT(BD1031,2)="RF",OFFSET(Pinlist!$D$1,Chart!BC1031,0)&amp;"_"&amp;OFFSET(Pinlist!$G$1,Chart!BC1031,0),"")</f>
        <v/>
      </c>
      <c r="BH1031" s="1098"/>
      <c r="BI1031" s="178"/>
      <c r="BJ1031" s="178"/>
      <c r="BK1031" s="178"/>
      <c r="BL1031" s="178"/>
      <c r="BM1031" s="178"/>
      <c r="BN1031" s="178"/>
      <c r="BO1031" s="178"/>
      <c r="BP1031" s="178"/>
      <c r="BQ1031" s="196"/>
      <c r="BR1031" s="196"/>
      <c r="BS1031" s="196"/>
      <c r="BT1031" s="196"/>
      <c r="BU1031" s="196"/>
      <c r="BV1031" s="196"/>
      <c r="BW1031" s="178"/>
      <c r="BX1031" s="196"/>
      <c r="BY1031" s="196"/>
      <c r="BZ1031" s="196"/>
      <c r="CA1031" s="196"/>
      <c r="CB1031" s="178"/>
      <c r="CC1031" s="178"/>
      <c r="CD1031" s="202"/>
      <c r="CE1031" s="202"/>
      <c r="CF1031" s="178"/>
      <c r="CG1031" s="196"/>
      <c r="CH1031" s="178"/>
      <c r="CI1031" s="178"/>
      <c r="CJ1031" s="178"/>
      <c r="CK1031" s="178"/>
      <c r="CL1031" s="178"/>
      <c r="CM1031" s="178"/>
      <c r="CN1031" s="178"/>
      <c r="CO1031" s="178"/>
      <c r="CP1031" s="178"/>
      <c r="CQ1031" s="178"/>
      <c r="CR1031" s="178"/>
      <c r="CS1031" s="178"/>
      <c r="CT1031" s="178"/>
      <c r="CU1031" s="178"/>
      <c r="CV1031" s="178"/>
      <c r="CW1031" s="178"/>
      <c r="CX1031" s="178"/>
      <c r="CY1031" s="178"/>
      <c r="CZ1031" s="178"/>
      <c r="DA1031" s="150"/>
    </row>
    <row r="1032" spans="53:105" x14ac:dyDescent="0.2">
      <c r="BA1032" s="518">
        <f t="shared" ca="1" si="61"/>
        <v>61</v>
      </c>
      <c r="BB1032" s="174">
        <f t="shared" ca="1" si="62"/>
        <v>969</v>
      </c>
      <c r="BC1032" s="525" t="e">
        <f ca="1">MATCH(BD1032,OFFSET(Pinlist!$A$2,BC1031*(BA1032=BA1031),0,$BM$23,1),0)+BC1031*(BA1032=BA1031)</f>
        <v>#N/A</v>
      </c>
      <c r="BD1032" s="167">
        <f t="shared" ca="1" si="63"/>
        <v>0</v>
      </c>
      <c r="BE1032" s="191" t="e">
        <f ca="1">(OFFSET(Pinlist!$E$1,BC1032,0)-$BN$16)*$BN$19</f>
        <v>#N/A</v>
      </c>
      <c r="BF1032" s="192" t="e">
        <f ca="1">(OFFSET(Pinlist!$F$1,BC1032,0)-$BO$16)*$BO$19</f>
        <v>#N/A</v>
      </c>
      <c r="BG1032" s="1098" t="str">
        <f ca="1">IF(LEFT(BD1032,2)="RF",OFFSET(Pinlist!$D$1,Chart!BC1032,0)&amp;"_"&amp;OFFSET(Pinlist!$G$1,Chart!BC1032,0),"")</f>
        <v/>
      </c>
      <c r="BH1032" s="1098"/>
      <c r="BI1032" s="178"/>
      <c r="BJ1032" s="178"/>
      <c r="BK1032" s="178"/>
      <c r="BL1032" s="178"/>
      <c r="BM1032" s="178"/>
      <c r="BN1032" s="178"/>
      <c r="BO1032" s="178"/>
      <c r="BP1032" s="178"/>
      <c r="BQ1032" s="196"/>
      <c r="BR1032" s="196"/>
      <c r="BS1032" s="196"/>
      <c r="BT1032" s="196"/>
      <c r="BU1032" s="196"/>
      <c r="BV1032" s="196"/>
      <c r="BW1032" s="178"/>
      <c r="BX1032" s="196"/>
      <c r="BY1032" s="196"/>
      <c r="BZ1032" s="196"/>
      <c r="CA1032" s="196"/>
      <c r="CB1032" s="178"/>
      <c r="CC1032" s="178"/>
      <c r="CD1032" s="202"/>
      <c r="CE1032" s="202"/>
      <c r="CF1032" s="178"/>
      <c r="CG1032" s="196"/>
      <c r="CH1032" s="178"/>
      <c r="CI1032" s="178"/>
      <c r="CJ1032" s="178"/>
      <c r="CK1032" s="178"/>
      <c r="CL1032" s="178"/>
      <c r="CM1032" s="178"/>
      <c r="CN1032" s="178"/>
      <c r="CO1032" s="178"/>
      <c r="CP1032" s="178"/>
      <c r="CQ1032" s="178"/>
      <c r="CR1032" s="178"/>
      <c r="CS1032" s="178"/>
      <c r="CT1032" s="178"/>
      <c r="CU1032" s="178"/>
      <c r="CV1032" s="178"/>
      <c r="CW1032" s="178"/>
      <c r="CX1032" s="178"/>
      <c r="CY1032" s="178"/>
      <c r="CZ1032" s="178"/>
      <c r="DA1032" s="150"/>
    </row>
    <row r="1033" spans="53:105" x14ac:dyDescent="0.2">
      <c r="BA1033" s="518">
        <f t="shared" ca="1" si="61"/>
        <v>61</v>
      </c>
      <c r="BB1033" s="174">
        <f t="shared" ca="1" si="62"/>
        <v>970</v>
      </c>
      <c r="BC1033" s="525" t="e">
        <f ca="1">MATCH(BD1033,OFFSET(Pinlist!$A$2,BC1032*(BA1033=BA1032),0,$BM$23,1),0)+BC1032*(BA1033=BA1032)</f>
        <v>#N/A</v>
      </c>
      <c r="BD1033" s="167">
        <f t="shared" ca="1" si="63"/>
        <v>0</v>
      </c>
      <c r="BE1033" s="191" t="e">
        <f ca="1">(OFFSET(Pinlist!$E$1,BC1033,0)-$BN$16)*$BN$19</f>
        <v>#N/A</v>
      </c>
      <c r="BF1033" s="192" t="e">
        <f ca="1">(OFFSET(Pinlist!$F$1,BC1033,0)-$BO$16)*$BO$19</f>
        <v>#N/A</v>
      </c>
      <c r="BG1033" s="1098" t="str">
        <f ca="1">IF(LEFT(BD1033,2)="RF",OFFSET(Pinlist!$D$1,Chart!BC1033,0)&amp;"_"&amp;OFFSET(Pinlist!$G$1,Chart!BC1033,0),"")</f>
        <v/>
      </c>
      <c r="BH1033" s="1098"/>
      <c r="BI1033" s="178"/>
      <c r="BJ1033" s="178"/>
      <c r="BK1033" s="178"/>
      <c r="BL1033" s="178"/>
      <c r="BM1033" s="178"/>
      <c r="BN1033" s="178"/>
      <c r="BO1033" s="178"/>
      <c r="BP1033" s="178"/>
      <c r="BQ1033" s="196"/>
      <c r="BR1033" s="196"/>
      <c r="BS1033" s="196"/>
      <c r="BT1033" s="196"/>
      <c r="BU1033" s="196"/>
      <c r="BV1033" s="196"/>
      <c r="BW1033" s="178"/>
      <c r="BX1033" s="196"/>
      <c r="BY1033" s="196"/>
      <c r="BZ1033" s="196"/>
      <c r="CA1033" s="196"/>
      <c r="CB1033" s="178"/>
      <c r="CC1033" s="178"/>
      <c r="CD1033" s="202"/>
      <c r="CE1033" s="202"/>
      <c r="CF1033" s="178"/>
      <c r="CG1033" s="196"/>
      <c r="CH1033" s="178"/>
      <c r="CI1033" s="178"/>
      <c r="CJ1033" s="178"/>
      <c r="CK1033" s="178"/>
      <c r="CL1033" s="178"/>
      <c r="CM1033" s="178"/>
      <c r="CN1033" s="178"/>
      <c r="CO1033" s="178"/>
      <c r="CP1033" s="178"/>
      <c r="CQ1033" s="178"/>
      <c r="CR1033" s="178"/>
      <c r="CS1033" s="178"/>
      <c r="CT1033" s="178"/>
      <c r="CU1033" s="178"/>
      <c r="CV1033" s="178"/>
      <c r="CW1033" s="178"/>
      <c r="CX1033" s="178"/>
      <c r="CY1033" s="178"/>
      <c r="CZ1033" s="178"/>
      <c r="DA1033" s="150"/>
    </row>
    <row r="1034" spans="53:105" x14ac:dyDescent="0.2">
      <c r="BA1034" s="518">
        <f t="shared" ca="1" si="61"/>
        <v>61</v>
      </c>
      <c r="BB1034" s="174">
        <f t="shared" ca="1" si="62"/>
        <v>971</v>
      </c>
      <c r="BC1034" s="525" t="e">
        <f ca="1">MATCH(BD1034,OFFSET(Pinlist!$A$2,BC1033*(BA1034=BA1033),0,$BM$23,1),0)+BC1033*(BA1034=BA1033)</f>
        <v>#N/A</v>
      </c>
      <c r="BD1034" s="167">
        <f t="shared" ca="1" si="63"/>
        <v>0</v>
      </c>
      <c r="BE1034" s="191" t="e">
        <f ca="1">(OFFSET(Pinlist!$E$1,BC1034,0)-$BN$16)*$BN$19</f>
        <v>#N/A</v>
      </c>
      <c r="BF1034" s="192" t="e">
        <f ca="1">(OFFSET(Pinlist!$F$1,BC1034,0)-$BO$16)*$BO$19</f>
        <v>#N/A</v>
      </c>
      <c r="BG1034" s="1098" t="str">
        <f ca="1">IF(LEFT(BD1034,2)="RF",OFFSET(Pinlist!$D$1,Chart!BC1034,0)&amp;"_"&amp;OFFSET(Pinlist!$G$1,Chart!BC1034,0),"")</f>
        <v/>
      </c>
      <c r="BH1034" s="1098"/>
      <c r="BI1034" s="178"/>
      <c r="BJ1034" s="178"/>
      <c r="BK1034" s="178"/>
      <c r="BL1034" s="178"/>
      <c r="BM1034" s="178"/>
      <c r="BN1034" s="178"/>
      <c r="BO1034" s="178"/>
      <c r="BP1034" s="178"/>
      <c r="BQ1034" s="196"/>
      <c r="BR1034" s="196"/>
      <c r="BS1034" s="196"/>
      <c r="BT1034" s="196"/>
      <c r="BU1034" s="196"/>
      <c r="BV1034" s="196"/>
      <c r="BW1034" s="178"/>
      <c r="BX1034" s="196"/>
      <c r="BY1034" s="196"/>
      <c r="BZ1034" s="196"/>
      <c r="CA1034" s="196"/>
      <c r="CB1034" s="178"/>
      <c r="CC1034" s="178"/>
      <c r="CD1034" s="202"/>
      <c r="CE1034" s="202"/>
      <c r="CF1034" s="178"/>
      <c r="CG1034" s="196"/>
      <c r="CH1034" s="178"/>
      <c r="CI1034" s="178"/>
      <c r="CJ1034" s="178"/>
      <c r="CK1034" s="178"/>
      <c r="CL1034" s="178"/>
      <c r="CM1034" s="178"/>
      <c r="CN1034" s="178"/>
      <c r="CO1034" s="178"/>
      <c r="CP1034" s="178"/>
      <c r="CQ1034" s="178"/>
      <c r="CR1034" s="178"/>
      <c r="CS1034" s="178"/>
      <c r="CT1034" s="178"/>
      <c r="CU1034" s="178"/>
      <c r="CV1034" s="178"/>
      <c r="CW1034" s="178"/>
      <c r="CX1034" s="178"/>
      <c r="CY1034" s="178"/>
      <c r="CZ1034" s="178"/>
      <c r="DA1034" s="150"/>
    </row>
    <row r="1035" spans="53:105" x14ac:dyDescent="0.2">
      <c r="BA1035" s="518">
        <f t="shared" ca="1" si="61"/>
        <v>61</v>
      </c>
      <c r="BB1035" s="174">
        <f t="shared" ca="1" si="62"/>
        <v>972</v>
      </c>
      <c r="BC1035" s="525" t="e">
        <f ca="1">MATCH(BD1035,OFFSET(Pinlist!$A$2,BC1034*(BA1035=BA1034),0,$BM$23,1),0)+BC1034*(BA1035=BA1034)</f>
        <v>#N/A</v>
      </c>
      <c r="BD1035" s="167">
        <f t="shared" ca="1" si="63"/>
        <v>0</v>
      </c>
      <c r="BE1035" s="191" t="e">
        <f ca="1">(OFFSET(Pinlist!$E$1,BC1035,0)-$BN$16)*$BN$19</f>
        <v>#N/A</v>
      </c>
      <c r="BF1035" s="192" t="e">
        <f ca="1">(OFFSET(Pinlist!$F$1,BC1035,0)-$BO$16)*$BO$19</f>
        <v>#N/A</v>
      </c>
      <c r="BG1035" s="1098" t="str">
        <f ca="1">IF(LEFT(BD1035,2)="RF",OFFSET(Pinlist!$D$1,Chart!BC1035,0)&amp;"_"&amp;OFFSET(Pinlist!$G$1,Chart!BC1035,0),"")</f>
        <v/>
      </c>
      <c r="BH1035" s="1098"/>
      <c r="BI1035" s="178"/>
      <c r="BJ1035" s="178"/>
      <c r="BK1035" s="178"/>
      <c r="BL1035" s="178"/>
      <c r="BM1035" s="178"/>
      <c r="BN1035" s="178"/>
      <c r="BO1035" s="178"/>
      <c r="BP1035" s="178"/>
      <c r="BQ1035" s="196"/>
      <c r="BR1035" s="196"/>
      <c r="BS1035" s="196"/>
      <c r="BT1035" s="196"/>
      <c r="BU1035" s="196"/>
      <c r="BV1035" s="196"/>
      <c r="BW1035" s="178"/>
      <c r="BX1035" s="196"/>
      <c r="BY1035" s="196"/>
      <c r="BZ1035" s="196"/>
      <c r="CA1035" s="196"/>
      <c r="CB1035" s="178"/>
      <c r="CC1035" s="178"/>
      <c r="CD1035" s="202"/>
      <c r="CE1035" s="202"/>
      <c r="CF1035" s="178"/>
      <c r="CG1035" s="196"/>
      <c r="CH1035" s="178"/>
      <c r="CI1035" s="178"/>
      <c r="CJ1035" s="178"/>
      <c r="CK1035" s="178"/>
      <c r="CL1035" s="178"/>
      <c r="CM1035" s="178"/>
      <c r="CN1035" s="178"/>
      <c r="CO1035" s="178"/>
      <c r="CP1035" s="178"/>
      <c r="CQ1035" s="178"/>
      <c r="CR1035" s="178"/>
      <c r="CS1035" s="178"/>
      <c r="CT1035" s="178"/>
      <c r="CU1035" s="178"/>
      <c r="CV1035" s="178"/>
      <c r="CW1035" s="178"/>
      <c r="CX1035" s="178"/>
      <c r="CY1035" s="178"/>
      <c r="CZ1035" s="178"/>
      <c r="DA1035" s="150"/>
    </row>
    <row r="1036" spans="53:105" x14ac:dyDescent="0.2">
      <c r="BA1036" s="518">
        <f t="shared" ca="1" si="61"/>
        <v>61</v>
      </c>
      <c r="BB1036" s="174">
        <f t="shared" ca="1" si="62"/>
        <v>973</v>
      </c>
      <c r="BC1036" s="525" t="e">
        <f ca="1">MATCH(BD1036,OFFSET(Pinlist!$A$2,BC1035*(BA1036=BA1035),0,$BM$23,1),0)+BC1035*(BA1036=BA1035)</f>
        <v>#N/A</v>
      </c>
      <c r="BD1036" s="167">
        <f t="shared" ca="1" si="63"/>
        <v>0</v>
      </c>
      <c r="BE1036" s="191" t="e">
        <f ca="1">(OFFSET(Pinlist!$E$1,BC1036,0)-$BN$16)*$BN$19</f>
        <v>#N/A</v>
      </c>
      <c r="BF1036" s="192" t="e">
        <f ca="1">(OFFSET(Pinlist!$F$1,BC1036,0)-$BO$16)*$BO$19</f>
        <v>#N/A</v>
      </c>
      <c r="BG1036" s="1098" t="str">
        <f ca="1">IF(LEFT(BD1036,2)="RF",OFFSET(Pinlist!$D$1,Chart!BC1036,0)&amp;"_"&amp;OFFSET(Pinlist!$G$1,Chart!BC1036,0),"")</f>
        <v/>
      </c>
      <c r="BH1036" s="1098"/>
      <c r="BI1036" s="178"/>
      <c r="BJ1036" s="178"/>
      <c r="BK1036" s="178"/>
      <c r="BL1036" s="178"/>
      <c r="BM1036" s="178"/>
      <c r="BN1036" s="178"/>
      <c r="BO1036" s="178"/>
      <c r="BP1036" s="178"/>
      <c r="BQ1036" s="196"/>
      <c r="BR1036" s="196"/>
      <c r="BS1036" s="196"/>
      <c r="BT1036" s="196"/>
      <c r="BU1036" s="196"/>
      <c r="BV1036" s="196"/>
      <c r="BW1036" s="178"/>
      <c r="BX1036" s="196"/>
      <c r="BY1036" s="196"/>
      <c r="BZ1036" s="196"/>
      <c r="CA1036" s="196"/>
      <c r="CB1036" s="178"/>
      <c r="CC1036" s="178"/>
      <c r="CD1036" s="202"/>
      <c r="CE1036" s="202"/>
      <c r="CF1036" s="178"/>
      <c r="CG1036" s="196"/>
      <c r="CH1036" s="178"/>
      <c r="CI1036" s="178"/>
      <c r="CJ1036" s="178"/>
      <c r="CK1036" s="178"/>
      <c r="CL1036" s="178"/>
      <c r="CM1036" s="178"/>
      <c r="CN1036" s="178"/>
      <c r="CO1036" s="178"/>
      <c r="CP1036" s="178"/>
      <c r="CQ1036" s="178"/>
      <c r="CR1036" s="178"/>
      <c r="CS1036" s="178"/>
      <c r="CT1036" s="178"/>
      <c r="CU1036" s="178"/>
      <c r="CV1036" s="178"/>
      <c r="CW1036" s="178"/>
      <c r="CX1036" s="178"/>
      <c r="CY1036" s="178"/>
      <c r="CZ1036" s="178"/>
      <c r="DA1036" s="150"/>
    </row>
    <row r="1037" spans="53:105" x14ac:dyDescent="0.2">
      <c r="BA1037" s="518">
        <f t="shared" ca="1" si="61"/>
        <v>61</v>
      </c>
      <c r="BB1037" s="174">
        <f t="shared" ca="1" si="62"/>
        <v>974</v>
      </c>
      <c r="BC1037" s="525" t="e">
        <f ca="1">MATCH(BD1037,OFFSET(Pinlist!$A$2,BC1036*(BA1037=BA1036),0,$BM$23,1),0)+BC1036*(BA1037=BA1036)</f>
        <v>#N/A</v>
      </c>
      <c r="BD1037" s="167">
        <f t="shared" ca="1" si="63"/>
        <v>0</v>
      </c>
      <c r="BE1037" s="191" t="e">
        <f ca="1">(OFFSET(Pinlist!$E$1,BC1037,0)-$BN$16)*$BN$19</f>
        <v>#N/A</v>
      </c>
      <c r="BF1037" s="192" t="e">
        <f ca="1">(OFFSET(Pinlist!$F$1,BC1037,0)-$BO$16)*$BO$19</f>
        <v>#N/A</v>
      </c>
      <c r="BG1037" s="1098" t="str">
        <f ca="1">IF(LEFT(BD1037,2)="RF",OFFSET(Pinlist!$D$1,Chart!BC1037,0)&amp;"_"&amp;OFFSET(Pinlist!$G$1,Chart!BC1037,0),"")</f>
        <v/>
      </c>
      <c r="BH1037" s="1098"/>
      <c r="BI1037" s="178"/>
      <c r="BJ1037" s="178"/>
      <c r="BK1037" s="178"/>
      <c r="BL1037" s="178"/>
      <c r="BM1037" s="178"/>
      <c r="BN1037" s="178"/>
      <c r="BO1037" s="178"/>
      <c r="BP1037" s="178"/>
      <c r="BQ1037" s="196"/>
      <c r="BR1037" s="196"/>
      <c r="BS1037" s="196"/>
      <c r="BT1037" s="196"/>
      <c r="BU1037" s="196"/>
      <c r="BV1037" s="196"/>
      <c r="BW1037" s="178"/>
      <c r="BX1037" s="196"/>
      <c r="BY1037" s="196"/>
      <c r="BZ1037" s="196"/>
      <c r="CA1037" s="196"/>
      <c r="CB1037" s="178"/>
      <c r="CC1037" s="178"/>
      <c r="CD1037" s="202"/>
      <c r="CE1037" s="202"/>
      <c r="CF1037" s="178"/>
      <c r="CG1037" s="196"/>
      <c r="CH1037" s="178"/>
      <c r="CI1037" s="178"/>
      <c r="CJ1037" s="178"/>
      <c r="CK1037" s="178"/>
      <c r="CL1037" s="178"/>
      <c r="CM1037" s="178"/>
      <c r="CN1037" s="178"/>
      <c r="CO1037" s="178"/>
      <c r="CP1037" s="178"/>
      <c r="CQ1037" s="178"/>
      <c r="CR1037" s="178"/>
      <c r="CS1037" s="178"/>
      <c r="CT1037" s="178"/>
      <c r="CU1037" s="178"/>
      <c r="CV1037" s="178"/>
      <c r="CW1037" s="178"/>
      <c r="CX1037" s="178"/>
      <c r="CY1037" s="178"/>
      <c r="CZ1037" s="178"/>
      <c r="DA1037" s="150"/>
    </row>
    <row r="1038" spans="53:105" x14ac:dyDescent="0.2">
      <c r="BA1038" s="518">
        <f t="shared" ca="1" si="61"/>
        <v>61</v>
      </c>
      <c r="BB1038" s="174">
        <f t="shared" ca="1" si="62"/>
        <v>975</v>
      </c>
      <c r="BC1038" s="525" t="e">
        <f ca="1">MATCH(BD1038,OFFSET(Pinlist!$A$2,BC1037*(BA1038=BA1037),0,$BM$23,1),0)+BC1037*(BA1038=BA1037)</f>
        <v>#N/A</v>
      </c>
      <c r="BD1038" s="167">
        <f t="shared" ca="1" si="63"/>
        <v>0</v>
      </c>
      <c r="BE1038" s="191" t="e">
        <f ca="1">(OFFSET(Pinlist!$E$1,BC1038,0)-$BN$16)*$BN$19</f>
        <v>#N/A</v>
      </c>
      <c r="BF1038" s="192" t="e">
        <f ca="1">(OFFSET(Pinlist!$F$1,BC1038,0)-$BO$16)*$BO$19</f>
        <v>#N/A</v>
      </c>
      <c r="BG1038" s="1098" t="str">
        <f ca="1">IF(LEFT(BD1038,2)="RF",OFFSET(Pinlist!$D$1,Chart!BC1038,0)&amp;"_"&amp;OFFSET(Pinlist!$G$1,Chart!BC1038,0),"")</f>
        <v/>
      </c>
      <c r="BH1038" s="1098"/>
      <c r="BI1038" s="178"/>
      <c r="BJ1038" s="178"/>
      <c r="BK1038" s="178"/>
      <c r="BL1038" s="178"/>
      <c r="BM1038" s="178"/>
      <c r="BN1038" s="178"/>
      <c r="BO1038" s="178"/>
      <c r="BP1038" s="178"/>
      <c r="BQ1038" s="196"/>
      <c r="BR1038" s="196"/>
      <c r="BS1038" s="196"/>
      <c r="BT1038" s="196"/>
      <c r="BU1038" s="196"/>
      <c r="BV1038" s="196"/>
      <c r="BW1038" s="178"/>
      <c r="BX1038" s="196"/>
      <c r="BY1038" s="196"/>
      <c r="BZ1038" s="196"/>
      <c r="CA1038" s="196"/>
      <c r="CB1038" s="178"/>
      <c r="CC1038" s="178"/>
      <c r="CD1038" s="202"/>
      <c r="CE1038" s="202"/>
      <c r="CF1038" s="178"/>
      <c r="CG1038" s="196"/>
      <c r="CH1038" s="178"/>
      <c r="CI1038" s="178"/>
      <c r="CJ1038" s="178"/>
      <c r="CK1038" s="178"/>
      <c r="CL1038" s="178"/>
      <c r="CM1038" s="178"/>
      <c r="CN1038" s="178"/>
      <c r="CO1038" s="178"/>
      <c r="CP1038" s="178"/>
      <c r="CQ1038" s="178"/>
      <c r="CR1038" s="178"/>
      <c r="CS1038" s="178"/>
      <c r="CT1038" s="178"/>
      <c r="CU1038" s="178"/>
      <c r="CV1038" s="178"/>
      <c r="CW1038" s="178"/>
      <c r="CX1038" s="178"/>
      <c r="CY1038" s="178"/>
      <c r="CZ1038" s="178"/>
      <c r="DA1038" s="150"/>
    </row>
    <row r="1039" spans="53:105" x14ac:dyDescent="0.2">
      <c r="BA1039" s="518">
        <f t="shared" ca="1" si="61"/>
        <v>61</v>
      </c>
      <c r="BB1039" s="174">
        <f t="shared" ca="1" si="62"/>
        <v>976</v>
      </c>
      <c r="BC1039" s="525" t="e">
        <f ca="1">MATCH(BD1039,OFFSET(Pinlist!$A$2,BC1038*(BA1039=BA1038),0,$BM$23,1),0)+BC1038*(BA1039=BA1038)</f>
        <v>#N/A</v>
      </c>
      <c r="BD1039" s="167">
        <f t="shared" ca="1" si="63"/>
        <v>0</v>
      </c>
      <c r="BE1039" s="191" t="e">
        <f ca="1">(OFFSET(Pinlist!$E$1,BC1039,0)-$BN$16)*$BN$19</f>
        <v>#N/A</v>
      </c>
      <c r="BF1039" s="192" t="e">
        <f ca="1">(OFFSET(Pinlist!$F$1,BC1039,0)-$BO$16)*$BO$19</f>
        <v>#N/A</v>
      </c>
      <c r="BG1039" s="1098" t="str">
        <f ca="1">IF(LEFT(BD1039,2)="RF",OFFSET(Pinlist!$D$1,Chart!BC1039,0)&amp;"_"&amp;OFFSET(Pinlist!$G$1,Chart!BC1039,0),"")</f>
        <v/>
      </c>
      <c r="BH1039" s="1098"/>
      <c r="BI1039" s="178"/>
      <c r="BJ1039" s="178"/>
      <c r="BK1039" s="178"/>
      <c r="BL1039" s="178"/>
      <c r="BM1039" s="178"/>
      <c r="BN1039" s="178"/>
      <c r="BO1039" s="178"/>
      <c r="BP1039" s="178"/>
      <c r="BQ1039" s="196"/>
      <c r="BR1039" s="196"/>
      <c r="BS1039" s="196"/>
      <c r="BT1039" s="196"/>
      <c r="BU1039" s="196"/>
      <c r="BV1039" s="196"/>
      <c r="BW1039" s="178"/>
      <c r="BX1039" s="196"/>
      <c r="BY1039" s="196"/>
      <c r="BZ1039" s="196"/>
      <c r="CA1039" s="196"/>
      <c r="CB1039" s="178"/>
      <c r="CC1039" s="178"/>
      <c r="CD1039" s="202"/>
      <c r="CE1039" s="202"/>
      <c r="CF1039" s="178"/>
      <c r="CG1039" s="196"/>
      <c r="CH1039" s="178"/>
      <c r="CI1039" s="178"/>
      <c r="CJ1039" s="178"/>
      <c r="CK1039" s="178"/>
      <c r="CL1039" s="178"/>
      <c r="CM1039" s="178"/>
      <c r="CN1039" s="178"/>
      <c r="CO1039" s="178"/>
      <c r="CP1039" s="178"/>
      <c r="CQ1039" s="178"/>
      <c r="CR1039" s="178"/>
      <c r="CS1039" s="178"/>
      <c r="CT1039" s="178"/>
      <c r="CU1039" s="178"/>
      <c r="CV1039" s="178"/>
      <c r="CW1039" s="178"/>
      <c r="CX1039" s="178"/>
      <c r="CY1039" s="178"/>
      <c r="CZ1039" s="178"/>
      <c r="DA1039" s="150"/>
    </row>
    <row r="1040" spans="53:105" x14ac:dyDescent="0.2">
      <c r="BA1040" s="518">
        <f t="shared" ca="1" si="61"/>
        <v>61</v>
      </c>
      <c r="BB1040" s="174">
        <f t="shared" ca="1" si="62"/>
        <v>977</v>
      </c>
      <c r="BC1040" s="525" t="e">
        <f ca="1">MATCH(BD1040,OFFSET(Pinlist!$A$2,BC1039*(BA1040=BA1039),0,$BM$23,1),0)+BC1039*(BA1040=BA1039)</f>
        <v>#N/A</v>
      </c>
      <c r="BD1040" s="167">
        <f t="shared" ca="1" si="63"/>
        <v>0</v>
      </c>
      <c r="BE1040" s="191" t="e">
        <f ca="1">(OFFSET(Pinlist!$E$1,BC1040,0)-$BN$16)*$BN$19</f>
        <v>#N/A</v>
      </c>
      <c r="BF1040" s="192" t="e">
        <f ca="1">(OFFSET(Pinlist!$F$1,BC1040,0)-$BO$16)*$BO$19</f>
        <v>#N/A</v>
      </c>
      <c r="BG1040" s="1098" t="str">
        <f ca="1">IF(LEFT(BD1040,2)="RF",OFFSET(Pinlist!$D$1,Chart!BC1040,0)&amp;"_"&amp;OFFSET(Pinlist!$G$1,Chart!BC1040,0),"")</f>
        <v/>
      </c>
      <c r="BH1040" s="1098"/>
      <c r="BI1040" s="178"/>
      <c r="BJ1040" s="178"/>
      <c r="BK1040" s="178"/>
      <c r="BL1040" s="178"/>
      <c r="BM1040" s="178"/>
      <c r="BN1040" s="178"/>
      <c r="BO1040" s="178"/>
      <c r="BP1040" s="178"/>
      <c r="BQ1040" s="196"/>
      <c r="BR1040" s="196"/>
      <c r="BS1040" s="196"/>
      <c r="BT1040" s="196"/>
      <c r="BU1040" s="196"/>
      <c r="BV1040" s="196"/>
      <c r="BW1040" s="178"/>
      <c r="BX1040" s="196"/>
      <c r="BY1040" s="196"/>
      <c r="BZ1040" s="196"/>
      <c r="CA1040" s="196"/>
      <c r="CB1040" s="178"/>
      <c r="CC1040" s="178"/>
      <c r="CD1040" s="202"/>
      <c r="CE1040" s="202"/>
      <c r="CF1040" s="178"/>
      <c r="CG1040" s="196"/>
      <c r="CH1040" s="178"/>
      <c r="CI1040" s="178"/>
      <c r="CJ1040" s="178"/>
      <c r="CK1040" s="178"/>
      <c r="CL1040" s="178"/>
      <c r="CM1040" s="178"/>
      <c r="CN1040" s="178"/>
      <c r="CO1040" s="178"/>
      <c r="CP1040" s="178"/>
      <c r="CQ1040" s="178"/>
      <c r="CR1040" s="178"/>
      <c r="CS1040" s="178"/>
      <c r="CT1040" s="178"/>
      <c r="CU1040" s="178"/>
      <c r="CV1040" s="178"/>
      <c r="CW1040" s="178"/>
      <c r="CX1040" s="178"/>
      <c r="CY1040" s="178"/>
      <c r="CZ1040" s="178"/>
      <c r="DA1040" s="150"/>
    </row>
    <row r="1041" spans="53:105" x14ac:dyDescent="0.2">
      <c r="BA1041" s="518">
        <f t="shared" ca="1" si="61"/>
        <v>61</v>
      </c>
      <c r="BB1041" s="174">
        <f t="shared" ca="1" si="62"/>
        <v>978</v>
      </c>
      <c r="BC1041" s="525" t="e">
        <f ca="1">MATCH(BD1041,OFFSET(Pinlist!$A$2,BC1040*(BA1041=BA1040),0,$BM$23,1),0)+BC1040*(BA1041=BA1040)</f>
        <v>#N/A</v>
      </c>
      <c r="BD1041" s="167">
        <f t="shared" ca="1" si="63"/>
        <v>0</v>
      </c>
      <c r="BE1041" s="191" t="e">
        <f ca="1">(OFFSET(Pinlist!$E$1,BC1041,0)-$BN$16)*$BN$19</f>
        <v>#N/A</v>
      </c>
      <c r="BF1041" s="192" t="e">
        <f ca="1">(OFFSET(Pinlist!$F$1,BC1041,0)-$BO$16)*$BO$19</f>
        <v>#N/A</v>
      </c>
      <c r="BG1041" s="1098" t="str">
        <f ca="1">IF(LEFT(BD1041,2)="RF",OFFSET(Pinlist!$D$1,Chart!BC1041,0)&amp;"_"&amp;OFFSET(Pinlist!$G$1,Chart!BC1041,0),"")</f>
        <v/>
      </c>
      <c r="BH1041" s="1098"/>
      <c r="BI1041" s="178"/>
      <c r="BJ1041" s="178"/>
      <c r="BK1041" s="178"/>
      <c r="BL1041" s="178"/>
      <c r="BM1041" s="178"/>
      <c r="BN1041" s="178"/>
      <c r="BO1041" s="178"/>
      <c r="BP1041" s="178"/>
      <c r="BQ1041" s="196"/>
      <c r="BR1041" s="196"/>
      <c r="BS1041" s="196"/>
      <c r="BT1041" s="196"/>
      <c r="BU1041" s="196"/>
      <c r="BV1041" s="196"/>
      <c r="BW1041" s="178"/>
      <c r="BX1041" s="196"/>
      <c r="BY1041" s="196"/>
      <c r="BZ1041" s="196"/>
      <c r="CA1041" s="196"/>
      <c r="CB1041" s="178"/>
      <c r="CC1041" s="178"/>
      <c r="CD1041" s="202"/>
      <c r="CE1041" s="202"/>
      <c r="CF1041" s="178"/>
      <c r="CG1041" s="196"/>
      <c r="CH1041" s="178"/>
      <c r="CI1041" s="178"/>
      <c r="CJ1041" s="178"/>
      <c r="CK1041" s="178"/>
      <c r="CL1041" s="178"/>
      <c r="CM1041" s="178"/>
      <c r="CN1041" s="178"/>
      <c r="CO1041" s="178"/>
      <c r="CP1041" s="178"/>
      <c r="CQ1041" s="178"/>
      <c r="CR1041" s="178"/>
      <c r="CS1041" s="178"/>
      <c r="CT1041" s="178"/>
      <c r="CU1041" s="178"/>
      <c r="CV1041" s="178"/>
      <c r="CW1041" s="178"/>
      <c r="CX1041" s="178"/>
      <c r="CY1041" s="178"/>
      <c r="CZ1041" s="178"/>
      <c r="DA1041" s="150"/>
    </row>
    <row r="1042" spans="53:105" x14ac:dyDescent="0.2">
      <c r="BA1042" s="518">
        <f t="shared" ca="1" si="61"/>
        <v>61</v>
      </c>
      <c r="BB1042" s="174">
        <f t="shared" ca="1" si="62"/>
        <v>979</v>
      </c>
      <c r="BC1042" s="525" t="e">
        <f ca="1">MATCH(BD1042,OFFSET(Pinlist!$A$2,BC1041*(BA1042=BA1041),0,$BM$23,1),0)+BC1041*(BA1042=BA1041)</f>
        <v>#N/A</v>
      </c>
      <c r="BD1042" s="167">
        <f t="shared" ca="1" si="63"/>
        <v>0</v>
      </c>
      <c r="BE1042" s="191" t="e">
        <f ca="1">(OFFSET(Pinlist!$E$1,BC1042,0)-$BN$16)*$BN$19</f>
        <v>#N/A</v>
      </c>
      <c r="BF1042" s="192" t="e">
        <f ca="1">(OFFSET(Pinlist!$F$1,BC1042,0)-$BO$16)*$BO$19</f>
        <v>#N/A</v>
      </c>
      <c r="BG1042" s="1098" t="str">
        <f ca="1">IF(LEFT(BD1042,2)="RF",OFFSET(Pinlist!$D$1,Chart!BC1042,0)&amp;"_"&amp;OFFSET(Pinlist!$G$1,Chart!BC1042,0),"")</f>
        <v/>
      </c>
      <c r="BH1042" s="1098"/>
      <c r="BI1042" s="178"/>
      <c r="BJ1042" s="178"/>
      <c r="BK1042" s="178"/>
      <c r="BL1042" s="178"/>
      <c r="BM1042" s="178"/>
      <c r="BN1042" s="178"/>
      <c r="BO1042" s="178"/>
      <c r="BP1042" s="178"/>
      <c r="BQ1042" s="196"/>
      <c r="BR1042" s="196"/>
      <c r="BS1042" s="196"/>
      <c r="BT1042" s="196"/>
      <c r="BU1042" s="196"/>
      <c r="BV1042" s="196"/>
      <c r="BW1042" s="178"/>
      <c r="BX1042" s="196"/>
      <c r="BY1042" s="196"/>
      <c r="BZ1042" s="196"/>
      <c r="CA1042" s="196"/>
      <c r="CB1042" s="178"/>
      <c r="CC1042" s="178"/>
      <c r="CD1042" s="202"/>
      <c r="CE1042" s="202"/>
      <c r="CF1042" s="178"/>
      <c r="CG1042" s="196"/>
      <c r="CH1042" s="178"/>
      <c r="CI1042" s="178"/>
      <c r="CJ1042" s="178"/>
      <c r="CK1042" s="178"/>
      <c r="CL1042" s="178"/>
      <c r="CM1042" s="178"/>
      <c r="CN1042" s="178"/>
      <c r="CO1042" s="178"/>
      <c r="CP1042" s="178"/>
      <c r="CQ1042" s="178"/>
      <c r="CR1042" s="178"/>
      <c r="CS1042" s="178"/>
      <c r="CT1042" s="178"/>
      <c r="CU1042" s="178"/>
      <c r="CV1042" s="178"/>
      <c r="CW1042" s="178"/>
      <c r="CX1042" s="178"/>
      <c r="CY1042" s="178"/>
      <c r="CZ1042" s="178"/>
      <c r="DA1042" s="150"/>
    </row>
    <row r="1043" spans="53:105" x14ac:dyDescent="0.2">
      <c r="BA1043" s="518">
        <f t="shared" ca="1" si="61"/>
        <v>61</v>
      </c>
      <c r="BB1043" s="174">
        <f t="shared" ca="1" si="62"/>
        <v>980</v>
      </c>
      <c r="BC1043" s="525" t="e">
        <f ca="1">MATCH(BD1043,OFFSET(Pinlist!$A$2,BC1042*(BA1043=BA1042),0,$BM$23,1),0)+BC1042*(BA1043=BA1042)</f>
        <v>#N/A</v>
      </c>
      <c r="BD1043" s="167">
        <f t="shared" ca="1" si="63"/>
        <v>0</v>
      </c>
      <c r="BE1043" s="191" t="e">
        <f ca="1">(OFFSET(Pinlist!$E$1,BC1043,0)-$BN$16)*$BN$19</f>
        <v>#N/A</v>
      </c>
      <c r="BF1043" s="192" t="e">
        <f ca="1">(OFFSET(Pinlist!$F$1,BC1043,0)-$BO$16)*$BO$19</f>
        <v>#N/A</v>
      </c>
      <c r="BG1043" s="1098" t="str">
        <f ca="1">IF(LEFT(BD1043,2)="RF",OFFSET(Pinlist!$D$1,Chart!BC1043,0)&amp;"_"&amp;OFFSET(Pinlist!$G$1,Chart!BC1043,0),"")</f>
        <v/>
      </c>
      <c r="BH1043" s="1098"/>
      <c r="BI1043" s="178"/>
      <c r="BJ1043" s="178"/>
      <c r="BK1043" s="178"/>
      <c r="BL1043" s="178"/>
      <c r="BM1043" s="178"/>
      <c r="BN1043" s="178"/>
      <c r="BO1043" s="178"/>
      <c r="BP1043" s="178"/>
      <c r="BQ1043" s="196"/>
      <c r="BR1043" s="196"/>
      <c r="BS1043" s="196"/>
      <c r="BT1043" s="196"/>
      <c r="BU1043" s="196"/>
      <c r="BV1043" s="196"/>
      <c r="BW1043" s="178"/>
      <c r="BX1043" s="196"/>
      <c r="BY1043" s="196"/>
      <c r="BZ1043" s="196"/>
      <c r="CA1043" s="196"/>
      <c r="CB1043" s="178"/>
      <c r="CC1043" s="178"/>
      <c r="CD1043" s="202"/>
      <c r="CE1043" s="202"/>
      <c r="CF1043" s="178"/>
      <c r="CG1043" s="196"/>
      <c r="CH1043" s="178"/>
      <c r="CI1043" s="178"/>
      <c r="CJ1043" s="178"/>
      <c r="CK1043" s="178"/>
      <c r="CL1043" s="178"/>
      <c r="CM1043" s="178"/>
      <c r="CN1043" s="178"/>
      <c r="CO1043" s="178"/>
      <c r="CP1043" s="178"/>
      <c r="CQ1043" s="178"/>
      <c r="CR1043" s="178"/>
      <c r="CS1043" s="178"/>
      <c r="CT1043" s="178"/>
      <c r="CU1043" s="178"/>
      <c r="CV1043" s="178"/>
      <c r="CW1043" s="178"/>
      <c r="CX1043" s="178"/>
      <c r="CY1043" s="178"/>
      <c r="CZ1043" s="178"/>
      <c r="DA1043" s="150"/>
    </row>
    <row r="1044" spans="53:105" x14ac:dyDescent="0.2">
      <c r="BA1044" s="518">
        <f t="shared" ca="1" si="61"/>
        <v>61</v>
      </c>
      <c r="BB1044" s="174">
        <f t="shared" ca="1" si="62"/>
        <v>981</v>
      </c>
      <c r="BC1044" s="525" t="e">
        <f ca="1">MATCH(BD1044,OFFSET(Pinlist!$A$2,BC1043*(BA1044=BA1043),0,$BM$23,1),0)+BC1043*(BA1044=BA1043)</f>
        <v>#N/A</v>
      </c>
      <c r="BD1044" s="167">
        <f t="shared" ca="1" si="63"/>
        <v>0</v>
      </c>
      <c r="BE1044" s="191" t="e">
        <f ca="1">(OFFSET(Pinlist!$E$1,BC1044,0)-$BN$16)*$BN$19</f>
        <v>#N/A</v>
      </c>
      <c r="BF1044" s="192" t="e">
        <f ca="1">(OFFSET(Pinlist!$F$1,BC1044,0)-$BO$16)*$BO$19</f>
        <v>#N/A</v>
      </c>
      <c r="BG1044" s="1098" t="str">
        <f ca="1">IF(LEFT(BD1044,2)="RF",OFFSET(Pinlist!$D$1,Chart!BC1044,0)&amp;"_"&amp;OFFSET(Pinlist!$G$1,Chart!BC1044,0),"")</f>
        <v/>
      </c>
      <c r="BH1044" s="1098"/>
      <c r="BI1044" s="178"/>
      <c r="BJ1044" s="178"/>
      <c r="BK1044" s="178"/>
      <c r="BL1044" s="178"/>
      <c r="BM1044" s="178"/>
      <c r="BN1044" s="178"/>
      <c r="BO1044" s="178"/>
      <c r="BP1044" s="178"/>
      <c r="BQ1044" s="196"/>
      <c r="BR1044" s="196"/>
      <c r="BS1044" s="196"/>
      <c r="BT1044" s="196"/>
      <c r="BU1044" s="196"/>
      <c r="BV1044" s="196"/>
      <c r="BW1044" s="178"/>
      <c r="BX1044" s="196"/>
      <c r="BY1044" s="196"/>
      <c r="BZ1044" s="196"/>
      <c r="CA1044" s="196"/>
      <c r="CB1044" s="178"/>
      <c r="CC1044" s="178"/>
      <c r="CD1044" s="202"/>
      <c r="CE1044" s="202"/>
      <c r="CF1044" s="178"/>
      <c r="CG1044" s="196"/>
      <c r="CH1044" s="178"/>
      <c r="CI1044" s="178"/>
      <c r="CJ1044" s="178"/>
      <c r="CK1044" s="178"/>
      <c r="CL1044" s="178"/>
      <c r="CM1044" s="178"/>
      <c r="CN1044" s="178"/>
      <c r="CO1044" s="178"/>
      <c r="CP1044" s="178"/>
      <c r="CQ1044" s="178"/>
      <c r="CR1044" s="178"/>
      <c r="CS1044" s="178"/>
      <c r="CT1044" s="178"/>
      <c r="CU1044" s="178"/>
      <c r="CV1044" s="178"/>
      <c r="CW1044" s="178"/>
      <c r="CX1044" s="178"/>
      <c r="CY1044" s="178"/>
      <c r="CZ1044" s="178"/>
      <c r="DA1044" s="150"/>
    </row>
    <row r="1045" spans="53:105" x14ac:dyDescent="0.2">
      <c r="BA1045" s="518">
        <f t="shared" ca="1" si="61"/>
        <v>61</v>
      </c>
      <c r="BB1045" s="174">
        <f t="shared" ca="1" si="62"/>
        <v>982</v>
      </c>
      <c r="BC1045" s="525" t="e">
        <f ca="1">MATCH(BD1045,OFFSET(Pinlist!$A$2,BC1044*(BA1045=BA1044),0,$BM$23,1),0)+BC1044*(BA1045=BA1044)</f>
        <v>#N/A</v>
      </c>
      <c r="BD1045" s="167">
        <f t="shared" ca="1" si="63"/>
        <v>0</v>
      </c>
      <c r="BE1045" s="191" t="e">
        <f ca="1">(OFFSET(Pinlist!$E$1,BC1045,0)-$BN$16)*$BN$19</f>
        <v>#N/A</v>
      </c>
      <c r="BF1045" s="192" t="e">
        <f ca="1">(OFFSET(Pinlist!$F$1,BC1045,0)-$BO$16)*$BO$19</f>
        <v>#N/A</v>
      </c>
      <c r="BG1045" s="1098" t="str">
        <f ca="1">IF(LEFT(BD1045,2)="RF",OFFSET(Pinlist!$D$1,Chart!BC1045,0)&amp;"_"&amp;OFFSET(Pinlist!$G$1,Chart!BC1045,0),"")</f>
        <v/>
      </c>
      <c r="BH1045" s="1098"/>
      <c r="BI1045" s="178"/>
      <c r="BJ1045" s="178"/>
      <c r="BK1045" s="178"/>
      <c r="BL1045" s="178"/>
      <c r="BM1045" s="178"/>
      <c r="BN1045" s="178"/>
      <c r="BO1045" s="178"/>
      <c r="BP1045" s="178"/>
      <c r="BQ1045" s="196"/>
      <c r="BR1045" s="196"/>
      <c r="BS1045" s="196"/>
      <c r="BT1045" s="196"/>
      <c r="BU1045" s="196"/>
      <c r="BV1045" s="196"/>
      <c r="BW1045" s="178"/>
      <c r="BX1045" s="196"/>
      <c r="BY1045" s="196"/>
      <c r="BZ1045" s="196"/>
      <c r="CA1045" s="196"/>
      <c r="CB1045" s="178"/>
      <c r="CC1045" s="178"/>
      <c r="CD1045" s="202"/>
      <c r="CE1045" s="202"/>
      <c r="CF1045" s="178"/>
      <c r="CG1045" s="196"/>
      <c r="CH1045" s="178"/>
      <c r="CI1045" s="178"/>
      <c r="CJ1045" s="178"/>
      <c r="CK1045" s="178"/>
      <c r="CL1045" s="178"/>
      <c r="CM1045" s="178"/>
      <c r="CN1045" s="178"/>
      <c r="CO1045" s="178"/>
      <c r="CP1045" s="178"/>
      <c r="CQ1045" s="178"/>
      <c r="CR1045" s="178"/>
      <c r="CS1045" s="178"/>
      <c r="CT1045" s="178"/>
      <c r="CU1045" s="178"/>
      <c r="CV1045" s="178"/>
      <c r="CW1045" s="178"/>
      <c r="CX1045" s="178"/>
      <c r="CY1045" s="178"/>
      <c r="CZ1045" s="178"/>
      <c r="DA1045" s="150"/>
    </row>
    <row r="1046" spans="53:105" x14ac:dyDescent="0.2">
      <c r="BA1046" s="518">
        <f t="shared" ca="1" si="61"/>
        <v>61</v>
      </c>
      <c r="BB1046" s="174">
        <f t="shared" ca="1" si="62"/>
        <v>983</v>
      </c>
      <c r="BC1046" s="525" t="e">
        <f ca="1">MATCH(BD1046,OFFSET(Pinlist!$A$2,BC1045*(BA1046=BA1045),0,$BM$23,1),0)+BC1045*(BA1046=BA1045)</f>
        <v>#N/A</v>
      </c>
      <c r="BD1046" s="167">
        <f t="shared" ca="1" si="63"/>
        <v>0</v>
      </c>
      <c r="BE1046" s="191" t="e">
        <f ca="1">(OFFSET(Pinlist!$E$1,BC1046,0)-$BN$16)*$BN$19</f>
        <v>#N/A</v>
      </c>
      <c r="BF1046" s="192" t="e">
        <f ca="1">(OFFSET(Pinlist!$F$1,BC1046,0)-$BO$16)*$BO$19</f>
        <v>#N/A</v>
      </c>
      <c r="BG1046" s="1098" t="str">
        <f ca="1">IF(LEFT(BD1046,2)="RF",OFFSET(Pinlist!$D$1,Chart!BC1046,0)&amp;"_"&amp;OFFSET(Pinlist!$G$1,Chart!BC1046,0),"")</f>
        <v/>
      </c>
      <c r="BH1046" s="1098"/>
      <c r="BI1046" s="178"/>
      <c r="BJ1046" s="178"/>
      <c r="BK1046" s="178"/>
      <c r="BL1046" s="178"/>
      <c r="BM1046" s="178"/>
      <c r="BN1046" s="178"/>
      <c r="BO1046" s="178"/>
      <c r="BP1046" s="178"/>
      <c r="BQ1046" s="196"/>
      <c r="BR1046" s="196"/>
      <c r="BS1046" s="196"/>
      <c r="BT1046" s="196"/>
      <c r="BU1046" s="196"/>
      <c r="BV1046" s="196"/>
      <c r="BW1046" s="178"/>
      <c r="BX1046" s="196"/>
      <c r="BY1046" s="196"/>
      <c r="BZ1046" s="196"/>
      <c r="CA1046" s="196"/>
      <c r="CB1046" s="178"/>
      <c r="CC1046" s="178"/>
      <c r="CD1046" s="202"/>
      <c r="CE1046" s="202"/>
      <c r="CF1046" s="178"/>
      <c r="CG1046" s="196"/>
      <c r="CH1046" s="178"/>
      <c r="CI1046" s="178"/>
      <c r="CJ1046" s="178"/>
      <c r="CK1046" s="178"/>
      <c r="CL1046" s="178"/>
      <c r="CM1046" s="178"/>
      <c r="CN1046" s="178"/>
      <c r="CO1046" s="178"/>
      <c r="CP1046" s="178"/>
      <c r="CQ1046" s="178"/>
      <c r="CR1046" s="178"/>
      <c r="CS1046" s="178"/>
      <c r="CT1046" s="178"/>
      <c r="CU1046" s="178"/>
      <c r="CV1046" s="178"/>
      <c r="CW1046" s="178"/>
      <c r="CX1046" s="178"/>
      <c r="CY1046" s="178"/>
      <c r="CZ1046" s="178"/>
      <c r="DA1046" s="150"/>
    </row>
    <row r="1047" spans="53:105" x14ac:dyDescent="0.2">
      <c r="BA1047" s="518">
        <f t="shared" ca="1" si="61"/>
        <v>61</v>
      </c>
      <c r="BB1047" s="174">
        <f t="shared" ca="1" si="62"/>
        <v>984</v>
      </c>
      <c r="BC1047" s="525" t="e">
        <f ca="1">MATCH(BD1047,OFFSET(Pinlist!$A$2,BC1046*(BA1047=BA1046),0,$BM$23,1),0)+BC1046*(BA1047=BA1046)</f>
        <v>#N/A</v>
      </c>
      <c r="BD1047" s="167">
        <f t="shared" ca="1" si="63"/>
        <v>0</v>
      </c>
      <c r="BE1047" s="191" t="e">
        <f ca="1">(OFFSET(Pinlist!$E$1,BC1047,0)-$BN$16)*$BN$19</f>
        <v>#N/A</v>
      </c>
      <c r="BF1047" s="192" t="e">
        <f ca="1">(OFFSET(Pinlist!$F$1,BC1047,0)-$BO$16)*$BO$19</f>
        <v>#N/A</v>
      </c>
      <c r="BG1047" s="1098" t="str">
        <f ca="1">IF(LEFT(BD1047,2)="RF",OFFSET(Pinlist!$D$1,Chart!BC1047,0)&amp;"_"&amp;OFFSET(Pinlist!$G$1,Chart!BC1047,0),"")</f>
        <v/>
      </c>
      <c r="BH1047" s="1098"/>
      <c r="BI1047" s="178"/>
      <c r="BJ1047" s="178"/>
      <c r="BK1047" s="178"/>
      <c r="BL1047" s="178"/>
      <c r="BM1047" s="178"/>
      <c r="BN1047" s="178"/>
      <c r="BO1047" s="178"/>
      <c r="BP1047" s="178"/>
      <c r="BQ1047" s="196"/>
      <c r="BR1047" s="196"/>
      <c r="BS1047" s="196"/>
      <c r="BT1047" s="196"/>
      <c r="BU1047" s="196"/>
      <c r="BV1047" s="196"/>
      <c r="BW1047" s="178"/>
      <c r="BX1047" s="196"/>
      <c r="BY1047" s="196"/>
      <c r="BZ1047" s="196"/>
      <c r="CA1047" s="196"/>
      <c r="CB1047" s="178"/>
      <c r="CC1047" s="178"/>
      <c r="CD1047" s="202"/>
      <c r="CE1047" s="202"/>
      <c r="CF1047" s="178"/>
      <c r="CG1047" s="196"/>
      <c r="CH1047" s="178"/>
      <c r="CI1047" s="178"/>
      <c r="CJ1047" s="178"/>
      <c r="CK1047" s="178"/>
      <c r="CL1047" s="178"/>
      <c r="CM1047" s="178"/>
      <c r="CN1047" s="178"/>
      <c r="CO1047" s="178"/>
      <c r="CP1047" s="178"/>
      <c r="CQ1047" s="178"/>
      <c r="CR1047" s="178"/>
      <c r="CS1047" s="178"/>
      <c r="CT1047" s="178"/>
      <c r="CU1047" s="178"/>
      <c r="CV1047" s="178"/>
      <c r="CW1047" s="178"/>
      <c r="CX1047" s="178"/>
      <c r="CY1047" s="178"/>
      <c r="CZ1047" s="178"/>
      <c r="DA1047" s="150"/>
    </row>
    <row r="1048" spans="53:105" x14ac:dyDescent="0.2">
      <c r="BA1048" s="518">
        <f t="shared" ca="1" si="61"/>
        <v>61</v>
      </c>
      <c r="BB1048" s="174">
        <f t="shared" ca="1" si="62"/>
        <v>985</v>
      </c>
      <c r="BC1048" s="525" t="e">
        <f ca="1">MATCH(BD1048,OFFSET(Pinlist!$A$2,BC1047*(BA1048=BA1047),0,$BM$23,1),0)+BC1047*(BA1048=BA1047)</f>
        <v>#N/A</v>
      </c>
      <c r="BD1048" s="167">
        <f t="shared" ca="1" si="63"/>
        <v>0</v>
      </c>
      <c r="BE1048" s="191" t="e">
        <f ca="1">(OFFSET(Pinlist!$E$1,BC1048,0)-$BN$16)*$BN$19</f>
        <v>#N/A</v>
      </c>
      <c r="BF1048" s="192" t="e">
        <f ca="1">(OFFSET(Pinlist!$F$1,BC1048,0)-$BO$16)*$BO$19</f>
        <v>#N/A</v>
      </c>
      <c r="BG1048" s="1098" t="str">
        <f ca="1">IF(LEFT(BD1048,2)="RF",OFFSET(Pinlist!$D$1,Chart!BC1048,0)&amp;"_"&amp;OFFSET(Pinlist!$G$1,Chart!BC1048,0),"")</f>
        <v/>
      </c>
      <c r="BH1048" s="1098"/>
      <c r="BI1048" s="178"/>
      <c r="BJ1048" s="178"/>
      <c r="BK1048" s="178"/>
      <c r="BL1048" s="178"/>
      <c r="BM1048" s="178"/>
      <c r="BN1048" s="178"/>
      <c r="BO1048" s="178"/>
      <c r="BP1048" s="178"/>
      <c r="BQ1048" s="196"/>
      <c r="BR1048" s="196"/>
      <c r="BS1048" s="196"/>
      <c r="BT1048" s="196"/>
      <c r="BU1048" s="196"/>
      <c r="BV1048" s="196"/>
      <c r="BW1048" s="178"/>
      <c r="BX1048" s="196"/>
      <c r="BY1048" s="196"/>
      <c r="BZ1048" s="196"/>
      <c r="CA1048" s="196"/>
      <c r="CB1048" s="178"/>
      <c r="CC1048" s="178"/>
      <c r="CD1048" s="202"/>
      <c r="CE1048" s="202"/>
      <c r="CF1048" s="178"/>
      <c r="CG1048" s="196"/>
      <c r="CH1048" s="178"/>
      <c r="CI1048" s="178"/>
      <c r="CJ1048" s="178"/>
      <c r="CK1048" s="178"/>
      <c r="CL1048" s="178"/>
      <c r="CM1048" s="178"/>
      <c r="CN1048" s="178"/>
      <c r="CO1048" s="178"/>
      <c r="CP1048" s="178"/>
      <c r="CQ1048" s="178"/>
      <c r="CR1048" s="178"/>
      <c r="CS1048" s="178"/>
      <c r="CT1048" s="178"/>
      <c r="CU1048" s="178"/>
      <c r="CV1048" s="178"/>
      <c r="CW1048" s="178"/>
      <c r="CX1048" s="178"/>
      <c r="CY1048" s="178"/>
      <c r="CZ1048" s="178"/>
      <c r="DA1048" s="150"/>
    </row>
    <row r="1049" spans="53:105" x14ac:dyDescent="0.2">
      <c r="BA1049" s="518">
        <f t="shared" ca="1" si="61"/>
        <v>61</v>
      </c>
      <c r="BB1049" s="174">
        <f t="shared" ca="1" si="62"/>
        <v>986</v>
      </c>
      <c r="BC1049" s="525" t="e">
        <f ca="1">MATCH(BD1049,OFFSET(Pinlist!$A$2,BC1048*(BA1049=BA1048),0,$BM$23,1),0)+BC1048*(BA1049=BA1048)</f>
        <v>#N/A</v>
      </c>
      <c r="BD1049" s="167">
        <f t="shared" ca="1" si="63"/>
        <v>0</v>
      </c>
      <c r="BE1049" s="191" t="e">
        <f ca="1">(OFFSET(Pinlist!$E$1,BC1049,0)-$BN$16)*$BN$19</f>
        <v>#N/A</v>
      </c>
      <c r="BF1049" s="192" t="e">
        <f ca="1">(OFFSET(Pinlist!$F$1,BC1049,0)-$BO$16)*$BO$19</f>
        <v>#N/A</v>
      </c>
      <c r="BG1049" s="1098" t="str">
        <f ca="1">IF(LEFT(BD1049,2)="RF",OFFSET(Pinlist!$D$1,Chart!BC1049,0)&amp;"_"&amp;OFFSET(Pinlist!$G$1,Chart!BC1049,0),"")</f>
        <v/>
      </c>
      <c r="BH1049" s="1098"/>
      <c r="BI1049" s="178"/>
      <c r="BJ1049" s="178"/>
      <c r="BK1049" s="178"/>
      <c r="BL1049" s="178"/>
      <c r="BM1049" s="178"/>
      <c r="BN1049" s="178"/>
      <c r="BO1049" s="178"/>
      <c r="BP1049" s="178"/>
      <c r="BQ1049" s="196"/>
      <c r="BR1049" s="196"/>
      <c r="BS1049" s="196"/>
      <c r="BT1049" s="196"/>
      <c r="BU1049" s="196"/>
      <c r="BV1049" s="196"/>
      <c r="BW1049" s="178"/>
      <c r="BX1049" s="196"/>
      <c r="BY1049" s="196"/>
      <c r="BZ1049" s="196"/>
      <c r="CA1049" s="196"/>
      <c r="CB1049" s="178"/>
      <c r="CC1049" s="178"/>
      <c r="CD1049" s="202"/>
      <c r="CE1049" s="202"/>
      <c r="CF1049" s="178"/>
      <c r="CG1049" s="196"/>
      <c r="CH1049" s="178"/>
      <c r="CI1049" s="178"/>
      <c r="CJ1049" s="178"/>
      <c r="CK1049" s="178"/>
      <c r="CL1049" s="178"/>
      <c r="CM1049" s="178"/>
      <c r="CN1049" s="178"/>
      <c r="CO1049" s="178"/>
      <c r="CP1049" s="178"/>
      <c r="CQ1049" s="178"/>
      <c r="CR1049" s="178"/>
      <c r="CS1049" s="178"/>
      <c r="CT1049" s="178"/>
      <c r="CU1049" s="178"/>
      <c r="CV1049" s="178"/>
      <c r="CW1049" s="178"/>
      <c r="CX1049" s="178"/>
      <c r="CY1049" s="178"/>
      <c r="CZ1049" s="178"/>
      <c r="DA1049" s="150"/>
    </row>
    <row r="1050" spans="53:105" x14ac:dyDescent="0.2">
      <c r="BA1050" s="518">
        <f t="shared" ca="1" si="61"/>
        <v>61</v>
      </c>
      <c r="BB1050" s="174">
        <f t="shared" ca="1" si="62"/>
        <v>987</v>
      </c>
      <c r="BC1050" s="525" t="e">
        <f ca="1">MATCH(BD1050,OFFSET(Pinlist!$A$2,BC1049*(BA1050=BA1049),0,$BM$23,1),0)+BC1049*(BA1050=BA1049)</f>
        <v>#N/A</v>
      </c>
      <c r="BD1050" s="167">
        <f t="shared" ca="1" si="63"/>
        <v>0</v>
      </c>
      <c r="BE1050" s="191" t="e">
        <f ca="1">(OFFSET(Pinlist!$E$1,BC1050,0)-$BN$16)*$BN$19</f>
        <v>#N/A</v>
      </c>
      <c r="BF1050" s="192" t="e">
        <f ca="1">(OFFSET(Pinlist!$F$1,BC1050,0)-$BO$16)*$BO$19</f>
        <v>#N/A</v>
      </c>
      <c r="BG1050" s="1098" t="str">
        <f ca="1">IF(LEFT(BD1050,2)="RF",OFFSET(Pinlist!$D$1,Chart!BC1050,0)&amp;"_"&amp;OFFSET(Pinlist!$G$1,Chart!BC1050,0),"")</f>
        <v/>
      </c>
      <c r="BH1050" s="1098"/>
      <c r="BI1050" s="178"/>
      <c r="BJ1050" s="178"/>
      <c r="BK1050" s="178"/>
      <c r="BL1050" s="178"/>
      <c r="BM1050" s="178"/>
      <c r="BN1050" s="178"/>
      <c r="BO1050" s="178"/>
      <c r="BP1050" s="178"/>
      <c r="BQ1050" s="196"/>
      <c r="BR1050" s="196"/>
      <c r="BS1050" s="196"/>
      <c r="BT1050" s="196"/>
      <c r="BU1050" s="196"/>
      <c r="BV1050" s="196"/>
      <c r="BW1050" s="178"/>
      <c r="BX1050" s="196"/>
      <c r="BY1050" s="196"/>
      <c r="BZ1050" s="196"/>
      <c r="CA1050" s="196"/>
      <c r="CB1050" s="178"/>
      <c r="CC1050" s="178"/>
      <c r="CD1050" s="202"/>
      <c r="CE1050" s="202"/>
      <c r="CF1050" s="178"/>
      <c r="CG1050" s="196"/>
      <c r="CH1050" s="178"/>
      <c r="CI1050" s="178"/>
      <c r="CJ1050" s="178"/>
      <c r="CK1050" s="178"/>
      <c r="CL1050" s="178"/>
      <c r="CM1050" s="178"/>
      <c r="CN1050" s="178"/>
      <c r="CO1050" s="178"/>
      <c r="CP1050" s="178"/>
      <c r="CQ1050" s="178"/>
      <c r="CR1050" s="178"/>
      <c r="CS1050" s="178"/>
      <c r="CT1050" s="178"/>
      <c r="CU1050" s="178"/>
      <c r="CV1050" s="178"/>
      <c r="CW1050" s="178"/>
      <c r="CX1050" s="178"/>
      <c r="CY1050" s="178"/>
      <c r="CZ1050" s="178"/>
      <c r="DA1050" s="150"/>
    </row>
    <row r="1051" spans="53:105" x14ac:dyDescent="0.2">
      <c r="BA1051" s="518">
        <f t="shared" ca="1" si="61"/>
        <v>61</v>
      </c>
      <c r="BB1051" s="174">
        <f t="shared" ca="1" si="62"/>
        <v>988</v>
      </c>
      <c r="BC1051" s="525" t="e">
        <f ca="1">MATCH(BD1051,OFFSET(Pinlist!$A$2,BC1050*(BA1051=BA1050),0,$BM$23,1),0)+BC1050*(BA1051=BA1050)</f>
        <v>#N/A</v>
      </c>
      <c r="BD1051" s="167">
        <f t="shared" ca="1" si="63"/>
        <v>0</v>
      </c>
      <c r="BE1051" s="191" t="e">
        <f ca="1">(OFFSET(Pinlist!$E$1,BC1051,0)-$BN$16)*$BN$19</f>
        <v>#N/A</v>
      </c>
      <c r="BF1051" s="192" t="e">
        <f ca="1">(OFFSET(Pinlist!$F$1,BC1051,0)-$BO$16)*$BO$19</f>
        <v>#N/A</v>
      </c>
      <c r="BG1051" s="1098" t="str">
        <f ca="1">IF(LEFT(BD1051,2)="RF",OFFSET(Pinlist!$D$1,Chart!BC1051,0)&amp;"_"&amp;OFFSET(Pinlist!$G$1,Chart!BC1051,0),"")</f>
        <v/>
      </c>
      <c r="BH1051" s="1098"/>
      <c r="BI1051" s="178"/>
      <c r="BJ1051" s="178"/>
      <c r="BK1051" s="178"/>
      <c r="BL1051" s="178"/>
      <c r="BM1051" s="178"/>
      <c r="BN1051" s="178"/>
      <c r="BO1051" s="178"/>
      <c r="BP1051" s="178"/>
      <c r="BQ1051" s="196"/>
      <c r="BR1051" s="196"/>
      <c r="BS1051" s="196"/>
      <c r="BT1051" s="196"/>
      <c r="BU1051" s="196"/>
      <c r="BV1051" s="196"/>
      <c r="BW1051" s="178"/>
      <c r="BX1051" s="196"/>
      <c r="BY1051" s="196"/>
      <c r="BZ1051" s="196"/>
      <c r="CA1051" s="196"/>
      <c r="CB1051" s="178"/>
      <c r="CC1051" s="178"/>
      <c r="CD1051" s="202"/>
      <c r="CE1051" s="202"/>
      <c r="CF1051" s="178"/>
      <c r="CG1051" s="196"/>
      <c r="CH1051" s="178"/>
      <c r="CI1051" s="178"/>
      <c r="CJ1051" s="178"/>
      <c r="CK1051" s="178"/>
      <c r="CL1051" s="178"/>
      <c r="CM1051" s="178"/>
      <c r="CN1051" s="178"/>
      <c r="CO1051" s="178"/>
      <c r="CP1051" s="178"/>
      <c r="CQ1051" s="178"/>
      <c r="CR1051" s="178"/>
      <c r="CS1051" s="178"/>
      <c r="CT1051" s="178"/>
      <c r="CU1051" s="178"/>
      <c r="CV1051" s="178"/>
      <c r="CW1051" s="178"/>
      <c r="CX1051" s="178"/>
      <c r="CY1051" s="178"/>
      <c r="CZ1051" s="178"/>
      <c r="DA1051" s="150"/>
    </row>
    <row r="1052" spans="53:105" x14ac:dyDescent="0.2">
      <c r="BA1052" s="518">
        <f t="shared" ca="1" si="61"/>
        <v>61</v>
      </c>
      <c r="BB1052" s="174">
        <f t="shared" ca="1" si="62"/>
        <v>989</v>
      </c>
      <c r="BC1052" s="525" t="e">
        <f ca="1">MATCH(BD1052,OFFSET(Pinlist!$A$2,BC1051*(BA1052=BA1051),0,$BM$23,1),0)+BC1051*(BA1052=BA1051)</f>
        <v>#N/A</v>
      </c>
      <c r="BD1052" s="167">
        <f t="shared" ca="1" si="63"/>
        <v>0</v>
      </c>
      <c r="BE1052" s="191" t="e">
        <f ca="1">(OFFSET(Pinlist!$E$1,BC1052,0)-$BN$16)*$BN$19</f>
        <v>#N/A</v>
      </c>
      <c r="BF1052" s="192" t="e">
        <f ca="1">(OFFSET(Pinlist!$F$1,BC1052,0)-$BO$16)*$BO$19</f>
        <v>#N/A</v>
      </c>
      <c r="BG1052" s="1098" t="str">
        <f ca="1">IF(LEFT(BD1052,2)="RF",OFFSET(Pinlist!$D$1,Chart!BC1052,0)&amp;"_"&amp;OFFSET(Pinlist!$G$1,Chart!BC1052,0),"")</f>
        <v/>
      </c>
      <c r="BH1052" s="1098"/>
      <c r="BI1052" s="178"/>
      <c r="BJ1052" s="178"/>
      <c r="BK1052" s="178"/>
      <c r="BL1052" s="178"/>
      <c r="BM1052" s="178"/>
      <c r="BN1052" s="178"/>
      <c r="BO1052" s="178"/>
      <c r="BP1052" s="178"/>
      <c r="BQ1052" s="196"/>
      <c r="BR1052" s="196"/>
      <c r="BS1052" s="196"/>
      <c r="BT1052" s="196"/>
      <c r="BU1052" s="196"/>
      <c r="BV1052" s="196"/>
      <c r="BW1052" s="178"/>
      <c r="BX1052" s="196"/>
      <c r="BY1052" s="196"/>
      <c r="BZ1052" s="196"/>
      <c r="CA1052" s="196"/>
      <c r="CB1052" s="178"/>
      <c r="CC1052" s="178"/>
      <c r="CD1052" s="202"/>
      <c r="CE1052" s="202"/>
      <c r="CF1052" s="178"/>
      <c r="CG1052" s="196"/>
      <c r="CH1052" s="178"/>
      <c r="CI1052" s="178"/>
      <c r="CJ1052" s="178"/>
      <c r="CK1052" s="178"/>
      <c r="CL1052" s="178"/>
      <c r="CM1052" s="178"/>
      <c r="CN1052" s="178"/>
      <c r="CO1052" s="178"/>
      <c r="CP1052" s="178"/>
      <c r="CQ1052" s="178"/>
      <c r="CR1052" s="178"/>
      <c r="CS1052" s="178"/>
      <c r="CT1052" s="178"/>
      <c r="CU1052" s="178"/>
      <c r="CV1052" s="178"/>
      <c r="CW1052" s="178"/>
      <c r="CX1052" s="178"/>
      <c r="CY1052" s="178"/>
      <c r="CZ1052" s="178"/>
      <c r="DA1052" s="150"/>
    </row>
    <row r="1053" spans="53:105" x14ac:dyDescent="0.2">
      <c r="BA1053" s="518">
        <f t="shared" ca="1" si="61"/>
        <v>61</v>
      </c>
      <c r="BB1053" s="174">
        <f t="shared" ca="1" si="62"/>
        <v>990</v>
      </c>
      <c r="BC1053" s="525" t="e">
        <f ca="1">MATCH(BD1053,OFFSET(Pinlist!$A$2,BC1052*(BA1053=BA1052),0,$BM$23,1),0)+BC1052*(BA1053=BA1052)</f>
        <v>#N/A</v>
      </c>
      <c r="BD1053" s="167">
        <f t="shared" ca="1" si="63"/>
        <v>0</v>
      </c>
      <c r="BE1053" s="191" t="e">
        <f ca="1">(OFFSET(Pinlist!$E$1,BC1053,0)-$BN$16)*$BN$19</f>
        <v>#N/A</v>
      </c>
      <c r="BF1053" s="192" t="e">
        <f ca="1">(OFFSET(Pinlist!$F$1,BC1053,0)-$BO$16)*$BO$19</f>
        <v>#N/A</v>
      </c>
      <c r="BG1053" s="1098" t="str">
        <f ca="1">IF(LEFT(BD1053,2)="RF",OFFSET(Pinlist!$D$1,Chart!BC1053,0)&amp;"_"&amp;OFFSET(Pinlist!$G$1,Chart!BC1053,0),"")</f>
        <v/>
      </c>
      <c r="BH1053" s="1098"/>
      <c r="BI1053" s="178"/>
      <c r="BJ1053" s="178"/>
      <c r="BK1053" s="178"/>
      <c r="BL1053" s="178"/>
      <c r="BM1053" s="178"/>
      <c r="BN1053" s="178"/>
      <c r="BO1053" s="178"/>
      <c r="BP1053" s="178"/>
      <c r="BQ1053" s="196"/>
      <c r="BR1053" s="196"/>
      <c r="BS1053" s="196"/>
      <c r="BT1053" s="196"/>
      <c r="BU1053" s="196"/>
      <c r="BV1053" s="196"/>
      <c r="BW1053" s="178"/>
      <c r="BX1053" s="196"/>
      <c r="BY1053" s="196"/>
      <c r="BZ1053" s="196"/>
      <c r="CA1053" s="196"/>
      <c r="CB1053" s="178"/>
      <c r="CC1053" s="178"/>
      <c r="CD1053" s="202"/>
      <c r="CE1053" s="202"/>
      <c r="CF1053" s="178"/>
      <c r="CG1053" s="196"/>
      <c r="CH1053" s="178"/>
      <c r="CI1053" s="178"/>
      <c r="CJ1053" s="178"/>
      <c r="CK1053" s="178"/>
      <c r="CL1053" s="178"/>
      <c r="CM1053" s="178"/>
      <c r="CN1053" s="178"/>
      <c r="CO1053" s="178"/>
      <c r="CP1053" s="178"/>
      <c r="CQ1053" s="178"/>
      <c r="CR1053" s="178"/>
      <c r="CS1053" s="178"/>
      <c r="CT1053" s="178"/>
      <c r="CU1053" s="178"/>
      <c r="CV1053" s="178"/>
      <c r="CW1053" s="178"/>
      <c r="CX1053" s="178"/>
      <c r="CY1053" s="178"/>
      <c r="CZ1053" s="178"/>
      <c r="DA1053" s="150"/>
    </row>
    <row r="1054" spans="53:105" x14ac:dyDescent="0.2">
      <c r="BA1054" s="518">
        <f t="shared" ca="1" si="61"/>
        <v>61</v>
      </c>
      <c r="BB1054" s="174">
        <f t="shared" ca="1" si="62"/>
        <v>991</v>
      </c>
      <c r="BC1054" s="525" t="e">
        <f ca="1">MATCH(BD1054,OFFSET(Pinlist!$A$2,BC1053*(BA1054=BA1053),0,$BM$23,1),0)+BC1053*(BA1054=BA1053)</f>
        <v>#N/A</v>
      </c>
      <c r="BD1054" s="167">
        <f t="shared" ca="1" si="63"/>
        <v>0</v>
      </c>
      <c r="BE1054" s="191" t="e">
        <f ca="1">(OFFSET(Pinlist!$E$1,BC1054,0)-$BN$16)*$BN$19</f>
        <v>#N/A</v>
      </c>
      <c r="BF1054" s="192" t="e">
        <f ca="1">(OFFSET(Pinlist!$F$1,BC1054,0)-$BO$16)*$BO$19</f>
        <v>#N/A</v>
      </c>
      <c r="BG1054" s="1098" t="str">
        <f ca="1">IF(LEFT(BD1054,2)="RF",OFFSET(Pinlist!$D$1,Chart!BC1054,0)&amp;"_"&amp;OFFSET(Pinlist!$G$1,Chart!BC1054,0),"")</f>
        <v/>
      </c>
      <c r="BH1054" s="1098"/>
      <c r="BI1054" s="178"/>
      <c r="BJ1054" s="178"/>
      <c r="BK1054" s="178"/>
      <c r="BL1054" s="178"/>
      <c r="BM1054" s="178"/>
      <c r="BN1054" s="178"/>
      <c r="BO1054" s="178"/>
      <c r="BP1054" s="178"/>
      <c r="BQ1054" s="196"/>
      <c r="BR1054" s="196"/>
      <c r="BS1054" s="196"/>
      <c r="BT1054" s="196"/>
      <c r="BU1054" s="196"/>
      <c r="BV1054" s="196"/>
      <c r="BW1054" s="178"/>
      <c r="BX1054" s="196"/>
      <c r="BY1054" s="196"/>
      <c r="BZ1054" s="196"/>
      <c r="CA1054" s="196"/>
      <c r="CB1054" s="178"/>
      <c r="CC1054" s="178"/>
      <c r="CD1054" s="202"/>
      <c r="CE1054" s="202"/>
      <c r="CF1054" s="178"/>
      <c r="CG1054" s="196"/>
      <c r="CH1054" s="178"/>
      <c r="CI1054" s="178"/>
      <c r="CJ1054" s="178"/>
      <c r="CK1054" s="178"/>
      <c r="CL1054" s="178"/>
      <c r="CM1054" s="178"/>
      <c r="CN1054" s="178"/>
      <c r="CO1054" s="178"/>
      <c r="CP1054" s="178"/>
      <c r="CQ1054" s="178"/>
      <c r="CR1054" s="178"/>
      <c r="CS1054" s="178"/>
      <c r="CT1054" s="178"/>
      <c r="CU1054" s="178"/>
      <c r="CV1054" s="178"/>
      <c r="CW1054" s="178"/>
      <c r="CX1054" s="178"/>
      <c r="CY1054" s="178"/>
      <c r="CZ1054" s="178"/>
      <c r="DA1054" s="150"/>
    </row>
    <row r="1055" spans="53:105" x14ac:dyDescent="0.2">
      <c r="BA1055" s="518">
        <f t="shared" ca="1" si="61"/>
        <v>61</v>
      </c>
      <c r="BB1055" s="174">
        <f t="shared" ca="1" si="62"/>
        <v>992</v>
      </c>
      <c r="BC1055" s="525" t="e">
        <f ca="1">MATCH(BD1055,OFFSET(Pinlist!$A$2,BC1054*(BA1055=BA1054),0,$BM$23,1),0)+BC1054*(BA1055=BA1054)</f>
        <v>#N/A</v>
      </c>
      <c r="BD1055" s="167">
        <f t="shared" ca="1" si="63"/>
        <v>0</v>
      </c>
      <c r="BE1055" s="191" t="e">
        <f ca="1">(OFFSET(Pinlist!$E$1,BC1055,0)-$BN$16)*$BN$19</f>
        <v>#N/A</v>
      </c>
      <c r="BF1055" s="192" t="e">
        <f ca="1">(OFFSET(Pinlist!$F$1,BC1055,0)-$BO$16)*$BO$19</f>
        <v>#N/A</v>
      </c>
      <c r="BG1055" s="1098" t="str">
        <f ca="1">IF(LEFT(BD1055,2)="RF",OFFSET(Pinlist!$D$1,Chart!BC1055,0)&amp;"_"&amp;OFFSET(Pinlist!$G$1,Chart!BC1055,0),"")</f>
        <v/>
      </c>
      <c r="BH1055" s="1098"/>
      <c r="BI1055" s="178"/>
      <c r="BJ1055" s="178"/>
      <c r="BK1055" s="178"/>
      <c r="BL1055" s="178"/>
      <c r="BM1055" s="178"/>
      <c r="BN1055" s="178"/>
      <c r="BO1055" s="178"/>
      <c r="BP1055" s="178"/>
      <c r="BQ1055" s="196"/>
      <c r="BR1055" s="196"/>
      <c r="BS1055" s="196"/>
      <c r="BT1055" s="196"/>
      <c r="BU1055" s="196"/>
      <c r="BV1055" s="196"/>
      <c r="BW1055" s="178"/>
      <c r="BX1055" s="196"/>
      <c r="BY1055" s="196"/>
      <c r="BZ1055" s="196"/>
      <c r="CA1055" s="196"/>
      <c r="CB1055" s="178"/>
      <c r="CC1055" s="178"/>
      <c r="CD1055" s="202"/>
      <c r="CE1055" s="202"/>
      <c r="CF1055" s="178"/>
      <c r="CG1055" s="196"/>
      <c r="CH1055" s="178"/>
      <c r="CI1055" s="178"/>
      <c r="CJ1055" s="178"/>
      <c r="CK1055" s="178"/>
      <c r="CL1055" s="178"/>
      <c r="CM1055" s="178"/>
      <c r="CN1055" s="178"/>
      <c r="CO1055" s="178"/>
      <c r="CP1055" s="178"/>
      <c r="CQ1055" s="178"/>
      <c r="CR1055" s="178"/>
      <c r="CS1055" s="178"/>
      <c r="CT1055" s="178"/>
      <c r="CU1055" s="178"/>
      <c r="CV1055" s="178"/>
      <c r="CW1055" s="178"/>
      <c r="CX1055" s="178"/>
      <c r="CY1055" s="178"/>
      <c r="CZ1055" s="178"/>
      <c r="DA1055" s="150"/>
    </row>
    <row r="1056" spans="53:105" x14ac:dyDescent="0.2">
      <c r="BA1056" s="518">
        <f t="shared" ca="1" si="61"/>
        <v>61</v>
      </c>
      <c r="BB1056" s="174">
        <f t="shared" ca="1" si="62"/>
        <v>993</v>
      </c>
      <c r="BC1056" s="525" t="e">
        <f ca="1">MATCH(BD1056,OFFSET(Pinlist!$A$2,BC1055*(BA1056=BA1055),0,$BM$23,1),0)+BC1055*(BA1056=BA1055)</f>
        <v>#N/A</v>
      </c>
      <c r="BD1056" s="167">
        <f t="shared" ca="1" si="63"/>
        <v>0</v>
      </c>
      <c r="BE1056" s="191" t="e">
        <f ca="1">(OFFSET(Pinlist!$E$1,BC1056,0)-$BN$16)*$BN$19</f>
        <v>#N/A</v>
      </c>
      <c r="BF1056" s="192" t="e">
        <f ca="1">(OFFSET(Pinlist!$F$1,BC1056,0)-$BO$16)*$BO$19</f>
        <v>#N/A</v>
      </c>
      <c r="BG1056" s="1098" t="str">
        <f ca="1">IF(LEFT(BD1056,2)="RF",OFFSET(Pinlist!$D$1,Chart!BC1056,0)&amp;"_"&amp;OFFSET(Pinlist!$G$1,Chart!BC1056,0),"")</f>
        <v/>
      </c>
      <c r="BH1056" s="1098"/>
      <c r="BI1056" s="178"/>
      <c r="BJ1056" s="178"/>
      <c r="BK1056" s="178"/>
      <c r="BL1056" s="178"/>
      <c r="BM1056" s="178"/>
      <c r="BN1056" s="178"/>
      <c r="BO1056" s="178"/>
      <c r="BP1056" s="178"/>
      <c r="BQ1056" s="196"/>
      <c r="BR1056" s="196"/>
      <c r="BS1056" s="196"/>
      <c r="BT1056" s="196"/>
      <c r="BU1056" s="196"/>
      <c r="BV1056" s="196"/>
      <c r="BW1056" s="178"/>
      <c r="BX1056" s="196"/>
      <c r="BY1056" s="196"/>
      <c r="BZ1056" s="196"/>
      <c r="CA1056" s="196"/>
      <c r="CB1056" s="178"/>
      <c r="CC1056" s="178"/>
      <c r="CD1056" s="202"/>
      <c r="CE1056" s="202"/>
      <c r="CF1056" s="178"/>
      <c r="CG1056" s="196"/>
      <c r="CH1056" s="178"/>
      <c r="CI1056" s="178"/>
      <c r="CJ1056" s="178"/>
      <c r="CK1056" s="178"/>
      <c r="CL1056" s="178"/>
      <c r="CM1056" s="178"/>
      <c r="CN1056" s="178"/>
      <c r="CO1056" s="178"/>
      <c r="CP1056" s="178"/>
      <c r="CQ1056" s="178"/>
      <c r="CR1056" s="178"/>
      <c r="CS1056" s="178"/>
      <c r="CT1056" s="178"/>
      <c r="CU1056" s="178"/>
      <c r="CV1056" s="178"/>
      <c r="CW1056" s="178"/>
      <c r="CX1056" s="178"/>
      <c r="CY1056" s="178"/>
      <c r="CZ1056" s="178"/>
      <c r="DA1056" s="150"/>
    </row>
    <row r="1057" spans="53:105" x14ac:dyDescent="0.2">
      <c r="BA1057" s="518">
        <f t="shared" ca="1" si="61"/>
        <v>61</v>
      </c>
      <c r="BB1057" s="174">
        <f t="shared" ca="1" si="62"/>
        <v>994</v>
      </c>
      <c r="BC1057" s="525" t="e">
        <f ca="1">MATCH(BD1057,OFFSET(Pinlist!$A$2,BC1056*(BA1057=BA1056),0,$BM$23,1),0)+BC1056*(BA1057=BA1056)</f>
        <v>#N/A</v>
      </c>
      <c r="BD1057" s="167">
        <f t="shared" ca="1" si="63"/>
        <v>0</v>
      </c>
      <c r="BE1057" s="191" t="e">
        <f ca="1">(OFFSET(Pinlist!$E$1,BC1057,0)-$BN$16)*$BN$19</f>
        <v>#N/A</v>
      </c>
      <c r="BF1057" s="192" t="e">
        <f ca="1">(OFFSET(Pinlist!$F$1,BC1057,0)-$BO$16)*$BO$19</f>
        <v>#N/A</v>
      </c>
      <c r="BG1057" s="1098" t="str">
        <f ca="1">IF(LEFT(BD1057,2)="RF",OFFSET(Pinlist!$D$1,Chart!BC1057,0)&amp;"_"&amp;OFFSET(Pinlist!$G$1,Chart!BC1057,0),"")</f>
        <v/>
      </c>
      <c r="BH1057" s="1098"/>
      <c r="BI1057" s="178"/>
      <c r="BJ1057" s="178"/>
      <c r="BK1057" s="178"/>
      <c r="BL1057" s="178"/>
      <c r="BM1057" s="178"/>
      <c r="BN1057" s="178"/>
      <c r="BO1057" s="178"/>
      <c r="BP1057" s="178"/>
      <c r="BQ1057" s="196"/>
      <c r="BR1057" s="196"/>
      <c r="BS1057" s="196"/>
      <c r="BT1057" s="196"/>
      <c r="BU1057" s="196"/>
      <c r="BV1057" s="196"/>
      <c r="BW1057" s="178"/>
      <c r="BX1057" s="196"/>
      <c r="BY1057" s="196"/>
      <c r="BZ1057" s="196"/>
      <c r="CA1057" s="196"/>
      <c r="CB1057" s="178"/>
      <c r="CC1057" s="178"/>
      <c r="CD1057" s="202"/>
      <c r="CE1057" s="202"/>
      <c r="CF1057" s="178"/>
      <c r="CG1057" s="196"/>
      <c r="CH1057" s="178"/>
      <c r="CI1057" s="178"/>
      <c r="CJ1057" s="178"/>
      <c r="CK1057" s="178"/>
      <c r="CL1057" s="178"/>
      <c r="CM1057" s="178"/>
      <c r="CN1057" s="178"/>
      <c r="CO1057" s="178"/>
      <c r="CP1057" s="178"/>
      <c r="CQ1057" s="178"/>
      <c r="CR1057" s="178"/>
      <c r="CS1057" s="178"/>
      <c r="CT1057" s="178"/>
      <c r="CU1057" s="178"/>
      <c r="CV1057" s="178"/>
      <c r="CW1057" s="178"/>
      <c r="CX1057" s="178"/>
      <c r="CY1057" s="178"/>
      <c r="CZ1057" s="178"/>
      <c r="DA1057" s="150"/>
    </row>
    <row r="1058" spans="53:105" x14ac:dyDescent="0.2">
      <c r="BA1058" s="518">
        <f t="shared" ca="1" si="61"/>
        <v>61</v>
      </c>
      <c r="BB1058" s="174">
        <f t="shared" ca="1" si="62"/>
        <v>995</v>
      </c>
      <c r="BC1058" s="525" t="e">
        <f ca="1">MATCH(BD1058,OFFSET(Pinlist!$A$2,BC1057*(BA1058=BA1057),0,$BM$23,1),0)+BC1057*(BA1058=BA1057)</f>
        <v>#N/A</v>
      </c>
      <c r="BD1058" s="167">
        <f t="shared" ca="1" si="63"/>
        <v>0</v>
      </c>
      <c r="BE1058" s="191" t="e">
        <f ca="1">(OFFSET(Pinlist!$E$1,BC1058,0)-$BN$16)*$BN$19</f>
        <v>#N/A</v>
      </c>
      <c r="BF1058" s="192" t="e">
        <f ca="1">(OFFSET(Pinlist!$F$1,BC1058,0)-$BO$16)*$BO$19</f>
        <v>#N/A</v>
      </c>
      <c r="BG1058" s="1098" t="str">
        <f ca="1">IF(LEFT(BD1058,2)="RF",OFFSET(Pinlist!$D$1,Chart!BC1058,0)&amp;"_"&amp;OFFSET(Pinlist!$G$1,Chart!BC1058,0),"")</f>
        <v/>
      </c>
      <c r="BH1058" s="1098"/>
      <c r="BI1058" s="178"/>
      <c r="BJ1058" s="178"/>
      <c r="BK1058" s="178"/>
      <c r="BL1058" s="178"/>
      <c r="BM1058" s="178"/>
      <c r="BN1058" s="178"/>
      <c r="BO1058" s="178"/>
      <c r="BP1058" s="178"/>
      <c r="BQ1058" s="196"/>
      <c r="BR1058" s="196"/>
      <c r="BS1058" s="196"/>
      <c r="BT1058" s="196"/>
      <c r="BU1058" s="196"/>
      <c r="BV1058" s="196"/>
      <c r="BW1058" s="178"/>
      <c r="BX1058" s="196"/>
      <c r="BY1058" s="196"/>
      <c r="BZ1058" s="196"/>
      <c r="CA1058" s="196"/>
      <c r="CB1058" s="178"/>
      <c r="CC1058" s="178"/>
      <c r="CD1058" s="202"/>
      <c r="CE1058" s="202"/>
      <c r="CF1058" s="178"/>
      <c r="CG1058" s="196"/>
      <c r="CH1058" s="178"/>
      <c r="CI1058" s="178"/>
      <c r="CJ1058" s="178"/>
      <c r="CK1058" s="178"/>
      <c r="CL1058" s="178"/>
      <c r="CM1058" s="178"/>
      <c r="CN1058" s="178"/>
      <c r="CO1058" s="178"/>
      <c r="CP1058" s="178"/>
      <c r="CQ1058" s="178"/>
      <c r="CR1058" s="178"/>
      <c r="CS1058" s="178"/>
      <c r="CT1058" s="178"/>
      <c r="CU1058" s="178"/>
      <c r="CV1058" s="178"/>
      <c r="CW1058" s="178"/>
      <c r="CX1058" s="178"/>
      <c r="CY1058" s="178"/>
      <c r="CZ1058" s="178"/>
      <c r="DA1058" s="150"/>
    </row>
    <row r="1059" spans="53:105" x14ac:dyDescent="0.2">
      <c r="BA1059" s="518">
        <f t="shared" ca="1" si="61"/>
        <v>61</v>
      </c>
      <c r="BB1059" s="174">
        <f t="shared" ca="1" si="62"/>
        <v>996</v>
      </c>
      <c r="BC1059" s="525" t="e">
        <f ca="1">MATCH(BD1059,OFFSET(Pinlist!$A$2,BC1058*(BA1059=BA1058),0,$BM$23,1),0)+BC1058*(BA1059=BA1058)</f>
        <v>#N/A</v>
      </c>
      <c r="BD1059" s="167">
        <f t="shared" ca="1" si="63"/>
        <v>0</v>
      </c>
      <c r="BE1059" s="191" t="e">
        <f ca="1">(OFFSET(Pinlist!$E$1,BC1059,0)-$BN$16)*$BN$19</f>
        <v>#N/A</v>
      </c>
      <c r="BF1059" s="192" t="e">
        <f ca="1">(OFFSET(Pinlist!$F$1,BC1059,0)-$BO$16)*$BO$19</f>
        <v>#N/A</v>
      </c>
      <c r="BG1059" s="1098" t="str">
        <f ca="1">IF(LEFT(BD1059,2)="RF",OFFSET(Pinlist!$D$1,Chart!BC1059,0)&amp;"_"&amp;OFFSET(Pinlist!$G$1,Chart!BC1059,0),"")</f>
        <v/>
      </c>
      <c r="BH1059" s="1098"/>
      <c r="BI1059" s="178"/>
      <c r="BJ1059" s="178"/>
      <c r="BK1059" s="178"/>
      <c r="BL1059" s="178"/>
      <c r="BM1059" s="178"/>
      <c r="BN1059" s="178"/>
      <c r="BO1059" s="178"/>
      <c r="BP1059" s="178"/>
      <c r="BQ1059" s="196"/>
      <c r="BR1059" s="196"/>
      <c r="BS1059" s="196"/>
      <c r="BT1059" s="196"/>
      <c r="BU1059" s="196"/>
      <c r="BV1059" s="196"/>
      <c r="BW1059" s="178"/>
      <c r="BX1059" s="196"/>
      <c r="BY1059" s="196"/>
      <c r="BZ1059" s="196"/>
      <c r="CA1059" s="196"/>
      <c r="CB1059" s="178"/>
      <c r="CC1059" s="178"/>
      <c r="CD1059" s="202"/>
      <c r="CE1059" s="202"/>
      <c r="CF1059" s="178"/>
      <c r="CG1059" s="196"/>
      <c r="CH1059" s="178"/>
      <c r="CI1059" s="178"/>
      <c r="CJ1059" s="178"/>
      <c r="CK1059" s="178"/>
      <c r="CL1059" s="178"/>
      <c r="CM1059" s="178"/>
      <c r="CN1059" s="178"/>
      <c r="CO1059" s="178"/>
      <c r="CP1059" s="178"/>
      <c r="CQ1059" s="178"/>
      <c r="CR1059" s="178"/>
      <c r="CS1059" s="178"/>
      <c r="CT1059" s="178"/>
      <c r="CU1059" s="178"/>
      <c r="CV1059" s="178"/>
      <c r="CW1059" s="178"/>
      <c r="CX1059" s="178"/>
      <c r="CY1059" s="178"/>
      <c r="CZ1059" s="178"/>
      <c r="DA1059" s="150"/>
    </row>
    <row r="1060" spans="53:105" x14ac:dyDescent="0.2">
      <c r="BA1060" s="518">
        <f t="shared" ca="1" si="61"/>
        <v>61</v>
      </c>
      <c r="BB1060" s="174">
        <f t="shared" ca="1" si="62"/>
        <v>997</v>
      </c>
      <c r="BC1060" s="525" t="e">
        <f ca="1">MATCH(BD1060,OFFSET(Pinlist!$A$2,BC1059*(BA1060=BA1059),0,$BM$23,1),0)+BC1059*(BA1060=BA1059)</f>
        <v>#N/A</v>
      </c>
      <c r="BD1060" s="167">
        <f t="shared" ca="1" si="63"/>
        <v>0</v>
      </c>
      <c r="BE1060" s="191" t="e">
        <f ca="1">(OFFSET(Pinlist!$E$1,BC1060,0)-$BN$16)*$BN$19</f>
        <v>#N/A</v>
      </c>
      <c r="BF1060" s="192" t="e">
        <f ca="1">(OFFSET(Pinlist!$F$1,BC1060,0)-$BO$16)*$BO$19</f>
        <v>#N/A</v>
      </c>
      <c r="BG1060" s="1098" t="str">
        <f ca="1">IF(LEFT(BD1060,2)="RF",OFFSET(Pinlist!$D$1,Chart!BC1060,0)&amp;"_"&amp;OFFSET(Pinlist!$G$1,Chart!BC1060,0),"")</f>
        <v/>
      </c>
      <c r="BH1060" s="1098"/>
      <c r="BI1060" s="178"/>
      <c r="BJ1060" s="178"/>
      <c r="BK1060" s="178"/>
      <c r="BL1060" s="178"/>
      <c r="BM1060" s="178"/>
      <c r="BN1060" s="178"/>
      <c r="BO1060" s="178"/>
      <c r="BP1060" s="178"/>
      <c r="BQ1060" s="196"/>
      <c r="BR1060" s="196"/>
      <c r="BS1060" s="196"/>
      <c r="BT1060" s="196"/>
      <c r="BU1060" s="196"/>
      <c r="BV1060" s="196"/>
      <c r="BW1060" s="178"/>
      <c r="BX1060" s="196"/>
      <c r="BY1060" s="196"/>
      <c r="BZ1060" s="196"/>
      <c r="CA1060" s="196"/>
      <c r="CB1060" s="178"/>
      <c r="CC1060" s="178"/>
      <c r="CD1060" s="202"/>
      <c r="CE1060" s="202"/>
      <c r="CF1060" s="178"/>
      <c r="CG1060" s="196"/>
      <c r="CH1060" s="178"/>
      <c r="CI1060" s="178"/>
      <c r="CJ1060" s="178"/>
      <c r="CK1060" s="178"/>
      <c r="CL1060" s="178"/>
      <c r="CM1060" s="178"/>
      <c r="CN1060" s="178"/>
      <c r="CO1060" s="178"/>
      <c r="CP1060" s="178"/>
      <c r="CQ1060" s="178"/>
      <c r="CR1060" s="178"/>
      <c r="CS1060" s="178"/>
      <c r="CT1060" s="178"/>
      <c r="CU1060" s="178"/>
      <c r="CV1060" s="178"/>
      <c r="CW1060" s="178"/>
      <c r="CX1060" s="178"/>
      <c r="CY1060" s="178"/>
      <c r="CZ1060" s="178"/>
      <c r="DA1060" s="150"/>
    </row>
    <row r="1061" spans="53:105" x14ac:dyDescent="0.2">
      <c r="BA1061" s="518">
        <f t="shared" ca="1" si="61"/>
        <v>61</v>
      </c>
      <c r="BB1061" s="174">
        <f t="shared" ca="1" si="62"/>
        <v>998</v>
      </c>
      <c r="BC1061" s="525" t="e">
        <f ca="1">MATCH(BD1061,OFFSET(Pinlist!$A$2,BC1060*(BA1061=BA1060),0,$BM$23,1),0)+BC1060*(BA1061=BA1060)</f>
        <v>#N/A</v>
      </c>
      <c r="BD1061" s="167">
        <f t="shared" ca="1" si="63"/>
        <v>0</v>
      </c>
      <c r="BE1061" s="191" t="e">
        <f ca="1">(OFFSET(Pinlist!$E$1,BC1061,0)-$BN$16)*$BN$19</f>
        <v>#N/A</v>
      </c>
      <c r="BF1061" s="192" t="e">
        <f ca="1">(OFFSET(Pinlist!$F$1,BC1061,0)-$BO$16)*$BO$19</f>
        <v>#N/A</v>
      </c>
      <c r="BG1061" s="1098" t="str">
        <f ca="1">IF(LEFT(BD1061,2)="RF",OFFSET(Pinlist!$D$1,Chart!BC1061,0)&amp;"_"&amp;OFFSET(Pinlist!$G$1,Chart!BC1061,0),"")</f>
        <v/>
      </c>
      <c r="BH1061" s="1098"/>
      <c r="BI1061" s="178"/>
      <c r="BJ1061" s="178"/>
      <c r="BK1061" s="178"/>
      <c r="BL1061" s="178"/>
      <c r="BM1061" s="178"/>
      <c r="BN1061" s="178"/>
      <c r="BO1061" s="178"/>
      <c r="BP1061" s="178"/>
      <c r="BQ1061" s="196"/>
      <c r="BR1061" s="196"/>
      <c r="BS1061" s="196"/>
      <c r="BT1061" s="196"/>
      <c r="BU1061" s="196"/>
      <c r="BV1061" s="196"/>
      <c r="BW1061" s="178"/>
      <c r="BX1061" s="196"/>
      <c r="BY1061" s="196"/>
      <c r="BZ1061" s="196"/>
      <c r="CA1061" s="196"/>
      <c r="CB1061" s="178"/>
      <c r="CC1061" s="178"/>
      <c r="CD1061" s="202"/>
      <c r="CE1061" s="202"/>
      <c r="CF1061" s="178"/>
      <c r="CG1061" s="196"/>
      <c r="CH1061" s="178"/>
      <c r="CI1061" s="178"/>
      <c r="CJ1061" s="178"/>
      <c r="CK1061" s="178"/>
      <c r="CL1061" s="178"/>
      <c r="CM1061" s="178"/>
      <c r="CN1061" s="178"/>
      <c r="CO1061" s="178"/>
      <c r="CP1061" s="178"/>
      <c r="CQ1061" s="178"/>
      <c r="CR1061" s="178"/>
      <c r="CS1061" s="178"/>
      <c r="CT1061" s="178"/>
      <c r="CU1061" s="178"/>
      <c r="CV1061" s="178"/>
      <c r="CW1061" s="178"/>
      <c r="CX1061" s="178"/>
      <c r="CY1061" s="178"/>
      <c r="CZ1061" s="178"/>
      <c r="DA1061" s="150"/>
    </row>
    <row r="1062" spans="53:105" x14ac:dyDescent="0.2">
      <c r="BA1062" s="518">
        <f t="shared" ca="1" si="61"/>
        <v>61</v>
      </c>
      <c r="BB1062" s="174">
        <f t="shared" ca="1" si="62"/>
        <v>999</v>
      </c>
      <c r="BC1062" s="525" t="e">
        <f ca="1">MATCH(BD1062,OFFSET(Pinlist!$A$2,BC1061*(BA1062=BA1061),0,$BM$23,1),0)+BC1061*(BA1062=BA1061)</f>
        <v>#N/A</v>
      </c>
      <c r="BD1062" s="167">
        <f t="shared" ca="1" si="63"/>
        <v>0</v>
      </c>
      <c r="BE1062" s="191" t="e">
        <f ca="1">(OFFSET(Pinlist!$E$1,BC1062,0)-$BN$16)*$BN$19</f>
        <v>#N/A</v>
      </c>
      <c r="BF1062" s="192" t="e">
        <f ca="1">(OFFSET(Pinlist!$F$1,BC1062,0)-$BO$16)*$BO$19</f>
        <v>#N/A</v>
      </c>
      <c r="BG1062" s="1098" t="str">
        <f ca="1">IF(LEFT(BD1062,2)="RF",OFFSET(Pinlist!$D$1,Chart!BC1062,0)&amp;"_"&amp;OFFSET(Pinlist!$G$1,Chart!BC1062,0),"")</f>
        <v/>
      </c>
      <c r="BH1062" s="1098"/>
      <c r="BI1062" s="178"/>
      <c r="BJ1062" s="178"/>
      <c r="BK1062" s="178"/>
      <c r="BL1062" s="178"/>
      <c r="BM1062" s="178"/>
      <c r="BN1062" s="178"/>
      <c r="BO1062" s="178"/>
      <c r="BP1062" s="178"/>
      <c r="BQ1062" s="196"/>
      <c r="BR1062" s="196"/>
      <c r="BS1062" s="196"/>
      <c r="BT1062" s="196"/>
      <c r="BU1062" s="196"/>
      <c r="BV1062" s="196"/>
      <c r="BW1062" s="178"/>
      <c r="BX1062" s="196"/>
      <c r="BY1062" s="196"/>
      <c r="BZ1062" s="196"/>
      <c r="CA1062" s="196"/>
      <c r="CB1062" s="178"/>
      <c r="CC1062" s="178"/>
      <c r="CD1062" s="202"/>
      <c r="CE1062" s="202"/>
      <c r="CF1062" s="178"/>
      <c r="CG1062" s="196"/>
      <c r="CH1062" s="178"/>
      <c r="CI1062" s="178"/>
      <c r="CJ1062" s="178"/>
      <c r="CK1062" s="178"/>
      <c r="CL1062" s="178"/>
      <c r="CM1062" s="178"/>
      <c r="CN1062" s="178"/>
      <c r="CO1062" s="178"/>
      <c r="CP1062" s="178"/>
      <c r="CQ1062" s="178"/>
      <c r="CR1062" s="178"/>
      <c r="CS1062" s="178"/>
      <c r="CT1062" s="178"/>
      <c r="CU1062" s="178"/>
      <c r="CV1062" s="178"/>
      <c r="CW1062" s="178"/>
      <c r="CX1062" s="178"/>
      <c r="CY1062" s="178"/>
      <c r="CZ1062" s="178"/>
      <c r="DA1062" s="150"/>
    </row>
    <row r="1063" spans="53:105" x14ac:dyDescent="0.2">
      <c r="BA1063" s="518">
        <f t="shared" ca="1" si="61"/>
        <v>61</v>
      </c>
      <c r="BB1063" s="174">
        <f t="shared" ca="1" si="62"/>
        <v>1000</v>
      </c>
      <c r="BC1063" s="525" t="e">
        <f ca="1">MATCH(BD1063,OFFSET(Pinlist!$A$2,BC1062*(BA1063=BA1062),0,$BM$23,1),0)+BC1062*(BA1063=BA1062)</f>
        <v>#N/A</v>
      </c>
      <c r="BD1063" s="167">
        <f t="shared" ca="1" si="63"/>
        <v>0</v>
      </c>
      <c r="BE1063" s="191" t="e">
        <f ca="1">(OFFSET(Pinlist!$E$1,BC1063,0)-$BN$16)*$BN$19</f>
        <v>#N/A</v>
      </c>
      <c r="BF1063" s="192" t="e">
        <f ca="1">(OFFSET(Pinlist!$F$1,BC1063,0)-$BO$16)*$BO$19</f>
        <v>#N/A</v>
      </c>
      <c r="BG1063" s="1098" t="str">
        <f ca="1">IF(LEFT(BD1063,2)="RF",OFFSET(Pinlist!$D$1,Chart!BC1063,0)&amp;"_"&amp;OFFSET(Pinlist!$G$1,Chart!BC1063,0),"")</f>
        <v/>
      </c>
      <c r="BH1063" s="1098"/>
      <c r="BI1063" s="178"/>
      <c r="BJ1063" s="178"/>
      <c r="BK1063" s="178"/>
      <c r="BL1063" s="178"/>
      <c r="BM1063" s="178"/>
      <c r="BN1063" s="178"/>
      <c r="BO1063" s="178"/>
      <c r="BP1063" s="178"/>
      <c r="BQ1063" s="196"/>
      <c r="BR1063" s="196"/>
      <c r="BS1063" s="196"/>
      <c r="BT1063" s="196"/>
      <c r="BU1063" s="196"/>
      <c r="BV1063" s="196"/>
      <c r="BW1063" s="178"/>
      <c r="BX1063" s="196"/>
      <c r="BY1063" s="196"/>
      <c r="BZ1063" s="196"/>
      <c r="CA1063" s="196"/>
      <c r="CB1063" s="178"/>
      <c r="CC1063" s="178"/>
      <c r="CD1063" s="202"/>
      <c r="CE1063" s="202"/>
      <c r="CF1063" s="178"/>
      <c r="CG1063" s="196"/>
      <c r="CH1063" s="178"/>
      <c r="CI1063" s="178"/>
      <c r="CJ1063" s="178"/>
      <c r="CK1063" s="178"/>
      <c r="CL1063" s="178"/>
      <c r="CM1063" s="178"/>
      <c r="CN1063" s="178"/>
      <c r="CO1063" s="178"/>
      <c r="CP1063" s="178"/>
      <c r="CQ1063" s="178"/>
      <c r="CR1063" s="178"/>
      <c r="CS1063" s="178"/>
      <c r="CT1063" s="178"/>
      <c r="CU1063" s="178"/>
      <c r="CV1063" s="178"/>
      <c r="CW1063" s="178"/>
      <c r="CX1063" s="178"/>
      <c r="CY1063" s="178"/>
      <c r="CZ1063" s="178"/>
      <c r="DA1063" s="150"/>
    </row>
    <row r="1064" spans="53:105" x14ac:dyDescent="0.2">
      <c r="BA1064" s="518">
        <f t="shared" ca="1" si="61"/>
        <v>61</v>
      </c>
      <c r="BB1064" s="174">
        <f t="shared" ca="1" si="62"/>
        <v>1001</v>
      </c>
      <c r="BC1064" s="525" t="e">
        <f ca="1">MATCH(BD1064,OFFSET(Pinlist!$A$2,BC1063*(BA1064=BA1063),0,$BM$23,1),0)+BC1063*(BA1064=BA1063)</f>
        <v>#N/A</v>
      </c>
      <c r="BD1064" s="167">
        <f t="shared" ca="1" si="63"/>
        <v>0</v>
      </c>
      <c r="BE1064" s="191" t="e">
        <f ca="1">(OFFSET(Pinlist!$E$1,BC1064,0)-$BN$16)*$BN$19</f>
        <v>#N/A</v>
      </c>
      <c r="BF1064" s="192" t="e">
        <f ca="1">(OFFSET(Pinlist!$F$1,BC1064,0)-$BO$16)*$BO$19</f>
        <v>#N/A</v>
      </c>
      <c r="BG1064" s="1098" t="str">
        <f ca="1">IF(LEFT(BD1064,2)="RF",OFFSET(Pinlist!$D$1,Chart!BC1064,0)&amp;"_"&amp;OFFSET(Pinlist!$G$1,Chart!BC1064,0),"")</f>
        <v/>
      </c>
      <c r="BH1064" s="1098"/>
      <c r="BI1064" s="178"/>
      <c r="BJ1064" s="178"/>
      <c r="BK1064" s="178"/>
      <c r="BL1064" s="178"/>
      <c r="BM1064" s="178"/>
      <c r="BN1064" s="178"/>
      <c r="BO1064" s="178"/>
      <c r="BP1064" s="178"/>
      <c r="BQ1064" s="196"/>
      <c r="BR1064" s="196"/>
      <c r="BS1064" s="196"/>
      <c r="BT1064" s="196"/>
      <c r="BU1064" s="196"/>
      <c r="BV1064" s="196"/>
      <c r="BW1064" s="178"/>
      <c r="BX1064" s="196"/>
      <c r="BY1064" s="196"/>
      <c r="BZ1064" s="196"/>
      <c r="CA1064" s="196"/>
      <c r="CB1064" s="178"/>
      <c r="CC1064" s="178"/>
      <c r="CD1064" s="202"/>
      <c r="CE1064" s="202"/>
      <c r="CF1064" s="178"/>
      <c r="CG1064" s="196"/>
      <c r="CH1064" s="178"/>
      <c r="CI1064" s="178"/>
      <c r="CJ1064" s="178"/>
      <c r="CK1064" s="178"/>
      <c r="CL1064" s="178"/>
      <c r="CM1064" s="178"/>
      <c r="CN1064" s="178"/>
      <c r="CO1064" s="178"/>
      <c r="CP1064" s="178"/>
      <c r="CQ1064" s="178"/>
      <c r="CR1064" s="178"/>
      <c r="CS1064" s="178"/>
      <c r="CT1064" s="178"/>
      <c r="CU1064" s="178"/>
      <c r="CV1064" s="178"/>
      <c r="CW1064" s="178"/>
      <c r="CX1064" s="178"/>
      <c r="CY1064" s="178"/>
      <c r="CZ1064" s="178"/>
      <c r="DA1064" s="150"/>
    </row>
    <row r="1065" spans="53:105" x14ac:dyDescent="0.2">
      <c r="BA1065" s="518">
        <f t="shared" ca="1" si="61"/>
        <v>61</v>
      </c>
      <c r="BB1065" s="174">
        <f t="shared" ca="1" si="62"/>
        <v>1002</v>
      </c>
      <c r="BC1065" s="525" t="e">
        <f ca="1">MATCH(BD1065,OFFSET(Pinlist!$A$2,BC1064*(BA1065=BA1064),0,$BM$23,1),0)+BC1064*(BA1065=BA1064)</f>
        <v>#N/A</v>
      </c>
      <c r="BD1065" s="167">
        <f t="shared" ca="1" si="63"/>
        <v>0</v>
      </c>
      <c r="BE1065" s="191" t="e">
        <f ca="1">(OFFSET(Pinlist!$E$1,BC1065,0)-$BN$16)*$BN$19</f>
        <v>#N/A</v>
      </c>
      <c r="BF1065" s="192" t="e">
        <f ca="1">(OFFSET(Pinlist!$F$1,BC1065,0)-$BO$16)*$BO$19</f>
        <v>#N/A</v>
      </c>
      <c r="BG1065" s="1098" t="str">
        <f ca="1">IF(LEFT(BD1065,2)="RF",OFFSET(Pinlist!$D$1,Chart!BC1065,0)&amp;"_"&amp;OFFSET(Pinlist!$G$1,Chart!BC1065,0),"")</f>
        <v/>
      </c>
      <c r="BH1065" s="1098"/>
      <c r="BI1065" s="178"/>
      <c r="BJ1065" s="178"/>
      <c r="BK1065" s="178"/>
      <c r="BL1065" s="178"/>
      <c r="BM1065" s="178"/>
      <c r="BN1065" s="178"/>
      <c r="BO1065" s="178"/>
      <c r="BP1065" s="178"/>
      <c r="BQ1065" s="196"/>
      <c r="BR1065" s="196"/>
      <c r="BS1065" s="196"/>
      <c r="BT1065" s="196"/>
      <c r="BU1065" s="196"/>
      <c r="BV1065" s="196"/>
      <c r="BW1065" s="178"/>
      <c r="BX1065" s="196"/>
      <c r="BY1065" s="196"/>
      <c r="BZ1065" s="196"/>
      <c r="CA1065" s="196"/>
      <c r="CB1065" s="178"/>
      <c r="CC1065" s="178"/>
      <c r="CD1065" s="202"/>
      <c r="CE1065" s="202"/>
      <c r="CF1065" s="178"/>
      <c r="CG1065" s="196"/>
      <c r="CH1065" s="178"/>
      <c r="CI1065" s="178"/>
      <c r="CJ1065" s="178"/>
      <c r="CK1065" s="178"/>
      <c r="CL1065" s="178"/>
      <c r="CM1065" s="178"/>
      <c r="CN1065" s="178"/>
      <c r="CO1065" s="178"/>
      <c r="CP1065" s="178"/>
      <c r="CQ1065" s="178"/>
      <c r="CR1065" s="178"/>
      <c r="CS1065" s="178"/>
      <c r="CT1065" s="178"/>
      <c r="CU1065" s="178"/>
      <c r="CV1065" s="178"/>
      <c r="CW1065" s="178"/>
      <c r="CX1065" s="178"/>
      <c r="CY1065" s="178"/>
      <c r="CZ1065" s="178"/>
      <c r="DA1065" s="150"/>
    </row>
    <row r="1066" spans="53:105" x14ac:dyDescent="0.2">
      <c r="BA1066" s="518">
        <f t="shared" ca="1" si="61"/>
        <v>61</v>
      </c>
      <c r="BB1066" s="174">
        <f t="shared" ca="1" si="62"/>
        <v>1003</v>
      </c>
      <c r="BC1066" s="525" t="e">
        <f ca="1">MATCH(BD1066,OFFSET(Pinlist!$A$2,BC1065*(BA1066=BA1065),0,$BM$23,1),0)+BC1065*(BA1066=BA1065)</f>
        <v>#N/A</v>
      </c>
      <c r="BD1066" s="167">
        <f t="shared" ca="1" si="63"/>
        <v>0</v>
      </c>
      <c r="BE1066" s="191" t="e">
        <f ca="1">(OFFSET(Pinlist!$E$1,BC1066,0)-$BN$16)*$BN$19</f>
        <v>#N/A</v>
      </c>
      <c r="BF1066" s="192" t="e">
        <f ca="1">(OFFSET(Pinlist!$F$1,BC1066,0)-$BO$16)*$BO$19</f>
        <v>#N/A</v>
      </c>
      <c r="BG1066" s="1098" t="str">
        <f ca="1">IF(LEFT(BD1066,2)="RF",OFFSET(Pinlist!$D$1,Chart!BC1066,0)&amp;"_"&amp;OFFSET(Pinlist!$G$1,Chart!BC1066,0),"")</f>
        <v/>
      </c>
      <c r="BH1066" s="1098"/>
      <c r="BI1066" s="178"/>
      <c r="BJ1066" s="178"/>
      <c r="BK1066" s="178"/>
      <c r="BL1066" s="178"/>
      <c r="BM1066" s="178"/>
      <c r="BN1066" s="178"/>
      <c r="BO1066" s="178"/>
      <c r="BP1066" s="178"/>
      <c r="BQ1066" s="196"/>
      <c r="BR1066" s="196"/>
      <c r="BS1066" s="196"/>
      <c r="BT1066" s="196"/>
      <c r="BU1066" s="196"/>
      <c r="BV1066" s="196"/>
      <c r="BW1066" s="178"/>
      <c r="BX1066" s="196"/>
      <c r="BY1066" s="196"/>
      <c r="BZ1066" s="196"/>
      <c r="CA1066" s="196"/>
      <c r="CB1066" s="178"/>
      <c r="CC1066" s="178"/>
      <c r="CD1066" s="202"/>
      <c r="CE1066" s="202"/>
      <c r="CF1066" s="178"/>
      <c r="CG1066" s="196"/>
      <c r="CH1066" s="178"/>
      <c r="CI1066" s="178"/>
      <c r="CJ1066" s="178"/>
      <c r="CK1066" s="178"/>
      <c r="CL1066" s="178"/>
      <c r="CM1066" s="178"/>
      <c r="CN1066" s="178"/>
      <c r="CO1066" s="178"/>
      <c r="CP1066" s="178"/>
      <c r="CQ1066" s="178"/>
      <c r="CR1066" s="178"/>
      <c r="CS1066" s="178"/>
      <c r="CT1066" s="178"/>
      <c r="CU1066" s="178"/>
      <c r="CV1066" s="178"/>
      <c r="CW1066" s="178"/>
      <c r="CX1066" s="178"/>
      <c r="CY1066" s="178"/>
      <c r="CZ1066" s="178"/>
      <c r="DA1066" s="150"/>
    </row>
    <row r="1067" spans="53:105" x14ac:dyDescent="0.2">
      <c r="BA1067" s="518">
        <f t="shared" ca="1" si="61"/>
        <v>61</v>
      </c>
      <c r="BB1067" s="174">
        <f t="shared" ca="1" si="62"/>
        <v>1004</v>
      </c>
      <c r="BC1067" s="525" t="e">
        <f ca="1">MATCH(BD1067,OFFSET(Pinlist!$A$2,BC1066*(BA1067=BA1066),0,$BM$23,1),0)+BC1066*(BA1067=BA1066)</f>
        <v>#N/A</v>
      </c>
      <c r="BD1067" s="167">
        <f t="shared" ca="1" si="63"/>
        <v>0</v>
      </c>
      <c r="BE1067" s="191" t="e">
        <f ca="1">(OFFSET(Pinlist!$E$1,BC1067,0)-$BN$16)*$BN$19</f>
        <v>#N/A</v>
      </c>
      <c r="BF1067" s="192" t="e">
        <f ca="1">(OFFSET(Pinlist!$F$1,BC1067,0)-$BO$16)*$BO$19</f>
        <v>#N/A</v>
      </c>
      <c r="BG1067" s="1098" t="str">
        <f ca="1">IF(LEFT(BD1067,2)="RF",OFFSET(Pinlist!$D$1,Chart!BC1067,0)&amp;"_"&amp;OFFSET(Pinlist!$G$1,Chart!BC1067,0),"")</f>
        <v/>
      </c>
      <c r="BH1067" s="1098"/>
      <c r="BI1067" s="178"/>
      <c r="BJ1067" s="178"/>
      <c r="BK1067" s="178"/>
      <c r="BL1067" s="178"/>
      <c r="BM1067" s="178"/>
      <c r="BN1067" s="178"/>
      <c r="BO1067" s="178"/>
      <c r="BP1067" s="178"/>
      <c r="BQ1067" s="196"/>
      <c r="BR1067" s="196"/>
      <c r="BS1067" s="196"/>
      <c r="BT1067" s="196"/>
      <c r="BU1067" s="196"/>
      <c r="BV1067" s="196"/>
      <c r="BW1067" s="178"/>
      <c r="BX1067" s="196"/>
      <c r="BY1067" s="196"/>
      <c r="BZ1067" s="196"/>
      <c r="CA1067" s="196"/>
      <c r="CB1067" s="178"/>
      <c r="CC1067" s="178"/>
      <c r="CD1067" s="202"/>
      <c r="CE1067" s="202"/>
      <c r="CF1067" s="178"/>
      <c r="CG1067" s="196"/>
      <c r="CH1067" s="178"/>
      <c r="CI1067" s="178"/>
      <c r="CJ1067" s="178"/>
      <c r="CK1067" s="178"/>
      <c r="CL1067" s="178"/>
      <c r="CM1067" s="178"/>
      <c r="CN1067" s="178"/>
      <c r="CO1067" s="178"/>
      <c r="CP1067" s="178"/>
      <c r="CQ1067" s="178"/>
      <c r="CR1067" s="178"/>
      <c r="CS1067" s="178"/>
      <c r="CT1067" s="178"/>
      <c r="CU1067" s="178"/>
      <c r="CV1067" s="178"/>
      <c r="CW1067" s="178"/>
      <c r="CX1067" s="178"/>
      <c r="CY1067" s="178"/>
      <c r="CZ1067" s="178"/>
      <c r="DA1067" s="150"/>
    </row>
    <row r="1068" spans="53:105" x14ac:dyDescent="0.2">
      <c r="BA1068" s="518">
        <f t="shared" ca="1" si="61"/>
        <v>61</v>
      </c>
      <c r="BB1068" s="174">
        <f t="shared" ca="1" si="62"/>
        <v>1005</v>
      </c>
      <c r="BC1068" s="525" t="e">
        <f ca="1">MATCH(BD1068,OFFSET(Pinlist!$A$2,BC1067*(BA1068=BA1067),0,$BM$23,1),0)+BC1067*(BA1068=BA1067)</f>
        <v>#N/A</v>
      </c>
      <c r="BD1068" s="167">
        <f t="shared" ca="1" si="63"/>
        <v>0</v>
      </c>
      <c r="BE1068" s="191" t="e">
        <f ca="1">(OFFSET(Pinlist!$E$1,BC1068,0)-$BN$16)*$BN$19</f>
        <v>#N/A</v>
      </c>
      <c r="BF1068" s="192" t="e">
        <f ca="1">(OFFSET(Pinlist!$F$1,BC1068,0)-$BO$16)*$BO$19</f>
        <v>#N/A</v>
      </c>
      <c r="BG1068" s="1098" t="str">
        <f ca="1">IF(LEFT(BD1068,2)="RF",OFFSET(Pinlist!$D$1,Chart!BC1068,0)&amp;"_"&amp;OFFSET(Pinlist!$G$1,Chart!BC1068,0),"")</f>
        <v/>
      </c>
      <c r="BH1068" s="1098"/>
      <c r="BI1068" s="178"/>
      <c r="BJ1068" s="178"/>
      <c r="BK1068" s="178"/>
      <c r="BL1068" s="178"/>
      <c r="BM1068" s="178"/>
      <c r="BN1068" s="178"/>
      <c r="BO1068" s="178"/>
      <c r="BP1068" s="178"/>
      <c r="BQ1068" s="196"/>
      <c r="BR1068" s="196"/>
      <c r="BS1068" s="196"/>
      <c r="BT1068" s="196"/>
      <c r="BU1068" s="196"/>
      <c r="BV1068" s="196"/>
      <c r="BW1068" s="178"/>
      <c r="BX1068" s="196"/>
      <c r="BY1068" s="196"/>
      <c r="BZ1068" s="196"/>
      <c r="CA1068" s="196"/>
      <c r="CB1068" s="178"/>
      <c r="CC1068" s="178"/>
      <c r="CD1068" s="202"/>
      <c r="CE1068" s="202"/>
      <c r="CF1068" s="178"/>
      <c r="CG1068" s="196"/>
      <c r="CH1068" s="178"/>
      <c r="CI1068" s="178"/>
      <c r="CJ1068" s="178"/>
      <c r="CK1068" s="178"/>
      <c r="CL1068" s="178"/>
      <c r="CM1068" s="178"/>
      <c r="CN1068" s="178"/>
      <c r="CO1068" s="178"/>
      <c r="CP1068" s="178"/>
      <c r="CQ1068" s="178"/>
      <c r="CR1068" s="178"/>
      <c r="CS1068" s="178"/>
      <c r="CT1068" s="178"/>
      <c r="CU1068" s="178"/>
      <c r="CV1068" s="178"/>
      <c r="CW1068" s="178"/>
      <c r="CX1068" s="178"/>
      <c r="CY1068" s="178"/>
      <c r="CZ1068" s="178"/>
      <c r="DA1068" s="150"/>
    </row>
    <row r="1069" spans="53:105" x14ac:dyDescent="0.2">
      <c r="BA1069" s="518">
        <f t="shared" ca="1" si="61"/>
        <v>61</v>
      </c>
      <c r="BB1069" s="174">
        <f t="shared" ca="1" si="62"/>
        <v>1006</v>
      </c>
      <c r="BC1069" s="525" t="e">
        <f ca="1">MATCH(BD1069,OFFSET(Pinlist!$A$2,BC1068*(BA1069=BA1068),0,$BM$23,1),0)+BC1068*(BA1069=BA1068)</f>
        <v>#N/A</v>
      </c>
      <c r="BD1069" s="167">
        <f t="shared" ca="1" si="63"/>
        <v>0</v>
      </c>
      <c r="BE1069" s="191" t="e">
        <f ca="1">(OFFSET(Pinlist!$E$1,BC1069,0)-$BN$16)*$BN$19</f>
        <v>#N/A</v>
      </c>
      <c r="BF1069" s="192" t="e">
        <f ca="1">(OFFSET(Pinlist!$F$1,BC1069,0)-$BO$16)*$BO$19</f>
        <v>#N/A</v>
      </c>
      <c r="BG1069" s="1098" t="str">
        <f ca="1">IF(LEFT(BD1069,2)="RF",OFFSET(Pinlist!$D$1,Chart!BC1069,0)&amp;"_"&amp;OFFSET(Pinlist!$G$1,Chart!BC1069,0),"")</f>
        <v/>
      </c>
      <c r="BH1069" s="1098"/>
      <c r="BI1069" s="178"/>
      <c r="BJ1069" s="178"/>
      <c r="BK1069" s="178"/>
      <c r="BL1069" s="178"/>
      <c r="BM1069" s="178"/>
      <c r="BN1069" s="178"/>
      <c r="BO1069" s="178"/>
      <c r="BP1069" s="178"/>
      <c r="BQ1069" s="196"/>
      <c r="BR1069" s="196"/>
      <c r="BS1069" s="196"/>
      <c r="BT1069" s="196"/>
      <c r="BU1069" s="196"/>
      <c r="BV1069" s="196"/>
      <c r="BW1069" s="178"/>
      <c r="BX1069" s="196"/>
      <c r="BY1069" s="196"/>
      <c r="BZ1069" s="196"/>
      <c r="CA1069" s="196"/>
      <c r="CB1069" s="178"/>
      <c r="CC1069" s="178"/>
      <c r="CD1069" s="202"/>
      <c r="CE1069" s="202"/>
      <c r="CF1069" s="178"/>
      <c r="CG1069" s="196"/>
      <c r="CH1069" s="178"/>
      <c r="CI1069" s="178"/>
      <c r="CJ1069" s="178"/>
      <c r="CK1069" s="178"/>
      <c r="CL1069" s="178"/>
      <c r="CM1069" s="178"/>
      <c r="CN1069" s="178"/>
      <c r="CO1069" s="178"/>
      <c r="CP1069" s="178"/>
      <c r="CQ1069" s="178"/>
      <c r="CR1069" s="178"/>
      <c r="CS1069" s="178"/>
      <c r="CT1069" s="178"/>
      <c r="CU1069" s="178"/>
      <c r="CV1069" s="178"/>
      <c r="CW1069" s="178"/>
      <c r="CX1069" s="178"/>
      <c r="CY1069" s="178"/>
      <c r="CZ1069" s="178"/>
      <c r="DA1069" s="150"/>
    </row>
    <row r="1070" spans="53:105" x14ac:dyDescent="0.2">
      <c r="BA1070" s="518">
        <f t="shared" ca="1" si="61"/>
        <v>61</v>
      </c>
      <c r="BB1070" s="174">
        <f t="shared" ca="1" si="62"/>
        <v>1007</v>
      </c>
      <c r="BC1070" s="525" t="e">
        <f ca="1">MATCH(BD1070,OFFSET(Pinlist!$A$2,BC1069*(BA1070=BA1069),0,$BM$23,1),0)+BC1069*(BA1070=BA1069)</f>
        <v>#N/A</v>
      </c>
      <c r="BD1070" s="167">
        <f t="shared" ca="1" si="63"/>
        <v>0</v>
      </c>
      <c r="BE1070" s="191" t="e">
        <f ca="1">(OFFSET(Pinlist!$E$1,BC1070,0)-$BN$16)*$BN$19</f>
        <v>#N/A</v>
      </c>
      <c r="BF1070" s="192" t="e">
        <f ca="1">(OFFSET(Pinlist!$F$1,BC1070,0)-$BO$16)*$BO$19</f>
        <v>#N/A</v>
      </c>
      <c r="BG1070" s="1098" t="str">
        <f ca="1">IF(LEFT(BD1070,2)="RF",OFFSET(Pinlist!$D$1,Chart!BC1070,0)&amp;"_"&amp;OFFSET(Pinlist!$G$1,Chart!BC1070,0),"")</f>
        <v/>
      </c>
      <c r="BH1070" s="1098"/>
      <c r="BI1070" s="178"/>
      <c r="BJ1070" s="178"/>
      <c r="BK1070" s="178"/>
      <c r="BL1070" s="178"/>
      <c r="BM1070" s="178"/>
      <c r="BN1070" s="178"/>
      <c r="BO1070" s="178"/>
      <c r="BP1070" s="178"/>
      <c r="BQ1070" s="196"/>
      <c r="BR1070" s="196"/>
      <c r="BS1070" s="196"/>
      <c r="BT1070" s="196"/>
      <c r="BU1070" s="196"/>
      <c r="BV1070" s="196"/>
      <c r="BW1070" s="178"/>
      <c r="BX1070" s="196"/>
      <c r="BY1070" s="196"/>
      <c r="BZ1070" s="196"/>
      <c r="CA1070" s="196"/>
      <c r="CB1070" s="178"/>
      <c r="CC1070" s="178"/>
      <c r="CD1070" s="202"/>
      <c r="CE1070" s="202"/>
      <c r="CF1070" s="178"/>
      <c r="CG1070" s="196"/>
      <c r="CH1070" s="178"/>
      <c r="CI1070" s="178"/>
      <c r="CJ1070" s="178"/>
      <c r="CK1070" s="178"/>
      <c r="CL1070" s="178"/>
      <c r="CM1070" s="178"/>
      <c r="CN1070" s="178"/>
      <c r="CO1070" s="178"/>
      <c r="CP1070" s="178"/>
      <c r="CQ1070" s="178"/>
      <c r="CR1070" s="178"/>
      <c r="CS1070" s="178"/>
      <c r="CT1070" s="178"/>
      <c r="CU1070" s="178"/>
      <c r="CV1070" s="178"/>
      <c r="CW1070" s="178"/>
      <c r="CX1070" s="178"/>
      <c r="CY1070" s="178"/>
      <c r="CZ1070" s="178"/>
      <c r="DA1070" s="150"/>
    </row>
    <row r="1071" spans="53:105" x14ac:dyDescent="0.2">
      <c r="BA1071" s="518">
        <f t="shared" ca="1" si="61"/>
        <v>61</v>
      </c>
      <c r="BB1071" s="174">
        <f t="shared" ca="1" si="62"/>
        <v>1008</v>
      </c>
      <c r="BC1071" s="525" t="e">
        <f ca="1">MATCH(BD1071,OFFSET(Pinlist!$A$2,BC1070*(BA1071=BA1070),0,$BM$23,1),0)+BC1070*(BA1071=BA1070)</f>
        <v>#N/A</v>
      </c>
      <c r="BD1071" s="167">
        <f t="shared" ca="1" si="63"/>
        <v>0</v>
      </c>
      <c r="BE1071" s="191" t="e">
        <f ca="1">(OFFSET(Pinlist!$E$1,BC1071,0)-$BN$16)*$BN$19</f>
        <v>#N/A</v>
      </c>
      <c r="BF1071" s="192" t="e">
        <f ca="1">(OFFSET(Pinlist!$F$1,BC1071,0)-$BO$16)*$BO$19</f>
        <v>#N/A</v>
      </c>
      <c r="BG1071" s="1098" t="str">
        <f ca="1">IF(LEFT(BD1071,2)="RF",OFFSET(Pinlist!$D$1,Chart!BC1071,0)&amp;"_"&amp;OFFSET(Pinlist!$G$1,Chart!BC1071,0),"")</f>
        <v/>
      </c>
      <c r="BH1071" s="1098"/>
      <c r="BI1071" s="178"/>
      <c r="BJ1071" s="178"/>
      <c r="BK1071" s="178"/>
      <c r="BL1071" s="178"/>
      <c r="BM1071" s="178"/>
      <c r="BN1071" s="178"/>
      <c r="BO1071" s="178"/>
      <c r="BP1071" s="178"/>
      <c r="BQ1071" s="196"/>
      <c r="BR1071" s="196"/>
      <c r="BS1071" s="196"/>
      <c r="BT1071" s="196"/>
      <c r="BU1071" s="196"/>
      <c r="BV1071" s="196"/>
      <c r="BW1071" s="178"/>
      <c r="BX1071" s="196"/>
      <c r="BY1071" s="196"/>
      <c r="BZ1071" s="196"/>
      <c r="CA1071" s="196"/>
      <c r="CB1071" s="178"/>
      <c r="CC1071" s="178"/>
      <c r="CD1071" s="202"/>
      <c r="CE1071" s="202"/>
      <c r="CF1071" s="178"/>
      <c r="CG1071" s="196"/>
      <c r="CH1071" s="178"/>
      <c r="CI1071" s="178"/>
      <c r="CJ1071" s="178"/>
      <c r="CK1071" s="178"/>
      <c r="CL1071" s="178"/>
      <c r="CM1071" s="178"/>
      <c r="CN1071" s="178"/>
      <c r="CO1071" s="178"/>
      <c r="CP1071" s="178"/>
      <c r="CQ1071" s="178"/>
      <c r="CR1071" s="178"/>
      <c r="CS1071" s="178"/>
      <c r="CT1071" s="178"/>
      <c r="CU1071" s="178"/>
      <c r="CV1071" s="178"/>
      <c r="CW1071" s="178"/>
      <c r="CX1071" s="178"/>
      <c r="CY1071" s="178"/>
      <c r="CZ1071" s="178"/>
      <c r="DA1071" s="150"/>
    </row>
    <row r="1072" spans="53:105" x14ac:dyDescent="0.2">
      <c r="BA1072" s="518">
        <f t="shared" ca="1" si="61"/>
        <v>61</v>
      </c>
      <c r="BB1072" s="174">
        <f t="shared" ca="1" si="62"/>
        <v>1009</v>
      </c>
      <c r="BC1072" s="525" t="e">
        <f ca="1">MATCH(BD1072,OFFSET(Pinlist!$A$2,BC1071*(BA1072=BA1071),0,$BM$23,1),0)+BC1071*(BA1072=BA1071)</f>
        <v>#N/A</v>
      </c>
      <c r="BD1072" s="167">
        <f t="shared" ca="1" si="63"/>
        <v>0</v>
      </c>
      <c r="BE1072" s="191" t="e">
        <f ca="1">(OFFSET(Pinlist!$E$1,BC1072,0)-$BN$16)*$BN$19</f>
        <v>#N/A</v>
      </c>
      <c r="BF1072" s="192" t="e">
        <f ca="1">(OFFSET(Pinlist!$F$1,BC1072,0)-$BO$16)*$BO$19</f>
        <v>#N/A</v>
      </c>
      <c r="BG1072" s="1098" t="str">
        <f ca="1">IF(LEFT(BD1072,2)="RF",OFFSET(Pinlist!$D$1,Chart!BC1072,0)&amp;"_"&amp;OFFSET(Pinlist!$G$1,Chart!BC1072,0),"")</f>
        <v/>
      </c>
      <c r="BH1072" s="1098"/>
      <c r="BI1072" s="178"/>
      <c r="BJ1072" s="178"/>
      <c r="BK1072" s="178"/>
      <c r="BL1072" s="178"/>
      <c r="BM1072" s="178"/>
      <c r="BN1072" s="178"/>
      <c r="BO1072" s="178"/>
      <c r="BP1072" s="178"/>
      <c r="BQ1072" s="196"/>
      <c r="BR1072" s="196"/>
      <c r="BS1072" s="196"/>
      <c r="BT1072" s="196"/>
      <c r="BU1072" s="196"/>
      <c r="BV1072" s="196"/>
      <c r="BW1072" s="178"/>
      <c r="BX1072" s="196"/>
      <c r="BY1072" s="196"/>
      <c r="BZ1072" s="196"/>
      <c r="CA1072" s="196"/>
      <c r="CB1072" s="178"/>
      <c r="CC1072" s="178"/>
      <c r="CD1072" s="202"/>
      <c r="CE1072" s="202"/>
      <c r="CF1072" s="178"/>
      <c r="CG1072" s="196"/>
      <c r="CH1072" s="178"/>
      <c r="CI1072" s="178"/>
      <c r="CJ1072" s="178"/>
      <c r="CK1072" s="178"/>
      <c r="CL1072" s="178"/>
      <c r="CM1072" s="178"/>
      <c r="CN1072" s="178"/>
      <c r="CO1072" s="178"/>
      <c r="CP1072" s="178"/>
      <c r="CQ1072" s="178"/>
      <c r="CR1072" s="178"/>
      <c r="CS1072" s="178"/>
      <c r="CT1072" s="178"/>
      <c r="CU1072" s="178"/>
      <c r="CV1072" s="178"/>
      <c r="CW1072" s="178"/>
      <c r="CX1072" s="178"/>
      <c r="CY1072" s="178"/>
      <c r="CZ1072" s="178"/>
      <c r="DA1072" s="150"/>
    </row>
    <row r="1073" spans="53:105" x14ac:dyDescent="0.2">
      <c r="BA1073" s="518">
        <f t="shared" ca="1" si="61"/>
        <v>61</v>
      </c>
      <c r="BB1073" s="174">
        <f t="shared" ca="1" si="62"/>
        <v>1010</v>
      </c>
      <c r="BC1073" s="525" t="e">
        <f ca="1">MATCH(BD1073,OFFSET(Pinlist!$A$2,BC1072*(BA1073=BA1072),0,$BM$23,1),0)+BC1072*(BA1073=BA1072)</f>
        <v>#N/A</v>
      </c>
      <c r="BD1073" s="167">
        <f t="shared" ca="1" si="63"/>
        <v>0</v>
      </c>
      <c r="BE1073" s="191" t="e">
        <f ca="1">(OFFSET(Pinlist!$E$1,BC1073,0)-$BN$16)*$BN$19</f>
        <v>#N/A</v>
      </c>
      <c r="BF1073" s="192" t="e">
        <f ca="1">(OFFSET(Pinlist!$F$1,BC1073,0)-$BO$16)*$BO$19</f>
        <v>#N/A</v>
      </c>
      <c r="BG1073" s="1098" t="str">
        <f ca="1">IF(LEFT(BD1073,2)="RF",OFFSET(Pinlist!$D$1,Chart!BC1073,0)&amp;"_"&amp;OFFSET(Pinlist!$G$1,Chart!BC1073,0),"")</f>
        <v/>
      </c>
      <c r="BH1073" s="1098"/>
      <c r="BI1073" s="178"/>
      <c r="BJ1073" s="178"/>
      <c r="BK1073" s="178"/>
      <c r="BL1073" s="178"/>
      <c r="BM1073" s="178"/>
      <c r="BN1073" s="178"/>
      <c r="BO1073" s="178"/>
      <c r="BP1073" s="178"/>
      <c r="BQ1073" s="196"/>
      <c r="BR1073" s="196"/>
      <c r="BS1073" s="196"/>
      <c r="BT1073" s="196"/>
      <c r="BU1073" s="196"/>
      <c r="BV1073" s="196"/>
      <c r="BW1073" s="178"/>
      <c r="BX1073" s="196"/>
      <c r="BY1073" s="196"/>
      <c r="BZ1073" s="196"/>
      <c r="CA1073" s="196"/>
      <c r="CB1073" s="178"/>
      <c r="CC1073" s="178"/>
      <c r="CD1073" s="202"/>
      <c r="CE1073" s="202"/>
      <c r="CF1073" s="178"/>
      <c r="CG1073" s="196"/>
      <c r="CH1073" s="178"/>
      <c r="CI1073" s="178"/>
      <c r="CJ1073" s="178"/>
      <c r="CK1073" s="178"/>
      <c r="CL1073" s="178"/>
      <c r="CM1073" s="178"/>
      <c r="CN1073" s="178"/>
      <c r="CO1073" s="178"/>
      <c r="CP1073" s="178"/>
      <c r="CQ1073" s="178"/>
      <c r="CR1073" s="178"/>
      <c r="CS1073" s="178"/>
      <c r="CT1073" s="178"/>
      <c r="CU1073" s="178"/>
      <c r="CV1073" s="178"/>
      <c r="CW1073" s="178"/>
      <c r="CX1073" s="178"/>
      <c r="CY1073" s="178"/>
      <c r="CZ1073" s="178"/>
      <c r="DA1073" s="150"/>
    </row>
    <row r="1074" spans="53:105" x14ac:dyDescent="0.2">
      <c r="BA1074" s="518">
        <f t="shared" ca="1" si="61"/>
        <v>61</v>
      </c>
      <c r="BB1074" s="174">
        <f t="shared" ca="1" si="62"/>
        <v>1011</v>
      </c>
      <c r="BC1074" s="525" t="e">
        <f ca="1">MATCH(BD1074,OFFSET(Pinlist!$A$2,BC1073*(BA1074=BA1073),0,$BM$23,1),0)+BC1073*(BA1074=BA1073)</f>
        <v>#N/A</v>
      </c>
      <c r="BD1074" s="167">
        <f t="shared" ca="1" si="63"/>
        <v>0</v>
      </c>
      <c r="BE1074" s="191" t="e">
        <f ca="1">(OFFSET(Pinlist!$E$1,BC1074,0)-$BN$16)*$BN$19</f>
        <v>#N/A</v>
      </c>
      <c r="BF1074" s="192" t="e">
        <f ca="1">(OFFSET(Pinlist!$F$1,BC1074,0)-$BO$16)*$BO$19</f>
        <v>#N/A</v>
      </c>
      <c r="BG1074" s="1098" t="str">
        <f ca="1">IF(LEFT(BD1074,2)="RF",OFFSET(Pinlist!$D$1,Chart!BC1074,0)&amp;"_"&amp;OFFSET(Pinlist!$G$1,Chart!BC1074,0),"")</f>
        <v/>
      </c>
      <c r="BH1074" s="1098"/>
      <c r="BI1074" s="178"/>
      <c r="BJ1074" s="178"/>
      <c r="BK1074" s="178"/>
      <c r="BL1074" s="178"/>
      <c r="BM1074" s="178"/>
      <c r="BN1074" s="178"/>
      <c r="BO1074" s="178"/>
      <c r="BP1074" s="178"/>
      <c r="BQ1074" s="196"/>
      <c r="BR1074" s="196"/>
      <c r="BS1074" s="196"/>
      <c r="BT1074" s="196"/>
      <c r="BU1074" s="196"/>
      <c r="BV1074" s="196"/>
      <c r="BW1074" s="178"/>
      <c r="BX1074" s="196"/>
      <c r="BY1074" s="196"/>
      <c r="BZ1074" s="196"/>
      <c r="CA1074" s="196"/>
      <c r="CB1074" s="178"/>
      <c r="CC1074" s="178"/>
      <c r="CD1074" s="202"/>
      <c r="CE1074" s="202"/>
      <c r="CF1074" s="178"/>
      <c r="CG1074" s="196"/>
      <c r="CH1074" s="178"/>
      <c r="CI1074" s="178"/>
      <c r="CJ1074" s="178"/>
      <c r="CK1074" s="178"/>
      <c r="CL1074" s="178"/>
      <c r="CM1074" s="178"/>
      <c r="CN1074" s="178"/>
      <c r="CO1074" s="178"/>
      <c r="CP1074" s="178"/>
      <c r="CQ1074" s="178"/>
      <c r="CR1074" s="178"/>
      <c r="CS1074" s="178"/>
      <c r="CT1074" s="178"/>
      <c r="CU1074" s="178"/>
      <c r="CV1074" s="178"/>
      <c r="CW1074" s="178"/>
      <c r="CX1074" s="178"/>
      <c r="CY1074" s="178"/>
      <c r="CZ1074" s="178"/>
      <c r="DA1074" s="150"/>
    </row>
    <row r="1075" spans="53:105" x14ac:dyDescent="0.2">
      <c r="BA1075" s="518">
        <f t="shared" ca="1" si="61"/>
        <v>61</v>
      </c>
      <c r="BB1075" s="174">
        <f t="shared" ca="1" si="62"/>
        <v>1012</v>
      </c>
      <c r="BC1075" s="525" t="e">
        <f ca="1">MATCH(BD1075,OFFSET(Pinlist!$A$2,BC1074*(BA1075=BA1074),0,$BM$23,1),0)+BC1074*(BA1075=BA1074)</f>
        <v>#N/A</v>
      </c>
      <c r="BD1075" s="167">
        <f t="shared" ca="1" si="63"/>
        <v>0</v>
      </c>
      <c r="BE1075" s="191" t="e">
        <f ca="1">(OFFSET(Pinlist!$E$1,BC1075,0)-$BN$16)*$BN$19</f>
        <v>#N/A</v>
      </c>
      <c r="BF1075" s="192" t="e">
        <f ca="1">(OFFSET(Pinlist!$F$1,BC1075,0)-$BO$16)*$BO$19</f>
        <v>#N/A</v>
      </c>
      <c r="BG1075" s="1098" t="str">
        <f ca="1">IF(LEFT(BD1075,2)="RF",OFFSET(Pinlist!$D$1,Chart!BC1075,0)&amp;"_"&amp;OFFSET(Pinlist!$G$1,Chart!BC1075,0),"")</f>
        <v/>
      </c>
      <c r="BH1075" s="1098"/>
      <c r="BI1075" s="178"/>
      <c r="BJ1075" s="178"/>
      <c r="BK1075" s="178"/>
      <c r="BL1075" s="178"/>
      <c r="BM1075" s="178"/>
      <c r="BN1075" s="178"/>
      <c r="BO1075" s="178"/>
      <c r="BP1075" s="178"/>
      <c r="BQ1075" s="196"/>
      <c r="BR1075" s="196"/>
      <c r="BS1075" s="196"/>
      <c r="BT1075" s="196"/>
      <c r="BU1075" s="196"/>
      <c r="BV1075" s="196"/>
      <c r="BW1075" s="178"/>
      <c r="BX1075" s="196"/>
      <c r="BY1075" s="196"/>
      <c r="BZ1075" s="196"/>
      <c r="CA1075" s="196"/>
      <c r="CB1075" s="178"/>
      <c r="CC1075" s="178"/>
      <c r="CD1075" s="202"/>
      <c r="CE1075" s="202"/>
      <c r="CF1075" s="178"/>
      <c r="CG1075" s="196"/>
      <c r="CH1075" s="178"/>
      <c r="CI1075" s="178"/>
      <c r="CJ1075" s="178"/>
      <c r="CK1075" s="178"/>
      <c r="CL1075" s="178"/>
      <c r="CM1075" s="178"/>
      <c r="CN1075" s="178"/>
      <c r="CO1075" s="178"/>
      <c r="CP1075" s="178"/>
      <c r="CQ1075" s="178"/>
      <c r="CR1075" s="178"/>
      <c r="CS1075" s="178"/>
      <c r="CT1075" s="178"/>
      <c r="CU1075" s="178"/>
      <c r="CV1075" s="178"/>
      <c r="CW1075" s="178"/>
      <c r="CX1075" s="178"/>
      <c r="CY1075" s="178"/>
      <c r="CZ1075" s="178"/>
      <c r="DA1075" s="150"/>
    </row>
    <row r="1076" spans="53:105" x14ac:dyDescent="0.2">
      <c r="BA1076" s="518">
        <f t="shared" ca="1" si="61"/>
        <v>61</v>
      </c>
      <c r="BB1076" s="174">
        <f t="shared" ca="1" si="62"/>
        <v>1013</v>
      </c>
      <c r="BC1076" s="525" t="e">
        <f ca="1">MATCH(BD1076,OFFSET(Pinlist!$A$2,BC1075*(BA1076=BA1075),0,$BM$23,1),0)+BC1075*(BA1076=BA1075)</f>
        <v>#N/A</v>
      </c>
      <c r="BD1076" s="167">
        <f t="shared" ca="1" si="63"/>
        <v>0</v>
      </c>
      <c r="BE1076" s="191" t="e">
        <f ca="1">(OFFSET(Pinlist!$E$1,BC1076,0)-$BN$16)*$BN$19</f>
        <v>#N/A</v>
      </c>
      <c r="BF1076" s="192" t="e">
        <f ca="1">(OFFSET(Pinlist!$F$1,BC1076,0)-$BO$16)*$BO$19</f>
        <v>#N/A</v>
      </c>
      <c r="BG1076" s="1098" t="str">
        <f ca="1">IF(LEFT(BD1076,2)="RF",OFFSET(Pinlist!$D$1,Chart!BC1076,0)&amp;"_"&amp;OFFSET(Pinlist!$G$1,Chart!BC1076,0),"")</f>
        <v/>
      </c>
      <c r="BH1076" s="1098"/>
      <c r="BI1076" s="178"/>
      <c r="BJ1076" s="178"/>
      <c r="BK1076" s="178"/>
      <c r="BL1076" s="178"/>
      <c r="BM1076" s="178"/>
      <c r="BN1076" s="178"/>
      <c r="BO1076" s="178"/>
      <c r="BP1076" s="178"/>
      <c r="BQ1076" s="196"/>
      <c r="BR1076" s="196"/>
      <c r="BS1076" s="196"/>
      <c r="BT1076" s="196"/>
      <c r="BU1076" s="196"/>
      <c r="BV1076" s="196"/>
      <c r="BW1076" s="178"/>
      <c r="BX1076" s="196"/>
      <c r="BY1076" s="196"/>
      <c r="BZ1076" s="196"/>
      <c r="CA1076" s="196"/>
      <c r="CB1076" s="178"/>
      <c r="CC1076" s="178"/>
      <c r="CD1076" s="202"/>
      <c r="CE1076" s="202"/>
      <c r="CF1076" s="178"/>
      <c r="CG1076" s="196"/>
      <c r="CH1076" s="178"/>
      <c r="CI1076" s="178"/>
      <c r="CJ1076" s="178"/>
      <c r="CK1076" s="178"/>
      <c r="CL1076" s="178"/>
      <c r="CM1076" s="178"/>
      <c r="CN1076" s="178"/>
      <c r="CO1076" s="178"/>
      <c r="CP1076" s="178"/>
      <c r="CQ1076" s="178"/>
      <c r="CR1076" s="178"/>
      <c r="CS1076" s="178"/>
      <c r="CT1076" s="178"/>
      <c r="CU1076" s="178"/>
      <c r="CV1076" s="178"/>
      <c r="CW1076" s="178"/>
      <c r="CX1076" s="178"/>
      <c r="CY1076" s="178"/>
      <c r="CZ1076" s="178"/>
      <c r="DA1076" s="150"/>
    </row>
    <row r="1077" spans="53:105" x14ac:dyDescent="0.2">
      <c r="BA1077" s="518">
        <f t="shared" ca="1" si="61"/>
        <v>61</v>
      </c>
      <c r="BB1077" s="174">
        <f t="shared" ca="1" si="62"/>
        <v>1014</v>
      </c>
      <c r="BC1077" s="525" t="e">
        <f ca="1">MATCH(BD1077,OFFSET(Pinlist!$A$2,BC1076*(BA1077=BA1076),0,$BM$23,1),0)+BC1076*(BA1077=BA1076)</f>
        <v>#N/A</v>
      </c>
      <c r="BD1077" s="167">
        <f t="shared" ca="1" si="63"/>
        <v>0</v>
      </c>
      <c r="BE1077" s="191" t="e">
        <f ca="1">(OFFSET(Pinlist!$E$1,BC1077,0)-$BN$16)*$BN$19</f>
        <v>#N/A</v>
      </c>
      <c r="BF1077" s="192" t="e">
        <f ca="1">(OFFSET(Pinlist!$F$1,BC1077,0)-$BO$16)*$BO$19</f>
        <v>#N/A</v>
      </c>
      <c r="BG1077" s="1098" t="str">
        <f ca="1">IF(LEFT(BD1077,2)="RF",OFFSET(Pinlist!$D$1,Chart!BC1077,0)&amp;"_"&amp;OFFSET(Pinlist!$G$1,Chart!BC1077,0),"")</f>
        <v/>
      </c>
      <c r="BH1077" s="1098"/>
      <c r="BI1077" s="178"/>
      <c r="BJ1077" s="178"/>
      <c r="BK1077" s="178"/>
      <c r="BL1077" s="178"/>
      <c r="BM1077" s="178"/>
      <c r="BN1077" s="178"/>
      <c r="BO1077" s="178"/>
      <c r="BP1077" s="178"/>
      <c r="BQ1077" s="196"/>
      <c r="BR1077" s="196"/>
      <c r="BS1077" s="196"/>
      <c r="BT1077" s="196"/>
      <c r="BU1077" s="196"/>
      <c r="BV1077" s="196"/>
      <c r="BW1077" s="178"/>
      <c r="BX1077" s="196"/>
      <c r="BY1077" s="196"/>
      <c r="BZ1077" s="196"/>
      <c r="CA1077" s="196"/>
      <c r="CB1077" s="178"/>
      <c r="CC1077" s="178"/>
      <c r="CD1077" s="202"/>
      <c r="CE1077" s="202"/>
      <c r="CF1077" s="178"/>
      <c r="CG1077" s="196"/>
      <c r="CH1077" s="178"/>
      <c r="CI1077" s="178"/>
      <c r="CJ1077" s="178"/>
      <c r="CK1077" s="178"/>
      <c r="CL1077" s="178"/>
      <c r="CM1077" s="178"/>
      <c r="CN1077" s="178"/>
      <c r="CO1077" s="178"/>
      <c r="CP1077" s="178"/>
      <c r="CQ1077" s="178"/>
      <c r="CR1077" s="178"/>
      <c r="CS1077" s="178"/>
      <c r="CT1077" s="178"/>
      <c r="CU1077" s="178"/>
      <c r="CV1077" s="178"/>
      <c r="CW1077" s="178"/>
      <c r="CX1077" s="178"/>
      <c r="CY1077" s="178"/>
      <c r="CZ1077" s="178"/>
      <c r="DA1077" s="150"/>
    </row>
    <row r="1078" spans="53:105" x14ac:dyDescent="0.2">
      <c r="BA1078" s="518">
        <f t="shared" ca="1" si="61"/>
        <v>61</v>
      </c>
      <c r="BB1078" s="174">
        <f t="shared" ca="1" si="62"/>
        <v>1015</v>
      </c>
      <c r="BC1078" s="525" t="e">
        <f ca="1">MATCH(BD1078,OFFSET(Pinlist!$A$2,BC1077*(BA1078=BA1077),0,$BM$23,1),0)+BC1077*(BA1078=BA1077)</f>
        <v>#N/A</v>
      </c>
      <c r="BD1078" s="167">
        <f t="shared" ca="1" si="63"/>
        <v>0</v>
      </c>
      <c r="BE1078" s="191" t="e">
        <f ca="1">(OFFSET(Pinlist!$E$1,BC1078,0)-$BN$16)*$BN$19</f>
        <v>#N/A</v>
      </c>
      <c r="BF1078" s="192" t="e">
        <f ca="1">(OFFSET(Pinlist!$F$1,BC1078,0)-$BO$16)*$BO$19</f>
        <v>#N/A</v>
      </c>
      <c r="BG1078" s="1098" t="str">
        <f ca="1">IF(LEFT(BD1078,2)="RF",OFFSET(Pinlist!$D$1,Chart!BC1078,0)&amp;"_"&amp;OFFSET(Pinlist!$G$1,Chart!BC1078,0),"")</f>
        <v/>
      </c>
      <c r="BH1078" s="1098"/>
      <c r="BI1078" s="178"/>
      <c r="BJ1078" s="178"/>
      <c r="BK1078" s="178"/>
      <c r="BL1078" s="178"/>
      <c r="BM1078" s="178"/>
      <c r="BN1078" s="178"/>
      <c r="BO1078" s="178"/>
      <c r="BP1078" s="178"/>
      <c r="BQ1078" s="196"/>
      <c r="BR1078" s="196"/>
      <c r="BS1078" s="196"/>
      <c r="BT1078" s="196"/>
      <c r="BU1078" s="196"/>
      <c r="BV1078" s="196"/>
      <c r="BW1078" s="178"/>
      <c r="BX1078" s="196"/>
      <c r="BY1078" s="196"/>
      <c r="BZ1078" s="196"/>
      <c r="CA1078" s="196"/>
      <c r="CB1078" s="178"/>
      <c r="CC1078" s="178"/>
      <c r="CD1078" s="202"/>
      <c r="CE1078" s="202"/>
      <c r="CF1078" s="178"/>
      <c r="CG1078" s="196"/>
      <c r="CH1078" s="178"/>
      <c r="CI1078" s="178"/>
      <c r="CJ1078" s="178"/>
      <c r="CK1078" s="178"/>
      <c r="CL1078" s="178"/>
      <c r="CM1078" s="178"/>
      <c r="CN1078" s="178"/>
      <c r="CO1078" s="178"/>
      <c r="CP1078" s="178"/>
      <c r="CQ1078" s="178"/>
      <c r="CR1078" s="178"/>
      <c r="CS1078" s="178"/>
      <c r="CT1078" s="178"/>
      <c r="CU1078" s="178"/>
      <c r="CV1078" s="178"/>
      <c r="CW1078" s="178"/>
      <c r="CX1078" s="178"/>
      <c r="CY1078" s="178"/>
      <c r="CZ1078" s="178"/>
      <c r="DA1078" s="150"/>
    </row>
    <row r="1079" spans="53:105" x14ac:dyDescent="0.2">
      <c r="BA1079" s="518">
        <f t="shared" ca="1" si="61"/>
        <v>61</v>
      </c>
      <c r="BB1079" s="174">
        <f t="shared" ca="1" si="62"/>
        <v>1016</v>
      </c>
      <c r="BC1079" s="525" t="e">
        <f ca="1">MATCH(BD1079,OFFSET(Pinlist!$A$2,BC1078*(BA1079=BA1078),0,$BM$23,1),0)+BC1078*(BA1079=BA1078)</f>
        <v>#N/A</v>
      </c>
      <c r="BD1079" s="167">
        <f t="shared" ca="1" si="63"/>
        <v>0</v>
      </c>
      <c r="BE1079" s="191" t="e">
        <f ca="1">(OFFSET(Pinlist!$E$1,BC1079,0)-$BN$16)*$BN$19</f>
        <v>#N/A</v>
      </c>
      <c r="BF1079" s="192" t="e">
        <f ca="1">(OFFSET(Pinlist!$F$1,BC1079,0)-$BO$16)*$BO$19</f>
        <v>#N/A</v>
      </c>
      <c r="BG1079" s="1098" t="str">
        <f ca="1">IF(LEFT(BD1079,2)="RF",OFFSET(Pinlist!$D$1,Chart!BC1079,0)&amp;"_"&amp;OFFSET(Pinlist!$G$1,Chart!BC1079,0),"")</f>
        <v/>
      </c>
      <c r="BH1079" s="1098"/>
      <c r="BI1079" s="178"/>
      <c r="BJ1079" s="178"/>
      <c r="BK1079" s="178"/>
      <c r="BL1079" s="178"/>
      <c r="BM1079" s="178"/>
      <c r="BN1079" s="178"/>
      <c r="BO1079" s="178"/>
      <c r="BP1079" s="178"/>
      <c r="BQ1079" s="196"/>
      <c r="BR1079" s="196"/>
      <c r="BS1079" s="196"/>
      <c r="BT1079" s="196"/>
      <c r="BU1079" s="196"/>
      <c r="BV1079" s="196"/>
      <c r="BW1079" s="178"/>
      <c r="BX1079" s="196"/>
      <c r="BY1079" s="196"/>
      <c r="BZ1079" s="196"/>
      <c r="CA1079" s="196"/>
      <c r="CB1079" s="178"/>
      <c r="CC1079" s="178"/>
      <c r="CD1079" s="202"/>
      <c r="CE1079" s="202"/>
      <c r="CF1079" s="178"/>
      <c r="CG1079" s="196"/>
      <c r="CH1079" s="178"/>
      <c r="CI1079" s="178"/>
      <c r="CJ1079" s="178"/>
      <c r="CK1079" s="178"/>
      <c r="CL1079" s="178"/>
      <c r="CM1079" s="178"/>
      <c r="CN1079" s="178"/>
      <c r="CO1079" s="178"/>
      <c r="CP1079" s="178"/>
      <c r="CQ1079" s="178"/>
      <c r="CR1079" s="178"/>
      <c r="CS1079" s="178"/>
      <c r="CT1079" s="178"/>
      <c r="CU1079" s="178"/>
      <c r="CV1079" s="178"/>
      <c r="CW1079" s="178"/>
      <c r="CX1079" s="178"/>
      <c r="CY1079" s="178"/>
      <c r="CZ1079" s="178"/>
      <c r="DA1079" s="150"/>
    </row>
    <row r="1080" spans="53:105" x14ac:dyDescent="0.2">
      <c r="BA1080" s="518">
        <f t="shared" ca="1" si="61"/>
        <v>61</v>
      </c>
      <c r="BB1080" s="174">
        <f t="shared" ca="1" si="62"/>
        <v>1017</v>
      </c>
      <c r="BC1080" s="525" t="e">
        <f ca="1">MATCH(BD1080,OFFSET(Pinlist!$A$2,BC1079*(BA1080=BA1079),0,$BM$23,1),0)+BC1079*(BA1080=BA1079)</f>
        <v>#N/A</v>
      </c>
      <c r="BD1080" s="167">
        <f t="shared" ca="1" si="63"/>
        <v>0</v>
      </c>
      <c r="BE1080" s="191" t="e">
        <f ca="1">(OFFSET(Pinlist!$E$1,BC1080,0)-$BN$16)*$BN$19</f>
        <v>#N/A</v>
      </c>
      <c r="BF1080" s="192" t="e">
        <f ca="1">(OFFSET(Pinlist!$F$1,BC1080,0)-$BO$16)*$BO$19</f>
        <v>#N/A</v>
      </c>
      <c r="BG1080" s="1098" t="str">
        <f ca="1">IF(LEFT(BD1080,2)="RF",OFFSET(Pinlist!$D$1,Chart!BC1080,0)&amp;"_"&amp;OFFSET(Pinlist!$G$1,Chart!BC1080,0),"")</f>
        <v/>
      </c>
      <c r="BH1080" s="1098"/>
      <c r="BI1080" s="178"/>
      <c r="BJ1080" s="178"/>
      <c r="BK1080" s="178"/>
      <c r="BL1080" s="178"/>
      <c r="BM1080" s="178"/>
      <c r="BN1080" s="178"/>
      <c r="BO1080" s="178"/>
      <c r="BP1080" s="178"/>
      <c r="BQ1080" s="196"/>
      <c r="BR1080" s="196"/>
      <c r="BS1080" s="196"/>
      <c r="BT1080" s="196"/>
      <c r="BU1080" s="196"/>
      <c r="BV1080" s="196"/>
      <c r="BW1080" s="178"/>
      <c r="BX1080" s="196"/>
      <c r="BY1080" s="196"/>
      <c r="BZ1080" s="196"/>
      <c r="CA1080" s="196"/>
      <c r="CB1080" s="178"/>
      <c r="CC1080" s="178"/>
      <c r="CD1080" s="202"/>
      <c r="CE1080" s="202"/>
      <c r="CF1080" s="178"/>
      <c r="CG1080" s="196"/>
      <c r="CH1080" s="178"/>
      <c r="CI1080" s="178"/>
      <c r="CJ1080" s="178"/>
      <c r="CK1080" s="178"/>
      <c r="CL1080" s="178"/>
      <c r="CM1080" s="178"/>
      <c r="CN1080" s="178"/>
      <c r="CO1080" s="178"/>
      <c r="CP1080" s="178"/>
      <c r="CQ1080" s="178"/>
      <c r="CR1080" s="178"/>
      <c r="CS1080" s="178"/>
      <c r="CT1080" s="178"/>
      <c r="CU1080" s="178"/>
      <c r="CV1080" s="178"/>
      <c r="CW1080" s="178"/>
      <c r="CX1080" s="178"/>
      <c r="CY1080" s="178"/>
      <c r="CZ1080" s="178"/>
      <c r="DA1080" s="150"/>
    </row>
    <row r="1081" spans="53:105" x14ac:dyDescent="0.2">
      <c r="BA1081" s="518">
        <f t="shared" ca="1" si="61"/>
        <v>61</v>
      </c>
      <c r="BB1081" s="174">
        <f t="shared" ca="1" si="62"/>
        <v>1018</v>
      </c>
      <c r="BC1081" s="525" t="e">
        <f ca="1">MATCH(BD1081,OFFSET(Pinlist!$A$2,BC1080*(BA1081=BA1080),0,$BM$23,1),0)+BC1080*(BA1081=BA1080)</f>
        <v>#N/A</v>
      </c>
      <c r="BD1081" s="167">
        <f t="shared" ca="1" si="63"/>
        <v>0</v>
      </c>
      <c r="BE1081" s="191" t="e">
        <f ca="1">(OFFSET(Pinlist!$E$1,BC1081,0)-$BN$16)*$BN$19</f>
        <v>#N/A</v>
      </c>
      <c r="BF1081" s="192" t="e">
        <f ca="1">(OFFSET(Pinlist!$F$1,BC1081,0)-$BO$16)*$BO$19</f>
        <v>#N/A</v>
      </c>
      <c r="BG1081" s="1098" t="str">
        <f ca="1">IF(LEFT(BD1081,2)="RF",OFFSET(Pinlist!$D$1,Chart!BC1081,0)&amp;"_"&amp;OFFSET(Pinlist!$G$1,Chart!BC1081,0),"")</f>
        <v/>
      </c>
      <c r="BH1081" s="1098"/>
      <c r="BI1081" s="178"/>
      <c r="BJ1081" s="178"/>
      <c r="BK1081" s="178"/>
      <c r="BL1081" s="178"/>
      <c r="BM1081" s="178"/>
      <c r="BN1081" s="178"/>
      <c r="BO1081" s="178"/>
      <c r="BP1081" s="178"/>
      <c r="BQ1081" s="196"/>
      <c r="BR1081" s="196"/>
      <c r="BS1081" s="196"/>
      <c r="BT1081" s="196"/>
      <c r="BU1081" s="196"/>
      <c r="BV1081" s="196"/>
      <c r="BW1081" s="178"/>
      <c r="BX1081" s="196"/>
      <c r="BY1081" s="196"/>
      <c r="BZ1081" s="196"/>
      <c r="CA1081" s="196"/>
      <c r="CB1081" s="178"/>
      <c r="CC1081" s="178"/>
      <c r="CD1081" s="202"/>
      <c r="CE1081" s="202"/>
      <c r="CF1081" s="178"/>
      <c r="CG1081" s="196"/>
      <c r="CH1081" s="178"/>
      <c r="CI1081" s="178"/>
      <c r="CJ1081" s="178"/>
      <c r="CK1081" s="178"/>
      <c r="CL1081" s="178"/>
      <c r="CM1081" s="178"/>
      <c r="CN1081" s="178"/>
      <c r="CO1081" s="178"/>
      <c r="CP1081" s="178"/>
      <c r="CQ1081" s="178"/>
      <c r="CR1081" s="178"/>
      <c r="CS1081" s="178"/>
      <c r="CT1081" s="178"/>
      <c r="CU1081" s="178"/>
      <c r="CV1081" s="178"/>
      <c r="CW1081" s="178"/>
      <c r="CX1081" s="178"/>
      <c r="CY1081" s="178"/>
      <c r="CZ1081" s="178"/>
      <c r="DA1081" s="150"/>
    </row>
    <row r="1082" spans="53:105" x14ac:dyDescent="0.2">
      <c r="BA1082" s="518">
        <f t="shared" ca="1" si="61"/>
        <v>61</v>
      </c>
      <c r="BB1082" s="174">
        <f t="shared" ca="1" si="62"/>
        <v>1019</v>
      </c>
      <c r="BC1082" s="525" t="e">
        <f ca="1">MATCH(BD1082,OFFSET(Pinlist!$A$2,BC1081*(BA1082=BA1081),0,$BM$23,1),0)+BC1081*(BA1082=BA1081)</f>
        <v>#N/A</v>
      </c>
      <c r="BD1082" s="167">
        <f t="shared" ca="1" si="63"/>
        <v>0</v>
      </c>
      <c r="BE1082" s="191" t="e">
        <f ca="1">(OFFSET(Pinlist!$E$1,BC1082,0)-$BN$16)*$BN$19</f>
        <v>#N/A</v>
      </c>
      <c r="BF1082" s="192" t="e">
        <f ca="1">(OFFSET(Pinlist!$F$1,BC1082,0)-$BO$16)*$BO$19</f>
        <v>#N/A</v>
      </c>
      <c r="BG1082" s="1098" t="str">
        <f ca="1">IF(LEFT(BD1082,2)="RF",OFFSET(Pinlist!$D$1,Chart!BC1082,0)&amp;"_"&amp;OFFSET(Pinlist!$G$1,Chart!BC1082,0),"")</f>
        <v/>
      </c>
      <c r="BH1082" s="1098"/>
      <c r="BI1082" s="178"/>
      <c r="BJ1082" s="178"/>
      <c r="BK1082" s="178"/>
      <c r="BL1082" s="178"/>
      <c r="BM1082" s="178"/>
      <c r="BN1082" s="178"/>
      <c r="BO1082" s="178"/>
      <c r="BP1082" s="178"/>
      <c r="BQ1082" s="196"/>
      <c r="BR1082" s="196"/>
      <c r="BS1082" s="196"/>
      <c r="BT1082" s="196"/>
      <c r="BU1082" s="196"/>
      <c r="BV1082" s="196"/>
      <c r="BW1082" s="178"/>
      <c r="BX1082" s="196"/>
      <c r="BY1082" s="196"/>
      <c r="BZ1082" s="196"/>
      <c r="CA1082" s="196"/>
      <c r="CB1082" s="178"/>
      <c r="CC1082" s="178"/>
      <c r="CD1082" s="202"/>
      <c r="CE1082" s="202"/>
      <c r="CF1082" s="178"/>
      <c r="CG1082" s="196"/>
      <c r="CH1082" s="178"/>
      <c r="CI1082" s="178"/>
      <c r="CJ1082" s="178"/>
      <c r="CK1082" s="178"/>
      <c r="CL1082" s="178"/>
      <c r="CM1082" s="178"/>
      <c r="CN1082" s="178"/>
      <c r="CO1082" s="178"/>
      <c r="CP1082" s="178"/>
      <c r="CQ1082" s="178"/>
      <c r="CR1082" s="178"/>
      <c r="CS1082" s="178"/>
      <c r="CT1082" s="178"/>
      <c r="CU1082" s="178"/>
      <c r="CV1082" s="178"/>
      <c r="CW1082" s="178"/>
      <c r="CX1082" s="178"/>
      <c r="CY1082" s="178"/>
      <c r="CZ1082" s="178"/>
      <c r="DA1082" s="150"/>
    </row>
    <row r="1083" spans="53:105" x14ac:dyDescent="0.2">
      <c r="BA1083" s="518">
        <f t="shared" ca="1" si="61"/>
        <v>61</v>
      </c>
      <c r="BB1083" s="174">
        <f t="shared" ca="1" si="62"/>
        <v>1020</v>
      </c>
      <c r="BC1083" s="525" t="e">
        <f ca="1">MATCH(BD1083,OFFSET(Pinlist!$A$2,BC1082*(BA1083=BA1082),0,$BM$23,1),0)+BC1082*(BA1083=BA1082)</f>
        <v>#N/A</v>
      </c>
      <c r="BD1083" s="167">
        <f t="shared" ca="1" si="63"/>
        <v>0</v>
      </c>
      <c r="BE1083" s="191" t="e">
        <f ca="1">(OFFSET(Pinlist!$E$1,BC1083,0)-$BN$16)*$BN$19</f>
        <v>#N/A</v>
      </c>
      <c r="BF1083" s="192" t="e">
        <f ca="1">(OFFSET(Pinlist!$F$1,BC1083,0)-$BO$16)*$BO$19</f>
        <v>#N/A</v>
      </c>
      <c r="BG1083" s="1098" t="str">
        <f ca="1">IF(LEFT(BD1083,2)="RF",OFFSET(Pinlist!$D$1,Chart!BC1083,0)&amp;"_"&amp;OFFSET(Pinlist!$G$1,Chart!BC1083,0),"")</f>
        <v/>
      </c>
      <c r="BH1083" s="1098"/>
      <c r="BI1083" s="178"/>
      <c r="BJ1083" s="178"/>
      <c r="BK1083" s="178"/>
      <c r="BL1083" s="178"/>
      <c r="BM1083" s="178"/>
      <c r="BN1083" s="178"/>
      <c r="BO1083" s="178"/>
      <c r="BP1083" s="178"/>
      <c r="BQ1083" s="196"/>
      <c r="BR1083" s="196"/>
      <c r="BS1083" s="196"/>
      <c r="BT1083" s="196"/>
      <c r="BU1083" s="196"/>
      <c r="BV1083" s="196"/>
      <c r="BW1083" s="178"/>
      <c r="BX1083" s="196"/>
      <c r="BY1083" s="196"/>
      <c r="BZ1083" s="196"/>
      <c r="CA1083" s="196"/>
      <c r="CB1083" s="178"/>
      <c r="CC1083" s="178"/>
      <c r="CD1083" s="202"/>
      <c r="CE1083" s="202"/>
      <c r="CF1083" s="178"/>
      <c r="CG1083" s="196"/>
      <c r="CH1083" s="178"/>
      <c r="CI1083" s="178"/>
      <c r="CJ1083" s="178"/>
      <c r="CK1083" s="178"/>
      <c r="CL1083" s="178"/>
      <c r="CM1083" s="178"/>
      <c r="CN1083" s="178"/>
      <c r="CO1083" s="178"/>
      <c r="CP1083" s="178"/>
      <c r="CQ1083" s="178"/>
      <c r="CR1083" s="178"/>
      <c r="CS1083" s="178"/>
      <c r="CT1083" s="178"/>
      <c r="CU1083" s="178"/>
      <c r="CV1083" s="178"/>
      <c r="CW1083" s="178"/>
      <c r="CX1083" s="178"/>
      <c r="CY1083" s="178"/>
      <c r="CZ1083" s="178"/>
      <c r="DA1083" s="150"/>
    </row>
    <row r="1084" spans="53:105" x14ac:dyDescent="0.2">
      <c r="BA1084" s="518">
        <f t="shared" ca="1" si="61"/>
        <v>61</v>
      </c>
      <c r="BB1084" s="174">
        <f t="shared" ca="1" si="62"/>
        <v>1021</v>
      </c>
      <c r="BC1084" s="525" t="e">
        <f ca="1">MATCH(BD1084,OFFSET(Pinlist!$A$2,BC1083*(BA1084=BA1083),0,$BM$23,1),0)+BC1083*(BA1084=BA1083)</f>
        <v>#N/A</v>
      </c>
      <c r="BD1084" s="167">
        <f t="shared" ca="1" si="63"/>
        <v>0</v>
      </c>
      <c r="BE1084" s="191" t="e">
        <f ca="1">(OFFSET(Pinlist!$E$1,BC1084,0)-$BN$16)*$BN$19</f>
        <v>#N/A</v>
      </c>
      <c r="BF1084" s="192" t="e">
        <f ca="1">(OFFSET(Pinlist!$F$1,BC1084,0)-$BO$16)*$BO$19</f>
        <v>#N/A</v>
      </c>
      <c r="BG1084" s="1098" t="str">
        <f ca="1">IF(LEFT(BD1084,2)="RF",OFFSET(Pinlist!$D$1,Chart!BC1084,0)&amp;"_"&amp;OFFSET(Pinlist!$G$1,Chart!BC1084,0),"")</f>
        <v/>
      </c>
      <c r="BH1084" s="1098"/>
      <c r="BI1084" s="178"/>
      <c r="BJ1084" s="178"/>
      <c r="BK1084" s="178"/>
      <c r="BL1084" s="178"/>
      <c r="BM1084" s="178"/>
      <c r="BN1084" s="178"/>
      <c r="BO1084" s="178"/>
      <c r="BP1084" s="178"/>
      <c r="BQ1084" s="196"/>
      <c r="BR1084" s="196"/>
      <c r="BS1084" s="196"/>
      <c r="BT1084" s="196"/>
      <c r="BU1084" s="196"/>
      <c r="BV1084" s="196"/>
      <c r="BW1084" s="178"/>
      <c r="BX1084" s="196"/>
      <c r="BY1084" s="196"/>
      <c r="BZ1084" s="196"/>
      <c r="CA1084" s="196"/>
      <c r="CB1084" s="178"/>
      <c r="CC1084" s="178"/>
      <c r="CD1084" s="202"/>
      <c r="CE1084" s="202"/>
      <c r="CF1084" s="178"/>
      <c r="CG1084" s="196"/>
      <c r="CH1084" s="178"/>
      <c r="CI1084" s="178"/>
      <c r="CJ1084" s="178"/>
      <c r="CK1084" s="178"/>
      <c r="CL1084" s="178"/>
      <c r="CM1084" s="178"/>
      <c r="CN1084" s="178"/>
      <c r="CO1084" s="178"/>
      <c r="CP1084" s="178"/>
      <c r="CQ1084" s="178"/>
      <c r="CR1084" s="178"/>
      <c r="CS1084" s="178"/>
      <c r="CT1084" s="178"/>
      <c r="CU1084" s="178"/>
      <c r="CV1084" s="178"/>
      <c r="CW1084" s="178"/>
      <c r="CX1084" s="178"/>
      <c r="CY1084" s="178"/>
      <c r="CZ1084" s="178"/>
      <c r="DA1084" s="150"/>
    </row>
    <row r="1085" spans="53:105" x14ac:dyDescent="0.2">
      <c r="BA1085" s="518">
        <f t="shared" ca="1" si="61"/>
        <v>61</v>
      </c>
      <c r="BB1085" s="174">
        <f t="shared" ca="1" si="62"/>
        <v>1022</v>
      </c>
      <c r="BC1085" s="525" t="e">
        <f ca="1">MATCH(BD1085,OFFSET(Pinlist!$A$2,BC1084*(BA1085=BA1084),0,$BM$23,1),0)+BC1084*(BA1085=BA1084)</f>
        <v>#N/A</v>
      </c>
      <c r="BD1085" s="167">
        <f t="shared" ca="1" si="63"/>
        <v>0</v>
      </c>
      <c r="BE1085" s="191" t="e">
        <f ca="1">(OFFSET(Pinlist!$E$1,BC1085,0)-$BN$16)*$BN$19</f>
        <v>#N/A</v>
      </c>
      <c r="BF1085" s="192" t="e">
        <f ca="1">(OFFSET(Pinlist!$F$1,BC1085,0)-$BO$16)*$BO$19</f>
        <v>#N/A</v>
      </c>
      <c r="BG1085" s="1098" t="str">
        <f ca="1">IF(LEFT(BD1085,2)="RF",OFFSET(Pinlist!$D$1,Chart!BC1085,0)&amp;"_"&amp;OFFSET(Pinlist!$G$1,Chart!BC1085,0),"")</f>
        <v/>
      </c>
      <c r="BH1085" s="1098"/>
      <c r="BI1085" s="178"/>
      <c r="BJ1085" s="178"/>
      <c r="BK1085" s="178"/>
      <c r="BL1085" s="178"/>
      <c r="BM1085" s="178"/>
      <c r="BN1085" s="178"/>
      <c r="BO1085" s="178"/>
      <c r="BP1085" s="178"/>
      <c r="BQ1085" s="196"/>
      <c r="BR1085" s="196"/>
      <c r="BS1085" s="196"/>
      <c r="BT1085" s="196"/>
      <c r="BU1085" s="196"/>
      <c r="BV1085" s="196"/>
      <c r="BW1085" s="178"/>
      <c r="BX1085" s="196"/>
      <c r="BY1085" s="196"/>
      <c r="BZ1085" s="196"/>
      <c r="CA1085" s="196"/>
      <c r="CB1085" s="178"/>
      <c r="CC1085" s="178"/>
      <c r="CD1085" s="202"/>
      <c r="CE1085" s="202"/>
      <c r="CF1085" s="178"/>
      <c r="CG1085" s="196"/>
      <c r="CH1085" s="178"/>
      <c r="CI1085" s="178"/>
      <c r="CJ1085" s="178"/>
      <c r="CK1085" s="178"/>
      <c r="CL1085" s="178"/>
      <c r="CM1085" s="178"/>
      <c r="CN1085" s="178"/>
      <c r="CO1085" s="178"/>
      <c r="CP1085" s="178"/>
      <c r="CQ1085" s="178"/>
      <c r="CR1085" s="178"/>
      <c r="CS1085" s="178"/>
      <c r="CT1085" s="178"/>
      <c r="CU1085" s="178"/>
      <c r="CV1085" s="178"/>
      <c r="CW1085" s="178"/>
      <c r="CX1085" s="178"/>
      <c r="CY1085" s="178"/>
      <c r="CZ1085" s="178"/>
      <c r="DA1085" s="150"/>
    </row>
    <row r="1086" spans="53:105" x14ac:dyDescent="0.2">
      <c r="BA1086" s="518">
        <f t="shared" ca="1" si="61"/>
        <v>61</v>
      </c>
      <c r="BB1086" s="174">
        <f t="shared" ca="1" si="62"/>
        <v>1023</v>
      </c>
      <c r="BC1086" s="525" t="e">
        <f ca="1">MATCH(BD1086,OFFSET(Pinlist!$A$2,BC1085*(BA1086=BA1085),0,$BM$23,1),0)+BC1085*(BA1086=BA1085)</f>
        <v>#N/A</v>
      </c>
      <c r="BD1086" s="167">
        <f t="shared" ca="1" si="63"/>
        <v>0</v>
      </c>
      <c r="BE1086" s="191" t="e">
        <f ca="1">(OFFSET(Pinlist!$E$1,BC1086,0)-$BN$16)*$BN$19</f>
        <v>#N/A</v>
      </c>
      <c r="BF1086" s="192" t="e">
        <f ca="1">(OFFSET(Pinlist!$F$1,BC1086,0)-$BO$16)*$BO$19</f>
        <v>#N/A</v>
      </c>
      <c r="BG1086" s="1098" t="str">
        <f ca="1">IF(LEFT(BD1086,2)="RF",OFFSET(Pinlist!$D$1,Chart!BC1086,0)&amp;"_"&amp;OFFSET(Pinlist!$G$1,Chart!BC1086,0),"")</f>
        <v/>
      </c>
      <c r="BH1086" s="1098"/>
      <c r="BI1086" s="178"/>
      <c r="BJ1086" s="178"/>
      <c r="BK1086" s="178"/>
      <c r="BL1086" s="178"/>
      <c r="BM1086" s="178"/>
      <c r="BN1086" s="178"/>
      <c r="BO1086" s="178"/>
      <c r="BP1086" s="178"/>
      <c r="BQ1086" s="196"/>
      <c r="BR1086" s="196"/>
      <c r="BS1086" s="196"/>
      <c r="BT1086" s="196"/>
      <c r="BU1086" s="196"/>
      <c r="BV1086" s="196"/>
      <c r="BW1086" s="178"/>
      <c r="BX1086" s="196"/>
      <c r="BY1086" s="196"/>
      <c r="BZ1086" s="196"/>
      <c r="CA1086" s="196"/>
      <c r="CB1086" s="178"/>
      <c r="CC1086" s="178"/>
      <c r="CD1086" s="202"/>
      <c r="CE1086" s="202"/>
      <c r="CF1086" s="178"/>
      <c r="CG1086" s="196"/>
      <c r="CH1086" s="178"/>
      <c r="CI1086" s="178"/>
      <c r="CJ1086" s="178"/>
      <c r="CK1086" s="178"/>
      <c r="CL1086" s="178"/>
      <c r="CM1086" s="178"/>
      <c r="CN1086" s="178"/>
      <c r="CO1086" s="178"/>
      <c r="CP1086" s="178"/>
      <c r="CQ1086" s="178"/>
      <c r="CR1086" s="178"/>
      <c r="CS1086" s="178"/>
      <c r="CT1086" s="178"/>
      <c r="CU1086" s="178"/>
      <c r="CV1086" s="178"/>
      <c r="CW1086" s="178"/>
      <c r="CX1086" s="178"/>
      <c r="CY1086" s="178"/>
      <c r="CZ1086" s="178"/>
      <c r="DA1086" s="150"/>
    </row>
    <row r="1087" spans="53:105" x14ac:dyDescent="0.2">
      <c r="BA1087" s="518">
        <f t="shared" ca="1" si="61"/>
        <v>61</v>
      </c>
      <c r="BB1087" s="174">
        <f t="shared" ca="1" si="62"/>
        <v>1024</v>
      </c>
      <c r="BC1087" s="525" t="e">
        <f ca="1">MATCH(BD1087,OFFSET(Pinlist!$A$2,BC1086*(BA1087=BA1086),0,$BM$23,1),0)+BC1086*(BA1087=BA1086)</f>
        <v>#N/A</v>
      </c>
      <c r="BD1087" s="167">
        <f t="shared" ca="1" si="63"/>
        <v>0</v>
      </c>
      <c r="BE1087" s="191" t="e">
        <f ca="1">(OFFSET(Pinlist!$E$1,BC1087,0)-$BN$16)*$BN$19</f>
        <v>#N/A</v>
      </c>
      <c r="BF1087" s="192" t="e">
        <f ca="1">(OFFSET(Pinlist!$F$1,BC1087,0)-$BO$16)*$BO$19</f>
        <v>#N/A</v>
      </c>
      <c r="BG1087" s="1098" t="str">
        <f ca="1">IF(LEFT(BD1087,2)="RF",OFFSET(Pinlist!$D$1,Chart!BC1087,0)&amp;"_"&amp;OFFSET(Pinlist!$G$1,Chart!BC1087,0),"")</f>
        <v/>
      </c>
      <c r="BH1087" s="1098"/>
      <c r="BI1087" s="178"/>
      <c r="BJ1087" s="178"/>
      <c r="BK1087" s="178"/>
      <c r="BL1087" s="178"/>
      <c r="BM1087" s="178"/>
      <c r="BN1087" s="178"/>
      <c r="BO1087" s="178"/>
      <c r="BP1087" s="178"/>
      <c r="BQ1087" s="196"/>
      <c r="BR1087" s="196"/>
      <c r="BS1087" s="196"/>
      <c r="BT1087" s="196"/>
      <c r="BU1087" s="196"/>
      <c r="BV1087" s="196"/>
      <c r="BW1087" s="178"/>
      <c r="BX1087" s="196"/>
      <c r="BY1087" s="196"/>
      <c r="BZ1087" s="196"/>
      <c r="CA1087" s="196"/>
      <c r="CB1087" s="178"/>
      <c r="CC1087" s="178"/>
      <c r="CD1087" s="202"/>
      <c r="CE1087" s="202"/>
      <c r="CF1087" s="178"/>
      <c r="CG1087" s="196"/>
      <c r="CH1087" s="178"/>
      <c r="CI1087" s="178"/>
      <c r="CJ1087" s="178"/>
      <c r="CK1087" s="178"/>
      <c r="CL1087" s="178"/>
      <c r="CM1087" s="178"/>
      <c r="CN1087" s="178"/>
      <c r="CO1087" s="178"/>
      <c r="CP1087" s="178"/>
      <c r="CQ1087" s="178"/>
      <c r="CR1087" s="178"/>
      <c r="CS1087" s="178"/>
      <c r="CT1087" s="178"/>
      <c r="CU1087" s="178"/>
      <c r="CV1087" s="178"/>
      <c r="CW1087" s="178"/>
      <c r="CX1087" s="178"/>
      <c r="CY1087" s="178"/>
      <c r="CZ1087" s="178"/>
      <c r="DA1087" s="150"/>
    </row>
    <row r="1088" spans="53:105" x14ac:dyDescent="0.2">
      <c r="BA1088" s="518">
        <f t="shared" ca="1" si="61"/>
        <v>61</v>
      </c>
      <c r="BB1088" s="174">
        <f t="shared" ca="1" si="62"/>
        <v>1025</v>
      </c>
      <c r="BC1088" s="525" t="e">
        <f ca="1">MATCH(BD1088,OFFSET(Pinlist!$A$2,BC1087*(BA1088=BA1087),0,$BM$23,1),0)+BC1087*(BA1088=BA1087)</f>
        <v>#N/A</v>
      </c>
      <c r="BD1088" s="167">
        <f t="shared" ca="1" si="63"/>
        <v>0</v>
      </c>
      <c r="BE1088" s="191" t="e">
        <f ca="1">(OFFSET(Pinlist!$E$1,BC1088,0)-$BN$16)*$BN$19</f>
        <v>#N/A</v>
      </c>
      <c r="BF1088" s="192" t="e">
        <f ca="1">(OFFSET(Pinlist!$F$1,BC1088,0)-$BO$16)*$BO$19</f>
        <v>#N/A</v>
      </c>
      <c r="BG1088" s="1098" t="str">
        <f ca="1">IF(LEFT(BD1088,2)="RF",OFFSET(Pinlist!$D$1,Chart!BC1088,0)&amp;"_"&amp;OFFSET(Pinlist!$G$1,Chart!BC1088,0),"")</f>
        <v/>
      </c>
      <c r="BH1088" s="1098"/>
      <c r="BI1088" s="178"/>
      <c r="BJ1088" s="178"/>
      <c r="BK1088" s="178"/>
      <c r="BL1088" s="178"/>
      <c r="BM1088" s="178"/>
      <c r="BN1088" s="178"/>
      <c r="BO1088" s="178"/>
      <c r="BP1088" s="178"/>
      <c r="BQ1088" s="196"/>
      <c r="BR1088" s="196"/>
      <c r="BS1088" s="196"/>
      <c r="BT1088" s="196"/>
      <c r="BU1088" s="196"/>
      <c r="BV1088" s="196"/>
      <c r="BW1088" s="178"/>
      <c r="BX1088" s="196"/>
      <c r="BY1088" s="196"/>
      <c r="BZ1088" s="196"/>
      <c r="CA1088" s="196"/>
      <c r="CB1088" s="178"/>
      <c r="CC1088" s="178"/>
      <c r="CD1088" s="202"/>
      <c r="CE1088" s="202"/>
      <c r="CF1088" s="178"/>
      <c r="CG1088" s="196"/>
      <c r="CH1088" s="178"/>
      <c r="CI1088" s="178"/>
      <c r="CJ1088" s="178"/>
      <c r="CK1088" s="178"/>
      <c r="CL1088" s="178"/>
      <c r="CM1088" s="178"/>
      <c r="CN1088" s="178"/>
      <c r="CO1088" s="178"/>
      <c r="CP1088" s="178"/>
      <c r="CQ1088" s="178"/>
      <c r="CR1088" s="178"/>
      <c r="CS1088" s="178"/>
      <c r="CT1088" s="178"/>
      <c r="CU1088" s="178"/>
      <c r="CV1088" s="178"/>
      <c r="CW1088" s="178"/>
      <c r="CX1088" s="178"/>
      <c r="CY1088" s="178"/>
      <c r="CZ1088" s="178"/>
      <c r="DA1088" s="150"/>
    </row>
    <row r="1089" spans="53:105" x14ac:dyDescent="0.2">
      <c r="BA1089" s="518">
        <f t="shared" ca="1" si="61"/>
        <v>61</v>
      </c>
      <c r="BB1089" s="174">
        <f t="shared" ca="1" si="62"/>
        <v>1026</v>
      </c>
      <c r="BC1089" s="525" t="e">
        <f ca="1">MATCH(BD1089,OFFSET(Pinlist!$A$2,BC1088*(BA1089=BA1088),0,$BM$23,1),0)+BC1088*(BA1089=BA1088)</f>
        <v>#N/A</v>
      </c>
      <c r="BD1089" s="167">
        <f t="shared" ca="1" si="63"/>
        <v>0</v>
      </c>
      <c r="BE1089" s="191" t="e">
        <f ca="1">(OFFSET(Pinlist!$E$1,BC1089,0)-$BN$16)*$BN$19</f>
        <v>#N/A</v>
      </c>
      <c r="BF1089" s="192" t="e">
        <f ca="1">(OFFSET(Pinlist!$F$1,BC1089,0)-$BO$16)*$BO$19</f>
        <v>#N/A</v>
      </c>
      <c r="BG1089" s="1098" t="str">
        <f ca="1">IF(LEFT(BD1089,2)="RF",OFFSET(Pinlist!$D$1,Chart!BC1089,0)&amp;"_"&amp;OFFSET(Pinlist!$G$1,Chart!BC1089,0),"")</f>
        <v/>
      </c>
      <c r="BH1089" s="1098"/>
      <c r="BI1089" s="178"/>
      <c r="BJ1089" s="178"/>
      <c r="BK1089" s="178"/>
      <c r="BL1089" s="178"/>
      <c r="BM1089" s="178"/>
      <c r="BN1089" s="178"/>
      <c r="BO1089" s="178"/>
      <c r="BP1089" s="178"/>
      <c r="BQ1089" s="196"/>
      <c r="BR1089" s="196"/>
      <c r="BS1089" s="196"/>
      <c r="BT1089" s="196"/>
      <c r="BU1089" s="196"/>
      <c r="BV1089" s="196"/>
      <c r="BW1089" s="178"/>
      <c r="BX1089" s="196"/>
      <c r="BY1089" s="196"/>
      <c r="BZ1089" s="196"/>
      <c r="CA1089" s="196"/>
      <c r="CB1089" s="178"/>
      <c r="CC1089" s="178"/>
      <c r="CD1089" s="202"/>
      <c r="CE1089" s="202"/>
      <c r="CF1089" s="178"/>
      <c r="CG1089" s="196"/>
      <c r="CH1089" s="178"/>
      <c r="CI1089" s="178"/>
      <c r="CJ1089" s="178"/>
      <c r="CK1089" s="178"/>
      <c r="CL1089" s="178"/>
      <c r="CM1089" s="178"/>
      <c r="CN1089" s="178"/>
      <c r="CO1089" s="178"/>
      <c r="CP1089" s="178"/>
      <c r="CQ1089" s="178"/>
      <c r="CR1089" s="178"/>
      <c r="CS1089" s="178"/>
      <c r="CT1089" s="178"/>
      <c r="CU1089" s="178"/>
      <c r="CV1089" s="178"/>
      <c r="CW1089" s="178"/>
      <c r="CX1089" s="178"/>
      <c r="CY1089" s="178"/>
      <c r="CZ1089" s="178"/>
      <c r="DA1089" s="150"/>
    </row>
    <row r="1090" spans="53:105" x14ac:dyDescent="0.2">
      <c r="BA1090" s="518">
        <f t="shared" ca="1" si="61"/>
        <v>61</v>
      </c>
      <c r="BB1090" s="174">
        <f t="shared" ca="1" si="62"/>
        <v>1027</v>
      </c>
      <c r="BC1090" s="525" t="e">
        <f ca="1">MATCH(BD1090,OFFSET(Pinlist!$A$2,BC1089*(BA1090=BA1089),0,$BM$23,1),0)+BC1089*(BA1090=BA1089)</f>
        <v>#N/A</v>
      </c>
      <c r="BD1090" s="167">
        <f t="shared" ca="1" si="63"/>
        <v>0</v>
      </c>
      <c r="BE1090" s="191" t="e">
        <f ca="1">(OFFSET(Pinlist!$E$1,BC1090,0)-$BN$16)*$BN$19</f>
        <v>#N/A</v>
      </c>
      <c r="BF1090" s="192" t="e">
        <f ca="1">(OFFSET(Pinlist!$F$1,BC1090,0)-$BO$16)*$BO$19</f>
        <v>#N/A</v>
      </c>
      <c r="BG1090" s="1098" t="str">
        <f ca="1">IF(LEFT(BD1090,2)="RF",OFFSET(Pinlist!$D$1,Chart!BC1090,0)&amp;"_"&amp;OFFSET(Pinlist!$G$1,Chart!BC1090,0),"")</f>
        <v/>
      </c>
      <c r="BH1090" s="1098"/>
      <c r="BI1090" s="178"/>
      <c r="BJ1090" s="178"/>
      <c r="BK1090" s="178"/>
      <c r="BL1090" s="178"/>
      <c r="BM1090" s="178"/>
      <c r="BN1090" s="178"/>
      <c r="BO1090" s="178"/>
      <c r="BP1090" s="178"/>
      <c r="BQ1090" s="196"/>
      <c r="BR1090" s="196"/>
      <c r="BS1090" s="196"/>
      <c r="BT1090" s="196"/>
      <c r="BU1090" s="196"/>
      <c r="BV1090" s="196"/>
      <c r="BW1090" s="178"/>
      <c r="BX1090" s="196"/>
      <c r="BY1090" s="196"/>
      <c r="BZ1090" s="196"/>
      <c r="CA1090" s="196"/>
      <c r="CB1090" s="178"/>
      <c r="CC1090" s="178"/>
      <c r="CD1090" s="202"/>
      <c r="CE1090" s="202"/>
      <c r="CF1090" s="178"/>
      <c r="CG1090" s="196"/>
      <c r="CH1090" s="178"/>
      <c r="CI1090" s="178"/>
      <c r="CJ1090" s="178"/>
      <c r="CK1090" s="178"/>
      <c r="CL1090" s="178"/>
      <c r="CM1090" s="178"/>
      <c r="CN1090" s="178"/>
      <c r="CO1090" s="178"/>
      <c r="CP1090" s="178"/>
      <c r="CQ1090" s="178"/>
      <c r="CR1090" s="178"/>
      <c r="CS1090" s="178"/>
      <c r="CT1090" s="178"/>
      <c r="CU1090" s="178"/>
      <c r="CV1090" s="178"/>
      <c r="CW1090" s="178"/>
      <c r="CX1090" s="178"/>
      <c r="CY1090" s="178"/>
      <c r="CZ1090" s="178"/>
      <c r="DA1090" s="150"/>
    </row>
    <row r="1091" spans="53:105" x14ac:dyDescent="0.2">
      <c r="BA1091" s="518">
        <f t="shared" ca="1" si="61"/>
        <v>61</v>
      </c>
      <c r="BB1091" s="174">
        <f t="shared" ca="1" si="62"/>
        <v>1028</v>
      </c>
      <c r="BC1091" s="525" t="e">
        <f ca="1">MATCH(BD1091,OFFSET(Pinlist!$A$2,BC1090*(BA1091=BA1090),0,$BM$23,1),0)+BC1090*(BA1091=BA1090)</f>
        <v>#N/A</v>
      </c>
      <c r="BD1091" s="167">
        <f t="shared" ca="1" si="63"/>
        <v>0</v>
      </c>
      <c r="BE1091" s="191" t="e">
        <f ca="1">(OFFSET(Pinlist!$E$1,BC1091,0)-$BN$16)*$BN$19</f>
        <v>#N/A</v>
      </c>
      <c r="BF1091" s="192" t="e">
        <f ca="1">(OFFSET(Pinlist!$F$1,BC1091,0)-$BO$16)*$BO$19</f>
        <v>#N/A</v>
      </c>
      <c r="BG1091" s="1098" t="str">
        <f ca="1">IF(LEFT(BD1091,2)="RF",OFFSET(Pinlist!$D$1,Chart!BC1091,0)&amp;"_"&amp;OFFSET(Pinlist!$G$1,Chart!BC1091,0),"")</f>
        <v/>
      </c>
      <c r="BH1091" s="1098"/>
      <c r="BI1091" s="178"/>
      <c r="BJ1091" s="178"/>
      <c r="BK1091" s="178"/>
      <c r="BL1091" s="178"/>
      <c r="BM1091" s="178"/>
      <c r="BN1091" s="178"/>
      <c r="BO1091" s="178"/>
      <c r="BP1091" s="178"/>
      <c r="BQ1091" s="196"/>
      <c r="BR1091" s="196"/>
      <c r="BS1091" s="196"/>
      <c r="BT1091" s="196"/>
      <c r="BU1091" s="196"/>
      <c r="BV1091" s="196"/>
      <c r="BW1091" s="178"/>
      <c r="BX1091" s="196"/>
      <c r="BY1091" s="196"/>
      <c r="BZ1091" s="196"/>
      <c r="CA1091" s="196"/>
      <c r="CB1091" s="178"/>
      <c r="CC1091" s="178"/>
      <c r="CD1091" s="202"/>
      <c r="CE1091" s="202"/>
      <c r="CF1091" s="178"/>
      <c r="CG1091" s="196"/>
      <c r="CH1091" s="178"/>
      <c r="CI1091" s="178"/>
      <c r="CJ1091" s="178"/>
      <c r="CK1091" s="178"/>
      <c r="CL1091" s="178"/>
      <c r="CM1091" s="178"/>
      <c r="CN1091" s="178"/>
      <c r="CO1091" s="178"/>
      <c r="CP1091" s="178"/>
      <c r="CQ1091" s="178"/>
      <c r="CR1091" s="178"/>
      <c r="CS1091" s="178"/>
      <c r="CT1091" s="178"/>
      <c r="CU1091" s="178"/>
      <c r="CV1091" s="178"/>
      <c r="CW1091" s="178"/>
      <c r="CX1091" s="178"/>
      <c r="CY1091" s="178"/>
      <c r="CZ1091" s="178"/>
      <c r="DA1091" s="150"/>
    </row>
    <row r="1092" spans="53:105" x14ac:dyDescent="0.2">
      <c r="BA1092" s="518">
        <f t="shared" ref="BA1092:BA1155" ca="1" si="64">BA1091+(BB1091=OFFSET($BZ$3,BA1091,0))</f>
        <v>61</v>
      </c>
      <c r="BB1092" s="174">
        <f t="shared" ref="BB1092:BB1155" ca="1" si="65">IF(BA1092=BA1091,BB1091+1,1)</f>
        <v>1029</v>
      </c>
      <c r="BC1092" s="525" t="e">
        <f ca="1">MATCH(BD1092,OFFSET(Pinlist!$A$2,BC1091*(BA1092=BA1091),0,$BM$23,1),0)+BC1091*(BA1092=BA1091)</f>
        <v>#N/A</v>
      </c>
      <c r="BD1092" s="167">
        <f t="shared" ref="BD1092:BD1155" ca="1" si="66">OFFSET($BY$3,BA1092,0)</f>
        <v>0</v>
      </c>
      <c r="BE1092" s="191" t="e">
        <f ca="1">(OFFSET(Pinlist!$E$1,BC1092,0)-$BN$16)*$BN$19</f>
        <v>#N/A</v>
      </c>
      <c r="BF1092" s="192" t="e">
        <f ca="1">(OFFSET(Pinlist!$F$1,BC1092,0)-$BO$16)*$BO$19</f>
        <v>#N/A</v>
      </c>
      <c r="BG1092" s="1098" t="str">
        <f ca="1">IF(LEFT(BD1092,2)="RF",OFFSET(Pinlist!$D$1,Chart!BC1092,0)&amp;"_"&amp;OFFSET(Pinlist!$G$1,Chart!BC1092,0),"")</f>
        <v/>
      </c>
      <c r="BH1092" s="1098"/>
      <c r="BI1092" s="178"/>
      <c r="BJ1092" s="178"/>
      <c r="BK1092" s="178"/>
      <c r="BL1092" s="178"/>
      <c r="BM1092" s="178"/>
      <c r="BN1092" s="178"/>
      <c r="BO1092" s="178"/>
      <c r="BP1092" s="178"/>
      <c r="BQ1092" s="196"/>
      <c r="BR1092" s="196"/>
      <c r="BS1092" s="196"/>
      <c r="BT1092" s="196"/>
      <c r="BU1092" s="196"/>
      <c r="BV1092" s="196"/>
      <c r="BW1092" s="178"/>
      <c r="BX1092" s="196"/>
      <c r="BY1092" s="196"/>
      <c r="BZ1092" s="196"/>
      <c r="CA1092" s="196"/>
      <c r="CB1092" s="178"/>
      <c r="CC1092" s="178"/>
      <c r="CD1092" s="202"/>
      <c r="CE1092" s="202"/>
      <c r="CF1092" s="178"/>
      <c r="CG1092" s="196"/>
      <c r="CH1092" s="178"/>
      <c r="CI1092" s="178"/>
      <c r="CJ1092" s="178"/>
      <c r="CK1092" s="178"/>
      <c r="CL1092" s="178"/>
      <c r="CM1092" s="178"/>
      <c r="CN1092" s="178"/>
      <c r="CO1092" s="178"/>
      <c r="CP1092" s="178"/>
      <c r="CQ1092" s="178"/>
      <c r="CR1092" s="178"/>
      <c r="CS1092" s="178"/>
      <c r="CT1092" s="178"/>
      <c r="CU1092" s="178"/>
      <c r="CV1092" s="178"/>
      <c r="CW1092" s="178"/>
      <c r="CX1092" s="178"/>
      <c r="CY1092" s="178"/>
      <c r="CZ1092" s="178"/>
      <c r="DA1092" s="150"/>
    </row>
    <row r="1093" spans="53:105" x14ac:dyDescent="0.2">
      <c r="BA1093" s="518">
        <f t="shared" ca="1" si="64"/>
        <v>61</v>
      </c>
      <c r="BB1093" s="174">
        <f t="shared" ca="1" si="65"/>
        <v>1030</v>
      </c>
      <c r="BC1093" s="525" t="e">
        <f ca="1">MATCH(BD1093,OFFSET(Pinlist!$A$2,BC1092*(BA1093=BA1092),0,$BM$23,1),0)+BC1092*(BA1093=BA1092)</f>
        <v>#N/A</v>
      </c>
      <c r="BD1093" s="167">
        <f t="shared" ca="1" si="66"/>
        <v>0</v>
      </c>
      <c r="BE1093" s="191" t="e">
        <f ca="1">(OFFSET(Pinlist!$E$1,BC1093,0)-$BN$16)*$BN$19</f>
        <v>#N/A</v>
      </c>
      <c r="BF1093" s="192" t="e">
        <f ca="1">(OFFSET(Pinlist!$F$1,BC1093,0)-$BO$16)*$BO$19</f>
        <v>#N/A</v>
      </c>
      <c r="BG1093" s="1098" t="str">
        <f ca="1">IF(LEFT(BD1093,2)="RF",OFFSET(Pinlist!$D$1,Chart!BC1093,0)&amp;"_"&amp;OFFSET(Pinlist!$G$1,Chart!BC1093,0),"")</f>
        <v/>
      </c>
      <c r="BH1093" s="1098"/>
      <c r="BI1093" s="178"/>
      <c r="BJ1093" s="178"/>
      <c r="BK1093" s="178"/>
      <c r="BL1093" s="178"/>
      <c r="BM1093" s="178"/>
      <c r="BN1093" s="178"/>
      <c r="BO1093" s="178"/>
      <c r="BP1093" s="178"/>
      <c r="BQ1093" s="196"/>
      <c r="BR1093" s="196"/>
      <c r="BS1093" s="196"/>
      <c r="BT1093" s="196"/>
      <c r="BU1093" s="196"/>
      <c r="BV1093" s="196"/>
      <c r="BW1093" s="178"/>
      <c r="BX1093" s="196"/>
      <c r="BY1093" s="196"/>
      <c r="BZ1093" s="196"/>
      <c r="CA1093" s="196"/>
      <c r="CB1093" s="178"/>
      <c r="CC1093" s="178"/>
      <c r="CD1093" s="202"/>
      <c r="CE1093" s="202"/>
      <c r="CF1093" s="178"/>
      <c r="CG1093" s="196"/>
      <c r="CH1093" s="178"/>
      <c r="CI1093" s="178"/>
      <c r="CJ1093" s="178"/>
      <c r="CK1093" s="178"/>
      <c r="CL1093" s="178"/>
      <c r="CM1093" s="178"/>
      <c r="CN1093" s="178"/>
      <c r="CO1093" s="178"/>
      <c r="CP1093" s="178"/>
      <c r="CQ1093" s="178"/>
      <c r="CR1093" s="178"/>
      <c r="CS1093" s="178"/>
      <c r="CT1093" s="178"/>
      <c r="CU1093" s="178"/>
      <c r="CV1093" s="178"/>
      <c r="CW1093" s="178"/>
      <c r="CX1093" s="178"/>
      <c r="CY1093" s="178"/>
      <c r="CZ1093" s="178"/>
      <c r="DA1093" s="150"/>
    </row>
    <row r="1094" spans="53:105" x14ac:dyDescent="0.2">
      <c r="BA1094" s="518">
        <f t="shared" ca="1" si="64"/>
        <v>61</v>
      </c>
      <c r="BB1094" s="174">
        <f t="shared" ca="1" si="65"/>
        <v>1031</v>
      </c>
      <c r="BC1094" s="525" t="e">
        <f ca="1">MATCH(BD1094,OFFSET(Pinlist!$A$2,BC1093*(BA1094=BA1093),0,$BM$23,1),0)+BC1093*(BA1094=BA1093)</f>
        <v>#N/A</v>
      </c>
      <c r="BD1094" s="167">
        <f t="shared" ca="1" si="66"/>
        <v>0</v>
      </c>
      <c r="BE1094" s="191" t="e">
        <f ca="1">(OFFSET(Pinlist!$E$1,BC1094,0)-$BN$16)*$BN$19</f>
        <v>#N/A</v>
      </c>
      <c r="BF1094" s="192" t="e">
        <f ca="1">(OFFSET(Pinlist!$F$1,BC1094,0)-$BO$16)*$BO$19</f>
        <v>#N/A</v>
      </c>
      <c r="BG1094" s="1098" t="str">
        <f ca="1">IF(LEFT(BD1094,2)="RF",OFFSET(Pinlist!$D$1,Chart!BC1094,0)&amp;"_"&amp;OFFSET(Pinlist!$G$1,Chart!BC1094,0),"")</f>
        <v/>
      </c>
      <c r="BH1094" s="1098"/>
      <c r="BI1094" s="178"/>
      <c r="BJ1094" s="178"/>
      <c r="BK1094" s="178"/>
      <c r="BL1094" s="178"/>
      <c r="BM1094" s="178"/>
      <c r="BN1094" s="178"/>
      <c r="BO1094" s="178"/>
      <c r="BP1094" s="178"/>
      <c r="BQ1094" s="196"/>
      <c r="BR1094" s="196"/>
      <c r="BS1094" s="196"/>
      <c r="BT1094" s="196"/>
      <c r="BU1094" s="196"/>
      <c r="BV1094" s="196"/>
      <c r="BW1094" s="178"/>
      <c r="BX1094" s="196"/>
      <c r="BY1094" s="196"/>
      <c r="BZ1094" s="196"/>
      <c r="CA1094" s="196"/>
      <c r="CB1094" s="178"/>
      <c r="CC1094" s="178"/>
      <c r="CD1094" s="202"/>
      <c r="CE1094" s="202"/>
      <c r="CF1094" s="178"/>
      <c r="CG1094" s="196"/>
      <c r="CH1094" s="178"/>
      <c r="CI1094" s="178"/>
      <c r="CJ1094" s="178"/>
      <c r="CK1094" s="178"/>
      <c r="CL1094" s="178"/>
      <c r="CM1094" s="178"/>
      <c r="CN1094" s="178"/>
      <c r="CO1094" s="178"/>
      <c r="CP1094" s="178"/>
      <c r="CQ1094" s="178"/>
      <c r="CR1094" s="178"/>
      <c r="CS1094" s="178"/>
      <c r="CT1094" s="178"/>
      <c r="CU1094" s="178"/>
      <c r="CV1094" s="178"/>
      <c r="CW1094" s="178"/>
      <c r="CX1094" s="178"/>
      <c r="CY1094" s="178"/>
      <c r="CZ1094" s="178"/>
      <c r="DA1094" s="150"/>
    </row>
    <row r="1095" spans="53:105" x14ac:dyDescent="0.2">
      <c r="BA1095" s="518">
        <f t="shared" ca="1" si="64"/>
        <v>61</v>
      </c>
      <c r="BB1095" s="174">
        <f t="shared" ca="1" si="65"/>
        <v>1032</v>
      </c>
      <c r="BC1095" s="525" t="e">
        <f ca="1">MATCH(BD1095,OFFSET(Pinlist!$A$2,BC1094*(BA1095=BA1094),0,$BM$23,1),0)+BC1094*(BA1095=BA1094)</f>
        <v>#N/A</v>
      </c>
      <c r="BD1095" s="167">
        <f t="shared" ca="1" si="66"/>
        <v>0</v>
      </c>
      <c r="BE1095" s="191" t="e">
        <f ca="1">(OFFSET(Pinlist!$E$1,BC1095,0)-$BN$16)*$BN$19</f>
        <v>#N/A</v>
      </c>
      <c r="BF1095" s="192" t="e">
        <f ca="1">(OFFSET(Pinlist!$F$1,BC1095,0)-$BO$16)*$BO$19</f>
        <v>#N/A</v>
      </c>
      <c r="BG1095" s="1098" t="str">
        <f ca="1">IF(LEFT(BD1095,2)="RF",OFFSET(Pinlist!$D$1,Chart!BC1095,0)&amp;"_"&amp;OFFSET(Pinlist!$G$1,Chart!BC1095,0),"")</f>
        <v/>
      </c>
      <c r="BH1095" s="1098"/>
      <c r="BI1095" s="178"/>
      <c r="BJ1095" s="178"/>
      <c r="BK1095" s="178"/>
      <c r="BL1095" s="178"/>
      <c r="BM1095" s="178"/>
      <c r="BN1095" s="178"/>
      <c r="BO1095" s="178"/>
      <c r="BP1095" s="178"/>
      <c r="BQ1095" s="196"/>
      <c r="BR1095" s="196"/>
      <c r="BS1095" s="196"/>
      <c r="BT1095" s="196"/>
      <c r="BU1095" s="196"/>
      <c r="BV1095" s="196"/>
      <c r="BW1095" s="178"/>
      <c r="BX1095" s="196"/>
      <c r="BY1095" s="196"/>
      <c r="BZ1095" s="196"/>
      <c r="CA1095" s="196"/>
      <c r="CB1095" s="178"/>
      <c r="CC1095" s="178"/>
      <c r="CD1095" s="202"/>
      <c r="CE1095" s="202"/>
      <c r="CF1095" s="178"/>
      <c r="CG1095" s="196"/>
      <c r="CH1095" s="178"/>
      <c r="CI1095" s="178"/>
      <c r="CJ1095" s="178"/>
      <c r="CK1095" s="178"/>
      <c r="CL1095" s="178"/>
      <c r="CM1095" s="178"/>
      <c r="CN1095" s="178"/>
      <c r="CO1095" s="178"/>
      <c r="CP1095" s="178"/>
      <c r="CQ1095" s="178"/>
      <c r="CR1095" s="178"/>
      <c r="CS1095" s="178"/>
      <c r="CT1095" s="178"/>
      <c r="CU1095" s="178"/>
      <c r="CV1095" s="178"/>
      <c r="CW1095" s="178"/>
      <c r="CX1095" s="178"/>
      <c r="CY1095" s="178"/>
      <c r="CZ1095" s="178"/>
      <c r="DA1095" s="150"/>
    </row>
    <row r="1096" spans="53:105" x14ac:dyDescent="0.2">
      <c r="BA1096" s="518">
        <f t="shared" ca="1" si="64"/>
        <v>61</v>
      </c>
      <c r="BB1096" s="174">
        <f t="shared" ca="1" si="65"/>
        <v>1033</v>
      </c>
      <c r="BC1096" s="525" t="e">
        <f ca="1">MATCH(BD1096,OFFSET(Pinlist!$A$2,BC1095*(BA1096=BA1095),0,$BM$23,1),0)+BC1095*(BA1096=BA1095)</f>
        <v>#N/A</v>
      </c>
      <c r="BD1096" s="167">
        <f t="shared" ca="1" si="66"/>
        <v>0</v>
      </c>
      <c r="BE1096" s="191" t="e">
        <f ca="1">(OFFSET(Pinlist!$E$1,BC1096,0)-$BN$16)*$BN$19</f>
        <v>#N/A</v>
      </c>
      <c r="BF1096" s="192" t="e">
        <f ca="1">(OFFSET(Pinlist!$F$1,BC1096,0)-$BO$16)*$BO$19</f>
        <v>#N/A</v>
      </c>
      <c r="BG1096" s="1098" t="str">
        <f ca="1">IF(LEFT(BD1096,2)="RF",OFFSET(Pinlist!$D$1,Chart!BC1096,0)&amp;"_"&amp;OFFSET(Pinlist!$G$1,Chart!BC1096,0),"")</f>
        <v/>
      </c>
      <c r="BH1096" s="1098"/>
      <c r="BI1096" s="178"/>
      <c r="BJ1096" s="178"/>
      <c r="BK1096" s="178"/>
      <c r="BL1096" s="178"/>
      <c r="BM1096" s="178"/>
      <c r="BN1096" s="178"/>
      <c r="BO1096" s="178"/>
      <c r="BP1096" s="178"/>
      <c r="BQ1096" s="196"/>
      <c r="BR1096" s="196"/>
      <c r="BS1096" s="196"/>
      <c r="BT1096" s="196"/>
      <c r="BU1096" s="196"/>
      <c r="BV1096" s="196"/>
      <c r="BW1096" s="178"/>
      <c r="BX1096" s="196"/>
      <c r="BY1096" s="196"/>
      <c r="BZ1096" s="196"/>
      <c r="CA1096" s="196"/>
      <c r="CB1096" s="178"/>
      <c r="CC1096" s="178"/>
      <c r="CD1096" s="202"/>
      <c r="CE1096" s="202"/>
      <c r="CF1096" s="178"/>
      <c r="CG1096" s="196"/>
      <c r="CH1096" s="178"/>
      <c r="CI1096" s="178"/>
      <c r="CJ1096" s="178"/>
      <c r="CK1096" s="178"/>
      <c r="CL1096" s="178"/>
      <c r="CM1096" s="178"/>
      <c r="CN1096" s="178"/>
      <c r="CO1096" s="178"/>
      <c r="CP1096" s="178"/>
      <c r="CQ1096" s="178"/>
      <c r="CR1096" s="178"/>
      <c r="CS1096" s="178"/>
      <c r="CT1096" s="178"/>
      <c r="CU1096" s="178"/>
      <c r="CV1096" s="178"/>
      <c r="CW1096" s="178"/>
      <c r="CX1096" s="178"/>
      <c r="CY1096" s="178"/>
      <c r="CZ1096" s="178"/>
      <c r="DA1096" s="150"/>
    </row>
    <row r="1097" spans="53:105" x14ac:dyDescent="0.2">
      <c r="BA1097" s="518">
        <f t="shared" ca="1" si="64"/>
        <v>61</v>
      </c>
      <c r="BB1097" s="174">
        <f t="shared" ca="1" si="65"/>
        <v>1034</v>
      </c>
      <c r="BC1097" s="525" t="e">
        <f ca="1">MATCH(BD1097,OFFSET(Pinlist!$A$2,BC1096*(BA1097=BA1096),0,$BM$23,1),0)+BC1096*(BA1097=BA1096)</f>
        <v>#N/A</v>
      </c>
      <c r="BD1097" s="167">
        <f t="shared" ca="1" si="66"/>
        <v>0</v>
      </c>
      <c r="BE1097" s="191" t="e">
        <f ca="1">(OFFSET(Pinlist!$E$1,BC1097,0)-$BN$16)*$BN$19</f>
        <v>#N/A</v>
      </c>
      <c r="BF1097" s="192" t="e">
        <f ca="1">(OFFSET(Pinlist!$F$1,BC1097,0)-$BO$16)*$BO$19</f>
        <v>#N/A</v>
      </c>
      <c r="BG1097" s="1098" t="str">
        <f ca="1">IF(LEFT(BD1097,2)="RF",OFFSET(Pinlist!$D$1,Chart!BC1097,0)&amp;"_"&amp;OFFSET(Pinlist!$G$1,Chart!BC1097,0),"")</f>
        <v/>
      </c>
      <c r="BH1097" s="1098"/>
      <c r="BI1097" s="178"/>
      <c r="BJ1097" s="178"/>
      <c r="BK1097" s="178"/>
      <c r="BL1097" s="178"/>
      <c r="BM1097" s="178"/>
      <c r="BN1097" s="178"/>
      <c r="BO1097" s="178"/>
      <c r="BP1097" s="178"/>
      <c r="BQ1097" s="196"/>
      <c r="BR1097" s="196"/>
      <c r="BS1097" s="196"/>
      <c r="BT1097" s="196"/>
      <c r="BU1097" s="196"/>
      <c r="BV1097" s="196"/>
      <c r="BW1097" s="178"/>
      <c r="BX1097" s="196"/>
      <c r="BY1097" s="196"/>
      <c r="BZ1097" s="196"/>
      <c r="CA1097" s="196"/>
      <c r="CB1097" s="178"/>
      <c r="CC1097" s="178"/>
      <c r="CD1097" s="202"/>
      <c r="CE1097" s="202"/>
      <c r="CF1097" s="178"/>
      <c r="CG1097" s="196"/>
      <c r="CH1097" s="178"/>
      <c r="CI1097" s="178"/>
      <c r="CJ1097" s="178"/>
      <c r="CK1097" s="178"/>
      <c r="CL1097" s="178"/>
      <c r="CM1097" s="178"/>
      <c r="CN1097" s="178"/>
      <c r="CO1097" s="178"/>
      <c r="CP1097" s="178"/>
      <c r="CQ1097" s="178"/>
      <c r="CR1097" s="178"/>
      <c r="CS1097" s="178"/>
      <c r="CT1097" s="178"/>
      <c r="CU1097" s="178"/>
      <c r="CV1097" s="178"/>
      <c r="CW1097" s="178"/>
      <c r="CX1097" s="178"/>
      <c r="CY1097" s="178"/>
      <c r="CZ1097" s="178"/>
      <c r="DA1097" s="150"/>
    </row>
    <row r="1098" spans="53:105" x14ac:dyDescent="0.2">
      <c r="BA1098" s="518">
        <f t="shared" ca="1" si="64"/>
        <v>61</v>
      </c>
      <c r="BB1098" s="174">
        <f t="shared" ca="1" si="65"/>
        <v>1035</v>
      </c>
      <c r="BC1098" s="525" t="e">
        <f ca="1">MATCH(BD1098,OFFSET(Pinlist!$A$2,BC1097*(BA1098=BA1097),0,$BM$23,1),0)+BC1097*(BA1098=BA1097)</f>
        <v>#N/A</v>
      </c>
      <c r="BD1098" s="167">
        <f t="shared" ca="1" si="66"/>
        <v>0</v>
      </c>
      <c r="BE1098" s="191" t="e">
        <f ca="1">(OFFSET(Pinlist!$E$1,BC1098,0)-$BN$16)*$BN$19</f>
        <v>#N/A</v>
      </c>
      <c r="BF1098" s="192" t="e">
        <f ca="1">(OFFSET(Pinlist!$F$1,BC1098,0)-$BO$16)*$BO$19</f>
        <v>#N/A</v>
      </c>
      <c r="BG1098" s="1098" t="str">
        <f ca="1">IF(LEFT(BD1098,2)="RF",OFFSET(Pinlist!$D$1,Chart!BC1098,0)&amp;"_"&amp;OFFSET(Pinlist!$G$1,Chart!BC1098,0),"")</f>
        <v/>
      </c>
      <c r="BH1098" s="1098"/>
      <c r="BI1098" s="178"/>
      <c r="BJ1098" s="178"/>
      <c r="BK1098" s="178"/>
      <c r="BL1098" s="178"/>
      <c r="BM1098" s="178"/>
      <c r="BN1098" s="178"/>
      <c r="BO1098" s="178"/>
      <c r="BP1098" s="178"/>
      <c r="BQ1098" s="196"/>
      <c r="BR1098" s="196"/>
      <c r="BS1098" s="196"/>
      <c r="BT1098" s="196"/>
      <c r="BU1098" s="196"/>
      <c r="BV1098" s="196"/>
      <c r="BW1098" s="178"/>
      <c r="BX1098" s="196"/>
      <c r="BY1098" s="196"/>
      <c r="BZ1098" s="196"/>
      <c r="CA1098" s="196"/>
      <c r="CB1098" s="178"/>
      <c r="CC1098" s="178"/>
      <c r="CD1098" s="202"/>
      <c r="CE1098" s="202"/>
      <c r="CF1098" s="178"/>
      <c r="CG1098" s="196"/>
      <c r="CH1098" s="178"/>
      <c r="CI1098" s="178"/>
      <c r="CJ1098" s="178"/>
      <c r="CK1098" s="178"/>
      <c r="CL1098" s="178"/>
      <c r="CM1098" s="178"/>
      <c r="CN1098" s="178"/>
      <c r="CO1098" s="178"/>
      <c r="CP1098" s="178"/>
      <c r="CQ1098" s="178"/>
      <c r="CR1098" s="178"/>
      <c r="CS1098" s="178"/>
      <c r="CT1098" s="178"/>
      <c r="CU1098" s="178"/>
      <c r="CV1098" s="178"/>
      <c r="CW1098" s="178"/>
      <c r="CX1098" s="178"/>
      <c r="CY1098" s="178"/>
      <c r="CZ1098" s="178"/>
      <c r="DA1098" s="150"/>
    </row>
    <row r="1099" spans="53:105" x14ac:dyDescent="0.2">
      <c r="BA1099" s="518">
        <f t="shared" ca="1" si="64"/>
        <v>61</v>
      </c>
      <c r="BB1099" s="174">
        <f t="shared" ca="1" si="65"/>
        <v>1036</v>
      </c>
      <c r="BC1099" s="525" t="e">
        <f ca="1">MATCH(BD1099,OFFSET(Pinlist!$A$2,BC1098*(BA1099=BA1098),0,$BM$23,1),0)+BC1098*(BA1099=BA1098)</f>
        <v>#N/A</v>
      </c>
      <c r="BD1099" s="167">
        <f t="shared" ca="1" si="66"/>
        <v>0</v>
      </c>
      <c r="BE1099" s="191" t="e">
        <f ca="1">(OFFSET(Pinlist!$E$1,BC1099,0)-$BN$16)*$BN$19</f>
        <v>#N/A</v>
      </c>
      <c r="BF1099" s="192" t="e">
        <f ca="1">(OFFSET(Pinlist!$F$1,BC1099,0)-$BO$16)*$BO$19</f>
        <v>#N/A</v>
      </c>
      <c r="BG1099" s="1098" t="str">
        <f ca="1">IF(LEFT(BD1099,2)="RF",OFFSET(Pinlist!$D$1,Chart!BC1099,0)&amp;"_"&amp;OFFSET(Pinlist!$G$1,Chart!BC1099,0),"")</f>
        <v/>
      </c>
      <c r="BH1099" s="1098"/>
      <c r="BI1099" s="178"/>
      <c r="BJ1099" s="178"/>
      <c r="BK1099" s="178"/>
      <c r="BL1099" s="178"/>
      <c r="BM1099" s="178"/>
      <c r="BN1099" s="178"/>
      <c r="BO1099" s="178"/>
      <c r="BP1099" s="178"/>
      <c r="BQ1099" s="196"/>
      <c r="BR1099" s="196"/>
      <c r="BS1099" s="196"/>
      <c r="BT1099" s="196"/>
      <c r="BU1099" s="196"/>
      <c r="BV1099" s="196"/>
      <c r="BW1099" s="178"/>
      <c r="BX1099" s="196"/>
      <c r="BY1099" s="196"/>
      <c r="BZ1099" s="196"/>
      <c r="CA1099" s="196"/>
      <c r="CB1099" s="178"/>
      <c r="CC1099" s="178"/>
      <c r="CD1099" s="202"/>
      <c r="CE1099" s="202"/>
      <c r="CF1099" s="178"/>
      <c r="CG1099" s="196"/>
      <c r="CH1099" s="178"/>
      <c r="CI1099" s="178"/>
      <c r="CJ1099" s="178"/>
      <c r="CK1099" s="178"/>
      <c r="CL1099" s="178"/>
      <c r="CM1099" s="178"/>
      <c r="CN1099" s="178"/>
      <c r="CO1099" s="178"/>
      <c r="CP1099" s="178"/>
      <c r="CQ1099" s="178"/>
      <c r="CR1099" s="178"/>
      <c r="CS1099" s="178"/>
      <c r="CT1099" s="178"/>
      <c r="CU1099" s="178"/>
      <c r="CV1099" s="178"/>
      <c r="CW1099" s="178"/>
      <c r="CX1099" s="178"/>
      <c r="CY1099" s="178"/>
      <c r="CZ1099" s="178"/>
      <c r="DA1099" s="150"/>
    </row>
    <row r="1100" spans="53:105" x14ac:dyDescent="0.2">
      <c r="BA1100" s="518">
        <f t="shared" ca="1" si="64"/>
        <v>61</v>
      </c>
      <c r="BB1100" s="174">
        <f t="shared" ca="1" si="65"/>
        <v>1037</v>
      </c>
      <c r="BC1100" s="525" t="e">
        <f ca="1">MATCH(BD1100,OFFSET(Pinlist!$A$2,BC1099*(BA1100=BA1099),0,$BM$23,1),0)+BC1099*(BA1100=BA1099)</f>
        <v>#N/A</v>
      </c>
      <c r="BD1100" s="167">
        <f t="shared" ca="1" si="66"/>
        <v>0</v>
      </c>
      <c r="BE1100" s="191" t="e">
        <f ca="1">(OFFSET(Pinlist!$E$1,BC1100,0)-$BN$16)*$BN$19</f>
        <v>#N/A</v>
      </c>
      <c r="BF1100" s="192" t="e">
        <f ca="1">(OFFSET(Pinlist!$F$1,BC1100,0)-$BO$16)*$BO$19</f>
        <v>#N/A</v>
      </c>
      <c r="BG1100" s="1098" t="str">
        <f ca="1">IF(LEFT(BD1100,2)="RF",OFFSET(Pinlist!$D$1,Chart!BC1100,0)&amp;"_"&amp;OFFSET(Pinlist!$G$1,Chart!BC1100,0),"")</f>
        <v/>
      </c>
      <c r="BH1100" s="1098"/>
      <c r="BI1100" s="178"/>
      <c r="BJ1100" s="178"/>
      <c r="BK1100" s="178"/>
      <c r="BL1100" s="178"/>
      <c r="BM1100" s="178"/>
      <c r="BN1100" s="178"/>
      <c r="BO1100" s="178"/>
      <c r="BP1100" s="178"/>
      <c r="BQ1100" s="196"/>
      <c r="BR1100" s="196"/>
      <c r="BS1100" s="196"/>
      <c r="BT1100" s="196"/>
      <c r="BU1100" s="196"/>
      <c r="BV1100" s="196"/>
      <c r="BW1100" s="178"/>
      <c r="BX1100" s="196"/>
      <c r="BY1100" s="196"/>
      <c r="BZ1100" s="196"/>
      <c r="CA1100" s="196"/>
      <c r="CB1100" s="178"/>
      <c r="CC1100" s="178"/>
      <c r="CD1100" s="202"/>
      <c r="CE1100" s="202"/>
      <c r="CF1100" s="178"/>
      <c r="CG1100" s="196"/>
      <c r="CH1100" s="178"/>
      <c r="CI1100" s="178"/>
      <c r="CJ1100" s="178"/>
      <c r="CK1100" s="178"/>
      <c r="CL1100" s="178"/>
      <c r="CM1100" s="178"/>
      <c r="CN1100" s="178"/>
      <c r="CO1100" s="178"/>
      <c r="CP1100" s="178"/>
      <c r="CQ1100" s="178"/>
      <c r="CR1100" s="178"/>
      <c r="CS1100" s="178"/>
      <c r="CT1100" s="178"/>
      <c r="CU1100" s="178"/>
      <c r="CV1100" s="178"/>
      <c r="CW1100" s="178"/>
      <c r="CX1100" s="178"/>
      <c r="CY1100" s="178"/>
      <c r="CZ1100" s="178"/>
      <c r="DA1100" s="150"/>
    </row>
    <row r="1101" spans="53:105" x14ac:dyDescent="0.2">
      <c r="BA1101" s="518">
        <f t="shared" ca="1" si="64"/>
        <v>61</v>
      </c>
      <c r="BB1101" s="174">
        <f t="shared" ca="1" si="65"/>
        <v>1038</v>
      </c>
      <c r="BC1101" s="525" t="e">
        <f ca="1">MATCH(BD1101,OFFSET(Pinlist!$A$2,BC1100*(BA1101=BA1100),0,$BM$23,1),0)+BC1100*(BA1101=BA1100)</f>
        <v>#N/A</v>
      </c>
      <c r="BD1101" s="167">
        <f t="shared" ca="1" si="66"/>
        <v>0</v>
      </c>
      <c r="BE1101" s="191" t="e">
        <f ca="1">(OFFSET(Pinlist!$E$1,BC1101,0)-$BN$16)*$BN$19</f>
        <v>#N/A</v>
      </c>
      <c r="BF1101" s="192" t="e">
        <f ca="1">(OFFSET(Pinlist!$F$1,BC1101,0)-$BO$16)*$BO$19</f>
        <v>#N/A</v>
      </c>
      <c r="BG1101" s="1098" t="str">
        <f ca="1">IF(LEFT(BD1101,2)="RF",OFFSET(Pinlist!$D$1,Chart!BC1101,0)&amp;"_"&amp;OFFSET(Pinlist!$G$1,Chart!BC1101,0),"")</f>
        <v/>
      </c>
      <c r="BH1101" s="1098"/>
      <c r="BI1101" s="178"/>
      <c r="BJ1101" s="178"/>
      <c r="BK1101" s="178"/>
      <c r="BL1101" s="178"/>
      <c r="BM1101" s="178"/>
      <c r="BN1101" s="178"/>
      <c r="BO1101" s="178"/>
      <c r="BP1101" s="178"/>
      <c r="BQ1101" s="196"/>
      <c r="BR1101" s="196"/>
      <c r="BS1101" s="196"/>
      <c r="BT1101" s="196"/>
      <c r="BU1101" s="196"/>
      <c r="BV1101" s="196"/>
      <c r="BW1101" s="178"/>
      <c r="BX1101" s="196"/>
      <c r="BY1101" s="196"/>
      <c r="BZ1101" s="196"/>
      <c r="CA1101" s="196"/>
      <c r="CB1101" s="178"/>
      <c r="CC1101" s="178"/>
      <c r="CD1101" s="202"/>
      <c r="CE1101" s="202"/>
      <c r="CF1101" s="178"/>
      <c r="CG1101" s="196"/>
      <c r="CH1101" s="178"/>
      <c r="CI1101" s="178"/>
      <c r="CJ1101" s="178"/>
      <c r="CK1101" s="178"/>
      <c r="CL1101" s="178"/>
      <c r="CM1101" s="178"/>
      <c r="CN1101" s="178"/>
      <c r="CO1101" s="178"/>
      <c r="CP1101" s="178"/>
      <c r="CQ1101" s="178"/>
      <c r="CR1101" s="178"/>
      <c r="CS1101" s="178"/>
      <c r="CT1101" s="178"/>
      <c r="CU1101" s="178"/>
      <c r="CV1101" s="178"/>
      <c r="CW1101" s="178"/>
      <c r="CX1101" s="178"/>
      <c r="CY1101" s="178"/>
      <c r="CZ1101" s="178"/>
      <c r="DA1101" s="150"/>
    </row>
    <row r="1102" spans="53:105" x14ac:dyDescent="0.2">
      <c r="BA1102" s="518">
        <f t="shared" ca="1" si="64"/>
        <v>61</v>
      </c>
      <c r="BB1102" s="174">
        <f t="shared" ca="1" si="65"/>
        <v>1039</v>
      </c>
      <c r="BC1102" s="525" t="e">
        <f ca="1">MATCH(BD1102,OFFSET(Pinlist!$A$2,BC1101*(BA1102=BA1101),0,$BM$23,1),0)+BC1101*(BA1102=BA1101)</f>
        <v>#N/A</v>
      </c>
      <c r="BD1102" s="167">
        <f t="shared" ca="1" si="66"/>
        <v>0</v>
      </c>
      <c r="BE1102" s="191" t="e">
        <f ca="1">(OFFSET(Pinlist!$E$1,BC1102,0)-$BN$16)*$BN$19</f>
        <v>#N/A</v>
      </c>
      <c r="BF1102" s="192" t="e">
        <f ca="1">(OFFSET(Pinlist!$F$1,BC1102,0)-$BO$16)*$BO$19</f>
        <v>#N/A</v>
      </c>
      <c r="BG1102" s="1098" t="str">
        <f ca="1">IF(LEFT(BD1102,2)="RF",OFFSET(Pinlist!$D$1,Chart!BC1102,0)&amp;"_"&amp;OFFSET(Pinlist!$G$1,Chart!BC1102,0),"")</f>
        <v/>
      </c>
      <c r="BH1102" s="1098"/>
      <c r="BI1102" s="178"/>
      <c r="BJ1102" s="178"/>
      <c r="BK1102" s="178"/>
      <c r="BL1102" s="178"/>
      <c r="BM1102" s="178"/>
      <c r="BN1102" s="178"/>
      <c r="BO1102" s="178"/>
      <c r="BP1102" s="178"/>
      <c r="BQ1102" s="196"/>
      <c r="BR1102" s="196"/>
      <c r="BS1102" s="196"/>
      <c r="BT1102" s="196"/>
      <c r="BU1102" s="196"/>
      <c r="BV1102" s="196"/>
      <c r="BW1102" s="178"/>
      <c r="BX1102" s="196"/>
      <c r="BY1102" s="196"/>
      <c r="BZ1102" s="196"/>
      <c r="CA1102" s="196"/>
      <c r="CB1102" s="178"/>
      <c r="CC1102" s="178"/>
      <c r="CD1102" s="202"/>
      <c r="CE1102" s="202"/>
      <c r="CF1102" s="178"/>
      <c r="CG1102" s="196"/>
      <c r="CH1102" s="178"/>
      <c r="CI1102" s="178"/>
      <c r="CJ1102" s="178"/>
      <c r="CK1102" s="178"/>
      <c r="CL1102" s="178"/>
      <c r="CM1102" s="178"/>
      <c r="CN1102" s="178"/>
      <c r="CO1102" s="178"/>
      <c r="CP1102" s="178"/>
      <c r="CQ1102" s="178"/>
      <c r="CR1102" s="178"/>
      <c r="CS1102" s="178"/>
      <c r="CT1102" s="178"/>
      <c r="CU1102" s="178"/>
      <c r="CV1102" s="178"/>
      <c r="CW1102" s="178"/>
      <c r="CX1102" s="178"/>
      <c r="CY1102" s="178"/>
      <c r="CZ1102" s="178"/>
      <c r="DA1102" s="150"/>
    </row>
    <row r="1103" spans="53:105" x14ac:dyDescent="0.2">
      <c r="BA1103" s="518">
        <f t="shared" ca="1" si="64"/>
        <v>61</v>
      </c>
      <c r="BB1103" s="174">
        <f t="shared" ca="1" si="65"/>
        <v>1040</v>
      </c>
      <c r="BC1103" s="525" t="e">
        <f ca="1">MATCH(BD1103,OFFSET(Pinlist!$A$2,BC1102*(BA1103=BA1102),0,$BM$23,1),0)+BC1102*(BA1103=BA1102)</f>
        <v>#N/A</v>
      </c>
      <c r="BD1103" s="167">
        <f t="shared" ca="1" si="66"/>
        <v>0</v>
      </c>
      <c r="BE1103" s="191" t="e">
        <f ca="1">(OFFSET(Pinlist!$E$1,BC1103,0)-$BN$16)*$BN$19</f>
        <v>#N/A</v>
      </c>
      <c r="BF1103" s="192" t="e">
        <f ca="1">(OFFSET(Pinlist!$F$1,BC1103,0)-$BO$16)*$BO$19</f>
        <v>#N/A</v>
      </c>
      <c r="BG1103" s="1098" t="str">
        <f ca="1">IF(LEFT(BD1103,2)="RF",OFFSET(Pinlist!$D$1,Chart!BC1103,0)&amp;"_"&amp;OFFSET(Pinlist!$G$1,Chart!BC1103,0),"")</f>
        <v/>
      </c>
      <c r="BH1103" s="1098"/>
      <c r="BI1103" s="178"/>
      <c r="BJ1103" s="178"/>
      <c r="BK1103" s="178"/>
      <c r="BL1103" s="178"/>
      <c r="BM1103" s="178"/>
      <c r="BN1103" s="178"/>
      <c r="BO1103" s="178"/>
      <c r="BP1103" s="178"/>
      <c r="BQ1103" s="196"/>
      <c r="BR1103" s="196"/>
      <c r="BS1103" s="196"/>
      <c r="BT1103" s="196"/>
      <c r="BU1103" s="196"/>
      <c r="BV1103" s="196"/>
      <c r="BW1103" s="178"/>
      <c r="BX1103" s="196"/>
      <c r="BY1103" s="196"/>
      <c r="BZ1103" s="196"/>
      <c r="CA1103" s="196"/>
      <c r="CB1103" s="178"/>
      <c r="CC1103" s="178"/>
      <c r="CD1103" s="202"/>
      <c r="CE1103" s="202"/>
      <c r="CF1103" s="178"/>
      <c r="CG1103" s="196"/>
      <c r="CH1103" s="178"/>
      <c r="CI1103" s="178"/>
      <c r="CJ1103" s="178"/>
      <c r="CK1103" s="178"/>
      <c r="CL1103" s="178"/>
      <c r="CM1103" s="178"/>
      <c r="CN1103" s="178"/>
      <c r="CO1103" s="178"/>
      <c r="CP1103" s="178"/>
      <c r="CQ1103" s="178"/>
      <c r="CR1103" s="178"/>
      <c r="CS1103" s="178"/>
      <c r="CT1103" s="178"/>
      <c r="CU1103" s="178"/>
      <c r="CV1103" s="178"/>
      <c r="CW1103" s="178"/>
      <c r="CX1103" s="178"/>
      <c r="CY1103" s="178"/>
      <c r="CZ1103" s="178"/>
      <c r="DA1103" s="150"/>
    </row>
    <row r="1104" spans="53:105" x14ac:dyDescent="0.2">
      <c r="BA1104" s="518">
        <f t="shared" ca="1" si="64"/>
        <v>61</v>
      </c>
      <c r="BB1104" s="174">
        <f t="shared" ca="1" si="65"/>
        <v>1041</v>
      </c>
      <c r="BC1104" s="525" t="e">
        <f ca="1">MATCH(BD1104,OFFSET(Pinlist!$A$2,BC1103*(BA1104=BA1103),0,$BM$23,1),0)+BC1103*(BA1104=BA1103)</f>
        <v>#N/A</v>
      </c>
      <c r="BD1104" s="167">
        <f t="shared" ca="1" si="66"/>
        <v>0</v>
      </c>
      <c r="BE1104" s="191" t="e">
        <f ca="1">(OFFSET(Pinlist!$E$1,BC1104,0)-$BN$16)*$BN$19</f>
        <v>#N/A</v>
      </c>
      <c r="BF1104" s="192" t="e">
        <f ca="1">(OFFSET(Pinlist!$F$1,BC1104,0)-$BO$16)*$BO$19</f>
        <v>#N/A</v>
      </c>
      <c r="BG1104" s="1098" t="str">
        <f ca="1">IF(LEFT(BD1104,2)="RF",OFFSET(Pinlist!$D$1,Chart!BC1104,0)&amp;"_"&amp;OFFSET(Pinlist!$G$1,Chart!BC1104,0),"")</f>
        <v/>
      </c>
      <c r="BH1104" s="1098"/>
      <c r="BI1104" s="178"/>
      <c r="BJ1104" s="178"/>
      <c r="BK1104" s="178"/>
      <c r="BL1104" s="178"/>
      <c r="BM1104" s="178"/>
      <c r="BN1104" s="178"/>
      <c r="BO1104" s="178"/>
      <c r="BP1104" s="178"/>
      <c r="BQ1104" s="196"/>
      <c r="BR1104" s="196"/>
      <c r="BS1104" s="196"/>
      <c r="BT1104" s="196"/>
      <c r="BU1104" s="196"/>
      <c r="BV1104" s="196"/>
      <c r="BW1104" s="178"/>
      <c r="BX1104" s="196"/>
      <c r="BY1104" s="196"/>
      <c r="BZ1104" s="196"/>
      <c r="CA1104" s="196"/>
      <c r="CB1104" s="178"/>
      <c r="CC1104" s="178"/>
      <c r="CD1104" s="202"/>
      <c r="CE1104" s="202"/>
      <c r="CF1104" s="178"/>
      <c r="CG1104" s="196"/>
      <c r="CH1104" s="178"/>
      <c r="CI1104" s="178"/>
      <c r="CJ1104" s="178"/>
      <c r="CK1104" s="178"/>
      <c r="CL1104" s="178"/>
      <c r="CM1104" s="178"/>
      <c r="CN1104" s="178"/>
      <c r="CO1104" s="178"/>
      <c r="CP1104" s="178"/>
      <c r="CQ1104" s="178"/>
      <c r="CR1104" s="178"/>
      <c r="CS1104" s="178"/>
      <c r="CT1104" s="178"/>
      <c r="CU1104" s="178"/>
      <c r="CV1104" s="178"/>
      <c r="CW1104" s="178"/>
      <c r="CX1104" s="178"/>
      <c r="CY1104" s="178"/>
      <c r="CZ1104" s="178"/>
      <c r="DA1104" s="150"/>
    </row>
    <row r="1105" spans="53:105" x14ac:dyDescent="0.2">
      <c r="BA1105" s="518">
        <f t="shared" ca="1" si="64"/>
        <v>61</v>
      </c>
      <c r="BB1105" s="174">
        <f t="shared" ca="1" si="65"/>
        <v>1042</v>
      </c>
      <c r="BC1105" s="525" t="e">
        <f ca="1">MATCH(BD1105,OFFSET(Pinlist!$A$2,BC1104*(BA1105=BA1104),0,$BM$23,1),0)+BC1104*(BA1105=BA1104)</f>
        <v>#N/A</v>
      </c>
      <c r="BD1105" s="167">
        <f t="shared" ca="1" si="66"/>
        <v>0</v>
      </c>
      <c r="BE1105" s="191" t="e">
        <f ca="1">(OFFSET(Pinlist!$E$1,BC1105,0)-$BN$16)*$BN$19</f>
        <v>#N/A</v>
      </c>
      <c r="BF1105" s="192" t="e">
        <f ca="1">(OFFSET(Pinlist!$F$1,BC1105,0)-$BO$16)*$BO$19</f>
        <v>#N/A</v>
      </c>
      <c r="BG1105" s="1098" t="str">
        <f ca="1">IF(LEFT(BD1105,2)="RF",OFFSET(Pinlist!$D$1,Chart!BC1105,0)&amp;"_"&amp;OFFSET(Pinlist!$G$1,Chart!BC1105,0),"")</f>
        <v/>
      </c>
      <c r="BH1105" s="1098"/>
      <c r="BI1105" s="178"/>
      <c r="BJ1105" s="178"/>
      <c r="BK1105" s="178"/>
      <c r="BL1105" s="178"/>
      <c r="BM1105" s="178"/>
      <c r="BN1105" s="178"/>
      <c r="BO1105" s="178"/>
      <c r="BP1105" s="178"/>
      <c r="BQ1105" s="196"/>
      <c r="BR1105" s="196"/>
      <c r="BS1105" s="196"/>
      <c r="BT1105" s="196"/>
      <c r="BU1105" s="196"/>
      <c r="BV1105" s="196"/>
      <c r="BW1105" s="178"/>
      <c r="BX1105" s="196"/>
      <c r="BY1105" s="196"/>
      <c r="BZ1105" s="196"/>
      <c r="CA1105" s="196"/>
      <c r="CB1105" s="178"/>
      <c r="CC1105" s="178"/>
      <c r="CD1105" s="202"/>
      <c r="CE1105" s="202"/>
      <c r="CF1105" s="178"/>
      <c r="CG1105" s="196"/>
      <c r="CH1105" s="178"/>
      <c r="CI1105" s="178"/>
      <c r="CJ1105" s="178"/>
      <c r="CK1105" s="178"/>
      <c r="CL1105" s="178"/>
      <c r="CM1105" s="178"/>
      <c r="CN1105" s="178"/>
      <c r="CO1105" s="178"/>
      <c r="CP1105" s="178"/>
      <c r="CQ1105" s="178"/>
      <c r="CR1105" s="178"/>
      <c r="CS1105" s="178"/>
      <c r="CT1105" s="178"/>
      <c r="CU1105" s="178"/>
      <c r="CV1105" s="178"/>
      <c r="CW1105" s="178"/>
      <c r="CX1105" s="178"/>
      <c r="CY1105" s="178"/>
      <c r="CZ1105" s="178"/>
      <c r="DA1105" s="150"/>
    </row>
    <row r="1106" spans="53:105" x14ac:dyDescent="0.2">
      <c r="BA1106" s="518">
        <f t="shared" ca="1" si="64"/>
        <v>61</v>
      </c>
      <c r="BB1106" s="174">
        <f t="shared" ca="1" si="65"/>
        <v>1043</v>
      </c>
      <c r="BC1106" s="525" t="e">
        <f ca="1">MATCH(BD1106,OFFSET(Pinlist!$A$2,BC1105*(BA1106=BA1105),0,$BM$23,1),0)+BC1105*(BA1106=BA1105)</f>
        <v>#N/A</v>
      </c>
      <c r="BD1106" s="167">
        <f t="shared" ca="1" si="66"/>
        <v>0</v>
      </c>
      <c r="BE1106" s="191" t="e">
        <f ca="1">(OFFSET(Pinlist!$E$1,BC1106,0)-$BN$16)*$BN$19</f>
        <v>#N/A</v>
      </c>
      <c r="BF1106" s="192" t="e">
        <f ca="1">(OFFSET(Pinlist!$F$1,BC1106,0)-$BO$16)*$BO$19</f>
        <v>#N/A</v>
      </c>
      <c r="BG1106" s="1098" t="str">
        <f ca="1">IF(LEFT(BD1106,2)="RF",OFFSET(Pinlist!$D$1,Chart!BC1106,0)&amp;"_"&amp;OFFSET(Pinlist!$G$1,Chart!BC1106,0),"")</f>
        <v/>
      </c>
      <c r="BH1106" s="1098"/>
      <c r="BI1106" s="178"/>
      <c r="BJ1106" s="178"/>
      <c r="BK1106" s="178"/>
      <c r="BL1106" s="178"/>
      <c r="BM1106" s="178"/>
      <c r="BN1106" s="178"/>
      <c r="BO1106" s="178"/>
      <c r="BP1106" s="178"/>
      <c r="BQ1106" s="196"/>
      <c r="BR1106" s="196"/>
      <c r="BS1106" s="196"/>
      <c r="BT1106" s="196"/>
      <c r="BU1106" s="196"/>
      <c r="BV1106" s="196"/>
      <c r="BW1106" s="178"/>
      <c r="BX1106" s="196"/>
      <c r="BY1106" s="196"/>
      <c r="BZ1106" s="196"/>
      <c r="CA1106" s="196"/>
      <c r="CB1106" s="178"/>
      <c r="CC1106" s="178"/>
      <c r="CD1106" s="202"/>
      <c r="CE1106" s="202"/>
      <c r="CF1106" s="178"/>
      <c r="CG1106" s="196"/>
      <c r="CH1106" s="178"/>
      <c r="CI1106" s="178"/>
      <c r="CJ1106" s="178"/>
      <c r="CK1106" s="178"/>
      <c r="CL1106" s="178"/>
      <c r="CM1106" s="178"/>
      <c r="CN1106" s="178"/>
      <c r="CO1106" s="178"/>
      <c r="CP1106" s="178"/>
      <c r="CQ1106" s="178"/>
      <c r="CR1106" s="178"/>
      <c r="CS1106" s="178"/>
      <c r="CT1106" s="178"/>
      <c r="CU1106" s="178"/>
      <c r="CV1106" s="178"/>
      <c r="CW1106" s="178"/>
      <c r="CX1106" s="178"/>
      <c r="CY1106" s="178"/>
      <c r="CZ1106" s="178"/>
      <c r="DA1106" s="150"/>
    </row>
    <row r="1107" spans="53:105" x14ac:dyDescent="0.2">
      <c r="BA1107" s="518">
        <f t="shared" ca="1" si="64"/>
        <v>61</v>
      </c>
      <c r="BB1107" s="174">
        <f t="shared" ca="1" si="65"/>
        <v>1044</v>
      </c>
      <c r="BC1107" s="525" t="e">
        <f ca="1">MATCH(BD1107,OFFSET(Pinlist!$A$2,BC1106*(BA1107=BA1106),0,$BM$23,1),0)+BC1106*(BA1107=BA1106)</f>
        <v>#N/A</v>
      </c>
      <c r="BD1107" s="167">
        <f t="shared" ca="1" si="66"/>
        <v>0</v>
      </c>
      <c r="BE1107" s="191" t="e">
        <f ca="1">(OFFSET(Pinlist!$E$1,BC1107,0)-$BN$16)*$BN$19</f>
        <v>#N/A</v>
      </c>
      <c r="BF1107" s="192" t="e">
        <f ca="1">(OFFSET(Pinlist!$F$1,BC1107,0)-$BO$16)*$BO$19</f>
        <v>#N/A</v>
      </c>
      <c r="BG1107" s="1098" t="str">
        <f ca="1">IF(LEFT(BD1107,2)="RF",OFFSET(Pinlist!$D$1,Chart!BC1107,0)&amp;"_"&amp;OFFSET(Pinlist!$G$1,Chart!BC1107,0),"")</f>
        <v/>
      </c>
      <c r="BH1107" s="1098"/>
      <c r="BI1107" s="178"/>
      <c r="BJ1107" s="178"/>
      <c r="BK1107" s="178"/>
      <c r="BL1107" s="178"/>
      <c r="BM1107" s="178"/>
      <c r="BN1107" s="178"/>
      <c r="BO1107" s="178"/>
      <c r="BP1107" s="178"/>
      <c r="BQ1107" s="196"/>
      <c r="BR1107" s="196"/>
      <c r="BS1107" s="196"/>
      <c r="BT1107" s="196"/>
      <c r="BU1107" s="196"/>
      <c r="BV1107" s="196"/>
      <c r="BW1107" s="178"/>
      <c r="BX1107" s="196"/>
      <c r="BY1107" s="196"/>
      <c r="BZ1107" s="196"/>
      <c r="CA1107" s="196"/>
      <c r="CB1107" s="178"/>
      <c r="CC1107" s="178"/>
      <c r="CD1107" s="202"/>
      <c r="CE1107" s="202"/>
      <c r="CF1107" s="178"/>
      <c r="CG1107" s="196"/>
      <c r="CH1107" s="178"/>
      <c r="CI1107" s="178"/>
      <c r="CJ1107" s="178"/>
      <c r="CK1107" s="178"/>
      <c r="CL1107" s="178"/>
      <c r="CM1107" s="178"/>
      <c r="CN1107" s="178"/>
      <c r="CO1107" s="178"/>
      <c r="CP1107" s="178"/>
      <c r="CQ1107" s="178"/>
      <c r="CR1107" s="178"/>
      <c r="CS1107" s="178"/>
      <c r="CT1107" s="178"/>
      <c r="CU1107" s="178"/>
      <c r="CV1107" s="178"/>
      <c r="CW1107" s="178"/>
      <c r="CX1107" s="178"/>
      <c r="CY1107" s="178"/>
      <c r="CZ1107" s="178"/>
      <c r="DA1107" s="150"/>
    </row>
    <row r="1108" spans="53:105" x14ac:dyDescent="0.2">
      <c r="BA1108" s="518">
        <f t="shared" ca="1" si="64"/>
        <v>61</v>
      </c>
      <c r="BB1108" s="174">
        <f t="shared" ca="1" si="65"/>
        <v>1045</v>
      </c>
      <c r="BC1108" s="525" t="e">
        <f ca="1">MATCH(BD1108,OFFSET(Pinlist!$A$2,BC1107*(BA1108=BA1107),0,$BM$23,1),0)+BC1107*(BA1108=BA1107)</f>
        <v>#N/A</v>
      </c>
      <c r="BD1108" s="167">
        <f t="shared" ca="1" si="66"/>
        <v>0</v>
      </c>
      <c r="BE1108" s="191" t="e">
        <f ca="1">(OFFSET(Pinlist!$E$1,BC1108,0)-$BN$16)*$BN$19</f>
        <v>#N/A</v>
      </c>
      <c r="BF1108" s="192" t="e">
        <f ca="1">(OFFSET(Pinlist!$F$1,BC1108,0)-$BO$16)*$BO$19</f>
        <v>#N/A</v>
      </c>
      <c r="BG1108" s="1098" t="str">
        <f ca="1">IF(LEFT(BD1108,2)="RF",OFFSET(Pinlist!$D$1,Chart!BC1108,0)&amp;"_"&amp;OFFSET(Pinlist!$G$1,Chart!BC1108,0),"")</f>
        <v/>
      </c>
      <c r="BH1108" s="1098"/>
      <c r="BI1108" s="178"/>
      <c r="BJ1108" s="178"/>
      <c r="BK1108" s="178"/>
      <c r="BL1108" s="178"/>
      <c r="BM1108" s="178"/>
      <c r="BN1108" s="178"/>
      <c r="BO1108" s="178"/>
      <c r="BP1108" s="178"/>
      <c r="BQ1108" s="196"/>
      <c r="BR1108" s="196"/>
      <c r="BS1108" s="196"/>
      <c r="BT1108" s="196"/>
      <c r="BU1108" s="196"/>
      <c r="BV1108" s="196"/>
      <c r="BW1108" s="178"/>
      <c r="BX1108" s="196"/>
      <c r="BY1108" s="196"/>
      <c r="BZ1108" s="196"/>
      <c r="CA1108" s="196"/>
      <c r="CB1108" s="178"/>
      <c r="CC1108" s="178"/>
      <c r="CD1108" s="202"/>
      <c r="CE1108" s="202"/>
      <c r="CF1108" s="178"/>
      <c r="CG1108" s="196"/>
      <c r="CH1108" s="178"/>
      <c r="CI1108" s="178"/>
      <c r="CJ1108" s="178"/>
      <c r="CK1108" s="178"/>
      <c r="CL1108" s="178"/>
      <c r="CM1108" s="178"/>
      <c r="CN1108" s="178"/>
      <c r="CO1108" s="178"/>
      <c r="CP1108" s="178"/>
      <c r="CQ1108" s="178"/>
      <c r="CR1108" s="178"/>
      <c r="CS1108" s="178"/>
      <c r="CT1108" s="178"/>
      <c r="CU1108" s="178"/>
      <c r="CV1108" s="178"/>
      <c r="CW1108" s="178"/>
      <c r="CX1108" s="178"/>
      <c r="CY1108" s="178"/>
      <c r="CZ1108" s="178"/>
      <c r="DA1108" s="150"/>
    </row>
    <row r="1109" spans="53:105" x14ac:dyDescent="0.2">
      <c r="BA1109" s="518">
        <f t="shared" ca="1" si="64"/>
        <v>61</v>
      </c>
      <c r="BB1109" s="174">
        <f t="shared" ca="1" si="65"/>
        <v>1046</v>
      </c>
      <c r="BC1109" s="525" t="e">
        <f ca="1">MATCH(BD1109,OFFSET(Pinlist!$A$2,BC1108*(BA1109=BA1108),0,$BM$23,1),0)+BC1108*(BA1109=BA1108)</f>
        <v>#N/A</v>
      </c>
      <c r="BD1109" s="167">
        <f t="shared" ca="1" si="66"/>
        <v>0</v>
      </c>
      <c r="BE1109" s="191" t="e">
        <f ca="1">(OFFSET(Pinlist!$E$1,BC1109,0)-$BN$16)*$BN$19</f>
        <v>#N/A</v>
      </c>
      <c r="BF1109" s="192" t="e">
        <f ca="1">(OFFSET(Pinlist!$F$1,BC1109,0)-$BO$16)*$BO$19</f>
        <v>#N/A</v>
      </c>
      <c r="BG1109" s="1098" t="str">
        <f ca="1">IF(LEFT(BD1109,2)="RF",OFFSET(Pinlist!$D$1,Chart!BC1109,0)&amp;"_"&amp;OFFSET(Pinlist!$G$1,Chart!BC1109,0),"")</f>
        <v/>
      </c>
      <c r="BH1109" s="1098"/>
      <c r="BI1109" s="178"/>
      <c r="BJ1109" s="178"/>
      <c r="BK1109" s="178"/>
      <c r="BL1109" s="178"/>
      <c r="BM1109" s="178"/>
      <c r="BN1109" s="178"/>
      <c r="BO1109" s="178"/>
      <c r="BP1109" s="178"/>
      <c r="BQ1109" s="196"/>
      <c r="BR1109" s="196"/>
      <c r="BS1109" s="196"/>
      <c r="BT1109" s="196"/>
      <c r="BU1109" s="196"/>
      <c r="BV1109" s="196"/>
      <c r="BW1109" s="178"/>
      <c r="BX1109" s="196"/>
      <c r="BY1109" s="196"/>
      <c r="BZ1109" s="196"/>
      <c r="CA1109" s="196"/>
      <c r="CB1109" s="178"/>
      <c r="CC1109" s="178"/>
      <c r="CD1109" s="202"/>
      <c r="CE1109" s="202"/>
      <c r="CF1109" s="178"/>
      <c r="CG1109" s="196"/>
      <c r="CH1109" s="178"/>
      <c r="CI1109" s="178"/>
      <c r="CJ1109" s="178"/>
      <c r="CK1109" s="178"/>
      <c r="CL1109" s="178"/>
      <c r="CM1109" s="178"/>
      <c r="CN1109" s="178"/>
      <c r="CO1109" s="178"/>
      <c r="CP1109" s="178"/>
      <c r="CQ1109" s="178"/>
      <c r="CR1109" s="178"/>
      <c r="CS1109" s="178"/>
      <c r="CT1109" s="178"/>
      <c r="CU1109" s="178"/>
      <c r="CV1109" s="178"/>
      <c r="CW1109" s="178"/>
      <c r="CX1109" s="178"/>
      <c r="CY1109" s="178"/>
      <c r="CZ1109" s="178"/>
      <c r="DA1109" s="150"/>
    </row>
    <row r="1110" spans="53:105" x14ac:dyDescent="0.2">
      <c r="BA1110" s="518">
        <f t="shared" ca="1" si="64"/>
        <v>61</v>
      </c>
      <c r="BB1110" s="174">
        <f t="shared" ca="1" si="65"/>
        <v>1047</v>
      </c>
      <c r="BC1110" s="525" t="e">
        <f ca="1">MATCH(BD1110,OFFSET(Pinlist!$A$2,BC1109*(BA1110=BA1109),0,$BM$23,1),0)+BC1109*(BA1110=BA1109)</f>
        <v>#N/A</v>
      </c>
      <c r="BD1110" s="167">
        <f t="shared" ca="1" si="66"/>
        <v>0</v>
      </c>
      <c r="BE1110" s="191" t="e">
        <f ca="1">(OFFSET(Pinlist!$E$1,BC1110,0)-$BN$16)*$BN$19</f>
        <v>#N/A</v>
      </c>
      <c r="BF1110" s="192" t="e">
        <f ca="1">(OFFSET(Pinlist!$F$1,BC1110,0)-$BO$16)*$BO$19</f>
        <v>#N/A</v>
      </c>
      <c r="BG1110" s="1098" t="str">
        <f ca="1">IF(LEFT(BD1110,2)="RF",OFFSET(Pinlist!$D$1,Chart!BC1110,0)&amp;"_"&amp;OFFSET(Pinlist!$G$1,Chart!BC1110,0),"")</f>
        <v/>
      </c>
      <c r="BH1110" s="1098"/>
      <c r="BI1110" s="178"/>
      <c r="BJ1110" s="178"/>
      <c r="BK1110" s="178"/>
      <c r="BL1110" s="178"/>
      <c r="BM1110" s="178"/>
      <c r="BN1110" s="178"/>
      <c r="BO1110" s="178"/>
      <c r="BP1110" s="178"/>
      <c r="BQ1110" s="196"/>
      <c r="BR1110" s="196"/>
      <c r="BS1110" s="196"/>
      <c r="BT1110" s="196"/>
      <c r="BU1110" s="196"/>
      <c r="BV1110" s="196"/>
      <c r="BW1110" s="178"/>
      <c r="BX1110" s="196"/>
      <c r="BY1110" s="196"/>
      <c r="BZ1110" s="196"/>
      <c r="CA1110" s="196"/>
      <c r="CB1110" s="178"/>
      <c r="CC1110" s="178"/>
      <c r="CD1110" s="202"/>
      <c r="CE1110" s="202"/>
      <c r="CF1110" s="178"/>
      <c r="CG1110" s="196"/>
      <c r="CH1110" s="178"/>
      <c r="CI1110" s="178"/>
      <c r="CJ1110" s="178"/>
      <c r="CK1110" s="178"/>
      <c r="CL1110" s="178"/>
      <c r="CM1110" s="178"/>
      <c r="CN1110" s="178"/>
      <c r="CO1110" s="178"/>
      <c r="CP1110" s="178"/>
      <c r="CQ1110" s="178"/>
      <c r="CR1110" s="178"/>
      <c r="CS1110" s="178"/>
      <c r="CT1110" s="178"/>
      <c r="CU1110" s="178"/>
      <c r="CV1110" s="178"/>
      <c r="CW1110" s="178"/>
      <c r="CX1110" s="178"/>
      <c r="CY1110" s="178"/>
      <c r="CZ1110" s="178"/>
      <c r="DA1110" s="150"/>
    </row>
    <row r="1111" spans="53:105" x14ac:dyDescent="0.2">
      <c r="BA1111" s="518">
        <f t="shared" ca="1" si="64"/>
        <v>61</v>
      </c>
      <c r="BB1111" s="174">
        <f t="shared" ca="1" si="65"/>
        <v>1048</v>
      </c>
      <c r="BC1111" s="525" t="e">
        <f ca="1">MATCH(BD1111,OFFSET(Pinlist!$A$2,BC1110*(BA1111=BA1110),0,$BM$23,1),0)+BC1110*(BA1111=BA1110)</f>
        <v>#N/A</v>
      </c>
      <c r="BD1111" s="167">
        <f t="shared" ca="1" si="66"/>
        <v>0</v>
      </c>
      <c r="BE1111" s="191" t="e">
        <f ca="1">(OFFSET(Pinlist!$E$1,BC1111,0)-$BN$16)*$BN$19</f>
        <v>#N/A</v>
      </c>
      <c r="BF1111" s="192" t="e">
        <f ca="1">(OFFSET(Pinlist!$F$1,BC1111,0)-$BO$16)*$BO$19</f>
        <v>#N/A</v>
      </c>
      <c r="BG1111" s="1098" t="str">
        <f ca="1">IF(LEFT(BD1111,2)="RF",OFFSET(Pinlist!$D$1,Chart!BC1111,0)&amp;"_"&amp;OFFSET(Pinlist!$G$1,Chart!BC1111,0),"")</f>
        <v/>
      </c>
      <c r="BH1111" s="1098"/>
      <c r="BI1111" s="178"/>
      <c r="BJ1111" s="178"/>
      <c r="BK1111" s="178"/>
      <c r="BL1111" s="178"/>
      <c r="BM1111" s="178"/>
      <c r="BN1111" s="178"/>
      <c r="BO1111" s="178"/>
      <c r="BP1111" s="178"/>
      <c r="BQ1111" s="196"/>
      <c r="BR1111" s="196"/>
      <c r="BS1111" s="196"/>
      <c r="BT1111" s="196"/>
      <c r="BU1111" s="196"/>
      <c r="BV1111" s="196"/>
      <c r="BW1111" s="178"/>
      <c r="BX1111" s="196"/>
      <c r="BY1111" s="196"/>
      <c r="BZ1111" s="196"/>
      <c r="CA1111" s="196"/>
      <c r="CB1111" s="178"/>
      <c r="CC1111" s="178"/>
      <c r="CD1111" s="202"/>
      <c r="CE1111" s="202"/>
      <c r="CF1111" s="178"/>
      <c r="CG1111" s="196"/>
      <c r="CH1111" s="178"/>
      <c r="CI1111" s="178"/>
      <c r="CJ1111" s="178"/>
      <c r="CK1111" s="178"/>
      <c r="CL1111" s="178"/>
      <c r="CM1111" s="178"/>
      <c r="CN1111" s="178"/>
      <c r="CO1111" s="178"/>
      <c r="CP1111" s="178"/>
      <c r="CQ1111" s="178"/>
      <c r="CR1111" s="178"/>
      <c r="CS1111" s="178"/>
      <c r="CT1111" s="178"/>
      <c r="CU1111" s="178"/>
      <c r="CV1111" s="178"/>
      <c r="CW1111" s="178"/>
      <c r="CX1111" s="178"/>
      <c r="CY1111" s="178"/>
      <c r="CZ1111" s="178"/>
      <c r="DA1111" s="150"/>
    </row>
    <row r="1112" spans="53:105" x14ac:dyDescent="0.2">
      <c r="BA1112" s="518">
        <f t="shared" ca="1" si="64"/>
        <v>61</v>
      </c>
      <c r="BB1112" s="174">
        <f t="shared" ca="1" si="65"/>
        <v>1049</v>
      </c>
      <c r="BC1112" s="525" t="e">
        <f ca="1">MATCH(BD1112,OFFSET(Pinlist!$A$2,BC1111*(BA1112=BA1111),0,$BM$23,1),0)+BC1111*(BA1112=BA1111)</f>
        <v>#N/A</v>
      </c>
      <c r="BD1112" s="167">
        <f t="shared" ca="1" si="66"/>
        <v>0</v>
      </c>
      <c r="BE1112" s="191" t="e">
        <f ca="1">(OFFSET(Pinlist!$E$1,BC1112,0)-$BN$16)*$BN$19</f>
        <v>#N/A</v>
      </c>
      <c r="BF1112" s="192" t="e">
        <f ca="1">(OFFSET(Pinlist!$F$1,BC1112,0)-$BO$16)*$BO$19</f>
        <v>#N/A</v>
      </c>
      <c r="BG1112" s="1098" t="str">
        <f ca="1">IF(LEFT(BD1112,2)="RF",OFFSET(Pinlist!$D$1,Chart!BC1112,0)&amp;"_"&amp;OFFSET(Pinlist!$G$1,Chart!BC1112,0),"")</f>
        <v/>
      </c>
      <c r="BH1112" s="1098"/>
      <c r="BI1112" s="178"/>
      <c r="BJ1112" s="178"/>
      <c r="BK1112" s="178"/>
      <c r="BL1112" s="178"/>
      <c r="BM1112" s="178"/>
      <c r="BN1112" s="178"/>
      <c r="BO1112" s="178"/>
      <c r="BP1112" s="178"/>
      <c r="BQ1112" s="196"/>
      <c r="BR1112" s="196"/>
      <c r="BS1112" s="196"/>
      <c r="BT1112" s="196"/>
      <c r="BU1112" s="196"/>
      <c r="BV1112" s="196"/>
      <c r="BW1112" s="178"/>
      <c r="BX1112" s="196"/>
      <c r="BY1112" s="196"/>
      <c r="BZ1112" s="196"/>
      <c r="CA1112" s="196"/>
      <c r="CB1112" s="178"/>
      <c r="CC1112" s="178"/>
      <c r="CD1112" s="202"/>
      <c r="CE1112" s="202"/>
      <c r="CF1112" s="178"/>
      <c r="CG1112" s="196"/>
      <c r="CH1112" s="178"/>
      <c r="CI1112" s="178"/>
      <c r="CJ1112" s="178"/>
      <c r="CK1112" s="178"/>
      <c r="CL1112" s="178"/>
      <c r="CM1112" s="178"/>
      <c r="CN1112" s="178"/>
      <c r="CO1112" s="178"/>
      <c r="CP1112" s="178"/>
      <c r="CQ1112" s="178"/>
      <c r="CR1112" s="178"/>
      <c r="CS1112" s="178"/>
      <c r="CT1112" s="178"/>
      <c r="CU1112" s="178"/>
      <c r="CV1112" s="178"/>
      <c r="CW1112" s="178"/>
      <c r="CX1112" s="178"/>
      <c r="CY1112" s="178"/>
      <c r="CZ1112" s="178"/>
      <c r="DA1112" s="150"/>
    </row>
    <row r="1113" spans="53:105" x14ac:dyDescent="0.2">
      <c r="BA1113" s="518">
        <f t="shared" ca="1" si="64"/>
        <v>61</v>
      </c>
      <c r="BB1113" s="174">
        <f t="shared" ca="1" si="65"/>
        <v>1050</v>
      </c>
      <c r="BC1113" s="525" t="e">
        <f ca="1">MATCH(BD1113,OFFSET(Pinlist!$A$2,BC1112*(BA1113=BA1112),0,$BM$23,1),0)+BC1112*(BA1113=BA1112)</f>
        <v>#N/A</v>
      </c>
      <c r="BD1113" s="167">
        <f t="shared" ca="1" si="66"/>
        <v>0</v>
      </c>
      <c r="BE1113" s="191" t="e">
        <f ca="1">(OFFSET(Pinlist!$E$1,BC1113,0)-$BN$16)*$BN$19</f>
        <v>#N/A</v>
      </c>
      <c r="BF1113" s="192" t="e">
        <f ca="1">(OFFSET(Pinlist!$F$1,BC1113,0)-$BO$16)*$BO$19</f>
        <v>#N/A</v>
      </c>
      <c r="BG1113" s="1098" t="str">
        <f ca="1">IF(LEFT(BD1113,2)="RF",OFFSET(Pinlist!$D$1,Chart!BC1113,0)&amp;"_"&amp;OFFSET(Pinlist!$G$1,Chart!BC1113,0),"")</f>
        <v/>
      </c>
      <c r="BH1113" s="1098"/>
      <c r="BI1113" s="178"/>
      <c r="BJ1113" s="178"/>
      <c r="BK1113" s="178"/>
      <c r="BL1113" s="178"/>
      <c r="BM1113" s="178"/>
      <c r="BN1113" s="178"/>
      <c r="BO1113" s="178"/>
      <c r="BP1113" s="178"/>
      <c r="BQ1113" s="196"/>
      <c r="BR1113" s="196"/>
      <c r="BS1113" s="196"/>
      <c r="BT1113" s="196"/>
      <c r="BU1113" s="196"/>
      <c r="BV1113" s="196"/>
      <c r="BW1113" s="178"/>
      <c r="BX1113" s="196"/>
      <c r="BY1113" s="196"/>
      <c r="BZ1113" s="196"/>
      <c r="CA1113" s="196"/>
      <c r="CB1113" s="178"/>
      <c r="CC1113" s="178"/>
      <c r="CD1113" s="202"/>
      <c r="CE1113" s="202"/>
      <c r="CF1113" s="178"/>
      <c r="CG1113" s="196"/>
      <c r="CH1113" s="178"/>
      <c r="CI1113" s="178"/>
      <c r="CJ1113" s="178"/>
      <c r="CK1113" s="178"/>
      <c r="CL1113" s="178"/>
      <c r="CM1113" s="178"/>
      <c r="CN1113" s="178"/>
      <c r="CO1113" s="178"/>
      <c r="CP1113" s="178"/>
      <c r="CQ1113" s="178"/>
      <c r="CR1113" s="178"/>
      <c r="CS1113" s="178"/>
      <c r="CT1113" s="178"/>
      <c r="CU1113" s="178"/>
      <c r="CV1113" s="178"/>
      <c r="CW1113" s="178"/>
      <c r="CX1113" s="178"/>
      <c r="CY1113" s="178"/>
      <c r="CZ1113" s="178"/>
      <c r="DA1113" s="150"/>
    </row>
    <row r="1114" spans="53:105" x14ac:dyDescent="0.2">
      <c r="BA1114" s="518">
        <f t="shared" ca="1" si="64"/>
        <v>61</v>
      </c>
      <c r="BB1114" s="174">
        <f t="shared" ca="1" si="65"/>
        <v>1051</v>
      </c>
      <c r="BC1114" s="525" t="e">
        <f ca="1">MATCH(BD1114,OFFSET(Pinlist!$A$2,BC1113*(BA1114=BA1113),0,$BM$23,1),0)+BC1113*(BA1114=BA1113)</f>
        <v>#N/A</v>
      </c>
      <c r="BD1114" s="167">
        <f t="shared" ca="1" si="66"/>
        <v>0</v>
      </c>
      <c r="BE1114" s="191" t="e">
        <f ca="1">(OFFSET(Pinlist!$E$1,BC1114,0)-$BN$16)*$BN$19</f>
        <v>#N/A</v>
      </c>
      <c r="BF1114" s="192" t="e">
        <f ca="1">(OFFSET(Pinlist!$F$1,BC1114,0)-$BO$16)*$BO$19</f>
        <v>#N/A</v>
      </c>
      <c r="BG1114" s="1098" t="str">
        <f ca="1">IF(LEFT(BD1114,2)="RF",OFFSET(Pinlist!$D$1,Chart!BC1114,0)&amp;"_"&amp;OFFSET(Pinlist!$G$1,Chart!BC1114,0),"")</f>
        <v/>
      </c>
      <c r="BH1114" s="1098"/>
      <c r="BI1114" s="178"/>
      <c r="BJ1114" s="178"/>
      <c r="BK1114" s="178"/>
      <c r="BL1114" s="178"/>
      <c r="BM1114" s="178"/>
      <c r="BN1114" s="178"/>
      <c r="BO1114" s="178"/>
      <c r="BP1114" s="178"/>
      <c r="BQ1114" s="196"/>
      <c r="BR1114" s="196"/>
      <c r="BS1114" s="196"/>
      <c r="BT1114" s="196"/>
      <c r="BU1114" s="196"/>
      <c r="BV1114" s="196"/>
      <c r="BW1114" s="178"/>
      <c r="BX1114" s="196"/>
      <c r="BY1114" s="196"/>
      <c r="BZ1114" s="196"/>
      <c r="CA1114" s="196"/>
      <c r="CB1114" s="178"/>
      <c r="CC1114" s="178"/>
      <c r="CD1114" s="202"/>
      <c r="CE1114" s="202"/>
      <c r="CF1114" s="178"/>
      <c r="CG1114" s="196"/>
      <c r="CH1114" s="178"/>
      <c r="CI1114" s="178"/>
      <c r="CJ1114" s="178"/>
      <c r="CK1114" s="178"/>
      <c r="CL1114" s="178"/>
      <c r="CM1114" s="178"/>
      <c r="CN1114" s="178"/>
      <c r="CO1114" s="178"/>
      <c r="CP1114" s="178"/>
      <c r="CQ1114" s="178"/>
      <c r="CR1114" s="178"/>
      <c r="CS1114" s="178"/>
      <c r="CT1114" s="178"/>
      <c r="CU1114" s="178"/>
      <c r="CV1114" s="178"/>
      <c r="CW1114" s="178"/>
      <c r="CX1114" s="178"/>
      <c r="CY1114" s="178"/>
      <c r="CZ1114" s="178"/>
      <c r="DA1114" s="150"/>
    </row>
    <row r="1115" spans="53:105" x14ac:dyDescent="0.2">
      <c r="BA1115" s="518">
        <f t="shared" ca="1" si="64"/>
        <v>61</v>
      </c>
      <c r="BB1115" s="174">
        <f t="shared" ca="1" si="65"/>
        <v>1052</v>
      </c>
      <c r="BC1115" s="525" t="e">
        <f ca="1">MATCH(BD1115,OFFSET(Pinlist!$A$2,BC1114*(BA1115=BA1114),0,$BM$23,1),0)+BC1114*(BA1115=BA1114)</f>
        <v>#N/A</v>
      </c>
      <c r="BD1115" s="167">
        <f t="shared" ca="1" si="66"/>
        <v>0</v>
      </c>
      <c r="BE1115" s="191" t="e">
        <f ca="1">(OFFSET(Pinlist!$E$1,BC1115,0)-$BN$16)*$BN$19</f>
        <v>#N/A</v>
      </c>
      <c r="BF1115" s="192" t="e">
        <f ca="1">(OFFSET(Pinlist!$F$1,BC1115,0)-$BO$16)*$BO$19</f>
        <v>#N/A</v>
      </c>
      <c r="BG1115" s="1098" t="str">
        <f ca="1">IF(LEFT(BD1115,2)="RF",OFFSET(Pinlist!$D$1,Chart!BC1115,0)&amp;"_"&amp;OFFSET(Pinlist!$G$1,Chart!BC1115,0),"")</f>
        <v/>
      </c>
      <c r="BH1115" s="1098"/>
      <c r="BI1115" s="178"/>
      <c r="BJ1115" s="178"/>
      <c r="BK1115" s="178"/>
      <c r="BL1115" s="178"/>
      <c r="BM1115" s="178"/>
      <c r="BN1115" s="178"/>
      <c r="BO1115" s="178"/>
      <c r="BP1115" s="178"/>
      <c r="BQ1115" s="196"/>
      <c r="BR1115" s="196"/>
      <c r="BS1115" s="196"/>
      <c r="BT1115" s="196"/>
      <c r="BU1115" s="196"/>
      <c r="BV1115" s="196"/>
      <c r="BW1115" s="178"/>
      <c r="BX1115" s="196"/>
      <c r="BY1115" s="196"/>
      <c r="BZ1115" s="196"/>
      <c r="CA1115" s="196"/>
      <c r="CB1115" s="178"/>
      <c r="CC1115" s="178"/>
      <c r="CD1115" s="202"/>
      <c r="CE1115" s="202"/>
      <c r="CF1115" s="178"/>
      <c r="CG1115" s="196"/>
      <c r="CH1115" s="178"/>
      <c r="CI1115" s="178"/>
      <c r="CJ1115" s="178"/>
      <c r="CK1115" s="178"/>
      <c r="CL1115" s="178"/>
      <c r="CM1115" s="178"/>
      <c r="CN1115" s="178"/>
      <c r="CO1115" s="178"/>
      <c r="CP1115" s="178"/>
      <c r="CQ1115" s="178"/>
      <c r="CR1115" s="178"/>
      <c r="CS1115" s="178"/>
      <c r="CT1115" s="178"/>
      <c r="CU1115" s="178"/>
      <c r="CV1115" s="178"/>
      <c r="CW1115" s="178"/>
      <c r="CX1115" s="178"/>
      <c r="CY1115" s="178"/>
      <c r="CZ1115" s="178"/>
      <c r="DA1115" s="150"/>
    </row>
    <row r="1116" spans="53:105" x14ac:dyDescent="0.2">
      <c r="BA1116" s="518">
        <f t="shared" ca="1" si="64"/>
        <v>61</v>
      </c>
      <c r="BB1116" s="174">
        <f t="shared" ca="1" si="65"/>
        <v>1053</v>
      </c>
      <c r="BC1116" s="525" t="e">
        <f ca="1">MATCH(BD1116,OFFSET(Pinlist!$A$2,BC1115*(BA1116=BA1115),0,$BM$23,1),0)+BC1115*(BA1116=BA1115)</f>
        <v>#N/A</v>
      </c>
      <c r="BD1116" s="167">
        <f t="shared" ca="1" si="66"/>
        <v>0</v>
      </c>
      <c r="BE1116" s="191" t="e">
        <f ca="1">(OFFSET(Pinlist!$E$1,BC1116,0)-$BN$16)*$BN$19</f>
        <v>#N/A</v>
      </c>
      <c r="BF1116" s="192" t="e">
        <f ca="1">(OFFSET(Pinlist!$F$1,BC1116,0)-$BO$16)*$BO$19</f>
        <v>#N/A</v>
      </c>
      <c r="BG1116" s="1098" t="str">
        <f ca="1">IF(LEFT(BD1116,2)="RF",OFFSET(Pinlist!$D$1,Chart!BC1116,0)&amp;"_"&amp;OFFSET(Pinlist!$G$1,Chart!BC1116,0),"")</f>
        <v/>
      </c>
      <c r="BH1116" s="1098"/>
      <c r="BI1116" s="178"/>
      <c r="BJ1116" s="178"/>
      <c r="BK1116" s="178"/>
      <c r="BL1116" s="178"/>
      <c r="BM1116" s="178"/>
      <c r="BN1116" s="178"/>
      <c r="BO1116" s="178"/>
      <c r="BP1116" s="178"/>
      <c r="BQ1116" s="196"/>
      <c r="BR1116" s="196"/>
      <c r="BS1116" s="196"/>
      <c r="BT1116" s="196"/>
      <c r="BU1116" s="196"/>
      <c r="BV1116" s="196"/>
      <c r="BW1116" s="178"/>
      <c r="BX1116" s="196"/>
      <c r="BY1116" s="196"/>
      <c r="BZ1116" s="196"/>
      <c r="CA1116" s="196"/>
      <c r="CB1116" s="178"/>
      <c r="CC1116" s="178"/>
      <c r="CD1116" s="202"/>
      <c r="CE1116" s="202"/>
      <c r="CF1116" s="178"/>
      <c r="CG1116" s="196"/>
      <c r="CH1116" s="178"/>
      <c r="CI1116" s="178"/>
      <c r="CJ1116" s="178"/>
      <c r="CK1116" s="178"/>
      <c r="CL1116" s="178"/>
      <c r="CM1116" s="178"/>
      <c r="CN1116" s="178"/>
      <c r="CO1116" s="178"/>
      <c r="CP1116" s="178"/>
      <c r="CQ1116" s="178"/>
      <c r="CR1116" s="178"/>
      <c r="CS1116" s="178"/>
      <c r="CT1116" s="178"/>
      <c r="CU1116" s="178"/>
      <c r="CV1116" s="178"/>
      <c r="CW1116" s="178"/>
      <c r="CX1116" s="178"/>
      <c r="CY1116" s="178"/>
      <c r="CZ1116" s="178"/>
      <c r="DA1116" s="150"/>
    </row>
    <row r="1117" spans="53:105" x14ac:dyDescent="0.2">
      <c r="BA1117" s="518">
        <f t="shared" ca="1" si="64"/>
        <v>61</v>
      </c>
      <c r="BB1117" s="174">
        <f t="shared" ca="1" si="65"/>
        <v>1054</v>
      </c>
      <c r="BC1117" s="525" t="e">
        <f ca="1">MATCH(BD1117,OFFSET(Pinlist!$A$2,BC1116*(BA1117=BA1116),0,$BM$23,1),0)+BC1116*(BA1117=BA1116)</f>
        <v>#N/A</v>
      </c>
      <c r="BD1117" s="167">
        <f t="shared" ca="1" si="66"/>
        <v>0</v>
      </c>
      <c r="BE1117" s="191" t="e">
        <f ca="1">(OFFSET(Pinlist!$E$1,BC1117,0)-$BN$16)*$BN$19</f>
        <v>#N/A</v>
      </c>
      <c r="BF1117" s="192" t="e">
        <f ca="1">(OFFSET(Pinlist!$F$1,BC1117,0)-$BO$16)*$BO$19</f>
        <v>#N/A</v>
      </c>
      <c r="BG1117" s="1098" t="str">
        <f ca="1">IF(LEFT(BD1117,2)="RF",OFFSET(Pinlist!$D$1,Chart!BC1117,0)&amp;"_"&amp;OFFSET(Pinlist!$G$1,Chart!BC1117,0),"")</f>
        <v/>
      </c>
      <c r="BH1117" s="1098"/>
      <c r="BI1117" s="178"/>
      <c r="BJ1117" s="178"/>
      <c r="BK1117" s="178"/>
      <c r="BL1117" s="178"/>
      <c r="BM1117" s="178"/>
      <c r="BN1117" s="178"/>
      <c r="BO1117" s="178"/>
      <c r="BP1117" s="178"/>
      <c r="BQ1117" s="196"/>
      <c r="BR1117" s="196"/>
      <c r="BS1117" s="196"/>
      <c r="BT1117" s="196"/>
      <c r="BU1117" s="196"/>
      <c r="BV1117" s="196"/>
      <c r="BW1117" s="178"/>
      <c r="BX1117" s="196"/>
      <c r="BY1117" s="196"/>
      <c r="BZ1117" s="196"/>
      <c r="CA1117" s="196"/>
      <c r="CB1117" s="178"/>
      <c r="CC1117" s="178"/>
      <c r="CD1117" s="202"/>
      <c r="CE1117" s="202"/>
      <c r="CF1117" s="178"/>
      <c r="CG1117" s="196"/>
      <c r="CH1117" s="178"/>
      <c r="CI1117" s="178"/>
      <c r="CJ1117" s="178"/>
      <c r="CK1117" s="178"/>
      <c r="CL1117" s="178"/>
      <c r="CM1117" s="178"/>
      <c r="CN1117" s="178"/>
      <c r="CO1117" s="178"/>
      <c r="CP1117" s="178"/>
      <c r="CQ1117" s="178"/>
      <c r="CR1117" s="178"/>
      <c r="CS1117" s="178"/>
      <c r="CT1117" s="178"/>
      <c r="CU1117" s="178"/>
      <c r="CV1117" s="178"/>
      <c r="CW1117" s="178"/>
      <c r="CX1117" s="178"/>
      <c r="CY1117" s="178"/>
      <c r="CZ1117" s="178"/>
      <c r="DA1117" s="150"/>
    </row>
    <row r="1118" spans="53:105" x14ac:dyDescent="0.2">
      <c r="BA1118" s="518">
        <f t="shared" ca="1" si="64"/>
        <v>61</v>
      </c>
      <c r="BB1118" s="174">
        <f t="shared" ca="1" si="65"/>
        <v>1055</v>
      </c>
      <c r="BC1118" s="525" t="e">
        <f ca="1">MATCH(BD1118,OFFSET(Pinlist!$A$2,BC1117*(BA1118=BA1117),0,$BM$23,1),0)+BC1117*(BA1118=BA1117)</f>
        <v>#N/A</v>
      </c>
      <c r="BD1118" s="167">
        <f t="shared" ca="1" si="66"/>
        <v>0</v>
      </c>
      <c r="BE1118" s="191" t="e">
        <f ca="1">(OFFSET(Pinlist!$E$1,BC1118,0)-$BN$16)*$BN$19</f>
        <v>#N/A</v>
      </c>
      <c r="BF1118" s="192" t="e">
        <f ca="1">(OFFSET(Pinlist!$F$1,BC1118,0)-$BO$16)*$BO$19</f>
        <v>#N/A</v>
      </c>
      <c r="BG1118" s="1098" t="str">
        <f ca="1">IF(LEFT(BD1118,2)="RF",OFFSET(Pinlist!$D$1,Chart!BC1118,0)&amp;"_"&amp;OFFSET(Pinlist!$G$1,Chart!BC1118,0),"")</f>
        <v/>
      </c>
      <c r="BH1118" s="1098"/>
      <c r="BI1118" s="178"/>
      <c r="BJ1118" s="178"/>
      <c r="BK1118" s="178"/>
      <c r="BL1118" s="178"/>
      <c r="BM1118" s="178"/>
      <c r="BN1118" s="178"/>
      <c r="BO1118" s="178"/>
      <c r="BP1118" s="178"/>
      <c r="BQ1118" s="196"/>
      <c r="BR1118" s="196"/>
      <c r="BS1118" s="196"/>
      <c r="BT1118" s="196"/>
      <c r="BU1118" s="196"/>
      <c r="BV1118" s="196"/>
      <c r="BW1118" s="178"/>
      <c r="BX1118" s="196"/>
      <c r="BY1118" s="196"/>
      <c r="BZ1118" s="196"/>
      <c r="CA1118" s="196"/>
      <c r="CB1118" s="178"/>
      <c r="CC1118" s="178"/>
      <c r="CD1118" s="202"/>
      <c r="CE1118" s="202"/>
      <c r="CF1118" s="178"/>
      <c r="CG1118" s="196"/>
      <c r="CH1118" s="178"/>
      <c r="CI1118" s="178"/>
      <c r="CJ1118" s="178"/>
      <c r="CK1118" s="178"/>
      <c r="CL1118" s="178"/>
      <c r="CM1118" s="178"/>
      <c r="CN1118" s="178"/>
      <c r="CO1118" s="178"/>
      <c r="CP1118" s="178"/>
      <c r="CQ1118" s="178"/>
      <c r="CR1118" s="178"/>
      <c r="CS1118" s="178"/>
      <c r="CT1118" s="178"/>
      <c r="CU1118" s="178"/>
      <c r="CV1118" s="178"/>
      <c r="CW1118" s="178"/>
      <c r="CX1118" s="178"/>
      <c r="CY1118" s="178"/>
      <c r="CZ1118" s="178"/>
      <c r="DA1118" s="150"/>
    </row>
    <row r="1119" spans="53:105" x14ac:dyDescent="0.2">
      <c r="BA1119" s="518">
        <f t="shared" ca="1" si="64"/>
        <v>61</v>
      </c>
      <c r="BB1119" s="174">
        <f t="shared" ca="1" si="65"/>
        <v>1056</v>
      </c>
      <c r="BC1119" s="525" t="e">
        <f ca="1">MATCH(BD1119,OFFSET(Pinlist!$A$2,BC1118*(BA1119=BA1118),0,$BM$23,1),0)+BC1118*(BA1119=BA1118)</f>
        <v>#N/A</v>
      </c>
      <c r="BD1119" s="167">
        <f t="shared" ca="1" si="66"/>
        <v>0</v>
      </c>
      <c r="BE1119" s="191" t="e">
        <f ca="1">(OFFSET(Pinlist!$E$1,BC1119,0)-$BN$16)*$BN$19</f>
        <v>#N/A</v>
      </c>
      <c r="BF1119" s="192" t="e">
        <f ca="1">(OFFSET(Pinlist!$F$1,BC1119,0)-$BO$16)*$BO$19</f>
        <v>#N/A</v>
      </c>
      <c r="BG1119" s="1098" t="str">
        <f ca="1">IF(LEFT(BD1119,2)="RF",OFFSET(Pinlist!$D$1,Chart!BC1119,0)&amp;"_"&amp;OFFSET(Pinlist!$G$1,Chart!BC1119,0),"")</f>
        <v/>
      </c>
      <c r="BH1119" s="1098"/>
      <c r="BI1119" s="178"/>
      <c r="BJ1119" s="178"/>
      <c r="BK1119" s="178"/>
      <c r="BL1119" s="178"/>
      <c r="BM1119" s="178"/>
      <c r="BN1119" s="178"/>
      <c r="BO1119" s="178"/>
      <c r="BP1119" s="178"/>
      <c r="BQ1119" s="196"/>
      <c r="BR1119" s="196"/>
      <c r="BS1119" s="196"/>
      <c r="BT1119" s="196"/>
      <c r="BU1119" s="196"/>
      <c r="BV1119" s="196"/>
      <c r="BW1119" s="178"/>
      <c r="BX1119" s="196"/>
      <c r="BY1119" s="196"/>
      <c r="BZ1119" s="196"/>
      <c r="CA1119" s="196"/>
      <c r="CB1119" s="178"/>
      <c r="CC1119" s="178"/>
      <c r="CD1119" s="202"/>
      <c r="CE1119" s="202"/>
      <c r="CF1119" s="178"/>
      <c r="CG1119" s="196"/>
      <c r="CH1119" s="178"/>
      <c r="CI1119" s="178"/>
      <c r="CJ1119" s="178"/>
      <c r="CK1119" s="178"/>
      <c r="CL1119" s="178"/>
      <c r="CM1119" s="178"/>
      <c r="CN1119" s="178"/>
      <c r="CO1119" s="178"/>
      <c r="CP1119" s="178"/>
      <c r="CQ1119" s="178"/>
      <c r="CR1119" s="178"/>
      <c r="CS1119" s="178"/>
      <c r="CT1119" s="178"/>
      <c r="CU1119" s="178"/>
      <c r="CV1119" s="178"/>
      <c r="CW1119" s="178"/>
      <c r="CX1119" s="178"/>
      <c r="CY1119" s="178"/>
      <c r="CZ1119" s="178"/>
      <c r="DA1119" s="150"/>
    </row>
    <row r="1120" spans="53:105" x14ac:dyDescent="0.2">
      <c r="BA1120" s="518">
        <f t="shared" ca="1" si="64"/>
        <v>61</v>
      </c>
      <c r="BB1120" s="174">
        <f t="shared" ca="1" si="65"/>
        <v>1057</v>
      </c>
      <c r="BC1120" s="525" t="e">
        <f ca="1">MATCH(BD1120,OFFSET(Pinlist!$A$2,BC1119*(BA1120=BA1119),0,$BM$23,1),0)+BC1119*(BA1120=BA1119)</f>
        <v>#N/A</v>
      </c>
      <c r="BD1120" s="167">
        <f t="shared" ca="1" si="66"/>
        <v>0</v>
      </c>
      <c r="BE1120" s="191" t="e">
        <f ca="1">(OFFSET(Pinlist!$E$1,BC1120,0)-$BN$16)*$BN$19</f>
        <v>#N/A</v>
      </c>
      <c r="BF1120" s="192" t="e">
        <f ca="1">(OFFSET(Pinlist!$F$1,BC1120,0)-$BO$16)*$BO$19</f>
        <v>#N/A</v>
      </c>
      <c r="BG1120" s="1098" t="str">
        <f ca="1">IF(LEFT(BD1120,2)="RF",OFFSET(Pinlist!$D$1,Chart!BC1120,0)&amp;"_"&amp;OFFSET(Pinlist!$G$1,Chart!BC1120,0),"")</f>
        <v/>
      </c>
      <c r="BH1120" s="1098"/>
      <c r="BI1120" s="178"/>
      <c r="BJ1120" s="178"/>
      <c r="BK1120" s="178"/>
      <c r="BL1120" s="178"/>
      <c r="BM1120" s="178"/>
      <c r="BN1120" s="178"/>
      <c r="BO1120" s="178"/>
      <c r="BP1120" s="178"/>
      <c r="BQ1120" s="196"/>
      <c r="BR1120" s="196"/>
      <c r="BS1120" s="196"/>
      <c r="BT1120" s="196"/>
      <c r="BU1120" s="196"/>
      <c r="BV1120" s="196"/>
      <c r="BW1120" s="178"/>
      <c r="BX1120" s="196"/>
      <c r="BY1120" s="196"/>
      <c r="BZ1120" s="196"/>
      <c r="CA1120" s="196"/>
      <c r="CB1120" s="178"/>
      <c r="CC1120" s="178"/>
      <c r="CD1120" s="202"/>
      <c r="CE1120" s="202"/>
      <c r="CF1120" s="178"/>
      <c r="CG1120" s="196"/>
      <c r="CH1120" s="178"/>
      <c r="CI1120" s="178"/>
      <c r="CJ1120" s="178"/>
      <c r="CK1120" s="178"/>
      <c r="CL1120" s="178"/>
      <c r="CM1120" s="178"/>
      <c r="CN1120" s="178"/>
      <c r="CO1120" s="178"/>
      <c r="CP1120" s="178"/>
      <c r="CQ1120" s="178"/>
      <c r="CR1120" s="178"/>
      <c r="CS1120" s="178"/>
      <c r="CT1120" s="178"/>
      <c r="CU1120" s="178"/>
      <c r="CV1120" s="178"/>
      <c r="CW1120" s="178"/>
      <c r="CX1120" s="178"/>
      <c r="CY1120" s="178"/>
      <c r="CZ1120" s="178"/>
      <c r="DA1120" s="150"/>
    </row>
    <row r="1121" spans="53:105" x14ac:dyDescent="0.2">
      <c r="BA1121" s="518">
        <f t="shared" ca="1" si="64"/>
        <v>61</v>
      </c>
      <c r="BB1121" s="174">
        <f t="shared" ca="1" si="65"/>
        <v>1058</v>
      </c>
      <c r="BC1121" s="525" t="e">
        <f ca="1">MATCH(BD1121,OFFSET(Pinlist!$A$2,BC1120*(BA1121=BA1120),0,$BM$23,1),0)+BC1120*(BA1121=BA1120)</f>
        <v>#N/A</v>
      </c>
      <c r="BD1121" s="167">
        <f t="shared" ca="1" si="66"/>
        <v>0</v>
      </c>
      <c r="BE1121" s="191" t="e">
        <f ca="1">(OFFSET(Pinlist!$E$1,BC1121,0)-$BN$16)*$BN$19</f>
        <v>#N/A</v>
      </c>
      <c r="BF1121" s="192" t="e">
        <f ca="1">(OFFSET(Pinlist!$F$1,BC1121,0)-$BO$16)*$BO$19</f>
        <v>#N/A</v>
      </c>
      <c r="BG1121" s="1098" t="str">
        <f ca="1">IF(LEFT(BD1121,2)="RF",OFFSET(Pinlist!$D$1,Chart!BC1121,0)&amp;"_"&amp;OFFSET(Pinlist!$G$1,Chart!BC1121,0),"")</f>
        <v/>
      </c>
      <c r="BH1121" s="1098"/>
      <c r="BI1121" s="178"/>
      <c r="BJ1121" s="178"/>
      <c r="BK1121" s="178"/>
      <c r="BL1121" s="178"/>
      <c r="BM1121" s="178"/>
      <c r="BN1121" s="178"/>
      <c r="BO1121" s="178"/>
      <c r="BP1121" s="178"/>
      <c r="BQ1121" s="196"/>
      <c r="BR1121" s="196"/>
      <c r="BS1121" s="196"/>
      <c r="BT1121" s="196"/>
      <c r="BU1121" s="196"/>
      <c r="BV1121" s="196"/>
      <c r="BW1121" s="178"/>
      <c r="BX1121" s="196"/>
      <c r="BY1121" s="196"/>
      <c r="BZ1121" s="196"/>
      <c r="CA1121" s="196"/>
      <c r="CB1121" s="178"/>
      <c r="CC1121" s="178"/>
      <c r="CD1121" s="202"/>
      <c r="CE1121" s="202"/>
      <c r="CF1121" s="178"/>
      <c r="CG1121" s="196"/>
      <c r="CH1121" s="178"/>
      <c r="CI1121" s="178"/>
      <c r="CJ1121" s="178"/>
      <c r="CK1121" s="178"/>
      <c r="CL1121" s="178"/>
      <c r="CM1121" s="178"/>
      <c r="CN1121" s="178"/>
      <c r="CO1121" s="178"/>
      <c r="CP1121" s="178"/>
      <c r="CQ1121" s="178"/>
      <c r="CR1121" s="178"/>
      <c r="CS1121" s="178"/>
      <c r="CT1121" s="178"/>
      <c r="CU1121" s="178"/>
      <c r="CV1121" s="178"/>
      <c r="CW1121" s="178"/>
      <c r="CX1121" s="178"/>
      <c r="CY1121" s="178"/>
      <c r="CZ1121" s="178"/>
      <c r="DA1121" s="150"/>
    </row>
    <row r="1122" spans="53:105" x14ac:dyDescent="0.2">
      <c r="BA1122" s="518">
        <f t="shared" ca="1" si="64"/>
        <v>61</v>
      </c>
      <c r="BB1122" s="174">
        <f t="shared" ca="1" si="65"/>
        <v>1059</v>
      </c>
      <c r="BC1122" s="525" t="e">
        <f ca="1">MATCH(BD1122,OFFSET(Pinlist!$A$2,BC1121*(BA1122=BA1121),0,$BM$23,1),0)+BC1121*(BA1122=BA1121)</f>
        <v>#N/A</v>
      </c>
      <c r="BD1122" s="167">
        <f t="shared" ca="1" si="66"/>
        <v>0</v>
      </c>
      <c r="BE1122" s="191" t="e">
        <f ca="1">(OFFSET(Pinlist!$E$1,BC1122,0)-$BN$16)*$BN$19</f>
        <v>#N/A</v>
      </c>
      <c r="BF1122" s="192" t="e">
        <f ca="1">(OFFSET(Pinlist!$F$1,BC1122,0)-$BO$16)*$BO$19</f>
        <v>#N/A</v>
      </c>
      <c r="BG1122" s="1098" t="str">
        <f ca="1">IF(LEFT(BD1122,2)="RF",OFFSET(Pinlist!$D$1,Chart!BC1122,0)&amp;"_"&amp;OFFSET(Pinlist!$G$1,Chart!BC1122,0),"")</f>
        <v/>
      </c>
      <c r="BH1122" s="1098"/>
      <c r="BI1122" s="178"/>
      <c r="BJ1122" s="178"/>
      <c r="BK1122" s="178"/>
      <c r="BL1122" s="178"/>
      <c r="BM1122" s="178"/>
      <c r="BN1122" s="178"/>
      <c r="BO1122" s="178"/>
      <c r="BP1122" s="178"/>
      <c r="BQ1122" s="196"/>
      <c r="BR1122" s="196"/>
      <c r="BS1122" s="196"/>
      <c r="BT1122" s="196"/>
      <c r="BU1122" s="196"/>
      <c r="BV1122" s="196"/>
      <c r="BW1122" s="178"/>
      <c r="BX1122" s="196"/>
      <c r="BY1122" s="196"/>
      <c r="BZ1122" s="196"/>
      <c r="CA1122" s="196"/>
      <c r="CB1122" s="178"/>
      <c r="CC1122" s="178"/>
      <c r="CD1122" s="202"/>
      <c r="CE1122" s="202"/>
      <c r="CF1122" s="178"/>
      <c r="CG1122" s="196"/>
      <c r="CH1122" s="178"/>
      <c r="CI1122" s="178"/>
      <c r="CJ1122" s="178"/>
      <c r="CK1122" s="178"/>
      <c r="CL1122" s="178"/>
      <c r="CM1122" s="178"/>
      <c r="CN1122" s="178"/>
      <c r="CO1122" s="178"/>
      <c r="CP1122" s="178"/>
      <c r="CQ1122" s="178"/>
      <c r="CR1122" s="178"/>
      <c r="CS1122" s="178"/>
      <c r="CT1122" s="178"/>
      <c r="CU1122" s="178"/>
      <c r="CV1122" s="178"/>
      <c r="CW1122" s="178"/>
      <c r="CX1122" s="178"/>
      <c r="CY1122" s="178"/>
      <c r="CZ1122" s="178"/>
      <c r="DA1122" s="150"/>
    </row>
    <row r="1123" spans="53:105" x14ac:dyDescent="0.2">
      <c r="BA1123" s="518">
        <f t="shared" ca="1" si="64"/>
        <v>61</v>
      </c>
      <c r="BB1123" s="174">
        <f t="shared" ca="1" si="65"/>
        <v>1060</v>
      </c>
      <c r="BC1123" s="525" t="e">
        <f ca="1">MATCH(BD1123,OFFSET(Pinlist!$A$2,BC1122*(BA1123=BA1122),0,$BM$23,1),0)+BC1122*(BA1123=BA1122)</f>
        <v>#N/A</v>
      </c>
      <c r="BD1123" s="167">
        <f t="shared" ca="1" si="66"/>
        <v>0</v>
      </c>
      <c r="BE1123" s="191" t="e">
        <f ca="1">(OFFSET(Pinlist!$E$1,BC1123,0)-$BN$16)*$BN$19</f>
        <v>#N/A</v>
      </c>
      <c r="BF1123" s="192" t="e">
        <f ca="1">(OFFSET(Pinlist!$F$1,BC1123,0)-$BO$16)*$BO$19</f>
        <v>#N/A</v>
      </c>
      <c r="BG1123" s="1098" t="str">
        <f ca="1">IF(LEFT(BD1123,2)="RF",OFFSET(Pinlist!$D$1,Chart!BC1123,0)&amp;"_"&amp;OFFSET(Pinlist!$G$1,Chart!BC1123,0),"")</f>
        <v/>
      </c>
      <c r="BH1123" s="1098"/>
      <c r="BI1123" s="178"/>
      <c r="BJ1123" s="178"/>
      <c r="BK1123" s="178"/>
      <c r="BL1123" s="178"/>
      <c r="BM1123" s="178"/>
      <c r="BN1123" s="178"/>
      <c r="BO1123" s="178"/>
      <c r="BP1123" s="178"/>
      <c r="BQ1123" s="196"/>
      <c r="BR1123" s="196"/>
      <c r="BS1123" s="196"/>
      <c r="BT1123" s="196"/>
      <c r="BU1123" s="196"/>
      <c r="BV1123" s="196"/>
      <c r="BW1123" s="178"/>
      <c r="BX1123" s="196"/>
      <c r="BY1123" s="196"/>
      <c r="BZ1123" s="196"/>
      <c r="CA1123" s="196"/>
      <c r="CB1123" s="178"/>
      <c r="CC1123" s="178"/>
      <c r="CD1123" s="202"/>
      <c r="CE1123" s="202"/>
      <c r="CF1123" s="178"/>
      <c r="CG1123" s="196"/>
      <c r="CH1123" s="178"/>
      <c r="CI1123" s="178"/>
      <c r="CJ1123" s="178"/>
      <c r="CK1123" s="178"/>
      <c r="CL1123" s="178"/>
      <c r="CM1123" s="178"/>
      <c r="CN1123" s="178"/>
      <c r="CO1123" s="178"/>
      <c r="CP1123" s="178"/>
      <c r="CQ1123" s="178"/>
      <c r="CR1123" s="178"/>
      <c r="CS1123" s="178"/>
      <c r="CT1123" s="178"/>
      <c r="CU1123" s="178"/>
      <c r="CV1123" s="178"/>
      <c r="CW1123" s="178"/>
      <c r="CX1123" s="178"/>
      <c r="CY1123" s="178"/>
      <c r="CZ1123" s="178"/>
      <c r="DA1123" s="150"/>
    </row>
    <row r="1124" spans="53:105" x14ac:dyDescent="0.2">
      <c r="BA1124" s="518">
        <f t="shared" ca="1" si="64"/>
        <v>61</v>
      </c>
      <c r="BB1124" s="174">
        <f t="shared" ca="1" si="65"/>
        <v>1061</v>
      </c>
      <c r="BC1124" s="525" t="e">
        <f ca="1">MATCH(BD1124,OFFSET(Pinlist!$A$2,BC1123*(BA1124=BA1123),0,$BM$23,1),0)+BC1123*(BA1124=BA1123)</f>
        <v>#N/A</v>
      </c>
      <c r="BD1124" s="167">
        <f t="shared" ca="1" si="66"/>
        <v>0</v>
      </c>
      <c r="BE1124" s="191" t="e">
        <f ca="1">(OFFSET(Pinlist!$E$1,BC1124,0)-$BN$16)*$BN$19</f>
        <v>#N/A</v>
      </c>
      <c r="BF1124" s="192" t="e">
        <f ca="1">(OFFSET(Pinlist!$F$1,BC1124,0)-$BO$16)*$BO$19</f>
        <v>#N/A</v>
      </c>
      <c r="BG1124" s="1098" t="str">
        <f ca="1">IF(LEFT(BD1124,2)="RF",OFFSET(Pinlist!$D$1,Chart!BC1124,0)&amp;"_"&amp;OFFSET(Pinlist!$G$1,Chart!BC1124,0),"")</f>
        <v/>
      </c>
      <c r="BH1124" s="1098"/>
      <c r="BI1124" s="178"/>
      <c r="BJ1124" s="178"/>
      <c r="BK1124" s="178"/>
      <c r="BL1124" s="178"/>
      <c r="BM1124" s="178"/>
      <c r="BN1124" s="178"/>
      <c r="BO1124" s="178"/>
      <c r="BP1124" s="178"/>
      <c r="BQ1124" s="196"/>
      <c r="BR1124" s="196"/>
      <c r="BS1124" s="196"/>
      <c r="BT1124" s="196"/>
      <c r="BU1124" s="196"/>
      <c r="BV1124" s="196"/>
      <c r="BW1124" s="178"/>
      <c r="BX1124" s="196"/>
      <c r="BY1124" s="196"/>
      <c r="BZ1124" s="196"/>
      <c r="CA1124" s="196"/>
      <c r="CB1124" s="178"/>
      <c r="CC1124" s="178"/>
      <c r="CD1124" s="202"/>
      <c r="CE1124" s="202"/>
      <c r="CF1124" s="178"/>
      <c r="CG1124" s="196"/>
      <c r="CH1124" s="178"/>
      <c r="CI1124" s="178"/>
      <c r="CJ1124" s="178"/>
      <c r="CK1124" s="178"/>
      <c r="CL1124" s="178"/>
      <c r="CM1124" s="178"/>
      <c r="CN1124" s="178"/>
      <c r="CO1124" s="178"/>
      <c r="CP1124" s="178"/>
      <c r="CQ1124" s="178"/>
      <c r="CR1124" s="178"/>
      <c r="CS1124" s="178"/>
      <c r="CT1124" s="178"/>
      <c r="CU1124" s="178"/>
      <c r="CV1124" s="178"/>
      <c r="CW1124" s="178"/>
      <c r="CX1124" s="178"/>
      <c r="CY1124" s="178"/>
      <c r="CZ1124" s="178"/>
      <c r="DA1124" s="150"/>
    </row>
    <row r="1125" spans="53:105" x14ac:dyDescent="0.2">
      <c r="BA1125" s="518">
        <f t="shared" ca="1" si="64"/>
        <v>61</v>
      </c>
      <c r="BB1125" s="174">
        <f t="shared" ca="1" si="65"/>
        <v>1062</v>
      </c>
      <c r="BC1125" s="525" t="e">
        <f ca="1">MATCH(BD1125,OFFSET(Pinlist!$A$2,BC1124*(BA1125=BA1124),0,$BM$23,1),0)+BC1124*(BA1125=BA1124)</f>
        <v>#N/A</v>
      </c>
      <c r="BD1125" s="167">
        <f t="shared" ca="1" si="66"/>
        <v>0</v>
      </c>
      <c r="BE1125" s="191" t="e">
        <f ca="1">(OFFSET(Pinlist!$E$1,BC1125,0)-$BN$16)*$BN$19</f>
        <v>#N/A</v>
      </c>
      <c r="BF1125" s="192" t="e">
        <f ca="1">(OFFSET(Pinlist!$F$1,BC1125,0)-$BO$16)*$BO$19</f>
        <v>#N/A</v>
      </c>
      <c r="BG1125" s="1098" t="str">
        <f ca="1">IF(LEFT(BD1125,2)="RF",OFFSET(Pinlist!$D$1,Chart!BC1125,0)&amp;"_"&amp;OFFSET(Pinlist!$G$1,Chart!BC1125,0),"")</f>
        <v/>
      </c>
      <c r="BH1125" s="1098"/>
      <c r="BI1125" s="178"/>
      <c r="BJ1125" s="178"/>
      <c r="BK1125" s="178"/>
      <c r="BL1125" s="178"/>
      <c r="BM1125" s="178"/>
      <c r="BN1125" s="178"/>
      <c r="BO1125" s="178"/>
      <c r="BP1125" s="178"/>
      <c r="BQ1125" s="196"/>
      <c r="BR1125" s="196"/>
      <c r="BS1125" s="196"/>
      <c r="BT1125" s="196"/>
      <c r="BU1125" s="196"/>
      <c r="BV1125" s="196"/>
      <c r="BW1125" s="178"/>
      <c r="BX1125" s="196"/>
      <c r="BY1125" s="196"/>
      <c r="BZ1125" s="196"/>
      <c r="CA1125" s="196"/>
      <c r="CB1125" s="178"/>
      <c r="CC1125" s="178"/>
      <c r="CD1125" s="202"/>
      <c r="CE1125" s="202"/>
      <c r="CF1125" s="178"/>
      <c r="CG1125" s="196"/>
      <c r="CH1125" s="178"/>
      <c r="CI1125" s="178"/>
      <c r="CJ1125" s="178"/>
      <c r="CK1125" s="178"/>
      <c r="CL1125" s="178"/>
      <c r="CM1125" s="178"/>
      <c r="CN1125" s="178"/>
      <c r="CO1125" s="178"/>
      <c r="CP1125" s="178"/>
      <c r="CQ1125" s="178"/>
      <c r="CR1125" s="178"/>
      <c r="CS1125" s="178"/>
      <c r="CT1125" s="178"/>
      <c r="CU1125" s="178"/>
      <c r="CV1125" s="178"/>
      <c r="CW1125" s="178"/>
      <c r="CX1125" s="178"/>
      <c r="CY1125" s="178"/>
      <c r="CZ1125" s="178"/>
      <c r="DA1125" s="150"/>
    </row>
    <row r="1126" spans="53:105" x14ac:dyDescent="0.2">
      <c r="BA1126" s="518">
        <f t="shared" ca="1" si="64"/>
        <v>61</v>
      </c>
      <c r="BB1126" s="174">
        <f t="shared" ca="1" si="65"/>
        <v>1063</v>
      </c>
      <c r="BC1126" s="525" t="e">
        <f ca="1">MATCH(BD1126,OFFSET(Pinlist!$A$2,BC1125*(BA1126=BA1125),0,$BM$23,1),0)+BC1125*(BA1126=BA1125)</f>
        <v>#N/A</v>
      </c>
      <c r="BD1126" s="167">
        <f t="shared" ca="1" si="66"/>
        <v>0</v>
      </c>
      <c r="BE1126" s="191" t="e">
        <f ca="1">(OFFSET(Pinlist!$E$1,BC1126,0)-$BN$16)*$BN$19</f>
        <v>#N/A</v>
      </c>
      <c r="BF1126" s="192" t="e">
        <f ca="1">(OFFSET(Pinlist!$F$1,BC1126,0)-$BO$16)*$BO$19</f>
        <v>#N/A</v>
      </c>
      <c r="BG1126" s="1098" t="str">
        <f ca="1">IF(LEFT(BD1126,2)="RF",OFFSET(Pinlist!$D$1,Chart!BC1126,0)&amp;"_"&amp;OFFSET(Pinlist!$G$1,Chart!BC1126,0),"")</f>
        <v/>
      </c>
      <c r="BH1126" s="1098"/>
      <c r="BI1126" s="178"/>
      <c r="BJ1126" s="178"/>
      <c r="BK1126" s="178"/>
      <c r="BL1126" s="178"/>
      <c r="BM1126" s="178"/>
      <c r="BN1126" s="178"/>
      <c r="BO1126" s="178"/>
      <c r="BP1126" s="178"/>
      <c r="BQ1126" s="196"/>
      <c r="BR1126" s="196"/>
      <c r="BS1126" s="196"/>
      <c r="BT1126" s="196"/>
      <c r="BU1126" s="196"/>
      <c r="BV1126" s="196"/>
      <c r="BW1126" s="178"/>
      <c r="BX1126" s="196"/>
      <c r="BY1126" s="196"/>
      <c r="BZ1126" s="196"/>
      <c r="CA1126" s="196"/>
      <c r="CB1126" s="178"/>
      <c r="CC1126" s="178"/>
      <c r="CD1126" s="202"/>
      <c r="CE1126" s="202"/>
      <c r="CF1126" s="178"/>
      <c r="CG1126" s="196"/>
      <c r="CH1126" s="178"/>
      <c r="CI1126" s="178"/>
      <c r="CJ1126" s="178"/>
      <c r="CK1126" s="178"/>
      <c r="CL1126" s="178"/>
      <c r="CM1126" s="178"/>
      <c r="CN1126" s="178"/>
      <c r="CO1126" s="178"/>
      <c r="CP1126" s="178"/>
      <c r="CQ1126" s="178"/>
      <c r="CR1126" s="178"/>
      <c r="CS1126" s="178"/>
      <c r="CT1126" s="178"/>
      <c r="CU1126" s="178"/>
      <c r="CV1126" s="178"/>
      <c r="CW1126" s="178"/>
      <c r="CX1126" s="178"/>
      <c r="CY1126" s="178"/>
      <c r="CZ1126" s="178"/>
      <c r="DA1126" s="150"/>
    </row>
    <row r="1127" spans="53:105" x14ac:dyDescent="0.2">
      <c r="BA1127" s="518">
        <f t="shared" ca="1" si="64"/>
        <v>61</v>
      </c>
      <c r="BB1127" s="174">
        <f t="shared" ca="1" si="65"/>
        <v>1064</v>
      </c>
      <c r="BC1127" s="525" t="e">
        <f ca="1">MATCH(BD1127,OFFSET(Pinlist!$A$2,BC1126*(BA1127=BA1126),0,$BM$23,1),0)+BC1126*(BA1127=BA1126)</f>
        <v>#N/A</v>
      </c>
      <c r="BD1127" s="167">
        <f t="shared" ca="1" si="66"/>
        <v>0</v>
      </c>
      <c r="BE1127" s="191" t="e">
        <f ca="1">(OFFSET(Pinlist!$E$1,BC1127,0)-$BN$16)*$BN$19</f>
        <v>#N/A</v>
      </c>
      <c r="BF1127" s="192" t="e">
        <f ca="1">(OFFSET(Pinlist!$F$1,BC1127,0)-$BO$16)*$BO$19</f>
        <v>#N/A</v>
      </c>
      <c r="BG1127" s="1098" t="str">
        <f ca="1">IF(LEFT(BD1127,2)="RF",OFFSET(Pinlist!$D$1,Chart!BC1127,0)&amp;"_"&amp;OFFSET(Pinlist!$G$1,Chart!BC1127,0),"")</f>
        <v/>
      </c>
      <c r="BH1127" s="1098"/>
      <c r="BI1127" s="178"/>
      <c r="BJ1127" s="178"/>
      <c r="BK1127" s="178"/>
      <c r="BL1127" s="178"/>
      <c r="BM1127" s="178"/>
      <c r="BN1127" s="178"/>
      <c r="BO1127" s="178"/>
      <c r="BP1127" s="178"/>
      <c r="BQ1127" s="196"/>
      <c r="BR1127" s="196"/>
      <c r="BS1127" s="196"/>
      <c r="BT1127" s="196"/>
      <c r="BU1127" s="196"/>
      <c r="BV1127" s="196"/>
      <c r="BW1127" s="178"/>
      <c r="BX1127" s="196"/>
      <c r="BY1127" s="196"/>
      <c r="BZ1127" s="196"/>
      <c r="CA1127" s="196"/>
      <c r="CB1127" s="178"/>
      <c r="CC1127" s="178"/>
      <c r="CD1127" s="202"/>
      <c r="CE1127" s="202"/>
      <c r="CF1127" s="178"/>
      <c r="CG1127" s="196"/>
      <c r="CH1127" s="178"/>
      <c r="CI1127" s="178"/>
      <c r="CJ1127" s="178"/>
      <c r="CK1127" s="178"/>
      <c r="CL1127" s="178"/>
      <c r="CM1127" s="178"/>
      <c r="CN1127" s="178"/>
      <c r="CO1127" s="178"/>
      <c r="CP1127" s="178"/>
      <c r="CQ1127" s="178"/>
      <c r="CR1127" s="178"/>
      <c r="CS1127" s="178"/>
      <c r="CT1127" s="178"/>
      <c r="CU1127" s="178"/>
      <c r="CV1127" s="178"/>
      <c r="CW1127" s="178"/>
      <c r="CX1127" s="178"/>
      <c r="CY1127" s="178"/>
      <c r="CZ1127" s="178"/>
      <c r="DA1127" s="150"/>
    </row>
    <row r="1128" spans="53:105" x14ac:dyDescent="0.2">
      <c r="BA1128" s="518">
        <f t="shared" ca="1" si="64"/>
        <v>61</v>
      </c>
      <c r="BB1128" s="174">
        <f t="shared" ca="1" si="65"/>
        <v>1065</v>
      </c>
      <c r="BC1128" s="525" t="e">
        <f ca="1">MATCH(BD1128,OFFSET(Pinlist!$A$2,BC1127*(BA1128=BA1127),0,$BM$23,1),0)+BC1127*(BA1128=BA1127)</f>
        <v>#N/A</v>
      </c>
      <c r="BD1128" s="167">
        <f t="shared" ca="1" si="66"/>
        <v>0</v>
      </c>
      <c r="BE1128" s="191" t="e">
        <f ca="1">(OFFSET(Pinlist!$E$1,BC1128,0)-$BN$16)*$BN$19</f>
        <v>#N/A</v>
      </c>
      <c r="BF1128" s="192" t="e">
        <f ca="1">(OFFSET(Pinlist!$F$1,BC1128,0)-$BO$16)*$BO$19</f>
        <v>#N/A</v>
      </c>
      <c r="BG1128" s="1098" t="str">
        <f ca="1">IF(LEFT(BD1128,2)="RF",OFFSET(Pinlist!$D$1,Chart!BC1128,0)&amp;"_"&amp;OFFSET(Pinlist!$G$1,Chart!BC1128,0),"")</f>
        <v/>
      </c>
      <c r="BH1128" s="1098"/>
      <c r="BI1128" s="178"/>
      <c r="BJ1128" s="178"/>
      <c r="BK1128" s="178"/>
      <c r="BL1128" s="178"/>
      <c r="BM1128" s="178"/>
      <c r="BN1128" s="178"/>
      <c r="BO1128" s="178"/>
      <c r="BP1128" s="178"/>
      <c r="BQ1128" s="196"/>
      <c r="BR1128" s="196"/>
      <c r="BS1128" s="196"/>
      <c r="BT1128" s="196"/>
      <c r="BU1128" s="196"/>
      <c r="BV1128" s="196"/>
      <c r="BW1128" s="178"/>
      <c r="BX1128" s="196"/>
      <c r="BY1128" s="196"/>
      <c r="BZ1128" s="196"/>
      <c r="CA1128" s="196"/>
      <c r="CB1128" s="178"/>
      <c r="CC1128" s="178"/>
      <c r="CD1128" s="202"/>
      <c r="CE1128" s="202"/>
      <c r="CF1128" s="178"/>
      <c r="CG1128" s="196"/>
      <c r="CH1128" s="178"/>
      <c r="CI1128" s="178"/>
      <c r="CJ1128" s="178"/>
      <c r="CK1128" s="178"/>
      <c r="CL1128" s="178"/>
      <c r="CM1128" s="178"/>
      <c r="CN1128" s="178"/>
      <c r="CO1128" s="178"/>
      <c r="CP1128" s="178"/>
      <c r="CQ1128" s="178"/>
      <c r="CR1128" s="178"/>
      <c r="CS1128" s="178"/>
      <c r="CT1128" s="178"/>
      <c r="CU1128" s="178"/>
      <c r="CV1128" s="178"/>
      <c r="CW1128" s="178"/>
      <c r="CX1128" s="178"/>
      <c r="CY1128" s="178"/>
      <c r="CZ1128" s="178"/>
      <c r="DA1128" s="150"/>
    </row>
    <row r="1129" spans="53:105" x14ac:dyDescent="0.2">
      <c r="BA1129" s="518">
        <f t="shared" ca="1" si="64"/>
        <v>61</v>
      </c>
      <c r="BB1129" s="174">
        <f t="shared" ca="1" si="65"/>
        <v>1066</v>
      </c>
      <c r="BC1129" s="525" t="e">
        <f ca="1">MATCH(BD1129,OFFSET(Pinlist!$A$2,BC1128*(BA1129=BA1128),0,$BM$23,1),0)+BC1128*(BA1129=BA1128)</f>
        <v>#N/A</v>
      </c>
      <c r="BD1129" s="167">
        <f t="shared" ca="1" si="66"/>
        <v>0</v>
      </c>
      <c r="BE1129" s="191" t="e">
        <f ca="1">(OFFSET(Pinlist!$E$1,BC1129,0)-$BN$16)*$BN$19</f>
        <v>#N/A</v>
      </c>
      <c r="BF1129" s="192" t="e">
        <f ca="1">(OFFSET(Pinlist!$F$1,BC1129,0)-$BO$16)*$BO$19</f>
        <v>#N/A</v>
      </c>
      <c r="BG1129" s="1098" t="str">
        <f ca="1">IF(LEFT(BD1129,2)="RF",OFFSET(Pinlist!$D$1,Chart!BC1129,0)&amp;"_"&amp;OFFSET(Pinlist!$G$1,Chart!BC1129,0),"")</f>
        <v/>
      </c>
      <c r="BH1129" s="1098"/>
      <c r="BI1129" s="178"/>
      <c r="BJ1129" s="178"/>
      <c r="BK1129" s="178"/>
      <c r="BL1129" s="178"/>
      <c r="BM1129" s="178"/>
      <c r="BN1129" s="178"/>
      <c r="BO1129" s="178"/>
      <c r="BP1129" s="178"/>
      <c r="BQ1129" s="196"/>
      <c r="BR1129" s="196"/>
      <c r="BS1129" s="196"/>
      <c r="BT1129" s="196"/>
      <c r="BU1129" s="196"/>
      <c r="BV1129" s="196"/>
      <c r="BW1129" s="178"/>
      <c r="BX1129" s="196"/>
      <c r="BY1129" s="196"/>
      <c r="BZ1129" s="196"/>
      <c r="CA1129" s="196"/>
      <c r="CB1129" s="178"/>
      <c r="CC1129" s="178"/>
      <c r="CD1129" s="202"/>
      <c r="CE1129" s="202"/>
      <c r="CF1129" s="178"/>
      <c r="CG1129" s="196"/>
      <c r="CH1129" s="178"/>
      <c r="CI1129" s="178"/>
      <c r="CJ1129" s="178"/>
      <c r="CK1129" s="178"/>
      <c r="CL1129" s="178"/>
      <c r="CM1129" s="178"/>
      <c r="CN1129" s="178"/>
      <c r="CO1129" s="178"/>
      <c r="CP1129" s="178"/>
      <c r="CQ1129" s="178"/>
      <c r="CR1129" s="178"/>
      <c r="CS1129" s="178"/>
      <c r="CT1129" s="178"/>
      <c r="CU1129" s="178"/>
      <c r="CV1129" s="178"/>
      <c r="CW1129" s="178"/>
      <c r="CX1129" s="178"/>
      <c r="CY1129" s="178"/>
      <c r="CZ1129" s="178"/>
      <c r="DA1129" s="150"/>
    </row>
    <row r="1130" spans="53:105" x14ac:dyDescent="0.2">
      <c r="BA1130" s="518">
        <f t="shared" ca="1" si="64"/>
        <v>61</v>
      </c>
      <c r="BB1130" s="174">
        <f t="shared" ca="1" si="65"/>
        <v>1067</v>
      </c>
      <c r="BC1130" s="525" t="e">
        <f ca="1">MATCH(BD1130,OFFSET(Pinlist!$A$2,BC1129*(BA1130=BA1129),0,$BM$23,1),0)+BC1129*(BA1130=BA1129)</f>
        <v>#N/A</v>
      </c>
      <c r="BD1130" s="167">
        <f t="shared" ca="1" si="66"/>
        <v>0</v>
      </c>
      <c r="BE1130" s="191" t="e">
        <f ca="1">(OFFSET(Pinlist!$E$1,BC1130,0)-$BN$16)*$BN$19</f>
        <v>#N/A</v>
      </c>
      <c r="BF1130" s="192" t="e">
        <f ca="1">(OFFSET(Pinlist!$F$1,BC1130,0)-$BO$16)*$BO$19</f>
        <v>#N/A</v>
      </c>
      <c r="BG1130" s="1098" t="str">
        <f ca="1">IF(LEFT(BD1130,2)="RF",OFFSET(Pinlist!$D$1,Chart!BC1130,0)&amp;"_"&amp;OFFSET(Pinlist!$G$1,Chart!BC1130,0),"")</f>
        <v/>
      </c>
      <c r="BH1130" s="1098"/>
      <c r="BI1130" s="178"/>
      <c r="BJ1130" s="178"/>
      <c r="BK1130" s="178"/>
      <c r="BL1130" s="178"/>
      <c r="BM1130" s="178"/>
      <c r="BN1130" s="178"/>
      <c r="BO1130" s="178"/>
      <c r="BP1130" s="178"/>
      <c r="BQ1130" s="196"/>
      <c r="BR1130" s="196"/>
      <c r="BS1130" s="196"/>
      <c r="BT1130" s="196"/>
      <c r="BU1130" s="196"/>
      <c r="BV1130" s="196"/>
      <c r="BW1130" s="178"/>
      <c r="BX1130" s="196"/>
      <c r="BY1130" s="196"/>
      <c r="BZ1130" s="196"/>
      <c r="CA1130" s="196"/>
      <c r="CB1130" s="178"/>
      <c r="CC1130" s="178"/>
      <c r="CD1130" s="202"/>
      <c r="CE1130" s="202"/>
      <c r="CF1130" s="178"/>
      <c r="CG1130" s="196"/>
      <c r="CH1130" s="178"/>
      <c r="CI1130" s="178"/>
      <c r="CJ1130" s="178"/>
      <c r="CK1130" s="178"/>
      <c r="CL1130" s="178"/>
      <c r="CM1130" s="178"/>
      <c r="CN1130" s="178"/>
      <c r="CO1130" s="178"/>
      <c r="CP1130" s="178"/>
      <c r="CQ1130" s="178"/>
      <c r="CR1130" s="178"/>
      <c r="CS1130" s="178"/>
      <c r="CT1130" s="178"/>
      <c r="CU1130" s="178"/>
      <c r="CV1130" s="178"/>
      <c r="CW1130" s="178"/>
      <c r="CX1130" s="178"/>
      <c r="CY1130" s="178"/>
      <c r="CZ1130" s="178"/>
      <c r="DA1130" s="150"/>
    </row>
    <row r="1131" spans="53:105" x14ac:dyDescent="0.2">
      <c r="BA1131" s="518">
        <f t="shared" ca="1" si="64"/>
        <v>61</v>
      </c>
      <c r="BB1131" s="174">
        <f t="shared" ca="1" si="65"/>
        <v>1068</v>
      </c>
      <c r="BC1131" s="525" t="e">
        <f ca="1">MATCH(BD1131,OFFSET(Pinlist!$A$2,BC1130*(BA1131=BA1130),0,$BM$23,1),0)+BC1130*(BA1131=BA1130)</f>
        <v>#N/A</v>
      </c>
      <c r="BD1131" s="167">
        <f t="shared" ca="1" si="66"/>
        <v>0</v>
      </c>
      <c r="BE1131" s="191" t="e">
        <f ca="1">(OFFSET(Pinlist!$E$1,BC1131,0)-$BN$16)*$BN$19</f>
        <v>#N/A</v>
      </c>
      <c r="BF1131" s="192" t="e">
        <f ca="1">(OFFSET(Pinlist!$F$1,BC1131,0)-$BO$16)*$BO$19</f>
        <v>#N/A</v>
      </c>
      <c r="BG1131" s="1098" t="str">
        <f ca="1">IF(LEFT(BD1131,2)="RF",OFFSET(Pinlist!$D$1,Chart!BC1131,0)&amp;"_"&amp;OFFSET(Pinlist!$G$1,Chart!BC1131,0),"")</f>
        <v/>
      </c>
      <c r="BH1131" s="1098"/>
      <c r="BI1131" s="178"/>
      <c r="BJ1131" s="178"/>
      <c r="BK1131" s="178"/>
      <c r="BL1131" s="178"/>
      <c r="BM1131" s="178"/>
      <c r="BN1131" s="178"/>
      <c r="BO1131" s="178"/>
      <c r="BP1131" s="178"/>
      <c r="BQ1131" s="196"/>
      <c r="BR1131" s="196"/>
      <c r="BS1131" s="196"/>
      <c r="BT1131" s="196"/>
      <c r="BU1131" s="196"/>
      <c r="BV1131" s="196"/>
      <c r="BW1131" s="178"/>
      <c r="BX1131" s="196"/>
      <c r="BY1131" s="196"/>
      <c r="BZ1131" s="196"/>
      <c r="CA1131" s="196"/>
      <c r="CB1131" s="178"/>
      <c r="CC1131" s="178"/>
      <c r="CD1131" s="202"/>
      <c r="CE1131" s="202"/>
      <c r="CF1131" s="178"/>
      <c r="CG1131" s="196"/>
      <c r="CH1131" s="178"/>
      <c r="CI1131" s="178"/>
      <c r="CJ1131" s="178"/>
      <c r="CK1131" s="178"/>
      <c r="CL1131" s="178"/>
      <c r="CM1131" s="178"/>
      <c r="CN1131" s="178"/>
      <c r="CO1131" s="178"/>
      <c r="CP1131" s="178"/>
      <c r="CQ1131" s="178"/>
      <c r="CR1131" s="178"/>
      <c r="CS1131" s="178"/>
      <c r="CT1131" s="178"/>
      <c r="CU1131" s="178"/>
      <c r="CV1131" s="178"/>
      <c r="CW1131" s="178"/>
      <c r="CX1131" s="178"/>
      <c r="CY1131" s="178"/>
      <c r="CZ1131" s="178"/>
      <c r="DA1131" s="150"/>
    </row>
    <row r="1132" spans="53:105" x14ac:dyDescent="0.2">
      <c r="BA1132" s="518">
        <f t="shared" ca="1" si="64"/>
        <v>61</v>
      </c>
      <c r="BB1132" s="174">
        <f t="shared" ca="1" si="65"/>
        <v>1069</v>
      </c>
      <c r="BC1132" s="525" t="e">
        <f ca="1">MATCH(BD1132,OFFSET(Pinlist!$A$2,BC1131*(BA1132=BA1131),0,$BM$23,1),0)+BC1131*(BA1132=BA1131)</f>
        <v>#N/A</v>
      </c>
      <c r="BD1132" s="167">
        <f t="shared" ca="1" si="66"/>
        <v>0</v>
      </c>
      <c r="BE1132" s="191" t="e">
        <f ca="1">(OFFSET(Pinlist!$E$1,BC1132,0)-$BN$16)*$BN$19</f>
        <v>#N/A</v>
      </c>
      <c r="BF1132" s="192" t="e">
        <f ca="1">(OFFSET(Pinlist!$F$1,BC1132,0)-$BO$16)*$BO$19</f>
        <v>#N/A</v>
      </c>
      <c r="BG1132" s="1098" t="str">
        <f ca="1">IF(LEFT(BD1132,2)="RF",OFFSET(Pinlist!$D$1,Chart!BC1132,0)&amp;"_"&amp;OFFSET(Pinlist!$G$1,Chart!BC1132,0),"")</f>
        <v/>
      </c>
      <c r="BH1132" s="1098"/>
      <c r="BI1132" s="178"/>
      <c r="BJ1132" s="178"/>
      <c r="BK1132" s="178"/>
      <c r="BL1132" s="178"/>
      <c r="BM1132" s="178"/>
      <c r="BN1132" s="178"/>
      <c r="BO1132" s="178"/>
      <c r="BP1132" s="178"/>
      <c r="BQ1132" s="196"/>
      <c r="BR1132" s="196"/>
      <c r="BS1132" s="196"/>
      <c r="BT1132" s="196"/>
      <c r="BU1132" s="196"/>
      <c r="BV1132" s="196"/>
      <c r="BW1132" s="178"/>
      <c r="BX1132" s="196"/>
      <c r="BY1132" s="196"/>
      <c r="BZ1132" s="196"/>
      <c r="CA1132" s="196"/>
      <c r="CB1132" s="178"/>
      <c r="CC1132" s="178"/>
      <c r="CD1132" s="202"/>
      <c r="CE1132" s="202"/>
      <c r="CF1132" s="178"/>
      <c r="CG1132" s="196"/>
      <c r="CH1132" s="178"/>
      <c r="CI1132" s="178"/>
      <c r="CJ1132" s="178"/>
      <c r="CK1132" s="178"/>
      <c r="CL1132" s="178"/>
      <c r="CM1132" s="178"/>
      <c r="CN1132" s="178"/>
      <c r="CO1132" s="178"/>
      <c r="CP1132" s="178"/>
      <c r="CQ1132" s="178"/>
      <c r="CR1132" s="178"/>
      <c r="CS1132" s="178"/>
      <c r="CT1132" s="178"/>
      <c r="CU1132" s="178"/>
      <c r="CV1132" s="178"/>
      <c r="CW1132" s="178"/>
      <c r="CX1132" s="178"/>
      <c r="CY1132" s="178"/>
      <c r="CZ1132" s="178"/>
      <c r="DA1132" s="150"/>
    </row>
    <row r="1133" spans="53:105" x14ac:dyDescent="0.2">
      <c r="BA1133" s="518">
        <f t="shared" ca="1" si="64"/>
        <v>61</v>
      </c>
      <c r="BB1133" s="174">
        <f t="shared" ca="1" si="65"/>
        <v>1070</v>
      </c>
      <c r="BC1133" s="525" t="e">
        <f ca="1">MATCH(BD1133,OFFSET(Pinlist!$A$2,BC1132*(BA1133=BA1132),0,$BM$23,1),0)+BC1132*(BA1133=BA1132)</f>
        <v>#N/A</v>
      </c>
      <c r="BD1133" s="167">
        <f t="shared" ca="1" si="66"/>
        <v>0</v>
      </c>
      <c r="BE1133" s="191" t="e">
        <f ca="1">(OFFSET(Pinlist!$E$1,BC1133,0)-$BN$16)*$BN$19</f>
        <v>#N/A</v>
      </c>
      <c r="BF1133" s="192" t="e">
        <f ca="1">(OFFSET(Pinlist!$F$1,BC1133,0)-$BO$16)*$BO$19</f>
        <v>#N/A</v>
      </c>
      <c r="BG1133" s="1098" t="str">
        <f ca="1">IF(LEFT(BD1133,2)="RF",OFFSET(Pinlist!$D$1,Chart!BC1133,0)&amp;"_"&amp;OFFSET(Pinlist!$G$1,Chart!BC1133,0),"")</f>
        <v/>
      </c>
      <c r="BH1133" s="1098"/>
      <c r="BI1133" s="178"/>
      <c r="BJ1133" s="178"/>
      <c r="BK1133" s="178"/>
      <c r="BL1133" s="178"/>
      <c r="BM1133" s="178"/>
      <c r="BN1133" s="178"/>
      <c r="BO1133" s="178"/>
      <c r="BP1133" s="178"/>
      <c r="BQ1133" s="196"/>
      <c r="BR1133" s="196"/>
      <c r="BS1133" s="196"/>
      <c r="BT1133" s="196"/>
      <c r="BU1133" s="196"/>
      <c r="BV1133" s="196"/>
      <c r="BW1133" s="178"/>
      <c r="BX1133" s="196"/>
      <c r="BY1133" s="196"/>
      <c r="BZ1133" s="196"/>
      <c r="CA1133" s="196"/>
      <c r="CB1133" s="178"/>
      <c r="CC1133" s="178"/>
      <c r="CD1133" s="202"/>
      <c r="CE1133" s="202"/>
      <c r="CF1133" s="178"/>
      <c r="CG1133" s="196"/>
      <c r="CH1133" s="178"/>
      <c r="CI1133" s="178"/>
      <c r="CJ1133" s="178"/>
      <c r="CK1133" s="178"/>
      <c r="CL1133" s="178"/>
      <c r="CM1133" s="178"/>
      <c r="CN1133" s="178"/>
      <c r="CO1133" s="178"/>
      <c r="CP1133" s="178"/>
      <c r="CQ1133" s="178"/>
      <c r="CR1133" s="178"/>
      <c r="CS1133" s="178"/>
      <c r="CT1133" s="178"/>
      <c r="CU1133" s="178"/>
      <c r="CV1133" s="178"/>
      <c r="CW1133" s="178"/>
      <c r="CX1133" s="178"/>
      <c r="CY1133" s="178"/>
      <c r="CZ1133" s="178"/>
      <c r="DA1133" s="150"/>
    </row>
    <row r="1134" spans="53:105" x14ac:dyDescent="0.2">
      <c r="BA1134" s="518">
        <f t="shared" ca="1" si="64"/>
        <v>61</v>
      </c>
      <c r="BB1134" s="174">
        <f t="shared" ca="1" si="65"/>
        <v>1071</v>
      </c>
      <c r="BC1134" s="525" t="e">
        <f ca="1">MATCH(BD1134,OFFSET(Pinlist!$A$2,BC1133*(BA1134=BA1133),0,$BM$23,1),0)+BC1133*(BA1134=BA1133)</f>
        <v>#N/A</v>
      </c>
      <c r="BD1134" s="167">
        <f t="shared" ca="1" si="66"/>
        <v>0</v>
      </c>
      <c r="BE1134" s="191" t="e">
        <f ca="1">(OFFSET(Pinlist!$E$1,BC1134,0)-$BN$16)*$BN$19</f>
        <v>#N/A</v>
      </c>
      <c r="BF1134" s="192" t="e">
        <f ca="1">(OFFSET(Pinlist!$F$1,BC1134,0)-$BO$16)*$BO$19</f>
        <v>#N/A</v>
      </c>
      <c r="BG1134" s="1098" t="str">
        <f ca="1">IF(LEFT(BD1134,2)="RF",OFFSET(Pinlist!$D$1,Chart!BC1134,0)&amp;"_"&amp;OFFSET(Pinlist!$G$1,Chart!BC1134,0),"")</f>
        <v/>
      </c>
      <c r="BH1134" s="1098"/>
      <c r="BI1134" s="178"/>
      <c r="BJ1134" s="178"/>
      <c r="BK1134" s="178"/>
      <c r="BL1134" s="178"/>
      <c r="BM1134" s="178"/>
      <c r="BN1134" s="178"/>
      <c r="BO1134" s="178"/>
      <c r="BP1134" s="178"/>
      <c r="BQ1134" s="196"/>
      <c r="BR1134" s="196"/>
      <c r="BS1134" s="196"/>
      <c r="BT1134" s="196"/>
      <c r="BU1134" s="196"/>
      <c r="BV1134" s="196"/>
      <c r="BW1134" s="178"/>
      <c r="BX1134" s="196"/>
      <c r="BY1134" s="196"/>
      <c r="BZ1134" s="196"/>
      <c r="CA1134" s="196"/>
      <c r="CB1134" s="178"/>
      <c r="CC1134" s="178"/>
      <c r="CD1134" s="202"/>
      <c r="CE1134" s="202"/>
      <c r="CF1134" s="178"/>
      <c r="CG1134" s="196"/>
      <c r="CH1134" s="178"/>
      <c r="CI1134" s="178"/>
      <c r="CJ1134" s="178"/>
      <c r="CK1134" s="178"/>
      <c r="CL1134" s="178"/>
      <c r="CM1134" s="178"/>
      <c r="CN1134" s="178"/>
      <c r="CO1134" s="178"/>
      <c r="CP1134" s="178"/>
      <c r="CQ1134" s="178"/>
      <c r="CR1134" s="178"/>
      <c r="CS1134" s="178"/>
      <c r="CT1134" s="178"/>
      <c r="CU1134" s="178"/>
      <c r="CV1134" s="178"/>
      <c r="CW1134" s="178"/>
      <c r="CX1134" s="178"/>
      <c r="CY1134" s="178"/>
      <c r="CZ1134" s="178"/>
      <c r="DA1134" s="150"/>
    </row>
    <row r="1135" spans="53:105" x14ac:dyDescent="0.2">
      <c r="BA1135" s="518">
        <f t="shared" ca="1" si="64"/>
        <v>61</v>
      </c>
      <c r="BB1135" s="174">
        <f t="shared" ca="1" si="65"/>
        <v>1072</v>
      </c>
      <c r="BC1135" s="525" t="e">
        <f ca="1">MATCH(BD1135,OFFSET(Pinlist!$A$2,BC1134*(BA1135=BA1134),0,$BM$23,1),0)+BC1134*(BA1135=BA1134)</f>
        <v>#N/A</v>
      </c>
      <c r="BD1135" s="167">
        <f t="shared" ca="1" si="66"/>
        <v>0</v>
      </c>
      <c r="BE1135" s="191" t="e">
        <f ca="1">(OFFSET(Pinlist!$E$1,BC1135,0)-$BN$16)*$BN$19</f>
        <v>#N/A</v>
      </c>
      <c r="BF1135" s="192" t="e">
        <f ca="1">(OFFSET(Pinlist!$F$1,BC1135,0)-$BO$16)*$BO$19</f>
        <v>#N/A</v>
      </c>
      <c r="BG1135" s="1098" t="str">
        <f ca="1">IF(LEFT(BD1135,2)="RF",OFFSET(Pinlist!$D$1,Chart!BC1135,0)&amp;"_"&amp;OFFSET(Pinlist!$G$1,Chart!BC1135,0),"")</f>
        <v/>
      </c>
      <c r="BH1135" s="1098"/>
      <c r="BI1135" s="178"/>
      <c r="BJ1135" s="178"/>
      <c r="BK1135" s="178"/>
      <c r="BL1135" s="178"/>
      <c r="BM1135" s="178"/>
      <c r="BN1135" s="178"/>
      <c r="BO1135" s="178"/>
      <c r="BP1135" s="178"/>
      <c r="BQ1135" s="196"/>
      <c r="BR1135" s="196"/>
      <c r="BS1135" s="196"/>
      <c r="BT1135" s="196"/>
      <c r="BU1135" s="196"/>
      <c r="BV1135" s="196"/>
      <c r="BW1135" s="178"/>
      <c r="BX1135" s="196"/>
      <c r="BY1135" s="196"/>
      <c r="BZ1135" s="196"/>
      <c r="CA1135" s="196"/>
      <c r="CB1135" s="178"/>
      <c r="CC1135" s="178"/>
      <c r="CD1135" s="202"/>
      <c r="CE1135" s="202"/>
      <c r="CF1135" s="178"/>
      <c r="CG1135" s="196"/>
      <c r="CH1135" s="178"/>
      <c r="CI1135" s="178"/>
      <c r="CJ1135" s="178"/>
      <c r="CK1135" s="178"/>
      <c r="CL1135" s="178"/>
      <c r="CM1135" s="178"/>
      <c r="CN1135" s="178"/>
      <c r="CO1135" s="178"/>
      <c r="CP1135" s="178"/>
      <c r="CQ1135" s="178"/>
      <c r="CR1135" s="178"/>
      <c r="CS1135" s="178"/>
      <c r="CT1135" s="178"/>
      <c r="CU1135" s="178"/>
      <c r="CV1135" s="178"/>
      <c r="CW1135" s="178"/>
      <c r="CX1135" s="178"/>
      <c r="CY1135" s="178"/>
      <c r="CZ1135" s="178"/>
      <c r="DA1135" s="150"/>
    </row>
    <row r="1136" spans="53:105" x14ac:dyDescent="0.2">
      <c r="BA1136" s="518">
        <f t="shared" ca="1" si="64"/>
        <v>61</v>
      </c>
      <c r="BB1136" s="174">
        <f t="shared" ca="1" si="65"/>
        <v>1073</v>
      </c>
      <c r="BC1136" s="525" t="e">
        <f ca="1">MATCH(BD1136,OFFSET(Pinlist!$A$2,BC1135*(BA1136=BA1135),0,$BM$23,1),0)+BC1135*(BA1136=BA1135)</f>
        <v>#N/A</v>
      </c>
      <c r="BD1136" s="167">
        <f t="shared" ca="1" si="66"/>
        <v>0</v>
      </c>
      <c r="BE1136" s="191" t="e">
        <f ca="1">(OFFSET(Pinlist!$E$1,BC1136,0)-$BN$16)*$BN$19</f>
        <v>#N/A</v>
      </c>
      <c r="BF1136" s="192" t="e">
        <f ca="1">(OFFSET(Pinlist!$F$1,BC1136,0)-$BO$16)*$BO$19</f>
        <v>#N/A</v>
      </c>
      <c r="BG1136" s="1098" t="str">
        <f ca="1">IF(LEFT(BD1136,2)="RF",OFFSET(Pinlist!$D$1,Chart!BC1136,0)&amp;"_"&amp;OFFSET(Pinlist!$G$1,Chart!BC1136,0),"")</f>
        <v/>
      </c>
      <c r="BH1136" s="1098"/>
      <c r="BI1136" s="178"/>
      <c r="BJ1136" s="178"/>
      <c r="BK1136" s="178"/>
      <c r="BL1136" s="178"/>
      <c r="BM1136" s="178"/>
      <c r="BN1136" s="178"/>
      <c r="BO1136" s="178"/>
      <c r="BP1136" s="178"/>
      <c r="BQ1136" s="196"/>
      <c r="BR1136" s="196"/>
      <c r="BS1136" s="196"/>
      <c r="BT1136" s="196"/>
      <c r="BU1136" s="196"/>
      <c r="BV1136" s="196"/>
      <c r="BW1136" s="178"/>
      <c r="BX1136" s="196"/>
      <c r="BY1136" s="196"/>
      <c r="BZ1136" s="196"/>
      <c r="CA1136" s="196"/>
      <c r="CB1136" s="178"/>
      <c r="CC1136" s="178"/>
      <c r="CD1136" s="202"/>
      <c r="CE1136" s="202"/>
      <c r="CF1136" s="178"/>
      <c r="CG1136" s="196"/>
      <c r="CH1136" s="178"/>
      <c r="CI1136" s="178"/>
      <c r="CJ1136" s="178"/>
      <c r="CK1136" s="178"/>
      <c r="CL1136" s="178"/>
      <c r="CM1136" s="178"/>
      <c r="CN1136" s="178"/>
      <c r="CO1136" s="178"/>
      <c r="CP1136" s="178"/>
      <c r="CQ1136" s="178"/>
      <c r="CR1136" s="178"/>
      <c r="CS1136" s="178"/>
      <c r="CT1136" s="178"/>
      <c r="CU1136" s="178"/>
      <c r="CV1136" s="178"/>
      <c r="CW1136" s="178"/>
      <c r="CX1136" s="178"/>
      <c r="CY1136" s="178"/>
      <c r="CZ1136" s="178"/>
      <c r="DA1136" s="150"/>
    </row>
    <row r="1137" spans="53:105" x14ac:dyDescent="0.2">
      <c r="BA1137" s="518">
        <f t="shared" ca="1" si="64"/>
        <v>61</v>
      </c>
      <c r="BB1137" s="174">
        <f t="shared" ca="1" si="65"/>
        <v>1074</v>
      </c>
      <c r="BC1137" s="525" t="e">
        <f ca="1">MATCH(BD1137,OFFSET(Pinlist!$A$2,BC1136*(BA1137=BA1136),0,$BM$23,1),0)+BC1136*(BA1137=BA1136)</f>
        <v>#N/A</v>
      </c>
      <c r="BD1137" s="167">
        <f t="shared" ca="1" si="66"/>
        <v>0</v>
      </c>
      <c r="BE1137" s="191" t="e">
        <f ca="1">(OFFSET(Pinlist!$E$1,BC1137,0)-$BN$16)*$BN$19</f>
        <v>#N/A</v>
      </c>
      <c r="BF1137" s="192" t="e">
        <f ca="1">(OFFSET(Pinlist!$F$1,BC1137,0)-$BO$16)*$BO$19</f>
        <v>#N/A</v>
      </c>
      <c r="BG1137" s="1098" t="str">
        <f ca="1">IF(LEFT(BD1137,2)="RF",OFFSET(Pinlist!$D$1,Chart!BC1137,0)&amp;"_"&amp;OFFSET(Pinlist!$G$1,Chart!BC1137,0),"")</f>
        <v/>
      </c>
      <c r="BH1137" s="1098"/>
      <c r="BI1137" s="178"/>
      <c r="BJ1137" s="178"/>
      <c r="BK1137" s="178"/>
      <c r="BL1137" s="178"/>
      <c r="BM1137" s="178"/>
      <c r="BN1137" s="178"/>
      <c r="BO1137" s="178"/>
      <c r="BP1137" s="178"/>
      <c r="BQ1137" s="196"/>
      <c r="BR1137" s="196"/>
      <c r="BS1137" s="196"/>
      <c r="BT1137" s="196"/>
      <c r="BU1137" s="196"/>
      <c r="BV1137" s="196"/>
      <c r="BW1137" s="178"/>
      <c r="BX1137" s="196"/>
      <c r="BY1137" s="196"/>
      <c r="BZ1137" s="196"/>
      <c r="CA1137" s="196"/>
      <c r="CB1137" s="178"/>
      <c r="CC1137" s="178"/>
      <c r="CD1137" s="202"/>
      <c r="CE1137" s="202"/>
      <c r="CF1137" s="178"/>
      <c r="CG1137" s="196"/>
      <c r="CH1137" s="178"/>
      <c r="CI1137" s="178"/>
      <c r="CJ1137" s="178"/>
      <c r="CK1137" s="178"/>
      <c r="CL1137" s="178"/>
      <c r="CM1137" s="178"/>
      <c r="CN1137" s="178"/>
      <c r="CO1137" s="178"/>
      <c r="CP1137" s="178"/>
      <c r="CQ1137" s="178"/>
      <c r="CR1137" s="178"/>
      <c r="CS1137" s="178"/>
      <c r="CT1137" s="178"/>
      <c r="CU1137" s="178"/>
      <c r="CV1137" s="178"/>
      <c r="CW1137" s="178"/>
      <c r="CX1137" s="178"/>
      <c r="CY1137" s="178"/>
      <c r="CZ1137" s="178"/>
      <c r="DA1137" s="150"/>
    </row>
    <row r="1138" spans="53:105" x14ac:dyDescent="0.2">
      <c r="BA1138" s="518">
        <f t="shared" ca="1" si="64"/>
        <v>61</v>
      </c>
      <c r="BB1138" s="174">
        <f t="shared" ca="1" si="65"/>
        <v>1075</v>
      </c>
      <c r="BC1138" s="525" t="e">
        <f ca="1">MATCH(BD1138,OFFSET(Pinlist!$A$2,BC1137*(BA1138=BA1137),0,$BM$23,1),0)+BC1137*(BA1138=BA1137)</f>
        <v>#N/A</v>
      </c>
      <c r="BD1138" s="167">
        <f t="shared" ca="1" si="66"/>
        <v>0</v>
      </c>
      <c r="BE1138" s="191" t="e">
        <f ca="1">(OFFSET(Pinlist!$E$1,BC1138,0)-$BN$16)*$BN$19</f>
        <v>#N/A</v>
      </c>
      <c r="BF1138" s="192" t="e">
        <f ca="1">(OFFSET(Pinlist!$F$1,BC1138,0)-$BO$16)*$BO$19</f>
        <v>#N/A</v>
      </c>
      <c r="BG1138" s="1098" t="str">
        <f ca="1">IF(LEFT(BD1138,2)="RF",OFFSET(Pinlist!$D$1,Chart!BC1138,0)&amp;"_"&amp;OFFSET(Pinlist!$G$1,Chart!BC1138,0),"")</f>
        <v/>
      </c>
      <c r="BH1138" s="1098"/>
      <c r="BI1138" s="178"/>
      <c r="BJ1138" s="178"/>
      <c r="BK1138" s="178"/>
      <c r="BL1138" s="178"/>
      <c r="BM1138" s="178"/>
      <c r="BN1138" s="178"/>
      <c r="BO1138" s="178"/>
      <c r="BP1138" s="178"/>
      <c r="BQ1138" s="196"/>
      <c r="BR1138" s="196"/>
      <c r="BS1138" s="196"/>
      <c r="BT1138" s="196"/>
      <c r="BU1138" s="196"/>
      <c r="BV1138" s="196"/>
      <c r="BW1138" s="178"/>
      <c r="BX1138" s="196"/>
      <c r="BY1138" s="196"/>
      <c r="BZ1138" s="196"/>
      <c r="CA1138" s="196"/>
      <c r="CB1138" s="178"/>
      <c r="CC1138" s="178"/>
      <c r="CD1138" s="202"/>
      <c r="CE1138" s="202"/>
      <c r="CF1138" s="178"/>
      <c r="CG1138" s="196"/>
      <c r="CH1138" s="178"/>
      <c r="CI1138" s="178"/>
      <c r="CJ1138" s="178"/>
      <c r="CK1138" s="178"/>
      <c r="CL1138" s="178"/>
      <c r="CM1138" s="178"/>
      <c r="CN1138" s="178"/>
      <c r="CO1138" s="178"/>
      <c r="CP1138" s="178"/>
      <c r="CQ1138" s="178"/>
      <c r="CR1138" s="178"/>
      <c r="CS1138" s="178"/>
      <c r="CT1138" s="178"/>
      <c r="CU1138" s="178"/>
      <c r="CV1138" s="178"/>
      <c r="CW1138" s="178"/>
      <c r="CX1138" s="178"/>
      <c r="CY1138" s="178"/>
      <c r="CZ1138" s="178"/>
      <c r="DA1138" s="150"/>
    </row>
    <row r="1139" spans="53:105" x14ac:dyDescent="0.2">
      <c r="BA1139" s="518">
        <f t="shared" ca="1" si="64"/>
        <v>61</v>
      </c>
      <c r="BB1139" s="174">
        <f t="shared" ca="1" si="65"/>
        <v>1076</v>
      </c>
      <c r="BC1139" s="525" t="e">
        <f ca="1">MATCH(BD1139,OFFSET(Pinlist!$A$2,BC1138*(BA1139=BA1138),0,$BM$23,1),0)+BC1138*(BA1139=BA1138)</f>
        <v>#N/A</v>
      </c>
      <c r="BD1139" s="167">
        <f t="shared" ca="1" si="66"/>
        <v>0</v>
      </c>
      <c r="BE1139" s="191" t="e">
        <f ca="1">(OFFSET(Pinlist!$E$1,BC1139,0)-$BN$16)*$BN$19</f>
        <v>#N/A</v>
      </c>
      <c r="BF1139" s="192" t="e">
        <f ca="1">(OFFSET(Pinlist!$F$1,BC1139,0)-$BO$16)*$BO$19</f>
        <v>#N/A</v>
      </c>
      <c r="BG1139" s="1098" t="str">
        <f ca="1">IF(LEFT(BD1139,2)="RF",OFFSET(Pinlist!$D$1,Chart!BC1139,0)&amp;"_"&amp;OFFSET(Pinlist!$G$1,Chart!BC1139,0),"")</f>
        <v/>
      </c>
      <c r="BH1139" s="1098"/>
      <c r="BI1139" s="178"/>
      <c r="BJ1139" s="178"/>
      <c r="BK1139" s="178"/>
      <c r="BL1139" s="178"/>
      <c r="BM1139" s="178"/>
      <c r="BN1139" s="178"/>
      <c r="BO1139" s="178"/>
      <c r="BP1139" s="178"/>
      <c r="BQ1139" s="196"/>
      <c r="BR1139" s="196"/>
      <c r="BS1139" s="196"/>
      <c r="BT1139" s="196"/>
      <c r="BU1139" s="196"/>
      <c r="BV1139" s="196"/>
      <c r="BW1139" s="178"/>
      <c r="BX1139" s="196"/>
      <c r="BY1139" s="196"/>
      <c r="BZ1139" s="196"/>
      <c r="CA1139" s="196"/>
      <c r="CB1139" s="178"/>
      <c r="CC1139" s="178"/>
      <c r="CD1139" s="202"/>
      <c r="CE1139" s="202"/>
      <c r="CF1139" s="178"/>
      <c r="CG1139" s="196"/>
      <c r="CH1139" s="178"/>
      <c r="CI1139" s="178"/>
      <c r="CJ1139" s="178"/>
      <c r="CK1139" s="178"/>
      <c r="CL1139" s="178"/>
      <c r="CM1139" s="178"/>
      <c r="CN1139" s="178"/>
      <c r="CO1139" s="178"/>
      <c r="CP1139" s="178"/>
      <c r="CQ1139" s="178"/>
      <c r="CR1139" s="178"/>
      <c r="CS1139" s="178"/>
      <c r="CT1139" s="178"/>
      <c r="CU1139" s="178"/>
      <c r="CV1139" s="178"/>
      <c r="CW1139" s="178"/>
      <c r="CX1139" s="178"/>
      <c r="CY1139" s="178"/>
      <c r="CZ1139" s="178"/>
      <c r="DA1139" s="150"/>
    </row>
    <row r="1140" spans="53:105" x14ac:dyDescent="0.2">
      <c r="BA1140" s="518">
        <f t="shared" ca="1" si="64"/>
        <v>61</v>
      </c>
      <c r="BB1140" s="174">
        <f t="shared" ca="1" si="65"/>
        <v>1077</v>
      </c>
      <c r="BC1140" s="525" t="e">
        <f ca="1">MATCH(BD1140,OFFSET(Pinlist!$A$2,BC1139*(BA1140=BA1139),0,$BM$23,1),0)+BC1139*(BA1140=BA1139)</f>
        <v>#N/A</v>
      </c>
      <c r="BD1140" s="167">
        <f t="shared" ca="1" si="66"/>
        <v>0</v>
      </c>
      <c r="BE1140" s="191" t="e">
        <f ca="1">(OFFSET(Pinlist!$E$1,BC1140,0)-$BN$16)*$BN$19</f>
        <v>#N/A</v>
      </c>
      <c r="BF1140" s="192" t="e">
        <f ca="1">(OFFSET(Pinlist!$F$1,BC1140,0)-$BO$16)*$BO$19</f>
        <v>#N/A</v>
      </c>
      <c r="BG1140" s="1098" t="str">
        <f ca="1">IF(LEFT(BD1140,2)="RF",OFFSET(Pinlist!$D$1,Chart!BC1140,0)&amp;"_"&amp;OFFSET(Pinlist!$G$1,Chart!BC1140,0),"")</f>
        <v/>
      </c>
      <c r="BH1140" s="1098"/>
      <c r="BI1140" s="178"/>
      <c r="BJ1140" s="178"/>
      <c r="BK1140" s="178"/>
      <c r="BL1140" s="178"/>
      <c r="BM1140" s="178"/>
      <c r="BN1140" s="178"/>
      <c r="BO1140" s="178"/>
      <c r="BP1140" s="178"/>
      <c r="BQ1140" s="196"/>
      <c r="BR1140" s="196"/>
      <c r="BS1140" s="196"/>
      <c r="BT1140" s="196"/>
      <c r="BU1140" s="196"/>
      <c r="BV1140" s="196"/>
      <c r="BW1140" s="178"/>
      <c r="BX1140" s="196"/>
      <c r="BY1140" s="196"/>
      <c r="BZ1140" s="196"/>
      <c r="CA1140" s="196"/>
      <c r="CB1140" s="178"/>
      <c r="CC1140" s="178"/>
      <c r="CD1140" s="202"/>
      <c r="CE1140" s="202"/>
      <c r="CF1140" s="178"/>
      <c r="CG1140" s="196"/>
      <c r="CH1140" s="178"/>
      <c r="CI1140" s="178"/>
      <c r="CJ1140" s="178"/>
      <c r="CK1140" s="178"/>
      <c r="CL1140" s="178"/>
      <c r="CM1140" s="178"/>
      <c r="CN1140" s="178"/>
      <c r="CO1140" s="178"/>
      <c r="CP1140" s="178"/>
      <c r="CQ1140" s="178"/>
      <c r="CR1140" s="178"/>
      <c r="CS1140" s="178"/>
      <c r="CT1140" s="178"/>
      <c r="CU1140" s="178"/>
      <c r="CV1140" s="178"/>
      <c r="CW1140" s="178"/>
      <c r="CX1140" s="178"/>
      <c r="CY1140" s="178"/>
      <c r="CZ1140" s="178"/>
      <c r="DA1140" s="150"/>
    </row>
    <row r="1141" spans="53:105" x14ac:dyDescent="0.2">
      <c r="BA1141" s="518">
        <f t="shared" ca="1" si="64"/>
        <v>61</v>
      </c>
      <c r="BB1141" s="174">
        <f t="shared" ca="1" si="65"/>
        <v>1078</v>
      </c>
      <c r="BC1141" s="525" t="e">
        <f ca="1">MATCH(BD1141,OFFSET(Pinlist!$A$2,BC1140*(BA1141=BA1140),0,$BM$23,1),0)+BC1140*(BA1141=BA1140)</f>
        <v>#N/A</v>
      </c>
      <c r="BD1141" s="167">
        <f t="shared" ca="1" si="66"/>
        <v>0</v>
      </c>
      <c r="BE1141" s="191" t="e">
        <f ca="1">(OFFSET(Pinlist!$E$1,BC1141,0)-$BN$16)*$BN$19</f>
        <v>#N/A</v>
      </c>
      <c r="BF1141" s="192" t="e">
        <f ca="1">(OFFSET(Pinlist!$F$1,BC1141,0)-$BO$16)*$BO$19</f>
        <v>#N/A</v>
      </c>
      <c r="BG1141" s="1098" t="str">
        <f ca="1">IF(LEFT(BD1141,2)="RF",OFFSET(Pinlist!$D$1,Chart!BC1141,0)&amp;"_"&amp;OFFSET(Pinlist!$G$1,Chart!BC1141,0),"")</f>
        <v/>
      </c>
      <c r="BH1141" s="1098"/>
      <c r="BI1141" s="178"/>
      <c r="BJ1141" s="178"/>
      <c r="BK1141" s="178"/>
      <c r="BL1141" s="178"/>
      <c r="BM1141" s="178"/>
      <c r="BN1141" s="178"/>
      <c r="BO1141" s="178"/>
      <c r="BP1141" s="178"/>
      <c r="BQ1141" s="196"/>
      <c r="BR1141" s="196"/>
      <c r="BS1141" s="196"/>
      <c r="BT1141" s="196"/>
      <c r="BU1141" s="196"/>
      <c r="BV1141" s="196"/>
      <c r="BW1141" s="178"/>
      <c r="BX1141" s="196"/>
      <c r="BY1141" s="196"/>
      <c r="BZ1141" s="196"/>
      <c r="CA1141" s="196"/>
      <c r="CB1141" s="178"/>
      <c r="CC1141" s="178"/>
      <c r="CD1141" s="202"/>
      <c r="CE1141" s="202"/>
      <c r="CF1141" s="178"/>
      <c r="CG1141" s="196"/>
      <c r="CH1141" s="178"/>
      <c r="CI1141" s="178"/>
      <c r="CJ1141" s="178"/>
      <c r="CK1141" s="178"/>
      <c r="CL1141" s="178"/>
      <c r="CM1141" s="178"/>
      <c r="CN1141" s="178"/>
      <c r="CO1141" s="178"/>
      <c r="CP1141" s="178"/>
      <c r="CQ1141" s="178"/>
      <c r="CR1141" s="178"/>
      <c r="CS1141" s="178"/>
      <c r="CT1141" s="178"/>
      <c r="CU1141" s="178"/>
      <c r="CV1141" s="178"/>
      <c r="CW1141" s="178"/>
      <c r="CX1141" s="178"/>
      <c r="CY1141" s="178"/>
      <c r="CZ1141" s="178"/>
      <c r="DA1141" s="150"/>
    </row>
    <row r="1142" spans="53:105" x14ac:dyDescent="0.2">
      <c r="BA1142" s="518">
        <f t="shared" ca="1" si="64"/>
        <v>61</v>
      </c>
      <c r="BB1142" s="174">
        <f t="shared" ca="1" si="65"/>
        <v>1079</v>
      </c>
      <c r="BC1142" s="525" t="e">
        <f ca="1">MATCH(BD1142,OFFSET(Pinlist!$A$2,BC1141*(BA1142=BA1141),0,$BM$23,1),0)+BC1141*(BA1142=BA1141)</f>
        <v>#N/A</v>
      </c>
      <c r="BD1142" s="167">
        <f t="shared" ca="1" si="66"/>
        <v>0</v>
      </c>
      <c r="BE1142" s="191" t="e">
        <f ca="1">(OFFSET(Pinlist!$E$1,BC1142,0)-$BN$16)*$BN$19</f>
        <v>#N/A</v>
      </c>
      <c r="BF1142" s="192" t="e">
        <f ca="1">(OFFSET(Pinlist!$F$1,BC1142,0)-$BO$16)*$BO$19</f>
        <v>#N/A</v>
      </c>
      <c r="BG1142" s="1098" t="str">
        <f ca="1">IF(LEFT(BD1142,2)="RF",OFFSET(Pinlist!$D$1,Chart!BC1142,0)&amp;"_"&amp;OFFSET(Pinlist!$G$1,Chart!BC1142,0),"")</f>
        <v/>
      </c>
      <c r="BH1142" s="1098"/>
      <c r="BI1142" s="178"/>
      <c r="BJ1142" s="178"/>
      <c r="BK1142" s="178"/>
      <c r="BL1142" s="178"/>
      <c r="BM1142" s="178"/>
      <c r="BN1142" s="178"/>
      <c r="BO1142" s="178"/>
      <c r="BP1142" s="178"/>
      <c r="BQ1142" s="196"/>
      <c r="BR1142" s="196"/>
      <c r="BS1142" s="196"/>
      <c r="BT1142" s="196"/>
      <c r="BU1142" s="196"/>
      <c r="BV1142" s="196"/>
      <c r="BW1142" s="178"/>
      <c r="BX1142" s="196"/>
      <c r="BY1142" s="196"/>
      <c r="BZ1142" s="196"/>
      <c r="CA1142" s="196"/>
      <c r="CB1142" s="178"/>
      <c r="CC1142" s="178"/>
      <c r="CD1142" s="202"/>
      <c r="CE1142" s="202"/>
      <c r="CF1142" s="178"/>
      <c r="CG1142" s="196"/>
      <c r="CH1142" s="178"/>
      <c r="CI1142" s="178"/>
      <c r="CJ1142" s="178"/>
      <c r="CK1142" s="178"/>
      <c r="CL1142" s="178"/>
      <c r="CM1142" s="178"/>
      <c r="CN1142" s="178"/>
      <c r="CO1142" s="178"/>
      <c r="CP1142" s="178"/>
      <c r="CQ1142" s="178"/>
      <c r="CR1142" s="178"/>
      <c r="CS1142" s="178"/>
      <c r="CT1142" s="178"/>
      <c r="CU1142" s="178"/>
      <c r="CV1142" s="178"/>
      <c r="CW1142" s="178"/>
      <c r="CX1142" s="178"/>
      <c r="CY1142" s="178"/>
      <c r="CZ1142" s="178"/>
      <c r="DA1142" s="150"/>
    </row>
    <row r="1143" spans="53:105" x14ac:dyDescent="0.2">
      <c r="BA1143" s="518">
        <f t="shared" ca="1" si="64"/>
        <v>61</v>
      </c>
      <c r="BB1143" s="174">
        <f t="shared" ca="1" si="65"/>
        <v>1080</v>
      </c>
      <c r="BC1143" s="525" t="e">
        <f ca="1">MATCH(BD1143,OFFSET(Pinlist!$A$2,BC1142*(BA1143=BA1142),0,$BM$23,1),0)+BC1142*(BA1143=BA1142)</f>
        <v>#N/A</v>
      </c>
      <c r="BD1143" s="167">
        <f t="shared" ca="1" si="66"/>
        <v>0</v>
      </c>
      <c r="BE1143" s="191" t="e">
        <f ca="1">(OFFSET(Pinlist!$E$1,BC1143,0)-$BN$16)*$BN$19</f>
        <v>#N/A</v>
      </c>
      <c r="BF1143" s="192" t="e">
        <f ca="1">(OFFSET(Pinlist!$F$1,BC1143,0)-$BO$16)*$BO$19</f>
        <v>#N/A</v>
      </c>
      <c r="BG1143" s="1098" t="str">
        <f ca="1">IF(LEFT(BD1143,2)="RF",OFFSET(Pinlist!$D$1,Chart!BC1143,0)&amp;"_"&amp;OFFSET(Pinlist!$G$1,Chart!BC1143,0),"")</f>
        <v/>
      </c>
      <c r="BH1143" s="1098"/>
      <c r="BI1143" s="178"/>
      <c r="BJ1143" s="178"/>
      <c r="BK1143" s="178"/>
      <c r="BL1143" s="178"/>
      <c r="BM1143" s="178"/>
      <c r="BN1143" s="178"/>
      <c r="BO1143" s="178"/>
      <c r="BP1143" s="178"/>
      <c r="BQ1143" s="196"/>
      <c r="BR1143" s="196"/>
      <c r="BS1143" s="196"/>
      <c r="BT1143" s="196"/>
      <c r="BU1143" s="196"/>
      <c r="BV1143" s="196"/>
      <c r="BW1143" s="178"/>
      <c r="BX1143" s="196"/>
      <c r="BY1143" s="196"/>
      <c r="BZ1143" s="196"/>
      <c r="CA1143" s="196"/>
      <c r="CB1143" s="178"/>
      <c r="CC1143" s="178"/>
      <c r="CD1143" s="202"/>
      <c r="CE1143" s="202"/>
      <c r="CF1143" s="178"/>
      <c r="CG1143" s="196"/>
      <c r="CH1143" s="178"/>
      <c r="CI1143" s="178"/>
      <c r="CJ1143" s="178"/>
      <c r="CK1143" s="178"/>
      <c r="CL1143" s="178"/>
      <c r="CM1143" s="178"/>
      <c r="CN1143" s="178"/>
      <c r="CO1143" s="178"/>
      <c r="CP1143" s="178"/>
      <c r="CQ1143" s="178"/>
      <c r="CR1143" s="178"/>
      <c r="CS1143" s="178"/>
      <c r="CT1143" s="178"/>
      <c r="CU1143" s="178"/>
      <c r="CV1143" s="178"/>
      <c r="CW1143" s="178"/>
      <c r="CX1143" s="178"/>
      <c r="CY1143" s="178"/>
      <c r="CZ1143" s="178"/>
      <c r="DA1143" s="150"/>
    </row>
    <row r="1144" spans="53:105" x14ac:dyDescent="0.2">
      <c r="BA1144" s="518">
        <f t="shared" ca="1" si="64"/>
        <v>61</v>
      </c>
      <c r="BB1144" s="174">
        <f t="shared" ca="1" si="65"/>
        <v>1081</v>
      </c>
      <c r="BC1144" s="525" t="e">
        <f ca="1">MATCH(BD1144,OFFSET(Pinlist!$A$2,BC1143*(BA1144=BA1143),0,$BM$23,1),0)+BC1143*(BA1144=BA1143)</f>
        <v>#N/A</v>
      </c>
      <c r="BD1144" s="167">
        <f t="shared" ca="1" si="66"/>
        <v>0</v>
      </c>
      <c r="BE1144" s="191" t="e">
        <f ca="1">(OFFSET(Pinlist!$E$1,BC1144,0)-$BN$16)*$BN$19</f>
        <v>#N/A</v>
      </c>
      <c r="BF1144" s="192" t="e">
        <f ca="1">(OFFSET(Pinlist!$F$1,BC1144,0)-$BO$16)*$BO$19</f>
        <v>#N/A</v>
      </c>
      <c r="BG1144" s="1098" t="str">
        <f ca="1">IF(LEFT(BD1144,2)="RF",OFFSET(Pinlist!$D$1,Chart!BC1144,0)&amp;"_"&amp;OFFSET(Pinlist!$G$1,Chart!BC1144,0),"")</f>
        <v/>
      </c>
      <c r="BH1144" s="1098"/>
      <c r="BI1144" s="178"/>
      <c r="BJ1144" s="178"/>
      <c r="BK1144" s="178"/>
      <c r="BL1144" s="178"/>
      <c r="BM1144" s="178"/>
      <c r="BN1144" s="178"/>
      <c r="BO1144" s="178"/>
      <c r="BP1144" s="178"/>
      <c r="BQ1144" s="196"/>
      <c r="BR1144" s="196"/>
      <c r="BS1144" s="196"/>
      <c r="BT1144" s="196"/>
      <c r="BU1144" s="196"/>
      <c r="BV1144" s="196"/>
      <c r="BW1144" s="178"/>
      <c r="BX1144" s="196"/>
      <c r="BY1144" s="196"/>
      <c r="BZ1144" s="196"/>
      <c r="CA1144" s="196"/>
      <c r="CB1144" s="178"/>
      <c r="CC1144" s="178"/>
      <c r="CD1144" s="202"/>
      <c r="CE1144" s="202"/>
      <c r="CF1144" s="178"/>
      <c r="CG1144" s="196"/>
      <c r="CH1144" s="178"/>
      <c r="CI1144" s="178"/>
      <c r="CJ1144" s="178"/>
      <c r="CK1144" s="178"/>
      <c r="CL1144" s="178"/>
      <c r="CM1144" s="178"/>
      <c r="CN1144" s="178"/>
      <c r="CO1144" s="178"/>
      <c r="CP1144" s="178"/>
      <c r="CQ1144" s="178"/>
      <c r="CR1144" s="178"/>
      <c r="CS1144" s="178"/>
      <c r="CT1144" s="178"/>
      <c r="CU1144" s="178"/>
      <c r="CV1144" s="178"/>
      <c r="CW1144" s="178"/>
      <c r="CX1144" s="178"/>
      <c r="CY1144" s="178"/>
      <c r="CZ1144" s="178"/>
      <c r="DA1144" s="150"/>
    </row>
    <row r="1145" spans="53:105" x14ac:dyDescent="0.2">
      <c r="BA1145" s="518">
        <f t="shared" ca="1" si="64"/>
        <v>61</v>
      </c>
      <c r="BB1145" s="174">
        <f t="shared" ca="1" si="65"/>
        <v>1082</v>
      </c>
      <c r="BC1145" s="525" t="e">
        <f ca="1">MATCH(BD1145,OFFSET(Pinlist!$A$2,BC1144*(BA1145=BA1144),0,$BM$23,1),0)+BC1144*(BA1145=BA1144)</f>
        <v>#N/A</v>
      </c>
      <c r="BD1145" s="167">
        <f t="shared" ca="1" si="66"/>
        <v>0</v>
      </c>
      <c r="BE1145" s="191" t="e">
        <f ca="1">(OFFSET(Pinlist!$E$1,BC1145,0)-$BN$16)*$BN$19</f>
        <v>#N/A</v>
      </c>
      <c r="BF1145" s="192" t="e">
        <f ca="1">(OFFSET(Pinlist!$F$1,BC1145,0)-$BO$16)*$BO$19</f>
        <v>#N/A</v>
      </c>
      <c r="BG1145" s="1098" t="str">
        <f ca="1">IF(LEFT(BD1145,2)="RF",OFFSET(Pinlist!$D$1,Chart!BC1145,0)&amp;"_"&amp;OFFSET(Pinlist!$G$1,Chart!BC1145,0),"")</f>
        <v/>
      </c>
      <c r="BH1145" s="1098"/>
      <c r="BI1145" s="178"/>
      <c r="BJ1145" s="178"/>
      <c r="BK1145" s="178"/>
      <c r="BL1145" s="178"/>
      <c r="BM1145" s="178"/>
      <c r="BN1145" s="178"/>
      <c r="BO1145" s="178"/>
      <c r="BP1145" s="178"/>
      <c r="BQ1145" s="196"/>
      <c r="BR1145" s="196"/>
      <c r="BS1145" s="196"/>
      <c r="BT1145" s="196"/>
      <c r="BU1145" s="196"/>
      <c r="BV1145" s="196"/>
      <c r="BW1145" s="178"/>
      <c r="BX1145" s="196"/>
      <c r="BY1145" s="196"/>
      <c r="BZ1145" s="196"/>
      <c r="CA1145" s="196"/>
      <c r="CB1145" s="178"/>
      <c r="CC1145" s="178"/>
      <c r="CD1145" s="202"/>
      <c r="CE1145" s="202"/>
      <c r="CF1145" s="178"/>
      <c r="CG1145" s="196"/>
      <c r="CH1145" s="178"/>
      <c r="CI1145" s="178"/>
      <c r="CJ1145" s="178"/>
      <c r="CK1145" s="178"/>
      <c r="CL1145" s="178"/>
      <c r="CM1145" s="178"/>
      <c r="CN1145" s="178"/>
      <c r="CO1145" s="178"/>
      <c r="CP1145" s="178"/>
      <c r="CQ1145" s="178"/>
      <c r="CR1145" s="178"/>
      <c r="CS1145" s="178"/>
      <c r="CT1145" s="178"/>
      <c r="CU1145" s="178"/>
      <c r="CV1145" s="178"/>
      <c r="CW1145" s="178"/>
      <c r="CX1145" s="178"/>
      <c r="CY1145" s="178"/>
      <c r="CZ1145" s="178"/>
      <c r="DA1145" s="150"/>
    </row>
    <row r="1146" spans="53:105" x14ac:dyDescent="0.2">
      <c r="BA1146" s="518">
        <f t="shared" ca="1" si="64"/>
        <v>61</v>
      </c>
      <c r="BB1146" s="174">
        <f t="shared" ca="1" si="65"/>
        <v>1083</v>
      </c>
      <c r="BC1146" s="525" t="e">
        <f ca="1">MATCH(BD1146,OFFSET(Pinlist!$A$2,BC1145*(BA1146=BA1145),0,$BM$23,1),0)+BC1145*(BA1146=BA1145)</f>
        <v>#N/A</v>
      </c>
      <c r="BD1146" s="167">
        <f t="shared" ca="1" si="66"/>
        <v>0</v>
      </c>
      <c r="BE1146" s="191" t="e">
        <f ca="1">(OFFSET(Pinlist!$E$1,BC1146,0)-$BN$16)*$BN$19</f>
        <v>#N/A</v>
      </c>
      <c r="BF1146" s="192" t="e">
        <f ca="1">(OFFSET(Pinlist!$F$1,BC1146,0)-$BO$16)*$BO$19</f>
        <v>#N/A</v>
      </c>
      <c r="BG1146" s="1098" t="str">
        <f ca="1">IF(LEFT(BD1146,2)="RF",OFFSET(Pinlist!$D$1,Chart!BC1146,0)&amp;"_"&amp;OFFSET(Pinlist!$G$1,Chart!BC1146,0),"")</f>
        <v/>
      </c>
      <c r="BH1146" s="1098"/>
      <c r="BI1146" s="178"/>
      <c r="BJ1146" s="178"/>
      <c r="BK1146" s="178"/>
      <c r="BL1146" s="178"/>
      <c r="BM1146" s="178"/>
      <c r="BN1146" s="178"/>
      <c r="BO1146" s="178"/>
      <c r="BP1146" s="178"/>
      <c r="BQ1146" s="196"/>
      <c r="BR1146" s="196"/>
      <c r="BS1146" s="196"/>
      <c r="BT1146" s="196"/>
      <c r="BU1146" s="196"/>
      <c r="BV1146" s="196"/>
      <c r="BW1146" s="178"/>
      <c r="BX1146" s="196"/>
      <c r="BY1146" s="196"/>
      <c r="BZ1146" s="196"/>
      <c r="CA1146" s="196"/>
      <c r="CB1146" s="178"/>
      <c r="CC1146" s="178"/>
      <c r="CD1146" s="202"/>
      <c r="CE1146" s="202"/>
      <c r="CF1146" s="178"/>
      <c r="CG1146" s="196"/>
      <c r="CH1146" s="178"/>
      <c r="CI1146" s="178"/>
      <c r="CJ1146" s="178"/>
      <c r="CK1146" s="178"/>
      <c r="CL1146" s="178"/>
      <c r="CM1146" s="178"/>
      <c r="CN1146" s="178"/>
      <c r="CO1146" s="178"/>
      <c r="CP1146" s="178"/>
      <c r="CQ1146" s="178"/>
      <c r="CR1146" s="178"/>
      <c r="CS1146" s="178"/>
      <c r="CT1146" s="178"/>
      <c r="CU1146" s="178"/>
      <c r="CV1146" s="178"/>
      <c r="CW1146" s="178"/>
      <c r="CX1146" s="178"/>
      <c r="CY1146" s="178"/>
      <c r="CZ1146" s="178"/>
      <c r="DA1146" s="150"/>
    </row>
    <row r="1147" spans="53:105" x14ac:dyDescent="0.2">
      <c r="BA1147" s="518">
        <f t="shared" ca="1" si="64"/>
        <v>61</v>
      </c>
      <c r="BB1147" s="174">
        <f t="shared" ca="1" si="65"/>
        <v>1084</v>
      </c>
      <c r="BC1147" s="525" t="e">
        <f ca="1">MATCH(BD1147,OFFSET(Pinlist!$A$2,BC1146*(BA1147=BA1146),0,$BM$23,1),0)+BC1146*(BA1147=BA1146)</f>
        <v>#N/A</v>
      </c>
      <c r="BD1147" s="167">
        <f t="shared" ca="1" si="66"/>
        <v>0</v>
      </c>
      <c r="BE1147" s="191" t="e">
        <f ca="1">(OFFSET(Pinlist!$E$1,BC1147,0)-$BN$16)*$BN$19</f>
        <v>#N/A</v>
      </c>
      <c r="BF1147" s="192" t="e">
        <f ca="1">(OFFSET(Pinlist!$F$1,BC1147,0)-$BO$16)*$BO$19</f>
        <v>#N/A</v>
      </c>
      <c r="BG1147" s="1098" t="str">
        <f ca="1">IF(LEFT(BD1147,2)="RF",OFFSET(Pinlist!$D$1,Chart!BC1147,0)&amp;"_"&amp;OFFSET(Pinlist!$G$1,Chart!BC1147,0),"")</f>
        <v/>
      </c>
      <c r="BH1147" s="1098"/>
      <c r="BI1147" s="178"/>
      <c r="BJ1147" s="178"/>
      <c r="BK1147" s="178"/>
      <c r="BL1147" s="178"/>
      <c r="BM1147" s="178"/>
      <c r="BN1147" s="178"/>
      <c r="BO1147" s="178"/>
      <c r="BP1147" s="178"/>
      <c r="BQ1147" s="196"/>
      <c r="BR1147" s="196"/>
      <c r="BS1147" s="196"/>
      <c r="BT1147" s="196"/>
      <c r="BU1147" s="196"/>
      <c r="BV1147" s="196"/>
      <c r="BW1147" s="178"/>
      <c r="BX1147" s="196"/>
      <c r="BY1147" s="196"/>
      <c r="BZ1147" s="196"/>
      <c r="CA1147" s="196"/>
      <c r="CB1147" s="178"/>
      <c r="CC1147" s="178"/>
      <c r="CD1147" s="202"/>
      <c r="CE1147" s="202"/>
      <c r="CF1147" s="178"/>
      <c r="CG1147" s="196"/>
      <c r="CH1147" s="178"/>
      <c r="CI1147" s="178"/>
      <c r="CJ1147" s="178"/>
      <c r="CK1147" s="178"/>
      <c r="CL1147" s="178"/>
      <c r="CM1147" s="178"/>
      <c r="CN1147" s="178"/>
      <c r="CO1147" s="178"/>
      <c r="CP1147" s="178"/>
      <c r="CQ1147" s="178"/>
      <c r="CR1147" s="178"/>
      <c r="CS1147" s="178"/>
      <c r="CT1147" s="178"/>
      <c r="CU1147" s="178"/>
      <c r="CV1147" s="178"/>
      <c r="CW1147" s="178"/>
      <c r="CX1147" s="178"/>
      <c r="CY1147" s="178"/>
      <c r="CZ1147" s="178"/>
      <c r="DA1147" s="150"/>
    </row>
    <row r="1148" spans="53:105" x14ac:dyDescent="0.2">
      <c r="BA1148" s="518">
        <f t="shared" ca="1" si="64"/>
        <v>61</v>
      </c>
      <c r="BB1148" s="174">
        <f t="shared" ca="1" si="65"/>
        <v>1085</v>
      </c>
      <c r="BC1148" s="525" t="e">
        <f ca="1">MATCH(BD1148,OFFSET(Pinlist!$A$2,BC1147*(BA1148=BA1147),0,$BM$23,1),0)+BC1147*(BA1148=BA1147)</f>
        <v>#N/A</v>
      </c>
      <c r="BD1148" s="167">
        <f t="shared" ca="1" si="66"/>
        <v>0</v>
      </c>
      <c r="BE1148" s="191" t="e">
        <f ca="1">(OFFSET(Pinlist!$E$1,BC1148,0)-$BN$16)*$BN$19</f>
        <v>#N/A</v>
      </c>
      <c r="BF1148" s="192" t="e">
        <f ca="1">(OFFSET(Pinlist!$F$1,BC1148,0)-$BO$16)*$BO$19</f>
        <v>#N/A</v>
      </c>
      <c r="BG1148" s="1098" t="str">
        <f ca="1">IF(LEFT(BD1148,2)="RF",OFFSET(Pinlist!$D$1,Chart!BC1148,0)&amp;"_"&amp;OFFSET(Pinlist!$G$1,Chart!BC1148,0),"")</f>
        <v/>
      </c>
      <c r="BH1148" s="1098"/>
      <c r="BI1148" s="178"/>
      <c r="BJ1148" s="178"/>
      <c r="BK1148" s="178"/>
      <c r="BL1148" s="178"/>
      <c r="BM1148" s="178"/>
      <c r="BN1148" s="178"/>
      <c r="BO1148" s="178"/>
      <c r="BP1148" s="178"/>
      <c r="BQ1148" s="196"/>
      <c r="BR1148" s="196"/>
      <c r="BS1148" s="196"/>
      <c r="BT1148" s="196"/>
      <c r="BU1148" s="196"/>
      <c r="BV1148" s="196"/>
      <c r="BW1148" s="178"/>
      <c r="BX1148" s="196"/>
      <c r="BY1148" s="196"/>
      <c r="BZ1148" s="196"/>
      <c r="CA1148" s="196"/>
      <c r="CB1148" s="178"/>
      <c r="CC1148" s="178"/>
      <c r="CD1148" s="202"/>
      <c r="CE1148" s="202"/>
      <c r="CF1148" s="178"/>
      <c r="CG1148" s="196"/>
      <c r="CH1148" s="178"/>
      <c r="CI1148" s="178"/>
      <c r="CJ1148" s="178"/>
      <c r="CK1148" s="178"/>
      <c r="CL1148" s="178"/>
      <c r="CM1148" s="178"/>
      <c r="CN1148" s="178"/>
      <c r="CO1148" s="178"/>
      <c r="CP1148" s="178"/>
      <c r="CQ1148" s="178"/>
      <c r="CR1148" s="178"/>
      <c r="CS1148" s="178"/>
      <c r="CT1148" s="178"/>
      <c r="CU1148" s="178"/>
      <c r="CV1148" s="178"/>
      <c r="CW1148" s="178"/>
      <c r="CX1148" s="178"/>
      <c r="CY1148" s="178"/>
      <c r="CZ1148" s="178"/>
      <c r="DA1148" s="150"/>
    </row>
    <row r="1149" spans="53:105" x14ac:dyDescent="0.2">
      <c r="BA1149" s="518">
        <f t="shared" ca="1" si="64"/>
        <v>61</v>
      </c>
      <c r="BB1149" s="174">
        <f t="shared" ca="1" si="65"/>
        <v>1086</v>
      </c>
      <c r="BC1149" s="525" t="e">
        <f ca="1">MATCH(BD1149,OFFSET(Pinlist!$A$2,BC1148*(BA1149=BA1148),0,$BM$23,1),0)+BC1148*(BA1149=BA1148)</f>
        <v>#N/A</v>
      </c>
      <c r="BD1149" s="167">
        <f t="shared" ca="1" si="66"/>
        <v>0</v>
      </c>
      <c r="BE1149" s="191" t="e">
        <f ca="1">(OFFSET(Pinlist!$E$1,BC1149,0)-$BN$16)*$BN$19</f>
        <v>#N/A</v>
      </c>
      <c r="BF1149" s="192" t="e">
        <f ca="1">(OFFSET(Pinlist!$F$1,BC1149,0)-$BO$16)*$BO$19</f>
        <v>#N/A</v>
      </c>
      <c r="BG1149" s="1098" t="str">
        <f ca="1">IF(LEFT(BD1149,2)="RF",OFFSET(Pinlist!$D$1,Chart!BC1149,0)&amp;"_"&amp;OFFSET(Pinlist!$G$1,Chart!BC1149,0),"")</f>
        <v/>
      </c>
      <c r="BH1149" s="1098"/>
      <c r="BI1149" s="178"/>
      <c r="BJ1149" s="178"/>
      <c r="BK1149" s="178"/>
      <c r="BL1149" s="178"/>
      <c r="BM1149" s="178"/>
      <c r="BN1149" s="178"/>
      <c r="BO1149" s="178"/>
      <c r="BP1149" s="178"/>
      <c r="BQ1149" s="196"/>
      <c r="BR1149" s="196"/>
      <c r="BS1149" s="196"/>
      <c r="BT1149" s="196"/>
      <c r="BU1149" s="196"/>
      <c r="BV1149" s="196"/>
      <c r="BW1149" s="178"/>
      <c r="BX1149" s="196"/>
      <c r="BY1149" s="196"/>
      <c r="BZ1149" s="196"/>
      <c r="CA1149" s="196"/>
      <c r="CB1149" s="178"/>
      <c r="CC1149" s="178"/>
      <c r="CD1149" s="202"/>
      <c r="CE1149" s="202"/>
      <c r="CF1149" s="178"/>
      <c r="CG1149" s="196"/>
      <c r="CH1149" s="178"/>
      <c r="CI1149" s="178"/>
      <c r="CJ1149" s="178"/>
      <c r="CK1149" s="178"/>
      <c r="CL1149" s="178"/>
      <c r="CM1149" s="178"/>
      <c r="CN1149" s="178"/>
      <c r="CO1149" s="178"/>
      <c r="CP1149" s="178"/>
      <c r="CQ1149" s="178"/>
      <c r="CR1149" s="178"/>
      <c r="CS1149" s="178"/>
      <c r="CT1149" s="178"/>
      <c r="CU1149" s="178"/>
      <c r="CV1149" s="178"/>
      <c r="CW1149" s="178"/>
      <c r="CX1149" s="178"/>
      <c r="CY1149" s="178"/>
      <c r="CZ1149" s="178"/>
      <c r="DA1149" s="150"/>
    </row>
    <row r="1150" spans="53:105" x14ac:dyDescent="0.2">
      <c r="BA1150" s="518">
        <f t="shared" ca="1" si="64"/>
        <v>61</v>
      </c>
      <c r="BB1150" s="174">
        <f t="shared" ca="1" si="65"/>
        <v>1087</v>
      </c>
      <c r="BC1150" s="525" t="e">
        <f ca="1">MATCH(BD1150,OFFSET(Pinlist!$A$2,BC1149*(BA1150=BA1149),0,$BM$23,1),0)+BC1149*(BA1150=BA1149)</f>
        <v>#N/A</v>
      </c>
      <c r="BD1150" s="167">
        <f t="shared" ca="1" si="66"/>
        <v>0</v>
      </c>
      <c r="BE1150" s="191" t="e">
        <f ca="1">(OFFSET(Pinlist!$E$1,BC1150,0)-$BN$16)*$BN$19</f>
        <v>#N/A</v>
      </c>
      <c r="BF1150" s="192" t="e">
        <f ca="1">(OFFSET(Pinlist!$F$1,BC1150,0)-$BO$16)*$BO$19</f>
        <v>#N/A</v>
      </c>
      <c r="BG1150" s="1098" t="str">
        <f ca="1">IF(LEFT(BD1150,2)="RF",OFFSET(Pinlist!$D$1,Chart!BC1150,0)&amp;"_"&amp;OFFSET(Pinlist!$G$1,Chart!BC1150,0),"")</f>
        <v/>
      </c>
      <c r="BH1150" s="1098"/>
      <c r="BI1150" s="178"/>
      <c r="BJ1150" s="178"/>
      <c r="BK1150" s="178"/>
      <c r="BL1150" s="178"/>
      <c r="BM1150" s="178"/>
      <c r="BN1150" s="178"/>
      <c r="BO1150" s="178"/>
      <c r="BP1150" s="178"/>
      <c r="BQ1150" s="196"/>
      <c r="BR1150" s="196"/>
      <c r="BS1150" s="196"/>
      <c r="BT1150" s="196"/>
      <c r="BU1150" s="196"/>
      <c r="BV1150" s="196"/>
      <c r="BW1150" s="178"/>
      <c r="BX1150" s="196"/>
      <c r="BY1150" s="196"/>
      <c r="BZ1150" s="196"/>
      <c r="CA1150" s="196"/>
      <c r="CB1150" s="178"/>
      <c r="CC1150" s="178"/>
      <c r="CD1150" s="202"/>
      <c r="CE1150" s="202"/>
      <c r="CF1150" s="178"/>
      <c r="CG1150" s="196"/>
      <c r="CH1150" s="178"/>
      <c r="CI1150" s="178"/>
      <c r="CJ1150" s="178"/>
      <c r="CK1150" s="178"/>
      <c r="CL1150" s="178"/>
      <c r="CM1150" s="178"/>
      <c r="CN1150" s="178"/>
      <c r="CO1150" s="178"/>
      <c r="CP1150" s="178"/>
      <c r="CQ1150" s="178"/>
      <c r="CR1150" s="178"/>
      <c r="CS1150" s="178"/>
      <c r="CT1150" s="178"/>
      <c r="CU1150" s="178"/>
      <c r="CV1150" s="178"/>
      <c r="CW1150" s="178"/>
      <c r="CX1150" s="178"/>
      <c r="CY1150" s="178"/>
      <c r="CZ1150" s="178"/>
      <c r="DA1150" s="150"/>
    </row>
    <row r="1151" spans="53:105" x14ac:dyDescent="0.2">
      <c r="BA1151" s="518">
        <f t="shared" ca="1" si="64"/>
        <v>61</v>
      </c>
      <c r="BB1151" s="174">
        <f t="shared" ca="1" si="65"/>
        <v>1088</v>
      </c>
      <c r="BC1151" s="525" t="e">
        <f ca="1">MATCH(BD1151,OFFSET(Pinlist!$A$2,BC1150*(BA1151=BA1150),0,$BM$23,1),0)+BC1150*(BA1151=BA1150)</f>
        <v>#N/A</v>
      </c>
      <c r="BD1151" s="167">
        <f t="shared" ca="1" si="66"/>
        <v>0</v>
      </c>
      <c r="BE1151" s="191" t="e">
        <f ca="1">(OFFSET(Pinlist!$E$1,BC1151,0)-$BN$16)*$BN$19</f>
        <v>#N/A</v>
      </c>
      <c r="BF1151" s="192" t="e">
        <f ca="1">(OFFSET(Pinlist!$F$1,BC1151,0)-$BO$16)*$BO$19</f>
        <v>#N/A</v>
      </c>
      <c r="BG1151" s="1098" t="str">
        <f ca="1">IF(LEFT(BD1151,2)="RF",OFFSET(Pinlist!$D$1,Chart!BC1151,0)&amp;"_"&amp;OFFSET(Pinlist!$G$1,Chart!BC1151,0),"")</f>
        <v/>
      </c>
      <c r="BH1151" s="1098"/>
      <c r="BI1151" s="178"/>
      <c r="BJ1151" s="178"/>
      <c r="BK1151" s="178"/>
      <c r="BL1151" s="178"/>
      <c r="BM1151" s="178"/>
      <c r="BN1151" s="178"/>
      <c r="BO1151" s="178"/>
      <c r="BP1151" s="178"/>
      <c r="BQ1151" s="196"/>
      <c r="BR1151" s="196"/>
      <c r="BS1151" s="196"/>
      <c r="BT1151" s="196"/>
      <c r="BU1151" s="196"/>
      <c r="BV1151" s="196"/>
      <c r="BW1151" s="178"/>
      <c r="BX1151" s="196"/>
      <c r="BY1151" s="196"/>
      <c r="BZ1151" s="196"/>
      <c r="CA1151" s="196"/>
      <c r="CB1151" s="178"/>
      <c r="CC1151" s="178"/>
      <c r="CD1151" s="202"/>
      <c r="CE1151" s="202"/>
      <c r="CF1151" s="178"/>
      <c r="CG1151" s="196"/>
      <c r="CH1151" s="178"/>
      <c r="CI1151" s="178"/>
      <c r="CJ1151" s="178"/>
      <c r="CK1151" s="178"/>
      <c r="CL1151" s="178"/>
      <c r="CM1151" s="178"/>
      <c r="CN1151" s="178"/>
      <c r="CO1151" s="178"/>
      <c r="CP1151" s="178"/>
      <c r="CQ1151" s="178"/>
      <c r="CR1151" s="178"/>
      <c r="CS1151" s="178"/>
      <c r="CT1151" s="178"/>
      <c r="CU1151" s="178"/>
      <c r="CV1151" s="178"/>
      <c r="CW1151" s="178"/>
      <c r="CX1151" s="178"/>
      <c r="CY1151" s="178"/>
      <c r="CZ1151" s="178"/>
      <c r="DA1151" s="150"/>
    </row>
    <row r="1152" spans="53:105" x14ac:dyDescent="0.2">
      <c r="BA1152" s="518">
        <f t="shared" ca="1" si="64"/>
        <v>61</v>
      </c>
      <c r="BB1152" s="174">
        <f t="shared" ca="1" si="65"/>
        <v>1089</v>
      </c>
      <c r="BC1152" s="525" t="e">
        <f ca="1">MATCH(BD1152,OFFSET(Pinlist!$A$2,BC1151*(BA1152=BA1151),0,$BM$23,1),0)+BC1151*(BA1152=BA1151)</f>
        <v>#N/A</v>
      </c>
      <c r="BD1152" s="167">
        <f t="shared" ca="1" si="66"/>
        <v>0</v>
      </c>
      <c r="BE1152" s="191" t="e">
        <f ca="1">(OFFSET(Pinlist!$E$1,BC1152,0)-$BN$16)*$BN$19</f>
        <v>#N/A</v>
      </c>
      <c r="BF1152" s="192" t="e">
        <f ca="1">(OFFSET(Pinlist!$F$1,BC1152,0)-$BO$16)*$BO$19</f>
        <v>#N/A</v>
      </c>
      <c r="BG1152" s="1098" t="str">
        <f ca="1">IF(LEFT(BD1152,2)="RF",OFFSET(Pinlist!$D$1,Chart!BC1152,0)&amp;"_"&amp;OFFSET(Pinlist!$G$1,Chart!BC1152,0),"")</f>
        <v/>
      </c>
      <c r="BH1152" s="1098"/>
      <c r="BI1152" s="178"/>
      <c r="BJ1152" s="178"/>
      <c r="BK1152" s="178"/>
      <c r="BL1152" s="178"/>
      <c r="BM1152" s="178"/>
      <c r="BN1152" s="178"/>
      <c r="BO1152" s="178"/>
      <c r="BP1152" s="178"/>
      <c r="BQ1152" s="196"/>
      <c r="BR1152" s="196"/>
      <c r="BS1152" s="196"/>
      <c r="BT1152" s="196"/>
      <c r="BU1152" s="196"/>
      <c r="BV1152" s="196"/>
      <c r="BW1152" s="178"/>
      <c r="BX1152" s="196"/>
      <c r="BY1152" s="196"/>
      <c r="BZ1152" s="196"/>
      <c r="CA1152" s="196"/>
      <c r="CB1152" s="178"/>
      <c r="CC1152" s="178"/>
      <c r="CD1152" s="202"/>
      <c r="CE1152" s="202"/>
      <c r="CF1152" s="178"/>
      <c r="CG1152" s="196"/>
      <c r="CH1152" s="178"/>
      <c r="CI1152" s="178"/>
      <c r="CJ1152" s="178"/>
      <c r="CK1152" s="178"/>
      <c r="CL1152" s="178"/>
      <c r="CM1152" s="178"/>
      <c r="CN1152" s="178"/>
      <c r="CO1152" s="178"/>
      <c r="CP1152" s="178"/>
      <c r="CQ1152" s="178"/>
      <c r="CR1152" s="178"/>
      <c r="CS1152" s="178"/>
      <c r="CT1152" s="178"/>
      <c r="CU1152" s="178"/>
      <c r="CV1152" s="178"/>
      <c r="CW1152" s="178"/>
      <c r="CX1152" s="178"/>
      <c r="CY1152" s="178"/>
      <c r="CZ1152" s="178"/>
      <c r="DA1152" s="150"/>
    </row>
    <row r="1153" spans="53:105" x14ac:dyDescent="0.2">
      <c r="BA1153" s="518">
        <f t="shared" ca="1" si="64"/>
        <v>61</v>
      </c>
      <c r="BB1153" s="174">
        <f t="shared" ca="1" si="65"/>
        <v>1090</v>
      </c>
      <c r="BC1153" s="525" t="e">
        <f ca="1">MATCH(BD1153,OFFSET(Pinlist!$A$2,BC1152*(BA1153=BA1152),0,$BM$23,1),0)+BC1152*(BA1153=BA1152)</f>
        <v>#N/A</v>
      </c>
      <c r="BD1153" s="167">
        <f t="shared" ca="1" si="66"/>
        <v>0</v>
      </c>
      <c r="BE1153" s="191" t="e">
        <f ca="1">(OFFSET(Pinlist!$E$1,BC1153,0)-$BN$16)*$BN$19</f>
        <v>#N/A</v>
      </c>
      <c r="BF1153" s="192" t="e">
        <f ca="1">(OFFSET(Pinlist!$F$1,BC1153,0)-$BO$16)*$BO$19</f>
        <v>#N/A</v>
      </c>
      <c r="BG1153" s="1098" t="str">
        <f ca="1">IF(LEFT(BD1153,2)="RF",OFFSET(Pinlist!$D$1,Chart!BC1153,0)&amp;"_"&amp;OFFSET(Pinlist!$G$1,Chart!BC1153,0),"")</f>
        <v/>
      </c>
      <c r="BH1153" s="1098"/>
      <c r="BI1153" s="178"/>
      <c r="BJ1153" s="178"/>
      <c r="BK1153" s="178"/>
      <c r="BL1153" s="178"/>
      <c r="BM1153" s="178"/>
      <c r="BN1153" s="178"/>
      <c r="BO1153" s="178"/>
      <c r="BP1153" s="178"/>
      <c r="BQ1153" s="196"/>
      <c r="BR1153" s="196"/>
      <c r="BS1153" s="196"/>
      <c r="BT1153" s="196"/>
      <c r="BU1153" s="196"/>
      <c r="BV1153" s="196"/>
      <c r="BW1153" s="178"/>
      <c r="BX1153" s="196"/>
      <c r="BY1153" s="196"/>
      <c r="BZ1153" s="196"/>
      <c r="CA1153" s="196"/>
      <c r="CB1153" s="178"/>
      <c r="CC1153" s="178"/>
      <c r="CD1153" s="202"/>
      <c r="CE1153" s="202"/>
      <c r="CF1153" s="178"/>
      <c r="CG1153" s="196"/>
      <c r="CH1153" s="178"/>
      <c r="CI1153" s="178"/>
      <c r="CJ1153" s="178"/>
      <c r="CK1153" s="178"/>
      <c r="CL1153" s="178"/>
      <c r="CM1153" s="178"/>
      <c r="CN1153" s="178"/>
      <c r="CO1153" s="178"/>
      <c r="CP1153" s="178"/>
      <c r="CQ1153" s="178"/>
      <c r="CR1153" s="178"/>
      <c r="CS1153" s="178"/>
      <c r="CT1153" s="178"/>
      <c r="CU1153" s="178"/>
      <c r="CV1153" s="178"/>
      <c r="CW1153" s="178"/>
      <c r="CX1153" s="178"/>
      <c r="CY1153" s="178"/>
      <c r="CZ1153" s="178"/>
      <c r="DA1153" s="150"/>
    </row>
    <row r="1154" spans="53:105" x14ac:dyDescent="0.2">
      <c r="BA1154" s="518">
        <f t="shared" ca="1" si="64"/>
        <v>61</v>
      </c>
      <c r="BB1154" s="174">
        <f t="shared" ca="1" si="65"/>
        <v>1091</v>
      </c>
      <c r="BC1154" s="525" t="e">
        <f ca="1">MATCH(BD1154,OFFSET(Pinlist!$A$2,BC1153*(BA1154=BA1153),0,$BM$23,1),0)+BC1153*(BA1154=BA1153)</f>
        <v>#N/A</v>
      </c>
      <c r="BD1154" s="167">
        <f t="shared" ca="1" si="66"/>
        <v>0</v>
      </c>
      <c r="BE1154" s="191" t="e">
        <f ca="1">(OFFSET(Pinlist!$E$1,BC1154,0)-$BN$16)*$BN$19</f>
        <v>#N/A</v>
      </c>
      <c r="BF1154" s="192" t="e">
        <f ca="1">(OFFSET(Pinlist!$F$1,BC1154,0)-$BO$16)*$BO$19</f>
        <v>#N/A</v>
      </c>
      <c r="BG1154" s="1098" t="str">
        <f ca="1">IF(LEFT(BD1154,2)="RF",OFFSET(Pinlist!$D$1,Chart!BC1154,0)&amp;"_"&amp;OFFSET(Pinlist!$G$1,Chart!BC1154,0),"")</f>
        <v/>
      </c>
      <c r="BH1154" s="1098"/>
      <c r="BI1154" s="178"/>
      <c r="BJ1154" s="178"/>
      <c r="BK1154" s="178"/>
      <c r="BL1154" s="178"/>
      <c r="BM1154" s="178"/>
      <c r="BN1154" s="178"/>
      <c r="BO1154" s="178"/>
      <c r="BP1154" s="178"/>
      <c r="BQ1154" s="196"/>
      <c r="BR1154" s="196"/>
      <c r="BS1154" s="196"/>
      <c r="BT1154" s="196"/>
      <c r="BU1154" s="196"/>
      <c r="BV1154" s="196"/>
      <c r="BW1154" s="178"/>
      <c r="BX1154" s="196"/>
      <c r="BY1154" s="196"/>
      <c r="BZ1154" s="196"/>
      <c r="CA1154" s="196"/>
      <c r="CB1154" s="178"/>
      <c r="CC1154" s="178"/>
      <c r="CD1154" s="202"/>
      <c r="CE1154" s="202"/>
      <c r="CF1154" s="178"/>
      <c r="CG1154" s="196"/>
      <c r="CH1154" s="178"/>
      <c r="CI1154" s="178"/>
      <c r="CJ1154" s="178"/>
      <c r="CK1154" s="178"/>
      <c r="CL1154" s="178"/>
      <c r="CM1154" s="178"/>
      <c r="CN1154" s="178"/>
      <c r="CO1154" s="178"/>
      <c r="CP1154" s="178"/>
      <c r="CQ1154" s="178"/>
      <c r="CR1154" s="178"/>
      <c r="CS1154" s="178"/>
      <c r="CT1154" s="178"/>
      <c r="CU1154" s="178"/>
      <c r="CV1154" s="178"/>
      <c r="CW1154" s="178"/>
      <c r="CX1154" s="178"/>
      <c r="CY1154" s="178"/>
      <c r="CZ1154" s="178"/>
      <c r="DA1154" s="150"/>
    </row>
    <row r="1155" spans="53:105" x14ac:dyDescent="0.2">
      <c r="BA1155" s="518">
        <f t="shared" ca="1" si="64"/>
        <v>61</v>
      </c>
      <c r="BB1155" s="174">
        <f t="shared" ca="1" si="65"/>
        <v>1092</v>
      </c>
      <c r="BC1155" s="525" t="e">
        <f ca="1">MATCH(BD1155,OFFSET(Pinlist!$A$2,BC1154*(BA1155=BA1154),0,$BM$23,1),0)+BC1154*(BA1155=BA1154)</f>
        <v>#N/A</v>
      </c>
      <c r="BD1155" s="167">
        <f t="shared" ca="1" si="66"/>
        <v>0</v>
      </c>
      <c r="BE1155" s="191" t="e">
        <f ca="1">(OFFSET(Pinlist!$E$1,BC1155,0)-$BN$16)*$BN$19</f>
        <v>#N/A</v>
      </c>
      <c r="BF1155" s="192" t="e">
        <f ca="1">(OFFSET(Pinlist!$F$1,BC1155,0)-$BO$16)*$BO$19</f>
        <v>#N/A</v>
      </c>
      <c r="BG1155" s="1098" t="str">
        <f ca="1">IF(LEFT(BD1155,2)="RF",OFFSET(Pinlist!$D$1,Chart!BC1155,0)&amp;"_"&amp;OFFSET(Pinlist!$G$1,Chart!BC1155,0),"")</f>
        <v/>
      </c>
      <c r="BH1155" s="1098"/>
      <c r="BI1155" s="178"/>
      <c r="BJ1155" s="178"/>
      <c r="BK1155" s="178"/>
      <c r="BL1155" s="178"/>
      <c r="BM1155" s="178"/>
      <c r="BN1155" s="178"/>
      <c r="BO1155" s="178"/>
      <c r="BP1155" s="178"/>
      <c r="BQ1155" s="196"/>
      <c r="BR1155" s="196"/>
      <c r="BS1155" s="196"/>
      <c r="BT1155" s="196"/>
      <c r="BU1155" s="196"/>
      <c r="BV1155" s="196"/>
      <c r="BW1155" s="178"/>
      <c r="BX1155" s="196"/>
      <c r="BY1155" s="196"/>
      <c r="BZ1155" s="196"/>
      <c r="CA1155" s="196"/>
      <c r="CB1155" s="178"/>
      <c r="CC1155" s="178"/>
      <c r="CD1155" s="202"/>
      <c r="CE1155" s="202"/>
      <c r="CF1155" s="178"/>
      <c r="CG1155" s="196"/>
      <c r="CH1155" s="178"/>
      <c r="CI1155" s="178"/>
      <c r="CJ1155" s="178"/>
      <c r="CK1155" s="178"/>
      <c r="CL1155" s="178"/>
      <c r="CM1155" s="178"/>
      <c r="CN1155" s="178"/>
      <c r="CO1155" s="178"/>
      <c r="CP1155" s="178"/>
      <c r="CQ1155" s="178"/>
      <c r="CR1155" s="178"/>
      <c r="CS1155" s="178"/>
      <c r="CT1155" s="178"/>
      <c r="CU1155" s="178"/>
      <c r="CV1155" s="178"/>
      <c r="CW1155" s="178"/>
      <c r="CX1155" s="178"/>
      <c r="CY1155" s="178"/>
      <c r="CZ1155" s="178"/>
      <c r="DA1155" s="150"/>
    </row>
    <row r="1156" spans="53:105" x14ac:dyDescent="0.2">
      <c r="BA1156" s="518">
        <f t="shared" ref="BA1156:BA1219" ca="1" si="67">BA1155+(BB1155=OFFSET($BZ$3,BA1155,0))</f>
        <v>61</v>
      </c>
      <c r="BB1156" s="174">
        <f t="shared" ref="BB1156:BB1219" ca="1" si="68">IF(BA1156=BA1155,BB1155+1,1)</f>
        <v>1093</v>
      </c>
      <c r="BC1156" s="525" t="e">
        <f ca="1">MATCH(BD1156,OFFSET(Pinlist!$A$2,BC1155*(BA1156=BA1155),0,$BM$23,1),0)+BC1155*(BA1156=BA1155)</f>
        <v>#N/A</v>
      </c>
      <c r="BD1156" s="167">
        <f t="shared" ref="BD1156:BD1219" ca="1" si="69">OFFSET($BY$3,BA1156,0)</f>
        <v>0</v>
      </c>
      <c r="BE1156" s="191" t="e">
        <f ca="1">(OFFSET(Pinlist!$E$1,BC1156,0)-$BN$16)*$BN$19</f>
        <v>#N/A</v>
      </c>
      <c r="BF1156" s="192" t="e">
        <f ca="1">(OFFSET(Pinlist!$F$1,BC1156,0)-$BO$16)*$BO$19</f>
        <v>#N/A</v>
      </c>
      <c r="BG1156" s="1098" t="str">
        <f ca="1">IF(LEFT(BD1156,2)="RF",OFFSET(Pinlist!$D$1,Chart!BC1156,0)&amp;"_"&amp;OFFSET(Pinlist!$G$1,Chart!BC1156,0),"")</f>
        <v/>
      </c>
      <c r="BH1156" s="1098"/>
      <c r="BI1156" s="178"/>
      <c r="BJ1156" s="178"/>
      <c r="BK1156" s="178"/>
      <c r="BL1156" s="178"/>
      <c r="BM1156" s="178"/>
      <c r="BN1156" s="178"/>
      <c r="BO1156" s="178"/>
      <c r="BP1156" s="178"/>
      <c r="BQ1156" s="196"/>
      <c r="BR1156" s="196"/>
      <c r="BS1156" s="196"/>
      <c r="BT1156" s="196"/>
      <c r="BU1156" s="196"/>
      <c r="BV1156" s="196"/>
      <c r="BW1156" s="178"/>
      <c r="BX1156" s="196"/>
      <c r="BY1156" s="196"/>
      <c r="BZ1156" s="196"/>
      <c r="CA1156" s="196"/>
      <c r="CB1156" s="178"/>
      <c r="CC1156" s="178"/>
      <c r="CD1156" s="202"/>
      <c r="CE1156" s="202"/>
      <c r="CF1156" s="178"/>
      <c r="CG1156" s="196"/>
      <c r="CH1156" s="178"/>
      <c r="CI1156" s="178"/>
      <c r="CJ1156" s="178"/>
      <c r="CK1156" s="178"/>
      <c r="CL1156" s="178"/>
      <c r="CM1156" s="178"/>
      <c r="CN1156" s="178"/>
      <c r="CO1156" s="178"/>
      <c r="CP1156" s="178"/>
      <c r="CQ1156" s="178"/>
      <c r="CR1156" s="178"/>
      <c r="CS1156" s="178"/>
      <c r="CT1156" s="178"/>
      <c r="CU1156" s="178"/>
      <c r="CV1156" s="178"/>
      <c r="CW1156" s="178"/>
      <c r="CX1156" s="178"/>
      <c r="CY1156" s="178"/>
      <c r="CZ1156" s="178"/>
      <c r="DA1156" s="150"/>
    </row>
    <row r="1157" spans="53:105" x14ac:dyDescent="0.2">
      <c r="BA1157" s="518">
        <f t="shared" ca="1" si="67"/>
        <v>61</v>
      </c>
      <c r="BB1157" s="174">
        <f t="shared" ca="1" si="68"/>
        <v>1094</v>
      </c>
      <c r="BC1157" s="525" t="e">
        <f ca="1">MATCH(BD1157,OFFSET(Pinlist!$A$2,BC1156*(BA1157=BA1156),0,$BM$23,1),0)+BC1156*(BA1157=BA1156)</f>
        <v>#N/A</v>
      </c>
      <c r="BD1157" s="167">
        <f t="shared" ca="1" si="69"/>
        <v>0</v>
      </c>
      <c r="BE1157" s="191" t="e">
        <f ca="1">(OFFSET(Pinlist!$E$1,BC1157,0)-$BN$16)*$BN$19</f>
        <v>#N/A</v>
      </c>
      <c r="BF1157" s="192" t="e">
        <f ca="1">(OFFSET(Pinlist!$F$1,BC1157,0)-$BO$16)*$BO$19</f>
        <v>#N/A</v>
      </c>
      <c r="BG1157" s="1098" t="str">
        <f ca="1">IF(LEFT(BD1157,2)="RF",OFFSET(Pinlist!$D$1,Chart!BC1157,0)&amp;"_"&amp;OFFSET(Pinlist!$G$1,Chart!BC1157,0),"")</f>
        <v/>
      </c>
      <c r="BH1157" s="1098"/>
      <c r="BI1157" s="178"/>
      <c r="BJ1157" s="178"/>
      <c r="BK1157" s="178"/>
      <c r="BL1157" s="178"/>
      <c r="BM1157" s="178"/>
      <c r="BN1157" s="178"/>
      <c r="BO1157" s="178"/>
      <c r="BP1157" s="178"/>
      <c r="BQ1157" s="196"/>
      <c r="BR1157" s="196"/>
      <c r="BS1157" s="196"/>
      <c r="BT1157" s="196"/>
      <c r="BU1157" s="196"/>
      <c r="BV1157" s="196"/>
      <c r="BW1157" s="178"/>
      <c r="BX1157" s="196"/>
      <c r="BY1157" s="196"/>
      <c r="BZ1157" s="196"/>
      <c r="CA1157" s="196"/>
      <c r="CB1157" s="178"/>
      <c r="CC1157" s="178"/>
      <c r="CD1157" s="202"/>
      <c r="CE1157" s="202"/>
      <c r="CF1157" s="178"/>
      <c r="CG1157" s="196"/>
      <c r="CH1157" s="178"/>
      <c r="CI1157" s="178"/>
      <c r="CJ1157" s="178"/>
      <c r="CK1157" s="178"/>
      <c r="CL1157" s="178"/>
      <c r="CM1157" s="178"/>
      <c r="CN1157" s="178"/>
      <c r="CO1157" s="178"/>
      <c r="CP1157" s="178"/>
      <c r="CQ1157" s="178"/>
      <c r="CR1157" s="178"/>
      <c r="CS1157" s="178"/>
      <c r="CT1157" s="178"/>
      <c r="CU1157" s="178"/>
      <c r="CV1157" s="178"/>
      <c r="CW1157" s="178"/>
      <c r="CX1157" s="178"/>
      <c r="CY1157" s="178"/>
      <c r="CZ1157" s="178"/>
      <c r="DA1157" s="150"/>
    </row>
    <row r="1158" spans="53:105" x14ac:dyDescent="0.2">
      <c r="BA1158" s="518">
        <f t="shared" ca="1" si="67"/>
        <v>61</v>
      </c>
      <c r="BB1158" s="174">
        <f t="shared" ca="1" si="68"/>
        <v>1095</v>
      </c>
      <c r="BC1158" s="525" t="e">
        <f ca="1">MATCH(BD1158,OFFSET(Pinlist!$A$2,BC1157*(BA1158=BA1157),0,$BM$23,1),0)+BC1157*(BA1158=BA1157)</f>
        <v>#N/A</v>
      </c>
      <c r="BD1158" s="167">
        <f t="shared" ca="1" si="69"/>
        <v>0</v>
      </c>
      <c r="BE1158" s="191" t="e">
        <f ca="1">(OFFSET(Pinlist!$E$1,BC1158,0)-$BN$16)*$BN$19</f>
        <v>#N/A</v>
      </c>
      <c r="BF1158" s="192" t="e">
        <f ca="1">(OFFSET(Pinlist!$F$1,BC1158,0)-$BO$16)*$BO$19</f>
        <v>#N/A</v>
      </c>
      <c r="BG1158" s="1098" t="str">
        <f ca="1">IF(LEFT(BD1158,2)="RF",OFFSET(Pinlist!$D$1,Chart!BC1158,0)&amp;"_"&amp;OFFSET(Pinlist!$G$1,Chart!BC1158,0),"")</f>
        <v/>
      </c>
      <c r="BH1158" s="1098"/>
      <c r="BI1158" s="178"/>
      <c r="BJ1158" s="178"/>
      <c r="BK1158" s="178"/>
      <c r="BL1158" s="178"/>
      <c r="BM1158" s="178"/>
      <c r="BN1158" s="178"/>
      <c r="BO1158" s="178"/>
      <c r="BP1158" s="178"/>
      <c r="BQ1158" s="196"/>
      <c r="BR1158" s="196"/>
      <c r="BS1158" s="196"/>
      <c r="BT1158" s="196"/>
      <c r="BU1158" s="196"/>
      <c r="BV1158" s="196"/>
      <c r="BW1158" s="178"/>
      <c r="BX1158" s="196"/>
      <c r="BY1158" s="196"/>
      <c r="BZ1158" s="196"/>
      <c r="CA1158" s="196"/>
      <c r="CB1158" s="178"/>
      <c r="CC1158" s="178"/>
      <c r="CD1158" s="202"/>
      <c r="CE1158" s="202"/>
      <c r="CF1158" s="178"/>
      <c r="CG1158" s="196"/>
      <c r="CH1158" s="178"/>
      <c r="CI1158" s="178"/>
      <c r="CJ1158" s="178"/>
      <c r="CK1158" s="178"/>
      <c r="CL1158" s="178"/>
      <c r="CM1158" s="178"/>
      <c r="CN1158" s="178"/>
      <c r="CO1158" s="178"/>
      <c r="CP1158" s="178"/>
      <c r="CQ1158" s="178"/>
      <c r="CR1158" s="178"/>
      <c r="CS1158" s="178"/>
      <c r="CT1158" s="178"/>
      <c r="CU1158" s="178"/>
      <c r="CV1158" s="178"/>
      <c r="CW1158" s="178"/>
      <c r="CX1158" s="178"/>
      <c r="CY1158" s="178"/>
      <c r="CZ1158" s="178"/>
      <c r="DA1158" s="150"/>
    </row>
    <row r="1159" spans="53:105" x14ac:dyDescent="0.2">
      <c r="BA1159" s="518">
        <f t="shared" ca="1" si="67"/>
        <v>61</v>
      </c>
      <c r="BB1159" s="174">
        <f t="shared" ca="1" si="68"/>
        <v>1096</v>
      </c>
      <c r="BC1159" s="525" t="e">
        <f ca="1">MATCH(BD1159,OFFSET(Pinlist!$A$2,BC1158*(BA1159=BA1158),0,$BM$23,1),0)+BC1158*(BA1159=BA1158)</f>
        <v>#N/A</v>
      </c>
      <c r="BD1159" s="167">
        <f t="shared" ca="1" si="69"/>
        <v>0</v>
      </c>
      <c r="BE1159" s="191" t="e">
        <f ca="1">(OFFSET(Pinlist!$E$1,BC1159,0)-$BN$16)*$BN$19</f>
        <v>#N/A</v>
      </c>
      <c r="BF1159" s="192" t="e">
        <f ca="1">(OFFSET(Pinlist!$F$1,BC1159,0)-$BO$16)*$BO$19</f>
        <v>#N/A</v>
      </c>
      <c r="BG1159" s="1098" t="str">
        <f ca="1">IF(LEFT(BD1159,2)="RF",OFFSET(Pinlist!$D$1,Chart!BC1159,0)&amp;"_"&amp;OFFSET(Pinlist!$G$1,Chart!BC1159,0),"")</f>
        <v/>
      </c>
      <c r="BH1159" s="1098"/>
      <c r="BI1159" s="178"/>
      <c r="BJ1159" s="178"/>
      <c r="BK1159" s="178"/>
      <c r="BL1159" s="178"/>
      <c r="BM1159" s="178"/>
      <c r="BN1159" s="178"/>
      <c r="BO1159" s="178"/>
      <c r="BP1159" s="178"/>
      <c r="BQ1159" s="196"/>
      <c r="BR1159" s="196"/>
      <c r="BS1159" s="196"/>
      <c r="BT1159" s="196"/>
      <c r="BU1159" s="196"/>
      <c r="BV1159" s="196"/>
      <c r="BW1159" s="178"/>
      <c r="BX1159" s="196"/>
      <c r="BY1159" s="196"/>
      <c r="BZ1159" s="196"/>
      <c r="CA1159" s="196"/>
      <c r="CB1159" s="178"/>
      <c r="CC1159" s="178"/>
      <c r="CD1159" s="202"/>
      <c r="CE1159" s="202"/>
      <c r="CF1159" s="178"/>
      <c r="CG1159" s="196"/>
      <c r="CH1159" s="178"/>
      <c r="CI1159" s="178"/>
      <c r="CJ1159" s="178"/>
      <c r="CK1159" s="178"/>
      <c r="CL1159" s="178"/>
      <c r="CM1159" s="178"/>
      <c r="CN1159" s="178"/>
      <c r="CO1159" s="178"/>
      <c r="CP1159" s="178"/>
      <c r="CQ1159" s="178"/>
      <c r="CR1159" s="178"/>
      <c r="CS1159" s="178"/>
      <c r="CT1159" s="178"/>
      <c r="CU1159" s="178"/>
      <c r="CV1159" s="178"/>
      <c r="CW1159" s="178"/>
      <c r="CX1159" s="178"/>
      <c r="CY1159" s="178"/>
      <c r="CZ1159" s="178"/>
      <c r="DA1159" s="150"/>
    </row>
    <row r="1160" spans="53:105" x14ac:dyDescent="0.2">
      <c r="BA1160" s="518">
        <f t="shared" ca="1" si="67"/>
        <v>61</v>
      </c>
      <c r="BB1160" s="174">
        <f t="shared" ca="1" si="68"/>
        <v>1097</v>
      </c>
      <c r="BC1160" s="525" t="e">
        <f ca="1">MATCH(BD1160,OFFSET(Pinlist!$A$2,BC1159*(BA1160=BA1159),0,$BM$23,1),0)+BC1159*(BA1160=BA1159)</f>
        <v>#N/A</v>
      </c>
      <c r="BD1160" s="167">
        <f t="shared" ca="1" si="69"/>
        <v>0</v>
      </c>
      <c r="BE1160" s="191" t="e">
        <f ca="1">(OFFSET(Pinlist!$E$1,BC1160,0)-$BN$16)*$BN$19</f>
        <v>#N/A</v>
      </c>
      <c r="BF1160" s="192" t="e">
        <f ca="1">(OFFSET(Pinlist!$F$1,BC1160,0)-$BO$16)*$BO$19</f>
        <v>#N/A</v>
      </c>
      <c r="BG1160" s="1098" t="str">
        <f ca="1">IF(LEFT(BD1160,2)="RF",OFFSET(Pinlist!$D$1,Chart!BC1160,0)&amp;"_"&amp;OFFSET(Pinlist!$G$1,Chart!BC1160,0),"")</f>
        <v/>
      </c>
      <c r="BH1160" s="1098"/>
      <c r="BI1160" s="178"/>
      <c r="BJ1160" s="178"/>
      <c r="BK1160" s="178"/>
      <c r="BL1160" s="178"/>
      <c r="BM1160" s="178"/>
      <c r="BN1160" s="178"/>
      <c r="BO1160" s="178"/>
      <c r="BP1160" s="178"/>
      <c r="BQ1160" s="196"/>
      <c r="BR1160" s="196"/>
      <c r="BS1160" s="196"/>
      <c r="BT1160" s="196"/>
      <c r="BU1160" s="196"/>
      <c r="BV1160" s="196"/>
      <c r="BW1160" s="178"/>
      <c r="BX1160" s="196"/>
      <c r="BY1160" s="196"/>
      <c r="BZ1160" s="196"/>
      <c r="CA1160" s="196"/>
      <c r="CB1160" s="178"/>
      <c r="CC1160" s="178"/>
      <c r="CD1160" s="202"/>
      <c r="CE1160" s="202"/>
      <c r="CF1160" s="178"/>
      <c r="CG1160" s="196"/>
      <c r="CH1160" s="178"/>
      <c r="CI1160" s="178"/>
      <c r="CJ1160" s="178"/>
      <c r="CK1160" s="178"/>
      <c r="CL1160" s="178"/>
      <c r="CM1160" s="178"/>
      <c r="CN1160" s="178"/>
      <c r="CO1160" s="178"/>
      <c r="CP1160" s="178"/>
      <c r="CQ1160" s="178"/>
      <c r="CR1160" s="178"/>
      <c r="CS1160" s="178"/>
      <c r="CT1160" s="178"/>
      <c r="CU1160" s="178"/>
      <c r="CV1160" s="178"/>
      <c r="CW1160" s="178"/>
      <c r="CX1160" s="178"/>
      <c r="CY1160" s="178"/>
      <c r="CZ1160" s="178"/>
      <c r="DA1160" s="150"/>
    </row>
    <row r="1161" spans="53:105" x14ac:dyDescent="0.2">
      <c r="BA1161" s="518">
        <f t="shared" ca="1" si="67"/>
        <v>61</v>
      </c>
      <c r="BB1161" s="174">
        <f t="shared" ca="1" si="68"/>
        <v>1098</v>
      </c>
      <c r="BC1161" s="525" t="e">
        <f ca="1">MATCH(BD1161,OFFSET(Pinlist!$A$2,BC1160*(BA1161=BA1160),0,$BM$23,1),0)+BC1160*(BA1161=BA1160)</f>
        <v>#N/A</v>
      </c>
      <c r="BD1161" s="167">
        <f t="shared" ca="1" si="69"/>
        <v>0</v>
      </c>
      <c r="BE1161" s="191" t="e">
        <f ca="1">(OFFSET(Pinlist!$E$1,BC1161,0)-$BN$16)*$BN$19</f>
        <v>#N/A</v>
      </c>
      <c r="BF1161" s="192" t="e">
        <f ca="1">(OFFSET(Pinlist!$F$1,BC1161,0)-$BO$16)*$BO$19</f>
        <v>#N/A</v>
      </c>
      <c r="BG1161" s="1098" t="str">
        <f ca="1">IF(LEFT(BD1161,2)="RF",OFFSET(Pinlist!$D$1,Chart!BC1161,0)&amp;"_"&amp;OFFSET(Pinlist!$G$1,Chart!BC1161,0),"")</f>
        <v/>
      </c>
      <c r="BH1161" s="1098"/>
      <c r="BI1161" s="178"/>
      <c r="BJ1161" s="178"/>
      <c r="BK1161" s="178"/>
      <c r="BL1161" s="178"/>
      <c r="BM1161" s="178"/>
      <c r="BN1161" s="178"/>
      <c r="BO1161" s="178"/>
      <c r="BP1161" s="178"/>
      <c r="BQ1161" s="196"/>
      <c r="BR1161" s="196"/>
      <c r="BS1161" s="196"/>
      <c r="BT1161" s="196"/>
      <c r="BU1161" s="196"/>
      <c r="BV1161" s="196"/>
      <c r="BW1161" s="178"/>
      <c r="BX1161" s="196"/>
      <c r="BY1161" s="196"/>
      <c r="BZ1161" s="196"/>
      <c r="CA1161" s="196"/>
      <c r="CB1161" s="178"/>
      <c r="CC1161" s="178"/>
      <c r="CD1161" s="202"/>
      <c r="CE1161" s="202"/>
      <c r="CF1161" s="178"/>
      <c r="CG1161" s="196"/>
      <c r="CH1161" s="178"/>
      <c r="CI1161" s="178"/>
      <c r="CJ1161" s="178"/>
      <c r="CK1161" s="178"/>
      <c r="CL1161" s="178"/>
      <c r="CM1161" s="178"/>
      <c r="CN1161" s="178"/>
      <c r="CO1161" s="178"/>
      <c r="CP1161" s="178"/>
      <c r="CQ1161" s="178"/>
      <c r="CR1161" s="178"/>
      <c r="CS1161" s="178"/>
      <c r="CT1161" s="178"/>
      <c r="CU1161" s="178"/>
      <c r="CV1161" s="178"/>
      <c r="CW1161" s="178"/>
      <c r="CX1161" s="178"/>
      <c r="CY1161" s="178"/>
      <c r="CZ1161" s="178"/>
      <c r="DA1161" s="150"/>
    </row>
    <row r="1162" spans="53:105" x14ac:dyDescent="0.2">
      <c r="BA1162" s="518">
        <f t="shared" ca="1" si="67"/>
        <v>61</v>
      </c>
      <c r="BB1162" s="174">
        <f t="shared" ca="1" si="68"/>
        <v>1099</v>
      </c>
      <c r="BC1162" s="525" t="e">
        <f ca="1">MATCH(BD1162,OFFSET(Pinlist!$A$2,BC1161*(BA1162=BA1161),0,$BM$23,1),0)+BC1161*(BA1162=BA1161)</f>
        <v>#N/A</v>
      </c>
      <c r="BD1162" s="167">
        <f t="shared" ca="1" si="69"/>
        <v>0</v>
      </c>
      <c r="BE1162" s="191" t="e">
        <f ca="1">(OFFSET(Pinlist!$E$1,BC1162,0)-$BN$16)*$BN$19</f>
        <v>#N/A</v>
      </c>
      <c r="BF1162" s="192" t="e">
        <f ca="1">(OFFSET(Pinlist!$F$1,BC1162,0)-$BO$16)*$BO$19</f>
        <v>#N/A</v>
      </c>
      <c r="BG1162" s="1098" t="str">
        <f ca="1">IF(LEFT(BD1162,2)="RF",OFFSET(Pinlist!$D$1,Chart!BC1162,0)&amp;"_"&amp;OFFSET(Pinlist!$G$1,Chart!BC1162,0),"")</f>
        <v/>
      </c>
      <c r="BH1162" s="1098"/>
      <c r="BI1162" s="178"/>
      <c r="BJ1162" s="178"/>
      <c r="BK1162" s="178"/>
      <c r="BL1162" s="178"/>
      <c r="BM1162" s="178"/>
      <c r="BN1162" s="178"/>
      <c r="BO1162" s="178"/>
      <c r="BP1162" s="178"/>
      <c r="BQ1162" s="196"/>
      <c r="BR1162" s="196"/>
      <c r="BS1162" s="196"/>
      <c r="BT1162" s="196"/>
      <c r="BU1162" s="196"/>
      <c r="BV1162" s="196"/>
      <c r="BW1162" s="178"/>
      <c r="BX1162" s="196"/>
      <c r="BY1162" s="196"/>
      <c r="BZ1162" s="196"/>
      <c r="CA1162" s="196"/>
      <c r="CB1162" s="178"/>
      <c r="CC1162" s="178"/>
      <c r="CD1162" s="202"/>
      <c r="CE1162" s="202"/>
      <c r="CF1162" s="178"/>
      <c r="CG1162" s="196"/>
      <c r="CH1162" s="178"/>
      <c r="CI1162" s="178"/>
      <c r="CJ1162" s="178"/>
      <c r="CK1162" s="178"/>
      <c r="CL1162" s="178"/>
      <c r="CM1162" s="178"/>
      <c r="CN1162" s="178"/>
      <c r="CO1162" s="178"/>
      <c r="CP1162" s="178"/>
      <c r="CQ1162" s="178"/>
      <c r="CR1162" s="178"/>
      <c r="CS1162" s="178"/>
      <c r="CT1162" s="178"/>
      <c r="CU1162" s="178"/>
      <c r="CV1162" s="178"/>
      <c r="CW1162" s="178"/>
      <c r="CX1162" s="178"/>
      <c r="CY1162" s="178"/>
      <c r="CZ1162" s="178"/>
      <c r="DA1162" s="150"/>
    </row>
    <row r="1163" spans="53:105" x14ac:dyDescent="0.2">
      <c r="BA1163" s="518">
        <f t="shared" ca="1" si="67"/>
        <v>61</v>
      </c>
      <c r="BB1163" s="174">
        <f t="shared" ca="1" si="68"/>
        <v>1100</v>
      </c>
      <c r="BC1163" s="525" t="e">
        <f ca="1">MATCH(BD1163,OFFSET(Pinlist!$A$2,BC1162*(BA1163=BA1162),0,$BM$23,1),0)+BC1162*(BA1163=BA1162)</f>
        <v>#N/A</v>
      </c>
      <c r="BD1163" s="167">
        <f t="shared" ca="1" si="69"/>
        <v>0</v>
      </c>
      <c r="BE1163" s="191" t="e">
        <f ca="1">(OFFSET(Pinlist!$E$1,BC1163,0)-$BN$16)*$BN$19</f>
        <v>#N/A</v>
      </c>
      <c r="BF1163" s="192" t="e">
        <f ca="1">(OFFSET(Pinlist!$F$1,BC1163,0)-$BO$16)*$BO$19</f>
        <v>#N/A</v>
      </c>
      <c r="BG1163" s="1098" t="str">
        <f ca="1">IF(LEFT(BD1163,2)="RF",OFFSET(Pinlist!$D$1,Chart!BC1163,0)&amp;"_"&amp;OFFSET(Pinlist!$G$1,Chart!BC1163,0),"")</f>
        <v/>
      </c>
      <c r="BH1163" s="1098"/>
      <c r="BI1163" s="178"/>
      <c r="BJ1163" s="178"/>
      <c r="BK1163" s="178"/>
      <c r="BL1163" s="178"/>
      <c r="BM1163" s="178"/>
      <c r="BN1163" s="178"/>
      <c r="BO1163" s="178"/>
      <c r="BP1163" s="178"/>
      <c r="BQ1163" s="196"/>
      <c r="BR1163" s="196"/>
      <c r="BS1163" s="196"/>
      <c r="BT1163" s="196"/>
      <c r="BU1163" s="196"/>
      <c r="BV1163" s="196"/>
      <c r="BW1163" s="178"/>
      <c r="BX1163" s="196"/>
      <c r="BY1163" s="196"/>
      <c r="BZ1163" s="196"/>
      <c r="CA1163" s="196"/>
      <c r="CB1163" s="178"/>
      <c r="CC1163" s="178"/>
      <c r="CD1163" s="202"/>
      <c r="CE1163" s="202"/>
      <c r="CF1163" s="178"/>
      <c r="CG1163" s="196"/>
      <c r="CH1163" s="178"/>
      <c r="CI1163" s="178"/>
      <c r="CJ1163" s="178"/>
      <c r="CK1163" s="178"/>
      <c r="CL1163" s="178"/>
      <c r="CM1163" s="178"/>
      <c r="CN1163" s="178"/>
      <c r="CO1163" s="178"/>
      <c r="CP1163" s="178"/>
      <c r="CQ1163" s="178"/>
      <c r="CR1163" s="178"/>
      <c r="CS1163" s="178"/>
      <c r="CT1163" s="178"/>
      <c r="CU1163" s="178"/>
      <c r="CV1163" s="178"/>
      <c r="CW1163" s="178"/>
      <c r="CX1163" s="178"/>
      <c r="CY1163" s="178"/>
      <c r="CZ1163" s="178"/>
      <c r="DA1163" s="150"/>
    </row>
    <row r="1164" spans="53:105" x14ac:dyDescent="0.2">
      <c r="BA1164" s="518">
        <f t="shared" ca="1" si="67"/>
        <v>61</v>
      </c>
      <c r="BB1164" s="174">
        <f t="shared" ca="1" si="68"/>
        <v>1101</v>
      </c>
      <c r="BC1164" s="525" t="e">
        <f ca="1">MATCH(BD1164,OFFSET(Pinlist!$A$2,BC1163*(BA1164=BA1163),0,$BM$23,1),0)+BC1163*(BA1164=BA1163)</f>
        <v>#N/A</v>
      </c>
      <c r="BD1164" s="167">
        <f t="shared" ca="1" si="69"/>
        <v>0</v>
      </c>
      <c r="BE1164" s="191" t="e">
        <f ca="1">(OFFSET(Pinlist!$E$1,BC1164,0)-$BN$16)*$BN$19</f>
        <v>#N/A</v>
      </c>
      <c r="BF1164" s="192" t="e">
        <f ca="1">(OFFSET(Pinlist!$F$1,BC1164,0)-$BO$16)*$BO$19</f>
        <v>#N/A</v>
      </c>
      <c r="BG1164" s="1098" t="str">
        <f ca="1">IF(LEFT(BD1164,2)="RF",OFFSET(Pinlist!$D$1,Chart!BC1164,0)&amp;"_"&amp;OFFSET(Pinlist!$G$1,Chart!BC1164,0),"")</f>
        <v/>
      </c>
      <c r="BH1164" s="1098"/>
      <c r="BI1164" s="178"/>
      <c r="BJ1164" s="178"/>
      <c r="BK1164" s="178"/>
      <c r="BL1164" s="178"/>
      <c r="BM1164" s="178"/>
      <c r="BN1164" s="178"/>
      <c r="BO1164" s="178"/>
      <c r="BP1164" s="178"/>
      <c r="BQ1164" s="196"/>
      <c r="BR1164" s="196"/>
      <c r="BS1164" s="196"/>
      <c r="BT1164" s="196"/>
      <c r="BU1164" s="196"/>
      <c r="BV1164" s="196"/>
      <c r="BW1164" s="178"/>
      <c r="BX1164" s="196"/>
      <c r="BY1164" s="196"/>
      <c r="BZ1164" s="196"/>
      <c r="CA1164" s="196"/>
      <c r="CB1164" s="178"/>
      <c r="CC1164" s="178"/>
      <c r="CD1164" s="202"/>
      <c r="CE1164" s="202"/>
      <c r="CF1164" s="178"/>
      <c r="CG1164" s="196"/>
      <c r="CH1164" s="178"/>
      <c r="CI1164" s="178"/>
      <c r="CJ1164" s="178"/>
      <c r="CK1164" s="178"/>
      <c r="CL1164" s="178"/>
      <c r="CM1164" s="178"/>
      <c r="CN1164" s="178"/>
      <c r="CO1164" s="178"/>
      <c r="CP1164" s="178"/>
      <c r="CQ1164" s="178"/>
      <c r="CR1164" s="178"/>
      <c r="CS1164" s="178"/>
      <c r="CT1164" s="178"/>
      <c r="CU1164" s="178"/>
      <c r="CV1164" s="178"/>
      <c r="CW1164" s="178"/>
      <c r="CX1164" s="178"/>
      <c r="CY1164" s="178"/>
      <c r="CZ1164" s="178"/>
      <c r="DA1164" s="150"/>
    </row>
    <row r="1165" spans="53:105" x14ac:dyDescent="0.2">
      <c r="BA1165" s="518">
        <f t="shared" ca="1" si="67"/>
        <v>61</v>
      </c>
      <c r="BB1165" s="174">
        <f t="shared" ca="1" si="68"/>
        <v>1102</v>
      </c>
      <c r="BC1165" s="525" t="e">
        <f ca="1">MATCH(BD1165,OFFSET(Pinlist!$A$2,BC1164*(BA1165=BA1164),0,$BM$23,1),0)+BC1164*(BA1165=BA1164)</f>
        <v>#N/A</v>
      </c>
      <c r="BD1165" s="167">
        <f t="shared" ca="1" si="69"/>
        <v>0</v>
      </c>
      <c r="BE1165" s="191" t="e">
        <f ca="1">(OFFSET(Pinlist!$E$1,BC1165,0)-$BN$16)*$BN$19</f>
        <v>#N/A</v>
      </c>
      <c r="BF1165" s="192" t="e">
        <f ca="1">(OFFSET(Pinlist!$F$1,BC1165,0)-$BO$16)*$BO$19</f>
        <v>#N/A</v>
      </c>
      <c r="BG1165" s="1098" t="str">
        <f ca="1">IF(LEFT(BD1165,2)="RF",OFFSET(Pinlist!$D$1,Chart!BC1165,0)&amp;"_"&amp;OFFSET(Pinlist!$G$1,Chart!BC1165,0),"")</f>
        <v/>
      </c>
      <c r="BH1165" s="1098"/>
      <c r="BI1165" s="178"/>
      <c r="BJ1165" s="178"/>
      <c r="BK1165" s="178"/>
      <c r="BL1165" s="178"/>
      <c r="BM1165" s="178"/>
      <c r="BN1165" s="178"/>
      <c r="BO1165" s="178"/>
      <c r="BP1165" s="178"/>
      <c r="BQ1165" s="196"/>
      <c r="BR1165" s="196"/>
      <c r="BS1165" s="196"/>
      <c r="BT1165" s="196"/>
      <c r="BU1165" s="196"/>
      <c r="BV1165" s="196"/>
      <c r="BW1165" s="178"/>
      <c r="BX1165" s="196"/>
      <c r="BY1165" s="196"/>
      <c r="BZ1165" s="196"/>
      <c r="CA1165" s="196"/>
      <c r="CB1165" s="178"/>
      <c r="CC1165" s="178"/>
      <c r="CD1165" s="202"/>
      <c r="CE1165" s="202"/>
      <c r="CF1165" s="178"/>
      <c r="CG1165" s="196"/>
      <c r="CH1165" s="178"/>
      <c r="CI1165" s="178"/>
      <c r="CJ1165" s="178"/>
      <c r="CK1165" s="178"/>
      <c r="CL1165" s="178"/>
      <c r="CM1165" s="178"/>
      <c r="CN1165" s="178"/>
      <c r="CO1165" s="178"/>
      <c r="CP1165" s="178"/>
      <c r="CQ1165" s="178"/>
      <c r="CR1165" s="178"/>
      <c r="CS1165" s="178"/>
      <c r="CT1165" s="178"/>
      <c r="CU1165" s="178"/>
      <c r="CV1165" s="178"/>
      <c r="CW1165" s="178"/>
      <c r="CX1165" s="178"/>
      <c r="CY1165" s="178"/>
      <c r="CZ1165" s="178"/>
      <c r="DA1165" s="150"/>
    </row>
    <row r="1166" spans="53:105" x14ac:dyDescent="0.2">
      <c r="BA1166" s="518">
        <f t="shared" ca="1" si="67"/>
        <v>61</v>
      </c>
      <c r="BB1166" s="174">
        <f t="shared" ca="1" si="68"/>
        <v>1103</v>
      </c>
      <c r="BC1166" s="525" t="e">
        <f ca="1">MATCH(BD1166,OFFSET(Pinlist!$A$2,BC1165*(BA1166=BA1165),0,$BM$23,1),0)+BC1165*(BA1166=BA1165)</f>
        <v>#N/A</v>
      </c>
      <c r="BD1166" s="167">
        <f t="shared" ca="1" si="69"/>
        <v>0</v>
      </c>
      <c r="BE1166" s="191" t="e">
        <f ca="1">(OFFSET(Pinlist!$E$1,BC1166,0)-$BN$16)*$BN$19</f>
        <v>#N/A</v>
      </c>
      <c r="BF1166" s="192" t="e">
        <f ca="1">(OFFSET(Pinlist!$F$1,BC1166,0)-$BO$16)*$BO$19</f>
        <v>#N/A</v>
      </c>
      <c r="BG1166" s="1098" t="str">
        <f ca="1">IF(LEFT(BD1166,2)="RF",OFFSET(Pinlist!$D$1,Chart!BC1166,0)&amp;"_"&amp;OFFSET(Pinlist!$G$1,Chart!BC1166,0),"")</f>
        <v/>
      </c>
      <c r="BH1166" s="1098"/>
      <c r="BI1166" s="178"/>
      <c r="BJ1166" s="178"/>
      <c r="BK1166" s="178"/>
      <c r="BL1166" s="178"/>
      <c r="BM1166" s="178"/>
      <c r="BN1166" s="178"/>
      <c r="BO1166" s="178"/>
      <c r="BP1166" s="178"/>
      <c r="BQ1166" s="196"/>
      <c r="BR1166" s="196"/>
      <c r="BS1166" s="196"/>
      <c r="BT1166" s="196"/>
      <c r="BU1166" s="196"/>
      <c r="BV1166" s="196"/>
      <c r="BW1166" s="178"/>
      <c r="BX1166" s="196"/>
      <c r="BY1166" s="196"/>
      <c r="BZ1166" s="196"/>
      <c r="CA1166" s="196"/>
      <c r="CB1166" s="178"/>
      <c r="CC1166" s="178"/>
      <c r="CD1166" s="202"/>
      <c r="CE1166" s="202"/>
      <c r="CF1166" s="178"/>
      <c r="CG1166" s="196"/>
      <c r="CH1166" s="178"/>
      <c r="CI1166" s="178"/>
      <c r="CJ1166" s="178"/>
      <c r="CK1166" s="178"/>
      <c r="CL1166" s="178"/>
      <c r="CM1166" s="178"/>
      <c r="CN1166" s="178"/>
      <c r="CO1166" s="178"/>
      <c r="CP1166" s="178"/>
      <c r="CQ1166" s="178"/>
      <c r="CR1166" s="178"/>
      <c r="CS1166" s="178"/>
      <c r="CT1166" s="178"/>
      <c r="CU1166" s="178"/>
      <c r="CV1166" s="178"/>
      <c r="CW1166" s="178"/>
      <c r="CX1166" s="178"/>
      <c r="CY1166" s="178"/>
      <c r="CZ1166" s="178"/>
      <c r="DA1166" s="150"/>
    </row>
    <row r="1167" spans="53:105" x14ac:dyDescent="0.2">
      <c r="BA1167" s="518">
        <f t="shared" ca="1" si="67"/>
        <v>61</v>
      </c>
      <c r="BB1167" s="174">
        <f t="shared" ca="1" si="68"/>
        <v>1104</v>
      </c>
      <c r="BC1167" s="525" t="e">
        <f ca="1">MATCH(BD1167,OFFSET(Pinlist!$A$2,BC1166*(BA1167=BA1166),0,$BM$23,1),0)+BC1166*(BA1167=BA1166)</f>
        <v>#N/A</v>
      </c>
      <c r="BD1167" s="167">
        <f t="shared" ca="1" si="69"/>
        <v>0</v>
      </c>
      <c r="BE1167" s="191" t="e">
        <f ca="1">(OFFSET(Pinlist!$E$1,BC1167,0)-$BN$16)*$BN$19</f>
        <v>#N/A</v>
      </c>
      <c r="BF1167" s="192" t="e">
        <f ca="1">(OFFSET(Pinlist!$F$1,BC1167,0)-$BO$16)*$BO$19</f>
        <v>#N/A</v>
      </c>
      <c r="BG1167" s="1098" t="str">
        <f ca="1">IF(LEFT(BD1167,2)="RF",OFFSET(Pinlist!$D$1,Chart!BC1167,0)&amp;"_"&amp;OFFSET(Pinlist!$G$1,Chart!BC1167,0),"")</f>
        <v/>
      </c>
      <c r="BH1167" s="1098"/>
      <c r="BI1167" s="178"/>
      <c r="BJ1167" s="178"/>
      <c r="BK1167" s="178"/>
      <c r="BL1167" s="178"/>
      <c r="BM1167" s="178"/>
      <c r="BN1167" s="178"/>
      <c r="BO1167" s="178"/>
      <c r="BP1167" s="178"/>
      <c r="BQ1167" s="196"/>
      <c r="BR1167" s="196"/>
      <c r="BS1167" s="196"/>
      <c r="BT1167" s="196"/>
      <c r="BU1167" s="196"/>
      <c r="BV1167" s="196"/>
      <c r="BW1167" s="178"/>
      <c r="BX1167" s="196"/>
      <c r="BY1167" s="196"/>
      <c r="BZ1167" s="196"/>
      <c r="CA1167" s="196"/>
      <c r="CB1167" s="178"/>
      <c r="CC1167" s="178"/>
      <c r="CD1167" s="202"/>
      <c r="CE1167" s="202"/>
      <c r="CF1167" s="178"/>
      <c r="CG1167" s="196"/>
      <c r="CH1167" s="178"/>
      <c r="CI1167" s="178"/>
      <c r="CJ1167" s="178"/>
      <c r="CK1167" s="178"/>
      <c r="CL1167" s="178"/>
      <c r="CM1167" s="178"/>
      <c r="CN1167" s="178"/>
      <c r="CO1167" s="178"/>
      <c r="CP1167" s="178"/>
      <c r="CQ1167" s="178"/>
      <c r="CR1167" s="178"/>
      <c r="CS1167" s="178"/>
      <c r="CT1167" s="178"/>
      <c r="CU1167" s="178"/>
      <c r="CV1167" s="178"/>
      <c r="CW1167" s="178"/>
      <c r="CX1167" s="178"/>
      <c r="CY1167" s="178"/>
      <c r="CZ1167" s="178"/>
      <c r="DA1167" s="150"/>
    </row>
    <row r="1168" spans="53:105" x14ac:dyDescent="0.2">
      <c r="BA1168" s="518">
        <f t="shared" ca="1" si="67"/>
        <v>61</v>
      </c>
      <c r="BB1168" s="174">
        <f t="shared" ca="1" si="68"/>
        <v>1105</v>
      </c>
      <c r="BC1168" s="525" t="e">
        <f ca="1">MATCH(BD1168,OFFSET(Pinlist!$A$2,BC1167*(BA1168=BA1167),0,$BM$23,1),0)+BC1167*(BA1168=BA1167)</f>
        <v>#N/A</v>
      </c>
      <c r="BD1168" s="167">
        <f t="shared" ca="1" si="69"/>
        <v>0</v>
      </c>
      <c r="BE1168" s="191" t="e">
        <f ca="1">(OFFSET(Pinlist!$E$1,BC1168,0)-$BN$16)*$BN$19</f>
        <v>#N/A</v>
      </c>
      <c r="BF1168" s="192" t="e">
        <f ca="1">(OFFSET(Pinlist!$F$1,BC1168,0)-$BO$16)*$BO$19</f>
        <v>#N/A</v>
      </c>
      <c r="BG1168" s="1098" t="str">
        <f ca="1">IF(LEFT(BD1168,2)="RF",OFFSET(Pinlist!$D$1,Chart!BC1168,0)&amp;"_"&amp;OFFSET(Pinlist!$G$1,Chart!BC1168,0),"")</f>
        <v/>
      </c>
      <c r="BH1168" s="1098"/>
      <c r="BI1168" s="178"/>
      <c r="BJ1168" s="178"/>
      <c r="BK1168" s="178"/>
      <c r="BL1168" s="178"/>
      <c r="BM1168" s="178"/>
      <c r="BN1168" s="178"/>
      <c r="BO1168" s="178"/>
      <c r="BP1168" s="178"/>
      <c r="BQ1168" s="196"/>
      <c r="BR1168" s="196"/>
      <c r="BS1168" s="196"/>
      <c r="BT1168" s="196"/>
      <c r="BU1168" s="196"/>
      <c r="BV1168" s="196"/>
      <c r="BW1168" s="178"/>
      <c r="BX1168" s="196"/>
      <c r="BY1168" s="196"/>
      <c r="BZ1168" s="196"/>
      <c r="CA1168" s="196"/>
      <c r="CB1168" s="178"/>
      <c r="CC1168" s="178"/>
      <c r="CD1168" s="202"/>
      <c r="CE1168" s="202"/>
      <c r="CF1168" s="178"/>
      <c r="CG1168" s="196"/>
      <c r="CH1168" s="178"/>
      <c r="CI1168" s="178"/>
      <c r="CJ1168" s="178"/>
      <c r="CK1168" s="178"/>
      <c r="CL1168" s="178"/>
      <c r="CM1168" s="178"/>
      <c r="CN1168" s="178"/>
      <c r="CO1168" s="178"/>
      <c r="CP1168" s="178"/>
      <c r="CQ1168" s="178"/>
      <c r="CR1168" s="178"/>
      <c r="CS1168" s="178"/>
      <c r="CT1168" s="178"/>
      <c r="CU1168" s="178"/>
      <c r="CV1168" s="178"/>
      <c r="CW1168" s="178"/>
      <c r="CX1168" s="178"/>
      <c r="CY1168" s="178"/>
      <c r="CZ1168" s="178"/>
      <c r="DA1168" s="150"/>
    </row>
    <row r="1169" spans="53:105" x14ac:dyDescent="0.2">
      <c r="BA1169" s="518">
        <f t="shared" ca="1" si="67"/>
        <v>61</v>
      </c>
      <c r="BB1169" s="174">
        <f t="shared" ca="1" si="68"/>
        <v>1106</v>
      </c>
      <c r="BC1169" s="525" t="e">
        <f ca="1">MATCH(BD1169,OFFSET(Pinlist!$A$2,BC1168*(BA1169=BA1168),0,$BM$23,1),0)+BC1168*(BA1169=BA1168)</f>
        <v>#N/A</v>
      </c>
      <c r="BD1169" s="167">
        <f t="shared" ca="1" si="69"/>
        <v>0</v>
      </c>
      <c r="BE1169" s="191" t="e">
        <f ca="1">(OFFSET(Pinlist!$E$1,BC1169,0)-$BN$16)*$BN$19</f>
        <v>#N/A</v>
      </c>
      <c r="BF1169" s="192" t="e">
        <f ca="1">(OFFSET(Pinlist!$F$1,BC1169,0)-$BO$16)*$BO$19</f>
        <v>#N/A</v>
      </c>
      <c r="BG1169" s="1098" t="str">
        <f ca="1">IF(LEFT(BD1169,2)="RF",OFFSET(Pinlist!$D$1,Chart!BC1169,0)&amp;"_"&amp;OFFSET(Pinlist!$G$1,Chart!BC1169,0),"")</f>
        <v/>
      </c>
      <c r="BH1169" s="1098"/>
      <c r="BI1169" s="178"/>
      <c r="BJ1169" s="178"/>
      <c r="BK1169" s="178"/>
      <c r="BL1169" s="178"/>
      <c r="BM1169" s="178"/>
      <c r="BN1169" s="178"/>
      <c r="BO1169" s="178"/>
      <c r="BP1169" s="178"/>
      <c r="BQ1169" s="196"/>
      <c r="BR1169" s="196"/>
      <c r="BS1169" s="196"/>
      <c r="BT1169" s="196"/>
      <c r="BU1169" s="196"/>
      <c r="BV1169" s="196"/>
      <c r="BW1169" s="178"/>
      <c r="BX1169" s="196"/>
      <c r="BY1169" s="196"/>
      <c r="BZ1169" s="196"/>
      <c r="CA1169" s="196"/>
      <c r="CB1169" s="178"/>
      <c r="CC1169" s="178"/>
      <c r="CD1169" s="202"/>
      <c r="CE1169" s="202"/>
      <c r="CF1169" s="178"/>
      <c r="CG1169" s="196"/>
      <c r="CH1169" s="178"/>
      <c r="CI1169" s="178"/>
      <c r="CJ1169" s="178"/>
      <c r="CK1169" s="178"/>
      <c r="CL1169" s="178"/>
      <c r="CM1169" s="178"/>
      <c r="CN1169" s="178"/>
      <c r="CO1169" s="178"/>
      <c r="CP1169" s="178"/>
      <c r="CQ1169" s="178"/>
      <c r="CR1169" s="178"/>
      <c r="CS1169" s="178"/>
      <c r="CT1169" s="178"/>
      <c r="CU1169" s="178"/>
      <c r="CV1169" s="178"/>
      <c r="CW1169" s="178"/>
      <c r="CX1169" s="178"/>
      <c r="CY1169" s="178"/>
      <c r="CZ1169" s="178"/>
      <c r="DA1169" s="150"/>
    </row>
    <row r="1170" spans="53:105" x14ac:dyDescent="0.2">
      <c r="BA1170" s="518">
        <f t="shared" ca="1" si="67"/>
        <v>61</v>
      </c>
      <c r="BB1170" s="174">
        <f t="shared" ca="1" si="68"/>
        <v>1107</v>
      </c>
      <c r="BC1170" s="525" t="e">
        <f ca="1">MATCH(BD1170,OFFSET(Pinlist!$A$2,BC1169*(BA1170=BA1169),0,$BM$23,1),0)+BC1169*(BA1170=BA1169)</f>
        <v>#N/A</v>
      </c>
      <c r="BD1170" s="167">
        <f t="shared" ca="1" si="69"/>
        <v>0</v>
      </c>
      <c r="BE1170" s="191" t="e">
        <f ca="1">(OFFSET(Pinlist!$E$1,BC1170,0)-$BN$16)*$BN$19</f>
        <v>#N/A</v>
      </c>
      <c r="BF1170" s="192" t="e">
        <f ca="1">(OFFSET(Pinlist!$F$1,BC1170,0)-$BO$16)*$BO$19</f>
        <v>#N/A</v>
      </c>
      <c r="BG1170" s="1098" t="str">
        <f ca="1">IF(LEFT(BD1170,2)="RF",OFFSET(Pinlist!$D$1,Chart!BC1170,0)&amp;"_"&amp;OFFSET(Pinlist!$G$1,Chart!BC1170,0),"")</f>
        <v/>
      </c>
      <c r="BH1170" s="1098"/>
      <c r="BI1170" s="178"/>
      <c r="BJ1170" s="178"/>
      <c r="BK1170" s="178"/>
      <c r="BL1170" s="178"/>
      <c r="BM1170" s="178"/>
      <c r="BN1170" s="178"/>
      <c r="BO1170" s="178"/>
      <c r="BP1170" s="178"/>
      <c r="BQ1170" s="196"/>
      <c r="BR1170" s="196"/>
      <c r="BS1170" s="196"/>
      <c r="BT1170" s="196"/>
      <c r="BU1170" s="196"/>
      <c r="BV1170" s="196"/>
      <c r="BW1170" s="178"/>
      <c r="BX1170" s="196"/>
      <c r="BY1170" s="196"/>
      <c r="BZ1170" s="196"/>
      <c r="CA1170" s="196"/>
      <c r="CB1170" s="178"/>
      <c r="CC1170" s="178"/>
      <c r="CD1170" s="202"/>
      <c r="CE1170" s="202"/>
      <c r="CF1170" s="178"/>
      <c r="CG1170" s="196"/>
      <c r="CH1170" s="178"/>
      <c r="CI1170" s="178"/>
      <c r="CJ1170" s="178"/>
      <c r="CK1170" s="178"/>
      <c r="CL1170" s="178"/>
      <c r="CM1170" s="178"/>
      <c r="CN1170" s="178"/>
      <c r="CO1170" s="178"/>
      <c r="CP1170" s="178"/>
      <c r="CQ1170" s="178"/>
      <c r="CR1170" s="178"/>
      <c r="CS1170" s="178"/>
      <c r="CT1170" s="178"/>
      <c r="CU1170" s="178"/>
      <c r="CV1170" s="178"/>
      <c r="CW1170" s="178"/>
      <c r="CX1170" s="178"/>
      <c r="CY1170" s="178"/>
      <c r="CZ1170" s="178"/>
      <c r="DA1170" s="150"/>
    </row>
    <row r="1171" spans="53:105" x14ac:dyDescent="0.2">
      <c r="BA1171" s="518">
        <f t="shared" ca="1" si="67"/>
        <v>61</v>
      </c>
      <c r="BB1171" s="174">
        <f t="shared" ca="1" si="68"/>
        <v>1108</v>
      </c>
      <c r="BC1171" s="525" t="e">
        <f ca="1">MATCH(BD1171,OFFSET(Pinlist!$A$2,BC1170*(BA1171=BA1170),0,$BM$23,1),0)+BC1170*(BA1171=BA1170)</f>
        <v>#N/A</v>
      </c>
      <c r="BD1171" s="167">
        <f t="shared" ca="1" si="69"/>
        <v>0</v>
      </c>
      <c r="BE1171" s="191" t="e">
        <f ca="1">(OFFSET(Pinlist!$E$1,BC1171,0)-$BN$16)*$BN$19</f>
        <v>#N/A</v>
      </c>
      <c r="BF1171" s="192" t="e">
        <f ca="1">(OFFSET(Pinlist!$F$1,BC1171,0)-$BO$16)*$BO$19</f>
        <v>#N/A</v>
      </c>
      <c r="BG1171" s="1098" t="str">
        <f ca="1">IF(LEFT(BD1171,2)="RF",OFFSET(Pinlist!$D$1,Chart!BC1171,0)&amp;"_"&amp;OFFSET(Pinlist!$G$1,Chart!BC1171,0),"")</f>
        <v/>
      </c>
      <c r="BH1171" s="1098"/>
      <c r="BI1171" s="178"/>
      <c r="BJ1171" s="178"/>
      <c r="BK1171" s="178"/>
      <c r="BL1171" s="178"/>
      <c r="BM1171" s="178"/>
      <c r="BN1171" s="178"/>
      <c r="BO1171" s="178"/>
      <c r="BP1171" s="178"/>
      <c r="BQ1171" s="196"/>
      <c r="BR1171" s="196"/>
      <c r="BS1171" s="196"/>
      <c r="BT1171" s="196"/>
      <c r="BU1171" s="196"/>
      <c r="BV1171" s="196"/>
      <c r="BW1171" s="178"/>
      <c r="BX1171" s="196"/>
      <c r="BY1171" s="196"/>
      <c r="BZ1171" s="196"/>
      <c r="CA1171" s="196"/>
      <c r="CB1171" s="178"/>
      <c r="CC1171" s="178"/>
      <c r="CD1171" s="202"/>
      <c r="CE1171" s="202"/>
      <c r="CF1171" s="178"/>
      <c r="CG1171" s="196"/>
      <c r="CH1171" s="178"/>
      <c r="CI1171" s="178"/>
      <c r="CJ1171" s="178"/>
      <c r="CK1171" s="178"/>
      <c r="CL1171" s="178"/>
      <c r="CM1171" s="178"/>
      <c r="CN1171" s="178"/>
      <c r="CO1171" s="178"/>
      <c r="CP1171" s="178"/>
      <c r="CQ1171" s="178"/>
      <c r="CR1171" s="178"/>
      <c r="CS1171" s="178"/>
      <c r="CT1171" s="178"/>
      <c r="CU1171" s="178"/>
      <c r="CV1171" s="178"/>
      <c r="CW1171" s="178"/>
      <c r="CX1171" s="178"/>
      <c r="CY1171" s="178"/>
      <c r="CZ1171" s="178"/>
      <c r="DA1171" s="150"/>
    </row>
    <row r="1172" spans="53:105" x14ac:dyDescent="0.2">
      <c r="BA1172" s="518">
        <f t="shared" ca="1" si="67"/>
        <v>61</v>
      </c>
      <c r="BB1172" s="174">
        <f t="shared" ca="1" si="68"/>
        <v>1109</v>
      </c>
      <c r="BC1172" s="525" t="e">
        <f ca="1">MATCH(BD1172,OFFSET(Pinlist!$A$2,BC1171*(BA1172=BA1171),0,$BM$23,1),0)+BC1171*(BA1172=BA1171)</f>
        <v>#N/A</v>
      </c>
      <c r="BD1172" s="167">
        <f t="shared" ca="1" si="69"/>
        <v>0</v>
      </c>
      <c r="BE1172" s="191" t="e">
        <f ca="1">(OFFSET(Pinlist!$E$1,BC1172,0)-$BN$16)*$BN$19</f>
        <v>#N/A</v>
      </c>
      <c r="BF1172" s="192" t="e">
        <f ca="1">(OFFSET(Pinlist!$F$1,BC1172,0)-$BO$16)*$BO$19</f>
        <v>#N/A</v>
      </c>
      <c r="BG1172" s="1098" t="str">
        <f ca="1">IF(LEFT(BD1172,2)="RF",OFFSET(Pinlist!$D$1,Chart!BC1172,0)&amp;"_"&amp;OFFSET(Pinlist!$G$1,Chart!BC1172,0),"")</f>
        <v/>
      </c>
      <c r="BH1172" s="1098"/>
      <c r="BI1172" s="178"/>
      <c r="BJ1172" s="178"/>
      <c r="BK1172" s="178"/>
      <c r="BL1172" s="178"/>
      <c r="BM1172" s="178"/>
      <c r="BN1172" s="178"/>
      <c r="BO1172" s="178"/>
      <c r="BP1172" s="178"/>
      <c r="BQ1172" s="196"/>
      <c r="BR1172" s="196"/>
      <c r="BS1172" s="196"/>
      <c r="BT1172" s="196"/>
      <c r="BU1172" s="196"/>
      <c r="BV1172" s="196"/>
      <c r="BW1172" s="178"/>
      <c r="BX1172" s="196"/>
      <c r="BY1172" s="196"/>
      <c r="BZ1172" s="196"/>
      <c r="CA1172" s="196"/>
      <c r="CB1172" s="178"/>
      <c r="CC1172" s="178"/>
      <c r="CD1172" s="202"/>
      <c r="CE1172" s="202"/>
      <c r="CF1172" s="178"/>
      <c r="CG1172" s="196"/>
      <c r="CH1172" s="178"/>
      <c r="CI1172" s="178"/>
      <c r="CJ1172" s="178"/>
      <c r="CK1172" s="178"/>
      <c r="CL1172" s="178"/>
      <c r="CM1172" s="178"/>
      <c r="CN1172" s="178"/>
      <c r="CO1172" s="178"/>
      <c r="CP1172" s="178"/>
      <c r="CQ1172" s="178"/>
      <c r="CR1172" s="178"/>
      <c r="CS1172" s="178"/>
      <c r="CT1172" s="178"/>
      <c r="CU1172" s="178"/>
      <c r="CV1172" s="178"/>
      <c r="CW1172" s="178"/>
      <c r="CX1172" s="178"/>
      <c r="CY1172" s="178"/>
      <c r="CZ1172" s="178"/>
      <c r="DA1172" s="150"/>
    </row>
    <row r="1173" spans="53:105" x14ac:dyDescent="0.2">
      <c r="BA1173" s="518">
        <f t="shared" ca="1" si="67"/>
        <v>61</v>
      </c>
      <c r="BB1173" s="174">
        <f t="shared" ca="1" si="68"/>
        <v>1110</v>
      </c>
      <c r="BC1173" s="525" t="e">
        <f ca="1">MATCH(BD1173,OFFSET(Pinlist!$A$2,BC1172*(BA1173=BA1172),0,$BM$23,1),0)+BC1172*(BA1173=BA1172)</f>
        <v>#N/A</v>
      </c>
      <c r="BD1173" s="167">
        <f t="shared" ca="1" si="69"/>
        <v>0</v>
      </c>
      <c r="BE1173" s="191" t="e">
        <f ca="1">(OFFSET(Pinlist!$E$1,BC1173,0)-$BN$16)*$BN$19</f>
        <v>#N/A</v>
      </c>
      <c r="BF1173" s="192" t="e">
        <f ca="1">(OFFSET(Pinlist!$F$1,BC1173,0)-$BO$16)*$BO$19</f>
        <v>#N/A</v>
      </c>
      <c r="BG1173" s="1098" t="str">
        <f ca="1">IF(LEFT(BD1173,2)="RF",OFFSET(Pinlist!$D$1,Chart!BC1173,0)&amp;"_"&amp;OFFSET(Pinlist!$G$1,Chart!BC1173,0),"")</f>
        <v/>
      </c>
      <c r="BH1173" s="1098"/>
      <c r="BI1173" s="178"/>
      <c r="BJ1173" s="178"/>
      <c r="BK1173" s="178"/>
      <c r="BL1173" s="178"/>
      <c r="BM1173" s="178"/>
      <c r="BN1173" s="178"/>
      <c r="BO1173" s="178"/>
      <c r="BP1173" s="178"/>
      <c r="BQ1173" s="196"/>
      <c r="BR1173" s="196"/>
      <c r="BS1173" s="196"/>
      <c r="BT1173" s="196"/>
      <c r="BU1173" s="196"/>
      <c r="BV1173" s="196"/>
      <c r="BW1173" s="178"/>
      <c r="BX1173" s="196"/>
      <c r="BY1173" s="196"/>
      <c r="BZ1173" s="196"/>
      <c r="CA1173" s="196"/>
      <c r="CB1173" s="178"/>
      <c r="CC1173" s="178"/>
      <c r="CD1173" s="202"/>
      <c r="CE1173" s="202"/>
      <c r="CF1173" s="178"/>
      <c r="CG1173" s="196"/>
      <c r="CH1173" s="178"/>
      <c r="CI1173" s="178"/>
      <c r="CJ1173" s="178"/>
      <c r="CK1173" s="178"/>
      <c r="CL1173" s="178"/>
      <c r="CM1173" s="178"/>
      <c r="CN1173" s="178"/>
      <c r="CO1173" s="178"/>
      <c r="CP1173" s="178"/>
      <c r="CQ1173" s="178"/>
      <c r="CR1173" s="178"/>
      <c r="CS1173" s="178"/>
      <c r="CT1173" s="178"/>
      <c r="CU1173" s="178"/>
      <c r="CV1173" s="178"/>
      <c r="CW1173" s="178"/>
      <c r="CX1173" s="178"/>
      <c r="CY1173" s="178"/>
      <c r="CZ1173" s="178"/>
      <c r="DA1173" s="150"/>
    </row>
    <row r="1174" spans="53:105" x14ac:dyDescent="0.2">
      <c r="BA1174" s="518">
        <f t="shared" ca="1" si="67"/>
        <v>61</v>
      </c>
      <c r="BB1174" s="174">
        <f t="shared" ca="1" si="68"/>
        <v>1111</v>
      </c>
      <c r="BC1174" s="525" t="e">
        <f ca="1">MATCH(BD1174,OFFSET(Pinlist!$A$2,BC1173*(BA1174=BA1173),0,$BM$23,1),0)+BC1173*(BA1174=BA1173)</f>
        <v>#N/A</v>
      </c>
      <c r="BD1174" s="167">
        <f t="shared" ca="1" si="69"/>
        <v>0</v>
      </c>
      <c r="BE1174" s="191" t="e">
        <f ca="1">(OFFSET(Pinlist!$E$1,BC1174,0)-$BN$16)*$BN$19</f>
        <v>#N/A</v>
      </c>
      <c r="BF1174" s="192" t="e">
        <f ca="1">(OFFSET(Pinlist!$F$1,BC1174,0)-$BO$16)*$BO$19</f>
        <v>#N/A</v>
      </c>
      <c r="BG1174" s="1098" t="str">
        <f ca="1">IF(LEFT(BD1174,2)="RF",OFFSET(Pinlist!$D$1,Chart!BC1174,0)&amp;"_"&amp;OFFSET(Pinlist!$G$1,Chart!BC1174,0),"")</f>
        <v/>
      </c>
      <c r="BH1174" s="1098"/>
      <c r="BI1174" s="178"/>
      <c r="BJ1174" s="178"/>
      <c r="BK1174" s="178"/>
      <c r="BL1174" s="178"/>
      <c r="BM1174" s="178"/>
      <c r="BN1174" s="178"/>
      <c r="BO1174" s="178"/>
      <c r="BP1174" s="178"/>
      <c r="BQ1174" s="196"/>
      <c r="BR1174" s="196"/>
      <c r="BS1174" s="196"/>
      <c r="BT1174" s="196"/>
      <c r="BU1174" s="196"/>
      <c r="BV1174" s="196"/>
      <c r="BW1174" s="178"/>
      <c r="BX1174" s="196"/>
      <c r="BY1174" s="196"/>
      <c r="BZ1174" s="196"/>
      <c r="CA1174" s="196"/>
      <c r="CB1174" s="178"/>
      <c r="CC1174" s="178"/>
      <c r="CD1174" s="202"/>
      <c r="CE1174" s="202"/>
      <c r="CF1174" s="178"/>
      <c r="CG1174" s="196"/>
      <c r="CH1174" s="178"/>
      <c r="CI1174" s="178"/>
      <c r="CJ1174" s="178"/>
      <c r="CK1174" s="178"/>
      <c r="CL1174" s="178"/>
      <c r="CM1174" s="178"/>
      <c r="CN1174" s="178"/>
      <c r="CO1174" s="178"/>
      <c r="CP1174" s="178"/>
      <c r="CQ1174" s="178"/>
      <c r="CR1174" s="178"/>
      <c r="CS1174" s="178"/>
      <c r="CT1174" s="178"/>
      <c r="CU1174" s="178"/>
      <c r="CV1174" s="178"/>
      <c r="CW1174" s="178"/>
      <c r="CX1174" s="178"/>
      <c r="CY1174" s="178"/>
      <c r="CZ1174" s="178"/>
      <c r="DA1174" s="150"/>
    </row>
    <row r="1175" spans="53:105" x14ac:dyDescent="0.2">
      <c r="BA1175" s="518">
        <f t="shared" ca="1" si="67"/>
        <v>61</v>
      </c>
      <c r="BB1175" s="174">
        <f t="shared" ca="1" si="68"/>
        <v>1112</v>
      </c>
      <c r="BC1175" s="525" t="e">
        <f ca="1">MATCH(BD1175,OFFSET(Pinlist!$A$2,BC1174*(BA1175=BA1174),0,$BM$23,1),0)+BC1174*(BA1175=BA1174)</f>
        <v>#N/A</v>
      </c>
      <c r="BD1175" s="167">
        <f t="shared" ca="1" si="69"/>
        <v>0</v>
      </c>
      <c r="BE1175" s="191" t="e">
        <f ca="1">(OFFSET(Pinlist!$E$1,BC1175,0)-$BN$16)*$BN$19</f>
        <v>#N/A</v>
      </c>
      <c r="BF1175" s="192" t="e">
        <f ca="1">(OFFSET(Pinlist!$F$1,BC1175,0)-$BO$16)*$BO$19</f>
        <v>#N/A</v>
      </c>
      <c r="BG1175" s="1098" t="str">
        <f ca="1">IF(LEFT(BD1175,2)="RF",OFFSET(Pinlist!$D$1,Chart!BC1175,0)&amp;"_"&amp;OFFSET(Pinlist!$G$1,Chart!BC1175,0),"")</f>
        <v/>
      </c>
      <c r="BH1175" s="1098"/>
      <c r="BI1175" s="178"/>
      <c r="BJ1175" s="178"/>
      <c r="BK1175" s="178"/>
      <c r="BL1175" s="178"/>
      <c r="BM1175" s="178"/>
      <c r="BN1175" s="178"/>
      <c r="BO1175" s="178"/>
      <c r="BP1175" s="178"/>
      <c r="BQ1175" s="196"/>
      <c r="BR1175" s="196"/>
      <c r="BS1175" s="196"/>
      <c r="BT1175" s="196"/>
      <c r="BU1175" s="196"/>
      <c r="BV1175" s="196"/>
      <c r="BW1175" s="178"/>
      <c r="BX1175" s="196"/>
      <c r="BY1175" s="196"/>
      <c r="BZ1175" s="196"/>
      <c r="CA1175" s="196"/>
      <c r="CB1175" s="178"/>
      <c r="CC1175" s="178"/>
      <c r="CD1175" s="202"/>
      <c r="CE1175" s="202"/>
      <c r="CF1175" s="178"/>
      <c r="CG1175" s="196"/>
      <c r="CH1175" s="178"/>
      <c r="CI1175" s="178"/>
      <c r="CJ1175" s="178"/>
      <c r="CK1175" s="178"/>
      <c r="CL1175" s="178"/>
      <c r="CM1175" s="178"/>
      <c r="CN1175" s="178"/>
      <c r="CO1175" s="178"/>
      <c r="CP1175" s="178"/>
      <c r="CQ1175" s="178"/>
      <c r="CR1175" s="178"/>
      <c r="CS1175" s="178"/>
      <c r="CT1175" s="178"/>
      <c r="CU1175" s="178"/>
      <c r="CV1175" s="178"/>
      <c r="CW1175" s="178"/>
      <c r="CX1175" s="178"/>
      <c r="CY1175" s="178"/>
      <c r="CZ1175" s="178"/>
      <c r="DA1175" s="150"/>
    </row>
    <row r="1176" spans="53:105" x14ac:dyDescent="0.2">
      <c r="BA1176" s="518">
        <f t="shared" ca="1" si="67"/>
        <v>61</v>
      </c>
      <c r="BB1176" s="174">
        <f t="shared" ca="1" si="68"/>
        <v>1113</v>
      </c>
      <c r="BC1176" s="525" t="e">
        <f ca="1">MATCH(BD1176,OFFSET(Pinlist!$A$2,BC1175*(BA1176=BA1175),0,$BM$23,1),0)+BC1175*(BA1176=BA1175)</f>
        <v>#N/A</v>
      </c>
      <c r="BD1176" s="167">
        <f t="shared" ca="1" si="69"/>
        <v>0</v>
      </c>
      <c r="BE1176" s="191" t="e">
        <f ca="1">(OFFSET(Pinlist!$E$1,BC1176,0)-$BN$16)*$BN$19</f>
        <v>#N/A</v>
      </c>
      <c r="BF1176" s="192" t="e">
        <f ca="1">(OFFSET(Pinlist!$F$1,BC1176,0)-$BO$16)*$BO$19</f>
        <v>#N/A</v>
      </c>
      <c r="BG1176" s="1098" t="str">
        <f ca="1">IF(LEFT(BD1176,2)="RF",OFFSET(Pinlist!$D$1,Chart!BC1176,0)&amp;"_"&amp;OFFSET(Pinlist!$G$1,Chart!BC1176,0),"")</f>
        <v/>
      </c>
      <c r="BH1176" s="1098"/>
      <c r="BI1176" s="178"/>
      <c r="BJ1176" s="178"/>
      <c r="BK1176" s="178"/>
      <c r="BL1176" s="178"/>
      <c r="BM1176" s="178"/>
      <c r="BN1176" s="178"/>
      <c r="BO1176" s="178"/>
      <c r="BP1176" s="178"/>
      <c r="BQ1176" s="196"/>
      <c r="BR1176" s="196"/>
      <c r="BS1176" s="196"/>
      <c r="BT1176" s="196"/>
      <c r="BU1176" s="196"/>
      <c r="BV1176" s="196"/>
      <c r="BW1176" s="178"/>
      <c r="BX1176" s="196"/>
      <c r="BY1176" s="196"/>
      <c r="BZ1176" s="196"/>
      <c r="CA1176" s="196"/>
      <c r="CB1176" s="178"/>
      <c r="CC1176" s="178"/>
      <c r="CD1176" s="202"/>
      <c r="CE1176" s="202"/>
      <c r="CF1176" s="178"/>
      <c r="CG1176" s="196"/>
      <c r="CH1176" s="178"/>
      <c r="CI1176" s="178"/>
      <c r="CJ1176" s="178"/>
      <c r="CK1176" s="178"/>
      <c r="CL1176" s="178"/>
      <c r="CM1176" s="178"/>
      <c r="CN1176" s="178"/>
      <c r="CO1176" s="178"/>
      <c r="CP1176" s="178"/>
      <c r="CQ1176" s="178"/>
      <c r="CR1176" s="178"/>
      <c r="CS1176" s="178"/>
      <c r="CT1176" s="178"/>
      <c r="CU1176" s="178"/>
      <c r="CV1176" s="178"/>
      <c r="CW1176" s="178"/>
      <c r="CX1176" s="178"/>
      <c r="CY1176" s="178"/>
      <c r="CZ1176" s="178"/>
      <c r="DA1176" s="150"/>
    </row>
    <row r="1177" spans="53:105" x14ac:dyDescent="0.2">
      <c r="BA1177" s="518">
        <f t="shared" ca="1" si="67"/>
        <v>61</v>
      </c>
      <c r="BB1177" s="174">
        <f t="shared" ca="1" si="68"/>
        <v>1114</v>
      </c>
      <c r="BC1177" s="525" t="e">
        <f ca="1">MATCH(BD1177,OFFSET(Pinlist!$A$2,BC1176*(BA1177=BA1176),0,$BM$23,1),0)+BC1176*(BA1177=BA1176)</f>
        <v>#N/A</v>
      </c>
      <c r="BD1177" s="167">
        <f t="shared" ca="1" si="69"/>
        <v>0</v>
      </c>
      <c r="BE1177" s="191" t="e">
        <f ca="1">(OFFSET(Pinlist!$E$1,BC1177,0)-$BN$16)*$BN$19</f>
        <v>#N/A</v>
      </c>
      <c r="BF1177" s="192" t="e">
        <f ca="1">(OFFSET(Pinlist!$F$1,BC1177,0)-$BO$16)*$BO$19</f>
        <v>#N/A</v>
      </c>
      <c r="BG1177" s="1098" t="str">
        <f ca="1">IF(LEFT(BD1177,2)="RF",OFFSET(Pinlist!$D$1,Chart!BC1177,0)&amp;"_"&amp;OFFSET(Pinlist!$G$1,Chart!BC1177,0),"")</f>
        <v/>
      </c>
      <c r="BH1177" s="1098"/>
      <c r="BI1177" s="178"/>
      <c r="BJ1177" s="178"/>
      <c r="BK1177" s="178"/>
      <c r="BL1177" s="178"/>
      <c r="BM1177" s="178"/>
      <c r="BN1177" s="178"/>
      <c r="BO1177" s="178"/>
      <c r="BP1177" s="178"/>
      <c r="BQ1177" s="196"/>
      <c r="BR1177" s="196"/>
      <c r="BS1177" s="196"/>
      <c r="BT1177" s="196"/>
      <c r="BU1177" s="196"/>
      <c r="BV1177" s="196"/>
      <c r="BW1177" s="178"/>
      <c r="BX1177" s="196"/>
      <c r="BY1177" s="196"/>
      <c r="BZ1177" s="196"/>
      <c r="CA1177" s="196"/>
      <c r="CB1177" s="178"/>
      <c r="CC1177" s="178"/>
      <c r="CD1177" s="202"/>
      <c r="CE1177" s="202"/>
      <c r="CF1177" s="178"/>
      <c r="CG1177" s="196"/>
      <c r="CH1177" s="178"/>
      <c r="CI1177" s="178"/>
      <c r="CJ1177" s="178"/>
      <c r="CK1177" s="178"/>
      <c r="CL1177" s="178"/>
      <c r="CM1177" s="178"/>
      <c r="CN1177" s="178"/>
      <c r="CO1177" s="178"/>
      <c r="CP1177" s="178"/>
      <c r="CQ1177" s="178"/>
      <c r="CR1177" s="178"/>
      <c r="CS1177" s="178"/>
      <c r="CT1177" s="178"/>
      <c r="CU1177" s="178"/>
      <c r="CV1177" s="178"/>
      <c r="CW1177" s="178"/>
      <c r="CX1177" s="178"/>
      <c r="CY1177" s="178"/>
      <c r="CZ1177" s="178"/>
      <c r="DA1177" s="150"/>
    </row>
    <row r="1178" spans="53:105" x14ac:dyDescent="0.2">
      <c r="BA1178" s="518">
        <f t="shared" ca="1" si="67"/>
        <v>61</v>
      </c>
      <c r="BB1178" s="174">
        <f t="shared" ca="1" si="68"/>
        <v>1115</v>
      </c>
      <c r="BC1178" s="525" t="e">
        <f ca="1">MATCH(BD1178,OFFSET(Pinlist!$A$2,BC1177*(BA1178=BA1177),0,$BM$23,1),0)+BC1177*(BA1178=BA1177)</f>
        <v>#N/A</v>
      </c>
      <c r="BD1178" s="167">
        <f t="shared" ca="1" si="69"/>
        <v>0</v>
      </c>
      <c r="BE1178" s="191" t="e">
        <f ca="1">(OFFSET(Pinlist!$E$1,BC1178,0)-$BN$16)*$BN$19</f>
        <v>#N/A</v>
      </c>
      <c r="BF1178" s="192" t="e">
        <f ca="1">(OFFSET(Pinlist!$F$1,BC1178,0)-$BO$16)*$BO$19</f>
        <v>#N/A</v>
      </c>
      <c r="BG1178" s="1098" t="str">
        <f ca="1">IF(LEFT(BD1178,2)="RF",OFFSET(Pinlist!$D$1,Chart!BC1178,0)&amp;"_"&amp;OFFSET(Pinlist!$G$1,Chart!BC1178,0),"")</f>
        <v/>
      </c>
      <c r="BH1178" s="1098"/>
      <c r="BI1178" s="178"/>
      <c r="BJ1178" s="178"/>
      <c r="BK1178" s="178"/>
      <c r="BL1178" s="178"/>
      <c r="BM1178" s="178"/>
      <c r="BN1178" s="178"/>
      <c r="BO1178" s="178"/>
      <c r="BP1178" s="178"/>
      <c r="BQ1178" s="196"/>
      <c r="BR1178" s="196"/>
      <c r="BS1178" s="196"/>
      <c r="BT1178" s="196"/>
      <c r="BU1178" s="196"/>
      <c r="BV1178" s="196"/>
      <c r="BW1178" s="178"/>
      <c r="BX1178" s="196"/>
      <c r="BY1178" s="196"/>
      <c r="BZ1178" s="196"/>
      <c r="CA1178" s="196"/>
      <c r="CB1178" s="178"/>
      <c r="CC1178" s="178"/>
      <c r="CD1178" s="202"/>
      <c r="CE1178" s="202"/>
      <c r="CF1178" s="178"/>
      <c r="CG1178" s="196"/>
      <c r="CH1178" s="178"/>
      <c r="CI1178" s="178"/>
      <c r="CJ1178" s="178"/>
      <c r="CK1178" s="178"/>
      <c r="CL1178" s="178"/>
      <c r="CM1178" s="178"/>
      <c r="CN1178" s="178"/>
      <c r="CO1178" s="178"/>
      <c r="CP1178" s="178"/>
      <c r="CQ1178" s="178"/>
      <c r="CR1178" s="178"/>
      <c r="CS1178" s="178"/>
      <c r="CT1178" s="178"/>
      <c r="CU1178" s="178"/>
      <c r="CV1178" s="178"/>
      <c r="CW1178" s="178"/>
      <c r="CX1178" s="178"/>
      <c r="CY1178" s="178"/>
      <c r="CZ1178" s="178"/>
      <c r="DA1178" s="150"/>
    </row>
    <row r="1179" spans="53:105" x14ac:dyDescent="0.2">
      <c r="BA1179" s="518">
        <f t="shared" ca="1" si="67"/>
        <v>61</v>
      </c>
      <c r="BB1179" s="174">
        <f t="shared" ca="1" si="68"/>
        <v>1116</v>
      </c>
      <c r="BC1179" s="525" t="e">
        <f ca="1">MATCH(BD1179,OFFSET(Pinlist!$A$2,BC1178*(BA1179=BA1178),0,$BM$23,1),0)+BC1178*(BA1179=BA1178)</f>
        <v>#N/A</v>
      </c>
      <c r="BD1179" s="167">
        <f t="shared" ca="1" si="69"/>
        <v>0</v>
      </c>
      <c r="BE1179" s="191" t="e">
        <f ca="1">(OFFSET(Pinlist!$E$1,BC1179,0)-$BN$16)*$BN$19</f>
        <v>#N/A</v>
      </c>
      <c r="BF1179" s="192" t="e">
        <f ca="1">(OFFSET(Pinlist!$F$1,BC1179,0)-$BO$16)*$BO$19</f>
        <v>#N/A</v>
      </c>
      <c r="BG1179" s="1098" t="str">
        <f ca="1">IF(LEFT(BD1179,2)="RF",OFFSET(Pinlist!$D$1,Chart!BC1179,0)&amp;"_"&amp;OFFSET(Pinlist!$G$1,Chart!BC1179,0),"")</f>
        <v/>
      </c>
      <c r="BH1179" s="1098"/>
      <c r="BI1179" s="178"/>
      <c r="BJ1179" s="178"/>
      <c r="BK1179" s="178"/>
      <c r="BL1179" s="178"/>
      <c r="BM1179" s="178"/>
      <c r="BN1179" s="178"/>
      <c r="BO1179" s="178"/>
      <c r="BP1179" s="178"/>
      <c r="BQ1179" s="196"/>
      <c r="BR1179" s="196"/>
      <c r="BS1179" s="196"/>
      <c r="BT1179" s="196"/>
      <c r="BU1179" s="196"/>
      <c r="BV1179" s="196"/>
      <c r="BW1179" s="178"/>
      <c r="BX1179" s="196"/>
      <c r="BY1179" s="196"/>
      <c r="BZ1179" s="196"/>
      <c r="CA1179" s="196"/>
      <c r="CB1179" s="178"/>
      <c r="CC1179" s="178"/>
      <c r="CD1179" s="202"/>
      <c r="CE1179" s="202"/>
      <c r="CF1179" s="178"/>
      <c r="CG1179" s="196"/>
      <c r="CH1179" s="178"/>
      <c r="CI1179" s="178"/>
      <c r="CJ1179" s="178"/>
      <c r="CK1179" s="178"/>
      <c r="CL1179" s="178"/>
      <c r="CM1179" s="178"/>
      <c r="CN1179" s="178"/>
      <c r="CO1179" s="178"/>
      <c r="CP1179" s="178"/>
      <c r="CQ1179" s="178"/>
      <c r="CR1179" s="178"/>
      <c r="CS1179" s="178"/>
      <c r="CT1179" s="178"/>
      <c r="CU1179" s="178"/>
      <c r="CV1179" s="178"/>
      <c r="CW1179" s="178"/>
      <c r="CX1179" s="178"/>
      <c r="CY1179" s="178"/>
      <c r="CZ1179" s="178"/>
      <c r="DA1179" s="150"/>
    </row>
    <row r="1180" spans="53:105" x14ac:dyDescent="0.2">
      <c r="BA1180" s="518">
        <f t="shared" ca="1" si="67"/>
        <v>61</v>
      </c>
      <c r="BB1180" s="174">
        <f t="shared" ca="1" si="68"/>
        <v>1117</v>
      </c>
      <c r="BC1180" s="525" t="e">
        <f ca="1">MATCH(BD1180,OFFSET(Pinlist!$A$2,BC1179*(BA1180=BA1179),0,$BM$23,1),0)+BC1179*(BA1180=BA1179)</f>
        <v>#N/A</v>
      </c>
      <c r="BD1180" s="167">
        <f t="shared" ca="1" si="69"/>
        <v>0</v>
      </c>
      <c r="BE1180" s="191" t="e">
        <f ca="1">(OFFSET(Pinlist!$E$1,BC1180,0)-$BN$16)*$BN$19</f>
        <v>#N/A</v>
      </c>
      <c r="BF1180" s="192" t="e">
        <f ca="1">(OFFSET(Pinlist!$F$1,BC1180,0)-$BO$16)*$BO$19</f>
        <v>#N/A</v>
      </c>
      <c r="BG1180" s="1098" t="str">
        <f ca="1">IF(LEFT(BD1180,2)="RF",OFFSET(Pinlist!$D$1,Chart!BC1180,0)&amp;"_"&amp;OFFSET(Pinlist!$G$1,Chart!BC1180,0),"")</f>
        <v/>
      </c>
      <c r="BH1180" s="1098"/>
      <c r="BI1180" s="178"/>
      <c r="BJ1180" s="178"/>
      <c r="BK1180" s="178"/>
      <c r="BL1180" s="178"/>
      <c r="BM1180" s="178"/>
      <c r="BN1180" s="178"/>
      <c r="BO1180" s="178"/>
      <c r="BP1180" s="178"/>
      <c r="BQ1180" s="196"/>
      <c r="BR1180" s="196"/>
      <c r="BS1180" s="196"/>
      <c r="BT1180" s="196"/>
      <c r="BU1180" s="196"/>
      <c r="BV1180" s="196"/>
      <c r="BW1180" s="178"/>
      <c r="BX1180" s="196"/>
      <c r="BY1180" s="196"/>
      <c r="BZ1180" s="196"/>
      <c r="CA1180" s="196"/>
      <c r="CB1180" s="178"/>
      <c r="CC1180" s="178"/>
      <c r="CD1180" s="202"/>
      <c r="CE1180" s="202"/>
      <c r="CF1180" s="178"/>
      <c r="CG1180" s="196"/>
      <c r="CH1180" s="178"/>
      <c r="CI1180" s="178"/>
      <c r="CJ1180" s="178"/>
      <c r="CK1180" s="178"/>
      <c r="CL1180" s="178"/>
      <c r="CM1180" s="178"/>
      <c r="CN1180" s="178"/>
      <c r="CO1180" s="178"/>
      <c r="CP1180" s="178"/>
      <c r="CQ1180" s="178"/>
      <c r="CR1180" s="178"/>
      <c r="CS1180" s="178"/>
      <c r="CT1180" s="178"/>
      <c r="CU1180" s="178"/>
      <c r="CV1180" s="178"/>
      <c r="CW1180" s="178"/>
      <c r="CX1180" s="178"/>
      <c r="CY1180" s="178"/>
      <c r="CZ1180" s="178"/>
      <c r="DA1180" s="150"/>
    </row>
    <row r="1181" spans="53:105" x14ac:dyDescent="0.2">
      <c r="BA1181" s="518">
        <f t="shared" ca="1" si="67"/>
        <v>61</v>
      </c>
      <c r="BB1181" s="174">
        <f t="shared" ca="1" si="68"/>
        <v>1118</v>
      </c>
      <c r="BC1181" s="525" t="e">
        <f ca="1">MATCH(BD1181,OFFSET(Pinlist!$A$2,BC1180*(BA1181=BA1180),0,$BM$23,1),0)+BC1180*(BA1181=BA1180)</f>
        <v>#N/A</v>
      </c>
      <c r="BD1181" s="167">
        <f t="shared" ca="1" si="69"/>
        <v>0</v>
      </c>
      <c r="BE1181" s="191" t="e">
        <f ca="1">(OFFSET(Pinlist!$E$1,BC1181,0)-$BN$16)*$BN$19</f>
        <v>#N/A</v>
      </c>
      <c r="BF1181" s="192" t="e">
        <f ca="1">(OFFSET(Pinlist!$F$1,BC1181,0)-$BO$16)*$BO$19</f>
        <v>#N/A</v>
      </c>
      <c r="BG1181" s="1098" t="str">
        <f ca="1">IF(LEFT(BD1181,2)="RF",OFFSET(Pinlist!$D$1,Chart!BC1181,0)&amp;"_"&amp;OFFSET(Pinlist!$G$1,Chart!BC1181,0),"")</f>
        <v/>
      </c>
      <c r="BH1181" s="1098"/>
      <c r="BI1181" s="178"/>
      <c r="BJ1181" s="178"/>
      <c r="BK1181" s="178"/>
      <c r="BL1181" s="178"/>
      <c r="BM1181" s="178"/>
      <c r="BN1181" s="178"/>
      <c r="BO1181" s="178"/>
      <c r="BP1181" s="178"/>
      <c r="BQ1181" s="196"/>
      <c r="BR1181" s="196"/>
      <c r="BS1181" s="196"/>
      <c r="BT1181" s="196"/>
      <c r="BU1181" s="196"/>
      <c r="BV1181" s="196"/>
      <c r="BW1181" s="178"/>
      <c r="BX1181" s="196"/>
      <c r="BY1181" s="196"/>
      <c r="BZ1181" s="196"/>
      <c r="CA1181" s="196"/>
      <c r="CB1181" s="178"/>
      <c r="CC1181" s="178"/>
      <c r="CD1181" s="202"/>
      <c r="CE1181" s="202"/>
      <c r="CF1181" s="178"/>
      <c r="CG1181" s="196"/>
      <c r="CH1181" s="178"/>
      <c r="CI1181" s="178"/>
      <c r="CJ1181" s="178"/>
      <c r="CK1181" s="178"/>
      <c r="CL1181" s="178"/>
      <c r="CM1181" s="178"/>
      <c r="CN1181" s="178"/>
      <c r="CO1181" s="178"/>
      <c r="CP1181" s="178"/>
      <c r="CQ1181" s="178"/>
      <c r="CR1181" s="178"/>
      <c r="CS1181" s="178"/>
      <c r="CT1181" s="178"/>
      <c r="CU1181" s="178"/>
      <c r="CV1181" s="178"/>
      <c r="CW1181" s="178"/>
      <c r="CX1181" s="178"/>
      <c r="CY1181" s="178"/>
      <c r="CZ1181" s="178"/>
      <c r="DA1181" s="150"/>
    </row>
    <row r="1182" spans="53:105" x14ac:dyDescent="0.2">
      <c r="BA1182" s="518">
        <f t="shared" ca="1" si="67"/>
        <v>61</v>
      </c>
      <c r="BB1182" s="174">
        <f t="shared" ca="1" si="68"/>
        <v>1119</v>
      </c>
      <c r="BC1182" s="525" t="e">
        <f ca="1">MATCH(BD1182,OFFSET(Pinlist!$A$2,BC1181*(BA1182=BA1181),0,$BM$23,1),0)+BC1181*(BA1182=BA1181)</f>
        <v>#N/A</v>
      </c>
      <c r="BD1182" s="167">
        <f t="shared" ca="1" si="69"/>
        <v>0</v>
      </c>
      <c r="BE1182" s="191" t="e">
        <f ca="1">(OFFSET(Pinlist!$E$1,BC1182,0)-$BN$16)*$BN$19</f>
        <v>#N/A</v>
      </c>
      <c r="BF1182" s="192" t="e">
        <f ca="1">(OFFSET(Pinlist!$F$1,BC1182,0)-$BO$16)*$BO$19</f>
        <v>#N/A</v>
      </c>
      <c r="BG1182" s="1098" t="str">
        <f ca="1">IF(LEFT(BD1182,2)="RF",OFFSET(Pinlist!$D$1,Chart!BC1182,0)&amp;"_"&amp;OFFSET(Pinlist!$G$1,Chart!BC1182,0),"")</f>
        <v/>
      </c>
      <c r="BH1182" s="1098"/>
      <c r="BI1182" s="178"/>
      <c r="BJ1182" s="178"/>
      <c r="BK1182" s="178"/>
      <c r="BL1182" s="178"/>
      <c r="BM1182" s="178"/>
      <c r="BN1182" s="178"/>
      <c r="BO1182" s="178"/>
      <c r="BP1182" s="178"/>
      <c r="BQ1182" s="196"/>
      <c r="BR1182" s="196"/>
      <c r="BS1182" s="196"/>
      <c r="BT1182" s="196"/>
      <c r="BU1182" s="196"/>
      <c r="BV1182" s="196"/>
      <c r="BW1182" s="178"/>
      <c r="BX1182" s="196"/>
      <c r="BY1182" s="196"/>
      <c r="BZ1182" s="196"/>
      <c r="CA1182" s="196"/>
      <c r="CB1182" s="178"/>
      <c r="CC1182" s="178"/>
      <c r="CD1182" s="202"/>
      <c r="CE1182" s="202"/>
      <c r="CF1182" s="178"/>
      <c r="CG1182" s="196"/>
      <c r="CH1182" s="178"/>
      <c r="CI1182" s="178"/>
      <c r="CJ1182" s="178"/>
      <c r="CK1182" s="178"/>
      <c r="CL1182" s="178"/>
      <c r="CM1182" s="178"/>
      <c r="CN1182" s="178"/>
      <c r="CO1182" s="178"/>
      <c r="CP1182" s="178"/>
      <c r="CQ1182" s="178"/>
      <c r="CR1182" s="178"/>
      <c r="CS1182" s="178"/>
      <c r="CT1182" s="178"/>
      <c r="CU1182" s="178"/>
      <c r="CV1182" s="178"/>
      <c r="CW1182" s="178"/>
      <c r="CX1182" s="178"/>
      <c r="CY1182" s="178"/>
      <c r="CZ1182" s="178"/>
      <c r="DA1182" s="150"/>
    </row>
    <row r="1183" spans="53:105" x14ac:dyDescent="0.2">
      <c r="BA1183" s="518">
        <f t="shared" ca="1" si="67"/>
        <v>61</v>
      </c>
      <c r="BB1183" s="174">
        <f t="shared" ca="1" si="68"/>
        <v>1120</v>
      </c>
      <c r="BC1183" s="525" t="e">
        <f ca="1">MATCH(BD1183,OFFSET(Pinlist!$A$2,BC1182*(BA1183=BA1182),0,$BM$23,1),0)+BC1182*(BA1183=BA1182)</f>
        <v>#N/A</v>
      </c>
      <c r="BD1183" s="167">
        <f t="shared" ca="1" si="69"/>
        <v>0</v>
      </c>
      <c r="BE1183" s="191" t="e">
        <f ca="1">(OFFSET(Pinlist!$E$1,BC1183,0)-$BN$16)*$BN$19</f>
        <v>#N/A</v>
      </c>
      <c r="BF1183" s="192" t="e">
        <f ca="1">(OFFSET(Pinlist!$F$1,BC1183,0)-$BO$16)*$BO$19</f>
        <v>#N/A</v>
      </c>
      <c r="BG1183" s="1098" t="str">
        <f ca="1">IF(LEFT(BD1183,2)="RF",OFFSET(Pinlist!$D$1,Chart!BC1183,0)&amp;"_"&amp;OFFSET(Pinlist!$G$1,Chart!BC1183,0),"")</f>
        <v/>
      </c>
      <c r="BH1183" s="1098"/>
      <c r="BI1183" s="178"/>
      <c r="BJ1183" s="178"/>
      <c r="BK1183" s="178"/>
      <c r="BL1183" s="178"/>
      <c r="BM1183" s="178"/>
      <c r="BN1183" s="178"/>
      <c r="BO1183" s="178"/>
      <c r="BP1183" s="178"/>
      <c r="BQ1183" s="196"/>
      <c r="BR1183" s="196"/>
      <c r="BS1183" s="196"/>
      <c r="BT1183" s="196"/>
      <c r="BU1183" s="196"/>
      <c r="BV1183" s="196"/>
      <c r="BW1183" s="178"/>
      <c r="BX1183" s="196"/>
      <c r="BY1183" s="196"/>
      <c r="BZ1183" s="196"/>
      <c r="CA1183" s="196"/>
      <c r="CB1183" s="178"/>
      <c r="CC1183" s="178"/>
      <c r="CD1183" s="202"/>
      <c r="CE1183" s="202"/>
      <c r="CF1183" s="178"/>
      <c r="CG1183" s="196"/>
      <c r="CH1183" s="178"/>
      <c r="CI1183" s="178"/>
      <c r="CJ1183" s="178"/>
      <c r="CK1183" s="178"/>
      <c r="CL1183" s="178"/>
      <c r="CM1183" s="178"/>
      <c r="CN1183" s="178"/>
      <c r="CO1183" s="178"/>
      <c r="CP1183" s="178"/>
      <c r="CQ1183" s="178"/>
      <c r="CR1183" s="178"/>
      <c r="CS1183" s="178"/>
      <c r="CT1183" s="178"/>
      <c r="CU1183" s="178"/>
      <c r="CV1183" s="178"/>
      <c r="CW1183" s="178"/>
      <c r="CX1183" s="178"/>
      <c r="CY1183" s="178"/>
      <c r="CZ1183" s="178"/>
      <c r="DA1183" s="150"/>
    </row>
    <row r="1184" spans="53:105" x14ac:dyDescent="0.2">
      <c r="BA1184" s="518">
        <f t="shared" ca="1" si="67"/>
        <v>61</v>
      </c>
      <c r="BB1184" s="174">
        <f t="shared" ca="1" si="68"/>
        <v>1121</v>
      </c>
      <c r="BC1184" s="525" t="e">
        <f ca="1">MATCH(BD1184,OFFSET(Pinlist!$A$2,BC1183*(BA1184=BA1183),0,$BM$23,1),0)+BC1183*(BA1184=BA1183)</f>
        <v>#N/A</v>
      </c>
      <c r="BD1184" s="167">
        <f t="shared" ca="1" si="69"/>
        <v>0</v>
      </c>
      <c r="BE1184" s="191" t="e">
        <f ca="1">(OFFSET(Pinlist!$E$1,BC1184,0)-$BN$16)*$BN$19</f>
        <v>#N/A</v>
      </c>
      <c r="BF1184" s="192" t="e">
        <f ca="1">(OFFSET(Pinlist!$F$1,BC1184,0)-$BO$16)*$BO$19</f>
        <v>#N/A</v>
      </c>
      <c r="BG1184" s="1098" t="str">
        <f ca="1">IF(LEFT(BD1184,2)="RF",OFFSET(Pinlist!$D$1,Chart!BC1184,0)&amp;"_"&amp;OFFSET(Pinlist!$G$1,Chart!BC1184,0),"")</f>
        <v/>
      </c>
      <c r="BH1184" s="1098"/>
      <c r="BI1184" s="178"/>
      <c r="BJ1184" s="178"/>
      <c r="BK1184" s="178"/>
      <c r="BL1184" s="178"/>
      <c r="BM1184" s="178"/>
      <c r="BN1184" s="178"/>
      <c r="BO1184" s="178"/>
      <c r="BP1184" s="178"/>
      <c r="BQ1184" s="196"/>
      <c r="BR1184" s="196"/>
      <c r="BS1184" s="196"/>
      <c r="BT1184" s="196"/>
      <c r="BU1184" s="196"/>
      <c r="BV1184" s="196"/>
      <c r="BW1184" s="178"/>
      <c r="BX1184" s="196"/>
      <c r="BY1184" s="196"/>
      <c r="BZ1184" s="196"/>
      <c r="CA1184" s="196"/>
      <c r="CB1184" s="178"/>
      <c r="CC1184" s="178"/>
      <c r="CD1184" s="202"/>
      <c r="CE1184" s="202"/>
      <c r="CF1184" s="178"/>
      <c r="CG1184" s="196"/>
      <c r="CH1184" s="178"/>
      <c r="CI1184" s="178"/>
      <c r="CJ1184" s="178"/>
      <c r="CK1184" s="178"/>
      <c r="CL1184" s="178"/>
      <c r="CM1184" s="178"/>
      <c r="CN1184" s="178"/>
      <c r="CO1184" s="178"/>
      <c r="CP1184" s="178"/>
      <c r="CQ1184" s="178"/>
      <c r="CR1184" s="178"/>
      <c r="CS1184" s="178"/>
      <c r="CT1184" s="178"/>
      <c r="CU1184" s="178"/>
      <c r="CV1184" s="178"/>
      <c r="CW1184" s="178"/>
      <c r="CX1184" s="178"/>
      <c r="CY1184" s="178"/>
      <c r="CZ1184" s="178"/>
      <c r="DA1184" s="150"/>
    </row>
    <row r="1185" spans="53:105" x14ac:dyDescent="0.2">
      <c r="BA1185" s="518">
        <f t="shared" ca="1" si="67"/>
        <v>61</v>
      </c>
      <c r="BB1185" s="174">
        <f t="shared" ca="1" si="68"/>
        <v>1122</v>
      </c>
      <c r="BC1185" s="525" t="e">
        <f ca="1">MATCH(BD1185,OFFSET(Pinlist!$A$2,BC1184*(BA1185=BA1184),0,$BM$23,1),0)+BC1184*(BA1185=BA1184)</f>
        <v>#N/A</v>
      </c>
      <c r="BD1185" s="167">
        <f t="shared" ca="1" si="69"/>
        <v>0</v>
      </c>
      <c r="BE1185" s="191" t="e">
        <f ca="1">(OFFSET(Pinlist!$E$1,BC1185,0)-$BN$16)*$BN$19</f>
        <v>#N/A</v>
      </c>
      <c r="BF1185" s="192" t="e">
        <f ca="1">(OFFSET(Pinlist!$F$1,BC1185,0)-$BO$16)*$BO$19</f>
        <v>#N/A</v>
      </c>
      <c r="BG1185" s="1098" t="str">
        <f ca="1">IF(LEFT(BD1185,2)="RF",OFFSET(Pinlist!$D$1,Chart!BC1185,0)&amp;"_"&amp;OFFSET(Pinlist!$G$1,Chart!BC1185,0),"")</f>
        <v/>
      </c>
      <c r="BH1185" s="1098"/>
      <c r="BI1185" s="178"/>
      <c r="BJ1185" s="178"/>
      <c r="BK1185" s="178"/>
      <c r="BL1185" s="178"/>
      <c r="BM1185" s="178"/>
      <c r="BN1185" s="178"/>
      <c r="BO1185" s="178"/>
      <c r="BP1185" s="178"/>
      <c r="BQ1185" s="196"/>
      <c r="BR1185" s="196"/>
      <c r="BS1185" s="196"/>
      <c r="BT1185" s="196"/>
      <c r="BU1185" s="196"/>
      <c r="BV1185" s="196"/>
      <c r="BW1185" s="178"/>
      <c r="BX1185" s="196"/>
      <c r="BY1185" s="196"/>
      <c r="BZ1185" s="196"/>
      <c r="CA1185" s="196"/>
      <c r="CB1185" s="178"/>
      <c r="CC1185" s="178"/>
      <c r="CD1185" s="202"/>
      <c r="CE1185" s="202"/>
      <c r="CF1185" s="178"/>
      <c r="CG1185" s="196"/>
      <c r="CH1185" s="178"/>
      <c r="CI1185" s="178"/>
      <c r="CJ1185" s="178"/>
      <c r="CK1185" s="178"/>
      <c r="CL1185" s="178"/>
      <c r="CM1185" s="178"/>
      <c r="CN1185" s="178"/>
      <c r="CO1185" s="178"/>
      <c r="CP1185" s="178"/>
      <c r="CQ1185" s="178"/>
      <c r="CR1185" s="178"/>
      <c r="CS1185" s="178"/>
      <c r="CT1185" s="178"/>
      <c r="CU1185" s="178"/>
      <c r="CV1185" s="178"/>
      <c r="CW1185" s="178"/>
      <c r="CX1185" s="178"/>
      <c r="CY1185" s="178"/>
      <c r="CZ1185" s="178"/>
      <c r="DA1185" s="150"/>
    </row>
    <row r="1186" spans="53:105" x14ac:dyDescent="0.2">
      <c r="BA1186" s="518">
        <f t="shared" ca="1" si="67"/>
        <v>61</v>
      </c>
      <c r="BB1186" s="174">
        <f t="shared" ca="1" si="68"/>
        <v>1123</v>
      </c>
      <c r="BC1186" s="525" t="e">
        <f ca="1">MATCH(BD1186,OFFSET(Pinlist!$A$2,BC1185*(BA1186=BA1185),0,$BM$23,1),0)+BC1185*(BA1186=BA1185)</f>
        <v>#N/A</v>
      </c>
      <c r="BD1186" s="167">
        <f t="shared" ca="1" si="69"/>
        <v>0</v>
      </c>
      <c r="BE1186" s="191" t="e">
        <f ca="1">(OFFSET(Pinlist!$E$1,BC1186,0)-$BN$16)*$BN$19</f>
        <v>#N/A</v>
      </c>
      <c r="BF1186" s="192" t="e">
        <f ca="1">(OFFSET(Pinlist!$F$1,BC1186,0)-$BO$16)*$BO$19</f>
        <v>#N/A</v>
      </c>
      <c r="BG1186" s="1098" t="str">
        <f ca="1">IF(LEFT(BD1186,2)="RF",OFFSET(Pinlist!$D$1,Chart!BC1186,0)&amp;"_"&amp;OFFSET(Pinlist!$G$1,Chart!BC1186,0),"")</f>
        <v/>
      </c>
      <c r="BH1186" s="1098"/>
      <c r="BI1186" s="178"/>
      <c r="BJ1186" s="178"/>
      <c r="BK1186" s="178"/>
      <c r="BL1186" s="178"/>
      <c r="BM1186" s="178"/>
      <c r="BN1186" s="178"/>
      <c r="BO1186" s="178"/>
      <c r="BP1186" s="178"/>
      <c r="BQ1186" s="196"/>
      <c r="BR1186" s="196"/>
      <c r="BS1186" s="196"/>
      <c r="BT1186" s="196"/>
      <c r="BU1186" s="196"/>
      <c r="BV1186" s="196"/>
      <c r="BW1186" s="178"/>
      <c r="BX1186" s="196"/>
      <c r="BY1186" s="196"/>
      <c r="BZ1186" s="196"/>
      <c r="CA1186" s="196"/>
      <c r="CB1186" s="178"/>
      <c r="CC1186" s="178"/>
      <c r="CD1186" s="202"/>
      <c r="CE1186" s="202"/>
      <c r="CF1186" s="178"/>
      <c r="CG1186" s="196"/>
      <c r="CH1186" s="178"/>
      <c r="CI1186" s="178"/>
      <c r="CJ1186" s="178"/>
      <c r="CK1186" s="178"/>
      <c r="CL1186" s="178"/>
      <c r="CM1186" s="178"/>
      <c r="CN1186" s="178"/>
      <c r="CO1186" s="178"/>
      <c r="CP1186" s="178"/>
      <c r="CQ1186" s="178"/>
      <c r="CR1186" s="178"/>
      <c r="CS1186" s="178"/>
      <c r="CT1186" s="178"/>
      <c r="CU1186" s="178"/>
      <c r="CV1186" s="178"/>
      <c r="CW1186" s="178"/>
      <c r="CX1186" s="178"/>
      <c r="CY1186" s="178"/>
      <c r="CZ1186" s="178"/>
      <c r="DA1186" s="150"/>
    </row>
    <row r="1187" spans="53:105" x14ac:dyDescent="0.2">
      <c r="BA1187" s="518">
        <f t="shared" ca="1" si="67"/>
        <v>61</v>
      </c>
      <c r="BB1187" s="174">
        <f t="shared" ca="1" si="68"/>
        <v>1124</v>
      </c>
      <c r="BC1187" s="525" t="e">
        <f ca="1">MATCH(BD1187,OFFSET(Pinlist!$A$2,BC1186*(BA1187=BA1186),0,$BM$23,1),0)+BC1186*(BA1187=BA1186)</f>
        <v>#N/A</v>
      </c>
      <c r="BD1187" s="167">
        <f t="shared" ca="1" si="69"/>
        <v>0</v>
      </c>
      <c r="BE1187" s="191" t="e">
        <f ca="1">(OFFSET(Pinlist!$E$1,BC1187,0)-$BN$16)*$BN$19</f>
        <v>#N/A</v>
      </c>
      <c r="BF1187" s="192" t="e">
        <f ca="1">(OFFSET(Pinlist!$F$1,BC1187,0)-$BO$16)*$BO$19</f>
        <v>#N/A</v>
      </c>
      <c r="BG1187" s="1098" t="str">
        <f ca="1">IF(LEFT(BD1187,2)="RF",OFFSET(Pinlist!$D$1,Chart!BC1187,0)&amp;"_"&amp;OFFSET(Pinlist!$G$1,Chart!BC1187,0),"")</f>
        <v/>
      </c>
      <c r="BH1187" s="1098"/>
      <c r="BI1187" s="178"/>
      <c r="BJ1187" s="178"/>
      <c r="BK1187" s="178"/>
      <c r="BL1187" s="178"/>
      <c r="BM1187" s="178"/>
      <c r="BN1187" s="178"/>
      <c r="BO1187" s="178"/>
      <c r="BP1187" s="178"/>
      <c r="BQ1187" s="196"/>
      <c r="BR1187" s="196"/>
      <c r="BS1187" s="196"/>
      <c r="BT1187" s="196"/>
      <c r="BU1187" s="196"/>
      <c r="BV1187" s="196"/>
      <c r="BW1187" s="178"/>
      <c r="BX1187" s="196"/>
      <c r="BY1187" s="196"/>
      <c r="BZ1187" s="196"/>
      <c r="CA1187" s="196"/>
      <c r="CB1187" s="178"/>
      <c r="CC1187" s="178"/>
      <c r="CD1187" s="202"/>
      <c r="CE1187" s="202"/>
      <c r="CF1187" s="178"/>
      <c r="CG1187" s="196"/>
      <c r="CH1187" s="178"/>
      <c r="CI1187" s="178"/>
      <c r="CJ1187" s="178"/>
      <c r="CK1187" s="178"/>
      <c r="CL1187" s="178"/>
      <c r="CM1187" s="178"/>
      <c r="CN1187" s="178"/>
      <c r="CO1187" s="178"/>
      <c r="CP1187" s="178"/>
      <c r="CQ1187" s="178"/>
      <c r="CR1187" s="178"/>
      <c r="CS1187" s="178"/>
      <c r="CT1187" s="178"/>
      <c r="CU1187" s="178"/>
      <c r="CV1187" s="178"/>
      <c r="CW1187" s="178"/>
      <c r="CX1187" s="178"/>
      <c r="CY1187" s="178"/>
      <c r="CZ1187" s="178"/>
      <c r="DA1187" s="150"/>
    </row>
    <row r="1188" spans="53:105" x14ac:dyDescent="0.2">
      <c r="BA1188" s="518">
        <f t="shared" ca="1" si="67"/>
        <v>61</v>
      </c>
      <c r="BB1188" s="174">
        <f t="shared" ca="1" si="68"/>
        <v>1125</v>
      </c>
      <c r="BC1188" s="525" t="e">
        <f ca="1">MATCH(BD1188,OFFSET(Pinlist!$A$2,BC1187*(BA1188=BA1187),0,$BM$23,1),0)+BC1187*(BA1188=BA1187)</f>
        <v>#N/A</v>
      </c>
      <c r="BD1188" s="167">
        <f t="shared" ca="1" si="69"/>
        <v>0</v>
      </c>
      <c r="BE1188" s="191" t="e">
        <f ca="1">(OFFSET(Pinlist!$E$1,BC1188,0)-$BN$16)*$BN$19</f>
        <v>#N/A</v>
      </c>
      <c r="BF1188" s="192" t="e">
        <f ca="1">(OFFSET(Pinlist!$F$1,BC1188,0)-$BO$16)*$BO$19</f>
        <v>#N/A</v>
      </c>
      <c r="BG1188" s="1098" t="str">
        <f ca="1">IF(LEFT(BD1188,2)="RF",OFFSET(Pinlist!$D$1,Chart!BC1188,0)&amp;"_"&amp;OFFSET(Pinlist!$G$1,Chart!BC1188,0),"")</f>
        <v/>
      </c>
      <c r="BH1188" s="1098"/>
      <c r="BI1188" s="178"/>
      <c r="BJ1188" s="178"/>
      <c r="BK1188" s="178"/>
      <c r="BL1188" s="178"/>
      <c r="BM1188" s="178"/>
      <c r="BN1188" s="178"/>
      <c r="BO1188" s="178"/>
      <c r="BP1188" s="178"/>
      <c r="BQ1188" s="196"/>
      <c r="BR1188" s="196"/>
      <c r="BS1188" s="196"/>
      <c r="BT1188" s="196"/>
      <c r="BU1188" s="196"/>
      <c r="BV1188" s="196"/>
      <c r="BW1188" s="178"/>
      <c r="BX1188" s="196"/>
      <c r="BY1188" s="196"/>
      <c r="BZ1188" s="196"/>
      <c r="CA1188" s="196"/>
      <c r="CB1188" s="178"/>
      <c r="CC1188" s="178"/>
      <c r="CD1188" s="202"/>
      <c r="CE1188" s="202"/>
      <c r="CF1188" s="178"/>
      <c r="CG1188" s="196"/>
      <c r="CH1188" s="178"/>
      <c r="CI1188" s="178"/>
      <c r="CJ1188" s="178"/>
      <c r="CK1188" s="178"/>
      <c r="CL1188" s="178"/>
      <c r="CM1188" s="178"/>
      <c r="CN1188" s="178"/>
      <c r="CO1188" s="178"/>
      <c r="CP1188" s="178"/>
      <c r="CQ1188" s="178"/>
      <c r="CR1188" s="178"/>
      <c r="CS1188" s="178"/>
      <c r="CT1188" s="178"/>
      <c r="CU1188" s="178"/>
      <c r="CV1188" s="178"/>
      <c r="CW1188" s="178"/>
      <c r="CX1188" s="178"/>
      <c r="CY1188" s="178"/>
      <c r="CZ1188" s="178"/>
      <c r="DA1188" s="150"/>
    </row>
    <row r="1189" spans="53:105" x14ac:dyDescent="0.2">
      <c r="BA1189" s="518">
        <f t="shared" ca="1" si="67"/>
        <v>61</v>
      </c>
      <c r="BB1189" s="174">
        <f t="shared" ca="1" si="68"/>
        <v>1126</v>
      </c>
      <c r="BC1189" s="525" t="e">
        <f ca="1">MATCH(BD1189,OFFSET(Pinlist!$A$2,BC1188*(BA1189=BA1188),0,$BM$23,1),0)+BC1188*(BA1189=BA1188)</f>
        <v>#N/A</v>
      </c>
      <c r="BD1189" s="167">
        <f t="shared" ca="1" si="69"/>
        <v>0</v>
      </c>
      <c r="BE1189" s="191" t="e">
        <f ca="1">(OFFSET(Pinlist!$E$1,BC1189,0)-$BN$16)*$BN$19</f>
        <v>#N/A</v>
      </c>
      <c r="BF1189" s="192" t="e">
        <f ca="1">(OFFSET(Pinlist!$F$1,BC1189,0)-$BO$16)*$BO$19</f>
        <v>#N/A</v>
      </c>
      <c r="BG1189" s="1098" t="str">
        <f ca="1">IF(LEFT(BD1189,2)="RF",OFFSET(Pinlist!$D$1,Chart!BC1189,0)&amp;"_"&amp;OFFSET(Pinlist!$G$1,Chart!BC1189,0),"")</f>
        <v/>
      </c>
      <c r="BH1189" s="1098"/>
      <c r="BI1189" s="178"/>
      <c r="BJ1189" s="178"/>
      <c r="BK1189" s="178"/>
      <c r="BL1189" s="178"/>
      <c r="BM1189" s="178"/>
      <c r="BN1189" s="178"/>
      <c r="BO1189" s="178"/>
      <c r="BP1189" s="178"/>
      <c r="BQ1189" s="196"/>
      <c r="BR1189" s="196"/>
      <c r="BS1189" s="196"/>
      <c r="BT1189" s="196"/>
      <c r="BU1189" s="196"/>
      <c r="BV1189" s="196"/>
      <c r="BW1189" s="178"/>
      <c r="BX1189" s="196"/>
      <c r="BY1189" s="196"/>
      <c r="BZ1189" s="196"/>
      <c r="CA1189" s="196"/>
      <c r="CB1189" s="178"/>
      <c r="CC1189" s="178"/>
      <c r="CD1189" s="202"/>
      <c r="CE1189" s="202"/>
      <c r="CF1189" s="178"/>
      <c r="CG1189" s="196"/>
      <c r="CH1189" s="178"/>
      <c r="CI1189" s="178"/>
      <c r="CJ1189" s="178"/>
      <c r="CK1189" s="178"/>
      <c r="CL1189" s="178"/>
      <c r="CM1189" s="178"/>
      <c r="CN1189" s="178"/>
      <c r="CO1189" s="178"/>
      <c r="CP1189" s="178"/>
      <c r="CQ1189" s="178"/>
      <c r="CR1189" s="178"/>
      <c r="CS1189" s="178"/>
      <c r="CT1189" s="178"/>
      <c r="CU1189" s="178"/>
      <c r="CV1189" s="178"/>
      <c r="CW1189" s="178"/>
      <c r="CX1189" s="178"/>
      <c r="CY1189" s="178"/>
      <c r="CZ1189" s="178"/>
      <c r="DA1189" s="150"/>
    </row>
    <row r="1190" spans="53:105" x14ac:dyDescent="0.2">
      <c r="BA1190" s="518">
        <f t="shared" ca="1" si="67"/>
        <v>61</v>
      </c>
      <c r="BB1190" s="174">
        <f t="shared" ca="1" si="68"/>
        <v>1127</v>
      </c>
      <c r="BC1190" s="525" t="e">
        <f ca="1">MATCH(BD1190,OFFSET(Pinlist!$A$2,BC1189*(BA1190=BA1189),0,$BM$23,1),0)+BC1189*(BA1190=BA1189)</f>
        <v>#N/A</v>
      </c>
      <c r="BD1190" s="167">
        <f t="shared" ca="1" si="69"/>
        <v>0</v>
      </c>
      <c r="BE1190" s="191" t="e">
        <f ca="1">(OFFSET(Pinlist!$E$1,BC1190,0)-$BN$16)*$BN$19</f>
        <v>#N/A</v>
      </c>
      <c r="BF1190" s="192" t="e">
        <f ca="1">(OFFSET(Pinlist!$F$1,BC1190,0)-$BO$16)*$BO$19</f>
        <v>#N/A</v>
      </c>
      <c r="BG1190" s="1098" t="str">
        <f ca="1">IF(LEFT(BD1190,2)="RF",OFFSET(Pinlist!$D$1,Chart!BC1190,0)&amp;"_"&amp;OFFSET(Pinlist!$G$1,Chart!BC1190,0),"")</f>
        <v/>
      </c>
      <c r="BH1190" s="1098"/>
      <c r="BI1190" s="178"/>
      <c r="BJ1190" s="178"/>
      <c r="BK1190" s="178"/>
      <c r="BL1190" s="178"/>
      <c r="BM1190" s="178"/>
      <c r="BN1190" s="178"/>
      <c r="BO1190" s="178"/>
      <c r="BP1190" s="178"/>
      <c r="BQ1190" s="196"/>
      <c r="BR1190" s="196"/>
      <c r="BS1190" s="196"/>
      <c r="BT1190" s="196"/>
      <c r="BU1190" s="196"/>
      <c r="BV1190" s="196"/>
      <c r="BW1190" s="178"/>
      <c r="BX1190" s="196"/>
      <c r="BY1190" s="196"/>
      <c r="BZ1190" s="196"/>
      <c r="CA1190" s="196"/>
      <c r="CB1190" s="178"/>
      <c r="CC1190" s="178"/>
      <c r="CD1190" s="202"/>
      <c r="CE1190" s="202"/>
      <c r="CF1190" s="178"/>
      <c r="CG1190" s="196"/>
      <c r="CH1190" s="178"/>
      <c r="CI1190" s="178"/>
      <c r="CJ1190" s="178"/>
      <c r="CK1190" s="178"/>
      <c r="CL1190" s="178"/>
      <c r="CM1190" s="178"/>
      <c r="CN1190" s="178"/>
      <c r="CO1190" s="178"/>
      <c r="CP1190" s="178"/>
      <c r="CQ1190" s="178"/>
      <c r="CR1190" s="178"/>
      <c r="CS1190" s="178"/>
      <c r="CT1190" s="178"/>
      <c r="CU1190" s="178"/>
      <c r="CV1190" s="178"/>
      <c r="CW1190" s="178"/>
      <c r="CX1190" s="178"/>
      <c r="CY1190" s="178"/>
      <c r="CZ1190" s="178"/>
      <c r="DA1190" s="150"/>
    </row>
    <row r="1191" spans="53:105" x14ac:dyDescent="0.2">
      <c r="BA1191" s="518">
        <f t="shared" ca="1" si="67"/>
        <v>61</v>
      </c>
      <c r="BB1191" s="174">
        <f t="shared" ca="1" si="68"/>
        <v>1128</v>
      </c>
      <c r="BC1191" s="525" t="e">
        <f ca="1">MATCH(BD1191,OFFSET(Pinlist!$A$2,BC1190*(BA1191=BA1190),0,$BM$23,1),0)+BC1190*(BA1191=BA1190)</f>
        <v>#N/A</v>
      </c>
      <c r="BD1191" s="167">
        <f t="shared" ca="1" si="69"/>
        <v>0</v>
      </c>
      <c r="BE1191" s="191" t="e">
        <f ca="1">(OFFSET(Pinlist!$E$1,BC1191,0)-$BN$16)*$BN$19</f>
        <v>#N/A</v>
      </c>
      <c r="BF1191" s="192" t="e">
        <f ca="1">(OFFSET(Pinlist!$F$1,BC1191,0)-$BO$16)*$BO$19</f>
        <v>#N/A</v>
      </c>
      <c r="BG1191" s="1098" t="str">
        <f ca="1">IF(LEFT(BD1191,2)="RF",OFFSET(Pinlist!$D$1,Chart!BC1191,0)&amp;"_"&amp;OFFSET(Pinlist!$G$1,Chart!BC1191,0),"")</f>
        <v/>
      </c>
      <c r="BH1191" s="1098"/>
      <c r="BI1191" s="178"/>
      <c r="BJ1191" s="178"/>
      <c r="BK1191" s="178"/>
      <c r="BL1191" s="178"/>
      <c r="BM1191" s="178"/>
      <c r="BN1191" s="178"/>
      <c r="BO1191" s="178"/>
      <c r="BP1191" s="178"/>
      <c r="BQ1191" s="196"/>
      <c r="BR1191" s="196"/>
      <c r="BS1191" s="196"/>
      <c r="BT1191" s="196"/>
      <c r="BU1191" s="196"/>
      <c r="BV1191" s="196"/>
      <c r="BW1191" s="178"/>
      <c r="BX1191" s="196"/>
      <c r="BY1191" s="196"/>
      <c r="BZ1191" s="196"/>
      <c r="CA1191" s="196"/>
      <c r="CB1191" s="178"/>
      <c r="CC1191" s="178"/>
      <c r="CD1191" s="202"/>
      <c r="CE1191" s="202"/>
      <c r="CF1191" s="178"/>
      <c r="CG1191" s="196"/>
      <c r="CH1191" s="178"/>
      <c r="CI1191" s="178"/>
      <c r="CJ1191" s="178"/>
      <c r="CK1191" s="178"/>
      <c r="CL1191" s="178"/>
      <c r="CM1191" s="178"/>
      <c r="CN1191" s="178"/>
      <c r="CO1191" s="178"/>
      <c r="CP1191" s="178"/>
      <c r="CQ1191" s="178"/>
      <c r="CR1191" s="178"/>
      <c r="CS1191" s="178"/>
      <c r="CT1191" s="178"/>
      <c r="CU1191" s="178"/>
      <c r="CV1191" s="178"/>
      <c r="CW1191" s="178"/>
      <c r="CX1191" s="178"/>
      <c r="CY1191" s="178"/>
      <c r="CZ1191" s="178"/>
      <c r="DA1191" s="150"/>
    </row>
    <row r="1192" spans="53:105" x14ac:dyDescent="0.2">
      <c r="BA1192" s="518">
        <f t="shared" ca="1" si="67"/>
        <v>61</v>
      </c>
      <c r="BB1192" s="174">
        <f t="shared" ca="1" si="68"/>
        <v>1129</v>
      </c>
      <c r="BC1192" s="525" t="e">
        <f ca="1">MATCH(BD1192,OFFSET(Pinlist!$A$2,BC1191*(BA1192=BA1191),0,$BM$23,1),0)+BC1191*(BA1192=BA1191)</f>
        <v>#N/A</v>
      </c>
      <c r="BD1192" s="167">
        <f t="shared" ca="1" si="69"/>
        <v>0</v>
      </c>
      <c r="BE1192" s="191" t="e">
        <f ca="1">(OFFSET(Pinlist!$E$1,BC1192,0)-$BN$16)*$BN$19</f>
        <v>#N/A</v>
      </c>
      <c r="BF1192" s="192" t="e">
        <f ca="1">(OFFSET(Pinlist!$F$1,BC1192,0)-$BO$16)*$BO$19</f>
        <v>#N/A</v>
      </c>
      <c r="BG1192" s="1098" t="str">
        <f ca="1">IF(LEFT(BD1192,2)="RF",OFFSET(Pinlist!$D$1,Chart!BC1192,0)&amp;"_"&amp;OFFSET(Pinlist!$G$1,Chart!BC1192,0),"")</f>
        <v/>
      </c>
      <c r="BH1192" s="1098"/>
      <c r="BI1192" s="178"/>
      <c r="BJ1192" s="178"/>
      <c r="BK1192" s="178"/>
      <c r="BL1192" s="178"/>
      <c r="BM1192" s="178"/>
      <c r="BN1192" s="178"/>
      <c r="BO1192" s="178"/>
      <c r="BP1192" s="178"/>
      <c r="BQ1192" s="196"/>
      <c r="BR1192" s="196"/>
      <c r="BS1192" s="196"/>
      <c r="BT1192" s="196"/>
      <c r="BU1192" s="196"/>
      <c r="BV1192" s="196"/>
      <c r="BW1192" s="178"/>
      <c r="BX1192" s="196"/>
      <c r="BY1192" s="196"/>
      <c r="BZ1192" s="196"/>
      <c r="CA1192" s="196"/>
      <c r="CB1192" s="178"/>
      <c r="CC1192" s="178"/>
      <c r="CD1192" s="202"/>
      <c r="CE1192" s="202"/>
      <c r="CF1192" s="178"/>
      <c r="CG1192" s="196"/>
      <c r="CH1192" s="178"/>
      <c r="CI1192" s="178"/>
      <c r="CJ1192" s="178"/>
      <c r="CK1192" s="178"/>
      <c r="CL1192" s="178"/>
      <c r="CM1192" s="178"/>
      <c r="CN1192" s="178"/>
      <c r="CO1192" s="178"/>
      <c r="CP1192" s="178"/>
      <c r="CQ1192" s="178"/>
      <c r="CR1192" s="178"/>
      <c r="CS1192" s="178"/>
      <c r="CT1192" s="178"/>
      <c r="CU1192" s="178"/>
      <c r="CV1192" s="178"/>
      <c r="CW1192" s="178"/>
      <c r="CX1192" s="178"/>
      <c r="CY1192" s="178"/>
      <c r="CZ1192" s="178"/>
      <c r="DA1192" s="150"/>
    </row>
    <row r="1193" spans="53:105" x14ac:dyDescent="0.2">
      <c r="BA1193" s="518">
        <f t="shared" ca="1" si="67"/>
        <v>61</v>
      </c>
      <c r="BB1193" s="174">
        <f t="shared" ca="1" si="68"/>
        <v>1130</v>
      </c>
      <c r="BC1193" s="525" t="e">
        <f ca="1">MATCH(BD1193,OFFSET(Pinlist!$A$2,BC1192*(BA1193=BA1192),0,$BM$23,1),0)+BC1192*(BA1193=BA1192)</f>
        <v>#N/A</v>
      </c>
      <c r="BD1193" s="167">
        <f t="shared" ca="1" si="69"/>
        <v>0</v>
      </c>
      <c r="BE1193" s="191" t="e">
        <f ca="1">(OFFSET(Pinlist!$E$1,BC1193,0)-$BN$16)*$BN$19</f>
        <v>#N/A</v>
      </c>
      <c r="BF1193" s="192" t="e">
        <f ca="1">(OFFSET(Pinlist!$F$1,BC1193,0)-$BO$16)*$BO$19</f>
        <v>#N/A</v>
      </c>
      <c r="BG1193" s="1098" t="str">
        <f ca="1">IF(LEFT(BD1193,2)="RF",OFFSET(Pinlist!$D$1,Chart!BC1193,0)&amp;"_"&amp;OFFSET(Pinlist!$G$1,Chart!BC1193,0),"")</f>
        <v/>
      </c>
      <c r="BH1193" s="1098"/>
      <c r="BI1193" s="178"/>
      <c r="BJ1193" s="178"/>
      <c r="BK1193" s="178"/>
      <c r="BL1193" s="178"/>
      <c r="BM1193" s="178"/>
      <c r="BN1193" s="178"/>
      <c r="BO1193" s="178"/>
      <c r="BP1193" s="178"/>
      <c r="BQ1193" s="196"/>
      <c r="BR1193" s="196"/>
      <c r="BS1193" s="196"/>
      <c r="BT1193" s="196"/>
      <c r="BU1193" s="196"/>
      <c r="BV1193" s="196"/>
      <c r="BW1193" s="178"/>
      <c r="BX1193" s="196"/>
      <c r="BY1193" s="196"/>
      <c r="BZ1193" s="196"/>
      <c r="CA1193" s="196"/>
      <c r="CB1193" s="178"/>
      <c r="CC1193" s="178"/>
      <c r="CD1193" s="202"/>
      <c r="CE1193" s="202"/>
      <c r="CF1193" s="178"/>
      <c r="CG1193" s="196"/>
      <c r="CH1193" s="178"/>
      <c r="CI1193" s="178"/>
      <c r="CJ1193" s="178"/>
      <c r="CK1193" s="178"/>
      <c r="CL1193" s="178"/>
      <c r="CM1193" s="178"/>
      <c r="CN1193" s="178"/>
      <c r="CO1193" s="178"/>
      <c r="CP1193" s="178"/>
      <c r="CQ1193" s="178"/>
      <c r="CR1193" s="178"/>
      <c r="CS1193" s="178"/>
      <c r="CT1193" s="178"/>
      <c r="CU1193" s="178"/>
      <c r="CV1193" s="178"/>
      <c r="CW1193" s="178"/>
      <c r="CX1193" s="178"/>
      <c r="CY1193" s="178"/>
      <c r="CZ1193" s="178"/>
      <c r="DA1193" s="150"/>
    </row>
    <row r="1194" spans="53:105" x14ac:dyDescent="0.2">
      <c r="BA1194" s="518">
        <f t="shared" ca="1" si="67"/>
        <v>61</v>
      </c>
      <c r="BB1194" s="174">
        <f t="shared" ca="1" si="68"/>
        <v>1131</v>
      </c>
      <c r="BC1194" s="525" t="e">
        <f ca="1">MATCH(BD1194,OFFSET(Pinlist!$A$2,BC1193*(BA1194=BA1193),0,$BM$23,1),0)+BC1193*(BA1194=BA1193)</f>
        <v>#N/A</v>
      </c>
      <c r="BD1194" s="167">
        <f t="shared" ca="1" si="69"/>
        <v>0</v>
      </c>
      <c r="BE1194" s="191" t="e">
        <f ca="1">(OFFSET(Pinlist!$E$1,BC1194,0)-$BN$16)*$BN$19</f>
        <v>#N/A</v>
      </c>
      <c r="BF1194" s="192" t="e">
        <f ca="1">(OFFSET(Pinlist!$F$1,BC1194,0)-$BO$16)*$BO$19</f>
        <v>#N/A</v>
      </c>
      <c r="BG1194" s="1098" t="str">
        <f ca="1">IF(LEFT(BD1194,2)="RF",OFFSET(Pinlist!$D$1,Chart!BC1194,0)&amp;"_"&amp;OFFSET(Pinlist!$G$1,Chart!BC1194,0),"")</f>
        <v/>
      </c>
      <c r="BH1194" s="1098"/>
      <c r="BI1194" s="178"/>
      <c r="BJ1194" s="178"/>
      <c r="BK1194" s="178"/>
      <c r="BL1194" s="178"/>
      <c r="BM1194" s="178"/>
      <c r="BN1194" s="178"/>
      <c r="BO1194" s="178"/>
      <c r="BP1194" s="178"/>
      <c r="BQ1194" s="196"/>
      <c r="BR1194" s="196"/>
      <c r="BS1194" s="196"/>
      <c r="BT1194" s="196"/>
      <c r="BU1194" s="196"/>
      <c r="BV1194" s="196"/>
      <c r="BW1194" s="178"/>
      <c r="BX1194" s="196"/>
      <c r="BY1194" s="196"/>
      <c r="BZ1194" s="196"/>
      <c r="CA1194" s="196"/>
      <c r="CB1194" s="178"/>
      <c r="CC1194" s="178"/>
      <c r="CD1194" s="202"/>
      <c r="CE1194" s="202"/>
      <c r="CF1194" s="178"/>
      <c r="CG1194" s="196"/>
      <c r="CH1194" s="178"/>
      <c r="CI1194" s="178"/>
      <c r="CJ1194" s="178"/>
      <c r="CK1194" s="178"/>
      <c r="CL1194" s="178"/>
      <c r="CM1194" s="178"/>
      <c r="CN1194" s="178"/>
      <c r="CO1194" s="178"/>
      <c r="CP1194" s="178"/>
      <c r="CQ1194" s="178"/>
      <c r="CR1194" s="178"/>
      <c r="CS1194" s="178"/>
      <c r="CT1194" s="178"/>
      <c r="CU1194" s="178"/>
      <c r="CV1194" s="178"/>
      <c r="CW1194" s="178"/>
      <c r="CX1194" s="178"/>
      <c r="CY1194" s="178"/>
      <c r="CZ1194" s="178"/>
      <c r="DA1194" s="150"/>
    </row>
    <row r="1195" spans="53:105" x14ac:dyDescent="0.2">
      <c r="BA1195" s="518">
        <f t="shared" ca="1" si="67"/>
        <v>61</v>
      </c>
      <c r="BB1195" s="174">
        <f t="shared" ca="1" si="68"/>
        <v>1132</v>
      </c>
      <c r="BC1195" s="525" t="e">
        <f ca="1">MATCH(BD1195,OFFSET(Pinlist!$A$2,BC1194*(BA1195=BA1194),0,$BM$23,1),0)+BC1194*(BA1195=BA1194)</f>
        <v>#N/A</v>
      </c>
      <c r="BD1195" s="167">
        <f t="shared" ca="1" si="69"/>
        <v>0</v>
      </c>
      <c r="BE1195" s="191" t="e">
        <f ca="1">(OFFSET(Pinlist!$E$1,BC1195,0)-$BN$16)*$BN$19</f>
        <v>#N/A</v>
      </c>
      <c r="BF1195" s="192" t="e">
        <f ca="1">(OFFSET(Pinlist!$F$1,BC1195,0)-$BO$16)*$BO$19</f>
        <v>#N/A</v>
      </c>
      <c r="BG1195" s="1098" t="str">
        <f ca="1">IF(LEFT(BD1195,2)="RF",OFFSET(Pinlist!$D$1,Chart!BC1195,0)&amp;"_"&amp;OFFSET(Pinlist!$G$1,Chart!BC1195,0),"")</f>
        <v/>
      </c>
      <c r="BH1195" s="1098"/>
      <c r="BI1195" s="178"/>
      <c r="BJ1195" s="178"/>
      <c r="BK1195" s="178"/>
      <c r="BL1195" s="178"/>
      <c r="BM1195" s="178"/>
      <c r="BN1195" s="178"/>
      <c r="BO1195" s="178"/>
      <c r="BP1195" s="178"/>
      <c r="BQ1195" s="196"/>
      <c r="BR1195" s="196"/>
      <c r="BS1195" s="196"/>
      <c r="BT1195" s="196"/>
      <c r="BU1195" s="196"/>
      <c r="BV1195" s="196"/>
      <c r="BW1195" s="178"/>
      <c r="BX1195" s="196"/>
      <c r="BY1195" s="196"/>
      <c r="BZ1195" s="196"/>
      <c r="CA1195" s="196"/>
      <c r="CB1195" s="178"/>
      <c r="CC1195" s="178"/>
      <c r="CD1195" s="202"/>
      <c r="CE1195" s="202"/>
      <c r="CF1195" s="178"/>
      <c r="CG1195" s="196"/>
      <c r="CH1195" s="178"/>
      <c r="CI1195" s="178"/>
      <c r="CJ1195" s="178"/>
      <c r="CK1195" s="178"/>
      <c r="CL1195" s="178"/>
      <c r="CM1195" s="178"/>
      <c r="CN1195" s="178"/>
      <c r="CO1195" s="178"/>
      <c r="CP1195" s="178"/>
      <c r="CQ1195" s="178"/>
      <c r="CR1195" s="178"/>
      <c r="CS1195" s="178"/>
      <c r="CT1195" s="178"/>
      <c r="CU1195" s="178"/>
      <c r="CV1195" s="178"/>
      <c r="CW1195" s="178"/>
      <c r="CX1195" s="178"/>
      <c r="CY1195" s="178"/>
      <c r="CZ1195" s="178"/>
      <c r="DA1195" s="150"/>
    </row>
    <row r="1196" spans="53:105" x14ac:dyDescent="0.2">
      <c r="BA1196" s="518">
        <f t="shared" ca="1" si="67"/>
        <v>61</v>
      </c>
      <c r="BB1196" s="174">
        <f t="shared" ca="1" si="68"/>
        <v>1133</v>
      </c>
      <c r="BC1196" s="525" t="e">
        <f ca="1">MATCH(BD1196,OFFSET(Pinlist!$A$2,BC1195*(BA1196=BA1195),0,$BM$23,1),0)+BC1195*(BA1196=BA1195)</f>
        <v>#N/A</v>
      </c>
      <c r="BD1196" s="167">
        <f t="shared" ca="1" si="69"/>
        <v>0</v>
      </c>
      <c r="BE1196" s="191" t="e">
        <f ca="1">(OFFSET(Pinlist!$E$1,BC1196,0)-$BN$16)*$BN$19</f>
        <v>#N/A</v>
      </c>
      <c r="BF1196" s="192" t="e">
        <f ca="1">(OFFSET(Pinlist!$F$1,BC1196,0)-$BO$16)*$BO$19</f>
        <v>#N/A</v>
      </c>
      <c r="BG1196" s="1098" t="str">
        <f ca="1">IF(LEFT(BD1196,2)="RF",OFFSET(Pinlist!$D$1,Chart!BC1196,0)&amp;"_"&amp;OFFSET(Pinlist!$G$1,Chart!BC1196,0),"")</f>
        <v/>
      </c>
      <c r="BH1196" s="1098"/>
      <c r="BI1196" s="178"/>
      <c r="BJ1196" s="178"/>
      <c r="BK1196" s="178"/>
      <c r="BL1196" s="178"/>
      <c r="BM1196" s="178"/>
      <c r="BN1196" s="178"/>
      <c r="BO1196" s="178"/>
      <c r="BP1196" s="178"/>
      <c r="BQ1196" s="196"/>
      <c r="BR1196" s="196"/>
      <c r="BS1196" s="196"/>
      <c r="BT1196" s="196"/>
      <c r="BU1196" s="196"/>
      <c r="BV1196" s="196"/>
      <c r="BW1196" s="178"/>
      <c r="BX1196" s="196"/>
      <c r="BY1196" s="196"/>
      <c r="BZ1196" s="196"/>
      <c r="CA1196" s="196"/>
      <c r="CB1196" s="178"/>
      <c r="CC1196" s="178"/>
      <c r="CD1196" s="202"/>
      <c r="CE1196" s="202"/>
      <c r="CF1196" s="178"/>
      <c r="CG1196" s="196"/>
      <c r="CH1196" s="178"/>
      <c r="CI1196" s="178"/>
      <c r="CJ1196" s="178"/>
      <c r="CK1196" s="178"/>
      <c r="CL1196" s="178"/>
      <c r="CM1196" s="178"/>
      <c r="CN1196" s="178"/>
      <c r="CO1196" s="178"/>
      <c r="CP1196" s="178"/>
      <c r="CQ1196" s="178"/>
      <c r="CR1196" s="178"/>
      <c r="CS1196" s="178"/>
      <c r="CT1196" s="178"/>
      <c r="CU1196" s="178"/>
      <c r="CV1196" s="178"/>
      <c r="CW1196" s="178"/>
      <c r="CX1196" s="178"/>
      <c r="CY1196" s="178"/>
      <c r="CZ1196" s="178"/>
      <c r="DA1196" s="150"/>
    </row>
    <row r="1197" spans="53:105" x14ac:dyDescent="0.2">
      <c r="BA1197" s="518">
        <f t="shared" ca="1" si="67"/>
        <v>61</v>
      </c>
      <c r="BB1197" s="174">
        <f t="shared" ca="1" si="68"/>
        <v>1134</v>
      </c>
      <c r="BC1197" s="525" t="e">
        <f ca="1">MATCH(BD1197,OFFSET(Pinlist!$A$2,BC1196*(BA1197=BA1196),0,$BM$23,1),0)+BC1196*(BA1197=BA1196)</f>
        <v>#N/A</v>
      </c>
      <c r="BD1197" s="167">
        <f t="shared" ca="1" si="69"/>
        <v>0</v>
      </c>
      <c r="BE1197" s="191" t="e">
        <f ca="1">(OFFSET(Pinlist!$E$1,BC1197,0)-$BN$16)*$BN$19</f>
        <v>#N/A</v>
      </c>
      <c r="BF1197" s="192" t="e">
        <f ca="1">(OFFSET(Pinlist!$F$1,BC1197,0)-$BO$16)*$BO$19</f>
        <v>#N/A</v>
      </c>
      <c r="BG1197" s="1098" t="str">
        <f ca="1">IF(LEFT(BD1197,2)="RF",OFFSET(Pinlist!$D$1,Chart!BC1197,0)&amp;"_"&amp;OFFSET(Pinlist!$G$1,Chart!BC1197,0),"")</f>
        <v/>
      </c>
      <c r="BH1197" s="1098"/>
      <c r="BI1197" s="178"/>
      <c r="BJ1197" s="178"/>
      <c r="BK1197" s="178"/>
      <c r="BL1197" s="178"/>
      <c r="BM1197" s="178"/>
      <c r="BN1197" s="178"/>
      <c r="BO1197" s="178"/>
      <c r="BP1197" s="178"/>
      <c r="BQ1197" s="196"/>
      <c r="BR1197" s="196"/>
      <c r="BS1197" s="196"/>
      <c r="BT1197" s="196"/>
      <c r="BU1197" s="196"/>
      <c r="BV1197" s="196"/>
      <c r="BW1197" s="178"/>
      <c r="BX1197" s="196"/>
      <c r="BY1197" s="196"/>
      <c r="BZ1197" s="196"/>
      <c r="CA1197" s="196"/>
      <c r="CB1197" s="178"/>
      <c r="CC1197" s="178"/>
      <c r="CD1197" s="202"/>
      <c r="CE1197" s="202"/>
      <c r="CF1197" s="178"/>
      <c r="CG1197" s="196"/>
      <c r="CH1197" s="178"/>
      <c r="CI1197" s="178"/>
      <c r="CJ1197" s="178"/>
      <c r="CK1197" s="178"/>
      <c r="CL1197" s="178"/>
      <c r="CM1197" s="178"/>
      <c r="CN1197" s="178"/>
      <c r="CO1197" s="178"/>
      <c r="CP1197" s="178"/>
      <c r="CQ1197" s="178"/>
      <c r="CR1197" s="178"/>
      <c r="CS1197" s="178"/>
      <c r="CT1197" s="178"/>
      <c r="CU1197" s="178"/>
      <c r="CV1197" s="178"/>
      <c r="CW1197" s="178"/>
      <c r="CX1197" s="178"/>
      <c r="CY1197" s="178"/>
      <c r="CZ1197" s="178"/>
      <c r="DA1197" s="150"/>
    </row>
    <row r="1198" spans="53:105" x14ac:dyDescent="0.2">
      <c r="BA1198" s="518">
        <f t="shared" ca="1" si="67"/>
        <v>61</v>
      </c>
      <c r="BB1198" s="174">
        <f t="shared" ca="1" si="68"/>
        <v>1135</v>
      </c>
      <c r="BC1198" s="525" t="e">
        <f ca="1">MATCH(BD1198,OFFSET(Pinlist!$A$2,BC1197*(BA1198=BA1197),0,$BM$23,1),0)+BC1197*(BA1198=BA1197)</f>
        <v>#N/A</v>
      </c>
      <c r="BD1198" s="167">
        <f t="shared" ca="1" si="69"/>
        <v>0</v>
      </c>
      <c r="BE1198" s="191" t="e">
        <f ca="1">(OFFSET(Pinlist!$E$1,BC1198,0)-$BN$16)*$BN$19</f>
        <v>#N/A</v>
      </c>
      <c r="BF1198" s="192" t="e">
        <f ca="1">(OFFSET(Pinlist!$F$1,BC1198,0)-$BO$16)*$BO$19</f>
        <v>#N/A</v>
      </c>
      <c r="BG1198" s="1098" t="str">
        <f ca="1">IF(LEFT(BD1198,2)="RF",OFFSET(Pinlist!$D$1,Chart!BC1198,0)&amp;"_"&amp;OFFSET(Pinlist!$G$1,Chart!BC1198,0),"")</f>
        <v/>
      </c>
      <c r="BH1198" s="1098"/>
      <c r="BI1198" s="178"/>
      <c r="BJ1198" s="178"/>
      <c r="BK1198" s="178"/>
      <c r="BL1198" s="178"/>
      <c r="BM1198" s="178"/>
      <c r="BN1198" s="178"/>
      <c r="BO1198" s="178"/>
      <c r="BP1198" s="178"/>
      <c r="BQ1198" s="196"/>
      <c r="BR1198" s="196"/>
      <c r="BS1198" s="196"/>
      <c r="BT1198" s="196"/>
      <c r="BU1198" s="196"/>
      <c r="BV1198" s="196"/>
      <c r="BW1198" s="178"/>
      <c r="BX1198" s="196"/>
      <c r="BY1198" s="196"/>
      <c r="BZ1198" s="196"/>
      <c r="CA1198" s="196"/>
      <c r="CB1198" s="178"/>
      <c r="CC1198" s="178"/>
      <c r="CD1198" s="202"/>
      <c r="CE1198" s="202"/>
      <c r="CF1198" s="178"/>
      <c r="CG1198" s="196"/>
      <c r="CH1198" s="178"/>
      <c r="CI1198" s="178"/>
      <c r="CJ1198" s="178"/>
      <c r="CK1198" s="178"/>
      <c r="CL1198" s="178"/>
      <c r="CM1198" s="178"/>
      <c r="CN1198" s="178"/>
      <c r="CO1198" s="178"/>
      <c r="CP1198" s="178"/>
      <c r="CQ1198" s="178"/>
      <c r="CR1198" s="178"/>
      <c r="CS1198" s="178"/>
      <c r="CT1198" s="178"/>
      <c r="CU1198" s="178"/>
      <c r="CV1198" s="178"/>
      <c r="CW1198" s="178"/>
      <c r="CX1198" s="178"/>
      <c r="CY1198" s="178"/>
      <c r="CZ1198" s="178"/>
      <c r="DA1198" s="150"/>
    </row>
    <row r="1199" spans="53:105" x14ac:dyDescent="0.2">
      <c r="BA1199" s="518">
        <f t="shared" ca="1" si="67"/>
        <v>61</v>
      </c>
      <c r="BB1199" s="174">
        <f t="shared" ca="1" si="68"/>
        <v>1136</v>
      </c>
      <c r="BC1199" s="525" t="e">
        <f ca="1">MATCH(BD1199,OFFSET(Pinlist!$A$2,BC1198*(BA1199=BA1198),0,$BM$23,1),0)+BC1198*(BA1199=BA1198)</f>
        <v>#N/A</v>
      </c>
      <c r="BD1199" s="167">
        <f t="shared" ca="1" si="69"/>
        <v>0</v>
      </c>
      <c r="BE1199" s="191" t="e">
        <f ca="1">(OFFSET(Pinlist!$E$1,BC1199,0)-$BN$16)*$BN$19</f>
        <v>#N/A</v>
      </c>
      <c r="BF1199" s="192" t="e">
        <f ca="1">(OFFSET(Pinlist!$F$1,BC1199,0)-$BO$16)*$BO$19</f>
        <v>#N/A</v>
      </c>
      <c r="BG1199" s="1098" t="str">
        <f ca="1">IF(LEFT(BD1199,2)="RF",OFFSET(Pinlist!$D$1,Chart!BC1199,0)&amp;"_"&amp;OFFSET(Pinlist!$G$1,Chart!BC1199,0),"")</f>
        <v/>
      </c>
      <c r="BH1199" s="1098"/>
      <c r="BI1199" s="178"/>
      <c r="BJ1199" s="178"/>
      <c r="BK1199" s="178"/>
      <c r="BL1199" s="178"/>
      <c r="BM1199" s="178"/>
      <c r="BN1199" s="178"/>
      <c r="BO1199" s="178"/>
      <c r="BP1199" s="178"/>
      <c r="BQ1199" s="196"/>
      <c r="BR1199" s="196"/>
      <c r="BS1199" s="196"/>
      <c r="BT1199" s="196"/>
      <c r="BU1199" s="196"/>
      <c r="BV1199" s="196"/>
      <c r="BW1199" s="178"/>
      <c r="BX1199" s="196"/>
      <c r="BY1199" s="196"/>
      <c r="BZ1199" s="196"/>
      <c r="CA1199" s="196"/>
      <c r="CB1199" s="178"/>
      <c r="CC1199" s="178"/>
      <c r="CD1199" s="202"/>
      <c r="CE1199" s="202"/>
      <c r="CF1199" s="178"/>
      <c r="CG1199" s="196"/>
      <c r="CH1199" s="178"/>
      <c r="CI1199" s="178"/>
      <c r="CJ1199" s="178"/>
      <c r="CK1199" s="178"/>
      <c r="CL1199" s="178"/>
      <c r="CM1199" s="178"/>
      <c r="CN1199" s="178"/>
      <c r="CO1199" s="178"/>
      <c r="CP1199" s="178"/>
      <c r="CQ1199" s="178"/>
      <c r="CR1199" s="178"/>
      <c r="CS1199" s="178"/>
      <c r="CT1199" s="178"/>
      <c r="CU1199" s="178"/>
      <c r="CV1199" s="178"/>
      <c r="CW1199" s="178"/>
      <c r="CX1199" s="178"/>
      <c r="CY1199" s="178"/>
      <c r="CZ1199" s="178"/>
      <c r="DA1199" s="150"/>
    </row>
    <row r="1200" spans="53:105" x14ac:dyDescent="0.2">
      <c r="BA1200" s="518">
        <f t="shared" ca="1" si="67"/>
        <v>61</v>
      </c>
      <c r="BB1200" s="174">
        <f t="shared" ca="1" si="68"/>
        <v>1137</v>
      </c>
      <c r="BC1200" s="525" t="e">
        <f ca="1">MATCH(BD1200,OFFSET(Pinlist!$A$2,BC1199*(BA1200=BA1199),0,$BM$23,1),0)+BC1199*(BA1200=BA1199)</f>
        <v>#N/A</v>
      </c>
      <c r="BD1200" s="167">
        <f t="shared" ca="1" si="69"/>
        <v>0</v>
      </c>
      <c r="BE1200" s="191" t="e">
        <f ca="1">(OFFSET(Pinlist!$E$1,BC1200,0)-$BN$16)*$BN$19</f>
        <v>#N/A</v>
      </c>
      <c r="BF1200" s="192" t="e">
        <f ca="1">(OFFSET(Pinlist!$F$1,BC1200,0)-$BO$16)*$BO$19</f>
        <v>#N/A</v>
      </c>
      <c r="BG1200" s="1098" t="str">
        <f ca="1">IF(LEFT(BD1200,2)="RF",OFFSET(Pinlist!$D$1,Chart!BC1200,0)&amp;"_"&amp;OFFSET(Pinlist!$G$1,Chart!BC1200,0),"")</f>
        <v/>
      </c>
      <c r="BH1200" s="1098"/>
      <c r="BI1200" s="178"/>
      <c r="BJ1200" s="178"/>
      <c r="BK1200" s="178"/>
      <c r="BL1200" s="178"/>
      <c r="BM1200" s="178"/>
      <c r="BN1200" s="178"/>
      <c r="BO1200" s="178"/>
      <c r="BP1200" s="178"/>
      <c r="BQ1200" s="196"/>
      <c r="BR1200" s="196"/>
      <c r="BS1200" s="196"/>
      <c r="BT1200" s="196"/>
      <c r="BU1200" s="196"/>
      <c r="BV1200" s="196"/>
      <c r="BW1200" s="178"/>
      <c r="BX1200" s="196"/>
      <c r="BY1200" s="196"/>
      <c r="BZ1200" s="196"/>
      <c r="CA1200" s="196"/>
      <c r="CB1200" s="178"/>
      <c r="CC1200" s="178"/>
      <c r="CD1200" s="202"/>
      <c r="CE1200" s="202"/>
      <c r="CF1200" s="178"/>
      <c r="CG1200" s="196"/>
      <c r="CH1200" s="178"/>
      <c r="CI1200" s="178"/>
      <c r="CJ1200" s="178"/>
      <c r="CK1200" s="178"/>
      <c r="CL1200" s="178"/>
      <c r="CM1200" s="178"/>
      <c r="CN1200" s="178"/>
      <c r="CO1200" s="178"/>
      <c r="CP1200" s="178"/>
      <c r="CQ1200" s="178"/>
      <c r="CR1200" s="178"/>
      <c r="CS1200" s="178"/>
      <c r="CT1200" s="178"/>
      <c r="CU1200" s="178"/>
      <c r="CV1200" s="178"/>
      <c r="CW1200" s="178"/>
      <c r="CX1200" s="178"/>
      <c r="CY1200" s="178"/>
      <c r="CZ1200" s="178"/>
      <c r="DA1200" s="150"/>
    </row>
    <row r="1201" spans="53:105" x14ac:dyDescent="0.2">
      <c r="BA1201" s="518">
        <f t="shared" ca="1" si="67"/>
        <v>61</v>
      </c>
      <c r="BB1201" s="174">
        <f t="shared" ca="1" si="68"/>
        <v>1138</v>
      </c>
      <c r="BC1201" s="525" t="e">
        <f ca="1">MATCH(BD1201,OFFSET(Pinlist!$A$2,BC1200*(BA1201=BA1200),0,$BM$23,1),0)+BC1200*(BA1201=BA1200)</f>
        <v>#N/A</v>
      </c>
      <c r="BD1201" s="167">
        <f t="shared" ca="1" si="69"/>
        <v>0</v>
      </c>
      <c r="BE1201" s="191" t="e">
        <f ca="1">(OFFSET(Pinlist!$E$1,BC1201,0)-$BN$16)*$BN$19</f>
        <v>#N/A</v>
      </c>
      <c r="BF1201" s="192" t="e">
        <f ca="1">(OFFSET(Pinlist!$F$1,BC1201,0)-$BO$16)*$BO$19</f>
        <v>#N/A</v>
      </c>
      <c r="BG1201" s="1098" t="str">
        <f ca="1">IF(LEFT(BD1201,2)="RF",OFFSET(Pinlist!$D$1,Chart!BC1201,0)&amp;"_"&amp;OFFSET(Pinlist!$G$1,Chart!BC1201,0),"")</f>
        <v/>
      </c>
      <c r="BH1201" s="1098"/>
      <c r="BI1201" s="178"/>
      <c r="BJ1201" s="178"/>
      <c r="BK1201" s="178"/>
      <c r="BL1201" s="178"/>
      <c r="BM1201" s="178"/>
      <c r="BN1201" s="178"/>
      <c r="BO1201" s="178"/>
      <c r="BP1201" s="178"/>
      <c r="BQ1201" s="196"/>
      <c r="BR1201" s="196"/>
      <c r="BS1201" s="196"/>
      <c r="BT1201" s="196"/>
      <c r="BU1201" s="196"/>
      <c r="BV1201" s="196"/>
      <c r="BW1201" s="178"/>
      <c r="BX1201" s="196"/>
      <c r="BY1201" s="196"/>
      <c r="BZ1201" s="196"/>
      <c r="CA1201" s="196"/>
      <c r="CB1201" s="178"/>
      <c r="CC1201" s="178"/>
      <c r="CD1201" s="202"/>
      <c r="CE1201" s="202"/>
      <c r="CF1201" s="178"/>
      <c r="CG1201" s="196"/>
      <c r="CH1201" s="178"/>
      <c r="CI1201" s="178"/>
      <c r="CJ1201" s="178"/>
      <c r="CK1201" s="178"/>
      <c r="CL1201" s="178"/>
      <c r="CM1201" s="178"/>
      <c r="CN1201" s="178"/>
      <c r="CO1201" s="178"/>
      <c r="CP1201" s="178"/>
      <c r="CQ1201" s="178"/>
      <c r="CR1201" s="178"/>
      <c r="CS1201" s="178"/>
      <c r="CT1201" s="178"/>
      <c r="CU1201" s="178"/>
      <c r="CV1201" s="178"/>
      <c r="CW1201" s="178"/>
      <c r="CX1201" s="178"/>
      <c r="CY1201" s="178"/>
      <c r="CZ1201" s="178"/>
      <c r="DA1201" s="150"/>
    </row>
    <row r="1202" spans="53:105" x14ac:dyDescent="0.2">
      <c r="BA1202" s="518">
        <f t="shared" ca="1" si="67"/>
        <v>61</v>
      </c>
      <c r="BB1202" s="174">
        <f t="shared" ca="1" si="68"/>
        <v>1139</v>
      </c>
      <c r="BC1202" s="525" t="e">
        <f ca="1">MATCH(BD1202,OFFSET(Pinlist!$A$2,BC1201*(BA1202=BA1201),0,$BM$23,1),0)+BC1201*(BA1202=BA1201)</f>
        <v>#N/A</v>
      </c>
      <c r="BD1202" s="167">
        <f t="shared" ca="1" si="69"/>
        <v>0</v>
      </c>
      <c r="BE1202" s="191" t="e">
        <f ca="1">(OFFSET(Pinlist!$E$1,BC1202,0)-$BN$16)*$BN$19</f>
        <v>#N/A</v>
      </c>
      <c r="BF1202" s="192" t="e">
        <f ca="1">(OFFSET(Pinlist!$F$1,BC1202,0)-$BO$16)*$BO$19</f>
        <v>#N/A</v>
      </c>
      <c r="BG1202" s="1098" t="str">
        <f ca="1">IF(LEFT(BD1202,2)="RF",OFFSET(Pinlist!$D$1,Chart!BC1202,0)&amp;"_"&amp;OFFSET(Pinlist!$G$1,Chart!BC1202,0),"")</f>
        <v/>
      </c>
      <c r="BH1202" s="1098"/>
      <c r="BI1202" s="178"/>
      <c r="BJ1202" s="178"/>
      <c r="BK1202" s="178"/>
      <c r="BL1202" s="178"/>
      <c r="BM1202" s="178"/>
      <c r="BN1202" s="178"/>
      <c r="BO1202" s="178"/>
      <c r="BP1202" s="178"/>
      <c r="BQ1202" s="196"/>
      <c r="BR1202" s="196"/>
      <c r="BS1202" s="196"/>
      <c r="BT1202" s="196"/>
      <c r="BU1202" s="196"/>
      <c r="BV1202" s="196"/>
      <c r="BW1202" s="178"/>
      <c r="BX1202" s="196"/>
      <c r="BY1202" s="196"/>
      <c r="BZ1202" s="196"/>
      <c r="CA1202" s="196"/>
      <c r="CB1202" s="178"/>
      <c r="CC1202" s="178"/>
      <c r="CD1202" s="202"/>
      <c r="CE1202" s="202"/>
      <c r="CF1202" s="178"/>
      <c r="CG1202" s="196"/>
      <c r="CH1202" s="178"/>
      <c r="CI1202" s="178"/>
      <c r="CJ1202" s="178"/>
      <c r="CK1202" s="178"/>
      <c r="CL1202" s="178"/>
      <c r="CM1202" s="178"/>
      <c r="CN1202" s="178"/>
      <c r="CO1202" s="178"/>
      <c r="CP1202" s="178"/>
      <c r="CQ1202" s="178"/>
      <c r="CR1202" s="178"/>
      <c r="CS1202" s="178"/>
      <c r="CT1202" s="178"/>
      <c r="CU1202" s="178"/>
      <c r="CV1202" s="178"/>
      <c r="CW1202" s="178"/>
      <c r="CX1202" s="178"/>
      <c r="CY1202" s="178"/>
      <c r="CZ1202" s="178"/>
      <c r="DA1202" s="150"/>
    </row>
    <row r="1203" spans="53:105" x14ac:dyDescent="0.2">
      <c r="BA1203" s="518">
        <f t="shared" ca="1" si="67"/>
        <v>61</v>
      </c>
      <c r="BB1203" s="174">
        <f t="shared" ca="1" si="68"/>
        <v>1140</v>
      </c>
      <c r="BC1203" s="525" t="e">
        <f ca="1">MATCH(BD1203,OFFSET(Pinlist!$A$2,BC1202*(BA1203=BA1202),0,$BM$23,1),0)+BC1202*(BA1203=BA1202)</f>
        <v>#N/A</v>
      </c>
      <c r="BD1203" s="167">
        <f t="shared" ca="1" si="69"/>
        <v>0</v>
      </c>
      <c r="BE1203" s="191" t="e">
        <f ca="1">(OFFSET(Pinlist!$E$1,BC1203,0)-$BN$16)*$BN$19</f>
        <v>#N/A</v>
      </c>
      <c r="BF1203" s="192" t="e">
        <f ca="1">(OFFSET(Pinlist!$F$1,BC1203,0)-$BO$16)*$BO$19</f>
        <v>#N/A</v>
      </c>
      <c r="BG1203" s="1098" t="str">
        <f ca="1">IF(LEFT(BD1203,2)="RF",OFFSET(Pinlist!$D$1,Chart!BC1203,0)&amp;"_"&amp;OFFSET(Pinlist!$G$1,Chart!BC1203,0),"")</f>
        <v/>
      </c>
      <c r="BH1203" s="1098"/>
      <c r="BI1203" s="178"/>
      <c r="BJ1203" s="178"/>
      <c r="BK1203" s="178"/>
      <c r="BL1203" s="178"/>
      <c r="BM1203" s="178"/>
      <c r="BN1203" s="178"/>
      <c r="BO1203" s="178"/>
      <c r="BP1203" s="178"/>
      <c r="BQ1203" s="196"/>
      <c r="BR1203" s="196"/>
      <c r="BS1203" s="196"/>
      <c r="BT1203" s="196"/>
      <c r="BU1203" s="196"/>
      <c r="BV1203" s="196"/>
      <c r="BW1203" s="178"/>
      <c r="BX1203" s="196"/>
      <c r="BY1203" s="196"/>
      <c r="BZ1203" s="196"/>
      <c r="CA1203" s="196"/>
      <c r="CB1203" s="178"/>
      <c r="CC1203" s="178"/>
      <c r="CD1203" s="202"/>
      <c r="CE1203" s="202"/>
      <c r="CF1203" s="178"/>
      <c r="CG1203" s="196"/>
      <c r="CH1203" s="178"/>
      <c r="CI1203" s="178"/>
      <c r="CJ1203" s="178"/>
      <c r="CK1203" s="178"/>
      <c r="CL1203" s="178"/>
      <c r="CM1203" s="178"/>
      <c r="CN1203" s="178"/>
      <c r="CO1203" s="178"/>
      <c r="CP1203" s="178"/>
      <c r="CQ1203" s="178"/>
      <c r="CR1203" s="178"/>
      <c r="CS1203" s="178"/>
      <c r="CT1203" s="178"/>
      <c r="CU1203" s="178"/>
      <c r="CV1203" s="178"/>
      <c r="CW1203" s="178"/>
      <c r="CX1203" s="178"/>
      <c r="CY1203" s="178"/>
      <c r="CZ1203" s="178"/>
      <c r="DA1203" s="150"/>
    </row>
    <row r="1204" spans="53:105" x14ac:dyDescent="0.2">
      <c r="BA1204" s="518">
        <f t="shared" ca="1" si="67"/>
        <v>61</v>
      </c>
      <c r="BB1204" s="174">
        <f t="shared" ca="1" si="68"/>
        <v>1141</v>
      </c>
      <c r="BC1204" s="525" t="e">
        <f ca="1">MATCH(BD1204,OFFSET(Pinlist!$A$2,BC1203*(BA1204=BA1203),0,$BM$23,1),0)+BC1203*(BA1204=BA1203)</f>
        <v>#N/A</v>
      </c>
      <c r="BD1204" s="167">
        <f t="shared" ca="1" si="69"/>
        <v>0</v>
      </c>
      <c r="BE1204" s="191" t="e">
        <f ca="1">(OFFSET(Pinlist!$E$1,BC1204,0)-$BN$16)*$BN$19</f>
        <v>#N/A</v>
      </c>
      <c r="BF1204" s="192" t="e">
        <f ca="1">(OFFSET(Pinlist!$F$1,BC1204,0)-$BO$16)*$BO$19</f>
        <v>#N/A</v>
      </c>
      <c r="BG1204" s="1098" t="str">
        <f ca="1">IF(LEFT(BD1204,2)="RF",OFFSET(Pinlist!$D$1,Chart!BC1204,0)&amp;"_"&amp;OFFSET(Pinlist!$G$1,Chart!BC1204,0),"")</f>
        <v/>
      </c>
      <c r="BH1204" s="1098"/>
      <c r="BI1204" s="178"/>
      <c r="BJ1204" s="178"/>
      <c r="BK1204" s="178"/>
      <c r="BL1204" s="178"/>
      <c r="BM1204" s="178"/>
      <c r="BN1204" s="178"/>
      <c r="BO1204" s="178"/>
      <c r="BP1204" s="178"/>
      <c r="BQ1204" s="196"/>
      <c r="BR1204" s="196"/>
      <c r="BS1204" s="196"/>
      <c r="BT1204" s="196"/>
      <c r="BU1204" s="196"/>
      <c r="BV1204" s="196"/>
      <c r="BW1204" s="178"/>
      <c r="BX1204" s="196"/>
      <c r="BY1204" s="196"/>
      <c r="BZ1204" s="196"/>
      <c r="CA1204" s="196"/>
      <c r="CB1204" s="178"/>
      <c r="CC1204" s="178"/>
      <c r="CD1204" s="202"/>
      <c r="CE1204" s="202"/>
      <c r="CF1204" s="178"/>
      <c r="CG1204" s="196"/>
      <c r="CH1204" s="178"/>
      <c r="CI1204" s="178"/>
      <c r="CJ1204" s="178"/>
      <c r="CK1204" s="178"/>
      <c r="CL1204" s="178"/>
      <c r="CM1204" s="178"/>
      <c r="CN1204" s="178"/>
      <c r="CO1204" s="178"/>
      <c r="CP1204" s="178"/>
      <c r="CQ1204" s="178"/>
      <c r="CR1204" s="178"/>
      <c r="CS1204" s="178"/>
      <c r="CT1204" s="178"/>
      <c r="CU1204" s="178"/>
      <c r="CV1204" s="178"/>
      <c r="CW1204" s="178"/>
      <c r="CX1204" s="178"/>
      <c r="CY1204" s="178"/>
      <c r="CZ1204" s="178"/>
      <c r="DA1204" s="150"/>
    </row>
    <row r="1205" spans="53:105" x14ac:dyDescent="0.2">
      <c r="BA1205" s="518">
        <f t="shared" ca="1" si="67"/>
        <v>61</v>
      </c>
      <c r="BB1205" s="174">
        <f t="shared" ca="1" si="68"/>
        <v>1142</v>
      </c>
      <c r="BC1205" s="525" t="e">
        <f ca="1">MATCH(BD1205,OFFSET(Pinlist!$A$2,BC1204*(BA1205=BA1204),0,$BM$23,1),0)+BC1204*(BA1205=BA1204)</f>
        <v>#N/A</v>
      </c>
      <c r="BD1205" s="167">
        <f t="shared" ca="1" si="69"/>
        <v>0</v>
      </c>
      <c r="BE1205" s="191" t="e">
        <f ca="1">(OFFSET(Pinlist!$E$1,BC1205,0)-$BN$16)*$BN$19</f>
        <v>#N/A</v>
      </c>
      <c r="BF1205" s="192" t="e">
        <f ca="1">(OFFSET(Pinlist!$F$1,BC1205,0)-$BO$16)*$BO$19</f>
        <v>#N/A</v>
      </c>
      <c r="BG1205" s="1098" t="str">
        <f ca="1">IF(LEFT(BD1205,2)="RF",OFFSET(Pinlist!$D$1,Chart!BC1205,0)&amp;"_"&amp;OFFSET(Pinlist!$G$1,Chart!BC1205,0),"")</f>
        <v/>
      </c>
      <c r="BH1205" s="1098"/>
      <c r="BI1205" s="178"/>
      <c r="BJ1205" s="178"/>
      <c r="BK1205" s="178"/>
      <c r="BL1205" s="178"/>
      <c r="BM1205" s="178"/>
      <c r="BN1205" s="178"/>
      <c r="BO1205" s="178"/>
      <c r="BP1205" s="178"/>
      <c r="BQ1205" s="196"/>
      <c r="BR1205" s="196"/>
      <c r="BS1205" s="196"/>
      <c r="BT1205" s="196"/>
      <c r="BU1205" s="196"/>
      <c r="BV1205" s="196"/>
      <c r="BW1205" s="178"/>
      <c r="BX1205" s="196"/>
      <c r="BY1205" s="196"/>
      <c r="BZ1205" s="196"/>
      <c r="CA1205" s="196"/>
      <c r="CB1205" s="178"/>
      <c r="CC1205" s="178"/>
      <c r="CD1205" s="202"/>
      <c r="CE1205" s="202"/>
      <c r="CF1205" s="178"/>
      <c r="CG1205" s="196"/>
      <c r="CH1205" s="178"/>
      <c r="CI1205" s="178"/>
      <c r="CJ1205" s="178"/>
      <c r="CK1205" s="178"/>
      <c r="CL1205" s="178"/>
      <c r="CM1205" s="178"/>
      <c r="CN1205" s="178"/>
      <c r="CO1205" s="178"/>
      <c r="CP1205" s="178"/>
      <c r="CQ1205" s="178"/>
      <c r="CR1205" s="178"/>
      <c r="CS1205" s="178"/>
      <c r="CT1205" s="178"/>
      <c r="CU1205" s="178"/>
      <c r="CV1205" s="178"/>
      <c r="CW1205" s="178"/>
      <c r="CX1205" s="178"/>
      <c r="CY1205" s="178"/>
      <c r="CZ1205" s="178"/>
      <c r="DA1205" s="150"/>
    </row>
    <row r="1206" spans="53:105" x14ac:dyDescent="0.2">
      <c r="BA1206" s="518">
        <f t="shared" ca="1" si="67"/>
        <v>61</v>
      </c>
      <c r="BB1206" s="174">
        <f t="shared" ca="1" si="68"/>
        <v>1143</v>
      </c>
      <c r="BC1206" s="525" t="e">
        <f ca="1">MATCH(BD1206,OFFSET(Pinlist!$A$2,BC1205*(BA1206=BA1205),0,$BM$23,1),0)+BC1205*(BA1206=BA1205)</f>
        <v>#N/A</v>
      </c>
      <c r="BD1206" s="167">
        <f t="shared" ca="1" si="69"/>
        <v>0</v>
      </c>
      <c r="BE1206" s="191" t="e">
        <f ca="1">(OFFSET(Pinlist!$E$1,BC1206,0)-$BN$16)*$BN$19</f>
        <v>#N/A</v>
      </c>
      <c r="BF1206" s="192" t="e">
        <f ca="1">(OFFSET(Pinlist!$F$1,BC1206,0)-$BO$16)*$BO$19</f>
        <v>#N/A</v>
      </c>
      <c r="BG1206" s="1098" t="str">
        <f ca="1">IF(LEFT(BD1206,2)="RF",OFFSET(Pinlist!$D$1,Chart!BC1206,0)&amp;"_"&amp;OFFSET(Pinlist!$G$1,Chart!BC1206,0),"")</f>
        <v/>
      </c>
      <c r="BH1206" s="1098"/>
      <c r="BI1206" s="178"/>
      <c r="BJ1206" s="178"/>
      <c r="BK1206" s="178"/>
      <c r="BL1206" s="178"/>
      <c r="BM1206" s="178"/>
      <c r="BN1206" s="178"/>
      <c r="BO1206" s="178"/>
      <c r="BP1206" s="178"/>
      <c r="BQ1206" s="196"/>
      <c r="BR1206" s="196"/>
      <c r="BS1206" s="196"/>
      <c r="BT1206" s="196"/>
      <c r="BU1206" s="196"/>
      <c r="BV1206" s="196"/>
      <c r="BW1206" s="178"/>
      <c r="BX1206" s="196"/>
      <c r="BY1206" s="196"/>
      <c r="BZ1206" s="196"/>
      <c r="CA1206" s="196"/>
      <c r="CB1206" s="178"/>
      <c r="CC1206" s="178"/>
      <c r="CD1206" s="202"/>
      <c r="CE1206" s="202"/>
      <c r="CF1206" s="178"/>
      <c r="CG1206" s="196"/>
      <c r="CH1206" s="178"/>
      <c r="CI1206" s="178"/>
      <c r="CJ1206" s="178"/>
      <c r="CK1206" s="178"/>
      <c r="CL1206" s="178"/>
      <c r="CM1206" s="178"/>
      <c r="CN1206" s="178"/>
      <c r="CO1206" s="178"/>
      <c r="CP1206" s="178"/>
      <c r="CQ1206" s="178"/>
      <c r="CR1206" s="178"/>
      <c r="CS1206" s="178"/>
      <c r="CT1206" s="178"/>
      <c r="CU1206" s="178"/>
      <c r="CV1206" s="178"/>
      <c r="CW1206" s="178"/>
      <c r="CX1206" s="178"/>
      <c r="CY1206" s="178"/>
      <c r="CZ1206" s="178"/>
      <c r="DA1206" s="150"/>
    </row>
    <row r="1207" spans="53:105" x14ac:dyDescent="0.2">
      <c r="BA1207" s="518">
        <f t="shared" ca="1" si="67"/>
        <v>61</v>
      </c>
      <c r="BB1207" s="174">
        <f t="shared" ca="1" si="68"/>
        <v>1144</v>
      </c>
      <c r="BC1207" s="525" t="e">
        <f ca="1">MATCH(BD1207,OFFSET(Pinlist!$A$2,BC1206*(BA1207=BA1206),0,$BM$23,1),0)+BC1206*(BA1207=BA1206)</f>
        <v>#N/A</v>
      </c>
      <c r="BD1207" s="167">
        <f t="shared" ca="1" si="69"/>
        <v>0</v>
      </c>
      <c r="BE1207" s="191" t="e">
        <f ca="1">(OFFSET(Pinlist!$E$1,BC1207,0)-$BN$16)*$BN$19</f>
        <v>#N/A</v>
      </c>
      <c r="BF1207" s="192" t="e">
        <f ca="1">(OFFSET(Pinlist!$F$1,BC1207,0)-$BO$16)*$BO$19</f>
        <v>#N/A</v>
      </c>
      <c r="BG1207" s="1098" t="str">
        <f ca="1">IF(LEFT(BD1207,2)="RF",OFFSET(Pinlist!$D$1,Chart!BC1207,0)&amp;"_"&amp;OFFSET(Pinlist!$G$1,Chart!BC1207,0),"")</f>
        <v/>
      </c>
      <c r="BH1207" s="1098"/>
      <c r="BI1207" s="178"/>
      <c r="BJ1207" s="178"/>
      <c r="BK1207" s="178"/>
      <c r="BL1207" s="178"/>
      <c r="BM1207" s="178"/>
      <c r="BN1207" s="178"/>
      <c r="BO1207" s="178"/>
      <c r="BP1207" s="178"/>
      <c r="BQ1207" s="196"/>
      <c r="BR1207" s="196"/>
      <c r="BS1207" s="196"/>
      <c r="BT1207" s="196"/>
      <c r="BU1207" s="196"/>
      <c r="BV1207" s="196"/>
      <c r="BW1207" s="178"/>
      <c r="BX1207" s="196"/>
      <c r="BY1207" s="196"/>
      <c r="BZ1207" s="196"/>
      <c r="CA1207" s="196"/>
      <c r="CB1207" s="178"/>
      <c r="CC1207" s="178"/>
      <c r="CD1207" s="202"/>
      <c r="CE1207" s="202"/>
      <c r="CF1207" s="178"/>
      <c r="CG1207" s="196"/>
      <c r="CH1207" s="178"/>
      <c r="CI1207" s="178"/>
      <c r="CJ1207" s="178"/>
      <c r="CK1207" s="178"/>
      <c r="CL1207" s="178"/>
      <c r="CM1207" s="178"/>
      <c r="CN1207" s="178"/>
      <c r="CO1207" s="178"/>
      <c r="CP1207" s="178"/>
      <c r="CQ1207" s="178"/>
      <c r="CR1207" s="178"/>
      <c r="CS1207" s="178"/>
      <c r="CT1207" s="178"/>
      <c r="CU1207" s="178"/>
      <c r="CV1207" s="178"/>
      <c r="CW1207" s="178"/>
      <c r="CX1207" s="178"/>
      <c r="CY1207" s="178"/>
      <c r="CZ1207" s="178"/>
      <c r="DA1207" s="150"/>
    </row>
    <row r="1208" spans="53:105" x14ac:dyDescent="0.2">
      <c r="BA1208" s="518">
        <f t="shared" ca="1" si="67"/>
        <v>61</v>
      </c>
      <c r="BB1208" s="174">
        <f t="shared" ca="1" si="68"/>
        <v>1145</v>
      </c>
      <c r="BC1208" s="525" t="e">
        <f ca="1">MATCH(BD1208,OFFSET(Pinlist!$A$2,BC1207*(BA1208=BA1207),0,$BM$23,1),0)+BC1207*(BA1208=BA1207)</f>
        <v>#N/A</v>
      </c>
      <c r="BD1208" s="167">
        <f t="shared" ca="1" si="69"/>
        <v>0</v>
      </c>
      <c r="BE1208" s="191" t="e">
        <f ca="1">(OFFSET(Pinlist!$E$1,BC1208,0)-$BN$16)*$BN$19</f>
        <v>#N/A</v>
      </c>
      <c r="BF1208" s="192" t="e">
        <f ca="1">(OFFSET(Pinlist!$F$1,BC1208,0)-$BO$16)*$BO$19</f>
        <v>#N/A</v>
      </c>
      <c r="BG1208" s="1098" t="str">
        <f ca="1">IF(LEFT(BD1208,2)="RF",OFFSET(Pinlist!$D$1,Chart!BC1208,0)&amp;"_"&amp;OFFSET(Pinlist!$G$1,Chart!BC1208,0),"")</f>
        <v/>
      </c>
      <c r="BH1208" s="1098"/>
      <c r="BI1208" s="178"/>
      <c r="BJ1208" s="178"/>
      <c r="BK1208" s="178"/>
      <c r="BL1208" s="178"/>
      <c r="BM1208" s="178"/>
      <c r="BN1208" s="178"/>
      <c r="BO1208" s="178"/>
      <c r="BP1208" s="178"/>
      <c r="BQ1208" s="196"/>
      <c r="BR1208" s="196"/>
      <c r="BS1208" s="196"/>
      <c r="BT1208" s="196"/>
      <c r="BU1208" s="196"/>
      <c r="BV1208" s="196"/>
      <c r="BW1208" s="178"/>
      <c r="BX1208" s="196"/>
      <c r="BY1208" s="196"/>
      <c r="BZ1208" s="196"/>
      <c r="CA1208" s="196"/>
      <c r="CB1208" s="178"/>
      <c r="CC1208" s="178"/>
      <c r="CD1208" s="202"/>
      <c r="CE1208" s="202"/>
      <c r="CF1208" s="178"/>
      <c r="CG1208" s="196"/>
      <c r="CH1208" s="178"/>
      <c r="CI1208" s="178"/>
      <c r="CJ1208" s="178"/>
      <c r="CK1208" s="178"/>
      <c r="CL1208" s="178"/>
      <c r="CM1208" s="178"/>
      <c r="CN1208" s="178"/>
      <c r="CO1208" s="178"/>
      <c r="CP1208" s="178"/>
      <c r="CQ1208" s="178"/>
      <c r="CR1208" s="178"/>
      <c r="CS1208" s="178"/>
      <c r="CT1208" s="178"/>
      <c r="CU1208" s="178"/>
      <c r="CV1208" s="178"/>
      <c r="CW1208" s="178"/>
      <c r="CX1208" s="178"/>
      <c r="CY1208" s="178"/>
      <c r="CZ1208" s="178"/>
      <c r="DA1208" s="150"/>
    </row>
    <row r="1209" spans="53:105" x14ac:dyDescent="0.2">
      <c r="BA1209" s="518">
        <f t="shared" ca="1" si="67"/>
        <v>61</v>
      </c>
      <c r="BB1209" s="174">
        <f t="shared" ca="1" si="68"/>
        <v>1146</v>
      </c>
      <c r="BC1209" s="525" t="e">
        <f ca="1">MATCH(BD1209,OFFSET(Pinlist!$A$2,BC1208*(BA1209=BA1208),0,$BM$23,1),0)+BC1208*(BA1209=BA1208)</f>
        <v>#N/A</v>
      </c>
      <c r="BD1209" s="167">
        <f t="shared" ca="1" si="69"/>
        <v>0</v>
      </c>
      <c r="BE1209" s="191" t="e">
        <f ca="1">(OFFSET(Pinlist!$E$1,BC1209,0)-$BN$16)*$BN$19</f>
        <v>#N/A</v>
      </c>
      <c r="BF1209" s="192" t="e">
        <f ca="1">(OFFSET(Pinlist!$F$1,BC1209,0)-$BO$16)*$BO$19</f>
        <v>#N/A</v>
      </c>
      <c r="BG1209" s="1098" t="str">
        <f ca="1">IF(LEFT(BD1209,2)="RF",OFFSET(Pinlist!$D$1,Chart!BC1209,0)&amp;"_"&amp;OFFSET(Pinlist!$G$1,Chart!BC1209,0),"")</f>
        <v/>
      </c>
      <c r="BH1209" s="1098"/>
      <c r="BI1209" s="178"/>
      <c r="BJ1209" s="178"/>
      <c r="BK1209" s="178"/>
      <c r="BL1209" s="178"/>
      <c r="BM1209" s="178"/>
      <c r="BN1209" s="178"/>
      <c r="BO1209" s="178"/>
      <c r="BP1209" s="178"/>
      <c r="BQ1209" s="196"/>
      <c r="BR1209" s="196"/>
      <c r="BS1209" s="196"/>
      <c r="BT1209" s="196"/>
      <c r="BU1209" s="196"/>
      <c r="BV1209" s="196"/>
      <c r="BW1209" s="178"/>
      <c r="BX1209" s="196"/>
      <c r="BY1209" s="196"/>
      <c r="BZ1209" s="196"/>
      <c r="CA1209" s="196"/>
      <c r="CB1209" s="178"/>
      <c r="CC1209" s="178"/>
      <c r="CD1209" s="202"/>
      <c r="CE1209" s="202"/>
      <c r="CF1209" s="178"/>
      <c r="CG1209" s="196"/>
      <c r="CH1209" s="178"/>
      <c r="CI1209" s="178"/>
      <c r="CJ1209" s="178"/>
      <c r="CK1209" s="178"/>
      <c r="CL1209" s="178"/>
      <c r="CM1209" s="178"/>
      <c r="CN1209" s="178"/>
      <c r="CO1209" s="178"/>
      <c r="CP1209" s="178"/>
      <c r="CQ1209" s="178"/>
      <c r="CR1209" s="178"/>
      <c r="CS1209" s="178"/>
      <c r="CT1209" s="178"/>
      <c r="CU1209" s="178"/>
      <c r="CV1209" s="178"/>
      <c r="CW1209" s="178"/>
      <c r="CX1209" s="178"/>
      <c r="CY1209" s="178"/>
      <c r="CZ1209" s="178"/>
      <c r="DA1209" s="150"/>
    </row>
    <row r="1210" spans="53:105" x14ac:dyDescent="0.2">
      <c r="BA1210" s="518">
        <f t="shared" ca="1" si="67"/>
        <v>61</v>
      </c>
      <c r="BB1210" s="174">
        <f t="shared" ca="1" si="68"/>
        <v>1147</v>
      </c>
      <c r="BC1210" s="525" t="e">
        <f ca="1">MATCH(BD1210,OFFSET(Pinlist!$A$2,BC1209*(BA1210=BA1209),0,$BM$23,1),0)+BC1209*(BA1210=BA1209)</f>
        <v>#N/A</v>
      </c>
      <c r="BD1210" s="167">
        <f t="shared" ca="1" si="69"/>
        <v>0</v>
      </c>
      <c r="BE1210" s="191" t="e">
        <f ca="1">(OFFSET(Pinlist!$E$1,BC1210,0)-$BN$16)*$BN$19</f>
        <v>#N/A</v>
      </c>
      <c r="BF1210" s="192" t="e">
        <f ca="1">(OFFSET(Pinlist!$F$1,BC1210,0)-$BO$16)*$BO$19</f>
        <v>#N/A</v>
      </c>
      <c r="BG1210" s="1098" t="str">
        <f ca="1">IF(LEFT(BD1210,2)="RF",OFFSET(Pinlist!$D$1,Chart!BC1210,0)&amp;"_"&amp;OFFSET(Pinlist!$G$1,Chart!BC1210,0),"")</f>
        <v/>
      </c>
      <c r="BH1210" s="1098"/>
      <c r="BI1210" s="178"/>
      <c r="BJ1210" s="178"/>
      <c r="BK1210" s="178"/>
      <c r="BL1210" s="178"/>
      <c r="BM1210" s="178"/>
      <c r="BN1210" s="178"/>
      <c r="BO1210" s="178"/>
      <c r="BP1210" s="178"/>
      <c r="BQ1210" s="196"/>
      <c r="BR1210" s="196"/>
      <c r="BS1210" s="196"/>
      <c r="BT1210" s="196"/>
      <c r="BU1210" s="196"/>
      <c r="BV1210" s="196"/>
      <c r="BW1210" s="178"/>
      <c r="BX1210" s="196"/>
      <c r="BY1210" s="196"/>
      <c r="BZ1210" s="196"/>
      <c r="CA1210" s="196"/>
      <c r="CB1210" s="178"/>
      <c r="CC1210" s="178"/>
      <c r="CD1210" s="202"/>
      <c r="CE1210" s="202"/>
      <c r="CF1210" s="178"/>
      <c r="CG1210" s="196"/>
      <c r="CH1210" s="178"/>
      <c r="CI1210" s="178"/>
      <c r="CJ1210" s="178"/>
      <c r="CK1210" s="178"/>
      <c r="CL1210" s="178"/>
      <c r="CM1210" s="178"/>
      <c r="CN1210" s="178"/>
      <c r="CO1210" s="178"/>
      <c r="CP1210" s="178"/>
      <c r="CQ1210" s="178"/>
      <c r="CR1210" s="178"/>
      <c r="CS1210" s="178"/>
      <c r="CT1210" s="178"/>
      <c r="CU1210" s="178"/>
      <c r="CV1210" s="178"/>
      <c r="CW1210" s="178"/>
      <c r="CX1210" s="178"/>
      <c r="CY1210" s="178"/>
      <c r="CZ1210" s="178"/>
      <c r="DA1210" s="150"/>
    </row>
    <row r="1211" spans="53:105" x14ac:dyDescent="0.2">
      <c r="BA1211" s="518">
        <f t="shared" ca="1" si="67"/>
        <v>61</v>
      </c>
      <c r="BB1211" s="174">
        <f t="shared" ca="1" si="68"/>
        <v>1148</v>
      </c>
      <c r="BC1211" s="525" t="e">
        <f ca="1">MATCH(BD1211,OFFSET(Pinlist!$A$2,BC1210*(BA1211=BA1210),0,$BM$23,1),0)+BC1210*(BA1211=BA1210)</f>
        <v>#N/A</v>
      </c>
      <c r="BD1211" s="167">
        <f t="shared" ca="1" si="69"/>
        <v>0</v>
      </c>
      <c r="BE1211" s="191" t="e">
        <f ca="1">(OFFSET(Pinlist!$E$1,BC1211,0)-$BN$16)*$BN$19</f>
        <v>#N/A</v>
      </c>
      <c r="BF1211" s="192" t="e">
        <f ca="1">(OFFSET(Pinlist!$F$1,BC1211,0)-$BO$16)*$BO$19</f>
        <v>#N/A</v>
      </c>
      <c r="BG1211" s="1098" t="str">
        <f ca="1">IF(LEFT(BD1211,2)="RF",OFFSET(Pinlist!$D$1,Chart!BC1211,0)&amp;"_"&amp;OFFSET(Pinlist!$G$1,Chart!BC1211,0),"")</f>
        <v/>
      </c>
      <c r="BH1211" s="1098"/>
      <c r="BI1211" s="178"/>
      <c r="BJ1211" s="178"/>
      <c r="BK1211" s="178"/>
      <c r="BL1211" s="178"/>
      <c r="BM1211" s="178"/>
      <c r="BN1211" s="178"/>
      <c r="BO1211" s="178"/>
      <c r="BP1211" s="178"/>
      <c r="BQ1211" s="196"/>
      <c r="BR1211" s="196"/>
      <c r="BS1211" s="196"/>
      <c r="BT1211" s="196"/>
      <c r="BU1211" s="196"/>
      <c r="BV1211" s="196"/>
      <c r="BW1211" s="178"/>
      <c r="BX1211" s="196"/>
      <c r="BY1211" s="196"/>
      <c r="BZ1211" s="196"/>
      <c r="CA1211" s="196"/>
      <c r="CB1211" s="178"/>
      <c r="CC1211" s="178"/>
      <c r="CD1211" s="202"/>
      <c r="CE1211" s="202"/>
      <c r="CF1211" s="178"/>
      <c r="CG1211" s="196"/>
      <c r="CH1211" s="178"/>
      <c r="CI1211" s="178"/>
      <c r="CJ1211" s="178"/>
      <c r="CK1211" s="178"/>
      <c r="CL1211" s="178"/>
      <c r="CM1211" s="178"/>
      <c r="CN1211" s="178"/>
      <c r="CO1211" s="178"/>
      <c r="CP1211" s="178"/>
      <c r="CQ1211" s="178"/>
      <c r="CR1211" s="178"/>
      <c r="CS1211" s="178"/>
      <c r="CT1211" s="178"/>
      <c r="CU1211" s="178"/>
      <c r="CV1211" s="178"/>
      <c r="CW1211" s="178"/>
      <c r="CX1211" s="178"/>
      <c r="CY1211" s="178"/>
      <c r="CZ1211" s="178"/>
      <c r="DA1211" s="150"/>
    </row>
    <row r="1212" spans="53:105" x14ac:dyDescent="0.2">
      <c r="BA1212" s="518">
        <f t="shared" ca="1" si="67"/>
        <v>61</v>
      </c>
      <c r="BB1212" s="174">
        <f t="shared" ca="1" si="68"/>
        <v>1149</v>
      </c>
      <c r="BC1212" s="525" t="e">
        <f ca="1">MATCH(BD1212,OFFSET(Pinlist!$A$2,BC1211*(BA1212=BA1211),0,$BM$23,1),0)+BC1211*(BA1212=BA1211)</f>
        <v>#N/A</v>
      </c>
      <c r="BD1212" s="167">
        <f t="shared" ca="1" si="69"/>
        <v>0</v>
      </c>
      <c r="BE1212" s="191" t="e">
        <f ca="1">(OFFSET(Pinlist!$E$1,BC1212,0)-$BN$16)*$BN$19</f>
        <v>#N/A</v>
      </c>
      <c r="BF1212" s="192" t="e">
        <f ca="1">(OFFSET(Pinlist!$F$1,BC1212,0)-$BO$16)*$BO$19</f>
        <v>#N/A</v>
      </c>
      <c r="BG1212" s="1098" t="str">
        <f ca="1">IF(LEFT(BD1212,2)="RF",OFFSET(Pinlist!$D$1,Chart!BC1212,0)&amp;"_"&amp;OFFSET(Pinlist!$G$1,Chart!BC1212,0),"")</f>
        <v/>
      </c>
      <c r="BH1212" s="1098"/>
      <c r="BI1212" s="178"/>
      <c r="BJ1212" s="178"/>
      <c r="BK1212" s="178"/>
      <c r="BL1212" s="178"/>
      <c r="BM1212" s="178"/>
      <c r="BN1212" s="178"/>
      <c r="BO1212" s="178"/>
      <c r="BP1212" s="178"/>
      <c r="BQ1212" s="196"/>
      <c r="BR1212" s="196"/>
      <c r="BS1212" s="196"/>
      <c r="BT1212" s="196"/>
      <c r="BU1212" s="196"/>
      <c r="BV1212" s="196"/>
      <c r="BW1212" s="178"/>
      <c r="BX1212" s="196"/>
      <c r="BY1212" s="196"/>
      <c r="BZ1212" s="196"/>
      <c r="CA1212" s="196"/>
      <c r="CB1212" s="178"/>
      <c r="CC1212" s="178"/>
      <c r="CD1212" s="202"/>
      <c r="CE1212" s="202"/>
      <c r="CF1212" s="178"/>
      <c r="CG1212" s="196"/>
      <c r="CH1212" s="178"/>
      <c r="CI1212" s="178"/>
      <c r="CJ1212" s="178"/>
      <c r="CK1212" s="178"/>
      <c r="CL1212" s="178"/>
      <c r="CM1212" s="178"/>
      <c r="CN1212" s="178"/>
      <c r="CO1212" s="178"/>
      <c r="CP1212" s="178"/>
      <c r="CQ1212" s="178"/>
      <c r="CR1212" s="178"/>
      <c r="CS1212" s="178"/>
      <c r="CT1212" s="178"/>
      <c r="CU1212" s="178"/>
      <c r="CV1212" s="178"/>
      <c r="CW1212" s="178"/>
      <c r="CX1212" s="178"/>
      <c r="CY1212" s="178"/>
      <c r="CZ1212" s="178"/>
      <c r="DA1212" s="150"/>
    </row>
    <row r="1213" spans="53:105" x14ac:dyDescent="0.2">
      <c r="BA1213" s="518">
        <f t="shared" ca="1" si="67"/>
        <v>61</v>
      </c>
      <c r="BB1213" s="174">
        <f t="shared" ca="1" si="68"/>
        <v>1150</v>
      </c>
      <c r="BC1213" s="525" t="e">
        <f ca="1">MATCH(BD1213,OFFSET(Pinlist!$A$2,BC1212*(BA1213=BA1212),0,$BM$23,1),0)+BC1212*(BA1213=BA1212)</f>
        <v>#N/A</v>
      </c>
      <c r="BD1213" s="167">
        <f t="shared" ca="1" si="69"/>
        <v>0</v>
      </c>
      <c r="BE1213" s="191" t="e">
        <f ca="1">(OFFSET(Pinlist!$E$1,BC1213,0)-$BN$16)*$BN$19</f>
        <v>#N/A</v>
      </c>
      <c r="BF1213" s="192" t="e">
        <f ca="1">(OFFSET(Pinlist!$F$1,BC1213,0)-$BO$16)*$BO$19</f>
        <v>#N/A</v>
      </c>
      <c r="BG1213" s="1098" t="str">
        <f ca="1">IF(LEFT(BD1213,2)="RF",OFFSET(Pinlist!$D$1,Chart!BC1213,0)&amp;"_"&amp;OFFSET(Pinlist!$G$1,Chart!BC1213,0),"")</f>
        <v/>
      </c>
      <c r="BH1213" s="1098"/>
      <c r="BI1213" s="178"/>
      <c r="BJ1213" s="178"/>
      <c r="BK1213" s="178"/>
      <c r="BL1213" s="178"/>
      <c r="BM1213" s="178"/>
      <c r="BN1213" s="178"/>
      <c r="BO1213" s="178"/>
      <c r="BP1213" s="178"/>
      <c r="BQ1213" s="196"/>
      <c r="BR1213" s="196"/>
      <c r="BS1213" s="196"/>
      <c r="BT1213" s="196"/>
      <c r="BU1213" s="196"/>
      <c r="BV1213" s="196"/>
      <c r="BW1213" s="178"/>
      <c r="BX1213" s="196"/>
      <c r="BY1213" s="196"/>
      <c r="BZ1213" s="196"/>
      <c r="CA1213" s="196"/>
      <c r="CB1213" s="178"/>
      <c r="CC1213" s="178"/>
      <c r="CD1213" s="202"/>
      <c r="CE1213" s="202"/>
      <c r="CF1213" s="178"/>
      <c r="CG1213" s="196"/>
      <c r="CH1213" s="178"/>
      <c r="CI1213" s="178"/>
      <c r="CJ1213" s="178"/>
      <c r="CK1213" s="178"/>
      <c r="CL1213" s="178"/>
      <c r="CM1213" s="178"/>
      <c r="CN1213" s="178"/>
      <c r="CO1213" s="178"/>
      <c r="CP1213" s="178"/>
      <c r="CQ1213" s="178"/>
      <c r="CR1213" s="178"/>
      <c r="CS1213" s="178"/>
      <c r="CT1213" s="178"/>
      <c r="CU1213" s="178"/>
      <c r="CV1213" s="178"/>
      <c r="CW1213" s="178"/>
      <c r="CX1213" s="178"/>
      <c r="CY1213" s="178"/>
      <c r="CZ1213" s="178"/>
      <c r="DA1213" s="150"/>
    </row>
    <row r="1214" spans="53:105" x14ac:dyDescent="0.2">
      <c r="BA1214" s="518">
        <f t="shared" ca="1" si="67"/>
        <v>61</v>
      </c>
      <c r="BB1214" s="174">
        <f t="shared" ca="1" si="68"/>
        <v>1151</v>
      </c>
      <c r="BC1214" s="525" t="e">
        <f ca="1">MATCH(BD1214,OFFSET(Pinlist!$A$2,BC1213*(BA1214=BA1213),0,$BM$23,1),0)+BC1213*(BA1214=BA1213)</f>
        <v>#N/A</v>
      </c>
      <c r="BD1214" s="167">
        <f t="shared" ca="1" si="69"/>
        <v>0</v>
      </c>
      <c r="BE1214" s="191" t="e">
        <f ca="1">(OFFSET(Pinlist!$E$1,BC1214,0)-$BN$16)*$BN$19</f>
        <v>#N/A</v>
      </c>
      <c r="BF1214" s="192" t="e">
        <f ca="1">(OFFSET(Pinlist!$F$1,BC1214,0)-$BO$16)*$BO$19</f>
        <v>#N/A</v>
      </c>
      <c r="BG1214" s="1098" t="str">
        <f ca="1">IF(LEFT(BD1214,2)="RF",OFFSET(Pinlist!$D$1,Chart!BC1214,0)&amp;"_"&amp;OFFSET(Pinlist!$G$1,Chart!BC1214,0),"")</f>
        <v/>
      </c>
      <c r="BH1214" s="1098"/>
      <c r="BI1214" s="178"/>
      <c r="BJ1214" s="178"/>
      <c r="BK1214" s="178"/>
      <c r="BL1214" s="178"/>
      <c r="BM1214" s="178"/>
      <c r="BN1214" s="178"/>
      <c r="BO1214" s="178"/>
      <c r="BP1214" s="178"/>
      <c r="BQ1214" s="196"/>
      <c r="BR1214" s="196"/>
      <c r="BS1214" s="196"/>
      <c r="BT1214" s="196"/>
      <c r="BU1214" s="196"/>
      <c r="BV1214" s="196"/>
      <c r="BW1214" s="178"/>
      <c r="BX1214" s="196"/>
      <c r="BY1214" s="196"/>
      <c r="BZ1214" s="196"/>
      <c r="CA1214" s="196"/>
      <c r="CB1214" s="178"/>
      <c r="CC1214" s="178"/>
      <c r="CD1214" s="202"/>
      <c r="CE1214" s="202"/>
      <c r="CF1214" s="178"/>
      <c r="CG1214" s="196"/>
      <c r="CH1214" s="178"/>
      <c r="CI1214" s="178"/>
      <c r="CJ1214" s="178"/>
      <c r="CK1214" s="178"/>
      <c r="CL1214" s="178"/>
      <c r="CM1214" s="178"/>
      <c r="CN1214" s="178"/>
      <c r="CO1214" s="178"/>
      <c r="CP1214" s="178"/>
      <c r="CQ1214" s="178"/>
      <c r="CR1214" s="178"/>
      <c r="CS1214" s="178"/>
      <c r="CT1214" s="178"/>
      <c r="CU1214" s="178"/>
      <c r="CV1214" s="178"/>
      <c r="CW1214" s="178"/>
      <c r="CX1214" s="178"/>
      <c r="CY1214" s="178"/>
      <c r="CZ1214" s="178"/>
      <c r="DA1214" s="150"/>
    </row>
    <row r="1215" spans="53:105" x14ac:dyDescent="0.2">
      <c r="BA1215" s="518">
        <f t="shared" ca="1" si="67"/>
        <v>61</v>
      </c>
      <c r="BB1215" s="174">
        <f t="shared" ca="1" si="68"/>
        <v>1152</v>
      </c>
      <c r="BC1215" s="525" t="e">
        <f ca="1">MATCH(BD1215,OFFSET(Pinlist!$A$2,BC1214*(BA1215=BA1214),0,$BM$23,1),0)+BC1214*(BA1215=BA1214)</f>
        <v>#N/A</v>
      </c>
      <c r="BD1215" s="167">
        <f t="shared" ca="1" si="69"/>
        <v>0</v>
      </c>
      <c r="BE1215" s="191" t="e">
        <f ca="1">(OFFSET(Pinlist!$E$1,BC1215,0)-$BN$16)*$BN$19</f>
        <v>#N/A</v>
      </c>
      <c r="BF1215" s="192" t="e">
        <f ca="1">(OFFSET(Pinlist!$F$1,BC1215,0)-$BO$16)*$BO$19</f>
        <v>#N/A</v>
      </c>
      <c r="BG1215" s="1098" t="str">
        <f ca="1">IF(LEFT(BD1215,2)="RF",OFFSET(Pinlist!$D$1,Chart!BC1215,0)&amp;"_"&amp;OFFSET(Pinlist!$G$1,Chart!BC1215,0),"")</f>
        <v/>
      </c>
      <c r="BH1215" s="1098"/>
      <c r="BI1215" s="178"/>
      <c r="BJ1215" s="178"/>
      <c r="BK1215" s="178"/>
      <c r="BL1215" s="178"/>
      <c r="BM1215" s="178"/>
      <c r="BN1215" s="178"/>
      <c r="BO1215" s="178"/>
      <c r="BP1215" s="178"/>
      <c r="BQ1215" s="196"/>
      <c r="BR1215" s="196"/>
      <c r="BS1215" s="196"/>
      <c r="BT1215" s="196"/>
      <c r="BU1215" s="196"/>
      <c r="BV1215" s="196"/>
      <c r="BW1215" s="178"/>
      <c r="BX1215" s="196"/>
      <c r="BY1215" s="196"/>
      <c r="BZ1215" s="196"/>
      <c r="CA1215" s="196"/>
      <c r="CB1215" s="178"/>
      <c r="CC1215" s="178"/>
      <c r="CD1215" s="202"/>
      <c r="CE1215" s="202"/>
      <c r="CF1215" s="178"/>
      <c r="CG1215" s="196"/>
      <c r="CH1215" s="178"/>
      <c r="CI1215" s="178"/>
      <c r="CJ1215" s="178"/>
      <c r="CK1215" s="178"/>
      <c r="CL1215" s="178"/>
      <c r="CM1215" s="178"/>
      <c r="CN1215" s="178"/>
      <c r="CO1215" s="178"/>
      <c r="CP1215" s="178"/>
      <c r="CQ1215" s="178"/>
      <c r="CR1215" s="178"/>
      <c r="CS1215" s="178"/>
      <c r="CT1215" s="178"/>
      <c r="CU1215" s="178"/>
      <c r="CV1215" s="178"/>
      <c r="CW1215" s="178"/>
      <c r="CX1215" s="178"/>
      <c r="CY1215" s="178"/>
      <c r="CZ1215" s="178"/>
      <c r="DA1215" s="150"/>
    </row>
    <row r="1216" spans="53:105" x14ac:dyDescent="0.2">
      <c r="BA1216" s="518">
        <f t="shared" ca="1" si="67"/>
        <v>61</v>
      </c>
      <c r="BB1216" s="174">
        <f t="shared" ca="1" si="68"/>
        <v>1153</v>
      </c>
      <c r="BC1216" s="525" t="e">
        <f ca="1">MATCH(BD1216,OFFSET(Pinlist!$A$2,BC1215*(BA1216=BA1215),0,$BM$23,1),0)+BC1215*(BA1216=BA1215)</f>
        <v>#N/A</v>
      </c>
      <c r="BD1216" s="167">
        <f t="shared" ca="1" si="69"/>
        <v>0</v>
      </c>
      <c r="BE1216" s="191" t="e">
        <f ca="1">(OFFSET(Pinlist!$E$1,BC1216,0)-$BN$16)*$BN$19</f>
        <v>#N/A</v>
      </c>
      <c r="BF1216" s="192" t="e">
        <f ca="1">(OFFSET(Pinlist!$F$1,BC1216,0)-$BO$16)*$BO$19</f>
        <v>#N/A</v>
      </c>
      <c r="BG1216" s="1098" t="str">
        <f ca="1">IF(LEFT(BD1216,2)="RF",OFFSET(Pinlist!$D$1,Chart!BC1216,0)&amp;"_"&amp;OFFSET(Pinlist!$G$1,Chart!BC1216,0),"")</f>
        <v/>
      </c>
      <c r="BH1216" s="1098"/>
      <c r="BI1216" s="178"/>
      <c r="BJ1216" s="178"/>
      <c r="BK1216" s="178"/>
      <c r="BL1216" s="178"/>
      <c r="BM1216" s="178"/>
      <c r="BN1216" s="178"/>
      <c r="BO1216" s="178"/>
      <c r="BP1216" s="178"/>
      <c r="BQ1216" s="196"/>
      <c r="BR1216" s="196"/>
      <c r="BS1216" s="196"/>
      <c r="BT1216" s="196"/>
      <c r="BU1216" s="196"/>
      <c r="BV1216" s="196"/>
      <c r="BW1216" s="178"/>
      <c r="BX1216" s="196"/>
      <c r="BY1216" s="196"/>
      <c r="BZ1216" s="196"/>
      <c r="CA1216" s="196"/>
      <c r="CB1216" s="178"/>
      <c r="CC1216" s="178"/>
      <c r="CD1216" s="202"/>
      <c r="CE1216" s="202"/>
      <c r="CF1216" s="178"/>
      <c r="CG1216" s="196"/>
      <c r="CH1216" s="178"/>
      <c r="CI1216" s="178"/>
      <c r="CJ1216" s="178"/>
      <c r="CK1216" s="178"/>
      <c r="CL1216" s="178"/>
      <c r="CM1216" s="178"/>
      <c r="CN1216" s="178"/>
      <c r="CO1216" s="178"/>
      <c r="CP1216" s="178"/>
      <c r="CQ1216" s="178"/>
      <c r="CR1216" s="178"/>
      <c r="CS1216" s="178"/>
      <c r="CT1216" s="178"/>
      <c r="CU1216" s="178"/>
      <c r="CV1216" s="178"/>
      <c r="CW1216" s="178"/>
      <c r="CX1216" s="178"/>
      <c r="CY1216" s="178"/>
      <c r="CZ1216" s="178"/>
      <c r="DA1216" s="150"/>
    </row>
    <row r="1217" spans="53:105" x14ac:dyDescent="0.2">
      <c r="BA1217" s="518">
        <f t="shared" ca="1" si="67"/>
        <v>61</v>
      </c>
      <c r="BB1217" s="174">
        <f t="shared" ca="1" si="68"/>
        <v>1154</v>
      </c>
      <c r="BC1217" s="525" t="e">
        <f ca="1">MATCH(BD1217,OFFSET(Pinlist!$A$2,BC1216*(BA1217=BA1216),0,$BM$23,1),0)+BC1216*(BA1217=BA1216)</f>
        <v>#N/A</v>
      </c>
      <c r="BD1217" s="167">
        <f t="shared" ca="1" si="69"/>
        <v>0</v>
      </c>
      <c r="BE1217" s="191" t="e">
        <f ca="1">(OFFSET(Pinlist!$E$1,BC1217,0)-$BN$16)*$BN$19</f>
        <v>#N/A</v>
      </c>
      <c r="BF1217" s="192" t="e">
        <f ca="1">(OFFSET(Pinlist!$F$1,BC1217,0)-$BO$16)*$BO$19</f>
        <v>#N/A</v>
      </c>
      <c r="BG1217" s="1098" t="str">
        <f ca="1">IF(LEFT(BD1217,2)="RF",OFFSET(Pinlist!$D$1,Chart!BC1217,0)&amp;"_"&amp;OFFSET(Pinlist!$G$1,Chart!BC1217,0),"")</f>
        <v/>
      </c>
      <c r="BH1217" s="1098"/>
      <c r="BI1217" s="178"/>
      <c r="BJ1217" s="178"/>
      <c r="BK1217" s="178"/>
      <c r="BL1217" s="178"/>
      <c r="BM1217" s="178"/>
      <c r="BN1217" s="178"/>
      <c r="BO1217" s="178"/>
      <c r="BP1217" s="178"/>
      <c r="BQ1217" s="196"/>
      <c r="BR1217" s="196"/>
      <c r="BS1217" s="196"/>
      <c r="BT1217" s="196"/>
      <c r="BU1217" s="196"/>
      <c r="BV1217" s="196"/>
      <c r="BW1217" s="178"/>
      <c r="BX1217" s="196"/>
      <c r="BY1217" s="196"/>
      <c r="BZ1217" s="196"/>
      <c r="CA1217" s="196"/>
      <c r="CB1217" s="178"/>
      <c r="CC1217" s="178"/>
      <c r="CD1217" s="202"/>
      <c r="CE1217" s="202"/>
      <c r="CF1217" s="178"/>
      <c r="CG1217" s="196"/>
      <c r="CH1217" s="178"/>
      <c r="CI1217" s="178"/>
      <c r="CJ1217" s="178"/>
      <c r="CK1217" s="178"/>
      <c r="CL1217" s="178"/>
      <c r="CM1217" s="178"/>
      <c r="CN1217" s="178"/>
      <c r="CO1217" s="178"/>
      <c r="CP1217" s="178"/>
      <c r="CQ1217" s="178"/>
      <c r="CR1217" s="178"/>
      <c r="CS1217" s="178"/>
      <c r="CT1217" s="178"/>
      <c r="CU1217" s="178"/>
      <c r="CV1217" s="178"/>
      <c r="CW1217" s="178"/>
      <c r="CX1217" s="178"/>
      <c r="CY1217" s="178"/>
      <c r="CZ1217" s="178"/>
      <c r="DA1217" s="150"/>
    </row>
    <row r="1218" spans="53:105" x14ac:dyDescent="0.2">
      <c r="BA1218" s="518">
        <f t="shared" ca="1" si="67"/>
        <v>61</v>
      </c>
      <c r="BB1218" s="174">
        <f t="shared" ca="1" si="68"/>
        <v>1155</v>
      </c>
      <c r="BC1218" s="525" t="e">
        <f ca="1">MATCH(BD1218,OFFSET(Pinlist!$A$2,BC1217*(BA1218=BA1217),0,$BM$23,1),0)+BC1217*(BA1218=BA1217)</f>
        <v>#N/A</v>
      </c>
      <c r="BD1218" s="167">
        <f t="shared" ca="1" si="69"/>
        <v>0</v>
      </c>
      <c r="BE1218" s="191" t="e">
        <f ca="1">(OFFSET(Pinlist!$E$1,BC1218,0)-$BN$16)*$BN$19</f>
        <v>#N/A</v>
      </c>
      <c r="BF1218" s="192" t="e">
        <f ca="1">(OFFSET(Pinlist!$F$1,BC1218,0)-$BO$16)*$BO$19</f>
        <v>#N/A</v>
      </c>
      <c r="BG1218" s="1098" t="str">
        <f ca="1">IF(LEFT(BD1218,2)="RF",OFFSET(Pinlist!$D$1,Chart!BC1218,0)&amp;"_"&amp;OFFSET(Pinlist!$G$1,Chart!BC1218,0),"")</f>
        <v/>
      </c>
      <c r="BH1218" s="1098"/>
      <c r="BI1218" s="178"/>
      <c r="BJ1218" s="178"/>
      <c r="BK1218" s="178"/>
      <c r="BL1218" s="178"/>
      <c r="BM1218" s="178"/>
      <c r="BN1218" s="178"/>
      <c r="BO1218" s="178"/>
      <c r="BP1218" s="178"/>
      <c r="BQ1218" s="196"/>
      <c r="BR1218" s="196"/>
      <c r="BS1218" s="196"/>
      <c r="BT1218" s="196"/>
      <c r="BU1218" s="196"/>
      <c r="BV1218" s="196"/>
      <c r="BW1218" s="178"/>
      <c r="BX1218" s="196"/>
      <c r="BY1218" s="196"/>
      <c r="BZ1218" s="196"/>
      <c r="CA1218" s="196"/>
      <c r="CB1218" s="178"/>
      <c r="CC1218" s="178"/>
      <c r="CD1218" s="202"/>
      <c r="CE1218" s="202"/>
      <c r="CF1218" s="178"/>
      <c r="CG1218" s="196"/>
      <c r="CH1218" s="178"/>
      <c r="CI1218" s="178"/>
      <c r="CJ1218" s="178"/>
      <c r="CK1218" s="178"/>
      <c r="CL1218" s="178"/>
      <c r="CM1218" s="178"/>
      <c r="CN1218" s="178"/>
      <c r="CO1218" s="178"/>
      <c r="CP1218" s="178"/>
      <c r="CQ1218" s="178"/>
      <c r="CR1218" s="178"/>
      <c r="CS1218" s="178"/>
      <c r="CT1218" s="178"/>
      <c r="CU1218" s="178"/>
      <c r="CV1218" s="178"/>
      <c r="CW1218" s="178"/>
      <c r="CX1218" s="178"/>
      <c r="CY1218" s="178"/>
      <c r="CZ1218" s="178"/>
      <c r="DA1218" s="150"/>
    </row>
    <row r="1219" spans="53:105" x14ac:dyDescent="0.2">
      <c r="BA1219" s="518">
        <f t="shared" ca="1" si="67"/>
        <v>61</v>
      </c>
      <c r="BB1219" s="174">
        <f t="shared" ca="1" si="68"/>
        <v>1156</v>
      </c>
      <c r="BC1219" s="525" t="e">
        <f ca="1">MATCH(BD1219,OFFSET(Pinlist!$A$2,BC1218*(BA1219=BA1218),0,$BM$23,1),0)+BC1218*(BA1219=BA1218)</f>
        <v>#N/A</v>
      </c>
      <c r="BD1219" s="167">
        <f t="shared" ca="1" si="69"/>
        <v>0</v>
      </c>
      <c r="BE1219" s="191" t="e">
        <f ca="1">(OFFSET(Pinlist!$E$1,BC1219,0)-$BN$16)*$BN$19</f>
        <v>#N/A</v>
      </c>
      <c r="BF1219" s="192" t="e">
        <f ca="1">(OFFSET(Pinlist!$F$1,BC1219,0)-$BO$16)*$BO$19</f>
        <v>#N/A</v>
      </c>
      <c r="BG1219" s="1098" t="str">
        <f ca="1">IF(LEFT(BD1219,2)="RF",OFFSET(Pinlist!$D$1,Chart!BC1219,0)&amp;"_"&amp;OFFSET(Pinlist!$G$1,Chart!BC1219,0),"")</f>
        <v/>
      </c>
      <c r="BH1219" s="1098"/>
      <c r="BI1219" s="178"/>
      <c r="BJ1219" s="178"/>
      <c r="BK1219" s="178"/>
      <c r="BL1219" s="178"/>
      <c r="BM1219" s="178"/>
      <c r="BN1219" s="178"/>
      <c r="BO1219" s="178"/>
      <c r="BP1219" s="178"/>
      <c r="BQ1219" s="196"/>
      <c r="BR1219" s="196"/>
      <c r="BS1219" s="196"/>
      <c r="BT1219" s="196"/>
      <c r="BU1219" s="196"/>
      <c r="BV1219" s="196"/>
      <c r="BW1219" s="178"/>
      <c r="BX1219" s="196"/>
      <c r="BY1219" s="196"/>
      <c r="BZ1219" s="196"/>
      <c r="CA1219" s="196"/>
      <c r="CB1219" s="178"/>
      <c r="CC1219" s="178"/>
      <c r="CD1219" s="202"/>
      <c r="CE1219" s="202"/>
      <c r="CF1219" s="178"/>
      <c r="CG1219" s="196"/>
      <c r="CH1219" s="178"/>
      <c r="CI1219" s="178"/>
      <c r="CJ1219" s="178"/>
      <c r="CK1219" s="178"/>
      <c r="CL1219" s="178"/>
      <c r="CM1219" s="178"/>
      <c r="CN1219" s="178"/>
      <c r="CO1219" s="178"/>
      <c r="CP1219" s="178"/>
      <c r="CQ1219" s="178"/>
      <c r="CR1219" s="178"/>
      <c r="CS1219" s="178"/>
      <c r="CT1219" s="178"/>
      <c r="CU1219" s="178"/>
      <c r="CV1219" s="178"/>
      <c r="CW1219" s="178"/>
      <c r="CX1219" s="178"/>
      <c r="CY1219" s="178"/>
      <c r="CZ1219" s="178"/>
      <c r="DA1219" s="150"/>
    </row>
    <row r="1220" spans="53:105" x14ac:dyDescent="0.2">
      <c r="BA1220" s="518">
        <f t="shared" ref="BA1220:BA1283" ca="1" si="70">BA1219+(BB1219=OFFSET($BZ$3,BA1219,0))</f>
        <v>61</v>
      </c>
      <c r="BB1220" s="174">
        <f t="shared" ref="BB1220:BB1283" ca="1" si="71">IF(BA1220=BA1219,BB1219+1,1)</f>
        <v>1157</v>
      </c>
      <c r="BC1220" s="525" t="e">
        <f ca="1">MATCH(BD1220,OFFSET(Pinlist!$A$2,BC1219*(BA1220=BA1219),0,$BM$23,1),0)+BC1219*(BA1220=BA1219)</f>
        <v>#N/A</v>
      </c>
      <c r="BD1220" s="167">
        <f t="shared" ref="BD1220:BD1283" ca="1" si="72">OFFSET($BY$3,BA1220,0)</f>
        <v>0</v>
      </c>
      <c r="BE1220" s="191" t="e">
        <f ca="1">(OFFSET(Pinlist!$E$1,BC1220,0)-$BN$16)*$BN$19</f>
        <v>#N/A</v>
      </c>
      <c r="BF1220" s="192" t="e">
        <f ca="1">(OFFSET(Pinlist!$F$1,BC1220,0)-$BO$16)*$BO$19</f>
        <v>#N/A</v>
      </c>
      <c r="BG1220" s="1098" t="str">
        <f ca="1">IF(LEFT(BD1220,2)="RF",OFFSET(Pinlist!$D$1,Chart!BC1220,0)&amp;"_"&amp;OFFSET(Pinlist!$G$1,Chart!BC1220,0),"")</f>
        <v/>
      </c>
      <c r="BH1220" s="1098"/>
      <c r="BI1220" s="178"/>
      <c r="BJ1220" s="178"/>
      <c r="BK1220" s="178"/>
      <c r="BL1220" s="178"/>
      <c r="BM1220" s="178"/>
      <c r="BN1220" s="178"/>
      <c r="BO1220" s="178"/>
      <c r="BP1220" s="178"/>
      <c r="BQ1220" s="196"/>
      <c r="BR1220" s="196"/>
      <c r="BS1220" s="196"/>
      <c r="BT1220" s="196"/>
      <c r="BU1220" s="196"/>
      <c r="BV1220" s="196"/>
      <c r="BW1220" s="178"/>
      <c r="BX1220" s="196"/>
      <c r="BY1220" s="196"/>
      <c r="BZ1220" s="196"/>
      <c r="CA1220" s="196"/>
      <c r="CB1220" s="178"/>
      <c r="CC1220" s="178"/>
      <c r="CD1220" s="202"/>
      <c r="CE1220" s="202"/>
      <c r="CF1220" s="178"/>
      <c r="CG1220" s="196"/>
      <c r="CH1220" s="178"/>
      <c r="CI1220" s="178"/>
      <c r="CJ1220" s="178"/>
      <c r="CK1220" s="178"/>
      <c r="CL1220" s="178"/>
      <c r="CM1220" s="178"/>
      <c r="CN1220" s="178"/>
      <c r="CO1220" s="178"/>
      <c r="CP1220" s="178"/>
      <c r="CQ1220" s="178"/>
      <c r="CR1220" s="178"/>
      <c r="CS1220" s="178"/>
      <c r="CT1220" s="178"/>
      <c r="CU1220" s="178"/>
      <c r="CV1220" s="178"/>
      <c r="CW1220" s="178"/>
      <c r="CX1220" s="178"/>
      <c r="CY1220" s="178"/>
      <c r="CZ1220" s="178"/>
      <c r="DA1220" s="150"/>
    </row>
    <row r="1221" spans="53:105" x14ac:dyDescent="0.2">
      <c r="BA1221" s="518">
        <f t="shared" ca="1" si="70"/>
        <v>61</v>
      </c>
      <c r="BB1221" s="174">
        <f t="shared" ca="1" si="71"/>
        <v>1158</v>
      </c>
      <c r="BC1221" s="525" t="e">
        <f ca="1">MATCH(BD1221,OFFSET(Pinlist!$A$2,BC1220*(BA1221=BA1220),0,$BM$23,1),0)+BC1220*(BA1221=BA1220)</f>
        <v>#N/A</v>
      </c>
      <c r="BD1221" s="167">
        <f t="shared" ca="1" si="72"/>
        <v>0</v>
      </c>
      <c r="BE1221" s="191" t="e">
        <f ca="1">(OFFSET(Pinlist!$E$1,BC1221,0)-$BN$16)*$BN$19</f>
        <v>#N/A</v>
      </c>
      <c r="BF1221" s="192" t="e">
        <f ca="1">(OFFSET(Pinlist!$F$1,BC1221,0)-$BO$16)*$BO$19</f>
        <v>#N/A</v>
      </c>
      <c r="BG1221" s="1098" t="str">
        <f ca="1">IF(LEFT(BD1221,2)="RF",OFFSET(Pinlist!$D$1,Chart!BC1221,0)&amp;"_"&amp;OFFSET(Pinlist!$G$1,Chart!BC1221,0),"")</f>
        <v/>
      </c>
      <c r="BH1221" s="1098"/>
      <c r="BI1221" s="178"/>
      <c r="BJ1221" s="178"/>
      <c r="BK1221" s="178"/>
      <c r="BL1221" s="178"/>
      <c r="BM1221" s="178"/>
      <c r="BN1221" s="178"/>
      <c r="BO1221" s="178"/>
      <c r="BP1221" s="178"/>
      <c r="BQ1221" s="196"/>
      <c r="BR1221" s="196"/>
      <c r="BS1221" s="196"/>
      <c r="BT1221" s="196"/>
      <c r="BU1221" s="196"/>
      <c r="BV1221" s="196"/>
      <c r="BW1221" s="178"/>
      <c r="BX1221" s="196"/>
      <c r="BY1221" s="196"/>
      <c r="BZ1221" s="196"/>
      <c r="CA1221" s="196"/>
      <c r="CB1221" s="178"/>
      <c r="CC1221" s="178"/>
      <c r="CD1221" s="202"/>
      <c r="CE1221" s="202"/>
      <c r="CF1221" s="178"/>
      <c r="CG1221" s="196"/>
      <c r="CH1221" s="178"/>
      <c r="CI1221" s="178"/>
      <c r="CJ1221" s="178"/>
      <c r="CK1221" s="178"/>
      <c r="CL1221" s="178"/>
      <c r="CM1221" s="178"/>
      <c r="CN1221" s="178"/>
      <c r="CO1221" s="178"/>
      <c r="CP1221" s="178"/>
      <c r="CQ1221" s="178"/>
      <c r="CR1221" s="178"/>
      <c r="CS1221" s="178"/>
      <c r="CT1221" s="178"/>
      <c r="CU1221" s="178"/>
      <c r="CV1221" s="178"/>
      <c r="CW1221" s="178"/>
      <c r="CX1221" s="178"/>
      <c r="CY1221" s="178"/>
      <c r="CZ1221" s="178"/>
      <c r="DA1221" s="150"/>
    </row>
    <row r="1222" spans="53:105" x14ac:dyDescent="0.2">
      <c r="BA1222" s="518">
        <f t="shared" ca="1" si="70"/>
        <v>61</v>
      </c>
      <c r="BB1222" s="174">
        <f t="shared" ca="1" si="71"/>
        <v>1159</v>
      </c>
      <c r="BC1222" s="525" t="e">
        <f ca="1">MATCH(BD1222,OFFSET(Pinlist!$A$2,BC1221*(BA1222=BA1221),0,$BM$23,1),0)+BC1221*(BA1222=BA1221)</f>
        <v>#N/A</v>
      </c>
      <c r="BD1222" s="167">
        <f t="shared" ca="1" si="72"/>
        <v>0</v>
      </c>
      <c r="BE1222" s="191" t="e">
        <f ca="1">(OFFSET(Pinlist!$E$1,BC1222,0)-$BN$16)*$BN$19</f>
        <v>#N/A</v>
      </c>
      <c r="BF1222" s="192" t="e">
        <f ca="1">(OFFSET(Pinlist!$F$1,BC1222,0)-$BO$16)*$BO$19</f>
        <v>#N/A</v>
      </c>
      <c r="BG1222" s="1098" t="str">
        <f ca="1">IF(LEFT(BD1222,2)="RF",OFFSET(Pinlist!$D$1,Chart!BC1222,0)&amp;"_"&amp;OFFSET(Pinlist!$G$1,Chart!BC1222,0),"")</f>
        <v/>
      </c>
      <c r="BH1222" s="1098"/>
      <c r="BI1222" s="178"/>
      <c r="BJ1222" s="178"/>
      <c r="BK1222" s="178"/>
      <c r="BL1222" s="178"/>
      <c r="BM1222" s="178"/>
      <c r="BN1222" s="178"/>
      <c r="BO1222" s="178"/>
      <c r="BP1222" s="178"/>
      <c r="BQ1222" s="196"/>
      <c r="BR1222" s="196"/>
      <c r="BS1222" s="196"/>
      <c r="BT1222" s="196"/>
      <c r="BU1222" s="196"/>
      <c r="BV1222" s="196"/>
      <c r="BW1222" s="178"/>
      <c r="BX1222" s="196"/>
      <c r="BY1222" s="196"/>
      <c r="BZ1222" s="196"/>
      <c r="CA1222" s="196"/>
      <c r="CB1222" s="178"/>
      <c r="CC1222" s="178"/>
      <c r="CD1222" s="202"/>
      <c r="CE1222" s="202"/>
      <c r="CF1222" s="178"/>
      <c r="CG1222" s="196"/>
      <c r="CH1222" s="178"/>
      <c r="CI1222" s="178"/>
      <c r="CJ1222" s="178"/>
      <c r="CK1222" s="178"/>
      <c r="CL1222" s="178"/>
      <c r="CM1222" s="178"/>
      <c r="CN1222" s="178"/>
      <c r="CO1222" s="178"/>
      <c r="CP1222" s="178"/>
      <c r="CQ1222" s="178"/>
      <c r="CR1222" s="178"/>
      <c r="CS1222" s="178"/>
      <c r="CT1222" s="178"/>
      <c r="CU1222" s="178"/>
      <c r="CV1222" s="178"/>
      <c r="CW1222" s="178"/>
      <c r="CX1222" s="178"/>
      <c r="CY1222" s="178"/>
      <c r="CZ1222" s="178"/>
      <c r="DA1222" s="150"/>
    </row>
    <row r="1223" spans="53:105" x14ac:dyDescent="0.2">
      <c r="BA1223" s="518">
        <f t="shared" ca="1" si="70"/>
        <v>61</v>
      </c>
      <c r="BB1223" s="174">
        <f t="shared" ca="1" si="71"/>
        <v>1160</v>
      </c>
      <c r="BC1223" s="525" t="e">
        <f ca="1">MATCH(BD1223,OFFSET(Pinlist!$A$2,BC1222*(BA1223=BA1222),0,$BM$23,1),0)+BC1222*(BA1223=BA1222)</f>
        <v>#N/A</v>
      </c>
      <c r="BD1223" s="167">
        <f t="shared" ca="1" si="72"/>
        <v>0</v>
      </c>
      <c r="BE1223" s="191" t="e">
        <f ca="1">(OFFSET(Pinlist!$E$1,BC1223,0)-$BN$16)*$BN$19</f>
        <v>#N/A</v>
      </c>
      <c r="BF1223" s="192" t="e">
        <f ca="1">(OFFSET(Pinlist!$F$1,BC1223,0)-$BO$16)*$BO$19</f>
        <v>#N/A</v>
      </c>
      <c r="BG1223" s="1098" t="str">
        <f ca="1">IF(LEFT(BD1223,2)="RF",OFFSET(Pinlist!$D$1,Chart!BC1223,0)&amp;"_"&amp;OFFSET(Pinlist!$G$1,Chart!BC1223,0),"")</f>
        <v/>
      </c>
      <c r="BH1223" s="1098"/>
      <c r="BI1223" s="178"/>
      <c r="BJ1223" s="178"/>
      <c r="BK1223" s="178"/>
      <c r="BL1223" s="178"/>
      <c r="BM1223" s="178"/>
      <c r="BN1223" s="178"/>
      <c r="BO1223" s="178"/>
      <c r="BP1223" s="178"/>
      <c r="BQ1223" s="196"/>
      <c r="BR1223" s="196"/>
      <c r="BS1223" s="196"/>
      <c r="BT1223" s="196"/>
      <c r="BU1223" s="196"/>
      <c r="BV1223" s="196"/>
      <c r="BW1223" s="178"/>
      <c r="BX1223" s="196"/>
      <c r="BY1223" s="196"/>
      <c r="BZ1223" s="196"/>
      <c r="CA1223" s="196"/>
      <c r="CB1223" s="178"/>
      <c r="CC1223" s="178"/>
      <c r="CD1223" s="202"/>
      <c r="CE1223" s="202"/>
      <c r="CF1223" s="178"/>
      <c r="CG1223" s="196"/>
      <c r="CH1223" s="178"/>
      <c r="CI1223" s="178"/>
      <c r="CJ1223" s="178"/>
      <c r="CK1223" s="178"/>
      <c r="CL1223" s="178"/>
      <c r="CM1223" s="178"/>
      <c r="CN1223" s="178"/>
      <c r="CO1223" s="178"/>
      <c r="CP1223" s="178"/>
      <c r="CQ1223" s="178"/>
      <c r="CR1223" s="178"/>
      <c r="CS1223" s="178"/>
      <c r="CT1223" s="178"/>
      <c r="CU1223" s="178"/>
      <c r="CV1223" s="178"/>
      <c r="CW1223" s="178"/>
      <c r="CX1223" s="178"/>
      <c r="CY1223" s="178"/>
      <c r="CZ1223" s="178"/>
      <c r="DA1223" s="150"/>
    </row>
    <row r="1224" spans="53:105" x14ac:dyDescent="0.2">
      <c r="BA1224" s="518">
        <f t="shared" ca="1" si="70"/>
        <v>61</v>
      </c>
      <c r="BB1224" s="174">
        <f t="shared" ca="1" si="71"/>
        <v>1161</v>
      </c>
      <c r="BC1224" s="525" t="e">
        <f ca="1">MATCH(BD1224,OFFSET(Pinlist!$A$2,BC1223*(BA1224=BA1223),0,$BM$23,1),0)+BC1223*(BA1224=BA1223)</f>
        <v>#N/A</v>
      </c>
      <c r="BD1224" s="167">
        <f t="shared" ca="1" si="72"/>
        <v>0</v>
      </c>
      <c r="BE1224" s="191" t="e">
        <f ca="1">(OFFSET(Pinlist!$E$1,BC1224,0)-$BN$16)*$BN$19</f>
        <v>#N/A</v>
      </c>
      <c r="BF1224" s="192" t="e">
        <f ca="1">(OFFSET(Pinlist!$F$1,BC1224,0)-$BO$16)*$BO$19</f>
        <v>#N/A</v>
      </c>
      <c r="BG1224" s="1098" t="str">
        <f ca="1">IF(LEFT(BD1224,2)="RF",OFFSET(Pinlist!$D$1,Chart!BC1224,0)&amp;"_"&amp;OFFSET(Pinlist!$G$1,Chart!BC1224,0),"")</f>
        <v/>
      </c>
      <c r="BH1224" s="1098"/>
      <c r="BI1224" s="178"/>
      <c r="BJ1224" s="178"/>
      <c r="BK1224" s="178"/>
      <c r="BL1224" s="178"/>
      <c r="BM1224" s="178"/>
      <c r="BN1224" s="178"/>
      <c r="BO1224" s="178"/>
      <c r="BP1224" s="178"/>
      <c r="BQ1224" s="196"/>
      <c r="BR1224" s="196"/>
      <c r="BS1224" s="196"/>
      <c r="BT1224" s="196"/>
      <c r="BU1224" s="196"/>
      <c r="BV1224" s="196"/>
      <c r="BW1224" s="178"/>
      <c r="BX1224" s="196"/>
      <c r="BY1224" s="196"/>
      <c r="BZ1224" s="196"/>
      <c r="CA1224" s="196"/>
      <c r="CB1224" s="178"/>
      <c r="CC1224" s="178"/>
      <c r="CD1224" s="202"/>
      <c r="CE1224" s="202"/>
      <c r="CF1224" s="178"/>
      <c r="CG1224" s="196"/>
      <c r="CH1224" s="178"/>
      <c r="CI1224" s="178"/>
      <c r="CJ1224" s="178"/>
      <c r="CK1224" s="178"/>
      <c r="CL1224" s="178"/>
      <c r="CM1224" s="178"/>
      <c r="CN1224" s="178"/>
      <c r="CO1224" s="178"/>
      <c r="CP1224" s="178"/>
      <c r="CQ1224" s="178"/>
      <c r="CR1224" s="178"/>
      <c r="CS1224" s="178"/>
      <c r="CT1224" s="178"/>
      <c r="CU1224" s="178"/>
      <c r="CV1224" s="178"/>
      <c r="CW1224" s="178"/>
      <c r="CX1224" s="178"/>
      <c r="CY1224" s="178"/>
      <c r="CZ1224" s="178"/>
      <c r="DA1224" s="150"/>
    </row>
    <row r="1225" spans="53:105" x14ac:dyDescent="0.2">
      <c r="BA1225" s="518">
        <f t="shared" ca="1" si="70"/>
        <v>61</v>
      </c>
      <c r="BB1225" s="174">
        <f t="shared" ca="1" si="71"/>
        <v>1162</v>
      </c>
      <c r="BC1225" s="525" t="e">
        <f ca="1">MATCH(BD1225,OFFSET(Pinlist!$A$2,BC1224*(BA1225=BA1224),0,$BM$23,1),0)+BC1224*(BA1225=BA1224)</f>
        <v>#N/A</v>
      </c>
      <c r="BD1225" s="167">
        <f t="shared" ca="1" si="72"/>
        <v>0</v>
      </c>
      <c r="BE1225" s="191" t="e">
        <f ca="1">(OFFSET(Pinlist!$E$1,BC1225,0)-$BN$16)*$BN$19</f>
        <v>#N/A</v>
      </c>
      <c r="BF1225" s="192" t="e">
        <f ca="1">(OFFSET(Pinlist!$F$1,BC1225,0)-$BO$16)*$BO$19</f>
        <v>#N/A</v>
      </c>
      <c r="BG1225" s="1098" t="str">
        <f ca="1">IF(LEFT(BD1225,2)="RF",OFFSET(Pinlist!$D$1,Chart!BC1225,0)&amp;"_"&amp;OFFSET(Pinlist!$G$1,Chart!BC1225,0),"")</f>
        <v/>
      </c>
      <c r="BH1225" s="1098"/>
      <c r="BI1225" s="178"/>
      <c r="BJ1225" s="178"/>
      <c r="BK1225" s="178"/>
      <c r="BL1225" s="178"/>
      <c r="BM1225" s="178"/>
      <c r="BN1225" s="178"/>
      <c r="BO1225" s="178"/>
      <c r="BP1225" s="178"/>
      <c r="BQ1225" s="196"/>
      <c r="BR1225" s="196"/>
      <c r="BS1225" s="196"/>
      <c r="BT1225" s="196"/>
      <c r="BU1225" s="196"/>
      <c r="BV1225" s="196"/>
      <c r="BW1225" s="178"/>
      <c r="BX1225" s="196"/>
      <c r="BY1225" s="196"/>
      <c r="BZ1225" s="196"/>
      <c r="CA1225" s="196"/>
      <c r="CB1225" s="178"/>
      <c r="CC1225" s="178"/>
      <c r="CD1225" s="202"/>
      <c r="CE1225" s="202"/>
      <c r="CF1225" s="178"/>
      <c r="CG1225" s="196"/>
      <c r="CH1225" s="178"/>
      <c r="CI1225" s="178"/>
      <c r="CJ1225" s="178"/>
      <c r="CK1225" s="178"/>
      <c r="CL1225" s="178"/>
      <c r="CM1225" s="178"/>
      <c r="CN1225" s="178"/>
      <c r="CO1225" s="178"/>
      <c r="CP1225" s="178"/>
      <c r="CQ1225" s="178"/>
      <c r="CR1225" s="178"/>
      <c r="CS1225" s="178"/>
      <c r="CT1225" s="178"/>
      <c r="CU1225" s="178"/>
      <c r="CV1225" s="178"/>
      <c r="CW1225" s="178"/>
      <c r="CX1225" s="178"/>
      <c r="CY1225" s="178"/>
      <c r="CZ1225" s="178"/>
      <c r="DA1225" s="150"/>
    </row>
    <row r="1226" spans="53:105" x14ac:dyDescent="0.2">
      <c r="BA1226" s="518">
        <f t="shared" ca="1" si="70"/>
        <v>61</v>
      </c>
      <c r="BB1226" s="174">
        <f t="shared" ca="1" si="71"/>
        <v>1163</v>
      </c>
      <c r="BC1226" s="525" t="e">
        <f ca="1">MATCH(BD1226,OFFSET(Pinlist!$A$2,BC1225*(BA1226=BA1225),0,$BM$23,1),0)+BC1225*(BA1226=BA1225)</f>
        <v>#N/A</v>
      </c>
      <c r="BD1226" s="167">
        <f t="shared" ca="1" si="72"/>
        <v>0</v>
      </c>
      <c r="BE1226" s="191" t="e">
        <f ca="1">(OFFSET(Pinlist!$E$1,BC1226,0)-$BN$16)*$BN$19</f>
        <v>#N/A</v>
      </c>
      <c r="BF1226" s="192" t="e">
        <f ca="1">(OFFSET(Pinlist!$F$1,BC1226,0)-$BO$16)*$BO$19</f>
        <v>#N/A</v>
      </c>
      <c r="BG1226" s="1098" t="str">
        <f ca="1">IF(LEFT(BD1226,2)="RF",OFFSET(Pinlist!$D$1,Chart!BC1226,0)&amp;"_"&amp;OFFSET(Pinlist!$G$1,Chart!BC1226,0),"")</f>
        <v/>
      </c>
      <c r="BH1226" s="1098"/>
      <c r="BI1226" s="178"/>
      <c r="BJ1226" s="178"/>
      <c r="BK1226" s="178"/>
      <c r="BL1226" s="178"/>
      <c r="BM1226" s="178"/>
      <c r="BN1226" s="178"/>
      <c r="BO1226" s="178"/>
      <c r="BP1226" s="178"/>
      <c r="BQ1226" s="196"/>
      <c r="BR1226" s="196"/>
      <c r="BS1226" s="196"/>
      <c r="BT1226" s="196"/>
      <c r="BU1226" s="196"/>
      <c r="BV1226" s="196"/>
      <c r="BW1226" s="178"/>
      <c r="BX1226" s="196"/>
      <c r="BY1226" s="196"/>
      <c r="BZ1226" s="196"/>
      <c r="CA1226" s="196"/>
      <c r="CB1226" s="178"/>
      <c r="CC1226" s="178"/>
      <c r="CD1226" s="202"/>
      <c r="CE1226" s="202"/>
      <c r="CF1226" s="178"/>
      <c r="CG1226" s="196"/>
      <c r="CH1226" s="178"/>
      <c r="CI1226" s="178"/>
      <c r="CJ1226" s="178"/>
      <c r="CK1226" s="178"/>
      <c r="CL1226" s="178"/>
      <c r="CM1226" s="178"/>
      <c r="CN1226" s="178"/>
      <c r="CO1226" s="178"/>
      <c r="CP1226" s="178"/>
      <c r="CQ1226" s="178"/>
      <c r="CR1226" s="178"/>
      <c r="CS1226" s="178"/>
      <c r="CT1226" s="178"/>
      <c r="CU1226" s="178"/>
      <c r="CV1226" s="178"/>
      <c r="CW1226" s="178"/>
      <c r="CX1226" s="178"/>
      <c r="CY1226" s="178"/>
      <c r="CZ1226" s="178"/>
      <c r="DA1226" s="150"/>
    </row>
    <row r="1227" spans="53:105" x14ac:dyDescent="0.2">
      <c r="BA1227" s="518">
        <f t="shared" ca="1" si="70"/>
        <v>61</v>
      </c>
      <c r="BB1227" s="174">
        <f t="shared" ca="1" si="71"/>
        <v>1164</v>
      </c>
      <c r="BC1227" s="525" t="e">
        <f ca="1">MATCH(BD1227,OFFSET(Pinlist!$A$2,BC1226*(BA1227=BA1226),0,$BM$23,1),0)+BC1226*(BA1227=BA1226)</f>
        <v>#N/A</v>
      </c>
      <c r="BD1227" s="167">
        <f t="shared" ca="1" si="72"/>
        <v>0</v>
      </c>
      <c r="BE1227" s="191" t="e">
        <f ca="1">(OFFSET(Pinlist!$E$1,BC1227,0)-$BN$16)*$BN$19</f>
        <v>#N/A</v>
      </c>
      <c r="BF1227" s="192" t="e">
        <f ca="1">(OFFSET(Pinlist!$F$1,BC1227,0)-$BO$16)*$BO$19</f>
        <v>#N/A</v>
      </c>
      <c r="BG1227" s="1098" t="str">
        <f ca="1">IF(LEFT(BD1227,2)="RF",OFFSET(Pinlist!$D$1,Chart!BC1227,0)&amp;"_"&amp;OFFSET(Pinlist!$G$1,Chart!BC1227,0),"")</f>
        <v/>
      </c>
      <c r="BH1227" s="1098"/>
      <c r="BI1227" s="178"/>
      <c r="BJ1227" s="178"/>
      <c r="BK1227" s="178"/>
      <c r="BL1227" s="178"/>
      <c r="BM1227" s="178"/>
      <c r="BN1227" s="178"/>
      <c r="BO1227" s="178"/>
      <c r="BP1227" s="178"/>
      <c r="BQ1227" s="196"/>
      <c r="BR1227" s="196"/>
      <c r="BS1227" s="196"/>
      <c r="BT1227" s="196"/>
      <c r="BU1227" s="196"/>
      <c r="BV1227" s="196"/>
      <c r="BW1227" s="178"/>
      <c r="BX1227" s="196"/>
      <c r="BY1227" s="196"/>
      <c r="BZ1227" s="196"/>
      <c r="CA1227" s="196"/>
      <c r="CB1227" s="178"/>
      <c r="CC1227" s="178"/>
      <c r="CD1227" s="202"/>
      <c r="CE1227" s="202"/>
      <c r="CF1227" s="178"/>
      <c r="CG1227" s="196"/>
      <c r="CH1227" s="178"/>
      <c r="CI1227" s="178"/>
      <c r="CJ1227" s="178"/>
      <c r="CK1227" s="178"/>
      <c r="CL1227" s="178"/>
      <c r="CM1227" s="178"/>
      <c r="CN1227" s="178"/>
      <c r="CO1227" s="178"/>
      <c r="CP1227" s="178"/>
      <c r="CQ1227" s="178"/>
      <c r="CR1227" s="178"/>
      <c r="CS1227" s="178"/>
      <c r="CT1227" s="178"/>
      <c r="CU1227" s="178"/>
      <c r="CV1227" s="178"/>
      <c r="CW1227" s="178"/>
      <c r="CX1227" s="178"/>
      <c r="CY1227" s="178"/>
      <c r="CZ1227" s="178"/>
      <c r="DA1227" s="150"/>
    </row>
    <row r="1228" spans="53:105" x14ac:dyDescent="0.2">
      <c r="BA1228" s="518">
        <f t="shared" ca="1" si="70"/>
        <v>61</v>
      </c>
      <c r="BB1228" s="174">
        <f t="shared" ca="1" si="71"/>
        <v>1165</v>
      </c>
      <c r="BC1228" s="525" t="e">
        <f ca="1">MATCH(BD1228,OFFSET(Pinlist!$A$2,BC1227*(BA1228=BA1227),0,$BM$23,1),0)+BC1227*(BA1228=BA1227)</f>
        <v>#N/A</v>
      </c>
      <c r="BD1228" s="167">
        <f t="shared" ca="1" si="72"/>
        <v>0</v>
      </c>
      <c r="BE1228" s="191" t="e">
        <f ca="1">(OFFSET(Pinlist!$E$1,BC1228,0)-$BN$16)*$BN$19</f>
        <v>#N/A</v>
      </c>
      <c r="BF1228" s="192" t="e">
        <f ca="1">(OFFSET(Pinlist!$F$1,BC1228,0)-$BO$16)*$BO$19</f>
        <v>#N/A</v>
      </c>
      <c r="BG1228" s="1098" t="str">
        <f ca="1">IF(LEFT(BD1228,2)="RF",OFFSET(Pinlist!$D$1,Chart!BC1228,0)&amp;"_"&amp;OFFSET(Pinlist!$G$1,Chart!BC1228,0),"")</f>
        <v/>
      </c>
      <c r="BH1228" s="1098"/>
      <c r="BI1228" s="178"/>
      <c r="BJ1228" s="178"/>
      <c r="BK1228" s="178"/>
      <c r="BL1228" s="178"/>
      <c r="BM1228" s="178"/>
      <c r="BN1228" s="178"/>
      <c r="BO1228" s="178"/>
      <c r="BP1228" s="178"/>
      <c r="BQ1228" s="196"/>
      <c r="BR1228" s="196"/>
      <c r="BS1228" s="196"/>
      <c r="BT1228" s="196"/>
      <c r="BU1228" s="196"/>
      <c r="BV1228" s="196"/>
      <c r="BW1228" s="178"/>
      <c r="BX1228" s="196"/>
      <c r="BY1228" s="196"/>
      <c r="BZ1228" s="196"/>
      <c r="CA1228" s="196"/>
      <c r="CB1228" s="178"/>
      <c r="CC1228" s="178"/>
      <c r="CD1228" s="202"/>
      <c r="CE1228" s="202"/>
      <c r="CF1228" s="178"/>
      <c r="CG1228" s="196"/>
      <c r="CH1228" s="178"/>
      <c r="CI1228" s="178"/>
      <c r="CJ1228" s="178"/>
      <c r="CK1228" s="178"/>
      <c r="CL1228" s="178"/>
      <c r="CM1228" s="178"/>
      <c r="CN1228" s="178"/>
      <c r="CO1228" s="178"/>
      <c r="CP1228" s="178"/>
      <c r="CQ1228" s="178"/>
      <c r="CR1228" s="178"/>
      <c r="CS1228" s="178"/>
      <c r="CT1228" s="178"/>
      <c r="CU1228" s="178"/>
      <c r="CV1228" s="178"/>
      <c r="CW1228" s="178"/>
      <c r="CX1228" s="178"/>
      <c r="CY1228" s="178"/>
      <c r="CZ1228" s="178"/>
      <c r="DA1228" s="150"/>
    </row>
    <row r="1229" spans="53:105" x14ac:dyDescent="0.2">
      <c r="BA1229" s="518">
        <f t="shared" ca="1" si="70"/>
        <v>61</v>
      </c>
      <c r="BB1229" s="174">
        <f t="shared" ca="1" si="71"/>
        <v>1166</v>
      </c>
      <c r="BC1229" s="525" t="e">
        <f ca="1">MATCH(BD1229,OFFSET(Pinlist!$A$2,BC1228*(BA1229=BA1228),0,$BM$23,1),0)+BC1228*(BA1229=BA1228)</f>
        <v>#N/A</v>
      </c>
      <c r="BD1229" s="167">
        <f t="shared" ca="1" si="72"/>
        <v>0</v>
      </c>
      <c r="BE1229" s="191" t="e">
        <f ca="1">(OFFSET(Pinlist!$E$1,BC1229,0)-$BN$16)*$BN$19</f>
        <v>#N/A</v>
      </c>
      <c r="BF1229" s="192" t="e">
        <f ca="1">(OFFSET(Pinlist!$F$1,BC1229,0)-$BO$16)*$BO$19</f>
        <v>#N/A</v>
      </c>
      <c r="BG1229" s="1098" t="str">
        <f ca="1">IF(LEFT(BD1229,2)="RF",OFFSET(Pinlist!$D$1,Chart!BC1229,0)&amp;"_"&amp;OFFSET(Pinlist!$G$1,Chart!BC1229,0),"")</f>
        <v/>
      </c>
      <c r="BH1229" s="1098"/>
      <c r="BI1229" s="178"/>
      <c r="BJ1229" s="178"/>
      <c r="BK1229" s="178"/>
      <c r="BL1229" s="178"/>
      <c r="BM1229" s="178"/>
      <c r="BN1229" s="178"/>
      <c r="BO1229" s="178"/>
      <c r="BP1229" s="178"/>
      <c r="BQ1229" s="196"/>
      <c r="BR1229" s="196"/>
      <c r="BS1229" s="196"/>
      <c r="BT1229" s="196"/>
      <c r="BU1229" s="196"/>
      <c r="BV1229" s="196"/>
      <c r="BW1229" s="178"/>
      <c r="BX1229" s="196"/>
      <c r="BY1229" s="196"/>
      <c r="BZ1229" s="196"/>
      <c r="CA1229" s="196"/>
      <c r="CB1229" s="178"/>
      <c r="CC1229" s="178"/>
      <c r="CD1229" s="202"/>
      <c r="CE1229" s="202"/>
      <c r="CF1229" s="178"/>
      <c r="CG1229" s="196"/>
      <c r="CH1229" s="178"/>
      <c r="CI1229" s="178"/>
      <c r="CJ1229" s="178"/>
      <c r="CK1229" s="178"/>
      <c r="CL1229" s="178"/>
      <c r="CM1229" s="178"/>
      <c r="CN1229" s="178"/>
      <c r="CO1229" s="178"/>
      <c r="CP1229" s="178"/>
      <c r="CQ1229" s="178"/>
      <c r="CR1229" s="178"/>
      <c r="CS1229" s="178"/>
      <c r="CT1229" s="178"/>
      <c r="CU1229" s="178"/>
      <c r="CV1229" s="178"/>
      <c r="CW1229" s="178"/>
      <c r="CX1229" s="178"/>
      <c r="CY1229" s="178"/>
      <c r="CZ1229" s="178"/>
      <c r="DA1229" s="150"/>
    </row>
    <row r="1230" spans="53:105" x14ac:dyDescent="0.2">
      <c r="BA1230" s="518">
        <f t="shared" ca="1" si="70"/>
        <v>61</v>
      </c>
      <c r="BB1230" s="174">
        <f t="shared" ca="1" si="71"/>
        <v>1167</v>
      </c>
      <c r="BC1230" s="525" t="e">
        <f ca="1">MATCH(BD1230,OFFSET(Pinlist!$A$2,BC1229*(BA1230=BA1229),0,$BM$23,1),0)+BC1229*(BA1230=BA1229)</f>
        <v>#N/A</v>
      </c>
      <c r="BD1230" s="167">
        <f t="shared" ca="1" si="72"/>
        <v>0</v>
      </c>
      <c r="BE1230" s="191" t="e">
        <f ca="1">(OFFSET(Pinlist!$E$1,BC1230,0)-$BN$16)*$BN$19</f>
        <v>#N/A</v>
      </c>
      <c r="BF1230" s="192" t="e">
        <f ca="1">(OFFSET(Pinlist!$F$1,BC1230,0)-$BO$16)*$BO$19</f>
        <v>#N/A</v>
      </c>
      <c r="BG1230" s="1098" t="str">
        <f ca="1">IF(LEFT(BD1230,2)="RF",OFFSET(Pinlist!$D$1,Chart!BC1230,0)&amp;"_"&amp;OFFSET(Pinlist!$G$1,Chart!BC1230,0),"")</f>
        <v/>
      </c>
      <c r="BH1230" s="1098"/>
      <c r="BI1230" s="178"/>
      <c r="BJ1230" s="178"/>
      <c r="BK1230" s="178"/>
      <c r="BL1230" s="178"/>
      <c r="BM1230" s="178"/>
      <c r="BN1230" s="178"/>
      <c r="BO1230" s="178"/>
      <c r="BP1230" s="178"/>
      <c r="BQ1230" s="196"/>
      <c r="BR1230" s="196"/>
      <c r="BS1230" s="196"/>
      <c r="BT1230" s="196"/>
      <c r="BU1230" s="196"/>
      <c r="BV1230" s="196"/>
      <c r="BW1230" s="178"/>
      <c r="BX1230" s="196"/>
      <c r="BY1230" s="196"/>
      <c r="BZ1230" s="196"/>
      <c r="CA1230" s="196"/>
      <c r="CB1230" s="178"/>
      <c r="CC1230" s="178"/>
      <c r="CD1230" s="202"/>
      <c r="CE1230" s="202"/>
      <c r="CF1230" s="178"/>
      <c r="CG1230" s="196"/>
      <c r="CH1230" s="178"/>
      <c r="CI1230" s="178"/>
      <c r="CJ1230" s="178"/>
      <c r="CK1230" s="178"/>
      <c r="CL1230" s="178"/>
      <c r="CM1230" s="178"/>
      <c r="CN1230" s="178"/>
      <c r="CO1230" s="178"/>
      <c r="CP1230" s="178"/>
      <c r="CQ1230" s="178"/>
      <c r="CR1230" s="178"/>
      <c r="CS1230" s="178"/>
      <c r="CT1230" s="178"/>
      <c r="CU1230" s="178"/>
      <c r="CV1230" s="178"/>
      <c r="CW1230" s="178"/>
      <c r="CX1230" s="178"/>
      <c r="CY1230" s="178"/>
      <c r="CZ1230" s="178"/>
      <c r="DA1230" s="150"/>
    </row>
    <row r="1231" spans="53:105" x14ac:dyDescent="0.2">
      <c r="BA1231" s="518">
        <f t="shared" ca="1" si="70"/>
        <v>61</v>
      </c>
      <c r="BB1231" s="174">
        <f t="shared" ca="1" si="71"/>
        <v>1168</v>
      </c>
      <c r="BC1231" s="525" t="e">
        <f ca="1">MATCH(BD1231,OFFSET(Pinlist!$A$2,BC1230*(BA1231=BA1230),0,$BM$23,1),0)+BC1230*(BA1231=BA1230)</f>
        <v>#N/A</v>
      </c>
      <c r="BD1231" s="167">
        <f t="shared" ca="1" si="72"/>
        <v>0</v>
      </c>
      <c r="BE1231" s="191" t="e">
        <f ca="1">(OFFSET(Pinlist!$E$1,BC1231,0)-$BN$16)*$BN$19</f>
        <v>#N/A</v>
      </c>
      <c r="BF1231" s="192" t="e">
        <f ca="1">(OFFSET(Pinlist!$F$1,BC1231,0)-$BO$16)*$BO$19</f>
        <v>#N/A</v>
      </c>
      <c r="BG1231" s="1098" t="str">
        <f ca="1">IF(LEFT(BD1231,2)="RF",OFFSET(Pinlist!$D$1,Chart!BC1231,0)&amp;"_"&amp;OFFSET(Pinlist!$G$1,Chart!BC1231,0),"")</f>
        <v/>
      </c>
      <c r="BH1231" s="1098"/>
      <c r="BI1231" s="178"/>
      <c r="BJ1231" s="178"/>
      <c r="BK1231" s="178"/>
      <c r="BL1231" s="178"/>
      <c r="BM1231" s="178"/>
      <c r="BN1231" s="178"/>
      <c r="BO1231" s="178"/>
      <c r="BP1231" s="178"/>
      <c r="BQ1231" s="196"/>
      <c r="BR1231" s="196"/>
      <c r="BS1231" s="196"/>
      <c r="BT1231" s="196"/>
      <c r="BU1231" s="196"/>
      <c r="BV1231" s="196"/>
      <c r="BW1231" s="178"/>
      <c r="BX1231" s="196"/>
      <c r="BY1231" s="196"/>
      <c r="BZ1231" s="196"/>
      <c r="CA1231" s="196"/>
      <c r="CB1231" s="178"/>
      <c r="CC1231" s="178"/>
      <c r="CD1231" s="202"/>
      <c r="CE1231" s="202"/>
      <c r="CF1231" s="178"/>
      <c r="CG1231" s="196"/>
      <c r="CH1231" s="178"/>
      <c r="CI1231" s="178"/>
      <c r="CJ1231" s="178"/>
      <c r="CK1231" s="178"/>
      <c r="CL1231" s="178"/>
      <c r="CM1231" s="178"/>
      <c r="CN1231" s="178"/>
      <c r="CO1231" s="178"/>
      <c r="CP1231" s="178"/>
      <c r="CQ1231" s="178"/>
      <c r="CR1231" s="178"/>
      <c r="CS1231" s="178"/>
      <c r="CT1231" s="178"/>
      <c r="CU1231" s="178"/>
      <c r="CV1231" s="178"/>
      <c r="CW1231" s="178"/>
      <c r="CX1231" s="178"/>
      <c r="CY1231" s="178"/>
      <c r="CZ1231" s="178"/>
      <c r="DA1231" s="150"/>
    </row>
    <row r="1232" spans="53:105" x14ac:dyDescent="0.2">
      <c r="BA1232" s="518">
        <f t="shared" ca="1" si="70"/>
        <v>61</v>
      </c>
      <c r="BB1232" s="174">
        <f t="shared" ca="1" si="71"/>
        <v>1169</v>
      </c>
      <c r="BC1232" s="525" t="e">
        <f ca="1">MATCH(BD1232,OFFSET(Pinlist!$A$2,BC1231*(BA1232=BA1231),0,$BM$23,1),0)+BC1231*(BA1232=BA1231)</f>
        <v>#N/A</v>
      </c>
      <c r="BD1232" s="167">
        <f t="shared" ca="1" si="72"/>
        <v>0</v>
      </c>
      <c r="BE1232" s="191" t="e">
        <f ca="1">(OFFSET(Pinlist!$E$1,BC1232,0)-$BN$16)*$BN$19</f>
        <v>#N/A</v>
      </c>
      <c r="BF1232" s="192" t="e">
        <f ca="1">(OFFSET(Pinlist!$F$1,BC1232,0)-$BO$16)*$BO$19</f>
        <v>#N/A</v>
      </c>
      <c r="BG1232" s="1098" t="str">
        <f ca="1">IF(LEFT(BD1232,2)="RF",OFFSET(Pinlist!$D$1,Chart!BC1232,0)&amp;"_"&amp;OFFSET(Pinlist!$G$1,Chart!BC1232,0),"")</f>
        <v/>
      </c>
      <c r="BH1232" s="1098"/>
      <c r="BI1232" s="178"/>
      <c r="BJ1232" s="178"/>
      <c r="BK1232" s="178"/>
      <c r="BL1232" s="178"/>
      <c r="BM1232" s="178"/>
      <c r="BN1232" s="178"/>
      <c r="BO1232" s="178"/>
      <c r="BP1232" s="178"/>
      <c r="BQ1232" s="196"/>
      <c r="BR1232" s="196"/>
      <c r="BS1232" s="196"/>
      <c r="BT1232" s="196"/>
      <c r="BU1232" s="196"/>
      <c r="BV1232" s="196"/>
      <c r="BW1232" s="178"/>
      <c r="BX1232" s="196"/>
      <c r="BY1232" s="196"/>
      <c r="BZ1232" s="196"/>
      <c r="CA1232" s="196"/>
      <c r="CB1232" s="178"/>
      <c r="CC1232" s="178"/>
      <c r="CD1232" s="202"/>
      <c r="CE1232" s="202"/>
      <c r="CF1232" s="178"/>
      <c r="CG1232" s="196"/>
      <c r="CH1232" s="178"/>
      <c r="CI1232" s="178"/>
      <c r="CJ1232" s="178"/>
      <c r="CK1232" s="178"/>
      <c r="CL1232" s="178"/>
      <c r="CM1232" s="178"/>
      <c r="CN1232" s="178"/>
      <c r="CO1232" s="178"/>
      <c r="CP1232" s="178"/>
      <c r="CQ1232" s="178"/>
      <c r="CR1232" s="178"/>
      <c r="CS1232" s="178"/>
      <c r="CT1232" s="178"/>
      <c r="CU1232" s="178"/>
      <c r="CV1232" s="178"/>
      <c r="CW1232" s="178"/>
      <c r="CX1232" s="178"/>
      <c r="CY1232" s="178"/>
      <c r="CZ1232" s="178"/>
      <c r="DA1232" s="150"/>
    </row>
    <row r="1233" spans="53:105" x14ac:dyDescent="0.2">
      <c r="BA1233" s="518">
        <f t="shared" ca="1" si="70"/>
        <v>61</v>
      </c>
      <c r="BB1233" s="174">
        <f t="shared" ca="1" si="71"/>
        <v>1170</v>
      </c>
      <c r="BC1233" s="525" t="e">
        <f ca="1">MATCH(BD1233,OFFSET(Pinlist!$A$2,BC1232*(BA1233=BA1232),0,$BM$23,1),0)+BC1232*(BA1233=BA1232)</f>
        <v>#N/A</v>
      </c>
      <c r="BD1233" s="167">
        <f t="shared" ca="1" si="72"/>
        <v>0</v>
      </c>
      <c r="BE1233" s="191" t="e">
        <f ca="1">(OFFSET(Pinlist!$E$1,BC1233,0)-$BN$16)*$BN$19</f>
        <v>#N/A</v>
      </c>
      <c r="BF1233" s="192" t="e">
        <f ca="1">(OFFSET(Pinlist!$F$1,BC1233,0)-$BO$16)*$BO$19</f>
        <v>#N/A</v>
      </c>
      <c r="BG1233" s="1098" t="str">
        <f ca="1">IF(LEFT(BD1233,2)="RF",OFFSET(Pinlist!$D$1,Chart!BC1233,0)&amp;"_"&amp;OFFSET(Pinlist!$G$1,Chart!BC1233,0),"")</f>
        <v/>
      </c>
      <c r="BH1233" s="1098"/>
      <c r="BI1233" s="178"/>
      <c r="BJ1233" s="178"/>
      <c r="BK1233" s="178"/>
      <c r="BL1233" s="178"/>
      <c r="BM1233" s="178"/>
      <c r="BN1233" s="178"/>
      <c r="BO1233" s="178"/>
      <c r="BP1233" s="178"/>
      <c r="BQ1233" s="196"/>
      <c r="BR1233" s="196"/>
      <c r="BS1233" s="196"/>
      <c r="BT1233" s="196"/>
      <c r="BU1233" s="196"/>
      <c r="BV1233" s="196"/>
      <c r="BW1233" s="178"/>
      <c r="BX1233" s="196"/>
      <c r="BY1233" s="196"/>
      <c r="BZ1233" s="196"/>
      <c r="CA1233" s="196"/>
      <c r="CB1233" s="178"/>
      <c r="CC1233" s="178"/>
      <c r="CD1233" s="202"/>
      <c r="CE1233" s="202"/>
      <c r="CF1233" s="178"/>
      <c r="CG1233" s="196"/>
      <c r="CH1233" s="178"/>
      <c r="CI1233" s="178"/>
      <c r="CJ1233" s="178"/>
      <c r="CK1233" s="178"/>
      <c r="CL1233" s="178"/>
      <c r="CM1233" s="178"/>
      <c r="CN1233" s="178"/>
      <c r="CO1233" s="178"/>
      <c r="CP1233" s="178"/>
      <c r="CQ1233" s="178"/>
      <c r="CR1233" s="178"/>
      <c r="CS1233" s="178"/>
      <c r="CT1233" s="178"/>
      <c r="CU1233" s="178"/>
      <c r="CV1233" s="178"/>
      <c r="CW1233" s="178"/>
      <c r="CX1233" s="178"/>
      <c r="CY1233" s="178"/>
      <c r="CZ1233" s="178"/>
      <c r="DA1233" s="150"/>
    </row>
    <row r="1234" spans="53:105" x14ac:dyDescent="0.2">
      <c r="BA1234" s="518">
        <f t="shared" ca="1" si="70"/>
        <v>61</v>
      </c>
      <c r="BB1234" s="174">
        <f t="shared" ca="1" si="71"/>
        <v>1171</v>
      </c>
      <c r="BC1234" s="525" t="e">
        <f ca="1">MATCH(BD1234,OFFSET(Pinlist!$A$2,BC1233*(BA1234=BA1233),0,$BM$23,1),0)+BC1233*(BA1234=BA1233)</f>
        <v>#N/A</v>
      </c>
      <c r="BD1234" s="167">
        <f t="shared" ca="1" si="72"/>
        <v>0</v>
      </c>
      <c r="BE1234" s="191" t="e">
        <f ca="1">(OFFSET(Pinlist!$E$1,BC1234,0)-$BN$16)*$BN$19</f>
        <v>#N/A</v>
      </c>
      <c r="BF1234" s="192" t="e">
        <f ca="1">(OFFSET(Pinlist!$F$1,BC1234,0)-$BO$16)*$BO$19</f>
        <v>#N/A</v>
      </c>
      <c r="BG1234" s="1098" t="str">
        <f ca="1">IF(LEFT(BD1234,2)="RF",OFFSET(Pinlist!$D$1,Chart!BC1234,0)&amp;"_"&amp;OFFSET(Pinlist!$G$1,Chart!BC1234,0),"")</f>
        <v/>
      </c>
      <c r="BH1234" s="1098"/>
      <c r="BI1234" s="178"/>
      <c r="BJ1234" s="178"/>
      <c r="BK1234" s="178"/>
      <c r="BL1234" s="178"/>
      <c r="BM1234" s="178"/>
      <c r="BN1234" s="178"/>
      <c r="BO1234" s="178"/>
      <c r="BP1234" s="178"/>
      <c r="BQ1234" s="196"/>
      <c r="BR1234" s="196"/>
      <c r="BS1234" s="196"/>
      <c r="BT1234" s="196"/>
      <c r="BU1234" s="196"/>
      <c r="BV1234" s="196"/>
      <c r="BW1234" s="178"/>
      <c r="BX1234" s="196"/>
      <c r="BY1234" s="196"/>
      <c r="BZ1234" s="196"/>
      <c r="CA1234" s="196"/>
      <c r="CB1234" s="178"/>
      <c r="CC1234" s="178"/>
      <c r="CD1234" s="202"/>
      <c r="CE1234" s="202"/>
      <c r="CF1234" s="178"/>
      <c r="CG1234" s="196"/>
      <c r="CH1234" s="178"/>
      <c r="CI1234" s="178"/>
      <c r="CJ1234" s="178"/>
      <c r="CK1234" s="178"/>
      <c r="CL1234" s="178"/>
      <c r="CM1234" s="178"/>
      <c r="CN1234" s="178"/>
      <c r="CO1234" s="178"/>
      <c r="CP1234" s="178"/>
      <c r="CQ1234" s="178"/>
      <c r="CR1234" s="178"/>
      <c r="CS1234" s="178"/>
      <c r="CT1234" s="178"/>
      <c r="CU1234" s="178"/>
      <c r="CV1234" s="178"/>
      <c r="CW1234" s="178"/>
      <c r="CX1234" s="178"/>
      <c r="CY1234" s="178"/>
      <c r="CZ1234" s="178"/>
      <c r="DA1234" s="150"/>
    </row>
    <row r="1235" spans="53:105" x14ac:dyDescent="0.2">
      <c r="BA1235" s="518">
        <f t="shared" ca="1" si="70"/>
        <v>61</v>
      </c>
      <c r="BB1235" s="174">
        <f t="shared" ca="1" si="71"/>
        <v>1172</v>
      </c>
      <c r="BC1235" s="525" t="e">
        <f ca="1">MATCH(BD1235,OFFSET(Pinlist!$A$2,BC1234*(BA1235=BA1234),0,$BM$23,1),0)+BC1234*(BA1235=BA1234)</f>
        <v>#N/A</v>
      </c>
      <c r="BD1235" s="167">
        <f t="shared" ca="1" si="72"/>
        <v>0</v>
      </c>
      <c r="BE1235" s="191" t="e">
        <f ca="1">(OFFSET(Pinlist!$E$1,BC1235,0)-$BN$16)*$BN$19</f>
        <v>#N/A</v>
      </c>
      <c r="BF1235" s="192" t="e">
        <f ca="1">(OFFSET(Pinlist!$F$1,BC1235,0)-$BO$16)*$BO$19</f>
        <v>#N/A</v>
      </c>
      <c r="BG1235" s="1098" t="str">
        <f ca="1">IF(LEFT(BD1235,2)="RF",OFFSET(Pinlist!$D$1,Chart!BC1235,0)&amp;"_"&amp;OFFSET(Pinlist!$G$1,Chart!BC1235,0),"")</f>
        <v/>
      </c>
      <c r="BH1235" s="1098"/>
      <c r="BI1235" s="178"/>
      <c r="BJ1235" s="178"/>
      <c r="BK1235" s="178"/>
      <c r="BL1235" s="178"/>
      <c r="BM1235" s="178"/>
      <c r="BN1235" s="178"/>
      <c r="BO1235" s="178"/>
      <c r="BP1235" s="178"/>
      <c r="BQ1235" s="196"/>
      <c r="BR1235" s="196"/>
      <c r="BS1235" s="196"/>
      <c r="BT1235" s="196"/>
      <c r="BU1235" s="196"/>
      <c r="BV1235" s="196"/>
      <c r="BW1235" s="178"/>
      <c r="BX1235" s="196"/>
      <c r="BY1235" s="196"/>
      <c r="BZ1235" s="196"/>
      <c r="CA1235" s="196"/>
      <c r="CB1235" s="178"/>
      <c r="CC1235" s="178"/>
      <c r="CD1235" s="202"/>
      <c r="CE1235" s="202"/>
      <c r="CF1235" s="178"/>
      <c r="CG1235" s="196"/>
      <c r="CH1235" s="178"/>
      <c r="CI1235" s="178"/>
      <c r="CJ1235" s="178"/>
      <c r="CK1235" s="178"/>
      <c r="CL1235" s="178"/>
      <c r="CM1235" s="178"/>
      <c r="CN1235" s="178"/>
      <c r="CO1235" s="178"/>
      <c r="CP1235" s="178"/>
      <c r="CQ1235" s="178"/>
      <c r="CR1235" s="178"/>
      <c r="CS1235" s="178"/>
      <c r="CT1235" s="178"/>
      <c r="CU1235" s="178"/>
      <c r="CV1235" s="178"/>
      <c r="CW1235" s="178"/>
      <c r="CX1235" s="178"/>
      <c r="CY1235" s="178"/>
      <c r="CZ1235" s="178"/>
      <c r="DA1235" s="150"/>
    </row>
    <row r="1236" spans="53:105" x14ac:dyDescent="0.2">
      <c r="BA1236" s="518">
        <f t="shared" ca="1" si="70"/>
        <v>61</v>
      </c>
      <c r="BB1236" s="174">
        <f t="shared" ca="1" si="71"/>
        <v>1173</v>
      </c>
      <c r="BC1236" s="525" t="e">
        <f ca="1">MATCH(BD1236,OFFSET(Pinlist!$A$2,BC1235*(BA1236=BA1235),0,$BM$23,1),0)+BC1235*(BA1236=BA1235)</f>
        <v>#N/A</v>
      </c>
      <c r="BD1236" s="167">
        <f t="shared" ca="1" si="72"/>
        <v>0</v>
      </c>
      <c r="BE1236" s="191" t="e">
        <f ca="1">(OFFSET(Pinlist!$E$1,BC1236,0)-$BN$16)*$BN$19</f>
        <v>#N/A</v>
      </c>
      <c r="BF1236" s="192" t="e">
        <f ca="1">(OFFSET(Pinlist!$F$1,BC1236,0)-$BO$16)*$BO$19</f>
        <v>#N/A</v>
      </c>
      <c r="BG1236" s="1098" t="str">
        <f ca="1">IF(LEFT(BD1236,2)="RF",OFFSET(Pinlist!$D$1,Chart!BC1236,0)&amp;"_"&amp;OFFSET(Pinlist!$G$1,Chart!BC1236,0),"")</f>
        <v/>
      </c>
      <c r="BH1236" s="1098"/>
      <c r="BI1236" s="178"/>
      <c r="BJ1236" s="178"/>
      <c r="BK1236" s="178"/>
      <c r="BL1236" s="178"/>
      <c r="BM1236" s="178"/>
      <c r="BN1236" s="178"/>
      <c r="BO1236" s="178"/>
      <c r="BP1236" s="178"/>
      <c r="BQ1236" s="196"/>
      <c r="BR1236" s="196"/>
      <c r="BS1236" s="196"/>
      <c r="BT1236" s="196"/>
      <c r="BU1236" s="196"/>
      <c r="BV1236" s="196"/>
      <c r="BW1236" s="178"/>
      <c r="BX1236" s="196"/>
      <c r="BY1236" s="196"/>
      <c r="BZ1236" s="196"/>
      <c r="CA1236" s="196"/>
      <c r="CB1236" s="178"/>
      <c r="CC1236" s="178"/>
      <c r="CD1236" s="202"/>
      <c r="CE1236" s="202"/>
      <c r="CF1236" s="178"/>
      <c r="CG1236" s="196"/>
      <c r="CH1236" s="178"/>
      <c r="CI1236" s="178"/>
      <c r="CJ1236" s="178"/>
      <c r="CK1236" s="178"/>
      <c r="CL1236" s="178"/>
      <c r="CM1236" s="178"/>
      <c r="CN1236" s="178"/>
      <c r="CO1236" s="178"/>
      <c r="CP1236" s="178"/>
      <c r="CQ1236" s="178"/>
      <c r="CR1236" s="178"/>
      <c r="CS1236" s="178"/>
      <c r="CT1236" s="178"/>
      <c r="CU1236" s="178"/>
      <c r="CV1236" s="178"/>
      <c r="CW1236" s="178"/>
      <c r="CX1236" s="178"/>
      <c r="CY1236" s="178"/>
      <c r="CZ1236" s="178"/>
      <c r="DA1236" s="150"/>
    </row>
    <row r="1237" spans="53:105" x14ac:dyDescent="0.2">
      <c r="BA1237" s="518">
        <f t="shared" ca="1" si="70"/>
        <v>61</v>
      </c>
      <c r="BB1237" s="174">
        <f t="shared" ca="1" si="71"/>
        <v>1174</v>
      </c>
      <c r="BC1237" s="525" t="e">
        <f ca="1">MATCH(BD1237,OFFSET(Pinlist!$A$2,BC1236*(BA1237=BA1236),0,$BM$23,1),0)+BC1236*(BA1237=BA1236)</f>
        <v>#N/A</v>
      </c>
      <c r="BD1237" s="167">
        <f t="shared" ca="1" si="72"/>
        <v>0</v>
      </c>
      <c r="BE1237" s="191" t="e">
        <f ca="1">(OFFSET(Pinlist!$E$1,BC1237,0)-$BN$16)*$BN$19</f>
        <v>#N/A</v>
      </c>
      <c r="BF1237" s="192" t="e">
        <f ca="1">(OFFSET(Pinlist!$F$1,BC1237,0)-$BO$16)*$BO$19</f>
        <v>#N/A</v>
      </c>
      <c r="BG1237" s="1098" t="str">
        <f ca="1">IF(LEFT(BD1237,2)="RF",OFFSET(Pinlist!$D$1,Chart!BC1237,0)&amp;"_"&amp;OFFSET(Pinlist!$G$1,Chart!BC1237,0),"")</f>
        <v/>
      </c>
      <c r="BH1237" s="1098"/>
      <c r="BI1237" s="178"/>
      <c r="BJ1237" s="178"/>
      <c r="BK1237" s="178"/>
      <c r="BL1237" s="178"/>
      <c r="BM1237" s="178"/>
      <c r="BN1237" s="178"/>
      <c r="BO1237" s="178"/>
      <c r="BP1237" s="178"/>
      <c r="BQ1237" s="196"/>
      <c r="BR1237" s="196"/>
      <c r="BS1237" s="196"/>
      <c r="BT1237" s="196"/>
      <c r="BU1237" s="196"/>
      <c r="BV1237" s="196"/>
      <c r="BW1237" s="178"/>
      <c r="BX1237" s="196"/>
      <c r="BY1237" s="196"/>
      <c r="BZ1237" s="196"/>
      <c r="CA1237" s="196"/>
      <c r="CB1237" s="178"/>
      <c r="CC1237" s="178"/>
      <c r="CD1237" s="202"/>
      <c r="CE1237" s="202"/>
      <c r="CF1237" s="178"/>
      <c r="CG1237" s="196"/>
      <c r="CH1237" s="178"/>
      <c r="CI1237" s="178"/>
      <c r="CJ1237" s="178"/>
      <c r="CK1237" s="178"/>
      <c r="CL1237" s="178"/>
      <c r="CM1237" s="178"/>
      <c r="CN1237" s="178"/>
      <c r="CO1237" s="178"/>
      <c r="CP1237" s="178"/>
      <c r="CQ1237" s="178"/>
      <c r="CR1237" s="178"/>
      <c r="CS1237" s="178"/>
      <c r="CT1237" s="178"/>
      <c r="CU1237" s="178"/>
      <c r="CV1237" s="178"/>
      <c r="CW1237" s="178"/>
      <c r="CX1237" s="178"/>
      <c r="CY1237" s="178"/>
      <c r="CZ1237" s="178"/>
      <c r="DA1237" s="150"/>
    </row>
    <row r="1238" spans="53:105" x14ac:dyDescent="0.2">
      <c r="BA1238" s="518">
        <f t="shared" ca="1" si="70"/>
        <v>61</v>
      </c>
      <c r="BB1238" s="174">
        <f t="shared" ca="1" si="71"/>
        <v>1175</v>
      </c>
      <c r="BC1238" s="525" t="e">
        <f ca="1">MATCH(BD1238,OFFSET(Pinlist!$A$2,BC1237*(BA1238=BA1237),0,$BM$23,1),0)+BC1237*(BA1238=BA1237)</f>
        <v>#N/A</v>
      </c>
      <c r="BD1238" s="167">
        <f t="shared" ca="1" si="72"/>
        <v>0</v>
      </c>
      <c r="BE1238" s="191" t="e">
        <f ca="1">(OFFSET(Pinlist!$E$1,BC1238,0)-$BN$16)*$BN$19</f>
        <v>#N/A</v>
      </c>
      <c r="BF1238" s="192" t="e">
        <f ca="1">(OFFSET(Pinlist!$F$1,BC1238,0)-$BO$16)*$BO$19</f>
        <v>#N/A</v>
      </c>
      <c r="BG1238" s="1098" t="str">
        <f ca="1">IF(LEFT(BD1238,2)="RF",OFFSET(Pinlist!$D$1,Chart!BC1238,0)&amp;"_"&amp;OFFSET(Pinlist!$G$1,Chart!BC1238,0),"")</f>
        <v/>
      </c>
      <c r="BH1238" s="1098"/>
      <c r="BI1238" s="178"/>
      <c r="BJ1238" s="178"/>
      <c r="BK1238" s="178"/>
      <c r="BL1238" s="178"/>
      <c r="BM1238" s="178"/>
      <c r="BN1238" s="178"/>
      <c r="BO1238" s="178"/>
      <c r="BP1238" s="178"/>
      <c r="BQ1238" s="196"/>
      <c r="BR1238" s="196"/>
      <c r="BS1238" s="196"/>
      <c r="BT1238" s="196"/>
      <c r="BU1238" s="196"/>
      <c r="BV1238" s="196"/>
      <c r="BW1238" s="178"/>
      <c r="BX1238" s="196"/>
      <c r="BY1238" s="196"/>
      <c r="BZ1238" s="196"/>
      <c r="CA1238" s="196"/>
      <c r="CB1238" s="178"/>
      <c r="CC1238" s="178"/>
      <c r="CD1238" s="202"/>
      <c r="CE1238" s="202"/>
      <c r="CF1238" s="178"/>
      <c r="CG1238" s="196"/>
      <c r="CH1238" s="178"/>
      <c r="CI1238" s="178"/>
      <c r="CJ1238" s="178"/>
      <c r="CK1238" s="178"/>
      <c r="CL1238" s="178"/>
      <c r="CM1238" s="178"/>
      <c r="CN1238" s="178"/>
      <c r="CO1238" s="178"/>
      <c r="CP1238" s="178"/>
      <c r="CQ1238" s="178"/>
      <c r="CR1238" s="178"/>
      <c r="CS1238" s="178"/>
      <c r="CT1238" s="178"/>
      <c r="CU1238" s="178"/>
      <c r="CV1238" s="178"/>
      <c r="CW1238" s="178"/>
      <c r="CX1238" s="178"/>
      <c r="CY1238" s="178"/>
      <c r="CZ1238" s="178"/>
      <c r="DA1238" s="150"/>
    </row>
    <row r="1239" spans="53:105" x14ac:dyDescent="0.2">
      <c r="BA1239" s="518">
        <f t="shared" ca="1" si="70"/>
        <v>61</v>
      </c>
      <c r="BB1239" s="174">
        <f t="shared" ca="1" si="71"/>
        <v>1176</v>
      </c>
      <c r="BC1239" s="525" t="e">
        <f ca="1">MATCH(BD1239,OFFSET(Pinlist!$A$2,BC1238*(BA1239=BA1238),0,$BM$23,1),0)+BC1238*(BA1239=BA1238)</f>
        <v>#N/A</v>
      </c>
      <c r="BD1239" s="167">
        <f t="shared" ca="1" si="72"/>
        <v>0</v>
      </c>
      <c r="BE1239" s="191" t="e">
        <f ca="1">(OFFSET(Pinlist!$E$1,BC1239,0)-$BN$16)*$BN$19</f>
        <v>#N/A</v>
      </c>
      <c r="BF1239" s="192" t="e">
        <f ca="1">(OFFSET(Pinlist!$F$1,BC1239,0)-$BO$16)*$BO$19</f>
        <v>#N/A</v>
      </c>
      <c r="BG1239" s="1098" t="str">
        <f ca="1">IF(LEFT(BD1239,2)="RF",OFFSET(Pinlist!$D$1,Chart!BC1239,0)&amp;"_"&amp;OFFSET(Pinlist!$G$1,Chart!BC1239,0),"")</f>
        <v/>
      </c>
      <c r="BH1239" s="1098"/>
      <c r="BI1239" s="178"/>
      <c r="BJ1239" s="178"/>
      <c r="BK1239" s="178"/>
      <c r="BL1239" s="178"/>
      <c r="BM1239" s="178"/>
      <c r="BN1239" s="178"/>
      <c r="BO1239" s="178"/>
      <c r="BP1239" s="178"/>
      <c r="BQ1239" s="196"/>
      <c r="BR1239" s="196"/>
      <c r="BS1239" s="196"/>
      <c r="BT1239" s="196"/>
      <c r="BU1239" s="196"/>
      <c r="BV1239" s="196"/>
      <c r="BW1239" s="178"/>
      <c r="BX1239" s="196"/>
      <c r="BY1239" s="196"/>
      <c r="BZ1239" s="196"/>
      <c r="CA1239" s="196"/>
      <c r="CB1239" s="178"/>
      <c r="CC1239" s="178"/>
      <c r="CD1239" s="202"/>
      <c r="CE1239" s="202"/>
      <c r="CF1239" s="178"/>
      <c r="CG1239" s="196"/>
      <c r="CH1239" s="178"/>
      <c r="CI1239" s="178"/>
      <c r="CJ1239" s="178"/>
      <c r="CK1239" s="178"/>
      <c r="CL1239" s="178"/>
      <c r="CM1239" s="178"/>
      <c r="CN1239" s="178"/>
      <c r="CO1239" s="178"/>
      <c r="CP1239" s="178"/>
      <c r="CQ1239" s="178"/>
      <c r="CR1239" s="178"/>
      <c r="CS1239" s="178"/>
      <c r="CT1239" s="178"/>
      <c r="CU1239" s="178"/>
      <c r="CV1239" s="178"/>
      <c r="CW1239" s="178"/>
      <c r="CX1239" s="178"/>
      <c r="CY1239" s="178"/>
      <c r="CZ1239" s="178"/>
      <c r="DA1239" s="150"/>
    </row>
    <row r="1240" spans="53:105" x14ac:dyDescent="0.2">
      <c r="BA1240" s="518">
        <f t="shared" ca="1" si="70"/>
        <v>61</v>
      </c>
      <c r="BB1240" s="174">
        <f t="shared" ca="1" si="71"/>
        <v>1177</v>
      </c>
      <c r="BC1240" s="525" t="e">
        <f ca="1">MATCH(BD1240,OFFSET(Pinlist!$A$2,BC1239*(BA1240=BA1239),0,$BM$23,1),0)+BC1239*(BA1240=BA1239)</f>
        <v>#N/A</v>
      </c>
      <c r="BD1240" s="167">
        <f t="shared" ca="1" si="72"/>
        <v>0</v>
      </c>
      <c r="BE1240" s="191" t="e">
        <f ca="1">(OFFSET(Pinlist!$E$1,BC1240,0)-$BN$16)*$BN$19</f>
        <v>#N/A</v>
      </c>
      <c r="BF1240" s="192" t="e">
        <f ca="1">(OFFSET(Pinlist!$F$1,BC1240,0)-$BO$16)*$BO$19</f>
        <v>#N/A</v>
      </c>
      <c r="BG1240" s="1098" t="str">
        <f ca="1">IF(LEFT(BD1240,2)="RF",OFFSET(Pinlist!$D$1,Chart!BC1240,0)&amp;"_"&amp;OFFSET(Pinlist!$G$1,Chart!BC1240,0),"")</f>
        <v/>
      </c>
      <c r="BH1240" s="1098"/>
      <c r="BI1240" s="178"/>
      <c r="BJ1240" s="178"/>
      <c r="BK1240" s="178"/>
      <c r="BL1240" s="178"/>
      <c r="BM1240" s="178"/>
      <c r="BN1240" s="178"/>
      <c r="BO1240" s="178"/>
      <c r="BP1240" s="178"/>
      <c r="BQ1240" s="196"/>
      <c r="BR1240" s="196"/>
      <c r="BS1240" s="196"/>
      <c r="BT1240" s="196"/>
      <c r="BU1240" s="196"/>
      <c r="BV1240" s="196"/>
      <c r="BW1240" s="178"/>
      <c r="BX1240" s="196"/>
      <c r="BY1240" s="196"/>
      <c r="BZ1240" s="196"/>
      <c r="CA1240" s="196"/>
      <c r="CB1240" s="178"/>
      <c r="CC1240" s="178"/>
      <c r="CD1240" s="202"/>
      <c r="CE1240" s="202"/>
      <c r="CF1240" s="178"/>
      <c r="CG1240" s="196"/>
      <c r="CH1240" s="178"/>
      <c r="CI1240" s="178"/>
      <c r="CJ1240" s="178"/>
      <c r="CK1240" s="178"/>
      <c r="CL1240" s="178"/>
      <c r="CM1240" s="178"/>
      <c r="CN1240" s="178"/>
      <c r="CO1240" s="178"/>
      <c r="CP1240" s="178"/>
      <c r="CQ1240" s="178"/>
      <c r="CR1240" s="178"/>
      <c r="CS1240" s="178"/>
      <c r="CT1240" s="178"/>
      <c r="CU1240" s="178"/>
      <c r="CV1240" s="178"/>
      <c r="CW1240" s="178"/>
      <c r="CX1240" s="178"/>
      <c r="CY1240" s="178"/>
      <c r="CZ1240" s="178"/>
      <c r="DA1240" s="150"/>
    </row>
    <row r="1241" spans="53:105" x14ac:dyDescent="0.2">
      <c r="BA1241" s="518">
        <f t="shared" ca="1" si="70"/>
        <v>61</v>
      </c>
      <c r="BB1241" s="174">
        <f t="shared" ca="1" si="71"/>
        <v>1178</v>
      </c>
      <c r="BC1241" s="525" t="e">
        <f ca="1">MATCH(BD1241,OFFSET(Pinlist!$A$2,BC1240*(BA1241=BA1240),0,$BM$23,1),0)+BC1240*(BA1241=BA1240)</f>
        <v>#N/A</v>
      </c>
      <c r="BD1241" s="167">
        <f t="shared" ca="1" si="72"/>
        <v>0</v>
      </c>
      <c r="BE1241" s="191" t="e">
        <f ca="1">(OFFSET(Pinlist!$E$1,BC1241,0)-$BN$16)*$BN$19</f>
        <v>#N/A</v>
      </c>
      <c r="BF1241" s="192" t="e">
        <f ca="1">(OFFSET(Pinlist!$F$1,BC1241,0)-$BO$16)*$BO$19</f>
        <v>#N/A</v>
      </c>
      <c r="BG1241" s="1098" t="str">
        <f ca="1">IF(LEFT(BD1241,2)="RF",OFFSET(Pinlist!$D$1,Chart!BC1241,0)&amp;"_"&amp;OFFSET(Pinlist!$G$1,Chart!BC1241,0),"")</f>
        <v/>
      </c>
      <c r="BH1241" s="1098"/>
      <c r="BI1241" s="178"/>
      <c r="BJ1241" s="178"/>
      <c r="BK1241" s="178"/>
      <c r="BL1241" s="178"/>
      <c r="BM1241" s="178"/>
      <c r="BN1241" s="178"/>
      <c r="BO1241" s="178"/>
      <c r="BP1241" s="178"/>
      <c r="BQ1241" s="196"/>
      <c r="BR1241" s="196"/>
      <c r="BS1241" s="196"/>
      <c r="BT1241" s="196"/>
      <c r="BU1241" s="196"/>
      <c r="BV1241" s="196"/>
      <c r="BW1241" s="178"/>
      <c r="BX1241" s="196"/>
      <c r="BY1241" s="196"/>
      <c r="BZ1241" s="196"/>
      <c r="CA1241" s="196"/>
      <c r="CB1241" s="178"/>
      <c r="CC1241" s="178"/>
      <c r="CD1241" s="202"/>
      <c r="CE1241" s="202"/>
      <c r="CF1241" s="178"/>
      <c r="CG1241" s="196"/>
      <c r="CH1241" s="178"/>
      <c r="CI1241" s="178"/>
      <c r="CJ1241" s="178"/>
      <c r="CK1241" s="178"/>
      <c r="CL1241" s="178"/>
      <c r="CM1241" s="178"/>
      <c r="CN1241" s="178"/>
      <c r="CO1241" s="178"/>
      <c r="CP1241" s="178"/>
      <c r="CQ1241" s="178"/>
      <c r="CR1241" s="178"/>
      <c r="CS1241" s="178"/>
      <c r="CT1241" s="178"/>
      <c r="CU1241" s="178"/>
      <c r="CV1241" s="178"/>
      <c r="CW1241" s="178"/>
      <c r="CX1241" s="178"/>
      <c r="CY1241" s="178"/>
      <c r="CZ1241" s="178"/>
      <c r="DA1241" s="150"/>
    </row>
    <row r="1242" spans="53:105" x14ac:dyDescent="0.2">
      <c r="BA1242" s="518">
        <f t="shared" ca="1" si="70"/>
        <v>61</v>
      </c>
      <c r="BB1242" s="174">
        <f t="shared" ca="1" si="71"/>
        <v>1179</v>
      </c>
      <c r="BC1242" s="525" t="e">
        <f ca="1">MATCH(BD1242,OFFSET(Pinlist!$A$2,BC1241*(BA1242=BA1241),0,$BM$23,1),0)+BC1241*(BA1242=BA1241)</f>
        <v>#N/A</v>
      </c>
      <c r="BD1242" s="167">
        <f t="shared" ca="1" si="72"/>
        <v>0</v>
      </c>
      <c r="BE1242" s="191" t="e">
        <f ca="1">(OFFSET(Pinlist!$E$1,BC1242,0)-$BN$16)*$BN$19</f>
        <v>#N/A</v>
      </c>
      <c r="BF1242" s="192" t="e">
        <f ca="1">(OFFSET(Pinlist!$F$1,BC1242,0)-$BO$16)*$BO$19</f>
        <v>#N/A</v>
      </c>
      <c r="BG1242" s="1098" t="str">
        <f ca="1">IF(LEFT(BD1242,2)="RF",OFFSET(Pinlist!$D$1,Chart!BC1242,0)&amp;"_"&amp;OFFSET(Pinlist!$G$1,Chart!BC1242,0),"")</f>
        <v/>
      </c>
      <c r="BH1242" s="1098"/>
      <c r="BI1242" s="178"/>
      <c r="BJ1242" s="178"/>
      <c r="BK1242" s="178"/>
      <c r="BL1242" s="178"/>
      <c r="BM1242" s="178"/>
      <c r="BN1242" s="178"/>
      <c r="BO1242" s="178"/>
      <c r="BP1242" s="178"/>
      <c r="BQ1242" s="196"/>
      <c r="BR1242" s="196"/>
      <c r="BS1242" s="196"/>
      <c r="BT1242" s="196"/>
      <c r="BU1242" s="196"/>
      <c r="BV1242" s="196"/>
      <c r="BW1242" s="178"/>
      <c r="BX1242" s="196"/>
      <c r="BY1242" s="196"/>
      <c r="BZ1242" s="196"/>
      <c r="CA1242" s="196"/>
      <c r="CB1242" s="178"/>
      <c r="CC1242" s="178"/>
      <c r="CD1242" s="202"/>
      <c r="CE1242" s="202"/>
      <c r="CF1242" s="178"/>
      <c r="CG1242" s="196"/>
      <c r="CH1242" s="178"/>
      <c r="CI1242" s="178"/>
      <c r="CJ1242" s="178"/>
      <c r="CK1242" s="178"/>
      <c r="CL1242" s="178"/>
      <c r="CM1242" s="178"/>
      <c r="CN1242" s="178"/>
      <c r="CO1242" s="178"/>
      <c r="CP1242" s="178"/>
      <c r="CQ1242" s="178"/>
      <c r="CR1242" s="178"/>
      <c r="CS1242" s="178"/>
      <c r="CT1242" s="178"/>
      <c r="CU1242" s="178"/>
      <c r="CV1242" s="178"/>
      <c r="CW1242" s="178"/>
      <c r="CX1242" s="178"/>
      <c r="CY1242" s="178"/>
      <c r="CZ1242" s="178"/>
      <c r="DA1242" s="150"/>
    </row>
    <row r="1243" spans="53:105" x14ac:dyDescent="0.2">
      <c r="BA1243" s="518">
        <f t="shared" ca="1" si="70"/>
        <v>61</v>
      </c>
      <c r="BB1243" s="174">
        <f t="shared" ca="1" si="71"/>
        <v>1180</v>
      </c>
      <c r="BC1243" s="525" t="e">
        <f ca="1">MATCH(BD1243,OFFSET(Pinlist!$A$2,BC1242*(BA1243=BA1242),0,$BM$23,1),0)+BC1242*(BA1243=BA1242)</f>
        <v>#N/A</v>
      </c>
      <c r="BD1243" s="167">
        <f t="shared" ca="1" si="72"/>
        <v>0</v>
      </c>
      <c r="BE1243" s="191" t="e">
        <f ca="1">(OFFSET(Pinlist!$E$1,BC1243,0)-$BN$16)*$BN$19</f>
        <v>#N/A</v>
      </c>
      <c r="BF1243" s="192" t="e">
        <f ca="1">(OFFSET(Pinlist!$F$1,BC1243,0)-$BO$16)*$BO$19</f>
        <v>#N/A</v>
      </c>
      <c r="BG1243" s="1098" t="str">
        <f ca="1">IF(LEFT(BD1243,2)="RF",OFFSET(Pinlist!$D$1,Chart!BC1243,0)&amp;"_"&amp;OFFSET(Pinlist!$G$1,Chart!BC1243,0),"")</f>
        <v/>
      </c>
      <c r="BH1243" s="1098"/>
      <c r="BI1243" s="178"/>
      <c r="BJ1243" s="178"/>
      <c r="BK1243" s="178"/>
      <c r="BL1243" s="178"/>
      <c r="BM1243" s="178"/>
      <c r="BN1243" s="178"/>
      <c r="BO1243" s="178"/>
      <c r="BP1243" s="178"/>
      <c r="BQ1243" s="196"/>
      <c r="BR1243" s="196"/>
      <c r="BS1243" s="196"/>
      <c r="BT1243" s="196"/>
      <c r="BU1243" s="196"/>
      <c r="BV1243" s="196"/>
      <c r="BW1243" s="178"/>
      <c r="BX1243" s="196"/>
      <c r="BY1243" s="196"/>
      <c r="BZ1243" s="196"/>
      <c r="CA1243" s="196"/>
      <c r="CB1243" s="178"/>
      <c r="CC1243" s="178"/>
      <c r="CD1243" s="202"/>
      <c r="CE1243" s="202"/>
      <c r="CF1243" s="178"/>
      <c r="CG1243" s="196"/>
      <c r="CH1243" s="178"/>
      <c r="CI1243" s="178"/>
      <c r="CJ1243" s="178"/>
      <c r="CK1243" s="178"/>
      <c r="CL1243" s="178"/>
      <c r="CM1243" s="178"/>
      <c r="CN1243" s="178"/>
      <c r="CO1243" s="178"/>
      <c r="CP1243" s="178"/>
      <c r="CQ1243" s="178"/>
      <c r="CR1243" s="178"/>
      <c r="CS1243" s="178"/>
      <c r="CT1243" s="178"/>
      <c r="CU1243" s="178"/>
      <c r="CV1243" s="178"/>
      <c r="CW1243" s="178"/>
      <c r="CX1243" s="178"/>
      <c r="CY1243" s="178"/>
      <c r="CZ1243" s="178"/>
      <c r="DA1243" s="150"/>
    </row>
    <row r="1244" spans="53:105" x14ac:dyDescent="0.2">
      <c r="BA1244" s="518">
        <f t="shared" ca="1" si="70"/>
        <v>61</v>
      </c>
      <c r="BB1244" s="174">
        <f t="shared" ca="1" si="71"/>
        <v>1181</v>
      </c>
      <c r="BC1244" s="525" t="e">
        <f ca="1">MATCH(BD1244,OFFSET(Pinlist!$A$2,BC1243*(BA1244=BA1243),0,$BM$23,1),0)+BC1243*(BA1244=BA1243)</f>
        <v>#N/A</v>
      </c>
      <c r="BD1244" s="167">
        <f t="shared" ca="1" si="72"/>
        <v>0</v>
      </c>
      <c r="BE1244" s="191" t="e">
        <f ca="1">(OFFSET(Pinlist!$E$1,BC1244,0)-$BN$16)*$BN$19</f>
        <v>#N/A</v>
      </c>
      <c r="BF1244" s="192" t="e">
        <f ca="1">(OFFSET(Pinlist!$F$1,BC1244,0)-$BO$16)*$BO$19</f>
        <v>#N/A</v>
      </c>
      <c r="BG1244" s="1098" t="str">
        <f ca="1">IF(LEFT(BD1244,2)="RF",OFFSET(Pinlist!$D$1,Chart!BC1244,0)&amp;"_"&amp;OFFSET(Pinlist!$G$1,Chart!BC1244,0),"")</f>
        <v/>
      </c>
      <c r="BH1244" s="1098"/>
      <c r="BI1244" s="178"/>
      <c r="BJ1244" s="178"/>
      <c r="BK1244" s="178"/>
      <c r="BL1244" s="178"/>
      <c r="BM1244" s="178"/>
      <c r="BN1244" s="178"/>
      <c r="BO1244" s="178"/>
      <c r="BP1244" s="178"/>
      <c r="BQ1244" s="196"/>
      <c r="BR1244" s="196"/>
      <c r="BS1244" s="196"/>
      <c r="BT1244" s="196"/>
      <c r="BU1244" s="196"/>
      <c r="BV1244" s="196"/>
      <c r="BW1244" s="178"/>
      <c r="BX1244" s="196"/>
      <c r="BY1244" s="196"/>
      <c r="BZ1244" s="196"/>
      <c r="CA1244" s="196"/>
      <c r="CB1244" s="178"/>
      <c r="CC1244" s="178"/>
      <c r="CD1244" s="202"/>
      <c r="CE1244" s="202"/>
      <c r="CF1244" s="178"/>
      <c r="CG1244" s="196"/>
      <c r="CH1244" s="178"/>
      <c r="CI1244" s="178"/>
      <c r="CJ1244" s="178"/>
      <c r="CK1244" s="178"/>
      <c r="CL1244" s="178"/>
      <c r="CM1244" s="178"/>
      <c r="CN1244" s="178"/>
      <c r="CO1244" s="178"/>
      <c r="CP1244" s="178"/>
      <c r="CQ1244" s="178"/>
      <c r="CR1244" s="178"/>
      <c r="CS1244" s="178"/>
      <c r="CT1244" s="178"/>
      <c r="CU1244" s="178"/>
      <c r="CV1244" s="178"/>
      <c r="CW1244" s="178"/>
      <c r="CX1244" s="178"/>
      <c r="CY1244" s="178"/>
      <c r="CZ1244" s="178"/>
      <c r="DA1244" s="150"/>
    </row>
    <row r="1245" spans="53:105" x14ac:dyDescent="0.2">
      <c r="BA1245" s="518">
        <f t="shared" ca="1" si="70"/>
        <v>61</v>
      </c>
      <c r="BB1245" s="174">
        <f t="shared" ca="1" si="71"/>
        <v>1182</v>
      </c>
      <c r="BC1245" s="525" t="e">
        <f ca="1">MATCH(BD1245,OFFSET(Pinlist!$A$2,BC1244*(BA1245=BA1244),0,$BM$23,1),0)+BC1244*(BA1245=BA1244)</f>
        <v>#N/A</v>
      </c>
      <c r="BD1245" s="167">
        <f t="shared" ca="1" si="72"/>
        <v>0</v>
      </c>
      <c r="BE1245" s="191" t="e">
        <f ca="1">(OFFSET(Pinlist!$E$1,BC1245,0)-$BN$16)*$BN$19</f>
        <v>#N/A</v>
      </c>
      <c r="BF1245" s="192" t="e">
        <f ca="1">(OFFSET(Pinlist!$F$1,BC1245,0)-$BO$16)*$BO$19</f>
        <v>#N/A</v>
      </c>
      <c r="BG1245" s="1098" t="str">
        <f ca="1">IF(LEFT(BD1245,2)="RF",OFFSET(Pinlist!$D$1,Chart!BC1245,0)&amp;"_"&amp;OFFSET(Pinlist!$G$1,Chart!BC1245,0),"")</f>
        <v/>
      </c>
      <c r="BH1245" s="1098"/>
      <c r="BI1245" s="178"/>
      <c r="BJ1245" s="178"/>
      <c r="BK1245" s="178"/>
      <c r="BL1245" s="178"/>
      <c r="BM1245" s="178"/>
      <c r="BN1245" s="178"/>
      <c r="BO1245" s="178"/>
      <c r="BP1245" s="178"/>
      <c r="BQ1245" s="196"/>
      <c r="BR1245" s="196"/>
      <c r="BS1245" s="196"/>
      <c r="BT1245" s="196"/>
      <c r="BU1245" s="196"/>
      <c r="BV1245" s="196"/>
      <c r="BW1245" s="178"/>
      <c r="BX1245" s="196"/>
      <c r="BY1245" s="196"/>
      <c r="BZ1245" s="196"/>
      <c r="CA1245" s="196"/>
      <c r="CB1245" s="178"/>
      <c r="CC1245" s="178"/>
      <c r="CD1245" s="202"/>
      <c r="CE1245" s="202"/>
      <c r="CF1245" s="178"/>
      <c r="CG1245" s="196"/>
      <c r="CH1245" s="178"/>
      <c r="CI1245" s="178"/>
      <c r="CJ1245" s="178"/>
      <c r="CK1245" s="178"/>
      <c r="CL1245" s="178"/>
      <c r="CM1245" s="178"/>
      <c r="CN1245" s="178"/>
      <c r="CO1245" s="178"/>
      <c r="CP1245" s="178"/>
      <c r="CQ1245" s="178"/>
      <c r="CR1245" s="178"/>
      <c r="CS1245" s="178"/>
      <c r="CT1245" s="178"/>
      <c r="CU1245" s="178"/>
      <c r="CV1245" s="178"/>
      <c r="CW1245" s="178"/>
      <c r="CX1245" s="178"/>
      <c r="CY1245" s="178"/>
      <c r="CZ1245" s="178"/>
      <c r="DA1245" s="150"/>
    </row>
    <row r="1246" spans="53:105" x14ac:dyDescent="0.2">
      <c r="BA1246" s="518">
        <f t="shared" ca="1" si="70"/>
        <v>61</v>
      </c>
      <c r="BB1246" s="174">
        <f t="shared" ca="1" si="71"/>
        <v>1183</v>
      </c>
      <c r="BC1246" s="525" t="e">
        <f ca="1">MATCH(BD1246,OFFSET(Pinlist!$A$2,BC1245*(BA1246=BA1245),0,$BM$23,1),0)+BC1245*(BA1246=BA1245)</f>
        <v>#N/A</v>
      </c>
      <c r="BD1246" s="167">
        <f t="shared" ca="1" si="72"/>
        <v>0</v>
      </c>
      <c r="BE1246" s="191" t="e">
        <f ca="1">(OFFSET(Pinlist!$E$1,BC1246,0)-$BN$16)*$BN$19</f>
        <v>#N/A</v>
      </c>
      <c r="BF1246" s="192" t="e">
        <f ca="1">(OFFSET(Pinlist!$F$1,BC1246,0)-$BO$16)*$BO$19</f>
        <v>#N/A</v>
      </c>
      <c r="BG1246" s="1098" t="str">
        <f ca="1">IF(LEFT(BD1246,2)="RF",OFFSET(Pinlist!$D$1,Chart!BC1246,0)&amp;"_"&amp;OFFSET(Pinlist!$G$1,Chart!BC1246,0),"")</f>
        <v/>
      </c>
      <c r="BH1246" s="1098"/>
      <c r="BI1246" s="178"/>
      <c r="BJ1246" s="178"/>
      <c r="BK1246" s="178"/>
      <c r="BL1246" s="178"/>
      <c r="BM1246" s="178"/>
      <c r="BN1246" s="178"/>
      <c r="BO1246" s="178"/>
      <c r="BP1246" s="178"/>
      <c r="BQ1246" s="196"/>
      <c r="BR1246" s="196"/>
      <c r="BS1246" s="196"/>
      <c r="BT1246" s="196"/>
      <c r="BU1246" s="196"/>
      <c r="BV1246" s="196"/>
      <c r="BW1246" s="178"/>
      <c r="BX1246" s="196"/>
      <c r="BY1246" s="196"/>
      <c r="BZ1246" s="196"/>
      <c r="CA1246" s="196"/>
      <c r="CB1246" s="178"/>
      <c r="CC1246" s="178"/>
      <c r="CD1246" s="202"/>
      <c r="CE1246" s="202"/>
      <c r="CF1246" s="178"/>
      <c r="CG1246" s="196"/>
      <c r="CH1246" s="178"/>
      <c r="CI1246" s="178"/>
      <c r="CJ1246" s="178"/>
      <c r="CK1246" s="178"/>
      <c r="CL1246" s="178"/>
      <c r="CM1246" s="178"/>
      <c r="CN1246" s="178"/>
      <c r="CO1246" s="178"/>
      <c r="CP1246" s="178"/>
      <c r="CQ1246" s="178"/>
      <c r="CR1246" s="178"/>
      <c r="CS1246" s="178"/>
      <c r="CT1246" s="178"/>
      <c r="CU1246" s="178"/>
      <c r="CV1246" s="178"/>
      <c r="CW1246" s="178"/>
      <c r="CX1246" s="178"/>
      <c r="CY1246" s="178"/>
      <c r="CZ1246" s="178"/>
      <c r="DA1246" s="150"/>
    </row>
    <row r="1247" spans="53:105" x14ac:dyDescent="0.2">
      <c r="BA1247" s="518">
        <f t="shared" ca="1" si="70"/>
        <v>61</v>
      </c>
      <c r="BB1247" s="174">
        <f t="shared" ca="1" si="71"/>
        <v>1184</v>
      </c>
      <c r="BC1247" s="525" t="e">
        <f ca="1">MATCH(BD1247,OFFSET(Pinlist!$A$2,BC1246*(BA1247=BA1246),0,$BM$23,1),0)+BC1246*(BA1247=BA1246)</f>
        <v>#N/A</v>
      </c>
      <c r="BD1247" s="167">
        <f t="shared" ca="1" si="72"/>
        <v>0</v>
      </c>
      <c r="BE1247" s="191" t="e">
        <f ca="1">(OFFSET(Pinlist!$E$1,BC1247,0)-$BN$16)*$BN$19</f>
        <v>#N/A</v>
      </c>
      <c r="BF1247" s="192" t="e">
        <f ca="1">(OFFSET(Pinlist!$F$1,BC1247,0)-$BO$16)*$BO$19</f>
        <v>#N/A</v>
      </c>
      <c r="BG1247" s="1098" t="str">
        <f ca="1">IF(LEFT(BD1247,2)="RF",OFFSET(Pinlist!$D$1,Chart!BC1247,0)&amp;"_"&amp;OFFSET(Pinlist!$G$1,Chart!BC1247,0),"")</f>
        <v/>
      </c>
      <c r="BH1247" s="1098"/>
      <c r="BI1247" s="178"/>
      <c r="BJ1247" s="178"/>
      <c r="BK1247" s="178"/>
      <c r="BL1247" s="178"/>
      <c r="BM1247" s="178"/>
      <c r="BN1247" s="178"/>
      <c r="BO1247" s="178"/>
      <c r="BP1247" s="178"/>
      <c r="BQ1247" s="196"/>
      <c r="BR1247" s="196"/>
      <c r="BS1247" s="196"/>
      <c r="BT1247" s="196"/>
      <c r="BU1247" s="196"/>
      <c r="BV1247" s="196"/>
      <c r="BW1247" s="178"/>
      <c r="BX1247" s="196"/>
      <c r="BY1247" s="196"/>
      <c r="BZ1247" s="196"/>
      <c r="CA1247" s="196"/>
      <c r="CB1247" s="178"/>
      <c r="CC1247" s="178"/>
      <c r="CD1247" s="202"/>
      <c r="CE1247" s="202"/>
      <c r="CF1247" s="178"/>
      <c r="CG1247" s="196"/>
      <c r="CH1247" s="178"/>
      <c r="CI1247" s="178"/>
      <c r="CJ1247" s="178"/>
      <c r="CK1247" s="178"/>
      <c r="CL1247" s="178"/>
      <c r="CM1247" s="178"/>
      <c r="CN1247" s="178"/>
      <c r="CO1247" s="178"/>
      <c r="CP1247" s="178"/>
      <c r="CQ1247" s="178"/>
      <c r="CR1247" s="178"/>
      <c r="CS1247" s="178"/>
      <c r="CT1247" s="178"/>
      <c r="CU1247" s="178"/>
      <c r="CV1247" s="178"/>
      <c r="CW1247" s="178"/>
      <c r="CX1247" s="178"/>
      <c r="CY1247" s="178"/>
      <c r="CZ1247" s="178"/>
      <c r="DA1247" s="150"/>
    </row>
    <row r="1248" spans="53:105" x14ac:dyDescent="0.2">
      <c r="BA1248" s="518">
        <f t="shared" ca="1" si="70"/>
        <v>61</v>
      </c>
      <c r="BB1248" s="174">
        <f t="shared" ca="1" si="71"/>
        <v>1185</v>
      </c>
      <c r="BC1248" s="525" t="e">
        <f ca="1">MATCH(BD1248,OFFSET(Pinlist!$A$2,BC1247*(BA1248=BA1247),0,$BM$23,1),0)+BC1247*(BA1248=BA1247)</f>
        <v>#N/A</v>
      </c>
      <c r="BD1248" s="167">
        <f t="shared" ca="1" si="72"/>
        <v>0</v>
      </c>
      <c r="BE1248" s="191" t="e">
        <f ca="1">(OFFSET(Pinlist!$E$1,BC1248,0)-$BN$16)*$BN$19</f>
        <v>#N/A</v>
      </c>
      <c r="BF1248" s="192" t="e">
        <f ca="1">(OFFSET(Pinlist!$F$1,BC1248,0)-$BO$16)*$BO$19</f>
        <v>#N/A</v>
      </c>
      <c r="BG1248" s="1098" t="str">
        <f ca="1">IF(LEFT(BD1248,2)="RF",OFFSET(Pinlist!$D$1,Chart!BC1248,0)&amp;"_"&amp;OFFSET(Pinlist!$G$1,Chart!BC1248,0),"")</f>
        <v/>
      </c>
      <c r="BH1248" s="1098"/>
      <c r="BI1248" s="178"/>
      <c r="BJ1248" s="178"/>
      <c r="BK1248" s="178"/>
      <c r="BL1248" s="178"/>
      <c r="BM1248" s="178"/>
      <c r="BN1248" s="178"/>
      <c r="BO1248" s="178"/>
      <c r="BP1248" s="178"/>
      <c r="BQ1248" s="196"/>
      <c r="BR1248" s="196"/>
      <c r="BS1248" s="196"/>
      <c r="BT1248" s="196"/>
      <c r="BU1248" s="196"/>
      <c r="BV1248" s="196"/>
      <c r="BW1248" s="178"/>
      <c r="BX1248" s="196"/>
      <c r="BY1248" s="196"/>
      <c r="BZ1248" s="196"/>
      <c r="CA1248" s="196"/>
      <c r="CB1248" s="178"/>
      <c r="CC1248" s="178"/>
      <c r="CD1248" s="202"/>
      <c r="CE1248" s="202"/>
      <c r="CF1248" s="178"/>
      <c r="CG1248" s="196"/>
      <c r="CH1248" s="178"/>
      <c r="CI1248" s="178"/>
      <c r="CJ1248" s="178"/>
      <c r="CK1248" s="178"/>
      <c r="CL1248" s="178"/>
      <c r="CM1248" s="178"/>
      <c r="CN1248" s="178"/>
      <c r="CO1248" s="178"/>
      <c r="CP1248" s="178"/>
      <c r="CQ1248" s="178"/>
      <c r="CR1248" s="178"/>
      <c r="CS1248" s="178"/>
      <c r="CT1248" s="178"/>
      <c r="CU1248" s="178"/>
      <c r="CV1248" s="178"/>
      <c r="CW1248" s="178"/>
      <c r="CX1248" s="178"/>
      <c r="CY1248" s="178"/>
      <c r="CZ1248" s="178"/>
      <c r="DA1248" s="150"/>
    </row>
    <row r="1249" spans="53:105" x14ac:dyDescent="0.2">
      <c r="BA1249" s="518">
        <f t="shared" ca="1" si="70"/>
        <v>61</v>
      </c>
      <c r="BB1249" s="174">
        <f t="shared" ca="1" si="71"/>
        <v>1186</v>
      </c>
      <c r="BC1249" s="525" t="e">
        <f ca="1">MATCH(BD1249,OFFSET(Pinlist!$A$2,BC1248*(BA1249=BA1248),0,$BM$23,1),0)+BC1248*(BA1249=BA1248)</f>
        <v>#N/A</v>
      </c>
      <c r="BD1249" s="167">
        <f t="shared" ca="1" si="72"/>
        <v>0</v>
      </c>
      <c r="BE1249" s="191" t="e">
        <f ca="1">(OFFSET(Pinlist!$E$1,BC1249,0)-$BN$16)*$BN$19</f>
        <v>#N/A</v>
      </c>
      <c r="BF1249" s="192" t="e">
        <f ca="1">(OFFSET(Pinlist!$F$1,BC1249,0)-$BO$16)*$BO$19</f>
        <v>#N/A</v>
      </c>
      <c r="BG1249" s="1098" t="str">
        <f ca="1">IF(LEFT(BD1249,2)="RF",OFFSET(Pinlist!$D$1,Chart!BC1249,0)&amp;"_"&amp;OFFSET(Pinlist!$G$1,Chart!BC1249,0),"")</f>
        <v/>
      </c>
      <c r="BH1249" s="1098"/>
      <c r="BI1249" s="178"/>
      <c r="BJ1249" s="178"/>
      <c r="BK1249" s="178"/>
      <c r="BL1249" s="178"/>
      <c r="BM1249" s="178"/>
      <c r="BN1249" s="178"/>
      <c r="BO1249" s="178"/>
      <c r="BP1249" s="178"/>
      <c r="BQ1249" s="196"/>
      <c r="BR1249" s="196"/>
      <c r="BS1249" s="196"/>
      <c r="BT1249" s="196"/>
      <c r="BU1249" s="196"/>
      <c r="BV1249" s="196"/>
      <c r="BW1249" s="178"/>
      <c r="BX1249" s="196"/>
      <c r="BY1249" s="196"/>
      <c r="BZ1249" s="196"/>
      <c r="CA1249" s="196"/>
      <c r="CB1249" s="178"/>
      <c r="CC1249" s="178"/>
      <c r="CD1249" s="202"/>
      <c r="CE1249" s="202"/>
      <c r="CF1249" s="178"/>
      <c r="CG1249" s="196"/>
      <c r="CH1249" s="178"/>
      <c r="CI1249" s="178"/>
      <c r="CJ1249" s="178"/>
      <c r="CK1249" s="178"/>
      <c r="CL1249" s="178"/>
      <c r="CM1249" s="178"/>
      <c r="CN1249" s="178"/>
      <c r="CO1249" s="178"/>
      <c r="CP1249" s="178"/>
      <c r="CQ1249" s="178"/>
      <c r="CR1249" s="178"/>
      <c r="CS1249" s="178"/>
      <c r="CT1249" s="178"/>
      <c r="CU1249" s="178"/>
      <c r="CV1249" s="178"/>
      <c r="CW1249" s="178"/>
      <c r="CX1249" s="178"/>
      <c r="CY1249" s="178"/>
      <c r="CZ1249" s="178"/>
      <c r="DA1249" s="150"/>
    </row>
    <row r="1250" spans="53:105" x14ac:dyDescent="0.2">
      <c r="BA1250" s="518">
        <f t="shared" ca="1" si="70"/>
        <v>61</v>
      </c>
      <c r="BB1250" s="174">
        <f t="shared" ca="1" si="71"/>
        <v>1187</v>
      </c>
      <c r="BC1250" s="525" t="e">
        <f ca="1">MATCH(BD1250,OFFSET(Pinlist!$A$2,BC1249*(BA1250=BA1249),0,$BM$23,1),0)+BC1249*(BA1250=BA1249)</f>
        <v>#N/A</v>
      </c>
      <c r="BD1250" s="167">
        <f t="shared" ca="1" si="72"/>
        <v>0</v>
      </c>
      <c r="BE1250" s="191" t="e">
        <f ca="1">(OFFSET(Pinlist!$E$1,BC1250,0)-$BN$16)*$BN$19</f>
        <v>#N/A</v>
      </c>
      <c r="BF1250" s="192" t="e">
        <f ca="1">(OFFSET(Pinlist!$F$1,BC1250,0)-$BO$16)*$BO$19</f>
        <v>#N/A</v>
      </c>
      <c r="BG1250" s="1098" t="str">
        <f ca="1">IF(LEFT(BD1250,2)="RF",OFFSET(Pinlist!$D$1,Chart!BC1250,0)&amp;"_"&amp;OFFSET(Pinlist!$G$1,Chart!BC1250,0),"")</f>
        <v/>
      </c>
      <c r="BH1250" s="1098"/>
      <c r="BI1250" s="178"/>
      <c r="BJ1250" s="178"/>
      <c r="BK1250" s="178"/>
      <c r="BL1250" s="178"/>
      <c r="BM1250" s="178"/>
      <c r="BN1250" s="178"/>
      <c r="BO1250" s="178"/>
      <c r="BP1250" s="178"/>
      <c r="BQ1250" s="196"/>
      <c r="BR1250" s="196"/>
      <c r="BS1250" s="196"/>
      <c r="BT1250" s="196"/>
      <c r="BU1250" s="196"/>
      <c r="BV1250" s="196"/>
      <c r="BW1250" s="178"/>
      <c r="BX1250" s="196"/>
      <c r="BY1250" s="196"/>
      <c r="BZ1250" s="196"/>
      <c r="CA1250" s="196"/>
      <c r="CB1250" s="178"/>
      <c r="CC1250" s="178"/>
      <c r="CD1250" s="202"/>
      <c r="CE1250" s="202"/>
      <c r="CF1250" s="178"/>
      <c r="CG1250" s="196"/>
      <c r="CH1250" s="178"/>
      <c r="CI1250" s="178"/>
      <c r="CJ1250" s="178"/>
      <c r="CK1250" s="178"/>
      <c r="CL1250" s="178"/>
      <c r="CM1250" s="178"/>
      <c r="CN1250" s="178"/>
      <c r="CO1250" s="178"/>
      <c r="CP1250" s="178"/>
      <c r="CQ1250" s="178"/>
      <c r="CR1250" s="178"/>
      <c r="CS1250" s="178"/>
      <c r="CT1250" s="178"/>
      <c r="CU1250" s="178"/>
      <c r="CV1250" s="178"/>
      <c r="CW1250" s="178"/>
      <c r="CX1250" s="178"/>
      <c r="CY1250" s="178"/>
      <c r="CZ1250" s="178"/>
      <c r="DA1250" s="150"/>
    </row>
    <row r="1251" spans="53:105" x14ac:dyDescent="0.2">
      <c r="BA1251" s="518">
        <f t="shared" ca="1" si="70"/>
        <v>61</v>
      </c>
      <c r="BB1251" s="174">
        <f t="shared" ca="1" si="71"/>
        <v>1188</v>
      </c>
      <c r="BC1251" s="525" t="e">
        <f ca="1">MATCH(BD1251,OFFSET(Pinlist!$A$2,BC1250*(BA1251=BA1250),0,$BM$23,1),0)+BC1250*(BA1251=BA1250)</f>
        <v>#N/A</v>
      </c>
      <c r="BD1251" s="167">
        <f t="shared" ca="1" si="72"/>
        <v>0</v>
      </c>
      <c r="BE1251" s="191" t="e">
        <f ca="1">(OFFSET(Pinlist!$E$1,BC1251,0)-$BN$16)*$BN$19</f>
        <v>#N/A</v>
      </c>
      <c r="BF1251" s="192" t="e">
        <f ca="1">(OFFSET(Pinlist!$F$1,BC1251,0)-$BO$16)*$BO$19</f>
        <v>#N/A</v>
      </c>
      <c r="BG1251" s="1098" t="str">
        <f ca="1">IF(LEFT(BD1251,2)="RF",OFFSET(Pinlist!$D$1,Chart!BC1251,0)&amp;"_"&amp;OFFSET(Pinlist!$G$1,Chart!BC1251,0),"")</f>
        <v/>
      </c>
      <c r="BH1251" s="1098"/>
      <c r="BI1251" s="178"/>
      <c r="BJ1251" s="178"/>
      <c r="BK1251" s="178"/>
      <c r="BL1251" s="178"/>
      <c r="BM1251" s="178"/>
      <c r="BN1251" s="178"/>
      <c r="BO1251" s="178"/>
      <c r="BP1251" s="178"/>
      <c r="BQ1251" s="196"/>
      <c r="BR1251" s="196"/>
      <c r="BS1251" s="196"/>
      <c r="BT1251" s="196"/>
      <c r="BU1251" s="196"/>
      <c r="BV1251" s="196"/>
      <c r="BW1251" s="178"/>
      <c r="BX1251" s="196"/>
      <c r="BY1251" s="196"/>
      <c r="BZ1251" s="196"/>
      <c r="CA1251" s="196"/>
      <c r="CB1251" s="178"/>
      <c r="CC1251" s="178"/>
      <c r="CD1251" s="202"/>
      <c r="CE1251" s="202"/>
      <c r="CF1251" s="178"/>
      <c r="CG1251" s="196"/>
      <c r="CH1251" s="178"/>
      <c r="CI1251" s="178"/>
      <c r="CJ1251" s="178"/>
      <c r="CK1251" s="178"/>
      <c r="CL1251" s="178"/>
      <c r="CM1251" s="178"/>
      <c r="CN1251" s="178"/>
      <c r="CO1251" s="178"/>
      <c r="CP1251" s="178"/>
      <c r="CQ1251" s="178"/>
      <c r="CR1251" s="178"/>
      <c r="CS1251" s="178"/>
      <c r="CT1251" s="178"/>
      <c r="CU1251" s="178"/>
      <c r="CV1251" s="178"/>
      <c r="CW1251" s="178"/>
      <c r="CX1251" s="178"/>
      <c r="CY1251" s="178"/>
      <c r="CZ1251" s="178"/>
      <c r="DA1251" s="150"/>
    </row>
    <row r="1252" spans="53:105" x14ac:dyDescent="0.2">
      <c r="BA1252" s="518">
        <f t="shared" ca="1" si="70"/>
        <v>61</v>
      </c>
      <c r="BB1252" s="174">
        <f t="shared" ca="1" si="71"/>
        <v>1189</v>
      </c>
      <c r="BC1252" s="525" t="e">
        <f ca="1">MATCH(BD1252,OFFSET(Pinlist!$A$2,BC1251*(BA1252=BA1251),0,$BM$23,1),0)+BC1251*(BA1252=BA1251)</f>
        <v>#N/A</v>
      </c>
      <c r="BD1252" s="167">
        <f t="shared" ca="1" si="72"/>
        <v>0</v>
      </c>
      <c r="BE1252" s="191" t="e">
        <f ca="1">(OFFSET(Pinlist!$E$1,BC1252,0)-$BN$16)*$BN$19</f>
        <v>#N/A</v>
      </c>
      <c r="BF1252" s="192" t="e">
        <f ca="1">(OFFSET(Pinlist!$F$1,BC1252,0)-$BO$16)*$BO$19</f>
        <v>#N/A</v>
      </c>
      <c r="BG1252" s="1098" t="str">
        <f ca="1">IF(LEFT(BD1252,2)="RF",OFFSET(Pinlist!$D$1,Chart!BC1252,0)&amp;"_"&amp;OFFSET(Pinlist!$G$1,Chart!BC1252,0),"")</f>
        <v/>
      </c>
      <c r="BH1252" s="1098"/>
      <c r="BI1252" s="178"/>
      <c r="BJ1252" s="178"/>
      <c r="BK1252" s="178"/>
      <c r="BL1252" s="178"/>
      <c r="BM1252" s="178"/>
      <c r="BN1252" s="178"/>
      <c r="BO1252" s="178"/>
      <c r="BP1252" s="178"/>
      <c r="BQ1252" s="196"/>
      <c r="BR1252" s="196"/>
      <c r="BS1252" s="196"/>
      <c r="BT1252" s="196"/>
      <c r="BU1252" s="196"/>
      <c r="BV1252" s="196"/>
      <c r="BW1252" s="178"/>
      <c r="BX1252" s="196"/>
      <c r="BY1252" s="196"/>
      <c r="BZ1252" s="196"/>
      <c r="CA1252" s="196"/>
      <c r="CB1252" s="178"/>
      <c r="CC1252" s="178"/>
      <c r="CD1252" s="202"/>
      <c r="CE1252" s="202"/>
      <c r="CF1252" s="178"/>
      <c r="CG1252" s="196"/>
      <c r="CH1252" s="178"/>
      <c r="CI1252" s="178"/>
      <c r="CJ1252" s="178"/>
      <c r="CK1252" s="178"/>
      <c r="CL1252" s="178"/>
      <c r="CM1252" s="178"/>
      <c r="CN1252" s="178"/>
      <c r="CO1252" s="178"/>
      <c r="CP1252" s="178"/>
      <c r="CQ1252" s="178"/>
      <c r="CR1252" s="178"/>
      <c r="CS1252" s="178"/>
      <c r="CT1252" s="178"/>
      <c r="CU1252" s="178"/>
      <c r="CV1252" s="178"/>
      <c r="CW1252" s="178"/>
      <c r="CX1252" s="178"/>
      <c r="CY1252" s="178"/>
      <c r="CZ1252" s="178"/>
      <c r="DA1252" s="150"/>
    </row>
    <row r="1253" spans="53:105" x14ac:dyDescent="0.2">
      <c r="BA1253" s="518">
        <f t="shared" ca="1" si="70"/>
        <v>61</v>
      </c>
      <c r="BB1253" s="174">
        <f t="shared" ca="1" si="71"/>
        <v>1190</v>
      </c>
      <c r="BC1253" s="525" t="e">
        <f ca="1">MATCH(BD1253,OFFSET(Pinlist!$A$2,BC1252*(BA1253=BA1252),0,$BM$23,1),0)+BC1252*(BA1253=BA1252)</f>
        <v>#N/A</v>
      </c>
      <c r="BD1253" s="167">
        <f t="shared" ca="1" si="72"/>
        <v>0</v>
      </c>
      <c r="BE1253" s="191" t="e">
        <f ca="1">(OFFSET(Pinlist!$E$1,BC1253,0)-$BN$16)*$BN$19</f>
        <v>#N/A</v>
      </c>
      <c r="BF1253" s="192" t="e">
        <f ca="1">(OFFSET(Pinlist!$F$1,BC1253,0)-$BO$16)*$BO$19</f>
        <v>#N/A</v>
      </c>
      <c r="BG1253" s="1098" t="str">
        <f ca="1">IF(LEFT(BD1253,2)="RF",OFFSET(Pinlist!$D$1,Chart!BC1253,0)&amp;"_"&amp;OFFSET(Pinlist!$G$1,Chart!BC1253,0),"")</f>
        <v/>
      </c>
      <c r="BH1253" s="1098"/>
      <c r="BI1253" s="178"/>
      <c r="BJ1253" s="178"/>
      <c r="BK1253" s="178"/>
      <c r="BL1253" s="178"/>
      <c r="BM1253" s="178"/>
      <c r="BN1253" s="178"/>
      <c r="BO1253" s="178"/>
      <c r="BP1253" s="178"/>
      <c r="BQ1253" s="196"/>
      <c r="BR1253" s="196"/>
      <c r="BS1253" s="196"/>
      <c r="BT1253" s="196"/>
      <c r="BU1253" s="196"/>
      <c r="BV1253" s="196"/>
      <c r="BW1253" s="178"/>
      <c r="BX1253" s="196"/>
      <c r="BY1253" s="196"/>
      <c r="BZ1253" s="196"/>
      <c r="CA1253" s="196"/>
      <c r="CB1253" s="178"/>
      <c r="CC1253" s="178"/>
      <c r="CD1253" s="202"/>
      <c r="CE1253" s="202"/>
      <c r="CF1253" s="178"/>
      <c r="CG1253" s="196"/>
      <c r="CH1253" s="178"/>
      <c r="CI1253" s="178"/>
      <c r="CJ1253" s="178"/>
      <c r="CK1253" s="178"/>
      <c r="CL1253" s="178"/>
      <c r="CM1253" s="178"/>
      <c r="CN1253" s="178"/>
      <c r="CO1253" s="178"/>
      <c r="CP1253" s="178"/>
      <c r="CQ1253" s="178"/>
      <c r="CR1253" s="178"/>
      <c r="CS1253" s="178"/>
      <c r="CT1253" s="178"/>
      <c r="CU1253" s="178"/>
      <c r="CV1253" s="178"/>
      <c r="CW1253" s="178"/>
      <c r="CX1253" s="178"/>
      <c r="CY1253" s="178"/>
      <c r="CZ1253" s="178"/>
      <c r="DA1253" s="150"/>
    </row>
    <row r="1254" spans="53:105" x14ac:dyDescent="0.2">
      <c r="BA1254" s="518">
        <f t="shared" ca="1" si="70"/>
        <v>61</v>
      </c>
      <c r="BB1254" s="174">
        <f t="shared" ca="1" si="71"/>
        <v>1191</v>
      </c>
      <c r="BC1254" s="525" t="e">
        <f ca="1">MATCH(BD1254,OFFSET(Pinlist!$A$2,BC1253*(BA1254=BA1253),0,$BM$23,1),0)+BC1253*(BA1254=BA1253)</f>
        <v>#N/A</v>
      </c>
      <c r="BD1254" s="167">
        <f t="shared" ca="1" si="72"/>
        <v>0</v>
      </c>
      <c r="BE1254" s="191" t="e">
        <f ca="1">(OFFSET(Pinlist!$E$1,BC1254,0)-$BN$16)*$BN$19</f>
        <v>#N/A</v>
      </c>
      <c r="BF1254" s="192" t="e">
        <f ca="1">(OFFSET(Pinlist!$F$1,BC1254,0)-$BO$16)*$BO$19</f>
        <v>#N/A</v>
      </c>
      <c r="BG1254" s="1098" t="str">
        <f ca="1">IF(LEFT(BD1254,2)="RF",OFFSET(Pinlist!$D$1,Chart!BC1254,0)&amp;"_"&amp;OFFSET(Pinlist!$G$1,Chart!BC1254,0),"")</f>
        <v/>
      </c>
      <c r="BH1254" s="1098"/>
      <c r="BI1254" s="178"/>
      <c r="BJ1254" s="178"/>
      <c r="BK1254" s="178"/>
      <c r="BL1254" s="178"/>
      <c r="BM1254" s="178"/>
      <c r="BN1254" s="178"/>
      <c r="BO1254" s="178"/>
      <c r="BP1254" s="178"/>
      <c r="BQ1254" s="196"/>
      <c r="BR1254" s="196"/>
      <c r="BS1254" s="196"/>
      <c r="BT1254" s="196"/>
      <c r="BU1254" s="196"/>
      <c r="BV1254" s="196"/>
      <c r="BW1254" s="178"/>
      <c r="BX1254" s="196"/>
      <c r="BY1254" s="196"/>
      <c r="BZ1254" s="196"/>
      <c r="CA1254" s="196"/>
      <c r="CB1254" s="178"/>
      <c r="CC1254" s="178"/>
      <c r="CD1254" s="202"/>
      <c r="CE1254" s="202"/>
      <c r="CF1254" s="178"/>
      <c r="CG1254" s="196"/>
      <c r="CH1254" s="178"/>
      <c r="CI1254" s="178"/>
      <c r="CJ1254" s="178"/>
      <c r="CK1254" s="178"/>
      <c r="CL1254" s="178"/>
      <c r="CM1254" s="178"/>
      <c r="CN1254" s="178"/>
      <c r="CO1254" s="178"/>
      <c r="CP1254" s="178"/>
      <c r="CQ1254" s="178"/>
      <c r="CR1254" s="178"/>
      <c r="CS1254" s="178"/>
      <c r="CT1254" s="178"/>
      <c r="CU1254" s="178"/>
      <c r="CV1254" s="178"/>
      <c r="CW1254" s="178"/>
      <c r="CX1254" s="178"/>
      <c r="CY1254" s="178"/>
      <c r="CZ1254" s="178"/>
      <c r="DA1254" s="150"/>
    </row>
    <row r="1255" spans="53:105" x14ac:dyDescent="0.2">
      <c r="BA1255" s="518">
        <f t="shared" ca="1" si="70"/>
        <v>61</v>
      </c>
      <c r="BB1255" s="174">
        <f t="shared" ca="1" si="71"/>
        <v>1192</v>
      </c>
      <c r="BC1255" s="525" t="e">
        <f ca="1">MATCH(BD1255,OFFSET(Pinlist!$A$2,BC1254*(BA1255=BA1254),0,$BM$23,1),0)+BC1254*(BA1255=BA1254)</f>
        <v>#N/A</v>
      </c>
      <c r="BD1255" s="167">
        <f t="shared" ca="1" si="72"/>
        <v>0</v>
      </c>
      <c r="BE1255" s="191" t="e">
        <f ca="1">(OFFSET(Pinlist!$E$1,BC1255,0)-$BN$16)*$BN$19</f>
        <v>#N/A</v>
      </c>
      <c r="BF1255" s="192" t="e">
        <f ca="1">(OFFSET(Pinlist!$F$1,BC1255,0)-$BO$16)*$BO$19</f>
        <v>#N/A</v>
      </c>
      <c r="BG1255" s="1098" t="str">
        <f ca="1">IF(LEFT(BD1255,2)="RF",OFFSET(Pinlist!$D$1,Chart!BC1255,0)&amp;"_"&amp;OFFSET(Pinlist!$G$1,Chart!BC1255,0),"")</f>
        <v/>
      </c>
      <c r="BH1255" s="1098"/>
      <c r="BI1255" s="178"/>
      <c r="BJ1255" s="178"/>
      <c r="BK1255" s="178"/>
      <c r="BL1255" s="178"/>
      <c r="BM1255" s="178"/>
      <c r="BN1255" s="178"/>
      <c r="BO1255" s="178"/>
      <c r="BP1255" s="178"/>
      <c r="BQ1255" s="196"/>
      <c r="BR1255" s="196"/>
      <c r="BS1255" s="196"/>
      <c r="BT1255" s="196"/>
      <c r="BU1255" s="196"/>
      <c r="BV1255" s="196"/>
      <c r="BW1255" s="178"/>
      <c r="BX1255" s="196"/>
      <c r="BY1255" s="196"/>
      <c r="BZ1255" s="196"/>
      <c r="CA1255" s="196"/>
      <c r="CB1255" s="178"/>
      <c r="CC1255" s="178"/>
      <c r="CD1255" s="202"/>
      <c r="CE1255" s="202"/>
      <c r="CF1255" s="178"/>
      <c r="CG1255" s="196"/>
      <c r="CH1255" s="178"/>
      <c r="CI1255" s="178"/>
      <c r="CJ1255" s="178"/>
      <c r="CK1255" s="178"/>
      <c r="CL1255" s="178"/>
      <c r="CM1255" s="178"/>
      <c r="CN1255" s="178"/>
      <c r="CO1255" s="178"/>
      <c r="CP1255" s="178"/>
      <c r="CQ1255" s="178"/>
      <c r="CR1255" s="178"/>
      <c r="CS1255" s="178"/>
      <c r="CT1255" s="178"/>
      <c r="CU1255" s="178"/>
      <c r="CV1255" s="178"/>
      <c r="CW1255" s="178"/>
      <c r="CX1255" s="178"/>
      <c r="CY1255" s="178"/>
      <c r="CZ1255" s="178"/>
      <c r="DA1255" s="150"/>
    </row>
    <row r="1256" spans="53:105" x14ac:dyDescent="0.2">
      <c r="BA1256" s="518">
        <f t="shared" ca="1" si="70"/>
        <v>61</v>
      </c>
      <c r="BB1256" s="174">
        <f t="shared" ca="1" si="71"/>
        <v>1193</v>
      </c>
      <c r="BC1256" s="525" t="e">
        <f ca="1">MATCH(BD1256,OFFSET(Pinlist!$A$2,BC1255*(BA1256=BA1255),0,$BM$23,1),0)+BC1255*(BA1256=BA1255)</f>
        <v>#N/A</v>
      </c>
      <c r="BD1256" s="167">
        <f t="shared" ca="1" si="72"/>
        <v>0</v>
      </c>
      <c r="BE1256" s="191" t="e">
        <f ca="1">(OFFSET(Pinlist!$E$1,BC1256,0)-$BN$16)*$BN$19</f>
        <v>#N/A</v>
      </c>
      <c r="BF1256" s="192" t="e">
        <f ca="1">(OFFSET(Pinlist!$F$1,BC1256,0)-$BO$16)*$BO$19</f>
        <v>#N/A</v>
      </c>
      <c r="BG1256" s="1098" t="str">
        <f ca="1">IF(LEFT(BD1256,2)="RF",OFFSET(Pinlist!$D$1,Chart!BC1256,0)&amp;"_"&amp;OFFSET(Pinlist!$G$1,Chart!BC1256,0),"")</f>
        <v/>
      </c>
      <c r="BH1256" s="1098"/>
      <c r="BI1256" s="178"/>
      <c r="BJ1256" s="178"/>
      <c r="BK1256" s="178"/>
      <c r="BL1256" s="178"/>
      <c r="BM1256" s="178"/>
      <c r="BN1256" s="178"/>
      <c r="BO1256" s="178"/>
      <c r="BP1256" s="178"/>
      <c r="BQ1256" s="196"/>
      <c r="BR1256" s="196"/>
      <c r="BS1256" s="196"/>
      <c r="BT1256" s="196"/>
      <c r="BU1256" s="196"/>
      <c r="BV1256" s="196"/>
      <c r="BW1256" s="178"/>
      <c r="BX1256" s="196"/>
      <c r="BY1256" s="196"/>
      <c r="BZ1256" s="196"/>
      <c r="CA1256" s="196"/>
      <c r="CB1256" s="178"/>
      <c r="CC1256" s="178"/>
      <c r="CD1256" s="202"/>
      <c r="CE1256" s="202"/>
      <c r="CF1256" s="178"/>
      <c r="CG1256" s="196"/>
      <c r="CH1256" s="178"/>
      <c r="CI1256" s="178"/>
      <c r="CJ1256" s="178"/>
      <c r="CK1256" s="178"/>
      <c r="CL1256" s="178"/>
      <c r="CM1256" s="178"/>
      <c r="CN1256" s="178"/>
      <c r="CO1256" s="178"/>
      <c r="CP1256" s="178"/>
      <c r="CQ1256" s="178"/>
      <c r="CR1256" s="178"/>
      <c r="CS1256" s="178"/>
      <c r="CT1256" s="178"/>
      <c r="CU1256" s="178"/>
      <c r="CV1256" s="178"/>
      <c r="CW1256" s="178"/>
      <c r="CX1256" s="178"/>
      <c r="CY1256" s="178"/>
      <c r="CZ1256" s="178"/>
      <c r="DA1256" s="150"/>
    </row>
    <row r="1257" spans="53:105" x14ac:dyDescent="0.2">
      <c r="BA1257" s="518">
        <f t="shared" ca="1" si="70"/>
        <v>61</v>
      </c>
      <c r="BB1257" s="174">
        <f t="shared" ca="1" si="71"/>
        <v>1194</v>
      </c>
      <c r="BC1257" s="525" t="e">
        <f ca="1">MATCH(BD1257,OFFSET(Pinlist!$A$2,BC1256*(BA1257=BA1256),0,$BM$23,1),0)+BC1256*(BA1257=BA1256)</f>
        <v>#N/A</v>
      </c>
      <c r="BD1257" s="167">
        <f t="shared" ca="1" si="72"/>
        <v>0</v>
      </c>
      <c r="BE1257" s="191" t="e">
        <f ca="1">(OFFSET(Pinlist!$E$1,BC1257,0)-$BN$16)*$BN$19</f>
        <v>#N/A</v>
      </c>
      <c r="BF1257" s="192" t="e">
        <f ca="1">(OFFSET(Pinlist!$F$1,BC1257,0)-$BO$16)*$BO$19</f>
        <v>#N/A</v>
      </c>
      <c r="BG1257" s="1098" t="str">
        <f ca="1">IF(LEFT(BD1257,2)="RF",OFFSET(Pinlist!$D$1,Chart!BC1257,0)&amp;"_"&amp;OFFSET(Pinlist!$G$1,Chart!BC1257,0),"")</f>
        <v/>
      </c>
      <c r="BH1257" s="1098"/>
      <c r="BI1257" s="178"/>
      <c r="BJ1257" s="178"/>
      <c r="BK1257" s="178"/>
      <c r="BL1257" s="178"/>
      <c r="BM1257" s="178"/>
      <c r="BN1257" s="178"/>
      <c r="BO1257" s="178"/>
      <c r="BP1257" s="178"/>
      <c r="BQ1257" s="196"/>
      <c r="BR1257" s="196"/>
      <c r="BS1257" s="196"/>
      <c r="BT1257" s="196"/>
      <c r="BU1257" s="196"/>
      <c r="BV1257" s="196"/>
      <c r="BW1257" s="178"/>
      <c r="BX1257" s="196"/>
      <c r="BY1257" s="196"/>
      <c r="BZ1257" s="196"/>
      <c r="CA1257" s="196"/>
      <c r="CB1257" s="178"/>
      <c r="CC1257" s="178"/>
      <c r="CD1257" s="202"/>
      <c r="CE1257" s="202"/>
      <c r="CF1257" s="178"/>
      <c r="CG1257" s="196"/>
      <c r="CH1257" s="178"/>
      <c r="CI1257" s="178"/>
      <c r="CJ1257" s="178"/>
      <c r="CK1257" s="178"/>
      <c r="CL1257" s="178"/>
      <c r="CM1257" s="178"/>
      <c r="CN1257" s="178"/>
      <c r="CO1257" s="178"/>
      <c r="CP1257" s="178"/>
      <c r="CQ1257" s="178"/>
      <c r="CR1257" s="178"/>
      <c r="CS1257" s="178"/>
      <c r="CT1257" s="178"/>
      <c r="CU1257" s="178"/>
      <c r="CV1257" s="178"/>
      <c r="CW1257" s="178"/>
      <c r="CX1257" s="178"/>
      <c r="CY1257" s="178"/>
      <c r="CZ1257" s="178"/>
      <c r="DA1257" s="150"/>
    </row>
    <row r="1258" spans="53:105" x14ac:dyDescent="0.2">
      <c r="BA1258" s="518">
        <f t="shared" ca="1" si="70"/>
        <v>61</v>
      </c>
      <c r="BB1258" s="174">
        <f t="shared" ca="1" si="71"/>
        <v>1195</v>
      </c>
      <c r="BC1258" s="525" t="e">
        <f ca="1">MATCH(BD1258,OFFSET(Pinlist!$A$2,BC1257*(BA1258=BA1257),0,$BM$23,1),0)+BC1257*(BA1258=BA1257)</f>
        <v>#N/A</v>
      </c>
      <c r="BD1258" s="167">
        <f t="shared" ca="1" si="72"/>
        <v>0</v>
      </c>
      <c r="BE1258" s="191" t="e">
        <f ca="1">(OFFSET(Pinlist!$E$1,BC1258,0)-$BN$16)*$BN$19</f>
        <v>#N/A</v>
      </c>
      <c r="BF1258" s="192" t="e">
        <f ca="1">(OFFSET(Pinlist!$F$1,BC1258,0)-$BO$16)*$BO$19</f>
        <v>#N/A</v>
      </c>
      <c r="BG1258" s="1098" t="str">
        <f ca="1">IF(LEFT(BD1258,2)="RF",OFFSET(Pinlist!$D$1,Chart!BC1258,0)&amp;"_"&amp;OFFSET(Pinlist!$G$1,Chart!BC1258,0),"")</f>
        <v/>
      </c>
      <c r="BH1258" s="1098"/>
      <c r="BI1258" s="178"/>
      <c r="BJ1258" s="178"/>
      <c r="BK1258" s="178"/>
      <c r="BL1258" s="178"/>
      <c r="BM1258" s="178"/>
      <c r="BN1258" s="178"/>
      <c r="BO1258" s="178"/>
      <c r="BP1258" s="178"/>
      <c r="BQ1258" s="196"/>
      <c r="BR1258" s="196"/>
      <c r="BS1258" s="196"/>
      <c r="BT1258" s="196"/>
      <c r="BU1258" s="196"/>
      <c r="BV1258" s="196"/>
      <c r="BW1258" s="178"/>
      <c r="BX1258" s="196"/>
      <c r="BY1258" s="196"/>
      <c r="BZ1258" s="196"/>
      <c r="CA1258" s="196"/>
      <c r="CB1258" s="178"/>
      <c r="CC1258" s="178"/>
      <c r="CD1258" s="202"/>
      <c r="CE1258" s="202"/>
      <c r="CF1258" s="178"/>
      <c r="CG1258" s="196"/>
      <c r="CH1258" s="178"/>
      <c r="CI1258" s="178"/>
      <c r="CJ1258" s="178"/>
      <c r="CK1258" s="178"/>
      <c r="CL1258" s="178"/>
      <c r="CM1258" s="178"/>
      <c r="CN1258" s="178"/>
      <c r="CO1258" s="178"/>
      <c r="CP1258" s="178"/>
      <c r="CQ1258" s="178"/>
      <c r="CR1258" s="178"/>
      <c r="CS1258" s="178"/>
      <c r="CT1258" s="178"/>
      <c r="CU1258" s="178"/>
      <c r="CV1258" s="178"/>
      <c r="CW1258" s="178"/>
      <c r="CX1258" s="178"/>
      <c r="CY1258" s="178"/>
      <c r="CZ1258" s="178"/>
      <c r="DA1258" s="150"/>
    </row>
    <row r="1259" spans="53:105" x14ac:dyDescent="0.2">
      <c r="BA1259" s="518">
        <f t="shared" ca="1" si="70"/>
        <v>61</v>
      </c>
      <c r="BB1259" s="174">
        <f t="shared" ca="1" si="71"/>
        <v>1196</v>
      </c>
      <c r="BC1259" s="525" t="e">
        <f ca="1">MATCH(BD1259,OFFSET(Pinlist!$A$2,BC1258*(BA1259=BA1258),0,$BM$23,1),0)+BC1258*(BA1259=BA1258)</f>
        <v>#N/A</v>
      </c>
      <c r="BD1259" s="167">
        <f t="shared" ca="1" si="72"/>
        <v>0</v>
      </c>
      <c r="BE1259" s="191" t="e">
        <f ca="1">(OFFSET(Pinlist!$E$1,BC1259,0)-$BN$16)*$BN$19</f>
        <v>#N/A</v>
      </c>
      <c r="BF1259" s="192" t="e">
        <f ca="1">(OFFSET(Pinlist!$F$1,BC1259,0)-$BO$16)*$BO$19</f>
        <v>#N/A</v>
      </c>
      <c r="BG1259" s="1098" t="str">
        <f ca="1">IF(LEFT(BD1259,2)="RF",OFFSET(Pinlist!$D$1,Chart!BC1259,0)&amp;"_"&amp;OFFSET(Pinlist!$G$1,Chart!BC1259,0),"")</f>
        <v/>
      </c>
      <c r="BH1259" s="1098"/>
      <c r="BI1259" s="178"/>
      <c r="BJ1259" s="178"/>
      <c r="BK1259" s="178"/>
      <c r="BL1259" s="178"/>
      <c r="BM1259" s="178"/>
      <c r="BN1259" s="178"/>
      <c r="BO1259" s="178"/>
      <c r="BP1259" s="178"/>
      <c r="BQ1259" s="196"/>
      <c r="BR1259" s="196"/>
      <c r="BS1259" s="196"/>
      <c r="BT1259" s="196"/>
      <c r="BU1259" s="196"/>
      <c r="BV1259" s="196"/>
      <c r="BW1259" s="178"/>
      <c r="BX1259" s="196"/>
      <c r="BY1259" s="196"/>
      <c r="BZ1259" s="196"/>
      <c r="CA1259" s="196"/>
      <c r="CB1259" s="178"/>
      <c r="CC1259" s="178"/>
      <c r="CD1259" s="202"/>
      <c r="CE1259" s="202"/>
      <c r="CF1259" s="178"/>
      <c r="CG1259" s="196"/>
      <c r="CH1259" s="178"/>
      <c r="CI1259" s="178"/>
      <c r="CJ1259" s="178"/>
      <c r="CK1259" s="178"/>
      <c r="CL1259" s="178"/>
      <c r="CM1259" s="178"/>
      <c r="CN1259" s="178"/>
      <c r="CO1259" s="178"/>
      <c r="CP1259" s="178"/>
      <c r="CQ1259" s="178"/>
      <c r="CR1259" s="178"/>
      <c r="CS1259" s="178"/>
      <c r="CT1259" s="178"/>
      <c r="CU1259" s="178"/>
      <c r="CV1259" s="178"/>
      <c r="CW1259" s="178"/>
      <c r="CX1259" s="178"/>
      <c r="CY1259" s="178"/>
      <c r="CZ1259" s="178"/>
      <c r="DA1259" s="150"/>
    </row>
    <row r="1260" spans="53:105" x14ac:dyDescent="0.2">
      <c r="BA1260" s="518">
        <f t="shared" ca="1" si="70"/>
        <v>61</v>
      </c>
      <c r="BB1260" s="174">
        <f t="shared" ca="1" si="71"/>
        <v>1197</v>
      </c>
      <c r="BC1260" s="525" t="e">
        <f ca="1">MATCH(BD1260,OFFSET(Pinlist!$A$2,BC1259*(BA1260=BA1259),0,$BM$23,1),0)+BC1259*(BA1260=BA1259)</f>
        <v>#N/A</v>
      </c>
      <c r="BD1260" s="167">
        <f t="shared" ca="1" si="72"/>
        <v>0</v>
      </c>
      <c r="BE1260" s="191" t="e">
        <f ca="1">(OFFSET(Pinlist!$E$1,BC1260,0)-$BN$16)*$BN$19</f>
        <v>#N/A</v>
      </c>
      <c r="BF1260" s="192" t="e">
        <f ca="1">(OFFSET(Pinlist!$F$1,BC1260,0)-$BO$16)*$BO$19</f>
        <v>#N/A</v>
      </c>
      <c r="BG1260" s="1098" t="str">
        <f ca="1">IF(LEFT(BD1260,2)="RF",OFFSET(Pinlist!$D$1,Chart!BC1260,0)&amp;"_"&amp;OFFSET(Pinlist!$G$1,Chart!BC1260,0),"")</f>
        <v/>
      </c>
      <c r="BH1260" s="1098"/>
      <c r="BI1260" s="178"/>
      <c r="BJ1260" s="178"/>
      <c r="BK1260" s="178"/>
      <c r="BL1260" s="178"/>
      <c r="BM1260" s="178"/>
      <c r="BN1260" s="178"/>
      <c r="BO1260" s="178"/>
      <c r="BP1260" s="178"/>
      <c r="BQ1260" s="196"/>
      <c r="BR1260" s="196"/>
      <c r="BS1260" s="196"/>
      <c r="BT1260" s="196"/>
      <c r="BU1260" s="196"/>
      <c r="BV1260" s="196"/>
      <c r="BW1260" s="178"/>
      <c r="BX1260" s="196"/>
      <c r="BY1260" s="196"/>
      <c r="BZ1260" s="196"/>
      <c r="CA1260" s="196"/>
      <c r="CB1260" s="178"/>
      <c r="CC1260" s="178"/>
      <c r="CD1260" s="202"/>
      <c r="CE1260" s="202"/>
      <c r="CF1260" s="178"/>
      <c r="CG1260" s="196"/>
      <c r="CH1260" s="178"/>
      <c r="CI1260" s="178"/>
      <c r="CJ1260" s="178"/>
      <c r="CK1260" s="178"/>
      <c r="CL1260" s="178"/>
      <c r="CM1260" s="178"/>
      <c r="CN1260" s="178"/>
      <c r="CO1260" s="178"/>
      <c r="CP1260" s="178"/>
      <c r="CQ1260" s="178"/>
      <c r="CR1260" s="178"/>
      <c r="CS1260" s="178"/>
      <c r="CT1260" s="178"/>
      <c r="CU1260" s="178"/>
      <c r="CV1260" s="178"/>
      <c r="CW1260" s="178"/>
      <c r="CX1260" s="178"/>
      <c r="CY1260" s="178"/>
      <c r="CZ1260" s="178"/>
      <c r="DA1260" s="150"/>
    </row>
    <row r="1261" spans="53:105" x14ac:dyDescent="0.2">
      <c r="BA1261" s="518">
        <f t="shared" ca="1" si="70"/>
        <v>61</v>
      </c>
      <c r="BB1261" s="174">
        <f t="shared" ca="1" si="71"/>
        <v>1198</v>
      </c>
      <c r="BC1261" s="525" t="e">
        <f ca="1">MATCH(BD1261,OFFSET(Pinlist!$A$2,BC1260*(BA1261=BA1260),0,$BM$23,1),0)+BC1260*(BA1261=BA1260)</f>
        <v>#N/A</v>
      </c>
      <c r="BD1261" s="167">
        <f t="shared" ca="1" si="72"/>
        <v>0</v>
      </c>
      <c r="BE1261" s="191" t="e">
        <f ca="1">(OFFSET(Pinlist!$E$1,BC1261,0)-$BN$16)*$BN$19</f>
        <v>#N/A</v>
      </c>
      <c r="BF1261" s="192" t="e">
        <f ca="1">(OFFSET(Pinlist!$F$1,BC1261,0)-$BO$16)*$BO$19</f>
        <v>#N/A</v>
      </c>
      <c r="BG1261" s="1098" t="str">
        <f ca="1">IF(LEFT(BD1261,2)="RF",OFFSET(Pinlist!$D$1,Chart!BC1261,0)&amp;"_"&amp;OFFSET(Pinlist!$G$1,Chart!BC1261,0),"")</f>
        <v/>
      </c>
      <c r="BH1261" s="1098"/>
      <c r="BI1261" s="178"/>
      <c r="BJ1261" s="178"/>
      <c r="BK1261" s="178"/>
      <c r="BL1261" s="178"/>
      <c r="BM1261" s="178"/>
      <c r="BN1261" s="178"/>
      <c r="BO1261" s="178"/>
      <c r="BP1261" s="178"/>
      <c r="BQ1261" s="196"/>
      <c r="BR1261" s="196"/>
      <c r="BS1261" s="196"/>
      <c r="BT1261" s="196"/>
      <c r="BU1261" s="196"/>
      <c r="BV1261" s="196"/>
      <c r="BW1261" s="178"/>
      <c r="BX1261" s="196"/>
      <c r="BY1261" s="196"/>
      <c r="BZ1261" s="196"/>
      <c r="CA1261" s="196"/>
      <c r="CB1261" s="178"/>
      <c r="CC1261" s="178"/>
      <c r="CD1261" s="202"/>
      <c r="CE1261" s="202"/>
      <c r="CF1261" s="178"/>
      <c r="CG1261" s="196"/>
      <c r="CH1261" s="178"/>
      <c r="CI1261" s="178"/>
      <c r="CJ1261" s="178"/>
      <c r="CK1261" s="178"/>
      <c r="CL1261" s="178"/>
      <c r="CM1261" s="178"/>
      <c r="CN1261" s="178"/>
      <c r="CO1261" s="178"/>
      <c r="CP1261" s="178"/>
      <c r="CQ1261" s="178"/>
      <c r="CR1261" s="178"/>
      <c r="CS1261" s="178"/>
      <c r="CT1261" s="178"/>
      <c r="CU1261" s="178"/>
      <c r="CV1261" s="178"/>
      <c r="CW1261" s="178"/>
      <c r="CX1261" s="178"/>
      <c r="CY1261" s="178"/>
      <c r="CZ1261" s="178"/>
      <c r="DA1261" s="150"/>
    </row>
    <row r="1262" spans="53:105" x14ac:dyDescent="0.2">
      <c r="BA1262" s="518">
        <f t="shared" ca="1" si="70"/>
        <v>61</v>
      </c>
      <c r="BB1262" s="174">
        <f t="shared" ca="1" si="71"/>
        <v>1199</v>
      </c>
      <c r="BC1262" s="525" t="e">
        <f ca="1">MATCH(BD1262,OFFSET(Pinlist!$A$2,BC1261*(BA1262=BA1261),0,$BM$23,1),0)+BC1261*(BA1262=BA1261)</f>
        <v>#N/A</v>
      </c>
      <c r="BD1262" s="167">
        <f t="shared" ca="1" si="72"/>
        <v>0</v>
      </c>
      <c r="BE1262" s="191" t="e">
        <f ca="1">(OFFSET(Pinlist!$E$1,BC1262,0)-$BN$16)*$BN$19</f>
        <v>#N/A</v>
      </c>
      <c r="BF1262" s="192" t="e">
        <f ca="1">(OFFSET(Pinlist!$F$1,BC1262,0)-$BO$16)*$BO$19</f>
        <v>#N/A</v>
      </c>
      <c r="BG1262" s="1098" t="str">
        <f ca="1">IF(LEFT(BD1262,2)="RF",OFFSET(Pinlist!$D$1,Chart!BC1262,0)&amp;"_"&amp;OFFSET(Pinlist!$G$1,Chart!BC1262,0),"")</f>
        <v/>
      </c>
      <c r="BH1262" s="1098"/>
      <c r="BI1262" s="178"/>
      <c r="BJ1262" s="178"/>
      <c r="BK1262" s="178"/>
      <c r="BL1262" s="178"/>
      <c r="BM1262" s="178"/>
      <c r="BN1262" s="178"/>
      <c r="BO1262" s="178"/>
      <c r="BP1262" s="178"/>
      <c r="BQ1262" s="196"/>
      <c r="BR1262" s="196"/>
      <c r="BS1262" s="196"/>
      <c r="BT1262" s="196"/>
      <c r="BU1262" s="196"/>
      <c r="BV1262" s="196"/>
      <c r="BW1262" s="178"/>
      <c r="BX1262" s="196"/>
      <c r="BY1262" s="196"/>
      <c r="BZ1262" s="196"/>
      <c r="CA1262" s="196"/>
      <c r="CB1262" s="178"/>
      <c r="CC1262" s="178"/>
      <c r="CD1262" s="202"/>
      <c r="CE1262" s="202"/>
      <c r="CF1262" s="178"/>
      <c r="CG1262" s="196"/>
      <c r="CH1262" s="178"/>
      <c r="CI1262" s="178"/>
      <c r="CJ1262" s="178"/>
      <c r="CK1262" s="178"/>
      <c r="CL1262" s="178"/>
      <c r="CM1262" s="178"/>
      <c r="CN1262" s="178"/>
      <c r="CO1262" s="178"/>
      <c r="CP1262" s="178"/>
      <c r="CQ1262" s="178"/>
      <c r="CR1262" s="178"/>
      <c r="CS1262" s="178"/>
      <c r="CT1262" s="178"/>
      <c r="CU1262" s="178"/>
      <c r="CV1262" s="178"/>
      <c r="CW1262" s="178"/>
      <c r="CX1262" s="178"/>
      <c r="CY1262" s="178"/>
      <c r="CZ1262" s="178"/>
      <c r="DA1262" s="150"/>
    </row>
    <row r="1263" spans="53:105" x14ac:dyDescent="0.2">
      <c r="BA1263" s="518">
        <f t="shared" ca="1" si="70"/>
        <v>61</v>
      </c>
      <c r="BB1263" s="174">
        <f t="shared" ca="1" si="71"/>
        <v>1200</v>
      </c>
      <c r="BC1263" s="525" t="e">
        <f ca="1">MATCH(BD1263,OFFSET(Pinlist!$A$2,BC1262*(BA1263=BA1262),0,$BM$23,1),0)+BC1262*(BA1263=BA1262)</f>
        <v>#N/A</v>
      </c>
      <c r="BD1263" s="167">
        <f t="shared" ca="1" si="72"/>
        <v>0</v>
      </c>
      <c r="BE1263" s="191" t="e">
        <f ca="1">(OFFSET(Pinlist!$E$1,BC1263,0)-$BN$16)*$BN$19</f>
        <v>#N/A</v>
      </c>
      <c r="BF1263" s="192" t="e">
        <f ca="1">(OFFSET(Pinlist!$F$1,BC1263,0)-$BO$16)*$BO$19</f>
        <v>#N/A</v>
      </c>
      <c r="BG1263" s="1098" t="str">
        <f ca="1">IF(LEFT(BD1263,2)="RF",OFFSET(Pinlist!$D$1,Chart!BC1263,0)&amp;"_"&amp;OFFSET(Pinlist!$G$1,Chart!BC1263,0),"")</f>
        <v/>
      </c>
      <c r="BH1263" s="1098"/>
      <c r="BI1263" s="178"/>
      <c r="BJ1263" s="178"/>
      <c r="BK1263" s="178"/>
      <c r="BL1263" s="178"/>
      <c r="BM1263" s="178"/>
      <c r="BN1263" s="178"/>
      <c r="BO1263" s="178"/>
      <c r="BP1263" s="178"/>
      <c r="BQ1263" s="196"/>
      <c r="BR1263" s="196"/>
      <c r="BS1263" s="196"/>
      <c r="BT1263" s="196"/>
      <c r="BU1263" s="196"/>
      <c r="BV1263" s="196"/>
      <c r="BW1263" s="178"/>
      <c r="BX1263" s="196"/>
      <c r="BY1263" s="196"/>
      <c r="BZ1263" s="196"/>
      <c r="CA1263" s="196"/>
      <c r="CB1263" s="178"/>
      <c r="CC1263" s="178"/>
      <c r="CD1263" s="202"/>
      <c r="CE1263" s="202"/>
      <c r="CF1263" s="178"/>
      <c r="CG1263" s="196"/>
      <c r="CH1263" s="178"/>
      <c r="CI1263" s="178"/>
      <c r="CJ1263" s="178"/>
      <c r="CK1263" s="178"/>
      <c r="CL1263" s="178"/>
      <c r="CM1263" s="178"/>
      <c r="CN1263" s="178"/>
      <c r="CO1263" s="178"/>
      <c r="CP1263" s="178"/>
      <c r="CQ1263" s="178"/>
      <c r="CR1263" s="178"/>
      <c r="CS1263" s="178"/>
      <c r="CT1263" s="178"/>
      <c r="CU1263" s="178"/>
      <c r="CV1263" s="178"/>
      <c r="CW1263" s="178"/>
      <c r="CX1263" s="178"/>
      <c r="CY1263" s="178"/>
      <c r="CZ1263" s="178"/>
      <c r="DA1263" s="150"/>
    </row>
    <row r="1264" spans="53:105" x14ac:dyDescent="0.2">
      <c r="BA1264" s="518">
        <f t="shared" ca="1" si="70"/>
        <v>61</v>
      </c>
      <c r="BB1264" s="174">
        <f t="shared" ca="1" si="71"/>
        <v>1201</v>
      </c>
      <c r="BC1264" s="525" t="e">
        <f ca="1">MATCH(BD1264,OFFSET(Pinlist!$A$2,BC1263*(BA1264=BA1263),0,$BM$23,1),0)+BC1263*(BA1264=BA1263)</f>
        <v>#N/A</v>
      </c>
      <c r="BD1264" s="167">
        <f t="shared" ca="1" si="72"/>
        <v>0</v>
      </c>
      <c r="BE1264" s="191" t="e">
        <f ca="1">(OFFSET(Pinlist!$E$1,BC1264,0)-$BN$16)*$BN$19</f>
        <v>#N/A</v>
      </c>
      <c r="BF1264" s="192" t="e">
        <f ca="1">(OFFSET(Pinlist!$F$1,BC1264,0)-$BO$16)*$BO$19</f>
        <v>#N/A</v>
      </c>
      <c r="BG1264" s="1098" t="str">
        <f ca="1">IF(LEFT(BD1264,2)="RF",OFFSET(Pinlist!$D$1,Chart!BC1264,0)&amp;"_"&amp;OFFSET(Pinlist!$G$1,Chart!BC1264,0),"")</f>
        <v/>
      </c>
      <c r="BH1264" s="1098"/>
      <c r="BI1264" s="178"/>
      <c r="BJ1264" s="178"/>
      <c r="BK1264" s="178"/>
      <c r="BL1264" s="178"/>
      <c r="BM1264" s="178"/>
      <c r="BN1264" s="178"/>
      <c r="BO1264" s="178"/>
      <c r="BP1264" s="178"/>
      <c r="BQ1264" s="196"/>
      <c r="BR1264" s="196"/>
      <c r="BS1264" s="196"/>
      <c r="BT1264" s="196"/>
      <c r="BU1264" s="196"/>
      <c r="BV1264" s="196"/>
      <c r="BW1264" s="178"/>
      <c r="BX1264" s="196"/>
      <c r="BY1264" s="196"/>
      <c r="BZ1264" s="196"/>
      <c r="CA1264" s="196"/>
      <c r="CB1264" s="178"/>
      <c r="CC1264" s="178"/>
      <c r="CD1264" s="202"/>
      <c r="CE1264" s="202"/>
      <c r="CF1264" s="178"/>
      <c r="CG1264" s="196"/>
      <c r="CH1264" s="178"/>
      <c r="CI1264" s="178"/>
      <c r="CJ1264" s="178"/>
      <c r="CK1264" s="178"/>
      <c r="CL1264" s="178"/>
      <c r="CM1264" s="178"/>
      <c r="CN1264" s="178"/>
      <c r="CO1264" s="178"/>
      <c r="CP1264" s="178"/>
      <c r="CQ1264" s="178"/>
      <c r="CR1264" s="178"/>
      <c r="CS1264" s="178"/>
      <c r="CT1264" s="178"/>
      <c r="CU1264" s="178"/>
      <c r="CV1264" s="178"/>
      <c r="CW1264" s="178"/>
      <c r="CX1264" s="178"/>
      <c r="CY1264" s="178"/>
      <c r="CZ1264" s="178"/>
      <c r="DA1264" s="150"/>
    </row>
    <row r="1265" spans="53:105" x14ac:dyDescent="0.2">
      <c r="BA1265" s="518">
        <f t="shared" ca="1" si="70"/>
        <v>61</v>
      </c>
      <c r="BB1265" s="174">
        <f t="shared" ca="1" si="71"/>
        <v>1202</v>
      </c>
      <c r="BC1265" s="525" t="e">
        <f ca="1">MATCH(BD1265,OFFSET(Pinlist!$A$2,BC1264*(BA1265=BA1264),0,$BM$23,1),0)+BC1264*(BA1265=BA1264)</f>
        <v>#N/A</v>
      </c>
      <c r="BD1265" s="167">
        <f t="shared" ca="1" si="72"/>
        <v>0</v>
      </c>
      <c r="BE1265" s="191" t="e">
        <f ca="1">(OFFSET(Pinlist!$E$1,BC1265,0)-$BN$16)*$BN$19</f>
        <v>#N/A</v>
      </c>
      <c r="BF1265" s="192" t="e">
        <f ca="1">(OFFSET(Pinlist!$F$1,BC1265,0)-$BO$16)*$BO$19</f>
        <v>#N/A</v>
      </c>
      <c r="BG1265" s="1098" t="str">
        <f ca="1">IF(LEFT(BD1265,2)="RF",OFFSET(Pinlist!$D$1,Chart!BC1265,0)&amp;"_"&amp;OFFSET(Pinlist!$G$1,Chart!BC1265,0),"")</f>
        <v/>
      </c>
      <c r="BH1265" s="1098"/>
      <c r="BI1265" s="178"/>
      <c r="BJ1265" s="178"/>
      <c r="BK1265" s="178"/>
      <c r="BL1265" s="178"/>
      <c r="BM1265" s="178"/>
      <c r="BN1265" s="178"/>
      <c r="BO1265" s="178"/>
      <c r="BP1265" s="178"/>
      <c r="BQ1265" s="196"/>
      <c r="BR1265" s="196"/>
      <c r="BS1265" s="196"/>
      <c r="BT1265" s="196"/>
      <c r="BU1265" s="196"/>
      <c r="BV1265" s="196"/>
      <c r="BW1265" s="178"/>
      <c r="BX1265" s="196"/>
      <c r="BY1265" s="196"/>
      <c r="BZ1265" s="196"/>
      <c r="CA1265" s="196"/>
      <c r="CB1265" s="178"/>
      <c r="CC1265" s="178"/>
      <c r="CD1265" s="202"/>
      <c r="CE1265" s="202"/>
      <c r="CF1265" s="178"/>
      <c r="CG1265" s="196"/>
      <c r="CH1265" s="178"/>
      <c r="CI1265" s="178"/>
      <c r="CJ1265" s="178"/>
      <c r="CK1265" s="178"/>
      <c r="CL1265" s="178"/>
      <c r="CM1265" s="178"/>
      <c r="CN1265" s="178"/>
      <c r="CO1265" s="178"/>
      <c r="CP1265" s="178"/>
      <c r="CQ1265" s="178"/>
      <c r="CR1265" s="178"/>
      <c r="CS1265" s="178"/>
      <c r="CT1265" s="178"/>
      <c r="CU1265" s="178"/>
      <c r="CV1265" s="178"/>
      <c r="CW1265" s="178"/>
      <c r="CX1265" s="178"/>
      <c r="CY1265" s="178"/>
      <c r="CZ1265" s="178"/>
      <c r="DA1265" s="150"/>
    </row>
    <row r="1266" spans="53:105" x14ac:dyDescent="0.2">
      <c r="BA1266" s="518">
        <f t="shared" ca="1" si="70"/>
        <v>61</v>
      </c>
      <c r="BB1266" s="174">
        <f t="shared" ca="1" si="71"/>
        <v>1203</v>
      </c>
      <c r="BC1266" s="525" t="e">
        <f ca="1">MATCH(BD1266,OFFSET(Pinlist!$A$2,BC1265*(BA1266=BA1265),0,$BM$23,1),0)+BC1265*(BA1266=BA1265)</f>
        <v>#N/A</v>
      </c>
      <c r="BD1266" s="167">
        <f t="shared" ca="1" si="72"/>
        <v>0</v>
      </c>
      <c r="BE1266" s="191" t="e">
        <f ca="1">(OFFSET(Pinlist!$E$1,BC1266,0)-$BN$16)*$BN$19</f>
        <v>#N/A</v>
      </c>
      <c r="BF1266" s="192" t="e">
        <f ca="1">(OFFSET(Pinlist!$F$1,BC1266,0)-$BO$16)*$BO$19</f>
        <v>#N/A</v>
      </c>
      <c r="BG1266" s="1098" t="str">
        <f ca="1">IF(LEFT(BD1266,2)="RF",OFFSET(Pinlist!$D$1,Chart!BC1266,0)&amp;"_"&amp;OFFSET(Pinlist!$G$1,Chart!BC1266,0),"")</f>
        <v/>
      </c>
      <c r="BH1266" s="1098"/>
      <c r="BI1266" s="178"/>
      <c r="BJ1266" s="178"/>
      <c r="BK1266" s="178"/>
      <c r="BL1266" s="178"/>
      <c r="BM1266" s="178"/>
      <c r="BN1266" s="178"/>
      <c r="BO1266" s="178"/>
      <c r="BP1266" s="178"/>
      <c r="BQ1266" s="196"/>
      <c r="BR1266" s="196"/>
      <c r="BS1266" s="196"/>
      <c r="BT1266" s="196"/>
      <c r="BU1266" s="196"/>
      <c r="BV1266" s="196"/>
      <c r="BW1266" s="178"/>
      <c r="BX1266" s="196"/>
      <c r="BY1266" s="196"/>
      <c r="BZ1266" s="196"/>
      <c r="CA1266" s="196"/>
      <c r="CB1266" s="178"/>
      <c r="CC1266" s="178"/>
      <c r="CD1266" s="202"/>
      <c r="CE1266" s="202"/>
      <c r="CF1266" s="178"/>
      <c r="CG1266" s="196"/>
      <c r="CH1266" s="178"/>
      <c r="CI1266" s="178"/>
      <c r="CJ1266" s="178"/>
      <c r="CK1266" s="178"/>
      <c r="CL1266" s="178"/>
      <c r="CM1266" s="178"/>
      <c r="CN1266" s="178"/>
      <c r="CO1266" s="178"/>
      <c r="CP1266" s="178"/>
      <c r="CQ1266" s="178"/>
      <c r="CR1266" s="178"/>
      <c r="CS1266" s="178"/>
      <c r="CT1266" s="178"/>
      <c r="CU1266" s="178"/>
      <c r="CV1266" s="178"/>
      <c r="CW1266" s="178"/>
      <c r="CX1266" s="178"/>
      <c r="CY1266" s="178"/>
      <c r="CZ1266" s="178"/>
      <c r="DA1266" s="150"/>
    </row>
    <row r="1267" spans="53:105" x14ac:dyDescent="0.2">
      <c r="BA1267" s="518">
        <f t="shared" ca="1" si="70"/>
        <v>61</v>
      </c>
      <c r="BB1267" s="174">
        <f t="shared" ca="1" si="71"/>
        <v>1204</v>
      </c>
      <c r="BC1267" s="525" t="e">
        <f ca="1">MATCH(BD1267,OFFSET(Pinlist!$A$2,BC1266*(BA1267=BA1266),0,$BM$23,1),0)+BC1266*(BA1267=BA1266)</f>
        <v>#N/A</v>
      </c>
      <c r="BD1267" s="167">
        <f t="shared" ca="1" si="72"/>
        <v>0</v>
      </c>
      <c r="BE1267" s="191" t="e">
        <f ca="1">(OFFSET(Pinlist!$E$1,BC1267,0)-$BN$16)*$BN$19</f>
        <v>#N/A</v>
      </c>
      <c r="BF1267" s="192" t="e">
        <f ca="1">(OFFSET(Pinlist!$F$1,BC1267,0)-$BO$16)*$BO$19</f>
        <v>#N/A</v>
      </c>
      <c r="BG1267" s="1098" t="str">
        <f ca="1">IF(LEFT(BD1267,2)="RF",OFFSET(Pinlist!$D$1,Chart!BC1267,0)&amp;"_"&amp;OFFSET(Pinlist!$G$1,Chart!BC1267,0),"")</f>
        <v/>
      </c>
      <c r="BH1267" s="1098"/>
      <c r="BI1267" s="178"/>
      <c r="BJ1267" s="178"/>
      <c r="BK1267" s="178"/>
      <c r="BL1267" s="178"/>
      <c r="BM1267" s="178"/>
      <c r="BN1267" s="178"/>
      <c r="BO1267" s="178"/>
      <c r="BP1267" s="178"/>
      <c r="BQ1267" s="196"/>
      <c r="BR1267" s="196"/>
      <c r="BS1267" s="196"/>
      <c r="BT1267" s="196"/>
      <c r="BU1267" s="196"/>
      <c r="BV1267" s="196"/>
      <c r="BW1267" s="178"/>
      <c r="BX1267" s="196"/>
      <c r="BY1267" s="196"/>
      <c r="BZ1267" s="196"/>
      <c r="CA1267" s="196"/>
      <c r="CB1267" s="178"/>
      <c r="CC1267" s="178"/>
      <c r="CD1267" s="202"/>
      <c r="CE1267" s="202"/>
      <c r="CF1267" s="178"/>
      <c r="CG1267" s="196"/>
      <c r="CH1267" s="178"/>
      <c r="CI1267" s="178"/>
      <c r="CJ1267" s="178"/>
      <c r="CK1267" s="178"/>
      <c r="CL1267" s="178"/>
      <c r="CM1267" s="178"/>
      <c r="CN1267" s="178"/>
      <c r="CO1267" s="178"/>
      <c r="CP1267" s="178"/>
      <c r="CQ1267" s="178"/>
      <c r="CR1267" s="178"/>
      <c r="CS1267" s="178"/>
      <c r="CT1267" s="178"/>
      <c r="CU1267" s="178"/>
      <c r="CV1267" s="178"/>
      <c r="CW1267" s="178"/>
      <c r="CX1267" s="178"/>
      <c r="CY1267" s="178"/>
      <c r="CZ1267" s="178"/>
      <c r="DA1267" s="150"/>
    </row>
    <row r="1268" spans="53:105" x14ac:dyDescent="0.2">
      <c r="BA1268" s="518">
        <f t="shared" ca="1" si="70"/>
        <v>61</v>
      </c>
      <c r="BB1268" s="174">
        <f t="shared" ca="1" si="71"/>
        <v>1205</v>
      </c>
      <c r="BC1268" s="525" t="e">
        <f ca="1">MATCH(BD1268,OFFSET(Pinlist!$A$2,BC1267*(BA1268=BA1267),0,$BM$23,1),0)+BC1267*(BA1268=BA1267)</f>
        <v>#N/A</v>
      </c>
      <c r="BD1268" s="167">
        <f t="shared" ca="1" si="72"/>
        <v>0</v>
      </c>
      <c r="BE1268" s="191" t="e">
        <f ca="1">(OFFSET(Pinlist!$E$1,BC1268,0)-$BN$16)*$BN$19</f>
        <v>#N/A</v>
      </c>
      <c r="BF1268" s="192" t="e">
        <f ca="1">(OFFSET(Pinlist!$F$1,BC1268,0)-$BO$16)*$BO$19</f>
        <v>#N/A</v>
      </c>
      <c r="BG1268" s="1098" t="str">
        <f ca="1">IF(LEFT(BD1268,2)="RF",OFFSET(Pinlist!$D$1,Chart!BC1268,0)&amp;"_"&amp;OFFSET(Pinlist!$G$1,Chart!BC1268,0),"")</f>
        <v/>
      </c>
      <c r="BH1268" s="1098"/>
      <c r="BI1268" s="178"/>
      <c r="BJ1268" s="178"/>
      <c r="BK1268" s="178"/>
      <c r="BL1268" s="178"/>
      <c r="BM1268" s="178"/>
      <c r="BN1268" s="178"/>
      <c r="BO1268" s="178"/>
      <c r="BP1268" s="178"/>
      <c r="BQ1268" s="196"/>
      <c r="BR1268" s="196"/>
      <c r="BS1268" s="196"/>
      <c r="BT1268" s="196"/>
      <c r="BU1268" s="196"/>
      <c r="BV1268" s="196"/>
      <c r="BW1268" s="178"/>
      <c r="BX1268" s="196"/>
      <c r="BY1268" s="196"/>
      <c r="BZ1268" s="196"/>
      <c r="CA1268" s="196"/>
      <c r="CB1268" s="178"/>
      <c r="CC1268" s="178"/>
      <c r="CD1268" s="202"/>
      <c r="CE1268" s="202"/>
      <c r="CF1268" s="178"/>
      <c r="CG1268" s="196"/>
      <c r="CH1268" s="178"/>
      <c r="CI1268" s="178"/>
      <c r="CJ1268" s="178"/>
      <c r="CK1268" s="178"/>
      <c r="CL1268" s="178"/>
      <c r="CM1268" s="178"/>
      <c r="CN1268" s="178"/>
      <c r="CO1268" s="178"/>
      <c r="CP1268" s="178"/>
      <c r="CQ1268" s="178"/>
      <c r="CR1268" s="178"/>
      <c r="CS1268" s="178"/>
      <c r="CT1268" s="178"/>
      <c r="CU1268" s="178"/>
      <c r="CV1268" s="178"/>
      <c r="CW1268" s="178"/>
      <c r="CX1268" s="178"/>
      <c r="CY1268" s="178"/>
      <c r="CZ1268" s="178"/>
      <c r="DA1268" s="150"/>
    </row>
    <row r="1269" spans="53:105" x14ac:dyDescent="0.2">
      <c r="BA1269" s="518">
        <f t="shared" ca="1" si="70"/>
        <v>61</v>
      </c>
      <c r="BB1269" s="174">
        <f t="shared" ca="1" si="71"/>
        <v>1206</v>
      </c>
      <c r="BC1269" s="525" t="e">
        <f ca="1">MATCH(BD1269,OFFSET(Pinlist!$A$2,BC1268*(BA1269=BA1268),0,$BM$23,1),0)+BC1268*(BA1269=BA1268)</f>
        <v>#N/A</v>
      </c>
      <c r="BD1269" s="167">
        <f t="shared" ca="1" si="72"/>
        <v>0</v>
      </c>
      <c r="BE1269" s="191" t="e">
        <f ca="1">(OFFSET(Pinlist!$E$1,BC1269,0)-$BN$16)*$BN$19</f>
        <v>#N/A</v>
      </c>
      <c r="BF1269" s="192" t="e">
        <f ca="1">(OFFSET(Pinlist!$F$1,BC1269,0)-$BO$16)*$BO$19</f>
        <v>#N/A</v>
      </c>
      <c r="BG1269" s="1098" t="str">
        <f ca="1">IF(LEFT(BD1269,2)="RF",OFFSET(Pinlist!$D$1,Chart!BC1269,0)&amp;"_"&amp;OFFSET(Pinlist!$G$1,Chart!BC1269,0),"")</f>
        <v/>
      </c>
      <c r="BH1269" s="1098"/>
      <c r="BI1269" s="178"/>
      <c r="BJ1269" s="178"/>
      <c r="BK1269" s="178"/>
      <c r="BL1269" s="178"/>
      <c r="BM1269" s="178"/>
      <c r="BN1269" s="178"/>
      <c r="BO1269" s="178"/>
      <c r="BP1269" s="178"/>
      <c r="BQ1269" s="196"/>
      <c r="BR1269" s="196"/>
      <c r="BS1269" s="196"/>
      <c r="BT1269" s="196"/>
      <c r="BU1269" s="196"/>
      <c r="BV1269" s="196"/>
      <c r="BW1269" s="178"/>
      <c r="BX1269" s="196"/>
      <c r="BY1269" s="196"/>
      <c r="BZ1269" s="196"/>
      <c r="CA1269" s="196"/>
      <c r="CB1269" s="178"/>
      <c r="CC1269" s="178"/>
      <c r="CD1269" s="202"/>
      <c r="CE1269" s="202"/>
      <c r="CF1269" s="178"/>
      <c r="CG1269" s="196"/>
      <c r="CH1269" s="178"/>
      <c r="CI1269" s="178"/>
      <c r="CJ1269" s="178"/>
      <c r="CK1269" s="178"/>
      <c r="CL1269" s="178"/>
      <c r="CM1269" s="178"/>
      <c r="CN1269" s="178"/>
      <c r="CO1269" s="178"/>
      <c r="CP1269" s="178"/>
      <c r="CQ1269" s="178"/>
      <c r="CR1269" s="178"/>
      <c r="CS1269" s="178"/>
      <c r="CT1269" s="178"/>
      <c r="CU1269" s="178"/>
      <c r="CV1269" s="178"/>
      <c r="CW1269" s="178"/>
      <c r="CX1269" s="178"/>
      <c r="CY1269" s="178"/>
      <c r="CZ1269" s="178"/>
      <c r="DA1269" s="150"/>
    </row>
    <row r="1270" spans="53:105" x14ac:dyDescent="0.2">
      <c r="BA1270" s="518">
        <f t="shared" ca="1" si="70"/>
        <v>61</v>
      </c>
      <c r="BB1270" s="174">
        <f t="shared" ca="1" si="71"/>
        <v>1207</v>
      </c>
      <c r="BC1270" s="525" t="e">
        <f ca="1">MATCH(BD1270,OFFSET(Pinlist!$A$2,BC1269*(BA1270=BA1269),0,$BM$23,1),0)+BC1269*(BA1270=BA1269)</f>
        <v>#N/A</v>
      </c>
      <c r="BD1270" s="167">
        <f t="shared" ca="1" si="72"/>
        <v>0</v>
      </c>
      <c r="BE1270" s="191" t="e">
        <f ca="1">(OFFSET(Pinlist!$E$1,BC1270,0)-$BN$16)*$BN$19</f>
        <v>#N/A</v>
      </c>
      <c r="BF1270" s="192" t="e">
        <f ca="1">(OFFSET(Pinlist!$F$1,BC1270,0)-$BO$16)*$BO$19</f>
        <v>#N/A</v>
      </c>
      <c r="BG1270" s="1098" t="str">
        <f ca="1">IF(LEFT(BD1270,2)="RF",OFFSET(Pinlist!$D$1,Chart!BC1270,0)&amp;"_"&amp;OFFSET(Pinlist!$G$1,Chart!BC1270,0),"")</f>
        <v/>
      </c>
      <c r="BH1270" s="1098"/>
      <c r="BI1270" s="178"/>
      <c r="BJ1270" s="178"/>
      <c r="BK1270" s="178"/>
      <c r="BL1270" s="178"/>
      <c r="BM1270" s="178"/>
      <c r="BN1270" s="178"/>
      <c r="BO1270" s="178"/>
      <c r="BP1270" s="178"/>
      <c r="BQ1270" s="196"/>
      <c r="BR1270" s="196"/>
      <c r="BS1270" s="196"/>
      <c r="BT1270" s="196"/>
      <c r="BU1270" s="196"/>
      <c r="BV1270" s="196"/>
      <c r="BW1270" s="178"/>
      <c r="BX1270" s="196"/>
      <c r="BY1270" s="196"/>
      <c r="BZ1270" s="196"/>
      <c r="CA1270" s="196"/>
      <c r="CB1270" s="178"/>
      <c r="CC1270" s="178"/>
      <c r="CD1270" s="202"/>
      <c r="CE1270" s="202"/>
      <c r="CF1270" s="178"/>
      <c r="CG1270" s="196"/>
      <c r="CH1270" s="178"/>
      <c r="CI1270" s="178"/>
      <c r="CJ1270" s="178"/>
      <c r="CK1270" s="178"/>
      <c r="CL1270" s="178"/>
      <c r="CM1270" s="178"/>
      <c r="CN1270" s="178"/>
      <c r="CO1270" s="178"/>
      <c r="CP1270" s="178"/>
      <c r="CQ1270" s="178"/>
      <c r="CR1270" s="178"/>
      <c r="CS1270" s="178"/>
      <c r="CT1270" s="178"/>
      <c r="CU1270" s="178"/>
      <c r="CV1270" s="178"/>
      <c r="CW1270" s="178"/>
      <c r="CX1270" s="178"/>
      <c r="CY1270" s="178"/>
      <c r="CZ1270" s="178"/>
      <c r="DA1270" s="150"/>
    </row>
    <row r="1271" spans="53:105" x14ac:dyDescent="0.2">
      <c r="BA1271" s="518">
        <f t="shared" ca="1" si="70"/>
        <v>61</v>
      </c>
      <c r="BB1271" s="174">
        <f t="shared" ca="1" si="71"/>
        <v>1208</v>
      </c>
      <c r="BC1271" s="525" t="e">
        <f ca="1">MATCH(BD1271,OFFSET(Pinlist!$A$2,BC1270*(BA1271=BA1270),0,$BM$23,1),0)+BC1270*(BA1271=BA1270)</f>
        <v>#N/A</v>
      </c>
      <c r="BD1271" s="167">
        <f t="shared" ca="1" si="72"/>
        <v>0</v>
      </c>
      <c r="BE1271" s="191" t="e">
        <f ca="1">(OFFSET(Pinlist!$E$1,BC1271,0)-$BN$16)*$BN$19</f>
        <v>#N/A</v>
      </c>
      <c r="BF1271" s="192" t="e">
        <f ca="1">(OFFSET(Pinlist!$F$1,BC1271,0)-$BO$16)*$BO$19</f>
        <v>#N/A</v>
      </c>
      <c r="BG1271" s="1098" t="str">
        <f ca="1">IF(LEFT(BD1271,2)="RF",OFFSET(Pinlist!$D$1,Chart!BC1271,0)&amp;"_"&amp;OFFSET(Pinlist!$G$1,Chart!BC1271,0),"")</f>
        <v/>
      </c>
      <c r="BH1271" s="1098"/>
      <c r="BI1271" s="178"/>
      <c r="BJ1271" s="178"/>
      <c r="BK1271" s="178"/>
      <c r="BL1271" s="178"/>
      <c r="BM1271" s="178"/>
      <c r="BN1271" s="178"/>
      <c r="BO1271" s="178"/>
      <c r="BP1271" s="178"/>
      <c r="BQ1271" s="196"/>
      <c r="BR1271" s="196"/>
      <c r="BS1271" s="196"/>
      <c r="BT1271" s="196"/>
      <c r="BU1271" s="196"/>
      <c r="BV1271" s="196"/>
      <c r="BW1271" s="178"/>
      <c r="BX1271" s="196"/>
      <c r="BY1271" s="196"/>
      <c r="BZ1271" s="196"/>
      <c r="CA1271" s="196"/>
      <c r="CB1271" s="178"/>
      <c r="CC1271" s="178"/>
      <c r="CD1271" s="202"/>
      <c r="CE1271" s="202"/>
      <c r="CF1271" s="178"/>
      <c r="CG1271" s="196"/>
      <c r="CH1271" s="178"/>
      <c r="CI1271" s="178"/>
      <c r="CJ1271" s="178"/>
      <c r="CK1271" s="178"/>
      <c r="CL1271" s="178"/>
      <c r="CM1271" s="178"/>
      <c r="CN1271" s="178"/>
      <c r="CO1271" s="178"/>
      <c r="CP1271" s="178"/>
      <c r="CQ1271" s="178"/>
      <c r="CR1271" s="178"/>
      <c r="CS1271" s="178"/>
      <c r="CT1271" s="178"/>
      <c r="CU1271" s="178"/>
      <c r="CV1271" s="178"/>
      <c r="CW1271" s="178"/>
      <c r="CX1271" s="178"/>
      <c r="CY1271" s="178"/>
      <c r="CZ1271" s="178"/>
      <c r="DA1271" s="150"/>
    </row>
    <row r="1272" spans="53:105" x14ac:dyDescent="0.2">
      <c r="BA1272" s="518">
        <f t="shared" ca="1" si="70"/>
        <v>61</v>
      </c>
      <c r="BB1272" s="174">
        <f t="shared" ca="1" si="71"/>
        <v>1209</v>
      </c>
      <c r="BC1272" s="525" t="e">
        <f ca="1">MATCH(BD1272,OFFSET(Pinlist!$A$2,BC1271*(BA1272=BA1271),0,$BM$23,1),0)+BC1271*(BA1272=BA1271)</f>
        <v>#N/A</v>
      </c>
      <c r="BD1272" s="167">
        <f t="shared" ca="1" si="72"/>
        <v>0</v>
      </c>
      <c r="BE1272" s="191" t="e">
        <f ca="1">(OFFSET(Pinlist!$E$1,BC1272,0)-$BN$16)*$BN$19</f>
        <v>#N/A</v>
      </c>
      <c r="BF1272" s="192" t="e">
        <f ca="1">(OFFSET(Pinlist!$F$1,BC1272,0)-$BO$16)*$BO$19</f>
        <v>#N/A</v>
      </c>
      <c r="BG1272" s="1098" t="str">
        <f ca="1">IF(LEFT(BD1272,2)="RF",OFFSET(Pinlist!$D$1,Chart!BC1272,0)&amp;"_"&amp;OFFSET(Pinlist!$G$1,Chart!BC1272,0),"")</f>
        <v/>
      </c>
      <c r="BH1272" s="1098"/>
      <c r="BI1272" s="178"/>
      <c r="BJ1272" s="178"/>
      <c r="BK1272" s="178"/>
      <c r="BL1272" s="178"/>
      <c r="BM1272" s="178"/>
      <c r="BN1272" s="178"/>
      <c r="BO1272" s="178"/>
      <c r="BP1272" s="178"/>
      <c r="BQ1272" s="196"/>
      <c r="BR1272" s="196"/>
      <c r="BS1272" s="196"/>
      <c r="BT1272" s="196"/>
      <c r="BU1272" s="196"/>
      <c r="BV1272" s="196"/>
      <c r="BW1272" s="178"/>
      <c r="BX1272" s="196"/>
      <c r="BY1272" s="196"/>
      <c r="BZ1272" s="196"/>
      <c r="CA1272" s="196"/>
      <c r="CB1272" s="178"/>
      <c r="CC1272" s="178"/>
      <c r="CD1272" s="202"/>
      <c r="CE1272" s="202"/>
      <c r="CF1272" s="178"/>
      <c r="CG1272" s="196"/>
      <c r="CH1272" s="178"/>
      <c r="CI1272" s="178"/>
      <c r="CJ1272" s="178"/>
      <c r="CK1272" s="178"/>
      <c r="CL1272" s="178"/>
      <c r="CM1272" s="178"/>
      <c r="CN1272" s="178"/>
      <c r="CO1272" s="178"/>
      <c r="CP1272" s="178"/>
      <c r="CQ1272" s="178"/>
      <c r="CR1272" s="178"/>
      <c r="CS1272" s="178"/>
      <c r="CT1272" s="178"/>
      <c r="CU1272" s="178"/>
      <c r="CV1272" s="178"/>
      <c r="CW1272" s="178"/>
      <c r="CX1272" s="178"/>
      <c r="CY1272" s="178"/>
      <c r="CZ1272" s="178"/>
      <c r="DA1272" s="150"/>
    </row>
    <row r="1273" spans="53:105" x14ac:dyDescent="0.2">
      <c r="BA1273" s="518">
        <f t="shared" ca="1" si="70"/>
        <v>61</v>
      </c>
      <c r="BB1273" s="174">
        <f t="shared" ca="1" si="71"/>
        <v>1210</v>
      </c>
      <c r="BC1273" s="525" t="e">
        <f ca="1">MATCH(BD1273,OFFSET(Pinlist!$A$2,BC1272*(BA1273=BA1272),0,$BM$23,1),0)+BC1272*(BA1273=BA1272)</f>
        <v>#N/A</v>
      </c>
      <c r="BD1273" s="167">
        <f t="shared" ca="1" si="72"/>
        <v>0</v>
      </c>
      <c r="BE1273" s="191" t="e">
        <f ca="1">(OFFSET(Pinlist!$E$1,BC1273,0)-$BN$16)*$BN$19</f>
        <v>#N/A</v>
      </c>
      <c r="BF1273" s="192" t="e">
        <f ca="1">(OFFSET(Pinlist!$F$1,BC1273,0)-$BO$16)*$BO$19</f>
        <v>#N/A</v>
      </c>
      <c r="BG1273" s="1098" t="str">
        <f ca="1">IF(LEFT(BD1273,2)="RF",OFFSET(Pinlist!$D$1,Chart!BC1273,0)&amp;"_"&amp;OFFSET(Pinlist!$G$1,Chart!BC1273,0),"")</f>
        <v/>
      </c>
      <c r="BH1273" s="1098"/>
      <c r="BI1273" s="178"/>
      <c r="BJ1273" s="178"/>
      <c r="BK1273" s="178"/>
      <c r="BL1273" s="178"/>
      <c r="BM1273" s="178"/>
      <c r="BN1273" s="178"/>
      <c r="BO1273" s="178"/>
      <c r="BP1273" s="178"/>
      <c r="BQ1273" s="196"/>
      <c r="BR1273" s="196"/>
      <c r="BS1273" s="196"/>
      <c r="BT1273" s="196"/>
      <c r="BU1273" s="196"/>
      <c r="BV1273" s="196"/>
      <c r="BW1273" s="178"/>
      <c r="BX1273" s="196"/>
      <c r="BY1273" s="196"/>
      <c r="BZ1273" s="196"/>
      <c r="CA1273" s="196"/>
      <c r="CB1273" s="178"/>
      <c r="CC1273" s="178"/>
      <c r="CD1273" s="202"/>
      <c r="CE1273" s="202"/>
      <c r="CF1273" s="178"/>
      <c r="CG1273" s="196"/>
      <c r="CH1273" s="178"/>
      <c r="CI1273" s="178"/>
      <c r="CJ1273" s="178"/>
      <c r="CK1273" s="178"/>
      <c r="CL1273" s="178"/>
      <c r="CM1273" s="178"/>
      <c r="CN1273" s="178"/>
      <c r="CO1273" s="178"/>
      <c r="CP1273" s="178"/>
      <c r="CQ1273" s="178"/>
      <c r="CR1273" s="178"/>
      <c r="CS1273" s="178"/>
      <c r="CT1273" s="178"/>
      <c r="CU1273" s="178"/>
      <c r="CV1273" s="178"/>
      <c r="CW1273" s="178"/>
      <c r="CX1273" s="178"/>
      <c r="CY1273" s="178"/>
      <c r="CZ1273" s="178"/>
      <c r="DA1273" s="150"/>
    </row>
    <row r="1274" spans="53:105" x14ac:dyDescent="0.2">
      <c r="BA1274" s="518">
        <f t="shared" ca="1" si="70"/>
        <v>61</v>
      </c>
      <c r="BB1274" s="174">
        <f t="shared" ca="1" si="71"/>
        <v>1211</v>
      </c>
      <c r="BC1274" s="525" t="e">
        <f ca="1">MATCH(BD1274,OFFSET(Pinlist!$A$2,BC1273*(BA1274=BA1273),0,$BM$23,1),0)+BC1273*(BA1274=BA1273)</f>
        <v>#N/A</v>
      </c>
      <c r="BD1274" s="167">
        <f t="shared" ca="1" si="72"/>
        <v>0</v>
      </c>
      <c r="BE1274" s="191" t="e">
        <f ca="1">(OFFSET(Pinlist!$E$1,BC1274,0)-$BN$16)*$BN$19</f>
        <v>#N/A</v>
      </c>
      <c r="BF1274" s="192" t="e">
        <f ca="1">(OFFSET(Pinlist!$F$1,BC1274,0)-$BO$16)*$BO$19</f>
        <v>#N/A</v>
      </c>
      <c r="BG1274" s="1098" t="str">
        <f ca="1">IF(LEFT(BD1274,2)="RF",OFFSET(Pinlist!$D$1,Chart!BC1274,0)&amp;"_"&amp;OFFSET(Pinlist!$G$1,Chart!BC1274,0),"")</f>
        <v/>
      </c>
      <c r="BH1274" s="1098"/>
      <c r="BI1274" s="178"/>
      <c r="BJ1274" s="178"/>
      <c r="BK1274" s="178"/>
      <c r="BL1274" s="178"/>
      <c r="BM1274" s="178"/>
      <c r="BN1274" s="178"/>
      <c r="BO1274" s="178"/>
      <c r="BP1274" s="178"/>
      <c r="BQ1274" s="196"/>
      <c r="BR1274" s="196"/>
      <c r="BS1274" s="196"/>
      <c r="BT1274" s="196"/>
      <c r="BU1274" s="196"/>
      <c r="BV1274" s="196"/>
      <c r="BW1274" s="178"/>
      <c r="BX1274" s="196"/>
      <c r="BY1274" s="196"/>
      <c r="BZ1274" s="196"/>
      <c r="CA1274" s="196"/>
      <c r="CB1274" s="178"/>
      <c r="CC1274" s="178"/>
      <c r="CD1274" s="202"/>
      <c r="CE1274" s="202"/>
      <c r="CF1274" s="178"/>
      <c r="CG1274" s="196"/>
      <c r="CH1274" s="178"/>
      <c r="CI1274" s="178"/>
      <c r="CJ1274" s="178"/>
      <c r="CK1274" s="178"/>
      <c r="CL1274" s="178"/>
      <c r="CM1274" s="178"/>
      <c r="CN1274" s="178"/>
      <c r="CO1274" s="178"/>
      <c r="CP1274" s="178"/>
      <c r="CQ1274" s="178"/>
      <c r="CR1274" s="178"/>
      <c r="CS1274" s="178"/>
      <c r="CT1274" s="178"/>
      <c r="CU1274" s="178"/>
      <c r="CV1274" s="178"/>
      <c r="CW1274" s="178"/>
      <c r="CX1274" s="178"/>
      <c r="CY1274" s="178"/>
      <c r="CZ1274" s="178"/>
      <c r="DA1274" s="150"/>
    </row>
    <row r="1275" spans="53:105" x14ac:dyDescent="0.2">
      <c r="BA1275" s="518">
        <f t="shared" ca="1" si="70"/>
        <v>61</v>
      </c>
      <c r="BB1275" s="174">
        <f t="shared" ca="1" si="71"/>
        <v>1212</v>
      </c>
      <c r="BC1275" s="525" t="e">
        <f ca="1">MATCH(BD1275,OFFSET(Pinlist!$A$2,BC1274*(BA1275=BA1274),0,$BM$23,1),0)+BC1274*(BA1275=BA1274)</f>
        <v>#N/A</v>
      </c>
      <c r="BD1275" s="167">
        <f t="shared" ca="1" si="72"/>
        <v>0</v>
      </c>
      <c r="BE1275" s="191" t="e">
        <f ca="1">(OFFSET(Pinlist!$E$1,BC1275,0)-$BN$16)*$BN$19</f>
        <v>#N/A</v>
      </c>
      <c r="BF1275" s="192" t="e">
        <f ca="1">(OFFSET(Pinlist!$F$1,BC1275,0)-$BO$16)*$BO$19</f>
        <v>#N/A</v>
      </c>
      <c r="BG1275" s="1098" t="str">
        <f ca="1">IF(LEFT(BD1275,2)="RF",OFFSET(Pinlist!$D$1,Chart!BC1275,0)&amp;"_"&amp;OFFSET(Pinlist!$G$1,Chart!BC1275,0),"")</f>
        <v/>
      </c>
      <c r="BH1275" s="1098"/>
      <c r="BI1275" s="178"/>
      <c r="BJ1275" s="178"/>
      <c r="BK1275" s="178"/>
      <c r="BL1275" s="178"/>
      <c r="BM1275" s="178"/>
      <c r="BN1275" s="178"/>
      <c r="BO1275" s="178"/>
      <c r="BP1275" s="178"/>
      <c r="BQ1275" s="196"/>
      <c r="BR1275" s="196"/>
      <c r="BS1275" s="196"/>
      <c r="BT1275" s="196"/>
      <c r="BU1275" s="196"/>
      <c r="BV1275" s="196"/>
      <c r="BW1275" s="178"/>
      <c r="BX1275" s="196"/>
      <c r="BY1275" s="196"/>
      <c r="BZ1275" s="196"/>
      <c r="CA1275" s="196"/>
      <c r="CB1275" s="178"/>
      <c r="CC1275" s="178"/>
      <c r="CD1275" s="202"/>
      <c r="CE1275" s="202"/>
      <c r="CF1275" s="178"/>
      <c r="CG1275" s="196"/>
      <c r="CH1275" s="178"/>
      <c r="CI1275" s="178"/>
      <c r="CJ1275" s="178"/>
      <c r="CK1275" s="178"/>
      <c r="CL1275" s="178"/>
      <c r="CM1275" s="178"/>
      <c r="CN1275" s="178"/>
      <c r="CO1275" s="178"/>
      <c r="CP1275" s="178"/>
      <c r="CQ1275" s="178"/>
      <c r="CR1275" s="178"/>
      <c r="CS1275" s="178"/>
      <c r="CT1275" s="178"/>
      <c r="CU1275" s="178"/>
      <c r="CV1275" s="178"/>
      <c r="CW1275" s="178"/>
      <c r="CX1275" s="178"/>
      <c r="CY1275" s="178"/>
      <c r="CZ1275" s="178"/>
      <c r="DA1275" s="150"/>
    </row>
    <row r="1276" spans="53:105" x14ac:dyDescent="0.2">
      <c r="BA1276" s="518">
        <f t="shared" ca="1" si="70"/>
        <v>61</v>
      </c>
      <c r="BB1276" s="174">
        <f t="shared" ca="1" si="71"/>
        <v>1213</v>
      </c>
      <c r="BC1276" s="525" t="e">
        <f ca="1">MATCH(BD1276,OFFSET(Pinlist!$A$2,BC1275*(BA1276=BA1275),0,$BM$23,1),0)+BC1275*(BA1276=BA1275)</f>
        <v>#N/A</v>
      </c>
      <c r="BD1276" s="167">
        <f t="shared" ca="1" si="72"/>
        <v>0</v>
      </c>
      <c r="BE1276" s="191" t="e">
        <f ca="1">(OFFSET(Pinlist!$E$1,BC1276,0)-$BN$16)*$BN$19</f>
        <v>#N/A</v>
      </c>
      <c r="BF1276" s="192" t="e">
        <f ca="1">(OFFSET(Pinlist!$F$1,BC1276,0)-$BO$16)*$BO$19</f>
        <v>#N/A</v>
      </c>
      <c r="BG1276" s="1098" t="str">
        <f ca="1">IF(LEFT(BD1276,2)="RF",OFFSET(Pinlist!$D$1,Chart!BC1276,0)&amp;"_"&amp;OFFSET(Pinlist!$G$1,Chart!BC1276,0),"")</f>
        <v/>
      </c>
      <c r="BH1276" s="1098"/>
      <c r="BI1276" s="178"/>
      <c r="BJ1276" s="178"/>
      <c r="BK1276" s="178"/>
      <c r="BL1276" s="178"/>
      <c r="BM1276" s="178"/>
      <c r="BN1276" s="178"/>
      <c r="BO1276" s="178"/>
      <c r="BP1276" s="178"/>
      <c r="BQ1276" s="196"/>
      <c r="BR1276" s="196"/>
      <c r="BS1276" s="196"/>
      <c r="BT1276" s="196"/>
      <c r="BU1276" s="196"/>
      <c r="BV1276" s="196"/>
      <c r="BW1276" s="178"/>
      <c r="BX1276" s="196"/>
      <c r="BY1276" s="196"/>
      <c r="BZ1276" s="196"/>
      <c r="CA1276" s="196"/>
      <c r="CB1276" s="178"/>
      <c r="CC1276" s="178"/>
      <c r="CD1276" s="202"/>
      <c r="CE1276" s="202"/>
      <c r="CF1276" s="178"/>
      <c r="CG1276" s="196"/>
      <c r="CH1276" s="178"/>
      <c r="CI1276" s="178"/>
      <c r="CJ1276" s="178"/>
      <c r="CK1276" s="178"/>
      <c r="CL1276" s="178"/>
      <c r="CM1276" s="178"/>
      <c r="CN1276" s="178"/>
      <c r="CO1276" s="178"/>
      <c r="CP1276" s="178"/>
      <c r="CQ1276" s="178"/>
      <c r="CR1276" s="178"/>
      <c r="CS1276" s="178"/>
      <c r="CT1276" s="178"/>
      <c r="CU1276" s="178"/>
      <c r="CV1276" s="178"/>
      <c r="CW1276" s="178"/>
      <c r="CX1276" s="178"/>
      <c r="CY1276" s="178"/>
      <c r="CZ1276" s="178"/>
      <c r="DA1276" s="150"/>
    </row>
    <row r="1277" spans="53:105" x14ac:dyDescent="0.2">
      <c r="BA1277" s="518">
        <f t="shared" ca="1" si="70"/>
        <v>61</v>
      </c>
      <c r="BB1277" s="174">
        <f t="shared" ca="1" si="71"/>
        <v>1214</v>
      </c>
      <c r="BC1277" s="525" t="e">
        <f ca="1">MATCH(BD1277,OFFSET(Pinlist!$A$2,BC1276*(BA1277=BA1276),0,$BM$23,1),0)+BC1276*(BA1277=BA1276)</f>
        <v>#N/A</v>
      </c>
      <c r="BD1277" s="167">
        <f t="shared" ca="1" si="72"/>
        <v>0</v>
      </c>
      <c r="BE1277" s="191" t="e">
        <f ca="1">(OFFSET(Pinlist!$E$1,BC1277,0)-$BN$16)*$BN$19</f>
        <v>#N/A</v>
      </c>
      <c r="BF1277" s="192" t="e">
        <f ca="1">(OFFSET(Pinlist!$F$1,BC1277,0)-$BO$16)*$BO$19</f>
        <v>#N/A</v>
      </c>
      <c r="BG1277" s="1098" t="str">
        <f ca="1">IF(LEFT(BD1277,2)="RF",OFFSET(Pinlist!$D$1,Chart!BC1277,0)&amp;"_"&amp;OFFSET(Pinlist!$G$1,Chart!BC1277,0),"")</f>
        <v/>
      </c>
      <c r="BH1277" s="1098"/>
      <c r="BI1277" s="178"/>
      <c r="BJ1277" s="178"/>
      <c r="BK1277" s="178"/>
      <c r="BL1277" s="178"/>
      <c r="BM1277" s="178"/>
      <c r="BN1277" s="178"/>
      <c r="BO1277" s="178"/>
      <c r="BP1277" s="178"/>
      <c r="BQ1277" s="196"/>
      <c r="BR1277" s="196"/>
      <c r="BS1277" s="196"/>
      <c r="BT1277" s="196"/>
      <c r="BU1277" s="196"/>
      <c r="BV1277" s="196"/>
      <c r="BW1277" s="178"/>
      <c r="BX1277" s="196"/>
      <c r="BY1277" s="196"/>
      <c r="BZ1277" s="196"/>
      <c r="CA1277" s="196"/>
      <c r="CB1277" s="178"/>
      <c r="CC1277" s="178"/>
      <c r="CD1277" s="202"/>
      <c r="CE1277" s="202"/>
      <c r="CF1277" s="178"/>
      <c r="CG1277" s="196"/>
      <c r="CH1277" s="178"/>
      <c r="CI1277" s="178"/>
      <c r="CJ1277" s="178"/>
      <c r="CK1277" s="178"/>
      <c r="CL1277" s="178"/>
      <c r="CM1277" s="178"/>
      <c r="CN1277" s="178"/>
      <c r="CO1277" s="178"/>
      <c r="CP1277" s="178"/>
      <c r="CQ1277" s="178"/>
      <c r="CR1277" s="178"/>
      <c r="CS1277" s="178"/>
      <c r="CT1277" s="178"/>
      <c r="CU1277" s="178"/>
      <c r="CV1277" s="178"/>
      <c r="CW1277" s="178"/>
      <c r="CX1277" s="178"/>
      <c r="CY1277" s="178"/>
      <c r="CZ1277" s="178"/>
      <c r="DA1277" s="150"/>
    </row>
    <row r="1278" spans="53:105" x14ac:dyDescent="0.2">
      <c r="BA1278" s="518">
        <f t="shared" ca="1" si="70"/>
        <v>61</v>
      </c>
      <c r="BB1278" s="174">
        <f t="shared" ca="1" si="71"/>
        <v>1215</v>
      </c>
      <c r="BC1278" s="525" t="e">
        <f ca="1">MATCH(BD1278,OFFSET(Pinlist!$A$2,BC1277*(BA1278=BA1277),0,$BM$23,1),0)+BC1277*(BA1278=BA1277)</f>
        <v>#N/A</v>
      </c>
      <c r="BD1278" s="167">
        <f t="shared" ca="1" si="72"/>
        <v>0</v>
      </c>
      <c r="BE1278" s="191" t="e">
        <f ca="1">(OFFSET(Pinlist!$E$1,BC1278,0)-$BN$16)*$BN$19</f>
        <v>#N/A</v>
      </c>
      <c r="BF1278" s="192" t="e">
        <f ca="1">(OFFSET(Pinlist!$F$1,BC1278,0)-$BO$16)*$BO$19</f>
        <v>#N/A</v>
      </c>
      <c r="BG1278" s="1098" t="str">
        <f ca="1">IF(LEFT(BD1278,2)="RF",OFFSET(Pinlist!$D$1,Chart!BC1278,0)&amp;"_"&amp;OFFSET(Pinlist!$G$1,Chart!BC1278,0),"")</f>
        <v/>
      </c>
      <c r="BH1278" s="1098"/>
      <c r="BI1278" s="178"/>
      <c r="BJ1278" s="178"/>
      <c r="BK1278" s="178"/>
      <c r="BL1278" s="178"/>
      <c r="BM1278" s="178"/>
      <c r="BN1278" s="178"/>
      <c r="BO1278" s="178"/>
      <c r="BP1278" s="178"/>
      <c r="BQ1278" s="196"/>
      <c r="BR1278" s="196"/>
      <c r="BS1278" s="196"/>
      <c r="BT1278" s="196"/>
      <c r="BU1278" s="196"/>
      <c r="BV1278" s="196"/>
      <c r="BW1278" s="178"/>
      <c r="BX1278" s="196"/>
      <c r="BY1278" s="196"/>
      <c r="BZ1278" s="196"/>
      <c r="CA1278" s="196"/>
      <c r="CB1278" s="178"/>
      <c r="CC1278" s="178"/>
      <c r="CD1278" s="202"/>
      <c r="CE1278" s="202"/>
      <c r="CF1278" s="178"/>
      <c r="CG1278" s="196"/>
      <c r="CH1278" s="178"/>
      <c r="CI1278" s="178"/>
      <c r="CJ1278" s="178"/>
      <c r="CK1278" s="178"/>
      <c r="CL1278" s="178"/>
      <c r="CM1278" s="178"/>
      <c r="CN1278" s="178"/>
      <c r="CO1278" s="178"/>
      <c r="CP1278" s="178"/>
      <c r="CQ1278" s="178"/>
      <c r="CR1278" s="178"/>
      <c r="CS1278" s="178"/>
      <c r="CT1278" s="178"/>
      <c r="CU1278" s="178"/>
      <c r="CV1278" s="178"/>
      <c r="CW1278" s="178"/>
      <c r="CX1278" s="178"/>
      <c r="CY1278" s="178"/>
      <c r="CZ1278" s="178"/>
      <c r="DA1278" s="150"/>
    </row>
    <row r="1279" spans="53:105" x14ac:dyDescent="0.2">
      <c r="BA1279" s="518">
        <f t="shared" ca="1" si="70"/>
        <v>61</v>
      </c>
      <c r="BB1279" s="174">
        <f t="shared" ca="1" si="71"/>
        <v>1216</v>
      </c>
      <c r="BC1279" s="525" t="e">
        <f ca="1">MATCH(BD1279,OFFSET(Pinlist!$A$2,BC1278*(BA1279=BA1278),0,$BM$23,1),0)+BC1278*(BA1279=BA1278)</f>
        <v>#N/A</v>
      </c>
      <c r="BD1279" s="167">
        <f t="shared" ca="1" si="72"/>
        <v>0</v>
      </c>
      <c r="BE1279" s="191" t="e">
        <f ca="1">(OFFSET(Pinlist!$E$1,BC1279,0)-$BN$16)*$BN$19</f>
        <v>#N/A</v>
      </c>
      <c r="BF1279" s="192" t="e">
        <f ca="1">(OFFSET(Pinlist!$F$1,BC1279,0)-$BO$16)*$BO$19</f>
        <v>#N/A</v>
      </c>
      <c r="BG1279" s="1098" t="str">
        <f ca="1">IF(LEFT(BD1279,2)="RF",OFFSET(Pinlist!$D$1,Chart!BC1279,0)&amp;"_"&amp;OFFSET(Pinlist!$G$1,Chart!BC1279,0),"")</f>
        <v/>
      </c>
      <c r="BH1279" s="1098"/>
      <c r="BI1279" s="178"/>
      <c r="BJ1279" s="178"/>
      <c r="BK1279" s="178"/>
      <c r="BL1279" s="178"/>
      <c r="BM1279" s="178"/>
      <c r="BN1279" s="178"/>
      <c r="BO1279" s="178"/>
      <c r="BP1279" s="178"/>
      <c r="BQ1279" s="196"/>
      <c r="BR1279" s="196"/>
      <c r="BS1279" s="196"/>
      <c r="BT1279" s="196"/>
      <c r="BU1279" s="196"/>
      <c r="BV1279" s="196"/>
      <c r="BW1279" s="178"/>
      <c r="BX1279" s="196"/>
      <c r="BY1279" s="196"/>
      <c r="BZ1279" s="196"/>
      <c r="CA1279" s="196"/>
      <c r="CB1279" s="178"/>
      <c r="CC1279" s="178"/>
      <c r="CD1279" s="202"/>
      <c r="CE1279" s="202"/>
      <c r="CF1279" s="178"/>
      <c r="CG1279" s="196"/>
      <c r="CH1279" s="178"/>
      <c r="CI1279" s="178"/>
      <c r="CJ1279" s="178"/>
      <c r="CK1279" s="178"/>
      <c r="CL1279" s="178"/>
      <c r="CM1279" s="178"/>
      <c r="CN1279" s="178"/>
      <c r="CO1279" s="178"/>
      <c r="CP1279" s="178"/>
      <c r="CQ1279" s="178"/>
      <c r="CR1279" s="178"/>
      <c r="CS1279" s="178"/>
      <c r="CT1279" s="178"/>
      <c r="CU1279" s="178"/>
      <c r="CV1279" s="178"/>
      <c r="CW1279" s="178"/>
      <c r="CX1279" s="178"/>
      <c r="CY1279" s="178"/>
      <c r="CZ1279" s="178"/>
      <c r="DA1279" s="150"/>
    </row>
    <row r="1280" spans="53:105" x14ac:dyDescent="0.2">
      <c r="BA1280" s="518">
        <f t="shared" ca="1" si="70"/>
        <v>61</v>
      </c>
      <c r="BB1280" s="174">
        <f t="shared" ca="1" si="71"/>
        <v>1217</v>
      </c>
      <c r="BC1280" s="525" t="e">
        <f ca="1">MATCH(BD1280,OFFSET(Pinlist!$A$2,BC1279*(BA1280=BA1279),0,$BM$23,1),0)+BC1279*(BA1280=BA1279)</f>
        <v>#N/A</v>
      </c>
      <c r="BD1280" s="167">
        <f t="shared" ca="1" si="72"/>
        <v>0</v>
      </c>
      <c r="BE1280" s="191" t="e">
        <f ca="1">(OFFSET(Pinlist!$E$1,BC1280,0)-$BN$16)*$BN$19</f>
        <v>#N/A</v>
      </c>
      <c r="BF1280" s="192" t="e">
        <f ca="1">(OFFSET(Pinlist!$F$1,BC1280,0)-$BO$16)*$BO$19</f>
        <v>#N/A</v>
      </c>
      <c r="BG1280" s="1098" t="str">
        <f ca="1">IF(LEFT(BD1280,2)="RF",OFFSET(Pinlist!$D$1,Chart!BC1280,0)&amp;"_"&amp;OFFSET(Pinlist!$G$1,Chart!BC1280,0),"")</f>
        <v/>
      </c>
      <c r="BH1280" s="1098"/>
      <c r="BI1280" s="178"/>
      <c r="BJ1280" s="178"/>
      <c r="BK1280" s="178"/>
      <c r="BL1280" s="178"/>
      <c r="BM1280" s="178"/>
      <c r="BN1280" s="178"/>
      <c r="BO1280" s="178"/>
      <c r="BP1280" s="178"/>
      <c r="BQ1280" s="196"/>
      <c r="BR1280" s="196"/>
      <c r="BS1280" s="196"/>
      <c r="BT1280" s="196"/>
      <c r="BU1280" s="196"/>
      <c r="BV1280" s="196"/>
      <c r="BW1280" s="178"/>
      <c r="BX1280" s="196"/>
      <c r="BY1280" s="196"/>
      <c r="BZ1280" s="196"/>
      <c r="CA1280" s="196"/>
      <c r="CB1280" s="178"/>
      <c r="CC1280" s="178"/>
      <c r="CD1280" s="202"/>
      <c r="CE1280" s="202"/>
      <c r="CF1280" s="178"/>
      <c r="CG1280" s="196"/>
      <c r="CH1280" s="178"/>
      <c r="CI1280" s="178"/>
      <c r="CJ1280" s="178"/>
      <c r="CK1280" s="178"/>
      <c r="CL1280" s="178"/>
      <c r="CM1280" s="178"/>
      <c r="CN1280" s="178"/>
      <c r="CO1280" s="178"/>
      <c r="CP1280" s="178"/>
      <c r="CQ1280" s="178"/>
      <c r="CR1280" s="178"/>
      <c r="CS1280" s="178"/>
      <c r="CT1280" s="178"/>
      <c r="CU1280" s="178"/>
      <c r="CV1280" s="178"/>
      <c r="CW1280" s="178"/>
      <c r="CX1280" s="178"/>
      <c r="CY1280" s="178"/>
      <c r="CZ1280" s="178"/>
      <c r="DA1280" s="150"/>
    </row>
    <row r="1281" spans="53:105" x14ac:dyDescent="0.2">
      <c r="BA1281" s="518">
        <f t="shared" ca="1" si="70"/>
        <v>61</v>
      </c>
      <c r="BB1281" s="174">
        <f t="shared" ca="1" si="71"/>
        <v>1218</v>
      </c>
      <c r="BC1281" s="525" t="e">
        <f ca="1">MATCH(BD1281,OFFSET(Pinlist!$A$2,BC1280*(BA1281=BA1280),0,$BM$23,1),0)+BC1280*(BA1281=BA1280)</f>
        <v>#N/A</v>
      </c>
      <c r="BD1281" s="167">
        <f t="shared" ca="1" si="72"/>
        <v>0</v>
      </c>
      <c r="BE1281" s="191" t="e">
        <f ca="1">(OFFSET(Pinlist!$E$1,BC1281,0)-$BN$16)*$BN$19</f>
        <v>#N/A</v>
      </c>
      <c r="BF1281" s="192" t="e">
        <f ca="1">(OFFSET(Pinlist!$F$1,BC1281,0)-$BO$16)*$BO$19</f>
        <v>#N/A</v>
      </c>
      <c r="BG1281" s="1098" t="str">
        <f ca="1">IF(LEFT(BD1281,2)="RF",OFFSET(Pinlist!$D$1,Chart!BC1281,0)&amp;"_"&amp;OFFSET(Pinlist!$G$1,Chart!BC1281,0),"")</f>
        <v/>
      </c>
      <c r="BH1281" s="1098"/>
      <c r="BI1281" s="178"/>
      <c r="BJ1281" s="178"/>
      <c r="BK1281" s="178"/>
      <c r="BL1281" s="178"/>
      <c r="BM1281" s="178"/>
      <c r="BN1281" s="178"/>
      <c r="BO1281" s="178"/>
      <c r="BP1281" s="178"/>
      <c r="BQ1281" s="196"/>
      <c r="BR1281" s="196"/>
      <c r="BS1281" s="196"/>
      <c r="BT1281" s="196"/>
      <c r="BU1281" s="196"/>
      <c r="BV1281" s="196"/>
      <c r="BW1281" s="178"/>
      <c r="BX1281" s="196"/>
      <c r="BY1281" s="196"/>
      <c r="BZ1281" s="196"/>
      <c r="CA1281" s="196"/>
      <c r="CB1281" s="178"/>
      <c r="CC1281" s="178"/>
      <c r="CD1281" s="202"/>
      <c r="CE1281" s="202"/>
      <c r="CF1281" s="178"/>
      <c r="CG1281" s="196"/>
      <c r="CH1281" s="178"/>
      <c r="CI1281" s="178"/>
      <c r="CJ1281" s="178"/>
      <c r="CK1281" s="178"/>
      <c r="CL1281" s="178"/>
      <c r="CM1281" s="178"/>
      <c r="CN1281" s="178"/>
      <c r="CO1281" s="178"/>
      <c r="CP1281" s="178"/>
      <c r="CQ1281" s="178"/>
      <c r="CR1281" s="178"/>
      <c r="CS1281" s="178"/>
      <c r="CT1281" s="178"/>
      <c r="CU1281" s="178"/>
      <c r="CV1281" s="178"/>
      <c r="CW1281" s="178"/>
      <c r="CX1281" s="178"/>
      <c r="CY1281" s="178"/>
      <c r="CZ1281" s="178"/>
      <c r="DA1281" s="150"/>
    </row>
    <row r="1282" spans="53:105" x14ac:dyDescent="0.2">
      <c r="BA1282" s="518">
        <f t="shared" ca="1" si="70"/>
        <v>61</v>
      </c>
      <c r="BB1282" s="174">
        <f t="shared" ca="1" si="71"/>
        <v>1219</v>
      </c>
      <c r="BC1282" s="525" t="e">
        <f ca="1">MATCH(BD1282,OFFSET(Pinlist!$A$2,BC1281*(BA1282=BA1281),0,$BM$23,1),0)+BC1281*(BA1282=BA1281)</f>
        <v>#N/A</v>
      </c>
      <c r="BD1282" s="167">
        <f t="shared" ca="1" si="72"/>
        <v>0</v>
      </c>
      <c r="BE1282" s="191" t="e">
        <f ca="1">(OFFSET(Pinlist!$E$1,BC1282,0)-$BN$16)*$BN$19</f>
        <v>#N/A</v>
      </c>
      <c r="BF1282" s="192" t="e">
        <f ca="1">(OFFSET(Pinlist!$F$1,BC1282,0)-$BO$16)*$BO$19</f>
        <v>#N/A</v>
      </c>
      <c r="BG1282" s="1098" t="str">
        <f ca="1">IF(LEFT(BD1282,2)="RF",OFFSET(Pinlist!$D$1,Chart!BC1282,0)&amp;"_"&amp;OFFSET(Pinlist!$G$1,Chart!BC1282,0),"")</f>
        <v/>
      </c>
      <c r="BH1282" s="1098"/>
      <c r="BI1282" s="178"/>
      <c r="BJ1282" s="178"/>
      <c r="BK1282" s="178"/>
      <c r="BL1282" s="178"/>
      <c r="BM1282" s="178"/>
      <c r="BN1282" s="178"/>
      <c r="BO1282" s="178"/>
      <c r="BP1282" s="178"/>
      <c r="BQ1282" s="196"/>
      <c r="BR1282" s="196"/>
      <c r="BS1282" s="196"/>
      <c r="BT1282" s="196"/>
      <c r="BU1282" s="196"/>
      <c r="BV1282" s="196"/>
      <c r="BW1282" s="178"/>
      <c r="BX1282" s="196"/>
      <c r="BY1282" s="196"/>
      <c r="BZ1282" s="196"/>
      <c r="CA1282" s="196"/>
      <c r="CB1282" s="178"/>
      <c r="CC1282" s="178"/>
      <c r="CD1282" s="202"/>
      <c r="CE1282" s="202"/>
      <c r="CF1282" s="178"/>
      <c r="CG1282" s="196"/>
      <c r="CH1282" s="178"/>
      <c r="CI1282" s="178"/>
      <c r="CJ1282" s="178"/>
      <c r="CK1282" s="178"/>
      <c r="CL1282" s="178"/>
      <c r="CM1282" s="178"/>
      <c r="CN1282" s="178"/>
      <c r="CO1282" s="178"/>
      <c r="CP1282" s="178"/>
      <c r="CQ1282" s="178"/>
      <c r="CR1282" s="178"/>
      <c r="CS1282" s="178"/>
      <c r="CT1282" s="178"/>
      <c r="CU1282" s="178"/>
      <c r="CV1282" s="178"/>
      <c r="CW1282" s="178"/>
      <c r="CX1282" s="178"/>
      <c r="CY1282" s="178"/>
      <c r="CZ1282" s="178"/>
      <c r="DA1282" s="150"/>
    </row>
    <row r="1283" spans="53:105" x14ac:dyDescent="0.2">
      <c r="BA1283" s="518">
        <f t="shared" ca="1" si="70"/>
        <v>61</v>
      </c>
      <c r="BB1283" s="174">
        <f t="shared" ca="1" si="71"/>
        <v>1220</v>
      </c>
      <c r="BC1283" s="525" t="e">
        <f ca="1">MATCH(BD1283,OFFSET(Pinlist!$A$2,BC1282*(BA1283=BA1282),0,$BM$23,1),0)+BC1282*(BA1283=BA1282)</f>
        <v>#N/A</v>
      </c>
      <c r="BD1283" s="167">
        <f t="shared" ca="1" si="72"/>
        <v>0</v>
      </c>
      <c r="BE1283" s="191" t="e">
        <f ca="1">(OFFSET(Pinlist!$E$1,BC1283,0)-$BN$16)*$BN$19</f>
        <v>#N/A</v>
      </c>
      <c r="BF1283" s="192" t="e">
        <f ca="1">(OFFSET(Pinlist!$F$1,BC1283,0)-$BO$16)*$BO$19</f>
        <v>#N/A</v>
      </c>
      <c r="BG1283" s="1098" t="str">
        <f ca="1">IF(LEFT(BD1283,2)="RF",OFFSET(Pinlist!$D$1,Chart!BC1283,0)&amp;"_"&amp;OFFSET(Pinlist!$G$1,Chart!BC1283,0),"")</f>
        <v/>
      </c>
      <c r="BH1283" s="1098"/>
      <c r="BI1283" s="178"/>
      <c r="BJ1283" s="178"/>
      <c r="BK1283" s="178"/>
      <c r="BL1283" s="178"/>
      <c r="BM1283" s="178"/>
      <c r="BN1283" s="178"/>
      <c r="BO1283" s="178"/>
      <c r="BP1283" s="178"/>
      <c r="BQ1283" s="196"/>
      <c r="BR1283" s="196"/>
      <c r="BS1283" s="196"/>
      <c r="BT1283" s="196"/>
      <c r="BU1283" s="196"/>
      <c r="BV1283" s="196"/>
      <c r="BW1283" s="178"/>
      <c r="BX1283" s="196"/>
      <c r="BY1283" s="196"/>
      <c r="BZ1283" s="196"/>
      <c r="CA1283" s="196"/>
      <c r="CB1283" s="178"/>
      <c r="CC1283" s="178"/>
      <c r="CD1283" s="202"/>
      <c r="CE1283" s="202"/>
      <c r="CF1283" s="178"/>
      <c r="CG1283" s="196"/>
      <c r="CH1283" s="178"/>
      <c r="CI1283" s="178"/>
      <c r="CJ1283" s="178"/>
      <c r="CK1283" s="178"/>
      <c r="CL1283" s="178"/>
      <c r="CM1283" s="178"/>
      <c r="CN1283" s="178"/>
      <c r="CO1283" s="178"/>
      <c r="CP1283" s="178"/>
      <c r="CQ1283" s="178"/>
      <c r="CR1283" s="178"/>
      <c r="CS1283" s="178"/>
      <c r="CT1283" s="178"/>
      <c r="CU1283" s="178"/>
      <c r="CV1283" s="178"/>
      <c r="CW1283" s="178"/>
      <c r="CX1283" s="178"/>
      <c r="CY1283" s="178"/>
      <c r="CZ1283" s="178"/>
      <c r="DA1283" s="150"/>
    </row>
    <row r="1284" spans="53:105" x14ac:dyDescent="0.2">
      <c r="BA1284" s="518">
        <f t="shared" ref="BA1284:BA1347" ca="1" si="73">BA1283+(BB1283=OFFSET($BZ$3,BA1283,0))</f>
        <v>61</v>
      </c>
      <c r="BB1284" s="174">
        <f t="shared" ref="BB1284:BB1347" ca="1" si="74">IF(BA1284=BA1283,BB1283+1,1)</f>
        <v>1221</v>
      </c>
      <c r="BC1284" s="525" t="e">
        <f ca="1">MATCH(BD1284,OFFSET(Pinlist!$A$2,BC1283*(BA1284=BA1283),0,$BM$23,1),0)+BC1283*(BA1284=BA1283)</f>
        <v>#N/A</v>
      </c>
      <c r="BD1284" s="167">
        <f t="shared" ref="BD1284:BD1347" ca="1" si="75">OFFSET($BY$3,BA1284,0)</f>
        <v>0</v>
      </c>
      <c r="BE1284" s="191" t="e">
        <f ca="1">(OFFSET(Pinlist!$E$1,BC1284,0)-$BN$16)*$BN$19</f>
        <v>#N/A</v>
      </c>
      <c r="BF1284" s="192" t="e">
        <f ca="1">(OFFSET(Pinlist!$F$1,BC1284,0)-$BO$16)*$BO$19</f>
        <v>#N/A</v>
      </c>
      <c r="BG1284" s="1098" t="str">
        <f ca="1">IF(LEFT(BD1284,2)="RF",OFFSET(Pinlist!$D$1,Chart!BC1284,0)&amp;"_"&amp;OFFSET(Pinlist!$G$1,Chart!BC1284,0),"")</f>
        <v/>
      </c>
      <c r="BH1284" s="1098"/>
      <c r="BI1284" s="178"/>
      <c r="BJ1284" s="178"/>
      <c r="BK1284" s="178"/>
      <c r="BL1284" s="178"/>
      <c r="BM1284" s="178"/>
      <c r="BN1284" s="178"/>
      <c r="BO1284" s="178"/>
      <c r="BP1284" s="178"/>
      <c r="BQ1284" s="196"/>
      <c r="BR1284" s="196"/>
      <c r="BS1284" s="196"/>
      <c r="BT1284" s="196"/>
      <c r="BU1284" s="196"/>
      <c r="BV1284" s="196"/>
      <c r="BW1284" s="178"/>
      <c r="BX1284" s="196"/>
      <c r="BY1284" s="196"/>
      <c r="BZ1284" s="196"/>
      <c r="CA1284" s="196"/>
      <c r="CB1284" s="178"/>
      <c r="CC1284" s="178"/>
      <c r="CD1284" s="202"/>
      <c r="CE1284" s="202"/>
      <c r="CF1284" s="178"/>
      <c r="CG1284" s="196"/>
      <c r="CH1284" s="178"/>
      <c r="CI1284" s="178"/>
      <c r="CJ1284" s="178"/>
      <c r="CK1284" s="178"/>
      <c r="CL1284" s="178"/>
      <c r="CM1284" s="178"/>
      <c r="CN1284" s="178"/>
      <c r="CO1284" s="178"/>
      <c r="CP1284" s="178"/>
      <c r="CQ1284" s="178"/>
      <c r="CR1284" s="178"/>
      <c r="CS1284" s="178"/>
      <c r="CT1284" s="178"/>
      <c r="CU1284" s="178"/>
      <c r="CV1284" s="178"/>
      <c r="CW1284" s="178"/>
      <c r="CX1284" s="178"/>
      <c r="CY1284" s="178"/>
      <c r="CZ1284" s="178"/>
      <c r="DA1284" s="150"/>
    </row>
    <row r="1285" spans="53:105" x14ac:dyDescent="0.2">
      <c r="BA1285" s="518">
        <f t="shared" ca="1" si="73"/>
        <v>61</v>
      </c>
      <c r="BB1285" s="174">
        <f t="shared" ca="1" si="74"/>
        <v>1222</v>
      </c>
      <c r="BC1285" s="525" t="e">
        <f ca="1">MATCH(BD1285,OFFSET(Pinlist!$A$2,BC1284*(BA1285=BA1284),0,$BM$23,1),0)+BC1284*(BA1285=BA1284)</f>
        <v>#N/A</v>
      </c>
      <c r="BD1285" s="167">
        <f t="shared" ca="1" si="75"/>
        <v>0</v>
      </c>
      <c r="BE1285" s="191" t="e">
        <f ca="1">(OFFSET(Pinlist!$E$1,BC1285,0)-$BN$16)*$BN$19</f>
        <v>#N/A</v>
      </c>
      <c r="BF1285" s="192" t="e">
        <f ca="1">(OFFSET(Pinlist!$F$1,BC1285,0)-$BO$16)*$BO$19</f>
        <v>#N/A</v>
      </c>
      <c r="BG1285" s="1098" t="str">
        <f ca="1">IF(LEFT(BD1285,2)="RF",OFFSET(Pinlist!$D$1,Chart!BC1285,0)&amp;"_"&amp;OFFSET(Pinlist!$G$1,Chart!BC1285,0),"")</f>
        <v/>
      </c>
      <c r="BH1285" s="1098"/>
      <c r="BI1285" s="178"/>
      <c r="BJ1285" s="178"/>
      <c r="BK1285" s="178"/>
      <c r="BL1285" s="178"/>
      <c r="BM1285" s="178"/>
      <c r="BN1285" s="178"/>
      <c r="BO1285" s="178"/>
      <c r="BP1285" s="178"/>
      <c r="BQ1285" s="196"/>
      <c r="BR1285" s="196"/>
      <c r="BS1285" s="196"/>
      <c r="BT1285" s="196"/>
      <c r="BU1285" s="196"/>
      <c r="BV1285" s="196"/>
      <c r="BW1285" s="178"/>
      <c r="BX1285" s="196"/>
      <c r="BY1285" s="196"/>
      <c r="BZ1285" s="196"/>
      <c r="CA1285" s="196"/>
      <c r="CB1285" s="178"/>
      <c r="CC1285" s="178"/>
      <c r="CD1285" s="202"/>
      <c r="CE1285" s="202"/>
      <c r="CF1285" s="178"/>
      <c r="CG1285" s="196"/>
      <c r="CH1285" s="178"/>
      <c r="CI1285" s="178"/>
      <c r="CJ1285" s="178"/>
      <c r="CK1285" s="178"/>
      <c r="CL1285" s="178"/>
      <c r="CM1285" s="178"/>
      <c r="CN1285" s="178"/>
      <c r="CO1285" s="178"/>
      <c r="CP1285" s="178"/>
      <c r="CQ1285" s="178"/>
      <c r="CR1285" s="178"/>
      <c r="CS1285" s="178"/>
      <c r="CT1285" s="178"/>
      <c r="CU1285" s="178"/>
      <c r="CV1285" s="178"/>
      <c r="CW1285" s="178"/>
      <c r="CX1285" s="178"/>
      <c r="CY1285" s="178"/>
      <c r="CZ1285" s="178"/>
      <c r="DA1285" s="150"/>
    </row>
    <row r="1286" spans="53:105" x14ac:dyDescent="0.2">
      <c r="BA1286" s="518">
        <f t="shared" ca="1" si="73"/>
        <v>61</v>
      </c>
      <c r="BB1286" s="174">
        <f t="shared" ca="1" si="74"/>
        <v>1223</v>
      </c>
      <c r="BC1286" s="525" t="e">
        <f ca="1">MATCH(BD1286,OFFSET(Pinlist!$A$2,BC1285*(BA1286=BA1285),0,$BM$23,1),0)+BC1285*(BA1286=BA1285)</f>
        <v>#N/A</v>
      </c>
      <c r="BD1286" s="167">
        <f t="shared" ca="1" si="75"/>
        <v>0</v>
      </c>
      <c r="BE1286" s="191" t="e">
        <f ca="1">(OFFSET(Pinlist!$E$1,BC1286,0)-$BN$16)*$BN$19</f>
        <v>#N/A</v>
      </c>
      <c r="BF1286" s="192" t="e">
        <f ca="1">(OFFSET(Pinlist!$F$1,BC1286,0)-$BO$16)*$BO$19</f>
        <v>#N/A</v>
      </c>
      <c r="BG1286" s="1098" t="str">
        <f ca="1">IF(LEFT(BD1286,2)="RF",OFFSET(Pinlist!$D$1,Chart!BC1286,0)&amp;"_"&amp;OFFSET(Pinlist!$G$1,Chart!BC1286,0),"")</f>
        <v/>
      </c>
      <c r="BH1286" s="1098"/>
      <c r="BI1286" s="178"/>
      <c r="BJ1286" s="178"/>
      <c r="BK1286" s="178"/>
      <c r="BL1286" s="178"/>
      <c r="BM1286" s="178"/>
      <c r="BN1286" s="178"/>
      <c r="BO1286" s="178"/>
      <c r="BP1286" s="178"/>
      <c r="BQ1286" s="196"/>
      <c r="BR1286" s="196"/>
      <c r="BS1286" s="196"/>
      <c r="BT1286" s="196"/>
      <c r="BU1286" s="196"/>
      <c r="BV1286" s="196"/>
      <c r="BW1286" s="178"/>
      <c r="BX1286" s="196"/>
      <c r="BY1286" s="196"/>
      <c r="BZ1286" s="196"/>
      <c r="CA1286" s="196"/>
      <c r="CB1286" s="178"/>
      <c r="CC1286" s="178"/>
      <c r="CD1286" s="202"/>
      <c r="CE1286" s="202"/>
      <c r="CF1286" s="178"/>
      <c r="CG1286" s="196"/>
      <c r="CH1286" s="178"/>
      <c r="CI1286" s="178"/>
      <c r="CJ1286" s="178"/>
      <c r="CK1286" s="178"/>
      <c r="CL1286" s="178"/>
      <c r="CM1286" s="178"/>
      <c r="CN1286" s="178"/>
      <c r="CO1286" s="178"/>
      <c r="CP1286" s="178"/>
      <c r="CQ1286" s="178"/>
      <c r="CR1286" s="178"/>
      <c r="CS1286" s="178"/>
      <c r="CT1286" s="178"/>
      <c r="CU1286" s="178"/>
      <c r="CV1286" s="178"/>
      <c r="CW1286" s="178"/>
      <c r="CX1286" s="178"/>
      <c r="CY1286" s="178"/>
      <c r="CZ1286" s="178"/>
      <c r="DA1286" s="150"/>
    </row>
    <row r="1287" spans="53:105" x14ac:dyDescent="0.2">
      <c r="BA1287" s="518">
        <f t="shared" ca="1" si="73"/>
        <v>61</v>
      </c>
      <c r="BB1287" s="174">
        <f t="shared" ca="1" si="74"/>
        <v>1224</v>
      </c>
      <c r="BC1287" s="525" t="e">
        <f ca="1">MATCH(BD1287,OFFSET(Pinlist!$A$2,BC1286*(BA1287=BA1286),0,$BM$23,1),0)+BC1286*(BA1287=BA1286)</f>
        <v>#N/A</v>
      </c>
      <c r="BD1287" s="167">
        <f t="shared" ca="1" si="75"/>
        <v>0</v>
      </c>
      <c r="BE1287" s="191" t="e">
        <f ca="1">(OFFSET(Pinlist!$E$1,BC1287,0)-$BN$16)*$BN$19</f>
        <v>#N/A</v>
      </c>
      <c r="BF1287" s="192" t="e">
        <f ca="1">(OFFSET(Pinlist!$F$1,BC1287,0)-$BO$16)*$BO$19</f>
        <v>#N/A</v>
      </c>
      <c r="BG1287" s="1098" t="str">
        <f ca="1">IF(LEFT(BD1287,2)="RF",OFFSET(Pinlist!$D$1,Chart!BC1287,0)&amp;"_"&amp;OFFSET(Pinlist!$G$1,Chart!BC1287,0),"")</f>
        <v/>
      </c>
      <c r="BH1287" s="1098"/>
      <c r="BI1287" s="178"/>
      <c r="BJ1287" s="178"/>
      <c r="BK1287" s="178"/>
      <c r="BL1287" s="178"/>
      <c r="BM1287" s="178"/>
      <c r="BN1287" s="178"/>
      <c r="BO1287" s="178"/>
      <c r="BP1287" s="178"/>
      <c r="BQ1287" s="196"/>
      <c r="BR1287" s="196"/>
      <c r="BS1287" s="196"/>
      <c r="BT1287" s="196"/>
      <c r="BU1287" s="196"/>
      <c r="BV1287" s="196"/>
      <c r="BW1287" s="178"/>
      <c r="BX1287" s="196"/>
      <c r="BY1287" s="196"/>
      <c r="BZ1287" s="196"/>
      <c r="CA1287" s="196"/>
      <c r="CB1287" s="178"/>
      <c r="CC1287" s="178"/>
      <c r="CD1287" s="202"/>
      <c r="CE1287" s="202"/>
      <c r="CF1287" s="178"/>
      <c r="CG1287" s="196"/>
      <c r="CH1287" s="178"/>
      <c r="CI1287" s="178"/>
      <c r="CJ1287" s="178"/>
      <c r="CK1287" s="178"/>
      <c r="CL1287" s="178"/>
      <c r="CM1287" s="178"/>
      <c r="CN1287" s="178"/>
      <c r="CO1287" s="178"/>
      <c r="CP1287" s="178"/>
      <c r="CQ1287" s="178"/>
      <c r="CR1287" s="178"/>
      <c r="CS1287" s="178"/>
      <c r="CT1287" s="178"/>
      <c r="CU1287" s="178"/>
      <c r="CV1287" s="178"/>
      <c r="CW1287" s="178"/>
      <c r="CX1287" s="178"/>
      <c r="CY1287" s="178"/>
      <c r="CZ1287" s="178"/>
      <c r="DA1287" s="150"/>
    </row>
    <row r="1288" spans="53:105" x14ac:dyDescent="0.2">
      <c r="BA1288" s="518">
        <f t="shared" ca="1" si="73"/>
        <v>61</v>
      </c>
      <c r="BB1288" s="174">
        <f t="shared" ca="1" si="74"/>
        <v>1225</v>
      </c>
      <c r="BC1288" s="525" t="e">
        <f ca="1">MATCH(BD1288,OFFSET(Pinlist!$A$2,BC1287*(BA1288=BA1287),0,$BM$23,1),0)+BC1287*(BA1288=BA1287)</f>
        <v>#N/A</v>
      </c>
      <c r="BD1288" s="167">
        <f t="shared" ca="1" si="75"/>
        <v>0</v>
      </c>
      <c r="BE1288" s="191" t="e">
        <f ca="1">(OFFSET(Pinlist!$E$1,BC1288,0)-$BN$16)*$BN$19</f>
        <v>#N/A</v>
      </c>
      <c r="BF1288" s="192" t="e">
        <f ca="1">(OFFSET(Pinlist!$F$1,BC1288,0)-$BO$16)*$BO$19</f>
        <v>#N/A</v>
      </c>
      <c r="BG1288" s="1098" t="str">
        <f ca="1">IF(LEFT(BD1288,2)="RF",OFFSET(Pinlist!$D$1,Chart!BC1288,0)&amp;"_"&amp;OFFSET(Pinlist!$G$1,Chart!BC1288,0),"")</f>
        <v/>
      </c>
      <c r="BH1288" s="1098"/>
      <c r="BI1288" s="178"/>
      <c r="BJ1288" s="178"/>
      <c r="BK1288" s="178"/>
      <c r="BL1288" s="178"/>
      <c r="BM1288" s="178"/>
      <c r="BN1288" s="178"/>
      <c r="BO1288" s="178"/>
      <c r="BP1288" s="178"/>
      <c r="BQ1288" s="196"/>
      <c r="BR1288" s="196"/>
      <c r="BS1288" s="196"/>
      <c r="BT1288" s="196"/>
      <c r="BU1288" s="196"/>
      <c r="BV1288" s="196"/>
      <c r="BW1288" s="178"/>
      <c r="BX1288" s="196"/>
      <c r="BY1288" s="196"/>
      <c r="BZ1288" s="196"/>
      <c r="CA1288" s="196"/>
      <c r="CB1288" s="178"/>
      <c r="CC1288" s="178"/>
      <c r="CD1288" s="202"/>
      <c r="CE1288" s="202"/>
      <c r="CF1288" s="178"/>
      <c r="CG1288" s="196"/>
      <c r="CH1288" s="178"/>
      <c r="CI1288" s="178"/>
      <c r="CJ1288" s="178"/>
      <c r="CK1288" s="178"/>
      <c r="CL1288" s="178"/>
      <c r="CM1288" s="178"/>
      <c r="CN1288" s="178"/>
      <c r="CO1288" s="178"/>
      <c r="CP1288" s="178"/>
      <c r="CQ1288" s="178"/>
      <c r="CR1288" s="178"/>
      <c r="CS1288" s="178"/>
      <c r="CT1288" s="178"/>
      <c r="CU1288" s="178"/>
      <c r="CV1288" s="178"/>
      <c r="CW1288" s="178"/>
      <c r="CX1288" s="178"/>
      <c r="CY1288" s="178"/>
      <c r="CZ1288" s="178"/>
      <c r="DA1288" s="150"/>
    </row>
    <row r="1289" spans="53:105" x14ac:dyDescent="0.2">
      <c r="BA1289" s="518">
        <f t="shared" ca="1" si="73"/>
        <v>61</v>
      </c>
      <c r="BB1289" s="174">
        <f t="shared" ca="1" si="74"/>
        <v>1226</v>
      </c>
      <c r="BC1289" s="525" t="e">
        <f ca="1">MATCH(BD1289,OFFSET(Pinlist!$A$2,BC1288*(BA1289=BA1288),0,$BM$23,1),0)+BC1288*(BA1289=BA1288)</f>
        <v>#N/A</v>
      </c>
      <c r="BD1289" s="167">
        <f t="shared" ca="1" si="75"/>
        <v>0</v>
      </c>
      <c r="BE1289" s="191" t="e">
        <f ca="1">(OFFSET(Pinlist!$E$1,BC1289,0)-$BN$16)*$BN$19</f>
        <v>#N/A</v>
      </c>
      <c r="BF1289" s="192" t="e">
        <f ca="1">(OFFSET(Pinlist!$F$1,BC1289,0)-$BO$16)*$BO$19</f>
        <v>#N/A</v>
      </c>
      <c r="BG1289" s="1098" t="str">
        <f ca="1">IF(LEFT(BD1289,2)="RF",OFFSET(Pinlist!$D$1,Chart!BC1289,0)&amp;"_"&amp;OFFSET(Pinlist!$G$1,Chart!BC1289,0),"")</f>
        <v/>
      </c>
      <c r="BH1289" s="1098"/>
      <c r="BI1289" s="178"/>
      <c r="BJ1289" s="178"/>
      <c r="BK1289" s="178"/>
      <c r="BL1289" s="178"/>
      <c r="BM1289" s="178"/>
      <c r="BN1289" s="178"/>
      <c r="BO1289" s="178"/>
      <c r="BP1289" s="178"/>
      <c r="BQ1289" s="196"/>
      <c r="BR1289" s="196"/>
      <c r="BS1289" s="196"/>
      <c r="BT1289" s="196"/>
      <c r="BU1289" s="196"/>
      <c r="BV1289" s="196"/>
      <c r="BW1289" s="178"/>
      <c r="BX1289" s="196"/>
      <c r="BY1289" s="196"/>
      <c r="BZ1289" s="196"/>
      <c r="CA1289" s="196"/>
      <c r="CB1289" s="178"/>
      <c r="CC1289" s="178"/>
      <c r="CD1289" s="202"/>
      <c r="CE1289" s="202"/>
      <c r="CF1289" s="178"/>
      <c r="CG1289" s="196"/>
      <c r="CH1289" s="178"/>
      <c r="CI1289" s="178"/>
      <c r="CJ1289" s="178"/>
      <c r="CK1289" s="178"/>
      <c r="CL1289" s="178"/>
      <c r="CM1289" s="178"/>
      <c r="CN1289" s="178"/>
      <c r="CO1289" s="178"/>
      <c r="CP1289" s="178"/>
      <c r="CQ1289" s="178"/>
      <c r="CR1289" s="178"/>
      <c r="CS1289" s="178"/>
      <c r="CT1289" s="178"/>
      <c r="CU1289" s="178"/>
      <c r="CV1289" s="178"/>
      <c r="CW1289" s="178"/>
      <c r="CX1289" s="178"/>
      <c r="CY1289" s="178"/>
      <c r="CZ1289" s="178"/>
      <c r="DA1289" s="150"/>
    </row>
    <row r="1290" spans="53:105" x14ac:dyDescent="0.2">
      <c r="BA1290" s="518">
        <f t="shared" ca="1" si="73"/>
        <v>61</v>
      </c>
      <c r="BB1290" s="174">
        <f t="shared" ca="1" si="74"/>
        <v>1227</v>
      </c>
      <c r="BC1290" s="525" t="e">
        <f ca="1">MATCH(BD1290,OFFSET(Pinlist!$A$2,BC1289*(BA1290=BA1289),0,$BM$23,1),0)+BC1289*(BA1290=BA1289)</f>
        <v>#N/A</v>
      </c>
      <c r="BD1290" s="167">
        <f t="shared" ca="1" si="75"/>
        <v>0</v>
      </c>
      <c r="BE1290" s="191" t="e">
        <f ca="1">(OFFSET(Pinlist!$E$1,BC1290,0)-$BN$16)*$BN$19</f>
        <v>#N/A</v>
      </c>
      <c r="BF1290" s="192" t="e">
        <f ca="1">(OFFSET(Pinlist!$F$1,BC1290,0)-$BO$16)*$BO$19</f>
        <v>#N/A</v>
      </c>
      <c r="BG1290" s="1098" t="str">
        <f ca="1">IF(LEFT(BD1290,2)="RF",OFFSET(Pinlist!$D$1,Chart!BC1290,0)&amp;"_"&amp;OFFSET(Pinlist!$G$1,Chart!BC1290,0),"")</f>
        <v/>
      </c>
      <c r="BH1290" s="1098"/>
      <c r="BI1290" s="178"/>
      <c r="BJ1290" s="178"/>
      <c r="BK1290" s="178"/>
      <c r="BL1290" s="178"/>
      <c r="BM1290" s="178"/>
      <c r="BN1290" s="178"/>
      <c r="BO1290" s="178"/>
      <c r="BP1290" s="178"/>
      <c r="BQ1290" s="196"/>
      <c r="BR1290" s="196"/>
      <c r="BS1290" s="196"/>
      <c r="BT1290" s="196"/>
      <c r="BU1290" s="196"/>
      <c r="BV1290" s="196"/>
      <c r="BW1290" s="178"/>
      <c r="BX1290" s="196"/>
      <c r="BY1290" s="196"/>
      <c r="BZ1290" s="196"/>
      <c r="CA1290" s="196"/>
      <c r="CB1290" s="178"/>
      <c r="CC1290" s="178"/>
      <c r="CD1290" s="202"/>
      <c r="CE1290" s="202"/>
      <c r="CF1290" s="178"/>
      <c r="CG1290" s="196"/>
      <c r="CH1290" s="178"/>
      <c r="CI1290" s="178"/>
      <c r="CJ1290" s="178"/>
      <c r="CK1290" s="178"/>
      <c r="CL1290" s="178"/>
      <c r="CM1290" s="178"/>
      <c r="CN1290" s="178"/>
      <c r="CO1290" s="178"/>
      <c r="CP1290" s="178"/>
      <c r="CQ1290" s="178"/>
      <c r="CR1290" s="178"/>
      <c r="CS1290" s="178"/>
      <c r="CT1290" s="178"/>
      <c r="CU1290" s="178"/>
      <c r="CV1290" s="178"/>
      <c r="CW1290" s="178"/>
      <c r="CX1290" s="178"/>
      <c r="CY1290" s="178"/>
      <c r="CZ1290" s="178"/>
      <c r="DA1290" s="150"/>
    </row>
    <row r="1291" spans="53:105" x14ac:dyDescent="0.2">
      <c r="BA1291" s="518">
        <f t="shared" ca="1" si="73"/>
        <v>61</v>
      </c>
      <c r="BB1291" s="174">
        <f t="shared" ca="1" si="74"/>
        <v>1228</v>
      </c>
      <c r="BC1291" s="525" t="e">
        <f ca="1">MATCH(BD1291,OFFSET(Pinlist!$A$2,BC1290*(BA1291=BA1290),0,$BM$23,1),0)+BC1290*(BA1291=BA1290)</f>
        <v>#N/A</v>
      </c>
      <c r="BD1291" s="167">
        <f t="shared" ca="1" si="75"/>
        <v>0</v>
      </c>
      <c r="BE1291" s="191" t="e">
        <f ca="1">(OFFSET(Pinlist!$E$1,BC1291,0)-$BN$16)*$BN$19</f>
        <v>#N/A</v>
      </c>
      <c r="BF1291" s="192" t="e">
        <f ca="1">(OFFSET(Pinlist!$F$1,BC1291,0)-$BO$16)*$BO$19</f>
        <v>#N/A</v>
      </c>
      <c r="BG1291" s="1098" t="str">
        <f ca="1">IF(LEFT(BD1291,2)="RF",OFFSET(Pinlist!$D$1,Chart!BC1291,0)&amp;"_"&amp;OFFSET(Pinlist!$G$1,Chart!BC1291,0),"")</f>
        <v/>
      </c>
      <c r="BH1291" s="1098"/>
      <c r="BI1291" s="178"/>
      <c r="BJ1291" s="178"/>
      <c r="BK1291" s="178"/>
      <c r="BL1291" s="178"/>
      <c r="BM1291" s="178"/>
      <c r="BN1291" s="178"/>
      <c r="BO1291" s="178"/>
      <c r="BP1291" s="178"/>
      <c r="BQ1291" s="196"/>
      <c r="BR1291" s="196"/>
      <c r="BS1291" s="196"/>
      <c r="BT1291" s="196"/>
      <c r="BU1291" s="196"/>
      <c r="BV1291" s="196"/>
      <c r="BW1291" s="178"/>
      <c r="BX1291" s="196"/>
      <c r="BY1291" s="196"/>
      <c r="BZ1291" s="196"/>
      <c r="CA1291" s="196"/>
      <c r="CB1291" s="178"/>
      <c r="CC1291" s="178"/>
      <c r="CD1291" s="202"/>
      <c r="CE1291" s="202"/>
      <c r="CF1291" s="178"/>
      <c r="CG1291" s="196"/>
      <c r="CH1291" s="178"/>
      <c r="CI1291" s="178"/>
      <c r="CJ1291" s="178"/>
      <c r="CK1291" s="178"/>
      <c r="CL1291" s="178"/>
      <c r="CM1291" s="178"/>
      <c r="CN1291" s="178"/>
      <c r="CO1291" s="178"/>
      <c r="CP1291" s="178"/>
      <c r="CQ1291" s="178"/>
      <c r="CR1291" s="178"/>
      <c r="CS1291" s="178"/>
      <c r="CT1291" s="178"/>
      <c r="CU1291" s="178"/>
      <c r="CV1291" s="178"/>
      <c r="CW1291" s="178"/>
      <c r="CX1291" s="178"/>
      <c r="CY1291" s="178"/>
      <c r="CZ1291" s="178"/>
      <c r="DA1291" s="150"/>
    </row>
    <row r="1292" spans="53:105" x14ac:dyDescent="0.2">
      <c r="BA1292" s="518">
        <f t="shared" ca="1" si="73"/>
        <v>61</v>
      </c>
      <c r="BB1292" s="174">
        <f t="shared" ca="1" si="74"/>
        <v>1229</v>
      </c>
      <c r="BC1292" s="525" t="e">
        <f ca="1">MATCH(BD1292,OFFSET(Pinlist!$A$2,BC1291*(BA1292=BA1291),0,$BM$23,1),0)+BC1291*(BA1292=BA1291)</f>
        <v>#N/A</v>
      </c>
      <c r="BD1292" s="167">
        <f t="shared" ca="1" si="75"/>
        <v>0</v>
      </c>
      <c r="BE1292" s="191" t="e">
        <f ca="1">(OFFSET(Pinlist!$E$1,BC1292,0)-$BN$16)*$BN$19</f>
        <v>#N/A</v>
      </c>
      <c r="BF1292" s="192" t="e">
        <f ca="1">(OFFSET(Pinlist!$F$1,BC1292,0)-$BO$16)*$BO$19</f>
        <v>#N/A</v>
      </c>
      <c r="BG1292" s="1098" t="str">
        <f ca="1">IF(LEFT(BD1292,2)="RF",OFFSET(Pinlist!$D$1,Chart!BC1292,0)&amp;"_"&amp;OFFSET(Pinlist!$G$1,Chart!BC1292,0),"")</f>
        <v/>
      </c>
      <c r="BH1292" s="1098"/>
      <c r="BI1292" s="178"/>
      <c r="BJ1292" s="178"/>
      <c r="BK1292" s="178"/>
      <c r="BL1292" s="178"/>
      <c r="BM1292" s="178"/>
      <c r="BN1292" s="178"/>
      <c r="BO1292" s="178"/>
      <c r="BP1292" s="178"/>
      <c r="BQ1292" s="196"/>
      <c r="BR1292" s="196"/>
      <c r="BS1292" s="196"/>
      <c r="BT1292" s="196"/>
      <c r="BU1292" s="196"/>
      <c r="BV1292" s="196"/>
      <c r="BW1292" s="178"/>
      <c r="BX1292" s="196"/>
      <c r="BY1292" s="196"/>
      <c r="BZ1292" s="196"/>
      <c r="CA1292" s="196"/>
      <c r="CB1292" s="178"/>
      <c r="CC1292" s="178"/>
      <c r="CD1292" s="202"/>
      <c r="CE1292" s="202"/>
      <c r="CF1292" s="178"/>
      <c r="CG1292" s="196"/>
      <c r="CH1292" s="178"/>
      <c r="CI1292" s="178"/>
      <c r="CJ1292" s="178"/>
      <c r="CK1292" s="178"/>
      <c r="CL1292" s="178"/>
      <c r="CM1292" s="178"/>
      <c r="CN1292" s="178"/>
      <c r="CO1292" s="178"/>
      <c r="CP1292" s="178"/>
      <c r="CQ1292" s="178"/>
      <c r="CR1292" s="178"/>
      <c r="CS1292" s="178"/>
      <c r="CT1292" s="178"/>
      <c r="CU1292" s="178"/>
      <c r="CV1292" s="178"/>
      <c r="CW1292" s="178"/>
      <c r="CX1292" s="178"/>
      <c r="CY1292" s="178"/>
      <c r="CZ1292" s="178"/>
      <c r="DA1292" s="150"/>
    </row>
    <row r="1293" spans="53:105" x14ac:dyDescent="0.2">
      <c r="BA1293" s="518">
        <f t="shared" ca="1" si="73"/>
        <v>61</v>
      </c>
      <c r="BB1293" s="174">
        <f t="shared" ca="1" si="74"/>
        <v>1230</v>
      </c>
      <c r="BC1293" s="525" t="e">
        <f ca="1">MATCH(BD1293,OFFSET(Pinlist!$A$2,BC1292*(BA1293=BA1292),0,$BM$23,1),0)+BC1292*(BA1293=BA1292)</f>
        <v>#N/A</v>
      </c>
      <c r="BD1293" s="167">
        <f t="shared" ca="1" si="75"/>
        <v>0</v>
      </c>
      <c r="BE1293" s="191" t="e">
        <f ca="1">(OFFSET(Pinlist!$E$1,BC1293,0)-$BN$16)*$BN$19</f>
        <v>#N/A</v>
      </c>
      <c r="BF1293" s="192" t="e">
        <f ca="1">(OFFSET(Pinlist!$F$1,BC1293,0)-$BO$16)*$BO$19</f>
        <v>#N/A</v>
      </c>
      <c r="BG1293" s="1098" t="str">
        <f ca="1">IF(LEFT(BD1293,2)="RF",OFFSET(Pinlist!$D$1,Chart!BC1293,0)&amp;"_"&amp;OFFSET(Pinlist!$G$1,Chart!BC1293,0),"")</f>
        <v/>
      </c>
      <c r="BH1293" s="1098"/>
      <c r="BI1293" s="178"/>
      <c r="BJ1293" s="178"/>
      <c r="BK1293" s="178"/>
      <c r="BL1293" s="178"/>
      <c r="BM1293" s="178"/>
      <c r="BN1293" s="178"/>
      <c r="BO1293" s="178"/>
      <c r="BP1293" s="178"/>
      <c r="BQ1293" s="196"/>
      <c r="BR1293" s="196"/>
      <c r="BS1293" s="196"/>
      <c r="BT1293" s="196"/>
      <c r="BU1293" s="196"/>
      <c r="BV1293" s="196"/>
      <c r="BW1293" s="178"/>
      <c r="BX1293" s="196"/>
      <c r="BY1293" s="196"/>
      <c r="BZ1293" s="196"/>
      <c r="CA1293" s="196"/>
      <c r="CB1293" s="178"/>
      <c r="CC1293" s="178"/>
      <c r="CD1293" s="202"/>
      <c r="CE1293" s="202"/>
      <c r="CF1293" s="178"/>
      <c r="CG1293" s="196"/>
      <c r="CH1293" s="178"/>
      <c r="CI1293" s="178"/>
      <c r="CJ1293" s="178"/>
      <c r="CK1293" s="178"/>
      <c r="CL1293" s="178"/>
      <c r="CM1293" s="178"/>
      <c r="CN1293" s="178"/>
      <c r="CO1293" s="178"/>
      <c r="CP1293" s="178"/>
      <c r="CQ1293" s="178"/>
      <c r="CR1293" s="178"/>
      <c r="CS1293" s="178"/>
      <c r="CT1293" s="178"/>
      <c r="CU1293" s="178"/>
      <c r="CV1293" s="178"/>
      <c r="CW1293" s="178"/>
      <c r="CX1293" s="178"/>
      <c r="CY1293" s="178"/>
      <c r="CZ1293" s="178"/>
      <c r="DA1293" s="150"/>
    </row>
    <row r="1294" spans="53:105" x14ac:dyDescent="0.2">
      <c r="BA1294" s="518">
        <f t="shared" ca="1" si="73"/>
        <v>61</v>
      </c>
      <c r="BB1294" s="174">
        <f t="shared" ca="1" si="74"/>
        <v>1231</v>
      </c>
      <c r="BC1294" s="525" t="e">
        <f ca="1">MATCH(BD1294,OFFSET(Pinlist!$A$2,BC1293*(BA1294=BA1293),0,$BM$23,1),0)+BC1293*(BA1294=BA1293)</f>
        <v>#N/A</v>
      </c>
      <c r="BD1294" s="167">
        <f t="shared" ca="1" si="75"/>
        <v>0</v>
      </c>
      <c r="BE1294" s="191" t="e">
        <f ca="1">(OFFSET(Pinlist!$E$1,BC1294,0)-$BN$16)*$BN$19</f>
        <v>#N/A</v>
      </c>
      <c r="BF1294" s="192" t="e">
        <f ca="1">(OFFSET(Pinlist!$F$1,BC1294,0)-$BO$16)*$BO$19</f>
        <v>#N/A</v>
      </c>
      <c r="BG1294" s="1098" t="str">
        <f ca="1">IF(LEFT(BD1294,2)="RF",OFFSET(Pinlist!$D$1,Chart!BC1294,0)&amp;"_"&amp;OFFSET(Pinlist!$G$1,Chart!BC1294,0),"")</f>
        <v/>
      </c>
      <c r="BH1294" s="1098"/>
      <c r="BI1294" s="178"/>
      <c r="BJ1294" s="178"/>
      <c r="BK1294" s="178"/>
      <c r="BL1294" s="178"/>
      <c r="BM1294" s="178"/>
      <c r="BN1294" s="178"/>
      <c r="BO1294" s="178"/>
      <c r="BP1294" s="178"/>
      <c r="BQ1294" s="196"/>
      <c r="BR1294" s="196"/>
      <c r="BS1294" s="196"/>
      <c r="BT1294" s="196"/>
      <c r="BU1294" s="196"/>
      <c r="BV1294" s="196"/>
      <c r="BW1294" s="178"/>
      <c r="BX1294" s="196"/>
      <c r="BY1294" s="196"/>
      <c r="BZ1294" s="196"/>
      <c r="CA1294" s="196"/>
      <c r="CB1294" s="178"/>
      <c r="CC1294" s="178"/>
      <c r="CD1294" s="202"/>
      <c r="CE1294" s="202"/>
      <c r="CF1294" s="178"/>
      <c r="CG1294" s="196"/>
      <c r="CH1294" s="178"/>
      <c r="CI1294" s="178"/>
      <c r="CJ1294" s="178"/>
      <c r="CK1294" s="178"/>
      <c r="CL1294" s="178"/>
      <c r="CM1294" s="178"/>
      <c r="CN1294" s="178"/>
      <c r="CO1294" s="178"/>
      <c r="CP1294" s="178"/>
      <c r="CQ1294" s="178"/>
      <c r="CR1294" s="178"/>
      <c r="CS1294" s="178"/>
      <c r="CT1294" s="178"/>
      <c r="CU1294" s="178"/>
      <c r="CV1294" s="178"/>
      <c r="CW1294" s="178"/>
      <c r="CX1294" s="178"/>
      <c r="CY1294" s="178"/>
      <c r="CZ1294" s="178"/>
      <c r="DA1294" s="150"/>
    </row>
    <row r="1295" spans="53:105" x14ac:dyDescent="0.2">
      <c r="BA1295" s="518">
        <f t="shared" ca="1" si="73"/>
        <v>61</v>
      </c>
      <c r="BB1295" s="174">
        <f t="shared" ca="1" si="74"/>
        <v>1232</v>
      </c>
      <c r="BC1295" s="525" t="e">
        <f ca="1">MATCH(BD1295,OFFSET(Pinlist!$A$2,BC1294*(BA1295=BA1294),0,$BM$23,1),0)+BC1294*(BA1295=BA1294)</f>
        <v>#N/A</v>
      </c>
      <c r="BD1295" s="167">
        <f t="shared" ca="1" si="75"/>
        <v>0</v>
      </c>
      <c r="BE1295" s="191" t="e">
        <f ca="1">(OFFSET(Pinlist!$E$1,BC1295,0)-$BN$16)*$BN$19</f>
        <v>#N/A</v>
      </c>
      <c r="BF1295" s="192" t="e">
        <f ca="1">(OFFSET(Pinlist!$F$1,BC1295,0)-$BO$16)*$BO$19</f>
        <v>#N/A</v>
      </c>
      <c r="BG1295" s="1098" t="str">
        <f ca="1">IF(LEFT(BD1295,2)="RF",OFFSET(Pinlist!$D$1,Chart!BC1295,0)&amp;"_"&amp;OFFSET(Pinlist!$G$1,Chart!BC1295,0),"")</f>
        <v/>
      </c>
      <c r="BH1295" s="1098"/>
      <c r="BI1295" s="178"/>
      <c r="BJ1295" s="178"/>
      <c r="BK1295" s="178"/>
      <c r="BL1295" s="178"/>
      <c r="BM1295" s="178"/>
      <c r="BN1295" s="178"/>
      <c r="BO1295" s="178"/>
      <c r="BP1295" s="178"/>
      <c r="BQ1295" s="196"/>
      <c r="BR1295" s="196"/>
      <c r="BS1295" s="196"/>
      <c r="BT1295" s="196"/>
      <c r="BU1295" s="196"/>
      <c r="BV1295" s="196"/>
      <c r="BW1295" s="178"/>
      <c r="BX1295" s="196"/>
      <c r="BY1295" s="196"/>
      <c r="BZ1295" s="196"/>
      <c r="CA1295" s="196"/>
      <c r="CB1295" s="178"/>
      <c r="CC1295" s="178"/>
      <c r="CD1295" s="202"/>
      <c r="CE1295" s="202"/>
      <c r="CF1295" s="178"/>
      <c r="CG1295" s="196"/>
      <c r="CH1295" s="178"/>
      <c r="CI1295" s="178"/>
      <c r="CJ1295" s="178"/>
      <c r="CK1295" s="178"/>
      <c r="CL1295" s="178"/>
      <c r="CM1295" s="178"/>
      <c r="CN1295" s="178"/>
      <c r="CO1295" s="178"/>
      <c r="CP1295" s="178"/>
      <c r="CQ1295" s="178"/>
      <c r="CR1295" s="178"/>
      <c r="CS1295" s="178"/>
      <c r="CT1295" s="178"/>
      <c r="CU1295" s="178"/>
      <c r="CV1295" s="178"/>
      <c r="CW1295" s="178"/>
      <c r="CX1295" s="178"/>
      <c r="CY1295" s="178"/>
      <c r="CZ1295" s="178"/>
      <c r="DA1295" s="150"/>
    </row>
    <row r="1296" spans="53:105" x14ac:dyDescent="0.2">
      <c r="BA1296" s="518">
        <f t="shared" ca="1" si="73"/>
        <v>61</v>
      </c>
      <c r="BB1296" s="174">
        <f t="shared" ca="1" si="74"/>
        <v>1233</v>
      </c>
      <c r="BC1296" s="525" t="e">
        <f ca="1">MATCH(BD1296,OFFSET(Pinlist!$A$2,BC1295*(BA1296=BA1295),0,$BM$23,1),0)+BC1295*(BA1296=BA1295)</f>
        <v>#N/A</v>
      </c>
      <c r="BD1296" s="167">
        <f t="shared" ca="1" si="75"/>
        <v>0</v>
      </c>
      <c r="BE1296" s="191" t="e">
        <f ca="1">(OFFSET(Pinlist!$E$1,BC1296,0)-$BN$16)*$BN$19</f>
        <v>#N/A</v>
      </c>
      <c r="BF1296" s="192" t="e">
        <f ca="1">(OFFSET(Pinlist!$F$1,BC1296,0)-$BO$16)*$BO$19</f>
        <v>#N/A</v>
      </c>
      <c r="BG1296" s="1098" t="str">
        <f ca="1">IF(LEFT(BD1296,2)="RF",OFFSET(Pinlist!$D$1,Chart!BC1296,0)&amp;"_"&amp;OFFSET(Pinlist!$G$1,Chart!BC1296,0),"")</f>
        <v/>
      </c>
      <c r="BH1296" s="1098"/>
      <c r="BI1296" s="178"/>
      <c r="BJ1296" s="178"/>
      <c r="BK1296" s="178"/>
      <c r="BL1296" s="178"/>
      <c r="BM1296" s="178"/>
      <c r="BN1296" s="178"/>
      <c r="BO1296" s="178"/>
      <c r="BP1296" s="178"/>
      <c r="BQ1296" s="196"/>
      <c r="BR1296" s="196"/>
      <c r="BS1296" s="196"/>
      <c r="BT1296" s="196"/>
      <c r="BU1296" s="196"/>
      <c r="BV1296" s="196"/>
      <c r="BW1296" s="178"/>
      <c r="BX1296" s="196"/>
      <c r="BY1296" s="196"/>
      <c r="BZ1296" s="196"/>
      <c r="CA1296" s="196"/>
      <c r="CB1296" s="178"/>
      <c r="CC1296" s="178"/>
      <c r="CD1296" s="202"/>
      <c r="CE1296" s="202"/>
      <c r="CF1296" s="178"/>
      <c r="CG1296" s="196"/>
      <c r="CH1296" s="178"/>
      <c r="CI1296" s="178"/>
      <c r="CJ1296" s="178"/>
      <c r="CK1296" s="178"/>
      <c r="CL1296" s="178"/>
      <c r="CM1296" s="178"/>
      <c r="CN1296" s="178"/>
      <c r="CO1296" s="178"/>
      <c r="CP1296" s="178"/>
      <c r="CQ1296" s="178"/>
      <c r="CR1296" s="178"/>
      <c r="CS1296" s="178"/>
      <c r="CT1296" s="178"/>
      <c r="CU1296" s="178"/>
      <c r="CV1296" s="178"/>
      <c r="CW1296" s="178"/>
      <c r="CX1296" s="178"/>
      <c r="CY1296" s="178"/>
      <c r="CZ1296" s="178"/>
      <c r="DA1296" s="150"/>
    </row>
    <row r="1297" spans="53:105" x14ac:dyDescent="0.2">
      <c r="BA1297" s="518">
        <f t="shared" ca="1" si="73"/>
        <v>61</v>
      </c>
      <c r="BB1297" s="174">
        <f t="shared" ca="1" si="74"/>
        <v>1234</v>
      </c>
      <c r="BC1297" s="525" t="e">
        <f ca="1">MATCH(BD1297,OFFSET(Pinlist!$A$2,BC1296*(BA1297=BA1296),0,$BM$23,1),0)+BC1296*(BA1297=BA1296)</f>
        <v>#N/A</v>
      </c>
      <c r="BD1297" s="167">
        <f t="shared" ca="1" si="75"/>
        <v>0</v>
      </c>
      <c r="BE1297" s="191" t="e">
        <f ca="1">(OFFSET(Pinlist!$E$1,BC1297,0)-$BN$16)*$BN$19</f>
        <v>#N/A</v>
      </c>
      <c r="BF1297" s="192" t="e">
        <f ca="1">(OFFSET(Pinlist!$F$1,BC1297,0)-$BO$16)*$BO$19</f>
        <v>#N/A</v>
      </c>
      <c r="BG1297" s="1098" t="str">
        <f ca="1">IF(LEFT(BD1297,2)="RF",OFFSET(Pinlist!$D$1,Chart!BC1297,0)&amp;"_"&amp;OFFSET(Pinlist!$G$1,Chart!BC1297,0),"")</f>
        <v/>
      </c>
      <c r="BH1297" s="1098"/>
      <c r="BI1297" s="178"/>
      <c r="BJ1297" s="178"/>
      <c r="BK1297" s="178"/>
      <c r="BL1297" s="178"/>
      <c r="BM1297" s="178"/>
      <c r="BN1297" s="178"/>
      <c r="BO1297" s="178"/>
      <c r="BP1297" s="178"/>
      <c r="BQ1297" s="196"/>
      <c r="BR1297" s="196"/>
      <c r="BS1297" s="196"/>
      <c r="BT1297" s="196"/>
      <c r="BU1297" s="196"/>
      <c r="BV1297" s="196"/>
      <c r="BW1297" s="178"/>
      <c r="BX1297" s="196"/>
      <c r="BY1297" s="196"/>
      <c r="BZ1297" s="196"/>
      <c r="CA1297" s="196"/>
      <c r="CB1297" s="178"/>
      <c r="CC1297" s="178"/>
      <c r="CD1297" s="202"/>
      <c r="CE1297" s="202"/>
      <c r="CF1297" s="178"/>
      <c r="CG1297" s="196"/>
      <c r="CH1297" s="178"/>
      <c r="CI1297" s="178"/>
      <c r="CJ1297" s="178"/>
      <c r="CK1297" s="178"/>
      <c r="CL1297" s="178"/>
      <c r="CM1297" s="178"/>
      <c r="CN1297" s="178"/>
      <c r="CO1297" s="178"/>
      <c r="CP1297" s="178"/>
      <c r="CQ1297" s="178"/>
      <c r="CR1297" s="178"/>
      <c r="CS1297" s="178"/>
      <c r="CT1297" s="178"/>
      <c r="CU1297" s="178"/>
      <c r="CV1297" s="178"/>
      <c r="CW1297" s="178"/>
      <c r="CX1297" s="178"/>
      <c r="CY1297" s="178"/>
      <c r="CZ1297" s="178"/>
      <c r="DA1297" s="150"/>
    </row>
    <row r="1298" spans="53:105" x14ac:dyDescent="0.2">
      <c r="BA1298" s="518">
        <f t="shared" ca="1" si="73"/>
        <v>61</v>
      </c>
      <c r="BB1298" s="174">
        <f t="shared" ca="1" si="74"/>
        <v>1235</v>
      </c>
      <c r="BC1298" s="525" t="e">
        <f ca="1">MATCH(BD1298,OFFSET(Pinlist!$A$2,BC1297*(BA1298=BA1297),0,$BM$23,1),0)+BC1297*(BA1298=BA1297)</f>
        <v>#N/A</v>
      </c>
      <c r="BD1298" s="167">
        <f t="shared" ca="1" si="75"/>
        <v>0</v>
      </c>
      <c r="BE1298" s="191" t="e">
        <f ca="1">(OFFSET(Pinlist!$E$1,BC1298,0)-$BN$16)*$BN$19</f>
        <v>#N/A</v>
      </c>
      <c r="BF1298" s="192" t="e">
        <f ca="1">(OFFSET(Pinlist!$F$1,BC1298,0)-$BO$16)*$BO$19</f>
        <v>#N/A</v>
      </c>
      <c r="BG1298" s="1098" t="str">
        <f ca="1">IF(LEFT(BD1298,2)="RF",OFFSET(Pinlist!$D$1,Chart!BC1298,0)&amp;"_"&amp;OFFSET(Pinlist!$G$1,Chart!BC1298,0),"")</f>
        <v/>
      </c>
      <c r="BH1298" s="1098"/>
      <c r="BI1298" s="178"/>
      <c r="BJ1298" s="178"/>
      <c r="BK1298" s="178"/>
      <c r="BL1298" s="178"/>
      <c r="BM1298" s="178"/>
      <c r="BN1298" s="178"/>
      <c r="BO1298" s="178"/>
      <c r="BP1298" s="178"/>
      <c r="BQ1298" s="196"/>
      <c r="BR1298" s="196"/>
      <c r="BS1298" s="196"/>
      <c r="BT1298" s="196"/>
      <c r="BU1298" s="196"/>
      <c r="BV1298" s="196"/>
      <c r="BW1298" s="178"/>
      <c r="BX1298" s="196"/>
      <c r="BY1298" s="196"/>
      <c r="BZ1298" s="196"/>
      <c r="CA1298" s="196"/>
      <c r="CB1298" s="178"/>
      <c r="CC1298" s="178"/>
      <c r="CD1298" s="202"/>
      <c r="CE1298" s="202"/>
      <c r="CF1298" s="178"/>
      <c r="CG1298" s="196"/>
      <c r="CH1298" s="178"/>
      <c r="CI1298" s="178"/>
      <c r="CJ1298" s="178"/>
      <c r="CK1298" s="178"/>
      <c r="CL1298" s="178"/>
      <c r="CM1298" s="178"/>
      <c r="CN1298" s="178"/>
      <c r="CO1298" s="178"/>
      <c r="CP1298" s="178"/>
      <c r="CQ1298" s="178"/>
      <c r="CR1298" s="178"/>
      <c r="CS1298" s="178"/>
      <c r="CT1298" s="178"/>
      <c r="CU1298" s="178"/>
      <c r="CV1298" s="178"/>
      <c r="CW1298" s="178"/>
      <c r="CX1298" s="178"/>
      <c r="CY1298" s="178"/>
      <c r="CZ1298" s="178"/>
      <c r="DA1298" s="150"/>
    </row>
    <row r="1299" spans="53:105" x14ac:dyDescent="0.2">
      <c r="BA1299" s="518">
        <f t="shared" ca="1" si="73"/>
        <v>61</v>
      </c>
      <c r="BB1299" s="174">
        <f t="shared" ca="1" si="74"/>
        <v>1236</v>
      </c>
      <c r="BC1299" s="525" t="e">
        <f ca="1">MATCH(BD1299,OFFSET(Pinlist!$A$2,BC1298*(BA1299=BA1298),0,$BM$23,1),0)+BC1298*(BA1299=BA1298)</f>
        <v>#N/A</v>
      </c>
      <c r="BD1299" s="167">
        <f t="shared" ca="1" si="75"/>
        <v>0</v>
      </c>
      <c r="BE1299" s="191" t="e">
        <f ca="1">(OFFSET(Pinlist!$E$1,BC1299,0)-$BN$16)*$BN$19</f>
        <v>#N/A</v>
      </c>
      <c r="BF1299" s="192" t="e">
        <f ca="1">(OFFSET(Pinlist!$F$1,BC1299,0)-$BO$16)*$BO$19</f>
        <v>#N/A</v>
      </c>
      <c r="BG1299" s="1098" t="str">
        <f ca="1">IF(LEFT(BD1299,2)="RF",OFFSET(Pinlist!$D$1,Chart!BC1299,0)&amp;"_"&amp;OFFSET(Pinlist!$G$1,Chart!BC1299,0),"")</f>
        <v/>
      </c>
      <c r="BH1299" s="1098"/>
      <c r="BI1299" s="178"/>
      <c r="BJ1299" s="178"/>
      <c r="BK1299" s="178"/>
      <c r="BL1299" s="178"/>
      <c r="BM1299" s="178"/>
      <c r="BN1299" s="178"/>
      <c r="BO1299" s="178"/>
      <c r="BP1299" s="178"/>
      <c r="BQ1299" s="196"/>
      <c r="BR1299" s="196"/>
      <c r="BS1299" s="196"/>
      <c r="BT1299" s="196"/>
      <c r="BU1299" s="196"/>
      <c r="BV1299" s="196"/>
      <c r="BW1299" s="178"/>
      <c r="BX1299" s="196"/>
      <c r="BY1299" s="196"/>
      <c r="BZ1299" s="196"/>
      <c r="CA1299" s="196"/>
      <c r="CB1299" s="178"/>
      <c r="CC1299" s="178"/>
      <c r="CD1299" s="202"/>
      <c r="CE1299" s="202"/>
      <c r="CF1299" s="178"/>
      <c r="CG1299" s="196"/>
      <c r="CH1299" s="178"/>
      <c r="CI1299" s="178"/>
      <c r="CJ1299" s="178"/>
      <c r="CK1299" s="178"/>
      <c r="CL1299" s="178"/>
      <c r="CM1299" s="178"/>
      <c r="CN1299" s="178"/>
      <c r="CO1299" s="178"/>
      <c r="CP1299" s="178"/>
      <c r="CQ1299" s="178"/>
      <c r="CR1299" s="178"/>
      <c r="CS1299" s="178"/>
      <c r="CT1299" s="178"/>
      <c r="CU1299" s="178"/>
      <c r="CV1299" s="178"/>
      <c r="CW1299" s="178"/>
      <c r="CX1299" s="178"/>
      <c r="CY1299" s="178"/>
      <c r="CZ1299" s="178"/>
      <c r="DA1299" s="150"/>
    </row>
    <row r="1300" spans="53:105" x14ac:dyDescent="0.2">
      <c r="BA1300" s="518">
        <f t="shared" ca="1" si="73"/>
        <v>61</v>
      </c>
      <c r="BB1300" s="174">
        <f t="shared" ca="1" si="74"/>
        <v>1237</v>
      </c>
      <c r="BC1300" s="525" t="e">
        <f ca="1">MATCH(BD1300,OFFSET(Pinlist!$A$2,BC1299*(BA1300=BA1299),0,$BM$23,1),0)+BC1299*(BA1300=BA1299)</f>
        <v>#N/A</v>
      </c>
      <c r="BD1300" s="167">
        <f t="shared" ca="1" si="75"/>
        <v>0</v>
      </c>
      <c r="BE1300" s="191" t="e">
        <f ca="1">(OFFSET(Pinlist!$E$1,BC1300,0)-$BN$16)*$BN$19</f>
        <v>#N/A</v>
      </c>
      <c r="BF1300" s="192" t="e">
        <f ca="1">(OFFSET(Pinlist!$F$1,BC1300,0)-$BO$16)*$BO$19</f>
        <v>#N/A</v>
      </c>
      <c r="BG1300" s="1098" t="str">
        <f ca="1">IF(LEFT(BD1300,2)="RF",OFFSET(Pinlist!$D$1,Chart!BC1300,0)&amp;"_"&amp;OFFSET(Pinlist!$G$1,Chart!BC1300,0),"")</f>
        <v/>
      </c>
      <c r="BH1300" s="1098"/>
      <c r="BI1300" s="178"/>
      <c r="BJ1300" s="178"/>
      <c r="BK1300" s="178"/>
      <c r="BL1300" s="178"/>
      <c r="BM1300" s="178"/>
      <c r="BN1300" s="178"/>
      <c r="BO1300" s="178"/>
      <c r="BP1300" s="178"/>
      <c r="BQ1300" s="196"/>
      <c r="BR1300" s="196"/>
      <c r="BS1300" s="196"/>
      <c r="BT1300" s="196"/>
      <c r="BU1300" s="196"/>
      <c r="BV1300" s="196"/>
      <c r="BW1300" s="178"/>
      <c r="BX1300" s="196"/>
      <c r="BY1300" s="196"/>
      <c r="BZ1300" s="196"/>
      <c r="CA1300" s="196"/>
      <c r="CB1300" s="178"/>
      <c r="CC1300" s="178"/>
      <c r="CD1300" s="202"/>
      <c r="CE1300" s="202"/>
      <c r="CF1300" s="178"/>
      <c r="CG1300" s="196"/>
      <c r="CH1300" s="178"/>
      <c r="CI1300" s="178"/>
      <c r="CJ1300" s="178"/>
      <c r="CK1300" s="178"/>
      <c r="CL1300" s="178"/>
      <c r="CM1300" s="178"/>
      <c r="CN1300" s="178"/>
      <c r="CO1300" s="178"/>
      <c r="CP1300" s="178"/>
      <c r="CQ1300" s="178"/>
      <c r="CR1300" s="178"/>
      <c r="CS1300" s="178"/>
      <c r="CT1300" s="178"/>
      <c r="CU1300" s="178"/>
      <c r="CV1300" s="178"/>
      <c r="CW1300" s="178"/>
      <c r="CX1300" s="178"/>
      <c r="CY1300" s="178"/>
      <c r="CZ1300" s="178"/>
      <c r="DA1300" s="150"/>
    </row>
    <row r="1301" spans="53:105" x14ac:dyDescent="0.2">
      <c r="BA1301" s="518">
        <f t="shared" ca="1" si="73"/>
        <v>61</v>
      </c>
      <c r="BB1301" s="174">
        <f t="shared" ca="1" si="74"/>
        <v>1238</v>
      </c>
      <c r="BC1301" s="525" t="e">
        <f ca="1">MATCH(BD1301,OFFSET(Pinlist!$A$2,BC1300*(BA1301=BA1300),0,$BM$23,1),0)+BC1300*(BA1301=BA1300)</f>
        <v>#N/A</v>
      </c>
      <c r="BD1301" s="167">
        <f t="shared" ca="1" si="75"/>
        <v>0</v>
      </c>
      <c r="BE1301" s="191" t="e">
        <f ca="1">(OFFSET(Pinlist!$E$1,BC1301,0)-$BN$16)*$BN$19</f>
        <v>#N/A</v>
      </c>
      <c r="BF1301" s="192" t="e">
        <f ca="1">(OFFSET(Pinlist!$F$1,BC1301,0)-$BO$16)*$BO$19</f>
        <v>#N/A</v>
      </c>
      <c r="BG1301" s="1098" t="str">
        <f ca="1">IF(LEFT(BD1301,2)="RF",OFFSET(Pinlist!$D$1,Chart!BC1301,0)&amp;"_"&amp;OFFSET(Pinlist!$G$1,Chart!BC1301,0),"")</f>
        <v/>
      </c>
      <c r="BH1301" s="1098"/>
      <c r="BI1301" s="178"/>
      <c r="BJ1301" s="178"/>
      <c r="BK1301" s="178"/>
      <c r="BL1301" s="178"/>
      <c r="BM1301" s="178"/>
      <c r="BN1301" s="178"/>
      <c r="BO1301" s="178"/>
      <c r="BP1301" s="178"/>
      <c r="BQ1301" s="196"/>
      <c r="BR1301" s="196"/>
      <c r="BS1301" s="196"/>
      <c r="BT1301" s="196"/>
      <c r="BU1301" s="196"/>
      <c r="BV1301" s="196"/>
      <c r="BW1301" s="178"/>
      <c r="BX1301" s="196"/>
      <c r="BY1301" s="196"/>
      <c r="BZ1301" s="196"/>
      <c r="CA1301" s="196"/>
      <c r="CB1301" s="178"/>
      <c r="CC1301" s="178"/>
      <c r="CD1301" s="202"/>
      <c r="CE1301" s="202"/>
      <c r="CF1301" s="178"/>
      <c r="CG1301" s="196"/>
      <c r="CH1301" s="178"/>
      <c r="CI1301" s="178"/>
      <c r="CJ1301" s="178"/>
      <c r="CK1301" s="178"/>
      <c r="CL1301" s="178"/>
      <c r="CM1301" s="178"/>
      <c r="CN1301" s="178"/>
      <c r="CO1301" s="178"/>
      <c r="CP1301" s="178"/>
      <c r="CQ1301" s="178"/>
      <c r="CR1301" s="178"/>
      <c r="CS1301" s="178"/>
      <c r="CT1301" s="178"/>
      <c r="CU1301" s="178"/>
      <c r="CV1301" s="178"/>
      <c r="CW1301" s="178"/>
      <c r="CX1301" s="178"/>
      <c r="CY1301" s="178"/>
      <c r="CZ1301" s="178"/>
      <c r="DA1301" s="150"/>
    </row>
    <row r="1302" spans="53:105" x14ac:dyDescent="0.2">
      <c r="BA1302" s="518">
        <f t="shared" ca="1" si="73"/>
        <v>61</v>
      </c>
      <c r="BB1302" s="174">
        <f t="shared" ca="1" si="74"/>
        <v>1239</v>
      </c>
      <c r="BC1302" s="525" t="e">
        <f ca="1">MATCH(BD1302,OFFSET(Pinlist!$A$2,BC1301*(BA1302=BA1301),0,$BM$23,1),0)+BC1301*(BA1302=BA1301)</f>
        <v>#N/A</v>
      </c>
      <c r="BD1302" s="167">
        <f t="shared" ca="1" si="75"/>
        <v>0</v>
      </c>
      <c r="BE1302" s="191" t="e">
        <f ca="1">(OFFSET(Pinlist!$E$1,BC1302,0)-$BN$16)*$BN$19</f>
        <v>#N/A</v>
      </c>
      <c r="BF1302" s="192" t="e">
        <f ca="1">(OFFSET(Pinlist!$F$1,BC1302,0)-$BO$16)*$BO$19</f>
        <v>#N/A</v>
      </c>
      <c r="BG1302" s="1098" t="str">
        <f ca="1">IF(LEFT(BD1302,2)="RF",OFFSET(Pinlist!$D$1,Chart!BC1302,0)&amp;"_"&amp;OFFSET(Pinlist!$G$1,Chart!BC1302,0),"")</f>
        <v/>
      </c>
      <c r="BH1302" s="1098"/>
      <c r="BI1302" s="178"/>
      <c r="BJ1302" s="178"/>
      <c r="BK1302" s="178"/>
      <c r="BL1302" s="178"/>
      <c r="BM1302" s="178"/>
      <c r="BN1302" s="178"/>
      <c r="BO1302" s="178"/>
      <c r="BP1302" s="178"/>
      <c r="BQ1302" s="196"/>
      <c r="BR1302" s="196"/>
      <c r="BS1302" s="196"/>
      <c r="BT1302" s="196"/>
      <c r="BU1302" s="196"/>
      <c r="BV1302" s="196"/>
      <c r="BW1302" s="178"/>
      <c r="BX1302" s="196"/>
      <c r="BY1302" s="196"/>
      <c r="BZ1302" s="196"/>
      <c r="CA1302" s="196"/>
      <c r="CB1302" s="178"/>
      <c r="CC1302" s="178"/>
      <c r="CD1302" s="202"/>
      <c r="CE1302" s="202"/>
      <c r="CF1302" s="178"/>
      <c r="CG1302" s="196"/>
      <c r="CH1302" s="178"/>
      <c r="CI1302" s="178"/>
      <c r="CJ1302" s="178"/>
      <c r="CK1302" s="178"/>
      <c r="CL1302" s="178"/>
      <c r="CM1302" s="178"/>
      <c r="CN1302" s="178"/>
      <c r="CO1302" s="178"/>
      <c r="CP1302" s="178"/>
      <c r="CQ1302" s="178"/>
      <c r="CR1302" s="178"/>
      <c r="CS1302" s="178"/>
      <c r="CT1302" s="178"/>
      <c r="CU1302" s="178"/>
      <c r="CV1302" s="178"/>
      <c r="CW1302" s="178"/>
      <c r="CX1302" s="178"/>
      <c r="CY1302" s="178"/>
      <c r="CZ1302" s="178"/>
      <c r="DA1302" s="150"/>
    </row>
    <row r="1303" spans="53:105" x14ac:dyDescent="0.2">
      <c r="BA1303" s="518">
        <f t="shared" ca="1" si="73"/>
        <v>61</v>
      </c>
      <c r="BB1303" s="174">
        <f t="shared" ca="1" si="74"/>
        <v>1240</v>
      </c>
      <c r="BC1303" s="525" t="e">
        <f ca="1">MATCH(BD1303,OFFSET(Pinlist!$A$2,BC1302*(BA1303=BA1302),0,$BM$23,1),0)+BC1302*(BA1303=BA1302)</f>
        <v>#N/A</v>
      </c>
      <c r="BD1303" s="167">
        <f t="shared" ca="1" si="75"/>
        <v>0</v>
      </c>
      <c r="BE1303" s="191" t="e">
        <f ca="1">(OFFSET(Pinlist!$E$1,BC1303,0)-$BN$16)*$BN$19</f>
        <v>#N/A</v>
      </c>
      <c r="BF1303" s="192" t="e">
        <f ca="1">(OFFSET(Pinlist!$F$1,BC1303,0)-$BO$16)*$BO$19</f>
        <v>#N/A</v>
      </c>
      <c r="BG1303" s="1098" t="str">
        <f ca="1">IF(LEFT(BD1303,2)="RF",OFFSET(Pinlist!$D$1,Chart!BC1303,0)&amp;"_"&amp;OFFSET(Pinlist!$G$1,Chart!BC1303,0),"")</f>
        <v/>
      </c>
      <c r="BH1303" s="1098"/>
      <c r="BI1303" s="178"/>
      <c r="BJ1303" s="178"/>
      <c r="BK1303" s="178"/>
      <c r="BL1303" s="178"/>
      <c r="BM1303" s="178"/>
      <c r="BN1303" s="178"/>
      <c r="BO1303" s="178"/>
      <c r="BP1303" s="178"/>
      <c r="BQ1303" s="196"/>
      <c r="BR1303" s="196"/>
      <c r="BS1303" s="196"/>
      <c r="BT1303" s="196"/>
      <c r="BU1303" s="196"/>
      <c r="BV1303" s="196"/>
      <c r="BW1303" s="178"/>
      <c r="BX1303" s="196"/>
      <c r="BY1303" s="196"/>
      <c r="BZ1303" s="196"/>
      <c r="CA1303" s="196"/>
      <c r="CB1303" s="178"/>
      <c r="CC1303" s="178"/>
      <c r="CD1303" s="202"/>
      <c r="CE1303" s="202"/>
      <c r="CF1303" s="178"/>
      <c r="CG1303" s="196"/>
      <c r="CH1303" s="178"/>
      <c r="CI1303" s="178"/>
      <c r="CJ1303" s="178"/>
      <c r="CK1303" s="178"/>
      <c r="CL1303" s="178"/>
      <c r="CM1303" s="178"/>
      <c r="CN1303" s="178"/>
      <c r="CO1303" s="178"/>
      <c r="CP1303" s="178"/>
      <c r="CQ1303" s="178"/>
      <c r="CR1303" s="178"/>
      <c r="CS1303" s="178"/>
      <c r="CT1303" s="178"/>
      <c r="CU1303" s="178"/>
      <c r="CV1303" s="178"/>
      <c r="CW1303" s="178"/>
      <c r="CX1303" s="178"/>
      <c r="CY1303" s="178"/>
      <c r="CZ1303" s="178"/>
      <c r="DA1303" s="150"/>
    </row>
    <row r="1304" spans="53:105" x14ac:dyDescent="0.2">
      <c r="BA1304" s="518">
        <f t="shared" ca="1" si="73"/>
        <v>61</v>
      </c>
      <c r="BB1304" s="174">
        <f t="shared" ca="1" si="74"/>
        <v>1241</v>
      </c>
      <c r="BC1304" s="525" t="e">
        <f ca="1">MATCH(BD1304,OFFSET(Pinlist!$A$2,BC1303*(BA1304=BA1303),0,$BM$23,1),0)+BC1303*(BA1304=BA1303)</f>
        <v>#N/A</v>
      </c>
      <c r="BD1304" s="167">
        <f t="shared" ca="1" si="75"/>
        <v>0</v>
      </c>
      <c r="BE1304" s="191" t="e">
        <f ca="1">(OFFSET(Pinlist!$E$1,BC1304,0)-$BN$16)*$BN$19</f>
        <v>#N/A</v>
      </c>
      <c r="BF1304" s="192" t="e">
        <f ca="1">(OFFSET(Pinlist!$F$1,BC1304,0)-$BO$16)*$BO$19</f>
        <v>#N/A</v>
      </c>
      <c r="BG1304" s="1098" t="str">
        <f ca="1">IF(LEFT(BD1304,2)="RF",OFFSET(Pinlist!$D$1,Chart!BC1304,0)&amp;"_"&amp;OFFSET(Pinlist!$G$1,Chart!BC1304,0),"")</f>
        <v/>
      </c>
      <c r="BH1304" s="1098"/>
      <c r="BI1304" s="178"/>
      <c r="BJ1304" s="178"/>
      <c r="BK1304" s="178"/>
      <c r="BL1304" s="178"/>
      <c r="BM1304" s="178"/>
      <c r="BN1304" s="178"/>
      <c r="BO1304" s="178"/>
      <c r="BP1304" s="178"/>
      <c r="BQ1304" s="196"/>
      <c r="BR1304" s="196"/>
      <c r="BS1304" s="196"/>
      <c r="BT1304" s="196"/>
      <c r="BU1304" s="196"/>
      <c r="BV1304" s="196"/>
      <c r="BW1304" s="178"/>
      <c r="BX1304" s="196"/>
      <c r="BY1304" s="196"/>
      <c r="BZ1304" s="196"/>
      <c r="CA1304" s="196"/>
      <c r="CB1304" s="178"/>
      <c r="CC1304" s="178"/>
      <c r="CD1304" s="202"/>
      <c r="CE1304" s="202"/>
      <c r="CF1304" s="178"/>
      <c r="CG1304" s="196"/>
      <c r="CH1304" s="178"/>
      <c r="CI1304" s="178"/>
      <c r="CJ1304" s="178"/>
      <c r="CK1304" s="178"/>
      <c r="CL1304" s="178"/>
      <c r="CM1304" s="178"/>
      <c r="CN1304" s="178"/>
      <c r="CO1304" s="178"/>
      <c r="CP1304" s="178"/>
      <c r="CQ1304" s="178"/>
      <c r="CR1304" s="178"/>
      <c r="CS1304" s="178"/>
      <c r="CT1304" s="178"/>
      <c r="CU1304" s="178"/>
      <c r="CV1304" s="178"/>
      <c r="CW1304" s="178"/>
      <c r="CX1304" s="178"/>
      <c r="CY1304" s="178"/>
      <c r="CZ1304" s="178"/>
      <c r="DA1304" s="150"/>
    </row>
    <row r="1305" spans="53:105" x14ac:dyDescent="0.2">
      <c r="BA1305" s="518">
        <f t="shared" ca="1" si="73"/>
        <v>61</v>
      </c>
      <c r="BB1305" s="174">
        <f t="shared" ca="1" si="74"/>
        <v>1242</v>
      </c>
      <c r="BC1305" s="525" t="e">
        <f ca="1">MATCH(BD1305,OFFSET(Pinlist!$A$2,BC1304*(BA1305=BA1304),0,$BM$23,1),0)+BC1304*(BA1305=BA1304)</f>
        <v>#N/A</v>
      </c>
      <c r="BD1305" s="167">
        <f t="shared" ca="1" si="75"/>
        <v>0</v>
      </c>
      <c r="BE1305" s="191" t="e">
        <f ca="1">(OFFSET(Pinlist!$E$1,BC1305,0)-$BN$16)*$BN$19</f>
        <v>#N/A</v>
      </c>
      <c r="BF1305" s="192" t="e">
        <f ca="1">(OFFSET(Pinlist!$F$1,BC1305,0)-$BO$16)*$BO$19</f>
        <v>#N/A</v>
      </c>
      <c r="BG1305" s="1098" t="str">
        <f ca="1">IF(LEFT(BD1305,2)="RF",OFFSET(Pinlist!$D$1,Chart!BC1305,0)&amp;"_"&amp;OFFSET(Pinlist!$G$1,Chart!BC1305,0),"")</f>
        <v/>
      </c>
      <c r="BH1305" s="1098"/>
      <c r="BI1305" s="178"/>
      <c r="BJ1305" s="178"/>
      <c r="BK1305" s="178"/>
      <c r="BL1305" s="178"/>
      <c r="BM1305" s="178"/>
      <c r="BN1305" s="178"/>
      <c r="BO1305" s="178"/>
      <c r="BP1305" s="178"/>
      <c r="BQ1305" s="196"/>
      <c r="BR1305" s="196"/>
      <c r="BS1305" s="196"/>
      <c r="BT1305" s="196"/>
      <c r="BU1305" s="196"/>
      <c r="BV1305" s="196"/>
      <c r="BW1305" s="178"/>
      <c r="BX1305" s="196"/>
      <c r="BY1305" s="196"/>
      <c r="BZ1305" s="196"/>
      <c r="CA1305" s="196"/>
      <c r="CB1305" s="178"/>
      <c r="CC1305" s="178"/>
      <c r="CD1305" s="202"/>
      <c r="CE1305" s="202"/>
      <c r="CF1305" s="178"/>
      <c r="CG1305" s="196"/>
      <c r="CH1305" s="178"/>
      <c r="CI1305" s="178"/>
      <c r="CJ1305" s="178"/>
      <c r="CK1305" s="178"/>
      <c r="CL1305" s="178"/>
      <c r="CM1305" s="178"/>
      <c r="CN1305" s="178"/>
      <c r="CO1305" s="178"/>
      <c r="CP1305" s="178"/>
      <c r="CQ1305" s="178"/>
      <c r="CR1305" s="178"/>
      <c r="CS1305" s="178"/>
      <c r="CT1305" s="178"/>
      <c r="CU1305" s="178"/>
      <c r="CV1305" s="178"/>
      <c r="CW1305" s="178"/>
      <c r="CX1305" s="178"/>
      <c r="CY1305" s="178"/>
      <c r="CZ1305" s="178"/>
      <c r="DA1305" s="150"/>
    </row>
    <row r="1306" spans="53:105" x14ac:dyDescent="0.2">
      <c r="BA1306" s="518">
        <f t="shared" ca="1" si="73"/>
        <v>61</v>
      </c>
      <c r="BB1306" s="174">
        <f t="shared" ca="1" si="74"/>
        <v>1243</v>
      </c>
      <c r="BC1306" s="525" t="e">
        <f ca="1">MATCH(BD1306,OFFSET(Pinlist!$A$2,BC1305*(BA1306=BA1305),0,$BM$23,1),0)+BC1305*(BA1306=BA1305)</f>
        <v>#N/A</v>
      </c>
      <c r="BD1306" s="167">
        <f t="shared" ca="1" si="75"/>
        <v>0</v>
      </c>
      <c r="BE1306" s="191" t="e">
        <f ca="1">(OFFSET(Pinlist!$E$1,BC1306,0)-$BN$16)*$BN$19</f>
        <v>#N/A</v>
      </c>
      <c r="BF1306" s="192" t="e">
        <f ca="1">(OFFSET(Pinlist!$F$1,BC1306,0)-$BO$16)*$BO$19</f>
        <v>#N/A</v>
      </c>
      <c r="BG1306" s="1098" t="str">
        <f ca="1">IF(LEFT(BD1306,2)="RF",OFFSET(Pinlist!$D$1,Chart!BC1306,0)&amp;"_"&amp;OFFSET(Pinlist!$G$1,Chart!BC1306,0),"")</f>
        <v/>
      </c>
      <c r="BH1306" s="1098"/>
      <c r="BI1306" s="178"/>
      <c r="BJ1306" s="178"/>
      <c r="BK1306" s="178"/>
      <c r="BL1306" s="178"/>
      <c r="BM1306" s="178"/>
      <c r="BN1306" s="178"/>
      <c r="BO1306" s="178"/>
      <c r="BP1306" s="178"/>
      <c r="BQ1306" s="196"/>
      <c r="BR1306" s="196"/>
      <c r="BS1306" s="196"/>
      <c r="BT1306" s="196"/>
      <c r="BU1306" s="196"/>
      <c r="BV1306" s="196"/>
      <c r="BW1306" s="178"/>
      <c r="BX1306" s="196"/>
      <c r="BY1306" s="196"/>
      <c r="BZ1306" s="196"/>
      <c r="CA1306" s="196"/>
      <c r="CB1306" s="178"/>
      <c r="CC1306" s="178"/>
      <c r="CD1306" s="202"/>
      <c r="CE1306" s="202"/>
      <c r="CF1306" s="178"/>
      <c r="CG1306" s="196"/>
      <c r="CH1306" s="178"/>
      <c r="CI1306" s="178"/>
      <c r="CJ1306" s="178"/>
      <c r="CK1306" s="178"/>
      <c r="CL1306" s="178"/>
      <c r="CM1306" s="178"/>
      <c r="CN1306" s="178"/>
      <c r="CO1306" s="178"/>
      <c r="CP1306" s="178"/>
      <c r="CQ1306" s="178"/>
      <c r="CR1306" s="178"/>
      <c r="CS1306" s="178"/>
      <c r="CT1306" s="178"/>
      <c r="CU1306" s="178"/>
      <c r="CV1306" s="178"/>
      <c r="CW1306" s="178"/>
      <c r="CX1306" s="178"/>
      <c r="CY1306" s="178"/>
      <c r="CZ1306" s="178"/>
      <c r="DA1306" s="150"/>
    </row>
    <row r="1307" spans="53:105" x14ac:dyDescent="0.2">
      <c r="BA1307" s="518">
        <f t="shared" ca="1" si="73"/>
        <v>61</v>
      </c>
      <c r="BB1307" s="174">
        <f t="shared" ca="1" si="74"/>
        <v>1244</v>
      </c>
      <c r="BC1307" s="525" t="e">
        <f ca="1">MATCH(BD1307,OFFSET(Pinlist!$A$2,BC1306*(BA1307=BA1306),0,$BM$23,1),0)+BC1306*(BA1307=BA1306)</f>
        <v>#N/A</v>
      </c>
      <c r="BD1307" s="167">
        <f t="shared" ca="1" si="75"/>
        <v>0</v>
      </c>
      <c r="BE1307" s="191" t="e">
        <f ca="1">(OFFSET(Pinlist!$E$1,BC1307,0)-$BN$16)*$BN$19</f>
        <v>#N/A</v>
      </c>
      <c r="BF1307" s="192" t="e">
        <f ca="1">(OFFSET(Pinlist!$F$1,BC1307,0)-$BO$16)*$BO$19</f>
        <v>#N/A</v>
      </c>
      <c r="BG1307" s="1098" t="str">
        <f ca="1">IF(LEFT(BD1307,2)="RF",OFFSET(Pinlist!$D$1,Chart!BC1307,0)&amp;"_"&amp;OFFSET(Pinlist!$G$1,Chart!BC1307,0),"")</f>
        <v/>
      </c>
      <c r="BH1307" s="1098"/>
      <c r="BI1307" s="178"/>
      <c r="BJ1307" s="178"/>
      <c r="BK1307" s="178"/>
      <c r="BL1307" s="178"/>
      <c r="BM1307" s="178"/>
      <c r="BN1307" s="178"/>
      <c r="BO1307" s="178"/>
      <c r="BP1307" s="178"/>
      <c r="BQ1307" s="196"/>
      <c r="BR1307" s="196"/>
      <c r="BS1307" s="196"/>
      <c r="BT1307" s="196"/>
      <c r="BU1307" s="196"/>
      <c r="BV1307" s="196"/>
      <c r="BW1307" s="178"/>
      <c r="BX1307" s="196"/>
      <c r="BY1307" s="196"/>
      <c r="BZ1307" s="196"/>
      <c r="CA1307" s="196"/>
      <c r="CB1307" s="178"/>
      <c r="CC1307" s="178"/>
      <c r="CD1307" s="202"/>
      <c r="CE1307" s="202"/>
      <c r="CF1307" s="178"/>
      <c r="CG1307" s="196"/>
      <c r="CH1307" s="178"/>
      <c r="CI1307" s="178"/>
      <c r="CJ1307" s="178"/>
      <c r="CK1307" s="178"/>
      <c r="CL1307" s="178"/>
      <c r="CM1307" s="178"/>
      <c r="CN1307" s="178"/>
      <c r="CO1307" s="178"/>
      <c r="CP1307" s="178"/>
      <c r="CQ1307" s="178"/>
      <c r="CR1307" s="178"/>
      <c r="CS1307" s="178"/>
      <c r="CT1307" s="178"/>
      <c r="CU1307" s="178"/>
      <c r="CV1307" s="178"/>
      <c r="CW1307" s="178"/>
      <c r="CX1307" s="178"/>
      <c r="CY1307" s="178"/>
      <c r="CZ1307" s="178"/>
      <c r="DA1307" s="150"/>
    </row>
    <row r="1308" spans="53:105" x14ac:dyDescent="0.2">
      <c r="BA1308" s="518">
        <f t="shared" ca="1" si="73"/>
        <v>61</v>
      </c>
      <c r="BB1308" s="174">
        <f t="shared" ca="1" si="74"/>
        <v>1245</v>
      </c>
      <c r="BC1308" s="525" t="e">
        <f ca="1">MATCH(BD1308,OFFSET(Pinlist!$A$2,BC1307*(BA1308=BA1307),0,$BM$23,1),0)+BC1307*(BA1308=BA1307)</f>
        <v>#N/A</v>
      </c>
      <c r="BD1308" s="167">
        <f t="shared" ca="1" si="75"/>
        <v>0</v>
      </c>
      <c r="BE1308" s="191" t="e">
        <f ca="1">(OFFSET(Pinlist!$E$1,BC1308,0)-$BN$16)*$BN$19</f>
        <v>#N/A</v>
      </c>
      <c r="BF1308" s="192" t="e">
        <f ca="1">(OFFSET(Pinlist!$F$1,BC1308,0)-$BO$16)*$BO$19</f>
        <v>#N/A</v>
      </c>
      <c r="BG1308" s="1098" t="str">
        <f ca="1">IF(LEFT(BD1308,2)="RF",OFFSET(Pinlist!$D$1,Chart!BC1308,0)&amp;"_"&amp;OFFSET(Pinlist!$G$1,Chart!BC1308,0),"")</f>
        <v/>
      </c>
      <c r="BH1308" s="1098"/>
      <c r="BI1308" s="178"/>
      <c r="BJ1308" s="178"/>
      <c r="BK1308" s="178"/>
      <c r="BL1308" s="178"/>
      <c r="BM1308" s="178"/>
      <c r="BN1308" s="178"/>
      <c r="BO1308" s="178"/>
      <c r="BP1308" s="178"/>
      <c r="BQ1308" s="196"/>
      <c r="BR1308" s="196"/>
      <c r="BS1308" s="196"/>
      <c r="BT1308" s="196"/>
      <c r="BU1308" s="196"/>
      <c r="BV1308" s="196"/>
      <c r="BW1308" s="178"/>
      <c r="BX1308" s="196"/>
      <c r="BY1308" s="196"/>
      <c r="BZ1308" s="196"/>
      <c r="CA1308" s="196"/>
      <c r="CB1308" s="178"/>
      <c r="CC1308" s="178"/>
      <c r="CD1308" s="202"/>
      <c r="CE1308" s="202"/>
      <c r="CF1308" s="178"/>
      <c r="CG1308" s="196"/>
      <c r="CH1308" s="178"/>
      <c r="CI1308" s="178"/>
      <c r="CJ1308" s="178"/>
      <c r="CK1308" s="178"/>
      <c r="CL1308" s="178"/>
      <c r="CM1308" s="178"/>
      <c r="CN1308" s="178"/>
      <c r="CO1308" s="178"/>
      <c r="CP1308" s="178"/>
      <c r="CQ1308" s="178"/>
      <c r="CR1308" s="178"/>
      <c r="CS1308" s="178"/>
      <c r="CT1308" s="178"/>
      <c r="CU1308" s="178"/>
      <c r="CV1308" s="178"/>
      <c r="CW1308" s="178"/>
      <c r="CX1308" s="178"/>
      <c r="CY1308" s="178"/>
      <c r="CZ1308" s="178"/>
      <c r="DA1308" s="150"/>
    </row>
    <row r="1309" spans="53:105" x14ac:dyDescent="0.2">
      <c r="BA1309" s="518">
        <f t="shared" ca="1" si="73"/>
        <v>61</v>
      </c>
      <c r="BB1309" s="174">
        <f t="shared" ca="1" si="74"/>
        <v>1246</v>
      </c>
      <c r="BC1309" s="525" t="e">
        <f ca="1">MATCH(BD1309,OFFSET(Pinlist!$A$2,BC1308*(BA1309=BA1308),0,$BM$23,1),0)+BC1308*(BA1309=BA1308)</f>
        <v>#N/A</v>
      </c>
      <c r="BD1309" s="167">
        <f t="shared" ca="1" si="75"/>
        <v>0</v>
      </c>
      <c r="BE1309" s="191" t="e">
        <f ca="1">(OFFSET(Pinlist!$E$1,BC1309,0)-$BN$16)*$BN$19</f>
        <v>#N/A</v>
      </c>
      <c r="BF1309" s="192" t="e">
        <f ca="1">(OFFSET(Pinlist!$F$1,BC1309,0)-$BO$16)*$BO$19</f>
        <v>#N/A</v>
      </c>
      <c r="BG1309" s="1098" t="str">
        <f ca="1">IF(LEFT(BD1309,2)="RF",OFFSET(Pinlist!$D$1,Chart!BC1309,0)&amp;"_"&amp;OFFSET(Pinlist!$G$1,Chart!BC1309,0),"")</f>
        <v/>
      </c>
      <c r="BH1309" s="1098"/>
      <c r="BI1309" s="178"/>
      <c r="BJ1309" s="178"/>
      <c r="BK1309" s="178"/>
      <c r="BL1309" s="178"/>
      <c r="BM1309" s="178"/>
      <c r="BN1309" s="178"/>
      <c r="BO1309" s="178"/>
      <c r="BP1309" s="178"/>
      <c r="BQ1309" s="196"/>
      <c r="BR1309" s="196"/>
      <c r="BS1309" s="196"/>
      <c r="BT1309" s="196"/>
      <c r="BU1309" s="196"/>
      <c r="BV1309" s="196"/>
      <c r="BW1309" s="178"/>
      <c r="BX1309" s="196"/>
      <c r="BY1309" s="196"/>
      <c r="BZ1309" s="196"/>
      <c r="CA1309" s="196"/>
      <c r="CB1309" s="178"/>
      <c r="CC1309" s="178"/>
      <c r="CD1309" s="202"/>
      <c r="CE1309" s="202"/>
      <c r="CF1309" s="178"/>
      <c r="CG1309" s="196"/>
      <c r="CH1309" s="178"/>
      <c r="CI1309" s="178"/>
      <c r="CJ1309" s="178"/>
      <c r="CK1309" s="178"/>
      <c r="CL1309" s="178"/>
      <c r="CM1309" s="178"/>
      <c r="CN1309" s="178"/>
      <c r="CO1309" s="178"/>
      <c r="CP1309" s="178"/>
      <c r="CQ1309" s="178"/>
      <c r="CR1309" s="178"/>
      <c r="CS1309" s="178"/>
      <c r="CT1309" s="178"/>
      <c r="CU1309" s="178"/>
      <c r="CV1309" s="178"/>
      <c r="CW1309" s="178"/>
      <c r="CX1309" s="178"/>
      <c r="CY1309" s="178"/>
      <c r="CZ1309" s="178"/>
      <c r="DA1309" s="150"/>
    </row>
    <row r="1310" spans="53:105" x14ac:dyDescent="0.2">
      <c r="BA1310" s="518">
        <f t="shared" ca="1" si="73"/>
        <v>61</v>
      </c>
      <c r="BB1310" s="174">
        <f t="shared" ca="1" si="74"/>
        <v>1247</v>
      </c>
      <c r="BC1310" s="525" t="e">
        <f ca="1">MATCH(BD1310,OFFSET(Pinlist!$A$2,BC1309*(BA1310=BA1309),0,$BM$23,1),0)+BC1309*(BA1310=BA1309)</f>
        <v>#N/A</v>
      </c>
      <c r="BD1310" s="167">
        <f t="shared" ca="1" si="75"/>
        <v>0</v>
      </c>
      <c r="BE1310" s="191" t="e">
        <f ca="1">(OFFSET(Pinlist!$E$1,BC1310,0)-$BN$16)*$BN$19</f>
        <v>#N/A</v>
      </c>
      <c r="BF1310" s="192" t="e">
        <f ca="1">(OFFSET(Pinlist!$F$1,BC1310,0)-$BO$16)*$BO$19</f>
        <v>#N/A</v>
      </c>
      <c r="BG1310" s="1098" t="str">
        <f ca="1">IF(LEFT(BD1310,2)="RF",OFFSET(Pinlist!$D$1,Chart!BC1310,0)&amp;"_"&amp;OFFSET(Pinlist!$G$1,Chart!BC1310,0),"")</f>
        <v/>
      </c>
      <c r="BH1310" s="1098"/>
      <c r="BI1310" s="178"/>
      <c r="BJ1310" s="178"/>
      <c r="BK1310" s="178"/>
      <c r="BL1310" s="178"/>
      <c r="BM1310" s="178"/>
      <c r="BN1310" s="178"/>
      <c r="BO1310" s="178"/>
      <c r="BP1310" s="178"/>
      <c r="BQ1310" s="196"/>
      <c r="BR1310" s="196"/>
      <c r="BS1310" s="196"/>
      <c r="BT1310" s="196"/>
      <c r="BU1310" s="196"/>
      <c r="BV1310" s="196"/>
      <c r="BW1310" s="178"/>
      <c r="BX1310" s="196"/>
      <c r="BY1310" s="196"/>
      <c r="BZ1310" s="196"/>
      <c r="CA1310" s="196"/>
      <c r="CB1310" s="178"/>
      <c r="CC1310" s="178"/>
      <c r="CD1310" s="202"/>
      <c r="CE1310" s="202"/>
      <c r="CF1310" s="178"/>
      <c r="CG1310" s="196"/>
      <c r="CH1310" s="178"/>
      <c r="CI1310" s="178"/>
      <c r="CJ1310" s="178"/>
      <c r="CK1310" s="178"/>
      <c r="CL1310" s="178"/>
      <c r="CM1310" s="178"/>
      <c r="CN1310" s="178"/>
      <c r="CO1310" s="178"/>
      <c r="CP1310" s="178"/>
      <c r="CQ1310" s="178"/>
      <c r="CR1310" s="178"/>
      <c r="CS1310" s="178"/>
      <c r="CT1310" s="178"/>
      <c r="CU1310" s="178"/>
      <c r="CV1310" s="178"/>
      <c r="CW1310" s="178"/>
      <c r="CX1310" s="178"/>
      <c r="CY1310" s="178"/>
      <c r="CZ1310" s="178"/>
      <c r="DA1310" s="150"/>
    </row>
    <row r="1311" spans="53:105" x14ac:dyDescent="0.2">
      <c r="BA1311" s="518">
        <f t="shared" ca="1" si="73"/>
        <v>61</v>
      </c>
      <c r="BB1311" s="174">
        <f t="shared" ca="1" si="74"/>
        <v>1248</v>
      </c>
      <c r="BC1311" s="525" t="e">
        <f ca="1">MATCH(BD1311,OFFSET(Pinlist!$A$2,BC1310*(BA1311=BA1310),0,$BM$23,1),0)+BC1310*(BA1311=BA1310)</f>
        <v>#N/A</v>
      </c>
      <c r="BD1311" s="167">
        <f t="shared" ca="1" si="75"/>
        <v>0</v>
      </c>
      <c r="BE1311" s="191" t="e">
        <f ca="1">(OFFSET(Pinlist!$E$1,BC1311,0)-$BN$16)*$BN$19</f>
        <v>#N/A</v>
      </c>
      <c r="BF1311" s="192" t="e">
        <f ca="1">(OFFSET(Pinlist!$F$1,BC1311,0)-$BO$16)*$BO$19</f>
        <v>#N/A</v>
      </c>
      <c r="BG1311" s="1098" t="str">
        <f ca="1">IF(LEFT(BD1311,2)="RF",OFFSET(Pinlist!$D$1,Chart!BC1311,0)&amp;"_"&amp;OFFSET(Pinlist!$G$1,Chart!BC1311,0),"")</f>
        <v/>
      </c>
      <c r="BH1311" s="1098"/>
      <c r="BI1311" s="178"/>
      <c r="BJ1311" s="178"/>
      <c r="BK1311" s="178"/>
      <c r="BL1311" s="178"/>
      <c r="BM1311" s="178"/>
      <c r="BN1311" s="178"/>
      <c r="BO1311" s="178"/>
      <c r="BP1311" s="178"/>
      <c r="BQ1311" s="196"/>
      <c r="BR1311" s="196"/>
      <c r="BS1311" s="196"/>
      <c r="BT1311" s="196"/>
      <c r="BU1311" s="196"/>
      <c r="BV1311" s="196"/>
      <c r="BW1311" s="178"/>
      <c r="BX1311" s="196"/>
      <c r="BY1311" s="196"/>
      <c r="BZ1311" s="196"/>
      <c r="CA1311" s="196"/>
      <c r="CB1311" s="178"/>
      <c r="CC1311" s="178"/>
      <c r="CD1311" s="202"/>
      <c r="CE1311" s="202"/>
      <c r="CF1311" s="178"/>
      <c r="CG1311" s="196"/>
      <c r="CH1311" s="178"/>
      <c r="CI1311" s="178"/>
      <c r="CJ1311" s="178"/>
      <c r="CK1311" s="178"/>
      <c r="CL1311" s="178"/>
      <c r="CM1311" s="178"/>
      <c r="CN1311" s="178"/>
      <c r="CO1311" s="178"/>
      <c r="CP1311" s="178"/>
      <c r="CQ1311" s="178"/>
      <c r="CR1311" s="178"/>
      <c r="CS1311" s="178"/>
      <c r="CT1311" s="178"/>
      <c r="CU1311" s="178"/>
      <c r="CV1311" s="178"/>
      <c r="CW1311" s="178"/>
      <c r="CX1311" s="178"/>
      <c r="CY1311" s="178"/>
      <c r="CZ1311" s="178"/>
      <c r="DA1311" s="150"/>
    </row>
    <row r="1312" spans="53:105" x14ac:dyDescent="0.2">
      <c r="BA1312" s="518">
        <f t="shared" ca="1" si="73"/>
        <v>61</v>
      </c>
      <c r="BB1312" s="174">
        <f t="shared" ca="1" si="74"/>
        <v>1249</v>
      </c>
      <c r="BC1312" s="525" t="e">
        <f ca="1">MATCH(BD1312,OFFSET(Pinlist!$A$2,BC1311*(BA1312=BA1311),0,$BM$23,1),0)+BC1311*(BA1312=BA1311)</f>
        <v>#N/A</v>
      </c>
      <c r="BD1312" s="167">
        <f t="shared" ca="1" si="75"/>
        <v>0</v>
      </c>
      <c r="BE1312" s="191" t="e">
        <f ca="1">(OFFSET(Pinlist!$E$1,BC1312,0)-$BN$16)*$BN$19</f>
        <v>#N/A</v>
      </c>
      <c r="BF1312" s="192" t="e">
        <f ca="1">(OFFSET(Pinlist!$F$1,BC1312,0)-$BO$16)*$BO$19</f>
        <v>#N/A</v>
      </c>
      <c r="BG1312" s="1098" t="str">
        <f ca="1">IF(LEFT(BD1312,2)="RF",OFFSET(Pinlist!$D$1,Chart!BC1312,0)&amp;"_"&amp;OFFSET(Pinlist!$G$1,Chart!BC1312,0),"")</f>
        <v/>
      </c>
      <c r="BH1312" s="1098"/>
      <c r="BI1312" s="178"/>
      <c r="BJ1312" s="178"/>
      <c r="BK1312" s="178"/>
      <c r="BL1312" s="178"/>
      <c r="BM1312" s="178"/>
      <c r="BN1312" s="178"/>
      <c r="BO1312" s="178"/>
      <c r="BP1312" s="178"/>
      <c r="BQ1312" s="196"/>
      <c r="BR1312" s="196"/>
      <c r="BS1312" s="196"/>
      <c r="BT1312" s="196"/>
      <c r="BU1312" s="196"/>
      <c r="BV1312" s="196"/>
      <c r="BW1312" s="178"/>
      <c r="BX1312" s="196"/>
      <c r="BY1312" s="196"/>
      <c r="BZ1312" s="196"/>
      <c r="CA1312" s="196"/>
      <c r="CB1312" s="178"/>
      <c r="CC1312" s="178"/>
      <c r="CD1312" s="202"/>
      <c r="CE1312" s="202"/>
      <c r="CF1312" s="178"/>
      <c r="CG1312" s="196"/>
      <c r="CH1312" s="178"/>
      <c r="CI1312" s="178"/>
      <c r="CJ1312" s="178"/>
      <c r="CK1312" s="178"/>
      <c r="CL1312" s="178"/>
      <c r="CM1312" s="178"/>
      <c r="CN1312" s="178"/>
      <c r="CO1312" s="178"/>
      <c r="CP1312" s="178"/>
      <c r="CQ1312" s="178"/>
      <c r="CR1312" s="178"/>
      <c r="CS1312" s="178"/>
      <c r="CT1312" s="178"/>
      <c r="CU1312" s="178"/>
      <c r="CV1312" s="178"/>
      <c r="CW1312" s="178"/>
      <c r="CX1312" s="178"/>
      <c r="CY1312" s="178"/>
      <c r="CZ1312" s="178"/>
      <c r="DA1312" s="150"/>
    </row>
    <row r="1313" spans="53:105" x14ac:dyDescent="0.2">
      <c r="BA1313" s="518">
        <f t="shared" ca="1" si="73"/>
        <v>61</v>
      </c>
      <c r="BB1313" s="174">
        <f t="shared" ca="1" si="74"/>
        <v>1250</v>
      </c>
      <c r="BC1313" s="525" t="e">
        <f ca="1">MATCH(BD1313,OFFSET(Pinlist!$A$2,BC1312*(BA1313=BA1312),0,$BM$23,1),0)+BC1312*(BA1313=BA1312)</f>
        <v>#N/A</v>
      </c>
      <c r="BD1313" s="167">
        <f t="shared" ca="1" si="75"/>
        <v>0</v>
      </c>
      <c r="BE1313" s="191" t="e">
        <f ca="1">(OFFSET(Pinlist!$E$1,BC1313,0)-$BN$16)*$BN$19</f>
        <v>#N/A</v>
      </c>
      <c r="BF1313" s="192" t="e">
        <f ca="1">(OFFSET(Pinlist!$F$1,BC1313,0)-$BO$16)*$BO$19</f>
        <v>#N/A</v>
      </c>
      <c r="BG1313" s="1098" t="str">
        <f ca="1">IF(LEFT(BD1313,2)="RF",OFFSET(Pinlist!$D$1,Chart!BC1313,0)&amp;"_"&amp;OFFSET(Pinlist!$G$1,Chart!BC1313,0),"")</f>
        <v/>
      </c>
      <c r="BH1313" s="1098"/>
      <c r="BI1313" s="178"/>
      <c r="BJ1313" s="178"/>
      <c r="BK1313" s="178"/>
      <c r="BL1313" s="178"/>
      <c r="BM1313" s="178"/>
      <c r="BN1313" s="178"/>
      <c r="BO1313" s="178"/>
      <c r="BP1313" s="178"/>
      <c r="BQ1313" s="196"/>
      <c r="BR1313" s="196"/>
      <c r="BS1313" s="196"/>
      <c r="BT1313" s="196"/>
      <c r="BU1313" s="196"/>
      <c r="BV1313" s="196"/>
      <c r="BW1313" s="178"/>
      <c r="BX1313" s="196"/>
      <c r="BY1313" s="196"/>
      <c r="BZ1313" s="196"/>
      <c r="CA1313" s="196"/>
      <c r="CB1313" s="178"/>
      <c r="CC1313" s="178"/>
      <c r="CD1313" s="202"/>
      <c r="CE1313" s="202"/>
      <c r="CF1313" s="178"/>
      <c r="CG1313" s="196"/>
      <c r="CH1313" s="178"/>
      <c r="CI1313" s="178"/>
      <c r="CJ1313" s="178"/>
      <c r="CK1313" s="178"/>
      <c r="CL1313" s="178"/>
      <c r="CM1313" s="178"/>
      <c r="CN1313" s="178"/>
      <c r="CO1313" s="178"/>
      <c r="CP1313" s="178"/>
      <c r="CQ1313" s="178"/>
      <c r="CR1313" s="178"/>
      <c r="CS1313" s="178"/>
      <c r="CT1313" s="178"/>
      <c r="CU1313" s="178"/>
      <c r="CV1313" s="178"/>
      <c r="CW1313" s="178"/>
      <c r="CX1313" s="178"/>
      <c r="CY1313" s="178"/>
      <c r="CZ1313" s="178"/>
      <c r="DA1313" s="150"/>
    </row>
    <row r="1314" spans="53:105" x14ac:dyDescent="0.2">
      <c r="BA1314" s="518">
        <f t="shared" ca="1" si="73"/>
        <v>61</v>
      </c>
      <c r="BB1314" s="174">
        <f t="shared" ca="1" si="74"/>
        <v>1251</v>
      </c>
      <c r="BC1314" s="525" t="e">
        <f ca="1">MATCH(BD1314,OFFSET(Pinlist!$A$2,BC1313*(BA1314=BA1313),0,$BM$23,1),0)+BC1313*(BA1314=BA1313)</f>
        <v>#N/A</v>
      </c>
      <c r="BD1314" s="167">
        <f t="shared" ca="1" si="75"/>
        <v>0</v>
      </c>
      <c r="BE1314" s="191" t="e">
        <f ca="1">(OFFSET(Pinlist!$E$1,BC1314,0)-$BN$16)*$BN$19</f>
        <v>#N/A</v>
      </c>
      <c r="BF1314" s="192" t="e">
        <f ca="1">(OFFSET(Pinlist!$F$1,BC1314,0)-$BO$16)*$BO$19</f>
        <v>#N/A</v>
      </c>
      <c r="BG1314" s="1098" t="str">
        <f ca="1">IF(LEFT(BD1314,2)="RF",OFFSET(Pinlist!$D$1,Chart!BC1314,0)&amp;"_"&amp;OFFSET(Pinlist!$G$1,Chart!BC1314,0),"")</f>
        <v/>
      </c>
      <c r="BH1314" s="1098"/>
      <c r="BI1314" s="178"/>
      <c r="BJ1314" s="178"/>
      <c r="BK1314" s="178"/>
      <c r="BL1314" s="178"/>
      <c r="BM1314" s="178"/>
      <c r="BN1314" s="178"/>
      <c r="BO1314" s="178"/>
      <c r="BP1314" s="178"/>
      <c r="BQ1314" s="196"/>
      <c r="BR1314" s="196"/>
      <c r="BS1314" s="196"/>
      <c r="BT1314" s="196"/>
      <c r="BU1314" s="196"/>
      <c r="BV1314" s="196"/>
      <c r="BW1314" s="178"/>
      <c r="BX1314" s="196"/>
      <c r="BY1314" s="196"/>
      <c r="BZ1314" s="196"/>
      <c r="CA1314" s="196"/>
      <c r="CB1314" s="178"/>
      <c r="CC1314" s="178"/>
      <c r="CD1314" s="202"/>
      <c r="CE1314" s="202"/>
      <c r="CF1314" s="178"/>
      <c r="CG1314" s="196"/>
      <c r="CH1314" s="178"/>
      <c r="CI1314" s="178"/>
      <c r="CJ1314" s="178"/>
      <c r="CK1314" s="178"/>
      <c r="CL1314" s="178"/>
      <c r="CM1314" s="178"/>
      <c r="CN1314" s="178"/>
      <c r="CO1314" s="178"/>
      <c r="CP1314" s="178"/>
      <c r="CQ1314" s="178"/>
      <c r="CR1314" s="178"/>
      <c r="CS1314" s="178"/>
      <c r="CT1314" s="178"/>
      <c r="CU1314" s="178"/>
      <c r="CV1314" s="178"/>
      <c r="CW1314" s="178"/>
      <c r="CX1314" s="178"/>
      <c r="CY1314" s="178"/>
      <c r="CZ1314" s="178"/>
      <c r="DA1314" s="150"/>
    </row>
    <row r="1315" spans="53:105" x14ac:dyDescent="0.2">
      <c r="BA1315" s="518">
        <f t="shared" ca="1" si="73"/>
        <v>61</v>
      </c>
      <c r="BB1315" s="174">
        <f t="shared" ca="1" si="74"/>
        <v>1252</v>
      </c>
      <c r="BC1315" s="525" t="e">
        <f ca="1">MATCH(BD1315,OFFSET(Pinlist!$A$2,BC1314*(BA1315=BA1314),0,$BM$23,1),0)+BC1314*(BA1315=BA1314)</f>
        <v>#N/A</v>
      </c>
      <c r="BD1315" s="167">
        <f t="shared" ca="1" si="75"/>
        <v>0</v>
      </c>
      <c r="BE1315" s="191" t="e">
        <f ca="1">(OFFSET(Pinlist!$E$1,BC1315,0)-$BN$16)*$BN$19</f>
        <v>#N/A</v>
      </c>
      <c r="BF1315" s="192" t="e">
        <f ca="1">(OFFSET(Pinlist!$F$1,BC1315,0)-$BO$16)*$BO$19</f>
        <v>#N/A</v>
      </c>
      <c r="BG1315" s="1098" t="str">
        <f ca="1">IF(LEFT(BD1315,2)="RF",OFFSET(Pinlist!$D$1,Chart!BC1315,0)&amp;"_"&amp;OFFSET(Pinlist!$G$1,Chart!BC1315,0),"")</f>
        <v/>
      </c>
      <c r="BH1315" s="1098"/>
      <c r="BI1315" s="178"/>
      <c r="BJ1315" s="178"/>
      <c r="BK1315" s="178"/>
      <c r="BL1315" s="178"/>
      <c r="BM1315" s="178"/>
      <c r="BN1315" s="178"/>
      <c r="BO1315" s="178"/>
      <c r="BP1315" s="178"/>
      <c r="BQ1315" s="196"/>
      <c r="BR1315" s="196"/>
      <c r="BS1315" s="196"/>
      <c r="BT1315" s="196"/>
      <c r="BU1315" s="196"/>
      <c r="BV1315" s="196"/>
      <c r="BW1315" s="178"/>
      <c r="BX1315" s="196"/>
      <c r="BY1315" s="196"/>
      <c r="BZ1315" s="196"/>
      <c r="CA1315" s="196"/>
      <c r="CB1315" s="178"/>
      <c r="CC1315" s="178"/>
      <c r="CD1315" s="202"/>
      <c r="CE1315" s="202"/>
      <c r="CF1315" s="178"/>
      <c r="CG1315" s="196"/>
      <c r="CH1315" s="178"/>
      <c r="CI1315" s="178"/>
      <c r="CJ1315" s="178"/>
      <c r="CK1315" s="178"/>
      <c r="CL1315" s="178"/>
      <c r="CM1315" s="178"/>
      <c r="CN1315" s="178"/>
      <c r="CO1315" s="178"/>
      <c r="CP1315" s="178"/>
      <c r="CQ1315" s="178"/>
      <c r="CR1315" s="178"/>
      <c r="CS1315" s="178"/>
      <c r="CT1315" s="178"/>
      <c r="CU1315" s="178"/>
      <c r="CV1315" s="178"/>
      <c r="CW1315" s="178"/>
      <c r="CX1315" s="178"/>
      <c r="CY1315" s="178"/>
      <c r="CZ1315" s="178"/>
      <c r="DA1315" s="150"/>
    </row>
    <row r="1316" spans="53:105" x14ac:dyDescent="0.2">
      <c r="BA1316" s="518">
        <f t="shared" ca="1" si="73"/>
        <v>61</v>
      </c>
      <c r="BB1316" s="174">
        <f t="shared" ca="1" si="74"/>
        <v>1253</v>
      </c>
      <c r="BC1316" s="525" t="e">
        <f ca="1">MATCH(BD1316,OFFSET(Pinlist!$A$2,BC1315*(BA1316=BA1315),0,$BM$23,1),0)+BC1315*(BA1316=BA1315)</f>
        <v>#N/A</v>
      </c>
      <c r="BD1316" s="167">
        <f t="shared" ca="1" si="75"/>
        <v>0</v>
      </c>
      <c r="BE1316" s="191" t="e">
        <f ca="1">(OFFSET(Pinlist!$E$1,BC1316,0)-$BN$16)*$BN$19</f>
        <v>#N/A</v>
      </c>
      <c r="BF1316" s="192" t="e">
        <f ca="1">(OFFSET(Pinlist!$F$1,BC1316,0)-$BO$16)*$BO$19</f>
        <v>#N/A</v>
      </c>
      <c r="BG1316" s="1098" t="str">
        <f ca="1">IF(LEFT(BD1316,2)="RF",OFFSET(Pinlist!$D$1,Chart!BC1316,0)&amp;"_"&amp;OFFSET(Pinlist!$G$1,Chart!BC1316,0),"")</f>
        <v/>
      </c>
      <c r="BH1316" s="1098"/>
      <c r="BI1316" s="178"/>
      <c r="BJ1316" s="178"/>
      <c r="BK1316" s="178"/>
      <c r="BL1316" s="178"/>
      <c r="BM1316" s="178"/>
      <c r="BN1316" s="178"/>
      <c r="BO1316" s="178"/>
      <c r="BP1316" s="178"/>
      <c r="BQ1316" s="196"/>
      <c r="BR1316" s="196"/>
      <c r="BS1316" s="196"/>
      <c r="BT1316" s="196"/>
      <c r="BU1316" s="196"/>
      <c r="BV1316" s="196"/>
      <c r="BW1316" s="178"/>
      <c r="BX1316" s="196"/>
      <c r="BY1316" s="196"/>
      <c r="BZ1316" s="196"/>
      <c r="CA1316" s="196"/>
      <c r="CB1316" s="178"/>
      <c r="CC1316" s="178"/>
      <c r="CD1316" s="202"/>
      <c r="CE1316" s="202"/>
      <c r="CF1316" s="178"/>
      <c r="CG1316" s="196"/>
      <c r="CH1316" s="178"/>
      <c r="CI1316" s="178"/>
      <c r="CJ1316" s="178"/>
      <c r="CK1316" s="178"/>
      <c r="CL1316" s="178"/>
      <c r="CM1316" s="178"/>
      <c r="CN1316" s="178"/>
      <c r="CO1316" s="178"/>
      <c r="CP1316" s="178"/>
      <c r="CQ1316" s="178"/>
      <c r="CR1316" s="178"/>
      <c r="CS1316" s="178"/>
      <c r="CT1316" s="178"/>
      <c r="CU1316" s="178"/>
      <c r="CV1316" s="178"/>
      <c r="CW1316" s="178"/>
      <c r="CX1316" s="178"/>
      <c r="CY1316" s="178"/>
      <c r="CZ1316" s="178"/>
      <c r="DA1316" s="150"/>
    </row>
    <row r="1317" spans="53:105" x14ac:dyDescent="0.2">
      <c r="BA1317" s="518">
        <f t="shared" ca="1" si="73"/>
        <v>61</v>
      </c>
      <c r="BB1317" s="174">
        <f t="shared" ca="1" si="74"/>
        <v>1254</v>
      </c>
      <c r="BC1317" s="525" t="e">
        <f ca="1">MATCH(BD1317,OFFSET(Pinlist!$A$2,BC1316*(BA1317=BA1316),0,$BM$23,1),0)+BC1316*(BA1317=BA1316)</f>
        <v>#N/A</v>
      </c>
      <c r="BD1317" s="167">
        <f t="shared" ca="1" si="75"/>
        <v>0</v>
      </c>
      <c r="BE1317" s="191" t="e">
        <f ca="1">(OFFSET(Pinlist!$E$1,BC1317,0)-$BN$16)*$BN$19</f>
        <v>#N/A</v>
      </c>
      <c r="BF1317" s="192" t="e">
        <f ca="1">(OFFSET(Pinlist!$F$1,BC1317,0)-$BO$16)*$BO$19</f>
        <v>#N/A</v>
      </c>
      <c r="BG1317" s="1098" t="str">
        <f ca="1">IF(LEFT(BD1317,2)="RF",OFFSET(Pinlist!$D$1,Chart!BC1317,0)&amp;"_"&amp;OFFSET(Pinlist!$G$1,Chart!BC1317,0),"")</f>
        <v/>
      </c>
      <c r="BH1317" s="1098"/>
      <c r="BI1317" s="178"/>
      <c r="BJ1317" s="178"/>
      <c r="BK1317" s="178"/>
      <c r="BL1317" s="178"/>
      <c r="BM1317" s="178"/>
      <c r="BN1317" s="178"/>
      <c r="BO1317" s="178"/>
      <c r="BP1317" s="178"/>
      <c r="BQ1317" s="196"/>
      <c r="BR1317" s="196"/>
      <c r="BS1317" s="196"/>
      <c r="BT1317" s="196"/>
      <c r="BU1317" s="196"/>
      <c r="BV1317" s="196"/>
      <c r="BW1317" s="178"/>
      <c r="BX1317" s="196"/>
      <c r="BY1317" s="196"/>
      <c r="BZ1317" s="196"/>
      <c r="CA1317" s="196"/>
      <c r="CB1317" s="178"/>
      <c r="CC1317" s="178"/>
      <c r="CD1317" s="202"/>
      <c r="CE1317" s="202"/>
      <c r="CF1317" s="178"/>
      <c r="CG1317" s="196"/>
      <c r="CH1317" s="178"/>
      <c r="CI1317" s="178"/>
      <c r="CJ1317" s="178"/>
      <c r="CK1317" s="178"/>
      <c r="CL1317" s="178"/>
      <c r="CM1317" s="178"/>
      <c r="CN1317" s="178"/>
      <c r="CO1317" s="178"/>
      <c r="CP1317" s="178"/>
      <c r="CQ1317" s="178"/>
      <c r="CR1317" s="178"/>
      <c r="CS1317" s="178"/>
      <c r="CT1317" s="178"/>
      <c r="CU1317" s="178"/>
      <c r="CV1317" s="178"/>
      <c r="CW1317" s="178"/>
      <c r="CX1317" s="178"/>
      <c r="CY1317" s="178"/>
      <c r="CZ1317" s="178"/>
      <c r="DA1317" s="150"/>
    </row>
    <row r="1318" spans="53:105" x14ac:dyDescent="0.2">
      <c r="BA1318" s="518">
        <f t="shared" ca="1" si="73"/>
        <v>61</v>
      </c>
      <c r="BB1318" s="174">
        <f t="shared" ca="1" si="74"/>
        <v>1255</v>
      </c>
      <c r="BC1318" s="525" t="e">
        <f ca="1">MATCH(BD1318,OFFSET(Pinlist!$A$2,BC1317*(BA1318=BA1317),0,$BM$23,1),0)+BC1317*(BA1318=BA1317)</f>
        <v>#N/A</v>
      </c>
      <c r="BD1318" s="167">
        <f t="shared" ca="1" si="75"/>
        <v>0</v>
      </c>
      <c r="BE1318" s="191" t="e">
        <f ca="1">(OFFSET(Pinlist!$E$1,BC1318,0)-$BN$16)*$BN$19</f>
        <v>#N/A</v>
      </c>
      <c r="BF1318" s="192" t="e">
        <f ca="1">(OFFSET(Pinlist!$F$1,BC1318,0)-$BO$16)*$BO$19</f>
        <v>#N/A</v>
      </c>
      <c r="BG1318" s="1098" t="str">
        <f ca="1">IF(LEFT(BD1318,2)="RF",OFFSET(Pinlist!$D$1,Chart!BC1318,0)&amp;"_"&amp;OFFSET(Pinlist!$G$1,Chart!BC1318,0),"")</f>
        <v/>
      </c>
      <c r="BH1318" s="1098"/>
      <c r="BI1318" s="178"/>
      <c r="BJ1318" s="178"/>
      <c r="BK1318" s="178"/>
      <c r="BL1318" s="178"/>
      <c r="BM1318" s="178"/>
      <c r="BN1318" s="178"/>
      <c r="BO1318" s="178"/>
      <c r="BP1318" s="178"/>
      <c r="BQ1318" s="196"/>
      <c r="BR1318" s="196"/>
      <c r="BS1318" s="196"/>
      <c r="BT1318" s="196"/>
      <c r="BU1318" s="196"/>
      <c r="BV1318" s="196"/>
      <c r="BW1318" s="178"/>
      <c r="BX1318" s="196"/>
      <c r="BY1318" s="196"/>
      <c r="BZ1318" s="196"/>
      <c r="CA1318" s="196"/>
      <c r="CB1318" s="178"/>
      <c r="CC1318" s="178"/>
      <c r="CD1318" s="202"/>
      <c r="CE1318" s="202"/>
      <c r="CF1318" s="178"/>
      <c r="CG1318" s="196"/>
      <c r="CH1318" s="178"/>
      <c r="CI1318" s="178"/>
      <c r="CJ1318" s="178"/>
      <c r="CK1318" s="178"/>
      <c r="CL1318" s="178"/>
      <c r="CM1318" s="178"/>
      <c r="CN1318" s="178"/>
      <c r="CO1318" s="178"/>
      <c r="CP1318" s="178"/>
      <c r="CQ1318" s="178"/>
      <c r="CR1318" s="178"/>
      <c r="CS1318" s="178"/>
      <c r="CT1318" s="178"/>
      <c r="CU1318" s="178"/>
      <c r="CV1318" s="178"/>
      <c r="CW1318" s="178"/>
      <c r="CX1318" s="178"/>
      <c r="CY1318" s="178"/>
      <c r="CZ1318" s="178"/>
      <c r="DA1318" s="150"/>
    </row>
    <row r="1319" spans="53:105" x14ac:dyDescent="0.2">
      <c r="BA1319" s="518">
        <f t="shared" ca="1" si="73"/>
        <v>61</v>
      </c>
      <c r="BB1319" s="174">
        <f t="shared" ca="1" si="74"/>
        <v>1256</v>
      </c>
      <c r="BC1319" s="525" t="e">
        <f ca="1">MATCH(BD1319,OFFSET(Pinlist!$A$2,BC1318*(BA1319=BA1318),0,$BM$23,1),0)+BC1318*(BA1319=BA1318)</f>
        <v>#N/A</v>
      </c>
      <c r="BD1319" s="167">
        <f t="shared" ca="1" si="75"/>
        <v>0</v>
      </c>
      <c r="BE1319" s="191" t="e">
        <f ca="1">(OFFSET(Pinlist!$E$1,BC1319,0)-$BN$16)*$BN$19</f>
        <v>#N/A</v>
      </c>
      <c r="BF1319" s="192" t="e">
        <f ca="1">(OFFSET(Pinlist!$F$1,BC1319,0)-$BO$16)*$BO$19</f>
        <v>#N/A</v>
      </c>
      <c r="BG1319" s="1098" t="str">
        <f ca="1">IF(LEFT(BD1319,2)="RF",OFFSET(Pinlist!$D$1,Chart!BC1319,0)&amp;"_"&amp;OFFSET(Pinlist!$G$1,Chart!BC1319,0),"")</f>
        <v/>
      </c>
      <c r="BH1319" s="1098"/>
      <c r="BI1319" s="178"/>
      <c r="BJ1319" s="178"/>
      <c r="BK1319" s="178"/>
      <c r="BL1319" s="178"/>
      <c r="BM1319" s="178"/>
      <c r="BN1319" s="178"/>
      <c r="BO1319" s="178"/>
      <c r="BP1319" s="178"/>
      <c r="BQ1319" s="196"/>
      <c r="BR1319" s="196"/>
      <c r="BS1319" s="196"/>
      <c r="BT1319" s="196"/>
      <c r="BU1319" s="196"/>
      <c r="BV1319" s="196"/>
      <c r="BW1319" s="178"/>
      <c r="BX1319" s="196"/>
      <c r="BY1319" s="196"/>
      <c r="BZ1319" s="196"/>
      <c r="CA1319" s="196"/>
      <c r="CB1319" s="178"/>
      <c r="CC1319" s="178"/>
      <c r="CD1319" s="202"/>
      <c r="CE1319" s="202"/>
      <c r="CF1319" s="178"/>
      <c r="CG1319" s="196"/>
      <c r="CH1319" s="178"/>
      <c r="CI1319" s="178"/>
      <c r="CJ1319" s="178"/>
      <c r="CK1319" s="178"/>
      <c r="CL1319" s="178"/>
      <c r="CM1319" s="178"/>
      <c r="CN1319" s="178"/>
      <c r="CO1319" s="178"/>
      <c r="CP1319" s="178"/>
      <c r="CQ1319" s="178"/>
      <c r="CR1319" s="178"/>
      <c r="CS1319" s="178"/>
      <c r="CT1319" s="178"/>
      <c r="CU1319" s="178"/>
      <c r="CV1319" s="178"/>
      <c r="CW1319" s="178"/>
      <c r="CX1319" s="178"/>
      <c r="CY1319" s="178"/>
      <c r="CZ1319" s="178"/>
      <c r="DA1319" s="150"/>
    </row>
    <row r="1320" spans="53:105" x14ac:dyDescent="0.2">
      <c r="BA1320" s="518">
        <f t="shared" ca="1" si="73"/>
        <v>61</v>
      </c>
      <c r="BB1320" s="174">
        <f t="shared" ca="1" si="74"/>
        <v>1257</v>
      </c>
      <c r="BC1320" s="525" t="e">
        <f ca="1">MATCH(BD1320,OFFSET(Pinlist!$A$2,BC1319*(BA1320=BA1319),0,$BM$23,1),0)+BC1319*(BA1320=BA1319)</f>
        <v>#N/A</v>
      </c>
      <c r="BD1320" s="167">
        <f t="shared" ca="1" si="75"/>
        <v>0</v>
      </c>
      <c r="BE1320" s="191" t="e">
        <f ca="1">(OFFSET(Pinlist!$E$1,BC1320,0)-$BN$16)*$BN$19</f>
        <v>#N/A</v>
      </c>
      <c r="BF1320" s="192" t="e">
        <f ca="1">(OFFSET(Pinlist!$F$1,BC1320,0)-$BO$16)*$BO$19</f>
        <v>#N/A</v>
      </c>
      <c r="BG1320" s="1098" t="str">
        <f ca="1">IF(LEFT(BD1320,2)="RF",OFFSET(Pinlist!$D$1,Chart!BC1320,0)&amp;"_"&amp;OFFSET(Pinlist!$G$1,Chart!BC1320,0),"")</f>
        <v/>
      </c>
      <c r="BH1320" s="1098"/>
      <c r="BI1320" s="178"/>
      <c r="BJ1320" s="178"/>
      <c r="BK1320" s="178"/>
      <c r="BL1320" s="178"/>
      <c r="BM1320" s="178"/>
      <c r="BN1320" s="178"/>
      <c r="BO1320" s="178"/>
      <c r="BP1320" s="178"/>
      <c r="BQ1320" s="196"/>
      <c r="BR1320" s="196"/>
      <c r="BS1320" s="196"/>
      <c r="BT1320" s="196"/>
      <c r="BU1320" s="196"/>
      <c r="BV1320" s="196"/>
      <c r="BW1320" s="178"/>
      <c r="BX1320" s="196"/>
      <c r="BY1320" s="196"/>
      <c r="BZ1320" s="196"/>
      <c r="CA1320" s="196"/>
      <c r="CB1320" s="178"/>
      <c r="CC1320" s="178"/>
      <c r="CD1320" s="202"/>
      <c r="CE1320" s="202"/>
      <c r="CF1320" s="178"/>
      <c r="CG1320" s="196"/>
      <c r="CH1320" s="178"/>
      <c r="CI1320" s="178"/>
      <c r="CJ1320" s="178"/>
      <c r="CK1320" s="178"/>
      <c r="CL1320" s="178"/>
      <c r="CM1320" s="178"/>
      <c r="CN1320" s="178"/>
      <c r="CO1320" s="178"/>
      <c r="CP1320" s="178"/>
      <c r="CQ1320" s="178"/>
      <c r="CR1320" s="178"/>
      <c r="CS1320" s="178"/>
      <c r="CT1320" s="178"/>
      <c r="CU1320" s="178"/>
      <c r="CV1320" s="178"/>
      <c r="CW1320" s="178"/>
      <c r="CX1320" s="178"/>
      <c r="CY1320" s="178"/>
      <c r="CZ1320" s="178"/>
      <c r="DA1320" s="150"/>
    </row>
    <row r="1321" spans="53:105" x14ac:dyDescent="0.2">
      <c r="BA1321" s="518">
        <f t="shared" ca="1" si="73"/>
        <v>61</v>
      </c>
      <c r="BB1321" s="174">
        <f t="shared" ca="1" si="74"/>
        <v>1258</v>
      </c>
      <c r="BC1321" s="525" t="e">
        <f ca="1">MATCH(BD1321,OFFSET(Pinlist!$A$2,BC1320*(BA1321=BA1320),0,$BM$23,1),0)+BC1320*(BA1321=BA1320)</f>
        <v>#N/A</v>
      </c>
      <c r="BD1321" s="167">
        <f t="shared" ca="1" si="75"/>
        <v>0</v>
      </c>
      <c r="BE1321" s="191" t="e">
        <f ca="1">(OFFSET(Pinlist!$E$1,BC1321,0)-$BN$16)*$BN$19</f>
        <v>#N/A</v>
      </c>
      <c r="BF1321" s="192" t="e">
        <f ca="1">(OFFSET(Pinlist!$F$1,BC1321,0)-$BO$16)*$BO$19</f>
        <v>#N/A</v>
      </c>
      <c r="BG1321" s="1098" t="str">
        <f ca="1">IF(LEFT(BD1321,2)="RF",OFFSET(Pinlist!$D$1,Chart!BC1321,0)&amp;"_"&amp;OFFSET(Pinlist!$G$1,Chart!BC1321,0),"")</f>
        <v/>
      </c>
      <c r="BH1321" s="1098"/>
      <c r="BI1321" s="178"/>
      <c r="BJ1321" s="178"/>
      <c r="BK1321" s="178"/>
      <c r="BL1321" s="178"/>
      <c r="BM1321" s="178"/>
      <c r="BN1321" s="178"/>
      <c r="BO1321" s="178"/>
      <c r="BP1321" s="178"/>
      <c r="BQ1321" s="196"/>
      <c r="BR1321" s="196"/>
      <c r="BS1321" s="196"/>
      <c r="BT1321" s="196"/>
      <c r="BU1321" s="196"/>
      <c r="BV1321" s="196"/>
      <c r="BW1321" s="178"/>
      <c r="BX1321" s="196"/>
      <c r="BY1321" s="196"/>
      <c r="BZ1321" s="196"/>
      <c r="CA1321" s="196"/>
      <c r="CB1321" s="178"/>
      <c r="CC1321" s="178"/>
      <c r="CD1321" s="202"/>
      <c r="CE1321" s="202"/>
      <c r="CF1321" s="178"/>
      <c r="CG1321" s="196"/>
      <c r="CH1321" s="178"/>
      <c r="CI1321" s="178"/>
      <c r="CJ1321" s="178"/>
      <c r="CK1321" s="178"/>
      <c r="CL1321" s="178"/>
      <c r="CM1321" s="178"/>
      <c r="CN1321" s="178"/>
      <c r="CO1321" s="178"/>
      <c r="CP1321" s="178"/>
      <c r="CQ1321" s="178"/>
      <c r="CR1321" s="178"/>
      <c r="CS1321" s="178"/>
      <c r="CT1321" s="178"/>
      <c r="CU1321" s="178"/>
      <c r="CV1321" s="178"/>
      <c r="CW1321" s="178"/>
      <c r="CX1321" s="178"/>
      <c r="CY1321" s="178"/>
      <c r="CZ1321" s="178"/>
      <c r="DA1321" s="150"/>
    </row>
    <row r="1322" spans="53:105" x14ac:dyDescent="0.2">
      <c r="BA1322" s="518">
        <f t="shared" ca="1" si="73"/>
        <v>61</v>
      </c>
      <c r="BB1322" s="174">
        <f t="shared" ca="1" si="74"/>
        <v>1259</v>
      </c>
      <c r="BC1322" s="525" t="e">
        <f ca="1">MATCH(BD1322,OFFSET(Pinlist!$A$2,BC1321*(BA1322=BA1321),0,$BM$23,1),0)+BC1321*(BA1322=BA1321)</f>
        <v>#N/A</v>
      </c>
      <c r="BD1322" s="167">
        <f t="shared" ca="1" si="75"/>
        <v>0</v>
      </c>
      <c r="BE1322" s="191" t="e">
        <f ca="1">(OFFSET(Pinlist!$E$1,BC1322,0)-$BN$16)*$BN$19</f>
        <v>#N/A</v>
      </c>
      <c r="BF1322" s="192" t="e">
        <f ca="1">(OFFSET(Pinlist!$F$1,BC1322,0)-$BO$16)*$BO$19</f>
        <v>#N/A</v>
      </c>
      <c r="BG1322" s="1098" t="str">
        <f ca="1">IF(LEFT(BD1322,2)="RF",OFFSET(Pinlist!$D$1,Chart!BC1322,0)&amp;"_"&amp;OFFSET(Pinlist!$G$1,Chart!BC1322,0),"")</f>
        <v/>
      </c>
      <c r="BH1322" s="1098"/>
      <c r="BI1322" s="178"/>
      <c r="BJ1322" s="178"/>
      <c r="BK1322" s="178"/>
      <c r="BL1322" s="178"/>
      <c r="BM1322" s="178"/>
      <c r="BN1322" s="178"/>
      <c r="BO1322" s="178"/>
      <c r="BP1322" s="178"/>
      <c r="BQ1322" s="196"/>
      <c r="BR1322" s="196"/>
      <c r="BS1322" s="196"/>
      <c r="BT1322" s="196"/>
      <c r="BU1322" s="196"/>
      <c r="BV1322" s="196"/>
      <c r="BW1322" s="178"/>
      <c r="BX1322" s="196"/>
      <c r="BY1322" s="196"/>
      <c r="BZ1322" s="196"/>
      <c r="CA1322" s="196"/>
      <c r="CB1322" s="178"/>
      <c r="CC1322" s="178"/>
      <c r="CD1322" s="202"/>
      <c r="CE1322" s="202"/>
      <c r="CF1322" s="178"/>
      <c r="CG1322" s="196"/>
      <c r="CH1322" s="178"/>
      <c r="CI1322" s="178"/>
      <c r="CJ1322" s="178"/>
      <c r="CK1322" s="178"/>
      <c r="CL1322" s="178"/>
      <c r="CM1322" s="178"/>
      <c r="CN1322" s="178"/>
      <c r="CO1322" s="178"/>
      <c r="CP1322" s="178"/>
      <c r="CQ1322" s="178"/>
      <c r="CR1322" s="178"/>
      <c r="CS1322" s="178"/>
      <c r="CT1322" s="178"/>
      <c r="CU1322" s="178"/>
      <c r="CV1322" s="178"/>
      <c r="CW1322" s="178"/>
      <c r="CX1322" s="178"/>
      <c r="CY1322" s="178"/>
      <c r="CZ1322" s="178"/>
      <c r="DA1322" s="150"/>
    </row>
    <row r="1323" spans="53:105" x14ac:dyDescent="0.2">
      <c r="BA1323" s="518">
        <f t="shared" ca="1" si="73"/>
        <v>61</v>
      </c>
      <c r="BB1323" s="174">
        <f t="shared" ca="1" si="74"/>
        <v>1260</v>
      </c>
      <c r="BC1323" s="525" t="e">
        <f ca="1">MATCH(BD1323,OFFSET(Pinlist!$A$2,BC1322*(BA1323=BA1322),0,$BM$23,1),0)+BC1322*(BA1323=BA1322)</f>
        <v>#N/A</v>
      </c>
      <c r="BD1323" s="167">
        <f t="shared" ca="1" si="75"/>
        <v>0</v>
      </c>
      <c r="BE1323" s="191" t="e">
        <f ca="1">(OFFSET(Pinlist!$E$1,BC1323,0)-$BN$16)*$BN$19</f>
        <v>#N/A</v>
      </c>
      <c r="BF1323" s="192" t="e">
        <f ca="1">(OFFSET(Pinlist!$F$1,BC1323,0)-$BO$16)*$BO$19</f>
        <v>#N/A</v>
      </c>
      <c r="BG1323" s="1098" t="str">
        <f ca="1">IF(LEFT(BD1323,2)="RF",OFFSET(Pinlist!$D$1,Chart!BC1323,0)&amp;"_"&amp;OFFSET(Pinlist!$G$1,Chart!BC1323,0),"")</f>
        <v/>
      </c>
      <c r="BH1323" s="1098"/>
      <c r="BI1323" s="178"/>
      <c r="BJ1323" s="178"/>
      <c r="BK1323" s="178"/>
      <c r="BL1323" s="178"/>
      <c r="BM1323" s="178"/>
      <c r="BN1323" s="178"/>
      <c r="BO1323" s="178"/>
      <c r="BP1323" s="178"/>
      <c r="BQ1323" s="196"/>
      <c r="BR1323" s="196"/>
      <c r="BS1323" s="196"/>
      <c r="BT1323" s="196"/>
      <c r="BU1323" s="196"/>
      <c r="BV1323" s="196"/>
      <c r="BW1323" s="178"/>
      <c r="BX1323" s="196"/>
      <c r="BY1323" s="196"/>
      <c r="BZ1323" s="196"/>
      <c r="CA1323" s="196"/>
      <c r="CB1323" s="178"/>
      <c r="CC1323" s="178"/>
      <c r="CD1323" s="202"/>
      <c r="CE1323" s="202"/>
      <c r="CF1323" s="178"/>
      <c r="CG1323" s="196"/>
      <c r="CH1323" s="178"/>
      <c r="CI1323" s="178"/>
      <c r="CJ1323" s="178"/>
      <c r="CK1323" s="178"/>
      <c r="CL1323" s="178"/>
      <c r="CM1323" s="178"/>
      <c r="CN1323" s="178"/>
      <c r="CO1323" s="178"/>
      <c r="CP1323" s="178"/>
      <c r="CQ1323" s="178"/>
      <c r="CR1323" s="178"/>
      <c r="CS1323" s="178"/>
      <c r="CT1323" s="178"/>
      <c r="CU1323" s="178"/>
      <c r="CV1323" s="178"/>
      <c r="CW1323" s="178"/>
      <c r="CX1323" s="178"/>
      <c r="CY1323" s="178"/>
      <c r="CZ1323" s="178"/>
      <c r="DA1323" s="150"/>
    </row>
    <row r="1324" spans="53:105" x14ac:dyDescent="0.2">
      <c r="BA1324" s="518">
        <f t="shared" ca="1" si="73"/>
        <v>61</v>
      </c>
      <c r="BB1324" s="174">
        <f t="shared" ca="1" si="74"/>
        <v>1261</v>
      </c>
      <c r="BC1324" s="525" t="e">
        <f ca="1">MATCH(BD1324,OFFSET(Pinlist!$A$2,BC1323*(BA1324=BA1323),0,$BM$23,1),0)+BC1323*(BA1324=BA1323)</f>
        <v>#N/A</v>
      </c>
      <c r="BD1324" s="167">
        <f t="shared" ca="1" si="75"/>
        <v>0</v>
      </c>
      <c r="BE1324" s="191" t="e">
        <f ca="1">(OFFSET(Pinlist!$E$1,BC1324,0)-$BN$16)*$BN$19</f>
        <v>#N/A</v>
      </c>
      <c r="BF1324" s="192" t="e">
        <f ca="1">(OFFSET(Pinlist!$F$1,BC1324,0)-$BO$16)*$BO$19</f>
        <v>#N/A</v>
      </c>
      <c r="BG1324" s="1098" t="str">
        <f ca="1">IF(LEFT(BD1324,2)="RF",OFFSET(Pinlist!$D$1,Chart!BC1324,0)&amp;"_"&amp;OFFSET(Pinlist!$G$1,Chart!BC1324,0),"")</f>
        <v/>
      </c>
      <c r="BH1324" s="1098"/>
      <c r="BI1324" s="178"/>
      <c r="BJ1324" s="178"/>
      <c r="BK1324" s="178"/>
      <c r="BL1324" s="178"/>
      <c r="BM1324" s="178"/>
      <c r="BN1324" s="178"/>
      <c r="BO1324" s="178"/>
      <c r="BP1324" s="178"/>
      <c r="BQ1324" s="196"/>
      <c r="BR1324" s="196"/>
      <c r="BS1324" s="196"/>
      <c r="BT1324" s="196"/>
      <c r="BU1324" s="196"/>
      <c r="BV1324" s="196"/>
      <c r="BW1324" s="178"/>
      <c r="BX1324" s="196"/>
      <c r="BY1324" s="196"/>
      <c r="BZ1324" s="196"/>
      <c r="CA1324" s="196"/>
      <c r="CB1324" s="178"/>
      <c r="CC1324" s="178"/>
      <c r="CD1324" s="202"/>
      <c r="CE1324" s="202"/>
      <c r="CF1324" s="178"/>
      <c r="CG1324" s="196"/>
      <c r="CH1324" s="178"/>
      <c r="CI1324" s="178"/>
      <c r="CJ1324" s="178"/>
      <c r="CK1324" s="178"/>
      <c r="CL1324" s="178"/>
      <c r="CM1324" s="178"/>
      <c r="CN1324" s="178"/>
      <c r="CO1324" s="178"/>
      <c r="CP1324" s="178"/>
      <c r="CQ1324" s="178"/>
      <c r="CR1324" s="178"/>
      <c r="CS1324" s="178"/>
      <c r="CT1324" s="178"/>
      <c r="CU1324" s="178"/>
      <c r="CV1324" s="178"/>
      <c r="CW1324" s="178"/>
      <c r="CX1324" s="178"/>
      <c r="CY1324" s="178"/>
      <c r="CZ1324" s="178"/>
      <c r="DA1324" s="150"/>
    </row>
    <row r="1325" spans="53:105" x14ac:dyDescent="0.2">
      <c r="BA1325" s="518">
        <f t="shared" ca="1" si="73"/>
        <v>61</v>
      </c>
      <c r="BB1325" s="174">
        <f t="shared" ca="1" si="74"/>
        <v>1262</v>
      </c>
      <c r="BC1325" s="525" t="e">
        <f ca="1">MATCH(BD1325,OFFSET(Pinlist!$A$2,BC1324*(BA1325=BA1324),0,$BM$23,1),0)+BC1324*(BA1325=BA1324)</f>
        <v>#N/A</v>
      </c>
      <c r="BD1325" s="167">
        <f t="shared" ca="1" si="75"/>
        <v>0</v>
      </c>
      <c r="BE1325" s="191" t="e">
        <f ca="1">(OFFSET(Pinlist!$E$1,BC1325,0)-$BN$16)*$BN$19</f>
        <v>#N/A</v>
      </c>
      <c r="BF1325" s="192" t="e">
        <f ca="1">(OFFSET(Pinlist!$F$1,BC1325,0)-$BO$16)*$BO$19</f>
        <v>#N/A</v>
      </c>
      <c r="BG1325" s="1098" t="str">
        <f ca="1">IF(LEFT(BD1325,2)="RF",OFFSET(Pinlist!$D$1,Chart!BC1325,0)&amp;"_"&amp;OFFSET(Pinlist!$G$1,Chart!BC1325,0),"")</f>
        <v/>
      </c>
      <c r="BH1325" s="1098"/>
      <c r="BI1325" s="178"/>
      <c r="BJ1325" s="178"/>
      <c r="BK1325" s="178"/>
      <c r="BL1325" s="178"/>
      <c r="BM1325" s="178"/>
      <c r="BN1325" s="178"/>
      <c r="BO1325" s="178"/>
      <c r="BP1325" s="178"/>
      <c r="BQ1325" s="196"/>
      <c r="BR1325" s="196"/>
      <c r="BS1325" s="196"/>
      <c r="BT1325" s="196"/>
      <c r="BU1325" s="196"/>
      <c r="BV1325" s="196"/>
      <c r="BW1325" s="178"/>
      <c r="BX1325" s="196"/>
      <c r="BY1325" s="196"/>
      <c r="BZ1325" s="196"/>
      <c r="CA1325" s="196"/>
      <c r="CB1325" s="178"/>
      <c r="CC1325" s="178"/>
      <c r="CD1325" s="202"/>
      <c r="CE1325" s="202"/>
      <c r="CF1325" s="178"/>
      <c r="CG1325" s="196"/>
      <c r="CH1325" s="178"/>
      <c r="CI1325" s="178"/>
      <c r="CJ1325" s="178"/>
      <c r="CK1325" s="178"/>
      <c r="CL1325" s="178"/>
      <c r="CM1325" s="178"/>
      <c r="CN1325" s="178"/>
      <c r="CO1325" s="178"/>
      <c r="CP1325" s="178"/>
      <c r="CQ1325" s="178"/>
      <c r="CR1325" s="178"/>
      <c r="CS1325" s="178"/>
      <c r="CT1325" s="178"/>
      <c r="CU1325" s="178"/>
      <c r="CV1325" s="178"/>
      <c r="CW1325" s="178"/>
      <c r="CX1325" s="178"/>
      <c r="CY1325" s="178"/>
      <c r="CZ1325" s="178"/>
      <c r="DA1325" s="150"/>
    </row>
    <row r="1326" spans="53:105" x14ac:dyDescent="0.2">
      <c r="BA1326" s="518">
        <f t="shared" ca="1" si="73"/>
        <v>61</v>
      </c>
      <c r="BB1326" s="174">
        <f t="shared" ca="1" si="74"/>
        <v>1263</v>
      </c>
      <c r="BC1326" s="525" t="e">
        <f ca="1">MATCH(BD1326,OFFSET(Pinlist!$A$2,BC1325*(BA1326=BA1325),0,$BM$23,1),0)+BC1325*(BA1326=BA1325)</f>
        <v>#N/A</v>
      </c>
      <c r="BD1326" s="167">
        <f t="shared" ca="1" si="75"/>
        <v>0</v>
      </c>
      <c r="BE1326" s="191" t="e">
        <f ca="1">(OFFSET(Pinlist!$E$1,BC1326,0)-$BN$16)*$BN$19</f>
        <v>#N/A</v>
      </c>
      <c r="BF1326" s="192" t="e">
        <f ca="1">(OFFSET(Pinlist!$F$1,BC1326,0)-$BO$16)*$BO$19</f>
        <v>#N/A</v>
      </c>
      <c r="BG1326" s="1098" t="str">
        <f ca="1">IF(LEFT(BD1326,2)="RF",OFFSET(Pinlist!$D$1,Chart!BC1326,0)&amp;"_"&amp;OFFSET(Pinlist!$G$1,Chart!BC1326,0),"")</f>
        <v/>
      </c>
      <c r="BH1326" s="1098"/>
      <c r="BI1326" s="178"/>
      <c r="BJ1326" s="178"/>
      <c r="BK1326" s="178"/>
      <c r="BL1326" s="178"/>
      <c r="BM1326" s="178"/>
      <c r="BN1326" s="178"/>
      <c r="BO1326" s="178"/>
      <c r="BP1326" s="178"/>
      <c r="BQ1326" s="196"/>
      <c r="BR1326" s="196"/>
      <c r="BS1326" s="196"/>
      <c r="BT1326" s="196"/>
      <c r="BU1326" s="196"/>
      <c r="BV1326" s="196"/>
      <c r="BW1326" s="178"/>
      <c r="BX1326" s="196"/>
      <c r="BY1326" s="196"/>
      <c r="BZ1326" s="196"/>
      <c r="CA1326" s="196"/>
      <c r="CB1326" s="178"/>
      <c r="CC1326" s="178"/>
      <c r="CD1326" s="202"/>
      <c r="CE1326" s="202"/>
      <c r="CF1326" s="178"/>
      <c r="CG1326" s="196"/>
      <c r="CH1326" s="178"/>
      <c r="CI1326" s="178"/>
      <c r="CJ1326" s="178"/>
      <c r="CK1326" s="178"/>
      <c r="CL1326" s="178"/>
      <c r="CM1326" s="178"/>
      <c r="CN1326" s="178"/>
      <c r="CO1326" s="178"/>
      <c r="CP1326" s="178"/>
      <c r="CQ1326" s="178"/>
      <c r="CR1326" s="178"/>
      <c r="CS1326" s="178"/>
      <c r="CT1326" s="178"/>
      <c r="CU1326" s="178"/>
      <c r="CV1326" s="178"/>
      <c r="CW1326" s="178"/>
      <c r="CX1326" s="178"/>
      <c r="CY1326" s="178"/>
      <c r="CZ1326" s="178"/>
      <c r="DA1326" s="150"/>
    </row>
    <row r="1327" spans="53:105" x14ac:dyDescent="0.2">
      <c r="BA1327" s="518">
        <f t="shared" ca="1" si="73"/>
        <v>61</v>
      </c>
      <c r="BB1327" s="174">
        <f t="shared" ca="1" si="74"/>
        <v>1264</v>
      </c>
      <c r="BC1327" s="525" t="e">
        <f ca="1">MATCH(BD1327,OFFSET(Pinlist!$A$2,BC1326*(BA1327=BA1326),0,$BM$23,1),0)+BC1326*(BA1327=BA1326)</f>
        <v>#N/A</v>
      </c>
      <c r="BD1327" s="167">
        <f t="shared" ca="1" si="75"/>
        <v>0</v>
      </c>
      <c r="BE1327" s="191" t="e">
        <f ca="1">(OFFSET(Pinlist!$E$1,BC1327,0)-$BN$16)*$BN$19</f>
        <v>#N/A</v>
      </c>
      <c r="BF1327" s="192" t="e">
        <f ca="1">(OFFSET(Pinlist!$F$1,BC1327,0)-$BO$16)*$BO$19</f>
        <v>#N/A</v>
      </c>
      <c r="BG1327" s="1098" t="str">
        <f ca="1">IF(LEFT(BD1327,2)="RF",OFFSET(Pinlist!$D$1,Chart!BC1327,0)&amp;"_"&amp;OFFSET(Pinlist!$G$1,Chart!BC1327,0),"")</f>
        <v/>
      </c>
      <c r="BH1327" s="1098"/>
      <c r="BI1327" s="178"/>
      <c r="BJ1327" s="178"/>
      <c r="BK1327" s="178"/>
      <c r="BL1327" s="178"/>
      <c r="BM1327" s="178"/>
      <c r="BN1327" s="178"/>
      <c r="BO1327" s="178"/>
      <c r="BP1327" s="178"/>
      <c r="BQ1327" s="196"/>
      <c r="BR1327" s="196"/>
      <c r="BS1327" s="196"/>
      <c r="BT1327" s="196"/>
      <c r="BU1327" s="196"/>
      <c r="BV1327" s="196"/>
      <c r="BW1327" s="178"/>
      <c r="BX1327" s="196"/>
      <c r="BY1327" s="196"/>
      <c r="BZ1327" s="196"/>
      <c r="CA1327" s="196"/>
      <c r="CB1327" s="178"/>
      <c r="CC1327" s="178"/>
      <c r="CD1327" s="202"/>
      <c r="CE1327" s="202"/>
      <c r="CF1327" s="178"/>
      <c r="CG1327" s="196"/>
      <c r="CH1327" s="178"/>
      <c r="CI1327" s="178"/>
      <c r="CJ1327" s="178"/>
      <c r="CK1327" s="178"/>
      <c r="CL1327" s="178"/>
      <c r="CM1327" s="178"/>
      <c r="CN1327" s="178"/>
      <c r="CO1327" s="178"/>
      <c r="CP1327" s="178"/>
      <c r="CQ1327" s="178"/>
      <c r="CR1327" s="178"/>
      <c r="CS1327" s="178"/>
      <c r="CT1327" s="178"/>
      <c r="CU1327" s="178"/>
      <c r="CV1327" s="178"/>
      <c r="CW1327" s="178"/>
      <c r="CX1327" s="178"/>
      <c r="CY1327" s="178"/>
      <c r="CZ1327" s="178"/>
      <c r="DA1327" s="150"/>
    </row>
    <row r="1328" spans="53:105" x14ac:dyDescent="0.2">
      <c r="BA1328" s="518">
        <f t="shared" ca="1" si="73"/>
        <v>61</v>
      </c>
      <c r="BB1328" s="174">
        <f t="shared" ca="1" si="74"/>
        <v>1265</v>
      </c>
      <c r="BC1328" s="525" t="e">
        <f ca="1">MATCH(BD1328,OFFSET(Pinlist!$A$2,BC1327*(BA1328=BA1327),0,$BM$23,1),0)+BC1327*(BA1328=BA1327)</f>
        <v>#N/A</v>
      </c>
      <c r="BD1328" s="167">
        <f t="shared" ca="1" si="75"/>
        <v>0</v>
      </c>
      <c r="BE1328" s="191" t="e">
        <f ca="1">(OFFSET(Pinlist!$E$1,BC1328,0)-$BN$16)*$BN$19</f>
        <v>#N/A</v>
      </c>
      <c r="BF1328" s="192" t="e">
        <f ca="1">(OFFSET(Pinlist!$F$1,BC1328,0)-$BO$16)*$BO$19</f>
        <v>#N/A</v>
      </c>
      <c r="BG1328" s="1098" t="str">
        <f ca="1">IF(LEFT(BD1328,2)="RF",OFFSET(Pinlist!$D$1,Chart!BC1328,0)&amp;"_"&amp;OFFSET(Pinlist!$G$1,Chart!BC1328,0),"")</f>
        <v/>
      </c>
      <c r="BH1328" s="1098"/>
      <c r="BI1328" s="178"/>
      <c r="BJ1328" s="178"/>
      <c r="BK1328" s="178"/>
      <c r="BL1328" s="178"/>
      <c r="BM1328" s="178"/>
      <c r="BN1328" s="178"/>
      <c r="BO1328" s="178"/>
      <c r="BP1328" s="178"/>
      <c r="BQ1328" s="196"/>
      <c r="BR1328" s="196"/>
      <c r="BS1328" s="196"/>
      <c r="BT1328" s="196"/>
      <c r="BU1328" s="196"/>
      <c r="BV1328" s="196"/>
      <c r="BW1328" s="178"/>
      <c r="BX1328" s="196"/>
      <c r="BY1328" s="196"/>
      <c r="BZ1328" s="196"/>
      <c r="CA1328" s="196"/>
      <c r="CB1328" s="178"/>
      <c r="CC1328" s="178"/>
      <c r="CD1328" s="202"/>
      <c r="CE1328" s="202"/>
      <c r="CF1328" s="178"/>
      <c r="CG1328" s="196"/>
      <c r="CH1328" s="178"/>
      <c r="CI1328" s="178"/>
      <c r="CJ1328" s="178"/>
      <c r="CK1328" s="178"/>
      <c r="CL1328" s="178"/>
      <c r="CM1328" s="178"/>
      <c r="CN1328" s="178"/>
      <c r="CO1328" s="178"/>
      <c r="CP1328" s="178"/>
      <c r="CQ1328" s="178"/>
      <c r="CR1328" s="178"/>
      <c r="CS1328" s="178"/>
      <c r="CT1328" s="178"/>
      <c r="CU1328" s="178"/>
      <c r="CV1328" s="178"/>
      <c r="CW1328" s="178"/>
      <c r="CX1328" s="178"/>
      <c r="CY1328" s="178"/>
      <c r="CZ1328" s="178"/>
      <c r="DA1328" s="150"/>
    </row>
    <row r="1329" spans="53:105" x14ac:dyDescent="0.2">
      <c r="BA1329" s="518">
        <f t="shared" ca="1" si="73"/>
        <v>61</v>
      </c>
      <c r="BB1329" s="174">
        <f t="shared" ca="1" si="74"/>
        <v>1266</v>
      </c>
      <c r="BC1329" s="525" t="e">
        <f ca="1">MATCH(BD1329,OFFSET(Pinlist!$A$2,BC1328*(BA1329=BA1328),0,$BM$23,1),0)+BC1328*(BA1329=BA1328)</f>
        <v>#N/A</v>
      </c>
      <c r="BD1329" s="167">
        <f t="shared" ca="1" si="75"/>
        <v>0</v>
      </c>
      <c r="BE1329" s="191" t="e">
        <f ca="1">(OFFSET(Pinlist!$E$1,BC1329,0)-$BN$16)*$BN$19</f>
        <v>#N/A</v>
      </c>
      <c r="BF1329" s="192" t="e">
        <f ca="1">(OFFSET(Pinlist!$F$1,BC1329,0)-$BO$16)*$BO$19</f>
        <v>#N/A</v>
      </c>
      <c r="BG1329" s="1098" t="str">
        <f ca="1">IF(LEFT(BD1329,2)="RF",OFFSET(Pinlist!$D$1,Chart!BC1329,0)&amp;"_"&amp;OFFSET(Pinlist!$G$1,Chart!BC1329,0),"")</f>
        <v/>
      </c>
      <c r="BH1329" s="1098"/>
      <c r="BI1329" s="178"/>
      <c r="BJ1329" s="178"/>
      <c r="BK1329" s="178"/>
      <c r="BL1329" s="178"/>
      <c r="BM1329" s="178"/>
      <c r="BN1329" s="178"/>
      <c r="BO1329" s="178"/>
      <c r="BP1329" s="178"/>
      <c r="BQ1329" s="196"/>
      <c r="BR1329" s="196"/>
      <c r="BS1329" s="196"/>
      <c r="BT1329" s="196"/>
      <c r="BU1329" s="196"/>
      <c r="BV1329" s="196"/>
      <c r="BW1329" s="178"/>
      <c r="BX1329" s="196"/>
      <c r="BY1329" s="196"/>
      <c r="BZ1329" s="196"/>
      <c r="CA1329" s="196"/>
      <c r="CB1329" s="178"/>
      <c r="CC1329" s="178"/>
      <c r="CD1329" s="202"/>
      <c r="CE1329" s="202"/>
      <c r="CF1329" s="178"/>
      <c r="CG1329" s="196"/>
      <c r="CH1329" s="178"/>
      <c r="CI1329" s="178"/>
      <c r="CJ1329" s="178"/>
      <c r="CK1329" s="178"/>
      <c r="CL1329" s="178"/>
      <c r="CM1329" s="178"/>
      <c r="CN1329" s="178"/>
      <c r="CO1329" s="178"/>
      <c r="CP1329" s="178"/>
      <c r="CQ1329" s="178"/>
      <c r="CR1329" s="178"/>
      <c r="CS1329" s="178"/>
      <c r="CT1329" s="178"/>
      <c r="CU1329" s="178"/>
      <c r="CV1329" s="178"/>
      <c r="CW1329" s="178"/>
      <c r="CX1329" s="178"/>
      <c r="CY1329" s="178"/>
      <c r="CZ1329" s="178"/>
      <c r="DA1329" s="150"/>
    </row>
    <row r="1330" spans="53:105" x14ac:dyDescent="0.2">
      <c r="BA1330" s="518">
        <f t="shared" ca="1" si="73"/>
        <v>61</v>
      </c>
      <c r="BB1330" s="174">
        <f t="shared" ca="1" si="74"/>
        <v>1267</v>
      </c>
      <c r="BC1330" s="525" t="e">
        <f ca="1">MATCH(BD1330,OFFSET(Pinlist!$A$2,BC1329*(BA1330=BA1329),0,$BM$23,1),0)+BC1329*(BA1330=BA1329)</f>
        <v>#N/A</v>
      </c>
      <c r="BD1330" s="167">
        <f t="shared" ca="1" si="75"/>
        <v>0</v>
      </c>
      <c r="BE1330" s="191" t="e">
        <f ca="1">(OFFSET(Pinlist!$E$1,BC1330,0)-$BN$16)*$BN$19</f>
        <v>#N/A</v>
      </c>
      <c r="BF1330" s="192" t="e">
        <f ca="1">(OFFSET(Pinlist!$F$1,BC1330,0)-$BO$16)*$BO$19</f>
        <v>#N/A</v>
      </c>
      <c r="BG1330" s="1098" t="str">
        <f ca="1">IF(LEFT(BD1330,2)="RF",OFFSET(Pinlist!$D$1,Chart!BC1330,0)&amp;"_"&amp;OFFSET(Pinlist!$G$1,Chart!BC1330,0),"")</f>
        <v/>
      </c>
      <c r="BH1330" s="1098"/>
      <c r="BI1330" s="178"/>
      <c r="BJ1330" s="178"/>
      <c r="BK1330" s="178"/>
      <c r="BL1330" s="178"/>
      <c r="BM1330" s="178"/>
      <c r="BN1330" s="178"/>
      <c r="BO1330" s="178"/>
      <c r="BP1330" s="178"/>
      <c r="BQ1330" s="196"/>
      <c r="BR1330" s="196"/>
      <c r="BS1330" s="196"/>
      <c r="BT1330" s="196"/>
      <c r="BU1330" s="196"/>
      <c r="BV1330" s="196"/>
      <c r="BW1330" s="178"/>
      <c r="BX1330" s="196"/>
      <c r="BY1330" s="196"/>
      <c r="BZ1330" s="196"/>
      <c r="CA1330" s="196"/>
      <c r="CB1330" s="178"/>
      <c r="CC1330" s="178"/>
      <c r="CD1330" s="202"/>
      <c r="CE1330" s="202"/>
      <c r="CF1330" s="178"/>
      <c r="CG1330" s="196"/>
      <c r="CH1330" s="178"/>
      <c r="CI1330" s="178"/>
      <c r="CJ1330" s="178"/>
      <c r="CK1330" s="178"/>
      <c r="CL1330" s="178"/>
      <c r="CM1330" s="178"/>
      <c r="CN1330" s="178"/>
      <c r="CO1330" s="178"/>
      <c r="CP1330" s="178"/>
      <c r="CQ1330" s="178"/>
      <c r="CR1330" s="178"/>
      <c r="CS1330" s="178"/>
      <c r="CT1330" s="178"/>
      <c r="CU1330" s="178"/>
      <c r="CV1330" s="178"/>
      <c r="CW1330" s="178"/>
      <c r="CX1330" s="178"/>
      <c r="CY1330" s="178"/>
      <c r="CZ1330" s="178"/>
      <c r="DA1330" s="150"/>
    </row>
    <row r="1331" spans="53:105" x14ac:dyDescent="0.2">
      <c r="BA1331" s="518">
        <f t="shared" ca="1" si="73"/>
        <v>61</v>
      </c>
      <c r="BB1331" s="174">
        <f t="shared" ca="1" si="74"/>
        <v>1268</v>
      </c>
      <c r="BC1331" s="525" t="e">
        <f ca="1">MATCH(BD1331,OFFSET(Pinlist!$A$2,BC1330*(BA1331=BA1330),0,$BM$23,1),0)+BC1330*(BA1331=BA1330)</f>
        <v>#N/A</v>
      </c>
      <c r="BD1331" s="167">
        <f t="shared" ca="1" si="75"/>
        <v>0</v>
      </c>
      <c r="BE1331" s="191" t="e">
        <f ca="1">(OFFSET(Pinlist!$E$1,BC1331,0)-$BN$16)*$BN$19</f>
        <v>#N/A</v>
      </c>
      <c r="BF1331" s="192" t="e">
        <f ca="1">(OFFSET(Pinlist!$F$1,BC1331,0)-$BO$16)*$BO$19</f>
        <v>#N/A</v>
      </c>
      <c r="BG1331" s="1098" t="str">
        <f ca="1">IF(LEFT(BD1331,2)="RF",OFFSET(Pinlist!$D$1,Chart!BC1331,0)&amp;"_"&amp;OFFSET(Pinlist!$G$1,Chart!BC1331,0),"")</f>
        <v/>
      </c>
      <c r="BH1331" s="1098"/>
      <c r="BI1331" s="178"/>
      <c r="BJ1331" s="178"/>
      <c r="BK1331" s="178"/>
      <c r="BL1331" s="178"/>
      <c r="BM1331" s="178"/>
      <c r="BN1331" s="178"/>
      <c r="BO1331" s="178"/>
      <c r="BP1331" s="178"/>
      <c r="BQ1331" s="196"/>
      <c r="BR1331" s="196"/>
      <c r="BS1331" s="196"/>
      <c r="BT1331" s="196"/>
      <c r="BU1331" s="196"/>
      <c r="BV1331" s="196"/>
      <c r="BW1331" s="178"/>
      <c r="BX1331" s="196"/>
      <c r="BY1331" s="196"/>
      <c r="BZ1331" s="196"/>
      <c r="CA1331" s="196"/>
      <c r="CB1331" s="178"/>
      <c r="CC1331" s="178"/>
      <c r="CD1331" s="202"/>
      <c r="CE1331" s="202"/>
      <c r="CF1331" s="178"/>
      <c r="CG1331" s="196"/>
      <c r="CH1331" s="178"/>
      <c r="CI1331" s="178"/>
      <c r="CJ1331" s="178"/>
      <c r="CK1331" s="178"/>
      <c r="CL1331" s="178"/>
      <c r="CM1331" s="178"/>
      <c r="CN1331" s="178"/>
      <c r="CO1331" s="178"/>
      <c r="CP1331" s="178"/>
      <c r="CQ1331" s="178"/>
      <c r="CR1331" s="178"/>
      <c r="CS1331" s="178"/>
      <c r="CT1331" s="178"/>
      <c r="CU1331" s="178"/>
      <c r="CV1331" s="178"/>
      <c r="CW1331" s="178"/>
      <c r="CX1331" s="178"/>
      <c r="CY1331" s="178"/>
      <c r="CZ1331" s="178"/>
      <c r="DA1331" s="150"/>
    </row>
    <row r="1332" spans="53:105" x14ac:dyDescent="0.2">
      <c r="BA1332" s="518">
        <f t="shared" ca="1" si="73"/>
        <v>61</v>
      </c>
      <c r="BB1332" s="174">
        <f t="shared" ca="1" si="74"/>
        <v>1269</v>
      </c>
      <c r="BC1332" s="525" t="e">
        <f ca="1">MATCH(BD1332,OFFSET(Pinlist!$A$2,BC1331*(BA1332=BA1331),0,$BM$23,1),0)+BC1331*(BA1332=BA1331)</f>
        <v>#N/A</v>
      </c>
      <c r="BD1332" s="167">
        <f t="shared" ca="1" si="75"/>
        <v>0</v>
      </c>
      <c r="BE1332" s="191" t="e">
        <f ca="1">(OFFSET(Pinlist!$E$1,BC1332,0)-$BN$16)*$BN$19</f>
        <v>#N/A</v>
      </c>
      <c r="BF1332" s="192" t="e">
        <f ca="1">(OFFSET(Pinlist!$F$1,BC1332,0)-$BO$16)*$BO$19</f>
        <v>#N/A</v>
      </c>
      <c r="BG1332" s="1098" t="str">
        <f ca="1">IF(LEFT(BD1332,2)="RF",OFFSET(Pinlist!$D$1,Chart!BC1332,0)&amp;"_"&amp;OFFSET(Pinlist!$G$1,Chart!BC1332,0),"")</f>
        <v/>
      </c>
      <c r="BH1332" s="1098"/>
      <c r="BI1332" s="178"/>
      <c r="BJ1332" s="178"/>
      <c r="BK1332" s="178"/>
      <c r="BL1332" s="178"/>
      <c r="BM1332" s="178"/>
      <c r="BN1332" s="178"/>
      <c r="BO1332" s="178"/>
      <c r="BP1332" s="178"/>
      <c r="BQ1332" s="196"/>
      <c r="BR1332" s="196"/>
      <c r="BS1332" s="196"/>
      <c r="BT1332" s="196"/>
      <c r="BU1332" s="196"/>
      <c r="BV1332" s="196"/>
      <c r="BW1332" s="178"/>
      <c r="BX1332" s="196"/>
      <c r="BY1332" s="196"/>
      <c r="BZ1332" s="196"/>
      <c r="CA1332" s="196"/>
      <c r="CB1332" s="178"/>
      <c r="CC1332" s="178"/>
      <c r="CD1332" s="202"/>
      <c r="CE1332" s="202"/>
      <c r="CF1332" s="178"/>
      <c r="CG1332" s="196"/>
      <c r="CH1332" s="178"/>
      <c r="CI1332" s="178"/>
      <c r="CJ1332" s="178"/>
      <c r="CK1332" s="178"/>
      <c r="CL1332" s="178"/>
      <c r="CM1332" s="178"/>
      <c r="CN1332" s="178"/>
      <c r="CO1332" s="178"/>
      <c r="CP1332" s="178"/>
      <c r="CQ1332" s="178"/>
      <c r="CR1332" s="178"/>
      <c r="CS1332" s="178"/>
      <c r="CT1332" s="178"/>
      <c r="CU1332" s="178"/>
      <c r="CV1332" s="178"/>
      <c r="CW1332" s="178"/>
      <c r="CX1332" s="178"/>
      <c r="CY1332" s="178"/>
      <c r="CZ1332" s="178"/>
      <c r="DA1332" s="150"/>
    </row>
    <row r="1333" spans="53:105" x14ac:dyDescent="0.2">
      <c r="BA1333" s="518">
        <f t="shared" ca="1" si="73"/>
        <v>61</v>
      </c>
      <c r="BB1333" s="174">
        <f t="shared" ca="1" si="74"/>
        <v>1270</v>
      </c>
      <c r="BC1333" s="525" t="e">
        <f ca="1">MATCH(BD1333,OFFSET(Pinlist!$A$2,BC1332*(BA1333=BA1332),0,$BM$23,1),0)+BC1332*(BA1333=BA1332)</f>
        <v>#N/A</v>
      </c>
      <c r="BD1333" s="167">
        <f t="shared" ca="1" si="75"/>
        <v>0</v>
      </c>
      <c r="BE1333" s="191" t="e">
        <f ca="1">(OFFSET(Pinlist!$E$1,BC1333,0)-$BN$16)*$BN$19</f>
        <v>#N/A</v>
      </c>
      <c r="BF1333" s="192" t="e">
        <f ca="1">(OFFSET(Pinlist!$F$1,BC1333,0)-$BO$16)*$BO$19</f>
        <v>#N/A</v>
      </c>
      <c r="BG1333" s="1098" t="str">
        <f ca="1">IF(LEFT(BD1333,2)="RF",OFFSET(Pinlist!$D$1,Chart!BC1333,0)&amp;"_"&amp;OFFSET(Pinlist!$G$1,Chart!BC1333,0),"")</f>
        <v/>
      </c>
      <c r="BH1333" s="1098"/>
      <c r="BI1333" s="178"/>
      <c r="BJ1333" s="178"/>
      <c r="BK1333" s="178"/>
      <c r="BL1333" s="178"/>
      <c r="BM1333" s="178"/>
      <c r="BN1333" s="178"/>
      <c r="BO1333" s="178"/>
      <c r="BP1333" s="178"/>
      <c r="BQ1333" s="196"/>
      <c r="BR1333" s="196"/>
      <c r="BS1333" s="196"/>
      <c r="BT1333" s="196"/>
      <c r="BU1333" s="196"/>
      <c r="BV1333" s="196"/>
      <c r="BW1333" s="178"/>
      <c r="BX1333" s="196"/>
      <c r="BY1333" s="196"/>
      <c r="BZ1333" s="196"/>
      <c r="CA1333" s="196"/>
      <c r="CB1333" s="178"/>
      <c r="CC1333" s="178"/>
      <c r="CD1333" s="202"/>
      <c r="CE1333" s="202"/>
      <c r="CF1333" s="178"/>
      <c r="CG1333" s="196"/>
      <c r="CH1333" s="178"/>
      <c r="CI1333" s="178"/>
      <c r="CJ1333" s="178"/>
      <c r="CK1333" s="178"/>
      <c r="CL1333" s="178"/>
      <c r="CM1333" s="178"/>
      <c r="CN1333" s="178"/>
      <c r="CO1333" s="178"/>
      <c r="CP1333" s="178"/>
      <c r="CQ1333" s="178"/>
      <c r="CR1333" s="178"/>
      <c r="CS1333" s="178"/>
      <c r="CT1333" s="178"/>
      <c r="CU1333" s="178"/>
      <c r="CV1333" s="178"/>
      <c r="CW1333" s="178"/>
      <c r="CX1333" s="178"/>
      <c r="CY1333" s="178"/>
      <c r="CZ1333" s="178"/>
      <c r="DA1333" s="150"/>
    </row>
    <row r="1334" spans="53:105" x14ac:dyDescent="0.2">
      <c r="BA1334" s="518">
        <f t="shared" ca="1" si="73"/>
        <v>61</v>
      </c>
      <c r="BB1334" s="174">
        <f t="shared" ca="1" si="74"/>
        <v>1271</v>
      </c>
      <c r="BC1334" s="525" t="e">
        <f ca="1">MATCH(BD1334,OFFSET(Pinlist!$A$2,BC1333*(BA1334=BA1333),0,$BM$23,1),0)+BC1333*(BA1334=BA1333)</f>
        <v>#N/A</v>
      </c>
      <c r="BD1334" s="167">
        <f t="shared" ca="1" si="75"/>
        <v>0</v>
      </c>
      <c r="BE1334" s="191" t="e">
        <f ca="1">(OFFSET(Pinlist!$E$1,BC1334,0)-$BN$16)*$BN$19</f>
        <v>#N/A</v>
      </c>
      <c r="BF1334" s="192" t="e">
        <f ca="1">(OFFSET(Pinlist!$F$1,BC1334,0)-$BO$16)*$BO$19</f>
        <v>#N/A</v>
      </c>
      <c r="BG1334" s="1098" t="str">
        <f ca="1">IF(LEFT(BD1334,2)="RF",OFFSET(Pinlist!$D$1,Chart!BC1334,0)&amp;"_"&amp;OFFSET(Pinlist!$G$1,Chart!BC1334,0),"")</f>
        <v/>
      </c>
      <c r="BH1334" s="1098"/>
      <c r="BI1334" s="178"/>
      <c r="BJ1334" s="178"/>
      <c r="BK1334" s="178"/>
      <c r="BL1334" s="178"/>
      <c r="BM1334" s="178"/>
      <c r="BN1334" s="178"/>
      <c r="BO1334" s="178"/>
      <c r="BP1334" s="178"/>
      <c r="BQ1334" s="196"/>
      <c r="BR1334" s="196"/>
      <c r="BS1334" s="196"/>
      <c r="BT1334" s="196"/>
      <c r="BU1334" s="196"/>
      <c r="BV1334" s="196"/>
      <c r="BW1334" s="178"/>
      <c r="BX1334" s="196"/>
      <c r="BY1334" s="196"/>
      <c r="BZ1334" s="196"/>
      <c r="CA1334" s="196"/>
      <c r="CB1334" s="178"/>
      <c r="CC1334" s="178"/>
      <c r="CD1334" s="202"/>
      <c r="CE1334" s="202"/>
      <c r="CF1334" s="178"/>
      <c r="CG1334" s="196"/>
      <c r="CH1334" s="178"/>
      <c r="CI1334" s="178"/>
      <c r="CJ1334" s="178"/>
      <c r="CK1334" s="178"/>
      <c r="CL1334" s="178"/>
      <c r="CM1334" s="178"/>
      <c r="CN1334" s="178"/>
      <c r="CO1334" s="178"/>
      <c r="CP1334" s="178"/>
      <c r="CQ1334" s="178"/>
      <c r="CR1334" s="178"/>
      <c r="CS1334" s="178"/>
      <c r="CT1334" s="178"/>
      <c r="CU1334" s="178"/>
      <c r="CV1334" s="178"/>
      <c r="CW1334" s="178"/>
      <c r="CX1334" s="178"/>
      <c r="CY1334" s="178"/>
      <c r="CZ1334" s="178"/>
      <c r="DA1334" s="150"/>
    </row>
    <row r="1335" spans="53:105" x14ac:dyDescent="0.2">
      <c r="BA1335" s="518">
        <f t="shared" ca="1" si="73"/>
        <v>61</v>
      </c>
      <c r="BB1335" s="174">
        <f t="shared" ca="1" si="74"/>
        <v>1272</v>
      </c>
      <c r="BC1335" s="525" t="e">
        <f ca="1">MATCH(BD1335,OFFSET(Pinlist!$A$2,BC1334*(BA1335=BA1334),0,$BM$23,1),0)+BC1334*(BA1335=BA1334)</f>
        <v>#N/A</v>
      </c>
      <c r="BD1335" s="167">
        <f t="shared" ca="1" si="75"/>
        <v>0</v>
      </c>
      <c r="BE1335" s="191" t="e">
        <f ca="1">(OFFSET(Pinlist!$E$1,BC1335,0)-$BN$16)*$BN$19</f>
        <v>#N/A</v>
      </c>
      <c r="BF1335" s="192" t="e">
        <f ca="1">(OFFSET(Pinlist!$F$1,BC1335,0)-$BO$16)*$BO$19</f>
        <v>#N/A</v>
      </c>
      <c r="BG1335" s="1098" t="str">
        <f ca="1">IF(LEFT(BD1335,2)="RF",OFFSET(Pinlist!$D$1,Chart!BC1335,0)&amp;"_"&amp;OFFSET(Pinlist!$G$1,Chart!BC1335,0),"")</f>
        <v/>
      </c>
      <c r="BH1335" s="1098"/>
      <c r="BI1335" s="178"/>
      <c r="BJ1335" s="178"/>
      <c r="BK1335" s="178"/>
      <c r="BL1335" s="178"/>
      <c r="BM1335" s="178"/>
      <c r="BN1335" s="178"/>
      <c r="BO1335" s="178"/>
      <c r="BP1335" s="178"/>
      <c r="BQ1335" s="196"/>
      <c r="BR1335" s="196"/>
      <c r="BS1335" s="196"/>
      <c r="BT1335" s="196"/>
      <c r="BU1335" s="196"/>
      <c r="BV1335" s="196"/>
      <c r="BW1335" s="178"/>
      <c r="BX1335" s="196"/>
      <c r="BY1335" s="196"/>
      <c r="BZ1335" s="196"/>
      <c r="CA1335" s="196"/>
      <c r="CB1335" s="178"/>
      <c r="CC1335" s="178"/>
      <c r="CD1335" s="202"/>
      <c r="CE1335" s="202"/>
      <c r="CF1335" s="178"/>
      <c r="CG1335" s="196"/>
      <c r="CH1335" s="178"/>
      <c r="CI1335" s="178"/>
      <c r="CJ1335" s="178"/>
      <c r="CK1335" s="178"/>
      <c r="CL1335" s="178"/>
      <c r="CM1335" s="178"/>
      <c r="CN1335" s="178"/>
      <c r="CO1335" s="178"/>
      <c r="CP1335" s="178"/>
      <c r="CQ1335" s="178"/>
      <c r="CR1335" s="178"/>
      <c r="CS1335" s="178"/>
      <c r="CT1335" s="178"/>
      <c r="CU1335" s="178"/>
      <c r="CV1335" s="178"/>
      <c r="CW1335" s="178"/>
      <c r="CX1335" s="178"/>
      <c r="CY1335" s="178"/>
      <c r="CZ1335" s="178"/>
      <c r="DA1335" s="150"/>
    </row>
    <row r="1336" spans="53:105" x14ac:dyDescent="0.2">
      <c r="BA1336" s="518">
        <f t="shared" ca="1" si="73"/>
        <v>61</v>
      </c>
      <c r="BB1336" s="174">
        <f t="shared" ca="1" si="74"/>
        <v>1273</v>
      </c>
      <c r="BC1336" s="525" t="e">
        <f ca="1">MATCH(BD1336,OFFSET(Pinlist!$A$2,BC1335*(BA1336=BA1335),0,$BM$23,1),0)+BC1335*(BA1336=BA1335)</f>
        <v>#N/A</v>
      </c>
      <c r="BD1336" s="167">
        <f t="shared" ca="1" si="75"/>
        <v>0</v>
      </c>
      <c r="BE1336" s="191" t="e">
        <f ca="1">(OFFSET(Pinlist!$E$1,BC1336,0)-$BN$16)*$BN$19</f>
        <v>#N/A</v>
      </c>
      <c r="BF1336" s="192" t="e">
        <f ca="1">(OFFSET(Pinlist!$F$1,BC1336,0)-$BO$16)*$BO$19</f>
        <v>#N/A</v>
      </c>
      <c r="BG1336" s="1098" t="str">
        <f ca="1">IF(LEFT(BD1336,2)="RF",OFFSET(Pinlist!$D$1,Chart!BC1336,0)&amp;"_"&amp;OFFSET(Pinlist!$G$1,Chart!BC1336,0),"")</f>
        <v/>
      </c>
      <c r="BH1336" s="1098"/>
      <c r="BI1336" s="178"/>
      <c r="BJ1336" s="178"/>
      <c r="BK1336" s="178"/>
      <c r="BL1336" s="178"/>
      <c r="BM1336" s="178"/>
      <c r="BN1336" s="178"/>
      <c r="BO1336" s="178"/>
      <c r="BP1336" s="178"/>
      <c r="BQ1336" s="196"/>
      <c r="BR1336" s="196"/>
      <c r="BS1336" s="196"/>
      <c r="BT1336" s="196"/>
      <c r="BU1336" s="196"/>
      <c r="BV1336" s="196"/>
      <c r="BW1336" s="178"/>
      <c r="BX1336" s="196"/>
      <c r="BY1336" s="196"/>
      <c r="BZ1336" s="196"/>
      <c r="CA1336" s="196"/>
      <c r="CB1336" s="178"/>
      <c r="CC1336" s="178"/>
      <c r="CD1336" s="202"/>
      <c r="CE1336" s="202"/>
      <c r="CF1336" s="178"/>
      <c r="CG1336" s="196"/>
      <c r="CH1336" s="178"/>
      <c r="CI1336" s="178"/>
      <c r="CJ1336" s="178"/>
      <c r="CK1336" s="178"/>
      <c r="CL1336" s="178"/>
      <c r="CM1336" s="178"/>
      <c r="CN1336" s="178"/>
      <c r="CO1336" s="178"/>
      <c r="CP1336" s="178"/>
      <c r="CQ1336" s="178"/>
      <c r="CR1336" s="178"/>
      <c r="CS1336" s="178"/>
      <c r="CT1336" s="178"/>
      <c r="CU1336" s="178"/>
      <c r="CV1336" s="178"/>
      <c r="CW1336" s="178"/>
      <c r="CX1336" s="178"/>
      <c r="CY1336" s="178"/>
      <c r="CZ1336" s="178"/>
      <c r="DA1336" s="150"/>
    </row>
    <row r="1337" spans="53:105" x14ac:dyDescent="0.2">
      <c r="BA1337" s="518">
        <f t="shared" ca="1" si="73"/>
        <v>61</v>
      </c>
      <c r="BB1337" s="174">
        <f t="shared" ca="1" si="74"/>
        <v>1274</v>
      </c>
      <c r="BC1337" s="525" t="e">
        <f ca="1">MATCH(BD1337,OFFSET(Pinlist!$A$2,BC1336*(BA1337=BA1336),0,$BM$23,1),0)+BC1336*(BA1337=BA1336)</f>
        <v>#N/A</v>
      </c>
      <c r="BD1337" s="167">
        <f t="shared" ca="1" si="75"/>
        <v>0</v>
      </c>
      <c r="BE1337" s="191" t="e">
        <f ca="1">(OFFSET(Pinlist!$E$1,BC1337,0)-$BN$16)*$BN$19</f>
        <v>#N/A</v>
      </c>
      <c r="BF1337" s="192" t="e">
        <f ca="1">(OFFSET(Pinlist!$F$1,BC1337,0)-$BO$16)*$BO$19</f>
        <v>#N/A</v>
      </c>
      <c r="BG1337" s="1098" t="str">
        <f ca="1">IF(LEFT(BD1337,2)="RF",OFFSET(Pinlist!$D$1,Chart!BC1337,0)&amp;"_"&amp;OFFSET(Pinlist!$G$1,Chart!BC1337,0),"")</f>
        <v/>
      </c>
      <c r="BH1337" s="1098"/>
      <c r="BI1337" s="178"/>
      <c r="BJ1337" s="178"/>
      <c r="BK1337" s="178"/>
      <c r="BL1337" s="178"/>
      <c r="BM1337" s="178"/>
      <c r="BN1337" s="178"/>
      <c r="BO1337" s="178"/>
      <c r="BP1337" s="178"/>
      <c r="BQ1337" s="196"/>
      <c r="BR1337" s="196"/>
      <c r="BS1337" s="196"/>
      <c r="BT1337" s="196"/>
      <c r="BU1337" s="196"/>
      <c r="BV1337" s="196"/>
      <c r="BW1337" s="178"/>
      <c r="BX1337" s="196"/>
      <c r="BY1337" s="196"/>
      <c r="BZ1337" s="196"/>
      <c r="CA1337" s="196"/>
      <c r="CB1337" s="178"/>
      <c r="CC1337" s="178"/>
      <c r="CD1337" s="202"/>
      <c r="CE1337" s="202"/>
      <c r="CF1337" s="178"/>
      <c r="CG1337" s="196"/>
      <c r="CH1337" s="178"/>
      <c r="CI1337" s="178"/>
      <c r="CJ1337" s="178"/>
      <c r="CK1337" s="178"/>
      <c r="CL1337" s="178"/>
      <c r="CM1337" s="178"/>
      <c r="CN1337" s="178"/>
      <c r="CO1337" s="178"/>
      <c r="CP1337" s="178"/>
      <c r="CQ1337" s="178"/>
      <c r="CR1337" s="178"/>
      <c r="CS1337" s="178"/>
      <c r="CT1337" s="178"/>
      <c r="CU1337" s="178"/>
      <c r="CV1337" s="178"/>
      <c r="CW1337" s="178"/>
      <c r="CX1337" s="178"/>
      <c r="CY1337" s="178"/>
      <c r="CZ1337" s="178"/>
      <c r="DA1337" s="150"/>
    </row>
    <row r="1338" spans="53:105" x14ac:dyDescent="0.2">
      <c r="BA1338" s="518">
        <f t="shared" ca="1" si="73"/>
        <v>61</v>
      </c>
      <c r="BB1338" s="174">
        <f t="shared" ca="1" si="74"/>
        <v>1275</v>
      </c>
      <c r="BC1338" s="525" t="e">
        <f ca="1">MATCH(BD1338,OFFSET(Pinlist!$A$2,BC1337*(BA1338=BA1337),0,$BM$23,1),0)+BC1337*(BA1338=BA1337)</f>
        <v>#N/A</v>
      </c>
      <c r="BD1338" s="167">
        <f t="shared" ca="1" si="75"/>
        <v>0</v>
      </c>
      <c r="BE1338" s="191" t="e">
        <f ca="1">(OFFSET(Pinlist!$E$1,BC1338,0)-$BN$16)*$BN$19</f>
        <v>#N/A</v>
      </c>
      <c r="BF1338" s="192" t="e">
        <f ca="1">(OFFSET(Pinlist!$F$1,BC1338,0)-$BO$16)*$BO$19</f>
        <v>#N/A</v>
      </c>
      <c r="BG1338" s="1098" t="str">
        <f ca="1">IF(LEFT(BD1338,2)="RF",OFFSET(Pinlist!$D$1,Chart!BC1338,0)&amp;"_"&amp;OFFSET(Pinlist!$G$1,Chart!BC1338,0),"")</f>
        <v/>
      </c>
      <c r="BH1338" s="1098"/>
      <c r="BI1338" s="178"/>
      <c r="BJ1338" s="178"/>
      <c r="BK1338" s="178"/>
      <c r="BL1338" s="178"/>
      <c r="BM1338" s="178"/>
      <c r="BN1338" s="178"/>
      <c r="BO1338" s="178"/>
      <c r="BP1338" s="178"/>
      <c r="BQ1338" s="196"/>
      <c r="BR1338" s="196"/>
      <c r="BS1338" s="196"/>
      <c r="BT1338" s="196"/>
      <c r="BU1338" s="196"/>
      <c r="BV1338" s="196"/>
      <c r="BW1338" s="178"/>
      <c r="BX1338" s="196"/>
      <c r="BY1338" s="196"/>
      <c r="BZ1338" s="196"/>
      <c r="CA1338" s="196"/>
      <c r="CB1338" s="178"/>
      <c r="CC1338" s="178"/>
      <c r="CD1338" s="202"/>
      <c r="CE1338" s="202"/>
      <c r="CF1338" s="178"/>
      <c r="CG1338" s="196"/>
      <c r="CH1338" s="178"/>
      <c r="CI1338" s="178"/>
      <c r="CJ1338" s="178"/>
      <c r="CK1338" s="178"/>
      <c r="CL1338" s="178"/>
      <c r="CM1338" s="178"/>
      <c r="CN1338" s="178"/>
      <c r="CO1338" s="178"/>
      <c r="CP1338" s="178"/>
      <c r="CQ1338" s="178"/>
      <c r="CR1338" s="178"/>
      <c r="CS1338" s="178"/>
      <c r="CT1338" s="178"/>
      <c r="CU1338" s="178"/>
      <c r="CV1338" s="178"/>
      <c r="CW1338" s="178"/>
      <c r="CX1338" s="178"/>
      <c r="CY1338" s="178"/>
      <c r="CZ1338" s="178"/>
      <c r="DA1338" s="150"/>
    </row>
    <row r="1339" spans="53:105" x14ac:dyDescent="0.2">
      <c r="BA1339" s="518">
        <f t="shared" ca="1" si="73"/>
        <v>61</v>
      </c>
      <c r="BB1339" s="174">
        <f t="shared" ca="1" si="74"/>
        <v>1276</v>
      </c>
      <c r="BC1339" s="525" t="e">
        <f ca="1">MATCH(BD1339,OFFSET(Pinlist!$A$2,BC1338*(BA1339=BA1338),0,$BM$23,1),0)+BC1338*(BA1339=BA1338)</f>
        <v>#N/A</v>
      </c>
      <c r="BD1339" s="167">
        <f t="shared" ca="1" si="75"/>
        <v>0</v>
      </c>
      <c r="BE1339" s="191" t="e">
        <f ca="1">(OFFSET(Pinlist!$E$1,BC1339,0)-$BN$16)*$BN$19</f>
        <v>#N/A</v>
      </c>
      <c r="BF1339" s="192" t="e">
        <f ca="1">(OFFSET(Pinlist!$F$1,BC1339,0)-$BO$16)*$BO$19</f>
        <v>#N/A</v>
      </c>
      <c r="BG1339" s="1098" t="str">
        <f ca="1">IF(LEFT(BD1339,2)="RF",OFFSET(Pinlist!$D$1,Chart!BC1339,0)&amp;"_"&amp;OFFSET(Pinlist!$G$1,Chart!BC1339,0),"")</f>
        <v/>
      </c>
      <c r="BH1339" s="1098"/>
      <c r="BI1339" s="178"/>
      <c r="BJ1339" s="178"/>
      <c r="BK1339" s="178"/>
      <c r="BL1339" s="178"/>
      <c r="BM1339" s="178"/>
      <c r="BN1339" s="178"/>
      <c r="BO1339" s="178"/>
      <c r="BP1339" s="178"/>
      <c r="BQ1339" s="196"/>
      <c r="BR1339" s="196"/>
      <c r="BS1339" s="196"/>
      <c r="BT1339" s="196"/>
      <c r="BU1339" s="196"/>
      <c r="BV1339" s="196"/>
      <c r="BW1339" s="178"/>
      <c r="BX1339" s="196"/>
      <c r="BY1339" s="196"/>
      <c r="BZ1339" s="196"/>
      <c r="CA1339" s="196"/>
      <c r="CB1339" s="178"/>
      <c r="CC1339" s="178"/>
      <c r="CD1339" s="202"/>
      <c r="CE1339" s="202"/>
      <c r="CF1339" s="178"/>
      <c r="CG1339" s="196"/>
      <c r="CH1339" s="178"/>
      <c r="CI1339" s="178"/>
      <c r="CJ1339" s="178"/>
      <c r="CK1339" s="178"/>
      <c r="CL1339" s="178"/>
      <c r="CM1339" s="178"/>
      <c r="CN1339" s="178"/>
      <c r="CO1339" s="178"/>
      <c r="CP1339" s="178"/>
      <c r="CQ1339" s="178"/>
      <c r="CR1339" s="178"/>
      <c r="CS1339" s="178"/>
      <c r="CT1339" s="178"/>
      <c r="CU1339" s="178"/>
      <c r="CV1339" s="178"/>
      <c r="CW1339" s="178"/>
      <c r="CX1339" s="178"/>
      <c r="CY1339" s="178"/>
      <c r="CZ1339" s="178"/>
      <c r="DA1339" s="150"/>
    </row>
    <row r="1340" spans="53:105" x14ac:dyDescent="0.2">
      <c r="BA1340" s="518">
        <f t="shared" ca="1" si="73"/>
        <v>61</v>
      </c>
      <c r="BB1340" s="174">
        <f t="shared" ca="1" si="74"/>
        <v>1277</v>
      </c>
      <c r="BC1340" s="525" t="e">
        <f ca="1">MATCH(BD1340,OFFSET(Pinlist!$A$2,BC1339*(BA1340=BA1339),0,$BM$23,1),0)+BC1339*(BA1340=BA1339)</f>
        <v>#N/A</v>
      </c>
      <c r="BD1340" s="167">
        <f t="shared" ca="1" si="75"/>
        <v>0</v>
      </c>
      <c r="BE1340" s="191" t="e">
        <f ca="1">(OFFSET(Pinlist!$E$1,BC1340,0)-$BN$16)*$BN$19</f>
        <v>#N/A</v>
      </c>
      <c r="BF1340" s="192" t="e">
        <f ca="1">(OFFSET(Pinlist!$F$1,BC1340,0)-$BO$16)*$BO$19</f>
        <v>#N/A</v>
      </c>
      <c r="BG1340" s="1098" t="str">
        <f ca="1">IF(LEFT(BD1340,2)="RF",OFFSET(Pinlist!$D$1,Chart!BC1340,0)&amp;"_"&amp;OFFSET(Pinlist!$G$1,Chart!BC1340,0),"")</f>
        <v/>
      </c>
      <c r="BH1340" s="1098"/>
      <c r="BI1340" s="178"/>
      <c r="BJ1340" s="178"/>
      <c r="BK1340" s="178"/>
      <c r="BL1340" s="178"/>
      <c r="BM1340" s="178"/>
      <c r="BN1340" s="178"/>
      <c r="BO1340" s="178"/>
      <c r="BP1340" s="178"/>
      <c r="BQ1340" s="196"/>
      <c r="BR1340" s="196"/>
      <c r="BS1340" s="196"/>
      <c r="BT1340" s="196"/>
      <c r="BU1340" s="196"/>
      <c r="BV1340" s="196"/>
      <c r="BW1340" s="178"/>
      <c r="BX1340" s="196"/>
      <c r="BY1340" s="196"/>
      <c r="BZ1340" s="196"/>
      <c r="CA1340" s="196"/>
      <c r="CB1340" s="178"/>
      <c r="CC1340" s="178"/>
      <c r="CD1340" s="202"/>
      <c r="CE1340" s="202"/>
      <c r="CF1340" s="178"/>
      <c r="CG1340" s="196"/>
      <c r="CH1340" s="178"/>
      <c r="CI1340" s="178"/>
      <c r="CJ1340" s="178"/>
      <c r="CK1340" s="178"/>
      <c r="CL1340" s="178"/>
      <c r="CM1340" s="178"/>
      <c r="CN1340" s="178"/>
      <c r="CO1340" s="178"/>
      <c r="CP1340" s="178"/>
      <c r="CQ1340" s="178"/>
      <c r="CR1340" s="178"/>
      <c r="CS1340" s="178"/>
      <c r="CT1340" s="178"/>
      <c r="CU1340" s="178"/>
      <c r="CV1340" s="178"/>
      <c r="CW1340" s="178"/>
      <c r="CX1340" s="178"/>
      <c r="CY1340" s="178"/>
      <c r="CZ1340" s="178"/>
      <c r="DA1340" s="150"/>
    </row>
    <row r="1341" spans="53:105" x14ac:dyDescent="0.2">
      <c r="BA1341" s="518">
        <f t="shared" ca="1" si="73"/>
        <v>61</v>
      </c>
      <c r="BB1341" s="174">
        <f t="shared" ca="1" si="74"/>
        <v>1278</v>
      </c>
      <c r="BC1341" s="525" t="e">
        <f ca="1">MATCH(BD1341,OFFSET(Pinlist!$A$2,BC1340*(BA1341=BA1340),0,$BM$23,1),0)+BC1340*(BA1341=BA1340)</f>
        <v>#N/A</v>
      </c>
      <c r="BD1341" s="167">
        <f t="shared" ca="1" si="75"/>
        <v>0</v>
      </c>
      <c r="BE1341" s="191" t="e">
        <f ca="1">(OFFSET(Pinlist!$E$1,BC1341,0)-$BN$16)*$BN$19</f>
        <v>#N/A</v>
      </c>
      <c r="BF1341" s="192" t="e">
        <f ca="1">(OFFSET(Pinlist!$F$1,BC1341,0)-$BO$16)*$BO$19</f>
        <v>#N/A</v>
      </c>
      <c r="BG1341" s="1098" t="str">
        <f ca="1">IF(LEFT(BD1341,2)="RF",OFFSET(Pinlist!$D$1,Chart!BC1341,0)&amp;"_"&amp;OFFSET(Pinlist!$G$1,Chart!BC1341,0),"")</f>
        <v/>
      </c>
      <c r="BH1341" s="1098"/>
      <c r="BI1341" s="178"/>
      <c r="BJ1341" s="178"/>
      <c r="BK1341" s="178"/>
      <c r="BL1341" s="178"/>
      <c r="BM1341" s="178"/>
      <c r="BN1341" s="178"/>
      <c r="BO1341" s="178"/>
      <c r="BP1341" s="178"/>
      <c r="BQ1341" s="196"/>
      <c r="BR1341" s="196"/>
      <c r="BS1341" s="196"/>
      <c r="BT1341" s="196"/>
      <c r="BU1341" s="196"/>
      <c r="BV1341" s="196"/>
      <c r="BW1341" s="178"/>
      <c r="BX1341" s="196"/>
      <c r="BY1341" s="196"/>
      <c r="BZ1341" s="196"/>
      <c r="CA1341" s="196"/>
      <c r="CB1341" s="178"/>
      <c r="CC1341" s="178"/>
      <c r="CD1341" s="202"/>
      <c r="CE1341" s="202"/>
      <c r="CF1341" s="178"/>
      <c r="CG1341" s="196"/>
      <c r="CH1341" s="178"/>
      <c r="CI1341" s="178"/>
      <c r="CJ1341" s="178"/>
      <c r="CK1341" s="178"/>
      <c r="CL1341" s="178"/>
      <c r="CM1341" s="178"/>
      <c r="CN1341" s="178"/>
      <c r="CO1341" s="178"/>
      <c r="CP1341" s="178"/>
      <c r="CQ1341" s="178"/>
      <c r="CR1341" s="178"/>
      <c r="CS1341" s="178"/>
      <c r="CT1341" s="178"/>
      <c r="CU1341" s="178"/>
      <c r="CV1341" s="178"/>
      <c r="CW1341" s="178"/>
      <c r="CX1341" s="178"/>
      <c r="CY1341" s="178"/>
      <c r="CZ1341" s="178"/>
      <c r="DA1341" s="150"/>
    </row>
    <row r="1342" spans="53:105" x14ac:dyDescent="0.2">
      <c r="BA1342" s="518">
        <f t="shared" ca="1" si="73"/>
        <v>61</v>
      </c>
      <c r="BB1342" s="174">
        <f t="shared" ca="1" si="74"/>
        <v>1279</v>
      </c>
      <c r="BC1342" s="525" t="e">
        <f ca="1">MATCH(BD1342,OFFSET(Pinlist!$A$2,BC1341*(BA1342=BA1341),0,$BM$23,1),0)+BC1341*(BA1342=BA1341)</f>
        <v>#N/A</v>
      </c>
      <c r="BD1342" s="167">
        <f t="shared" ca="1" si="75"/>
        <v>0</v>
      </c>
      <c r="BE1342" s="191" t="e">
        <f ca="1">(OFFSET(Pinlist!$E$1,BC1342,0)-$BN$16)*$BN$19</f>
        <v>#N/A</v>
      </c>
      <c r="BF1342" s="192" t="e">
        <f ca="1">(OFFSET(Pinlist!$F$1,BC1342,0)-$BO$16)*$BO$19</f>
        <v>#N/A</v>
      </c>
      <c r="BG1342" s="1098" t="str">
        <f ca="1">IF(LEFT(BD1342,2)="RF",OFFSET(Pinlist!$D$1,Chart!BC1342,0)&amp;"_"&amp;OFFSET(Pinlist!$G$1,Chart!BC1342,0),"")</f>
        <v/>
      </c>
      <c r="BH1342" s="1098"/>
      <c r="BI1342" s="178"/>
      <c r="BJ1342" s="178"/>
      <c r="BK1342" s="178"/>
      <c r="BL1342" s="178"/>
      <c r="BM1342" s="178"/>
      <c r="BN1342" s="178"/>
      <c r="BO1342" s="178"/>
      <c r="BP1342" s="178"/>
      <c r="BQ1342" s="196"/>
      <c r="BR1342" s="196"/>
      <c r="BS1342" s="196"/>
      <c r="BT1342" s="196"/>
      <c r="BU1342" s="196"/>
      <c r="BV1342" s="196"/>
      <c r="BW1342" s="178"/>
      <c r="BX1342" s="196"/>
      <c r="BY1342" s="196"/>
      <c r="BZ1342" s="196"/>
      <c r="CA1342" s="196"/>
      <c r="CB1342" s="178"/>
      <c r="CC1342" s="178"/>
      <c r="CD1342" s="202"/>
      <c r="CE1342" s="202"/>
      <c r="CF1342" s="178"/>
      <c r="CG1342" s="196"/>
      <c r="CH1342" s="178"/>
      <c r="CI1342" s="178"/>
      <c r="CJ1342" s="178"/>
      <c r="CK1342" s="178"/>
      <c r="CL1342" s="178"/>
      <c r="CM1342" s="178"/>
      <c r="CN1342" s="178"/>
      <c r="CO1342" s="178"/>
      <c r="CP1342" s="178"/>
      <c r="CQ1342" s="178"/>
      <c r="CR1342" s="178"/>
      <c r="CS1342" s="178"/>
      <c r="CT1342" s="178"/>
      <c r="CU1342" s="178"/>
      <c r="CV1342" s="178"/>
      <c r="CW1342" s="178"/>
      <c r="CX1342" s="178"/>
      <c r="CY1342" s="178"/>
      <c r="CZ1342" s="178"/>
      <c r="DA1342" s="150"/>
    </row>
    <row r="1343" spans="53:105" x14ac:dyDescent="0.2">
      <c r="BA1343" s="518">
        <f t="shared" ca="1" si="73"/>
        <v>61</v>
      </c>
      <c r="BB1343" s="174">
        <f t="shared" ca="1" si="74"/>
        <v>1280</v>
      </c>
      <c r="BC1343" s="525" t="e">
        <f ca="1">MATCH(BD1343,OFFSET(Pinlist!$A$2,BC1342*(BA1343=BA1342),0,$BM$23,1),0)+BC1342*(BA1343=BA1342)</f>
        <v>#N/A</v>
      </c>
      <c r="BD1343" s="167">
        <f t="shared" ca="1" si="75"/>
        <v>0</v>
      </c>
      <c r="BE1343" s="191" t="e">
        <f ca="1">(OFFSET(Pinlist!$E$1,BC1343,0)-$BN$16)*$BN$19</f>
        <v>#N/A</v>
      </c>
      <c r="BF1343" s="192" t="e">
        <f ca="1">(OFFSET(Pinlist!$F$1,BC1343,0)-$BO$16)*$BO$19</f>
        <v>#N/A</v>
      </c>
      <c r="BG1343" s="1098" t="str">
        <f ca="1">IF(LEFT(BD1343,2)="RF",OFFSET(Pinlist!$D$1,Chart!BC1343,0)&amp;"_"&amp;OFFSET(Pinlist!$G$1,Chart!BC1343,0),"")</f>
        <v/>
      </c>
      <c r="BH1343" s="1098"/>
      <c r="BI1343" s="178"/>
      <c r="BJ1343" s="178"/>
      <c r="BK1343" s="178"/>
      <c r="BL1343" s="178"/>
      <c r="BM1343" s="178"/>
      <c r="BN1343" s="178"/>
      <c r="BO1343" s="178"/>
      <c r="BP1343" s="178"/>
      <c r="BQ1343" s="196"/>
      <c r="BR1343" s="196"/>
      <c r="BS1343" s="196"/>
      <c r="BT1343" s="196"/>
      <c r="BU1343" s="196"/>
      <c r="BV1343" s="196"/>
      <c r="BW1343" s="178"/>
      <c r="BX1343" s="196"/>
      <c r="BY1343" s="196"/>
      <c r="BZ1343" s="196"/>
      <c r="CA1343" s="196"/>
      <c r="CB1343" s="178"/>
      <c r="CC1343" s="178"/>
      <c r="CD1343" s="202"/>
      <c r="CE1343" s="202"/>
      <c r="CF1343" s="178"/>
      <c r="CG1343" s="196"/>
      <c r="CH1343" s="178"/>
      <c r="CI1343" s="178"/>
      <c r="CJ1343" s="178"/>
      <c r="CK1343" s="178"/>
      <c r="CL1343" s="178"/>
      <c r="CM1343" s="178"/>
      <c r="CN1343" s="178"/>
      <c r="CO1343" s="178"/>
      <c r="CP1343" s="178"/>
      <c r="CQ1343" s="178"/>
      <c r="CR1343" s="178"/>
      <c r="CS1343" s="178"/>
      <c r="CT1343" s="178"/>
      <c r="CU1343" s="178"/>
      <c r="CV1343" s="178"/>
      <c r="CW1343" s="178"/>
      <c r="CX1343" s="178"/>
      <c r="CY1343" s="178"/>
      <c r="CZ1343" s="178"/>
      <c r="DA1343" s="150"/>
    </row>
    <row r="1344" spans="53:105" x14ac:dyDescent="0.2">
      <c r="BA1344" s="518">
        <f t="shared" ca="1" si="73"/>
        <v>61</v>
      </c>
      <c r="BB1344" s="174">
        <f t="shared" ca="1" si="74"/>
        <v>1281</v>
      </c>
      <c r="BC1344" s="525" t="e">
        <f ca="1">MATCH(BD1344,OFFSET(Pinlist!$A$2,BC1343*(BA1344=BA1343),0,$BM$23,1),0)+BC1343*(BA1344=BA1343)</f>
        <v>#N/A</v>
      </c>
      <c r="BD1344" s="167">
        <f t="shared" ca="1" si="75"/>
        <v>0</v>
      </c>
      <c r="BE1344" s="191" t="e">
        <f ca="1">(OFFSET(Pinlist!$E$1,BC1344,0)-$BN$16)*$BN$19</f>
        <v>#N/A</v>
      </c>
      <c r="BF1344" s="192" t="e">
        <f ca="1">(OFFSET(Pinlist!$F$1,BC1344,0)-$BO$16)*$BO$19</f>
        <v>#N/A</v>
      </c>
      <c r="BG1344" s="1098" t="str">
        <f ca="1">IF(LEFT(BD1344,2)="RF",OFFSET(Pinlist!$D$1,Chart!BC1344,0)&amp;"_"&amp;OFFSET(Pinlist!$G$1,Chart!BC1344,0),"")</f>
        <v/>
      </c>
      <c r="BH1344" s="1098"/>
      <c r="BI1344" s="178"/>
      <c r="BJ1344" s="178"/>
      <c r="BK1344" s="178"/>
      <c r="BL1344" s="178"/>
      <c r="BM1344" s="178"/>
      <c r="BN1344" s="178"/>
      <c r="BO1344" s="178"/>
      <c r="BP1344" s="178"/>
      <c r="BQ1344" s="196"/>
      <c r="BR1344" s="196"/>
      <c r="BS1344" s="196"/>
      <c r="BT1344" s="196"/>
      <c r="BU1344" s="196"/>
      <c r="BV1344" s="196"/>
      <c r="BW1344" s="178"/>
      <c r="BX1344" s="196"/>
      <c r="BY1344" s="196"/>
      <c r="BZ1344" s="196"/>
      <c r="CA1344" s="196"/>
      <c r="CB1344" s="178"/>
      <c r="CC1344" s="178"/>
      <c r="CD1344" s="202"/>
      <c r="CE1344" s="202"/>
      <c r="CF1344" s="178"/>
      <c r="CG1344" s="196"/>
      <c r="CH1344" s="178"/>
      <c r="CI1344" s="178"/>
      <c r="CJ1344" s="178"/>
      <c r="CK1344" s="178"/>
      <c r="CL1344" s="178"/>
      <c r="CM1344" s="178"/>
      <c r="CN1344" s="178"/>
      <c r="CO1344" s="178"/>
      <c r="CP1344" s="178"/>
      <c r="CQ1344" s="178"/>
      <c r="CR1344" s="178"/>
      <c r="CS1344" s="178"/>
      <c r="CT1344" s="178"/>
      <c r="CU1344" s="178"/>
      <c r="CV1344" s="178"/>
      <c r="CW1344" s="178"/>
      <c r="CX1344" s="178"/>
      <c r="CY1344" s="178"/>
      <c r="CZ1344" s="178"/>
      <c r="DA1344" s="150"/>
    </row>
    <row r="1345" spans="53:105" x14ac:dyDescent="0.2">
      <c r="BA1345" s="518">
        <f t="shared" ca="1" si="73"/>
        <v>61</v>
      </c>
      <c r="BB1345" s="174">
        <f t="shared" ca="1" si="74"/>
        <v>1282</v>
      </c>
      <c r="BC1345" s="525" t="e">
        <f ca="1">MATCH(BD1345,OFFSET(Pinlist!$A$2,BC1344*(BA1345=BA1344),0,$BM$23,1),0)+BC1344*(BA1345=BA1344)</f>
        <v>#N/A</v>
      </c>
      <c r="BD1345" s="167">
        <f t="shared" ca="1" si="75"/>
        <v>0</v>
      </c>
      <c r="BE1345" s="191" t="e">
        <f ca="1">(OFFSET(Pinlist!$E$1,BC1345,0)-$BN$16)*$BN$19</f>
        <v>#N/A</v>
      </c>
      <c r="BF1345" s="192" t="e">
        <f ca="1">(OFFSET(Pinlist!$F$1,BC1345,0)-$BO$16)*$BO$19</f>
        <v>#N/A</v>
      </c>
      <c r="BG1345" s="1098" t="str">
        <f ca="1">IF(LEFT(BD1345,2)="RF",OFFSET(Pinlist!$D$1,Chart!BC1345,0)&amp;"_"&amp;OFFSET(Pinlist!$G$1,Chart!BC1345,0),"")</f>
        <v/>
      </c>
      <c r="BH1345" s="1098"/>
      <c r="BI1345" s="178"/>
      <c r="BJ1345" s="178"/>
      <c r="BK1345" s="178"/>
      <c r="BL1345" s="178"/>
      <c r="BM1345" s="178"/>
      <c r="BN1345" s="178"/>
      <c r="BO1345" s="178"/>
      <c r="BP1345" s="178"/>
      <c r="BQ1345" s="196"/>
      <c r="BR1345" s="196"/>
      <c r="BS1345" s="196"/>
      <c r="BT1345" s="196"/>
      <c r="BU1345" s="196"/>
      <c r="BV1345" s="196"/>
      <c r="BW1345" s="178"/>
      <c r="BX1345" s="196"/>
      <c r="BY1345" s="196"/>
      <c r="BZ1345" s="196"/>
      <c r="CA1345" s="196"/>
      <c r="CB1345" s="178"/>
      <c r="CC1345" s="178"/>
      <c r="CD1345" s="202"/>
      <c r="CE1345" s="202"/>
      <c r="CF1345" s="178"/>
      <c r="CG1345" s="196"/>
      <c r="CH1345" s="178"/>
      <c r="CI1345" s="178"/>
      <c r="CJ1345" s="178"/>
      <c r="CK1345" s="178"/>
      <c r="CL1345" s="178"/>
      <c r="CM1345" s="178"/>
      <c r="CN1345" s="178"/>
      <c r="CO1345" s="178"/>
      <c r="CP1345" s="178"/>
      <c r="CQ1345" s="178"/>
      <c r="CR1345" s="178"/>
      <c r="CS1345" s="178"/>
      <c r="CT1345" s="178"/>
      <c r="CU1345" s="178"/>
      <c r="CV1345" s="178"/>
      <c r="CW1345" s="178"/>
      <c r="CX1345" s="178"/>
      <c r="CY1345" s="178"/>
      <c r="CZ1345" s="178"/>
      <c r="DA1345" s="150"/>
    </row>
    <row r="1346" spans="53:105" x14ac:dyDescent="0.2">
      <c r="BA1346" s="518">
        <f t="shared" ca="1" si="73"/>
        <v>61</v>
      </c>
      <c r="BB1346" s="174">
        <f t="shared" ca="1" si="74"/>
        <v>1283</v>
      </c>
      <c r="BC1346" s="525" t="e">
        <f ca="1">MATCH(BD1346,OFFSET(Pinlist!$A$2,BC1345*(BA1346=BA1345),0,$BM$23,1),0)+BC1345*(BA1346=BA1345)</f>
        <v>#N/A</v>
      </c>
      <c r="BD1346" s="167">
        <f t="shared" ca="1" si="75"/>
        <v>0</v>
      </c>
      <c r="BE1346" s="191" t="e">
        <f ca="1">(OFFSET(Pinlist!$E$1,BC1346,0)-$BN$16)*$BN$19</f>
        <v>#N/A</v>
      </c>
      <c r="BF1346" s="192" t="e">
        <f ca="1">(OFFSET(Pinlist!$F$1,BC1346,0)-$BO$16)*$BO$19</f>
        <v>#N/A</v>
      </c>
      <c r="BG1346" s="1098" t="str">
        <f ca="1">IF(LEFT(BD1346,2)="RF",OFFSET(Pinlist!$D$1,Chart!BC1346,0)&amp;"_"&amp;OFFSET(Pinlist!$G$1,Chart!BC1346,0),"")</f>
        <v/>
      </c>
      <c r="BH1346" s="1098"/>
      <c r="BI1346" s="178"/>
      <c r="BJ1346" s="178"/>
      <c r="BK1346" s="178"/>
      <c r="BL1346" s="178"/>
      <c r="BM1346" s="178"/>
      <c r="BN1346" s="178"/>
      <c r="BO1346" s="178"/>
      <c r="BP1346" s="178"/>
      <c r="BQ1346" s="196"/>
      <c r="BR1346" s="196"/>
      <c r="BS1346" s="196"/>
      <c r="BT1346" s="196"/>
      <c r="BU1346" s="196"/>
      <c r="BV1346" s="196"/>
      <c r="BW1346" s="178"/>
      <c r="BX1346" s="196"/>
      <c r="BY1346" s="196"/>
      <c r="BZ1346" s="196"/>
      <c r="CA1346" s="196"/>
      <c r="CB1346" s="178"/>
      <c r="CC1346" s="178"/>
      <c r="CD1346" s="202"/>
      <c r="CE1346" s="202"/>
      <c r="CF1346" s="178"/>
      <c r="CG1346" s="196"/>
      <c r="CH1346" s="178"/>
      <c r="CI1346" s="178"/>
      <c r="CJ1346" s="178"/>
      <c r="CK1346" s="178"/>
      <c r="CL1346" s="178"/>
      <c r="CM1346" s="178"/>
      <c r="CN1346" s="178"/>
      <c r="CO1346" s="178"/>
      <c r="CP1346" s="178"/>
      <c r="CQ1346" s="178"/>
      <c r="CR1346" s="178"/>
      <c r="CS1346" s="178"/>
      <c r="CT1346" s="178"/>
      <c r="CU1346" s="178"/>
      <c r="CV1346" s="178"/>
      <c r="CW1346" s="178"/>
      <c r="CX1346" s="178"/>
      <c r="CY1346" s="178"/>
      <c r="CZ1346" s="178"/>
      <c r="DA1346" s="150"/>
    </row>
    <row r="1347" spans="53:105" x14ac:dyDescent="0.2">
      <c r="BA1347" s="518">
        <f t="shared" ca="1" si="73"/>
        <v>61</v>
      </c>
      <c r="BB1347" s="174">
        <f t="shared" ca="1" si="74"/>
        <v>1284</v>
      </c>
      <c r="BC1347" s="525" t="e">
        <f ca="1">MATCH(BD1347,OFFSET(Pinlist!$A$2,BC1346*(BA1347=BA1346),0,$BM$23,1),0)+BC1346*(BA1347=BA1346)</f>
        <v>#N/A</v>
      </c>
      <c r="BD1347" s="167">
        <f t="shared" ca="1" si="75"/>
        <v>0</v>
      </c>
      <c r="BE1347" s="191" t="e">
        <f ca="1">(OFFSET(Pinlist!$E$1,BC1347,0)-$BN$16)*$BN$19</f>
        <v>#N/A</v>
      </c>
      <c r="BF1347" s="192" t="e">
        <f ca="1">(OFFSET(Pinlist!$F$1,BC1347,0)-$BO$16)*$BO$19</f>
        <v>#N/A</v>
      </c>
      <c r="BG1347" s="1098" t="str">
        <f ca="1">IF(LEFT(BD1347,2)="RF",OFFSET(Pinlist!$D$1,Chart!BC1347,0)&amp;"_"&amp;OFFSET(Pinlist!$G$1,Chart!BC1347,0),"")</f>
        <v/>
      </c>
      <c r="BH1347" s="1098"/>
      <c r="BI1347" s="178"/>
      <c r="BJ1347" s="178"/>
      <c r="BK1347" s="178"/>
      <c r="BL1347" s="178"/>
      <c r="BM1347" s="178"/>
      <c r="BN1347" s="178"/>
      <c r="BO1347" s="178"/>
      <c r="BP1347" s="178"/>
      <c r="BQ1347" s="196"/>
      <c r="BR1347" s="196"/>
      <c r="BS1347" s="196"/>
      <c r="BT1347" s="196"/>
      <c r="BU1347" s="196"/>
      <c r="BV1347" s="196"/>
      <c r="BW1347" s="178"/>
      <c r="BX1347" s="196"/>
      <c r="BY1347" s="196"/>
      <c r="BZ1347" s="196"/>
      <c r="CA1347" s="196"/>
      <c r="CB1347" s="178"/>
      <c r="CC1347" s="178"/>
      <c r="CD1347" s="202"/>
      <c r="CE1347" s="202"/>
      <c r="CF1347" s="178"/>
      <c r="CG1347" s="196"/>
      <c r="CH1347" s="178"/>
      <c r="CI1347" s="178"/>
      <c r="CJ1347" s="178"/>
      <c r="CK1347" s="178"/>
      <c r="CL1347" s="178"/>
      <c r="CM1347" s="178"/>
      <c r="CN1347" s="178"/>
      <c r="CO1347" s="178"/>
      <c r="CP1347" s="178"/>
      <c r="CQ1347" s="178"/>
      <c r="CR1347" s="178"/>
      <c r="CS1347" s="178"/>
      <c r="CT1347" s="178"/>
      <c r="CU1347" s="178"/>
      <c r="CV1347" s="178"/>
      <c r="CW1347" s="178"/>
      <c r="CX1347" s="178"/>
      <c r="CY1347" s="178"/>
      <c r="CZ1347" s="178"/>
      <c r="DA1347" s="150"/>
    </row>
    <row r="1348" spans="53:105" x14ac:dyDescent="0.2">
      <c r="BA1348" s="518">
        <f t="shared" ref="BA1348:BA1411" ca="1" si="76">BA1347+(BB1347=OFFSET($BZ$3,BA1347,0))</f>
        <v>61</v>
      </c>
      <c r="BB1348" s="174">
        <f t="shared" ref="BB1348:BB1411" ca="1" si="77">IF(BA1348=BA1347,BB1347+1,1)</f>
        <v>1285</v>
      </c>
      <c r="BC1348" s="525" t="e">
        <f ca="1">MATCH(BD1348,OFFSET(Pinlist!$A$2,BC1347*(BA1348=BA1347),0,$BM$23,1),0)+BC1347*(BA1348=BA1347)</f>
        <v>#N/A</v>
      </c>
      <c r="BD1348" s="167">
        <f t="shared" ref="BD1348:BD1411" ca="1" si="78">OFFSET($BY$3,BA1348,0)</f>
        <v>0</v>
      </c>
      <c r="BE1348" s="191" t="e">
        <f ca="1">(OFFSET(Pinlist!$E$1,BC1348,0)-$BN$16)*$BN$19</f>
        <v>#N/A</v>
      </c>
      <c r="BF1348" s="192" t="e">
        <f ca="1">(OFFSET(Pinlist!$F$1,BC1348,0)-$BO$16)*$BO$19</f>
        <v>#N/A</v>
      </c>
      <c r="BG1348" s="1098" t="str">
        <f ca="1">IF(LEFT(BD1348,2)="RF",OFFSET(Pinlist!$D$1,Chart!BC1348,0)&amp;"_"&amp;OFFSET(Pinlist!$G$1,Chart!BC1348,0),"")</f>
        <v/>
      </c>
      <c r="BH1348" s="1098"/>
      <c r="BI1348" s="178"/>
      <c r="BJ1348" s="178"/>
      <c r="BK1348" s="178"/>
      <c r="BL1348" s="178"/>
      <c r="BM1348" s="178"/>
      <c r="BN1348" s="178"/>
      <c r="BO1348" s="178"/>
      <c r="BP1348" s="178"/>
      <c r="BQ1348" s="196"/>
      <c r="BR1348" s="196"/>
      <c r="BS1348" s="196"/>
      <c r="BT1348" s="196"/>
      <c r="BU1348" s="196"/>
      <c r="BV1348" s="196"/>
      <c r="BW1348" s="178"/>
      <c r="BX1348" s="196"/>
      <c r="BY1348" s="196"/>
      <c r="BZ1348" s="196"/>
      <c r="CA1348" s="196"/>
      <c r="CB1348" s="178"/>
      <c r="CC1348" s="178"/>
      <c r="CD1348" s="202"/>
      <c r="CE1348" s="202"/>
      <c r="CF1348" s="178"/>
      <c r="CG1348" s="196"/>
      <c r="CH1348" s="178"/>
      <c r="CI1348" s="178"/>
      <c r="CJ1348" s="178"/>
      <c r="CK1348" s="178"/>
      <c r="CL1348" s="178"/>
      <c r="CM1348" s="178"/>
      <c r="CN1348" s="178"/>
      <c r="CO1348" s="178"/>
      <c r="CP1348" s="178"/>
      <c r="CQ1348" s="178"/>
      <c r="CR1348" s="178"/>
      <c r="CS1348" s="178"/>
      <c r="CT1348" s="178"/>
      <c r="CU1348" s="178"/>
      <c r="CV1348" s="178"/>
      <c r="CW1348" s="178"/>
      <c r="CX1348" s="178"/>
      <c r="CY1348" s="178"/>
      <c r="CZ1348" s="178"/>
      <c r="DA1348" s="150"/>
    </row>
    <row r="1349" spans="53:105" x14ac:dyDescent="0.2">
      <c r="BA1349" s="518">
        <f t="shared" ca="1" si="76"/>
        <v>61</v>
      </c>
      <c r="BB1349" s="174">
        <f t="shared" ca="1" si="77"/>
        <v>1286</v>
      </c>
      <c r="BC1349" s="525" t="e">
        <f ca="1">MATCH(BD1349,OFFSET(Pinlist!$A$2,BC1348*(BA1349=BA1348),0,$BM$23,1),0)+BC1348*(BA1349=BA1348)</f>
        <v>#N/A</v>
      </c>
      <c r="BD1349" s="167">
        <f t="shared" ca="1" si="78"/>
        <v>0</v>
      </c>
      <c r="BE1349" s="191" t="e">
        <f ca="1">(OFFSET(Pinlist!$E$1,BC1349,0)-$BN$16)*$BN$19</f>
        <v>#N/A</v>
      </c>
      <c r="BF1349" s="192" t="e">
        <f ca="1">(OFFSET(Pinlist!$F$1,BC1349,0)-$BO$16)*$BO$19</f>
        <v>#N/A</v>
      </c>
      <c r="BG1349" s="1098" t="str">
        <f ca="1">IF(LEFT(BD1349,2)="RF",OFFSET(Pinlist!$D$1,Chart!BC1349,0)&amp;"_"&amp;OFFSET(Pinlist!$G$1,Chart!BC1349,0),"")</f>
        <v/>
      </c>
      <c r="BH1349" s="1098"/>
      <c r="BI1349" s="178"/>
      <c r="BJ1349" s="178"/>
      <c r="BK1349" s="178"/>
      <c r="BL1349" s="178"/>
      <c r="BM1349" s="178"/>
      <c r="BN1349" s="178"/>
      <c r="BO1349" s="178"/>
      <c r="BP1349" s="178"/>
      <c r="BQ1349" s="196"/>
      <c r="BR1349" s="196"/>
      <c r="BS1349" s="196"/>
      <c r="BT1349" s="196"/>
      <c r="BU1349" s="196"/>
      <c r="BV1349" s="196"/>
      <c r="BW1349" s="178"/>
      <c r="BX1349" s="196"/>
      <c r="BY1349" s="196"/>
      <c r="BZ1349" s="196"/>
      <c r="CA1349" s="196"/>
      <c r="CB1349" s="178"/>
      <c r="CC1349" s="178"/>
      <c r="CD1349" s="202"/>
      <c r="CE1349" s="202"/>
      <c r="CF1349" s="178"/>
      <c r="CG1349" s="196"/>
      <c r="CH1349" s="178"/>
      <c r="CI1349" s="178"/>
      <c r="CJ1349" s="178"/>
      <c r="CK1349" s="178"/>
      <c r="CL1349" s="178"/>
      <c r="CM1349" s="178"/>
      <c r="CN1349" s="178"/>
      <c r="CO1349" s="178"/>
      <c r="CP1349" s="178"/>
      <c r="CQ1349" s="178"/>
      <c r="CR1349" s="178"/>
      <c r="CS1349" s="178"/>
      <c r="CT1349" s="178"/>
      <c r="CU1349" s="178"/>
      <c r="CV1349" s="178"/>
      <c r="CW1349" s="178"/>
      <c r="CX1349" s="178"/>
      <c r="CY1349" s="178"/>
      <c r="CZ1349" s="178"/>
      <c r="DA1349" s="150"/>
    </row>
    <row r="1350" spans="53:105" x14ac:dyDescent="0.2">
      <c r="BA1350" s="518">
        <f t="shared" ca="1" si="76"/>
        <v>61</v>
      </c>
      <c r="BB1350" s="174">
        <f t="shared" ca="1" si="77"/>
        <v>1287</v>
      </c>
      <c r="BC1350" s="525" t="e">
        <f ca="1">MATCH(BD1350,OFFSET(Pinlist!$A$2,BC1349*(BA1350=BA1349),0,$BM$23,1),0)+BC1349*(BA1350=BA1349)</f>
        <v>#N/A</v>
      </c>
      <c r="BD1350" s="167">
        <f t="shared" ca="1" si="78"/>
        <v>0</v>
      </c>
      <c r="BE1350" s="191" t="e">
        <f ca="1">(OFFSET(Pinlist!$E$1,BC1350,0)-$BN$16)*$BN$19</f>
        <v>#N/A</v>
      </c>
      <c r="BF1350" s="192" t="e">
        <f ca="1">(OFFSET(Pinlist!$F$1,BC1350,0)-$BO$16)*$BO$19</f>
        <v>#N/A</v>
      </c>
      <c r="BG1350" s="1098" t="str">
        <f ca="1">IF(LEFT(BD1350,2)="RF",OFFSET(Pinlist!$D$1,Chart!BC1350,0)&amp;"_"&amp;OFFSET(Pinlist!$G$1,Chart!BC1350,0),"")</f>
        <v/>
      </c>
      <c r="BH1350" s="1098"/>
      <c r="BI1350" s="178"/>
      <c r="BJ1350" s="178"/>
      <c r="BK1350" s="178"/>
      <c r="BL1350" s="178"/>
      <c r="BM1350" s="178"/>
      <c r="BN1350" s="178"/>
      <c r="BO1350" s="178"/>
      <c r="BP1350" s="178"/>
      <c r="BQ1350" s="196"/>
      <c r="BR1350" s="196"/>
      <c r="BS1350" s="196"/>
      <c r="BT1350" s="196"/>
      <c r="BU1350" s="196"/>
      <c r="BV1350" s="196"/>
      <c r="BW1350" s="178"/>
      <c r="BX1350" s="196"/>
      <c r="BY1350" s="196"/>
      <c r="BZ1350" s="196"/>
      <c r="CA1350" s="196"/>
      <c r="CB1350" s="178"/>
      <c r="CC1350" s="178"/>
      <c r="CD1350" s="202"/>
      <c r="CE1350" s="202"/>
      <c r="CF1350" s="178"/>
      <c r="CG1350" s="196"/>
      <c r="CH1350" s="178"/>
      <c r="CI1350" s="178"/>
      <c r="CJ1350" s="178"/>
      <c r="CK1350" s="178"/>
      <c r="CL1350" s="178"/>
      <c r="CM1350" s="178"/>
      <c r="CN1350" s="178"/>
      <c r="CO1350" s="178"/>
      <c r="CP1350" s="178"/>
      <c r="CQ1350" s="178"/>
      <c r="CR1350" s="178"/>
      <c r="CS1350" s="178"/>
      <c r="CT1350" s="178"/>
      <c r="CU1350" s="178"/>
      <c r="CV1350" s="178"/>
      <c r="CW1350" s="178"/>
      <c r="CX1350" s="178"/>
      <c r="CY1350" s="178"/>
      <c r="CZ1350" s="178"/>
      <c r="DA1350" s="150"/>
    </row>
    <row r="1351" spans="53:105" x14ac:dyDescent="0.2">
      <c r="BA1351" s="518">
        <f t="shared" ca="1" si="76"/>
        <v>61</v>
      </c>
      <c r="BB1351" s="174">
        <f t="shared" ca="1" si="77"/>
        <v>1288</v>
      </c>
      <c r="BC1351" s="525" t="e">
        <f ca="1">MATCH(BD1351,OFFSET(Pinlist!$A$2,BC1350*(BA1351=BA1350),0,$BM$23,1),0)+BC1350*(BA1351=BA1350)</f>
        <v>#N/A</v>
      </c>
      <c r="BD1351" s="167">
        <f t="shared" ca="1" si="78"/>
        <v>0</v>
      </c>
      <c r="BE1351" s="191" t="e">
        <f ca="1">(OFFSET(Pinlist!$E$1,BC1351,0)-$BN$16)*$BN$19</f>
        <v>#N/A</v>
      </c>
      <c r="BF1351" s="192" t="e">
        <f ca="1">(OFFSET(Pinlist!$F$1,BC1351,0)-$BO$16)*$BO$19</f>
        <v>#N/A</v>
      </c>
      <c r="BG1351" s="1098" t="str">
        <f ca="1">IF(LEFT(BD1351,2)="RF",OFFSET(Pinlist!$D$1,Chart!BC1351,0)&amp;"_"&amp;OFFSET(Pinlist!$G$1,Chart!BC1351,0),"")</f>
        <v/>
      </c>
      <c r="BH1351" s="1098"/>
      <c r="BI1351" s="178"/>
      <c r="BJ1351" s="178"/>
      <c r="BK1351" s="178"/>
      <c r="BL1351" s="178"/>
      <c r="BM1351" s="178"/>
      <c r="BN1351" s="178"/>
      <c r="BO1351" s="178"/>
      <c r="BP1351" s="178"/>
      <c r="BQ1351" s="196"/>
      <c r="BR1351" s="196"/>
      <c r="BS1351" s="196"/>
      <c r="BT1351" s="196"/>
      <c r="BU1351" s="196"/>
      <c r="BV1351" s="196"/>
      <c r="BW1351" s="178"/>
      <c r="BX1351" s="196"/>
      <c r="BY1351" s="196"/>
      <c r="BZ1351" s="196"/>
      <c r="CA1351" s="196"/>
      <c r="CB1351" s="178"/>
      <c r="CC1351" s="178"/>
      <c r="CD1351" s="202"/>
      <c r="CE1351" s="202"/>
      <c r="CF1351" s="178"/>
      <c r="CG1351" s="196"/>
      <c r="CH1351" s="178"/>
      <c r="CI1351" s="178"/>
      <c r="CJ1351" s="178"/>
      <c r="CK1351" s="178"/>
      <c r="CL1351" s="178"/>
      <c r="CM1351" s="178"/>
      <c r="CN1351" s="178"/>
      <c r="CO1351" s="178"/>
      <c r="CP1351" s="178"/>
      <c r="CQ1351" s="178"/>
      <c r="CR1351" s="178"/>
      <c r="CS1351" s="178"/>
      <c r="CT1351" s="178"/>
      <c r="CU1351" s="178"/>
      <c r="CV1351" s="178"/>
      <c r="CW1351" s="178"/>
      <c r="CX1351" s="178"/>
      <c r="CY1351" s="178"/>
      <c r="CZ1351" s="178"/>
      <c r="DA1351" s="150"/>
    </row>
    <row r="1352" spans="53:105" x14ac:dyDescent="0.2">
      <c r="BA1352" s="518">
        <f t="shared" ca="1" si="76"/>
        <v>61</v>
      </c>
      <c r="BB1352" s="174">
        <f t="shared" ca="1" si="77"/>
        <v>1289</v>
      </c>
      <c r="BC1352" s="525" t="e">
        <f ca="1">MATCH(BD1352,OFFSET(Pinlist!$A$2,BC1351*(BA1352=BA1351),0,$BM$23,1),0)+BC1351*(BA1352=BA1351)</f>
        <v>#N/A</v>
      </c>
      <c r="BD1352" s="167">
        <f t="shared" ca="1" si="78"/>
        <v>0</v>
      </c>
      <c r="BE1352" s="191" t="e">
        <f ca="1">(OFFSET(Pinlist!$E$1,BC1352,0)-$BN$16)*$BN$19</f>
        <v>#N/A</v>
      </c>
      <c r="BF1352" s="192" t="e">
        <f ca="1">(OFFSET(Pinlist!$F$1,BC1352,0)-$BO$16)*$BO$19</f>
        <v>#N/A</v>
      </c>
      <c r="BG1352" s="1098" t="str">
        <f ca="1">IF(LEFT(BD1352,2)="RF",OFFSET(Pinlist!$D$1,Chart!BC1352,0)&amp;"_"&amp;OFFSET(Pinlist!$G$1,Chart!BC1352,0),"")</f>
        <v/>
      </c>
      <c r="BH1352" s="1098"/>
      <c r="BI1352" s="178"/>
      <c r="BJ1352" s="178"/>
      <c r="BK1352" s="178"/>
      <c r="BL1352" s="178"/>
      <c r="BM1352" s="178"/>
      <c r="BN1352" s="178"/>
      <c r="BO1352" s="178"/>
      <c r="BP1352" s="178"/>
      <c r="BQ1352" s="196"/>
      <c r="BR1352" s="196"/>
      <c r="BS1352" s="196"/>
      <c r="BT1352" s="196"/>
      <c r="BU1352" s="196"/>
      <c r="BV1352" s="196"/>
      <c r="BW1352" s="178"/>
      <c r="BX1352" s="196"/>
      <c r="BY1352" s="196"/>
      <c r="BZ1352" s="196"/>
      <c r="CA1352" s="196"/>
      <c r="CB1352" s="178"/>
      <c r="CC1352" s="178"/>
      <c r="CD1352" s="202"/>
      <c r="CE1352" s="202"/>
      <c r="CF1352" s="178"/>
      <c r="CG1352" s="196"/>
      <c r="CH1352" s="178"/>
      <c r="CI1352" s="178"/>
      <c r="CJ1352" s="178"/>
      <c r="CK1352" s="178"/>
      <c r="CL1352" s="178"/>
      <c r="CM1352" s="178"/>
      <c r="CN1352" s="178"/>
      <c r="CO1352" s="178"/>
      <c r="CP1352" s="178"/>
      <c r="CQ1352" s="178"/>
      <c r="CR1352" s="178"/>
      <c r="CS1352" s="178"/>
      <c r="CT1352" s="178"/>
      <c r="CU1352" s="178"/>
      <c r="CV1352" s="178"/>
      <c r="CW1352" s="178"/>
      <c r="CX1352" s="178"/>
      <c r="CY1352" s="178"/>
      <c r="CZ1352" s="178"/>
      <c r="DA1352" s="150"/>
    </row>
    <row r="1353" spans="53:105" x14ac:dyDescent="0.2">
      <c r="BA1353" s="518">
        <f t="shared" ca="1" si="76"/>
        <v>61</v>
      </c>
      <c r="BB1353" s="174">
        <f t="shared" ca="1" si="77"/>
        <v>1290</v>
      </c>
      <c r="BC1353" s="525" t="e">
        <f ca="1">MATCH(BD1353,OFFSET(Pinlist!$A$2,BC1352*(BA1353=BA1352),0,$BM$23,1),0)+BC1352*(BA1353=BA1352)</f>
        <v>#N/A</v>
      </c>
      <c r="BD1353" s="167">
        <f t="shared" ca="1" si="78"/>
        <v>0</v>
      </c>
      <c r="BE1353" s="191" t="e">
        <f ca="1">(OFFSET(Pinlist!$E$1,BC1353,0)-$BN$16)*$BN$19</f>
        <v>#N/A</v>
      </c>
      <c r="BF1353" s="192" t="e">
        <f ca="1">(OFFSET(Pinlist!$F$1,BC1353,0)-$BO$16)*$BO$19</f>
        <v>#N/A</v>
      </c>
      <c r="BG1353" s="1098" t="str">
        <f ca="1">IF(LEFT(BD1353,2)="RF",OFFSET(Pinlist!$D$1,Chart!BC1353,0)&amp;"_"&amp;OFFSET(Pinlist!$G$1,Chart!BC1353,0),"")</f>
        <v/>
      </c>
      <c r="BH1353" s="1098"/>
      <c r="BI1353" s="178"/>
      <c r="BJ1353" s="178"/>
      <c r="BK1353" s="178"/>
      <c r="BL1353" s="178"/>
      <c r="BM1353" s="178"/>
      <c r="BN1353" s="178"/>
      <c r="BO1353" s="178"/>
      <c r="BP1353" s="178"/>
      <c r="BQ1353" s="196"/>
      <c r="BR1353" s="196"/>
      <c r="BS1353" s="196"/>
      <c r="BT1353" s="196"/>
      <c r="BU1353" s="196"/>
      <c r="BV1353" s="196"/>
      <c r="BW1353" s="178"/>
      <c r="BX1353" s="196"/>
      <c r="BY1353" s="196"/>
      <c r="BZ1353" s="196"/>
      <c r="CA1353" s="196"/>
      <c r="CB1353" s="178"/>
      <c r="CC1353" s="178"/>
      <c r="CD1353" s="202"/>
      <c r="CE1353" s="202"/>
      <c r="CF1353" s="178"/>
      <c r="CG1353" s="196"/>
      <c r="CH1353" s="178"/>
      <c r="CI1353" s="178"/>
      <c r="CJ1353" s="178"/>
      <c r="CK1353" s="178"/>
      <c r="CL1353" s="178"/>
      <c r="CM1353" s="178"/>
      <c r="CN1353" s="178"/>
      <c r="CO1353" s="178"/>
      <c r="CP1353" s="178"/>
      <c r="CQ1353" s="178"/>
      <c r="CR1353" s="178"/>
      <c r="CS1353" s="178"/>
      <c r="CT1353" s="178"/>
      <c r="CU1353" s="178"/>
      <c r="CV1353" s="178"/>
      <c r="CW1353" s="178"/>
      <c r="CX1353" s="178"/>
      <c r="CY1353" s="178"/>
      <c r="CZ1353" s="178"/>
      <c r="DA1353" s="150"/>
    </row>
    <row r="1354" spans="53:105" x14ac:dyDescent="0.2">
      <c r="BA1354" s="518">
        <f t="shared" ca="1" si="76"/>
        <v>61</v>
      </c>
      <c r="BB1354" s="174">
        <f t="shared" ca="1" si="77"/>
        <v>1291</v>
      </c>
      <c r="BC1354" s="525" t="e">
        <f ca="1">MATCH(BD1354,OFFSET(Pinlist!$A$2,BC1353*(BA1354=BA1353),0,$BM$23,1),0)+BC1353*(BA1354=BA1353)</f>
        <v>#N/A</v>
      </c>
      <c r="BD1354" s="167">
        <f t="shared" ca="1" si="78"/>
        <v>0</v>
      </c>
      <c r="BE1354" s="191" t="e">
        <f ca="1">(OFFSET(Pinlist!$E$1,BC1354,0)-$BN$16)*$BN$19</f>
        <v>#N/A</v>
      </c>
      <c r="BF1354" s="192" t="e">
        <f ca="1">(OFFSET(Pinlist!$F$1,BC1354,0)-$BO$16)*$BO$19</f>
        <v>#N/A</v>
      </c>
      <c r="BG1354" s="1098" t="str">
        <f ca="1">IF(LEFT(BD1354,2)="RF",OFFSET(Pinlist!$D$1,Chart!BC1354,0)&amp;"_"&amp;OFFSET(Pinlist!$G$1,Chart!BC1354,0),"")</f>
        <v/>
      </c>
      <c r="BH1354" s="1098"/>
      <c r="BI1354" s="178"/>
      <c r="BJ1354" s="178"/>
      <c r="BK1354" s="178"/>
      <c r="BL1354" s="178"/>
      <c r="BM1354" s="178"/>
      <c r="BN1354" s="178"/>
      <c r="BO1354" s="178"/>
      <c r="BP1354" s="178"/>
      <c r="BQ1354" s="196"/>
      <c r="BR1354" s="196"/>
      <c r="BS1354" s="196"/>
      <c r="BT1354" s="196"/>
      <c r="BU1354" s="196"/>
      <c r="BV1354" s="196"/>
      <c r="BW1354" s="178"/>
      <c r="BX1354" s="196"/>
      <c r="BY1354" s="196"/>
      <c r="BZ1354" s="196"/>
      <c r="CA1354" s="196"/>
      <c r="CB1354" s="178"/>
      <c r="CC1354" s="178"/>
      <c r="CD1354" s="202"/>
      <c r="CE1354" s="202"/>
      <c r="CF1354" s="178"/>
      <c r="CG1354" s="196"/>
      <c r="CH1354" s="178"/>
      <c r="CI1354" s="178"/>
      <c r="CJ1354" s="178"/>
      <c r="CK1354" s="178"/>
      <c r="CL1354" s="178"/>
      <c r="CM1354" s="178"/>
      <c r="CN1354" s="178"/>
      <c r="CO1354" s="178"/>
      <c r="CP1354" s="178"/>
      <c r="CQ1354" s="178"/>
      <c r="CR1354" s="178"/>
      <c r="CS1354" s="178"/>
      <c r="CT1354" s="178"/>
      <c r="CU1354" s="178"/>
      <c r="CV1354" s="178"/>
      <c r="CW1354" s="178"/>
      <c r="CX1354" s="178"/>
      <c r="CY1354" s="178"/>
      <c r="CZ1354" s="178"/>
      <c r="DA1354" s="150"/>
    </row>
    <row r="1355" spans="53:105" x14ac:dyDescent="0.2">
      <c r="BA1355" s="518">
        <f t="shared" ca="1" si="76"/>
        <v>61</v>
      </c>
      <c r="BB1355" s="174">
        <f t="shared" ca="1" si="77"/>
        <v>1292</v>
      </c>
      <c r="BC1355" s="525" t="e">
        <f ca="1">MATCH(BD1355,OFFSET(Pinlist!$A$2,BC1354*(BA1355=BA1354),0,$BM$23,1),0)+BC1354*(BA1355=BA1354)</f>
        <v>#N/A</v>
      </c>
      <c r="BD1355" s="167">
        <f t="shared" ca="1" si="78"/>
        <v>0</v>
      </c>
      <c r="BE1355" s="191" t="e">
        <f ca="1">(OFFSET(Pinlist!$E$1,BC1355,0)-$BN$16)*$BN$19</f>
        <v>#N/A</v>
      </c>
      <c r="BF1355" s="192" t="e">
        <f ca="1">(OFFSET(Pinlist!$F$1,BC1355,0)-$BO$16)*$BO$19</f>
        <v>#N/A</v>
      </c>
      <c r="BG1355" s="1098" t="str">
        <f ca="1">IF(LEFT(BD1355,2)="RF",OFFSET(Pinlist!$D$1,Chart!BC1355,0)&amp;"_"&amp;OFFSET(Pinlist!$G$1,Chart!BC1355,0),"")</f>
        <v/>
      </c>
      <c r="BH1355" s="1098"/>
      <c r="BI1355" s="178"/>
      <c r="BJ1355" s="178"/>
      <c r="BK1355" s="178"/>
      <c r="BL1355" s="178"/>
      <c r="BM1355" s="178"/>
      <c r="BN1355" s="178"/>
      <c r="BO1355" s="178"/>
      <c r="BP1355" s="178"/>
      <c r="BQ1355" s="196"/>
      <c r="BR1355" s="196"/>
      <c r="BS1355" s="196"/>
      <c r="BT1355" s="196"/>
      <c r="BU1355" s="196"/>
      <c r="BV1355" s="196"/>
      <c r="BW1355" s="178"/>
      <c r="BX1355" s="196"/>
      <c r="BY1355" s="196"/>
      <c r="BZ1355" s="196"/>
      <c r="CA1355" s="196"/>
      <c r="CB1355" s="178"/>
      <c r="CC1355" s="178"/>
      <c r="CD1355" s="202"/>
      <c r="CE1355" s="202"/>
      <c r="CF1355" s="178"/>
      <c r="CG1355" s="196"/>
      <c r="CH1355" s="178"/>
      <c r="CI1355" s="178"/>
      <c r="CJ1355" s="178"/>
      <c r="CK1355" s="178"/>
      <c r="CL1355" s="178"/>
      <c r="CM1355" s="178"/>
      <c r="CN1355" s="178"/>
      <c r="CO1355" s="178"/>
      <c r="CP1355" s="178"/>
      <c r="CQ1355" s="178"/>
      <c r="CR1355" s="178"/>
      <c r="CS1355" s="178"/>
      <c r="CT1355" s="178"/>
      <c r="CU1355" s="178"/>
      <c r="CV1355" s="178"/>
      <c r="CW1355" s="178"/>
      <c r="CX1355" s="178"/>
      <c r="CY1355" s="178"/>
      <c r="CZ1355" s="178"/>
      <c r="DA1355" s="150"/>
    </row>
    <row r="1356" spans="53:105" x14ac:dyDescent="0.2">
      <c r="BA1356" s="518">
        <f t="shared" ca="1" si="76"/>
        <v>61</v>
      </c>
      <c r="BB1356" s="174">
        <f t="shared" ca="1" si="77"/>
        <v>1293</v>
      </c>
      <c r="BC1356" s="525" t="e">
        <f ca="1">MATCH(BD1356,OFFSET(Pinlist!$A$2,BC1355*(BA1356=BA1355),0,$BM$23,1),0)+BC1355*(BA1356=BA1355)</f>
        <v>#N/A</v>
      </c>
      <c r="BD1356" s="167">
        <f t="shared" ca="1" si="78"/>
        <v>0</v>
      </c>
      <c r="BE1356" s="191" t="e">
        <f ca="1">(OFFSET(Pinlist!$E$1,BC1356,0)-$BN$16)*$BN$19</f>
        <v>#N/A</v>
      </c>
      <c r="BF1356" s="192" t="e">
        <f ca="1">(OFFSET(Pinlist!$F$1,BC1356,0)-$BO$16)*$BO$19</f>
        <v>#N/A</v>
      </c>
      <c r="BG1356" s="1098" t="str">
        <f ca="1">IF(LEFT(BD1356,2)="RF",OFFSET(Pinlist!$D$1,Chart!BC1356,0)&amp;"_"&amp;OFFSET(Pinlist!$G$1,Chart!BC1356,0),"")</f>
        <v/>
      </c>
      <c r="BH1356" s="1098"/>
      <c r="BI1356" s="178"/>
      <c r="BJ1356" s="178"/>
      <c r="BK1356" s="178"/>
      <c r="BL1356" s="178"/>
      <c r="BM1356" s="178"/>
      <c r="BN1356" s="178"/>
      <c r="BO1356" s="178"/>
      <c r="BP1356" s="178"/>
      <c r="BQ1356" s="196"/>
      <c r="BR1356" s="196"/>
      <c r="BS1356" s="196"/>
      <c r="BT1356" s="196"/>
      <c r="BU1356" s="196"/>
      <c r="BV1356" s="196"/>
      <c r="BW1356" s="178"/>
      <c r="BX1356" s="196"/>
      <c r="BY1356" s="196"/>
      <c r="BZ1356" s="196"/>
      <c r="CA1356" s="196"/>
      <c r="CB1356" s="178"/>
      <c r="CC1356" s="178"/>
      <c r="CD1356" s="202"/>
      <c r="CE1356" s="202"/>
      <c r="CF1356" s="178"/>
      <c r="CG1356" s="196"/>
      <c r="CH1356" s="178"/>
      <c r="CI1356" s="178"/>
      <c r="CJ1356" s="178"/>
      <c r="CK1356" s="178"/>
      <c r="CL1356" s="178"/>
      <c r="CM1356" s="178"/>
      <c r="CN1356" s="178"/>
      <c r="CO1356" s="178"/>
      <c r="CP1356" s="178"/>
      <c r="CQ1356" s="178"/>
      <c r="CR1356" s="178"/>
      <c r="CS1356" s="178"/>
      <c r="CT1356" s="178"/>
      <c r="CU1356" s="178"/>
      <c r="CV1356" s="178"/>
      <c r="CW1356" s="178"/>
      <c r="CX1356" s="178"/>
      <c r="CY1356" s="178"/>
      <c r="CZ1356" s="178"/>
      <c r="DA1356" s="150"/>
    </row>
    <row r="1357" spans="53:105" x14ac:dyDescent="0.2">
      <c r="BA1357" s="518">
        <f t="shared" ca="1" si="76"/>
        <v>61</v>
      </c>
      <c r="BB1357" s="174">
        <f t="shared" ca="1" si="77"/>
        <v>1294</v>
      </c>
      <c r="BC1357" s="525" t="e">
        <f ca="1">MATCH(BD1357,OFFSET(Pinlist!$A$2,BC1356*(BA1357=BA1356),0,$BM$23,1),0)+BC1356*(BA1357=BA1356)</f>
        <v>#N/A</v>
      </c>
      <c r="BD1357" s="167">
        <f t="shared" ca="1" si="78"/>
        <v>0</v>
      </c>
      <c r="BE1357" s="191" t="e">
        <f ca="1">(OFFSET(Pinlist!$E$1,BC1357,0)-$BN$16)*$BN$19</f>
        <v>#N/A</v>
      </c>
      <c r="BF1357" s="192" t="e">
        <f ca="1">(OFFSET(Pinlist!$F$1,BC1357,0)-$BO$16)*$BO$19</f>
        <v>#N/A</v>
      </c>
      <c r="BG1357" s="1098" t="str">
        <f ca="1">IF(LEFT(BD1357,2)="RF",OFFSET(Pinlist!$D$1,Chart!BC1357,0)&amp;"_"&amp;OFFSET(Pinlist!$G$1,Chart!BC1357,0),"")</f>
        <v/>
      </c>
      <c r="BH1357" s="1098"/>
      <c r="BI1357" s="178"/>
      <c r="BJ1357" s="178"/>
      <c r="BK1357" s="178"/>
      <c r="BL1357" s="178"/>
      <c r="BM1357" s="178"/>
      <c r="BN1357" s="178"/>
      <c r="BO1357" s="178"/>
      <c r="BP1357" s="178"/>
      <c r="BQ1357" s="196"/>
      <c r="BR1357" s="196"/>
      <c r="BS1357" s="196"/>
      <c r="BT1357" s="196"/>
      <c r="BU1357" s="196"/>
      <c r="BV1357" s="196"/>
      <c r="BW1357" s="178"/>
      <c r="BX1357" s="196"/>
      <c r="BY1357" s="196"/>
      <c r="BZ1357" s="196"/>
      <c r="CA1357" s="196"/>
      <c r="CB1357" s="178"/>
      <c r="CC1357" s="178"/>
      <c r="CD1357" s="202"/>
      <c r="CE1357" s="202"/>
      <c r="CF1357" s="178"/>
      <c r="CG1357" s="196"/>
      <c r="CH1357" s="178"/>
      <c r="CI1357" s="178"/>
      <c r="CJ1357" s="178"/>
      <c r="CK1357" s="178"/>
      <c r="CL1357" s="178"/>
      <c r="CM1357" s="178"/>
      <c r="CN1357" s="178"/>
      <c r="CO1357" s="178"/>
      <c r="CP1357" s="178"/>
      <c r="CQ1357" s="178"/>
      <c r="CR1357" s="178"/>
      <c r="CS1357" s="178"/>
      <c r="CT1357" s="178"/>
      <c r="CU1357" s="178"/>
      <c r="CV1357" s="178"/>
      <c r="CW1357" s="178"/>
      <c r="CX1357" s="178"/>
      <c r="CY1357" s="178"/>
      <c r="CZ1357" s="178"/>
      <c r="DA1357" s="150"/>
    </row>
    <row r="1358" spans="53:105" x14ac:dyDescent="0.2">
      <c r="BA1358" s="518">
        <f t="shared" ca="1" si="76"/>
        <v>61</v>
      </c>
      <c r="BB1358" s="174">
        <f t="shared" ca="1" si="77"/>
        <v>1295</v>
      </c>
      <c r="BC1358" s="525" t="e">
        <f ca="1">MATCH(BD1358,OFFSET(Pinlist!$A$2,BC1357*(BA1358=BA1357),0,$BM$23,1),0)+BC1357*(BA1358=BA1357)</f>
        <v>#N/A</v>
      </c>
      <c r="BD1358" s="167">
        <f t="shared" ca="1" si="78"/>
        <v>0</v>
      </c>
      <c r="BE1358" s="191" t="e">
        <f ca="1">(OFFSET(Pinlist!$E$1,BC1358,0)-$BN$16)*$BN$19</f>
        <v>#N/A</v>
      </c>
      <c r="BF1358" s="192" t="e">
        <f ca="1">(OFFSET(Pinlist!$F$1,BC1358,0)-$BO$16)*$BO$19</f>
        <v>#N/A</v>
      </c>
      <c r="BG1358" s="1098" t="str">
        <f ca="1">IF(LEFT(BD1358,2)="RF",OFFSET(Pinlist!$D$1,Chart!BC1358,0)&amp;"_"&amp;OFFSET(Pinlist!$G$1,Chart!BC1358,0),"")</f>
        <v/>
      </c>
      <c r="BH1358" s="1098"/>
      <c r="BI1358" s="178"/>
      <c r="BJ1358" s="178"/>
      <c r="BK1358" s="178"/>
      <c r="BL1358" s="178"/>
      <c r="BM1358" s="178"/>
      <c r="BN1358" s="178"/>
      <c r="BO1358" s="178"/>
      <c r="BP1358" s="178"/>
      <c r="BQ1358" s="196"/>
      <c r="BR1358" s="196"/>
      <c r="BS1358" s="196"/>
      <c r="BT1358" s="196"/>
      <c r="BU1358" s="196"/>
      <c r="BV1358" s="196"/>
      <c r="BW1358" s="178"/>
      <c r="BX1358" s="196"/>
      <c r="BY1358" s="196"/>
      <c r="BZ1358" s="196"/>
      <c r="CA1358" s="196"/>
      <c r="CB1358" s="178"/>
      <c r="CC1358" s="178"/>
      <c r="CD1358" s="202"/>
      <c r="CE1358" s="202"/>
      <c r="CF1358" s="178"/>
      <c r="CG1358" s="196"/>
      <c r="CH1358" s="178"/>
      <c r="CI1358" s="178"/>
      <c r="CJ1358" s="178"/>
      <c r="CK1358" s="178"/>
      <c r="CL1358" s="178"/>
      <c r="CM1358" s="178"/>
      <c r="CN1358" s="178"/>
      <c r="CO1358" s="178"/>
      <c r="CP1358" s="178"/>
      <c r="CQ1358" s="178"/>
      <c r="CR1358" s="178"/>
      <c r="CS1358" s="178"/>
      <c r="CT1358" s="178"/>
      <c r="CU1358" s="178"/>
      <c r="CV1358" s="178"/>
      <c r="CW1358" s="178"/>
      <c r="CX1358" s="178"/>
      <c r="CY1358" s="178"/>
      <c r="CZ1358" s="178"/>
      <c r="DA1358" s="150"/>
    </row>
    <row r="1359" spans="53:105" x14ac:dyDescent="0.2">
      <c r="BA1359" s="518">
        <f t="shared" ca="1" si="76"/>
        <v>61</v>
      </c>
      <c r="BB1359" s="174">
        <f t="shared" ca="1" si="77"/>
        <v>1296</v>
      </c>
      <c r="BC1359" s="525" t="e">
        <f ca="1">MATCH(BD1359,OFFSET(Pinlist!$A$2,BC1358*(BA1359=BA1358),0,$BM$23,1),0)+BC1358*(BA1359=BA1358)</f>
        <v>#N/A</v>
      </c>
      <c r="BD1359" s="167">
        <f t="shared" ca="1" si="78"/>
        <v>0</v>
      </c>
      <c r="BE1359" s="191" t="e">
        <f ca="1">(OFFSET(Pinlist!$E$1,BC1359,0)-$BN$16)*$BN$19</f>
        <v>#N/A</v>
      </c>
      <c r="BF1359" s="192" t="e">
        <f ca="1">(OFFSET(Pinlist!$F$1,BC1359,0)-$BO$16)*$BO$19</f>
        <v>#N/A</v>
      </c>
      <c r="BG1359" s="1098" t="str">
        <f ca="1">IF(LEFT(BD1359,2)="RF",OFFSET(Pinlist!$D$1,Chart!BC1359,0)&amp;"_"&amp;OFFSET(Pinlist!$G$1,Chart!BC1359,0),"")</f>
        <v/>
      </c>
      <c r="BH1359" s="1098"/>
      <c r="BI1359" s="178"/>
      <c r="BJ1359" s="178"/>
      <c r="BK1359" s="178"/>
      <c r="BL1359" s="178"/>
      <c r="BM1359" s="178"/>
      <c r="BN1359" s="178"/>
      <c r="BO1359" s="178"/>
      <c r="BP1359" s="178"/>
      <c r="BQ1359" s="196"/>
      <c r="BR1359" s="196"/>
      <c r="BS1359" s="196"/>
      <c r="BT1359" s="196"/>
      <c r="BU1359" s="196"/>
      <c r="BV1359" s="196"/>
      <c r="BW1359" s="178"/>
      <c r="BX1359" s="196"/>
      <c r="BY1359" s="196"/>
      <c r="BZ1359" s="196"/>
      <c r="CA1359" s="196"/>
      <c r="CB1359" s="178"/>
      <c r="CC1359" s="178"/>
      <c r="CD1359" s="202"/>
      <c r="CE1359" s="202"/>
      <c r="CF1359" s="178"/>
      <c r="CG1359" s="196"/>
      <c r="CH1359" s="178"/>
      <c r="CI1359" s="178"/>
      <c r="CJ1359" s="178"/>
      <c r="CK1359" s="178"/>
      <c r="CL1359" s="178"/>
      <c r="CM1359" s="178"/>
      <c r="CN1359" s="178"/>
      <c r="CO1359" s="178"/>
      <c r="CP1359" s="178"/>
      <c r="CQ1359" s="178"/>
      <c r="CR1359" s="178"/>
      <c r="CS1359" s="178"/>
      <c r="CT1359" s="178"/>
      <c r="CU1359" s="178"/>
      <c r="CV1359" s="178"/>
      <c r="CW1359" s="178"/>
      <c r="CX1359" s="178"/>
      <c r="CY1359" s="178"/>
      <c r="CZ1359" s="178"/>
      <c r="DA1359" s="150"/>
    </row>
    <row r="1360" spans="53:105" x14ac:dyDescent="0.2">
      <c r="BA1360" s="518">
        <f t="shared" ca="1" si="76"/>
        <v>61</v>
      </c>
      <c r="BB1360" s="174">
        <f t="shared" ca="1" si="77"/>
        <v>1297</v>
      </c>
      <c r="BC1360" s="525" t="e">
        <f ca="1">MATCH(BD1360,OFFSET(Pinlist!$A$2,BC1359*(BA1360=BA1359),0,$BM$23,1),0)+BC1359*(BA1360=BA1359)</f>
        <v>#N/A</v>
      </c>
      <c r="BD1360" s="167">
        <f t="shared" ca="1" si="78"/>
        <v>0</v>
      </c>
      <c r="BE1360" s="191" t="e">
        <f ca="1">(OFFSET(Pinlist!$E$1,BC1360,0)-$BN$16)*$BN$19</f>
        <v>#N/A</v>
      </c>
      <c r="BF1360" s="192" t="e">
        <f ca="1">(OFFSET(Pinlist!$F$1,BC1360,0)-$BO$16)*$BO$19</f>
        <v>#N/A</v>
      </c>
      <c r="BG1360" s="1098" t="str">
        <f ca="1">IF(LEFT(BD1360,2)="RF",OFFSET(Pinlist!$D$1,Chart!BC1360,0)&amp;"_"&amp;OFFSET(Pinlist!$G$1,Chart!BC1360,0),"")</f>
        <v/>
      </c>
      <c r="BH1360" s="1098"/>
      <c r="BI1360" s="178"/>
      <c r="BJ1360" s="178"/>
      <c r="BK1360" s="178"/>
      <c r="BL1360" s="178"/>
      <c r="BM1360" s="178"/>
      <c r="BN1360" s="178"/>
      <c r="BO1360" s="178"/>
      <c r="BP1360" s="178"/>
      <c r="BQ1360" s="196"/>
      <c r="BR1360" s="196"/>
      <c r="BS1360" s="196"/>
      <c r="BT1360" s="196"/>
      <c r="BU1360" s="196"/>
      <c r="BV1360" s="196"/>
      <c r="BW1360" s="178"/>
      <c r="BX1360" s="196"/>
      <c r="BY1360" s="196"/>
      <c r="BZ1360" s="196"/>
      <c r="CA1360" s="196"/>
      <c r="CB1360" s="178"/>
      <c r="CC1360" s="178"/>
      <c r="CD1360" s="202"/>
      <c r="CE1360" s="202"/>
      <c r="CF1360" s="178"/>
      <c r="CG1360" s="196"/>
      <c r="CH1360" s="178"/>
      <c r="CI1360" s="178"/>
      <c r="CJ1360" s="178"/>
      <c r="CK1360" s="178"/>
      <c r="CL1360" s="178"/>
      <c r="CM1360" s="178"/>
      <c r="CN1360" s="178"/>
      <c r="CO1360" s="178"/>
      <c r="CP1360" s="178"/>
      <c r="CQ1360" s="178"/>
      <c r="CR1360" s="178"/>
      <c r="CS1360" s="178"/>
      <c r="CT1360" s="178"/>
      <c r="CU1360" s="178"/>
      <c r="CV1360" s="178"/>
      <c r="CW1360" s="178"/>
      <c r="CX1360" s="178"/>
      <c r="CY1360" s="178"/>
      <c r="CZ1360" s="178"/>
      <c r="DA1360" s="150"/>
    </row>
    <row r="1361" spans="53:105" x14ac:dyDescent="0.2">
      <c r="BA1361" s="518">
        <f t="shared" ca="1" si="76"/>
        <v>61</v>
      </c>
      <c r="BB1361" s="174">
        <f t="shared" ca="1" si="77"/>
        <v>1298</v>
      </c>
      <c r="BC1361" s="525" t="e">
        <f ca="1">MATCH(BD1361,OFFSET(Pinlist!$A$2,BC1360*(BA1361=BA1360),0,$BM$23,1),0)+BC1360*(BA1361=BA1360)</f>
        <v>#N/A</v>
      </c>
      <c r="BD1361" s="167">
        <f t="shared" ca="1" si="78"/>
        <v>0</v>
      </c>
      <c r="BE1361" s="191" t="e">
        <f ca="1">(OFFSET(Pinlist!$E$1,BC1361,0)-$BN$16)*$BN$19</f>
        <v>#N/A</v>
      </c>
      <c r="BF1361" s="192" t="e">
        <f ca="1">(OFFSET(Pinlist!$F$1,BC1361,0)-$BO$16)*$BO$19</f>
        <v>#N/A</v>
      </c>
      <c r="BG1361" s="1098" t="str">
        <f ca="1">IF(LEFT(BD1361,2)="RF",OFFSET(Pinlist!$D$1,Chart!BC1361,0)&amp;"_"&amp;OFFSET(Pinlist!$G$1,Chart!BC1361,0),"")</f>
        <v/>
      </c>
      <c r="BH1361" s="1098"/>
      <c r="BI1361" s="178"/>
      <c r="BJ1361" s="178"/>
      <c r="BK1361" s="178"/>
      <c r="BL1361" s="178"/>
      <c r="BM1361" s="178"/>
      <c r="BN1361" s="178"/>
      <c r="BO1361" s="178"/>
      <c r="BP1361" s="178"/>
      <c r="BQ1361" s="196"/>
      <c r="BR1361" s="196"/>
      <c r="BS1361" s="196"/>
      <c r="BT1361" s="196"/>
      <c r="BU1361" s="196"/>
      <c r="BV1361" s="196"/>
      <c r="BW1361" s="178"/>
      <c r="BX1361" s="196"/>
      <c r="BY1361" s="196"/>
      <c r="BZ1361" s="196"/>
      <c r="CA1361" s="196"/>
      <c r="CB1361" s="178"/>
      <c r="CC1361" s="178"/>
      <c r="CD1361" s="202"/>
      <c r="CE1361" s="202"/>
      <c r="CF1361" s="178"/>
      <c r="CG1361" s="196"/>
      <c r="CH1361" s="178"/>
      <c r="CI1361" s="178"/>
      <c r="CJ1361" s="178"/>
      <c r="CK1361" s="178"/>
      <c r="CL1361" s="178"/>
      <c r="CM1361" s="178"/>
      <c r="CN1361" s="178"/>
      <c r="CO1361" s="178"/>
      <c r="CP1361" s="178"/>
      <c r="CQ1361" s="178"/>
      <c r="CR1361" s="178"/>
      <c r="CS1361" s="178"/>
      <c r="CT1361" s="178"/>
      <c r="CU1361" s="178"/>
      <c r="CV1361" s="178"/>
      <c r="CW1361" s="178"/>
      <c r="CX1361" s="178"/>
      <c r="CY1361" s="178"/>
      <c r="CZ1361" s="178"/>
      <c r="DA1361" s="150"/>
    </row>
    <row r="1362" spans="53:105" x14ac:dyDescent="0.2">
      <c r="BA1362" s="518">
        <f t="shared" ca="1" si="76"/>
        <v>61</v>
      </c>
      <c r="BB1362" s="174">
        <f t="shared" ca="1" si="77"/>
        <v>1299</v>
      </c>
      <c r="BC1362" s="525" t="e">
        <f ca="1">MATCH(BD1362,OFFSET(Pinlist!$A$2,BC1361*(BA1362=BA1361),0,$BM$23,1),0)+BC1361*(BA1362=BA1361)</f>
        <v>#N/A</v>
      </c>
      <c r="BD1362" s="167">
        <f t="shared" ca="1" si="78"/>
        <v>0</v>
      </c>
      <c r="BE1362" s="191" t="e">
        <f ca="1">(OFFSET(Pinlist!$E$1,BC1362,0)-$BN$16)*$BN$19</f>
        <v>#N/A</v>
      </c>
      <c r="BF1362" s="192" t="e">
        <f ca="1">(OFFSET(Pinlist!$F$1,BC1362,0)-$BO$16)*$BO$19</f>
        <v>#N/A</v>
      </c>
      <c r="BG1362" s="1098" t="str">
        <f ca="1">IF(LEFT(BD1362,2)="RF",OFFSET(Pinlist!$D$1,Chart!BC1362,0)&amp;"_"&amp;OFFSET(Pinlist!$G$1,Chart!BC1362,0),"")</f>
        <v/>
      </c>
      <c r="BH1362" s="1098"/>
      <c r="BI1362" s="178"/>
      <c r="BJ1362" s="178"/>
      <c r="BK1362" s="178"/>
      <c r="BL1362" s="178"/>
      <c r="BM1362" s="178"/>
      <c r="BN1362" s="178"/>
      <c r="BO1362" s="178"/>
      <c r="BP1362" s="178"/>
      <c r="BQ1362" s="196"/>
      <c r="BR1362" s="196"/>
      <c r="BS1362" s="196"/>
      <c r="BT1362" s="196"/>
      <c r="BU1362" s="196"/>
      <c r="BV1362" s="196"/>
      <c r="BW1362" s="178"/>
      <c r="BX1362" s="196"/>
      <c r="BY1362" s="196"/>
      <c r="BZ1362" s="196"/>
      <c r="CA1362" s="196"/>
      <c r="CB1362" s="178"/>
      <c r="CC1362" s="178"/>
      <c r="CD1362" s="202"/>
      <c r="CE1362" s="202"/>
      <c r="CF1362" s="178"/>
      <c r="CG1362" s="196"/>
      <c r="CH1362" s="178"/>
      <c r="CI1362" s="178"/>
      <c r="CJ1362" s="178"/>
      <c r="CK1362" s="178"/>
      <c r="CL1362" s="178"/>
      <c r="CM1362" s="178"/>
      <c r="CN1362" s="178"/>
      <c r="CO1362" s="178"/>
      <c r="CP1362" s="178"/>
      <c r="CQ1362" s="178"/>
      <c r="CR1362" s="178"/>
      <c r="CS1362" s="178"/>
      <c r="CT1362" s="178"/>
      <c r="CU1362" s="178"/>
      <c r="CV1362" s="178"/>
      <c r="CW1362" s="178"/>
      <c r="CX1362" s="178"/>
      <c r="CY1362" s="178"/>
      <c r="CZ1362" s="178"/>
      <c r="DA1362" s="150"/>
    </row>
    <row r="1363" spans="53:105" x14ac:dyDescent="0.2">
      <c r="BA1363" s="518">
        <f t="shared" ca="1" si="76"/>
        <v>61</v>
      </c>
      <c r="BB1363" s="174">
        <f t="shared" ca="1" si="77"/>
        <v>1300</v>
      </c>
      <c r="BC1363" s="525" t="e">
        <f ca="1">MATCH(BD1363,OFFSET(Pinlist!$A$2,BC1362*(BA1363=BA1362),0,$BM$23,1),0)+BC1362*(BA1363=BA1362)</f>
        <v>#N/A</v>
      </c>
      <c r="BD1363" s="167">
        <f t="shared" ca="1" si="78"/>
        <v>0</v>
      </c>
      <c r="BE1363" s="191" t="e">
        <f ca="1">(OFFSET(Pinlist!$E$1,BC1363,0)-$BN$16)*$BN$19</f>
        <v>#N/A</v>
      </c>
      <c r="BF1363" s="192" t="e">
        <f ca="1">(OFFSET(Pinlist!$F$1,BC1363,0)-$BO$16)*$BO$19</f>
        <v>#N/A</v>
      </c>
      <c r="BG1363" s="1098" t="str">
        <f ca="1">IF(LEFT(BD1363,2)="RF",OFFSET(Pinlist!$D$1,Chart!BC1363,0)&amp;"_"&amp;OFFSET(Pinlist!$G$1,Chart!BC1363,0),"")</f>
        <v/>
      </c>
      <c r="BH1363" s="1098"/>
      <c r="BI1363" s="178"/>
      <c r="BJ1363" s="178"/>
      <c r="BK1363" s="178"/>
      <c r="BL1363" s="178"/>
      <c r="BM1363" s="178"/>
      <c r="BN1363" s="178"/>
      <c r="BO1363" s="178"/>
      <c r="BP1363" s="178"/>
      <c r="BQ1363" s="196"/>
      <c r="BR1363" s="196"/>
      <c r="BS1363" s="196"/>
      <c r="BT1363" s="196"/>
      <c r="BU1363" s="196"/>
      <c r="BV1363" s="196"/>
      <c r="BW1363" s="178"/>
      <c r="BX1363" s="196"/>
      <c r="BY1363" s="196"/>
      <c r="BZ1363" s="196"/>
      <c r="CA1363" s="196"/>
      <c r="CB1363" s="178"/>
      <c r="CC1363" s="178"/>
      <c r="CD1363" s="202"/>
      <c r="CE1363" s="202"/>
      <c r="CF1363" s="178"/>
      <c r="CG1363" s="196"/>
      <c r="CH1363" s="178"/>
      <c r="CI1363" s="178"/>
      <c r="CJ1363" s="178"/>
      <c r="CK1363" s="178"/>
      <c r="CL1363" s="178"/>
      <c r="CM1363" s="178"/>
      <c r="CN1363" s="178"/>
      <c r="CO1363" s="178"/>
      <c r="CP1363" s="178"/>
      <c r="CQ1363" s="178"/>
      <c r="CR1363" s="178"/>
      <c r="CS1363" s="178"/>
      <c r="CT1363" s="178"/>
      <c r="CU1363" s="178"/>
      <c r="CV1363" s="178"/>
      <c r="CW1363" s="178"/>
      <c r="CX1363" s="178"/>
      <c r="CY1363" s="178"/>
      <c r="CZ1363" s="178"/>
      <c r="DA1363" s="150"/>
    </row>
    <row r="1364" spans="53:105" x14ac:dyDescent="0.2">
      <c r="BA1364" s="518">
        <f t="shared" ca="1" si="76"/>
        <v>61</v>
      </c>
      <c r="BB1364" s="174">
        <f t="shared" ca="1" si="77"/>
        <v>1301</v>
      </c>
      <c r="BC1364" s="525" t="e">
        <f ca="1">MATCH(BD1364,OFFSET(Pinlist!$A$2,BC1363*(BA1364=BA1363),0,$BM$23,1),0)+BC1363*(BA1364=BA1363)</f>
        <v>#N/A</v>
      </c>
      <c r="BD1364" s="167">
        <f t="shared" ca="1" si="78"/>
        <v>0</v>
      </c>
      <c r="BE1364" s="191" t="e">
        <f ca="1">(OFFSET(Pinlist!$E$1,BC1364,0)-$BN$16)*$BN$19</f>
        <v>#N/A</v>
      </c>
      <c r="BF1364" s="192" t="e">
        <f ca="1">(OFFSET(Pinlist!$F$1,BC1364,0)-$BO$16)*$BO$19</f>
        <v>#N/A</v>
      </c>
      <c r="BG1364" s="1098" t="str">
        <f ca="1">IF(LEFT(BD1364,2)="RF",OFFSET(Pinlist!$D$1,Chart!BC1364,0)&amp;"_"&amp;OFFSET(Pinlist!$G$1,Chart!BC1364,0),"")</f>
        <v/>
      </c>
      <c r="BH1364" s="1098"/>
      <c r="BI1364" s="178"/>
      <c r="BJ1364" s="178"/>
      <c r="BK1364" s="178"/>
      <c r="BL1364" s="178"/>
      <c r="BM1364" s="178"/>
      <c r="BN1364" s="178"/>
      <c r="BO1364" s="178"/>
      <c r="BP1364" s="178"/>
      <c r="BQ1364" s="196"/>
      <c r="BR1364" s="196"/>
      <c r="BS1364" s="196"/>
      <c r="BT1364" s="196"/>
      <c r="BU1364" s="196"/>
      <c r="BV1364" s="196"/>
      <c r="BW1364" s="178"/>
      <c r="BX1364" s="196"/>
      <c r="BY1364" s="196"/>
      <c r="BZ1364" s="196"/>
      <c r="CA1364" s="196"/>
      <c r="CB1364" s="178"/>
      <c r="CC1364" s="178"/>
      <c r="CD1364" s="202"/>
      <c r="CE1364" s="202"/>
      <c r="CF1364" s="178"/>
      <c r="CG1364" s="196"/>
      <c r="CH1364" s="178"/>
      <c r="CI1364" s="178"/>
      <c r="CJ1364" s="178"/>
      <c r="CK1364" s="178"/>
      <c r="CL1364" s="178"/>
      <c r="CM1364" s="178"/>
      <c r="CN1364" s="178"/>
      <c r="CO1364" s="178"/>
      <c r="CP1364" s="178"/>
      <c r="CQ1364" s="178"/>
      <c r="CR1364" s="178"/>
      <c r="CS1364" s="178"/>
      <c r="CT1364" s="178"/>
      <c r="CU1364" s="178"/>
      <c r="CV1364" s="178"/>
      <c r="CW1364" s="178"/>
      <c r="CX1364" s="178"/>
      <c r="CY1364" s="178"/>
      <c r="CZ1364" s="178"/>
      <c r="DA1364" s="150"/>
    </row>
    <row r="1365" spans="53:105" x14ac:dyDescent="0.2">
      <c r="BA1365" s="518">
        <f t="shared" ca="1" si="76"/>
        <v>61</v>
      </c>
      <c r="BB1365" s="174">
        <f t="shared" ca="1" si="77"/>
        <v>1302</v>
      </c>
      <c r="BC1365" s="525" t="e">
        <f ca="1">MATCH(BD1365,OFFSET(Pinlist!$A$2,BC1364*(BA1365=BA1364),0,$BM$23,1),0)+BC1364*(BA1365=BA1364)</f>
        <v>#N/A</v>
      </c>
      <c r="BD1365" s="167">
        <f t="shared" ca="1" si="78"/>
        <v>0</v>
      </c>
      <c r="BE1365" s="191" t="e">
        <f ca="1">(OFFSET(Pinlist!$E$1,BC1365,0)-$BN$16)*$BN$19</f>
        <v>#N/A</v>
      </c>
      <c r="BF1365" s="192" t="e">
        <f ca="1">(OFFSET(Pinlist!$F$1,BC1365,0)-$BO$16)*$BO$19</f>
        <v>#N/A</v>
      </c>
      <c r="BG1365" s="1098" t="str">
        <f ca="1">IF(LEFT(BD1365,2)="RF",OFFSET(Pinlist!$D$1,Chart!BC1365,0)&amp;"_"&amp;OFFSET(Pinlist!$G$1,Chart!BC1365,0),"")</f>
        <v/>
      </c>
      <c r="BH1365" s="1098"/>
      <c r="BI1365" s="178"/>
      <c r="BJ1365" s="178"/>
      <c r="BK1365" s="178"/>
      <c r="BL1365" s="178"/>
      <c r="BM1365" s="178"/>
      <c r="BN1365" s="178"/>
      <c r="BO1365" s="178"/>
      <c r="BP1365" s="178"/>
      <c r="BQ1365" s="196"/>
      <c r="BR1365" s="196"/>
      <c r="BS1365" s="196"/>
      <c r="BT1365" s="196"/>
      <c r="BU1365" s="196"/>
      <c r="BV1365" s="196"/>
      <c r="BW1365" s="178"/>
      <c r="BX1365" s="196"/>
      <c r="BY1365" s="196"/>
      <c r="BZ1365" s="196"/>
      <c r="CA1365" s="196"/>
      <c r="CB1365" s="178"/>
      <c r="CC1365" s="178"/>
      <c r="CD1365" s="202"/>
      <c r="CE1365" s="202"/>
      <c r="CF1365" s="178"/>
      <c r="CG1365" s="196"/>
      <c r="CH1365" s="178"/>
      <c r="CI1365" s="178"/>
      <c r="CJ1365" s="178"/>
      <c r="CK1365" s="178"/>
      <c r="CL1365" s="178"/>
      <c r="CM1365" s="178"/>
      <c r="CN1365" s="178"/>
      <c r="CO1365" s="178"/>
      <c r="CP1365" s="178"/>
      <c r="CQ1365" s="178"/>
      <c r="CR1365" s="178"/>
      <c r="CS1365" s="178"/>
      <c r="CT1365" s="178"/>
      <c r="CU1365" s="178"/>
      <c r="CV1365" s="178"/>
      <c r="CW1365" s="178"/>
      <c r="CX1365" s="178"/>
      <c r="CY1365" s="178"/>
      <c r="CZ1365" s="178"/>
      <c r="DA1365" s="150"/>
    </row>
    <row r="1366" spans="53:105" x14ac:dyDescent="0.2">
      <c r="BA1366" s="518">
        <f t="shared" ca="1" si="76"/>
        <v>61</v>
      </c>
      <c r="BB1366" s="174">
        <f t="shared" ca="1" si="77"/>
        <v>1303</v>
      </c>
      <c r="BC1366" s="525" t="e">
        <f ca="1">MATCH(BD1366,OFFSET(Pinlist!$A$2,BC1365*(BA1366=BA1365),0,$BM$23,1),0)+BC1365*(BA1366=BA1365)</f>
        <v>#N/A</v>
      </c>
      <c r="BD1366" s="167">
        <f t="shared" ca="1" si="78"/>
        <v>0</v>
      </c>
      <c r="BE1366" s="191" t="e">
        <f ca="1">(OFFSET(Pinlist!$E$1,BC1366,0)-$BN$16)*$BN$19</f>
        <v>#N/A</v>
      </c>
      <c r="BF1366" s="192" t="e">
        <f ca="1">(OFFSET(Pinlist!$F$1,BC1366,0)-$BO$16)*$BO$19</f>
        <v>#N/A</v>
      </c>
      <c r="BG1366" s="1098" t="str">
        <f ca="1">IF(LEFT(BD1366,2)="RF",OFFSET(Pinlist!$D$1,Chart!BC1366,0)&amp;"_"&amp;OFFSET(Pinlist!$G$1,Chart!BC1366,0),"")</f>
        <v/>
      </c>
      <c r="BH1366" s="1098"/>
      <c r="BI1366" s="178"/>
      <c r="BJ1366" s="178"/>
      <c r="BK1366" s="178"/>
      <c r="BL1366" s="178"/>
      <c r="BM1366" s="178"/>
      <c r="BN1366" s="178"/>
      <c r="BO1366" s="178"/>
      <c r="BP1366" s="178"/>
      <c r="BQ1366" s="196"/>
      <c r="BR1366" s="196"/>
      <c r="BS1366" s="196"/>
      <c r="BT1366" s="196"/>
      <c r="BU1366" s="196"/>
      <c r="BV1366" s="196"/>
      <c r="BW1366" s="178"/>
      <c r="BX1366" s="196"/>
      <c r="BY1366" s="196"/>
      <c r="BZ1366" s="196"/>
      <c r="CA1366" s="196"/>
      <c r="CB1366" s="178"/>
      <c r="CC1366" s="178"/>
      <c r="CD1366" s="202"/>
      <c r="CE1366" s="202"/>
      <c r="CF1366" s="178"/>
      <c r="CG1366" s="196"/>
      <c r="CH1366" s="178"/>
      <c r="CI1366" s="178"/>
      <c r="CJ1366" s="178"/>
      <c r="CK1366" s="178"/>
      <c r="CL1366" s="178"/>
      <c r="CM1366" s="178"/>
      <c r="CN1366" s="178"/>
      <c r="CO1366" s="178"/>
      <c r="CP1366" s="178"/>
      <c r="CQ1366" s="178"/>
      <c r="CR1366" s="178"/>
      <c r="CS1366" s="178"/>
      <c r="CT1366" s="178"/>
      <c r="CU1366" s="178"/>
      <c r="CV1366" s="178"/>
      <c r="CW1366" s="178"/>
      <c r="CX1366" s="178"/>
      <c r="CY1366" s="178"/>
      <c r="CZ1366" s="178"/>
      <c r="DA1366" s="150"/>
    </row>
    <row r="1367" spans="53:105" x14ac:dyDescent="0.2">
      <c r="BA1367" s="518">
        <f t="shared" ca="1" si="76"/>
        <v>61</v>
      </c>
      <c r="BB1367" s="174">
        <f t="shared" ca="1" si="77"/>
        <v>1304</v>
      </c>
      <c r="BC1367" s="525" t="e">
        <f ca="1">MATCH(BD1367,OFFSET(Pinlist!$A$2,BC1366*(BA1367=BA1366),0,$BM$23,1),0)+BC1366*(BA1367=BA1366)</f>
        <v>#N/A</v>
      </c>
      <c r="BD1367" s="167">
        <f t="shared" ca="1" si="78"/>
        <v>0</v>
      </c>
      <c r="BE1367" s="191" t="e">
        <f ca="1">(OFFSET(Pinlist!$E$1,BC1367,0)-$BN$16)*$BN$19</f>
        <v>#N/A</v>
      </c>
      <c r="BF1367" s="192" t="e">
        <f ca="1">(OFFSET(Pinlist!$F$1,BC1367,0)-$BO$16)*$BO$19</f>
        <v>#N/A</v>
      </c>
      <c r="BG1367" s="1098" t="str">
        <f ca="1">IF(LEFT(BD1367,2)="RF",OFFSET(Pinlist!$D$1,Chart!BC1367,0)&amp;"_"&amp;OFFSET(Pinlist!$G$1,Chart!BC1367,0),"")</f>
        <v/>
      </c>
      <c r="BH1367" s="1098"/>
      <c r="BI1367" s="178"/>
      <c r="BJ1367" s="178"/>
      <c r="BK1367" s="178"/>
      <c r="BL1367" s="178"/>
      <c r="BM1367" s="178"/>
      <c r="BN1367" s="178"/>
      <c r="BO1367" s="178"/>
      <c r="BP1367" s="178"/>
      <c r="BQ1367" s="196"/>
      <c r="BR1367" s="196"/>
      <c r="BS1367" s="196"/>
      <c r="BT1367" s="196"/>
      <c r="BU1367" s="196"/>
      <c r="BV1367" s="196"/>
      <c r="BW1367" s="178"/>
      <c r="BX1367" s="196"/>
      <c r="BY1367" s="196"/>
      <c r="BZ1367" s="196"/>
      <c r="CA1367" s="196"/>
      <c r="CB1367" s="178"/>
      <c r="CC1367" s="178"/>
      <c r="CD1367" s="202"/>
      <c r="CE1367" s="202"/>
      <c r="CF1367" s="178"/>
      <c r="CG1367" s="196"/>
      <c r="CH1367" s="178"/>
      <c r="CI1367" s="178"/>
      <c r="CJ1367" s="178"/>
      <c r="CK1367" s="178"/>
      <c r="CL1367" s="178"/>
      <c r="CM1367" s="178"/>
      <c r="CN1367" s="178"/>
      <c r="CO1367" s="178"/>
      <c r="CP1367" s="178"/>
      <c r="CQ1367" s="178"/>
      <c r="CR1367" s="178"/>
      <c r="CS1367" s="178"/>
      <c r="CT1367" s="178"/>
      <c r="CU1367" s="178"/>
      <c r="CV1367" s="178"/>
      <c r="CW1367" s="178"/>
      <c r="CX1367" s="178"/>
      <c r="CY1367" s="178"/>
      <c r="CZ1367" s="178"/>
      <c r="DA1367" s="150"/>
    </row>
    <row r="1368" spans="53:105" x14ac:dyDescent="0.2">
      <c r="BA1368" s="518">
        <f t="shared" ca="1" si="76"/>
        <v>61</v>
      </c>
      <c r="BB1368" s="174">
        <f t="shared" ca="1" si="77"/>
        <v>1305</v>
      </c>
      <c r="BC1368" s="525" t="e">
        <f ca="1">MATCH(BD1368,OFFSET(Pinlist!$A$2,BC1367*(BA1368=BA1367),0,$BM$23,1),0)+BC1367*(BA1368=BA1367)</f>
        <v>#N/A</v>
      </c>
      <c r="BD1368" s="167">
        <f t="shared" ca="1" si="78"/>
        <v>0</v>
      </c>
      <c r="BE1368" s="191" t="e">
        <f ca="1">(OFFSET(Pinlist!$E$1,BC1368,0)-$BN$16)*$BN$19</f>
        <v>#N/A</v>
      </c>
      <c r="BF1368" s="192" t="e">
        <f ca="1">(OFFSET(Pinlist!$F$1,BC1368,0)-$BO$16)*$BO$19</f>
        <v>#N/A</v>
      </c>
      <c r="BG1368" s="1098" t="str">
        <f ca="1">IF(LEFT(BD1368,2)="RF",OFFSET(Pinlist!$D$1,Chart!BC1368,0)&amp;"_"&amp;OFFSET(Pinlist!$G$1,Chart!BC1368,0),"")</f>
        <v/>
      </c>
      <c r="BH1368" s="1098"/>
      <c r="BI1368" s="178"/>
      <c r="BJ1368" s="178"/>
      <c r="BK1368" s="178"/>
      <c r="BL1368" s="178"/>
      <c r="BM1368" s="178"/>
      <c r="BN1368" s="178"/>
      <c r="BO1368" s="178"/>
      <c r="BP1368" s="178"/>
      <c r="BQ1368" s="196"/>
      <c r="BR1368" s="196"/>
      <c r="BS1368" s="196"/>
      <c r="BT1368" s="196"/>
      <c r="BU1368" s="196"/>
      <c r="BV1368" s="196"/>
      <c r="BW1368" s="178"/>
      <c r="BX1368" s="196"/>
      <c r="BY1368" s="196"/>
      <c r="BZ1368" s="196"/>
      <c r="CA1368" s="196"/>
      <c r="CB1368" s="178"/>
      <c r="CC1368" s="178"/>
      <c r="CD1368" s="202"/>
      <c r="CE1368" s="202"/>
      <c r="CF1368" s="178"/>
      <c r="CG1368" s="196"/>
      <c r="CH1368" s="178"/>
      <c r="CI1368" s="178"/>
      <c r="CJ1368" s="178"/>
      <c r="CK1368" s="178"/>
      <c r="CL1368" s="178"/>
      <c r="CM1368" s="178"/>
      <c r="CN1368" s="178"/>
      <c r="CO1368" s="178"/>
      <c r="CP1368" s="178"/>
      <c r="CQ1368" s="178"/>
      <c r="CR1368" s="178"/>
      <c r="CS1368" s="178"/>
      <c r="CT1368" s="178"/>
      <c r="CU1368" s="178"/>
      <c r="CV1368" s="178"/>
      <c r="CW1368" s="178"/>
      <c r="CX1368" s="178"/>
      <c r="CY1368" s="178"/>
      <c r="CZ1368" s="178"/>
      <c r="DA1368" s="150"/>
    </row>
    <row r="1369" spans="53:105" x14ac:dyDescent="0.2">
      <c r="BA1369" s="518">
        <f t="shared" ca="1" si="76"/>
        <v>61</v>
      </c>
      <c r="BB1369" s="174">
        <f t="shared" ca="1" si="77"/>
        <v>1306</v>
      </c>
      <c r="BC1369" s="525" t="e">
        <f ca="1">MATCH(BD1369,OFFSET(Pinlist!$A$2,BC1368*(BA1369=BA1368),0,$BM$23,1),0)+BC1368*(BA1369=BA1368)</f>
        <v>#N/A</v>
      </c>
      <c r="BD1369" s="167">
        <f t="shared" ca="1" si="78"/>
        <v>0</v>
      </c>
      <c r="BE1369" s="191" t="e">
        <f ca="1">(OFFSET(Pinlist!$E$1,BC1369,0)-$BN$16)*$BN$19</f>
        <v>#N/A</v>
      </c>
      <c r="BF1369" s="192" t="e">
        <f ca="1">(OFFSET(Pinlist!$F$1,BC1369,0)-$BO$16)*$BO$19</f>
        <v>#N/A</v>
      </c>
      <c r="BG1369" s="1098" t="str">
        <f ca="1">IF(LEFT(BD1369,2)="RF",OFFSET(Pinlist!$D$1,Chart!BC1369,0)&amp;"_"&amp;OFFSET(Pinlist!$G$1,Chart!BC1369,0),"")</f>
        <v/>
      </c>
      <c r="BH1369" s="1098"/>
      <c r="BI1369" s="178"/>
      <c r="BJ1369" s="178"/>
      <c r="BK1369" s="178"/>
      <c r="BL1369" s="178"/>
      <c r="BM1369" s="178"/>
      <c r="BN1369" s="178"/>
      <c r="BO1369" s="178"/>
      <c r="BP1369" s="178"/>
      <c r="BQ1369" s="196"/>
      <c r="BR1369" s="196"/>
      <c r="BS1369" s="196"/>
      <c r="BT1369" s="196"/>
      <c r="BU1369" s="196"/>
      <c r="BV1369" s="196"/>
      <c r="BW1369" s="178"/>
      <c r="BX1369" s="196"/>
      <c r="BY1369" s="196"/>
      <c r="BZ1369" s="196"/>
      <c r="CA1369" s="196"/>
      <c r="CB1369" s="178"/>
      <c r="CC1369" s="178"/>
      <c r="CD1369" s="202"/>
      <c r="CE1369" s="202"/>
      <c r="CF1369" s="178"/>
      <c r="CG1369" s="196"/>
      <c r="CH1369" s="178"/>
      <c r="CI1369" s="178"/>
      <c r="CJ1369" s="178"/>
      <c r="CK1369" s="178"/>
      <c r="CL1369" s="178"/>
      <c r="CM1369" s="178"/>
      <c r="CN1369" s="178"/>
      <c r="CO1369" s="178"/>
      <c r="CP1369" s="178"/>
      <c r="CQ1369" s="178"/>
      <c r="CR1369" s="178"/>
      <c r="CS1369" s="178"/>
      <c r="CT1369" s="178"/>
      <c r="CU1369" s="178"/>
      <c r="CV1369" s="178"/>
      <c r="CW1369" s="178"/>
      <c r="CX1369" s="178"/>
      <c r="CY1369" s="178"/>
      <c r="CZ1369" s="178"/>
      <c r="DA1369" s="150"/>
    </row>
    <row r="1370" spans="53:105" x14ac:dyDescent="0.2">
      <c r="BA1370" s="518">
        <f t="shared" ca="1" si="76"/>
        <v>61</v>
      </c>
      <c r="BB1370" s="174">
        <f t="shared" ca="1" si="77"/>
        <v>1307</v>
      </c>
      <c r="BC1370" s="525" t="e">
        <f ca="1">MATCH(BD1370,OFFSET(Pinlist!$A$2,BC1369*(BA1370=BA1369),0,$BM$23,1),0)+BC1369*(BA1370=BA1369)</f>
        <v>#N/A</v>
      </c>
      <c r="BD1370" s="167">
        <f t="shared" ca="1" si="78"/>
        <v>0</v>
      </c>
      <c r="BE1370" s="191" t="e">
        <f ca="1">(OFFSET(Pinlist!$E$1,BC1370,0)-$BN$16)*$BN$19</f>
        <v>#N/A</v>
      </c>
      <c r="BF1370" s="192" t="e">
        <f ca="1">(OFFSET(Pinlist!$F$1,BC1370,0)-$BO$16)*$BO$19</f>
        <v>#N/A</v>
      </c>
      <c r="BG1370" s="1098" t="str">
        <f ca="1">IF(LEFT(BD1370,2)="RF",OFFSET(Pinlist!$D$1,Chart!BC1370,0)&amp;"_"&amp;OFFSET(Pinlist!$G$1,Chart!BC1370,0),"")</f>
        <v/>
      </c>
      <c r="BH1370" s="1098"/>
      <c r="BI1370" s="178"/>
      <c r="BJ1370" s="178"/>
      <c r="BK1370" s="178"/>
      <c r="BL1370" s="178"/>
      <c r="BM1370" s="178"/>
      <c r="BN1370" s="178"/>
      <c r="BO1370" s="178"/>
      <c r="BP1370" s="178"/>
      <c r="BQ1370" s="196"/>
      <c r="BR1370" s="196"/>
      <c r="BS1370" s="196"/>
      <c r="BT1370" s="196"/>
      <c r="BU1370" s="196"/>
      <c r="BV1370" s="196"/>
      <c r="BW1370" s="178"/>
      <c r="BX1370" s="196"/>
      <c r="BY1370" s="196"/>
      <c r="BZ1370" s="196"/>
      <c r="CA1370" s="196"/>
      <c r="CB1370" s="178"/>
      <c r="CC1370" s="178"/>
      <c r="CD1370" s="202"/>
      <c r="CE1370" s="202"/>
      <c r="CF1370" s="178"/>
      <c r="CG1370" s="196"/>
      <c r="CH1370" s="178"/>
      <c r="CI1370" s="178"/>
      <c r="CJ1370" s="178"/>
      <c r="CK1370" s="178"/>
      <c r="CL1370" s="178"/>
      <c r="CM1370" s="178"/>
      <c r="CN1370" s="178"/>
      <c r="CO1370" s="178"/>
      <c r="CP1370" s="178"/>
      <c r="CQ1370" s="178"/>
      <c r="CR1370" s="178"/>
      <c r="CS1370" s="178"/>
      <c r="CT1370" s="178"/>
      <c r="CU1370" s="178"/>
      <c r="CV1370" s="178"/>
      <c r="CW1370" s="178"/>
      <c r="CX1370" s="178"/>
      <c r="CY1370" s="178"/>
      <c r="CZ1370" s="178"/>
      <c r="DA1370" s="150"/>
    </row>
    <row r="1371" spans="53:105" x14ac:dyDescent="0.2">
      <c r="BA1371" s="518">
        <f t="shared" ca="1" si="76"/>
        <v>61</v>
      </c>
      <c r="BB1371" s="174">
        <f t="shared" ca="1" si="77"/>
        <v>1308</v>
      </c>
      <c r="BC1371" s="525" t="e">
        <f ca="1">MATCH(BD1371,OFFSET(Pinlist!$A$2,BC1370*(BA1371=BA1370),0,$BM$23,1),0)+BC1370*(BA1371=BA1370)</f>
        <v>#N/A</v>
      </c>
      <c r="BD1371" s="167">
        <f t="shared" ca="1" si="78"/>
        <v>0</v>
      </c>
      <c r="BE1371" s="191" t="e">
        <f ca="1">(OFFSET(Pinlist!$E$1,BC1371,0)-$BN$16)*$BN$19</f>
        <v>#N/A</v>
      </c>
      <c r="BF1371" s="192" t="e">
        <f ca="1">(OFFSET(Pinlist!$F$1,BC1371,0)-$BO$16)*$BO$19</f>
        <v>#N/A</v>
      </c>
      <c r="BG1371" s="1098" t="str">
        <f ca="1">IF(LEFT(BD1371,2)="RF",OFFSET(Pinlist!$D$1,Chart!BC1371,0)&amp;"_"&amp;OFFSET(Pinlist!$G$1,Chart!BC1371,0),"")</f>
        <v/>
      </c>
      <c r="BH1371" s="1098"/>
      <c r="BI1371" s="178"/>
      <c r="BJ1371" s="178"/>
      <c r="BK1371" s="178"/>
      <c r="BL1371" s="178"/>
      <c r="BM1371" s="178"/>
      <c r="BN1371" s="178"/>
      <c r="BO1371" s="178"/>
      <c r="BP1371" s="178"/>
      <c r="BQ1371" s="196"/>
      <c r="BR1371" s="196"/>
      <c r="BS1371" s="196"/>
      <c r="BT1371" s="196"/>
      <c r="BU1371" s="196"/>
      <c r="BV1371" s="196"/>
      <c r="BW1371" s="178"/>
      <c r="BX1371" s="196"/>
      <c r="BY1371" s="196"/>
      <c r="BZ1371" s="196"/>
      <c r="CA1371" s="196"/>
      <c r="CB1371" s="178"/>
      <c r="CC1371" s="178"/>
      <c r="CD1371" s="202"/>
      <c r="CE1371" s="202"/>
      <c r="CF1371" s="178"/>
      <c r="CG1371" s="196"/>
      <c r="CH1371" s="178"/>
      <c r="CI1371" s="178"/>
      <c r="CJ1371" s="178"/>
      <c r="CK1371" s="178"/>
      <c r="CL1371" s="178"/>
      <c r="CM1371" s="178"/>
      <c r="CN1371" s="178"/>
      <c r="CO1371" s="178"/>
      <c r="CP1371" s="178"/>
      <c r="CQ1371" s="178"/>
      <c r="CR1371" s="178"/>
      <c r="CS1371" s="178"/>
      <c r="CT1371" s="178"/>
      <c r="CU1371" s="178"/>
      <c r="CV1371" s="178"/>
      <c r="CW1371" s="178"/>
      <c r="CX1371" s="178"/>
      <c r="CY1371" s="178"/>
      <c r="CZ1371" s="178"/>
      <c r="DA1371" s="150"/>
    </row>
    <row r="1372" spans="53:105" x14ac:dyDescent="0.2">
      <c r="BA1372" s="518">
        <f t="shared" ca="1" si="76"/>
        <v>61</v>
      </c>
      <c r="BB1372" s="174">
        <f t="shared" ca="1" si="77"/>
        <v>1309</v>
      </c>
      <c r="BC1372" s="525" t="e">
        <f ca="1">MATCH(BD1372,OFFSET(Pinlist!$A$2,BC1371*(BA1372=BA1371),0,$BM$23,1),0)+BC1371*(BA1372=BA1371)</f>
        <v>#N/A</v>
      </c>
      <c r="BD1372" s="167">
        <f t="shared" ca="1" si="78"/>
        <v>0</v>
      </c>
      <c r="BE1372" s="191" t="e">
        <f ca="1">(OFFSET(Pinlist!$E$1,BC1372,0)-$BN$16)*$BN$19</f>
        <v>#N/A</v>
      </c>
      <c r="BF1372" s="192" t="e">
        <f ca="1">(OFFSET(Pinlist!$F$1,BC1372,0)-$BO$16)*$BO$19</f>
        <v>#N/A</v>
      </c>
      <c r="BG1372" s="1098" t="str">
        <f ca="1">IF(LEFT(BD1372,2)="RF",OFFSET(Pinlist!$D$1,Chart!BC1372,0)&amp;"_"&amp;OFFSET(Pinlist!$G$1,Chart!BC1372,0),"")</f>
        <v/>
      </c>
      <c r="BH1372" s="1098"/>
      <c r="BI1372" s="178"/>
      <c r="BJ1372" s="178"/>
      <c r="BK1372" s="178"/>
      <c r="BL1372" s="178"/>
      <c r="BM1372" s="178"/>
      <c r="BN1372" s="178"/>
      <c r="BO1372" s="178"/>
      <c r="BP1372" s="178"/>
      <c r="BQ1372" s="196"/>
      <c r="BR1372" s="196"/>
      <c r="BS1372" s="196"/>
      <c r="BT1372" s="196"/>
      <c r="BU1372" s="196"/>
      <c r="BV1372" s="196"/>
      <c r="BW1372" s="178"/>
      <c r="BX1372" s="196"/>
      <c r="BY1372" s="196"/>
      <c r="BZ1372" s="196"/>
      <c r="CA1372" s="196"/>
      <c r="CB1372" s="178"/>
      <c r="CC1372" s="178"/>
      <c r="CD1372" s="202"/>
      <c r="CE1372" s="202"/>
      <c r="CF1372" s="178"/>
      <c r="CG1372" s="196"/>
      <c r="CH1372" s="178"/>
      <c r="CI1372" s="178"/>
      <c r="CJ1372" s="178"/>
      <c r="CK1372" s="178"/>
      <c r="CL1372" s="178"/>
      <c r="CM1372" s="178"/>
      <c r="CN1372" s="178"/>
      <c r="CO1372" s="178"/>
      <c r="CP1372" s="178"/>
      <c r="CQ1372" s="178"/>
      <c r="CR1372" s="178"/>
      <c r="CS1372" s="178"/>
      <c r="CT1372" s="178"/>
      <c r="CU1372" s="178"/>
      <c r="CV1372" s="178"/>
      <c r="CW1372" s="178"/>
      <c r="CX1372" s="178"/>
      <c r="CY1372" s="178"/>
      <c r="CZ1372" s="178"/>
      <c r="DA1372" s="150"/>
    </row>
    <row r="1373" spans="53:105" x14ac:dyDescent="0.2">
      <c r="BA1373" s="518">
        <f t="shared" ca="1" si="76"/>
        <v>61</v>
      </c>
      <c r="BB1373" s="174">
        <f t="shared" ca="1" si="77"/>
        <v>1310</v>
      </c>
      <c r="BC1373" s="525" t="e">
        <f ca="1">MATCH(BD1373,OFFSET(Pinlist!$A$2,BC1372*(BA1373=BA1372),0,$BM$23,1),0)+BC1372*(BA1373=BA1372)</f>
        <v>#N/A</v>
      </c>
      <c r="BD1373" s="167">
        <f t="shared" ca="1" si="78"/>
        <v>0</v>
      </c>
      <c r="BE1373" s="191" t="e">
        <f ca="1">(OFFSET(Pinlist!$E$1,BC1373,0)-$BN$16)*$BN$19</f>
        <v>#N/A</v>
      </c>
      <c r="BF1373" s="192" t="e">
        <f ca="1">(OFFSET(Pinlist!$F$1,BC1373,0)-$BO$16)*$BO$19</f>
        <v>#N/A</v>
      </c>
      <c r="BG1373" s="1098" t="str">
        <f ca="1">IF(LEFT(BD1373,2)="RF",OFFSET(Pinlist!$D$1,Chart!BC1373,0)&amp;"_"&amp;OFFSET(Pinlist!$G$1,Chart!BC1373,0),"")</f>
        <v/>
      </c>
      <c r="BH1373" s="1098"/>
      <c r="BI1373" s="178"/>
      <c r="BJ1373" s="178"/>
      <c r="BK1373" s="178"/>
      <c r="BL1373" s="178"/>
      <c r="BM1373" s="178"/>
      <c r="BN1373" s="178"/>
      <c r="BO1373" s="178"/>
      <c r="BP1373" s="178"/>
      <c r="BQ1373" s="196"/>
      <c r="BR1373" s="196"/>
      <c r="BS1373" s="196"/>
      <c r="BT1373" s="196"/>
      <c r="BU1373" s="196"/>
      <c r="BV1373" s="196"/>
      <c r="BW1373" s="178"/>
      <c r="BX1373" s="196"/>
      <c r="BY1373" s="196"/>
      <c r="BZ1373" s="196"/>
      <c r="CA1373" s="196"/>
      <c r="CB1373" s="178"/>
      <c r="CC1373" s="178"/>
      <c r="CD1373" s="202"/>
      <c r="CE1373" s="202"/>
      <c r="CF1373" s="178"/>
      <c r="CG1373" s="196"/>
      <c r="CH1373" s="178"/>
      <c r="CI1373" s="178"/>
      <c r="CJ1373" s="178"/>
      <c r="CK1373" s="178"/>
      <c r="CL1373" s="178"/>
      <c r="CM1373" s="178"/>
      <c r="CN1373" s="178"/>
      <c r="CO1373" s="178"/>
      <c r="CP1373" s="178"/>
      <c r="CQ1373" s="178"/>
      <c r="CR1373" s="178"/>
      <c r="CS1373" s="178"/>
      <c r="CT1373" s="178"/>
      <c r="CU1373" s="178"/>
      <c r="CV1373" s="178"/>
      <c r="CW1373" s="178"/>
      <c r="CX1373" s="178"/>
      <c r="CY1373" s="178"/>
      <c r="CZ1373" s="178"/>
      <c r="DA1373" s="150"/>
    </row>
    <row r="1374" spans="53:105" x14ac:dyDescent="0.2">
      <c r="BA1374" s="518">
        <f t="shared" ca="1" si="76"/>
        <v>61</v>
      </c>
      <c r="BB1374" s="174">
        <f t="shared" ca="1" si="77"/>
        <v>1311</v>
      </c>
      <c r="BC1374" s="525" t="e">
        <f ca="1">MATCH(BD1374,OFFSET(Pinlist!$A$2,BC1373*(BA1374=BA1373),0,$BM$23,1),0)+BC1373*(BA1374=BA1373)</f>
        <v>#N/A</v>
      </c>
      <c r="BD1374" s="167">
        <f t="shared" ca="1" si="78"/>
        <v>0</v>
      </c>
      <c r="BE1374" s="191" t="e">
        <f ca="1">(OFFSET(Pinlist!$E$1,BC1374,0)-$BN$16)*$BN$19</f>
        <v>#N/A</v>
      </c>
      <c r="BF1374" s="192" t="e">
        <f ca="1">(OFFSET(Pinlist!$F$1,BC1374,0)-$BO$16)*$BO$19</f>
        <v>#N/A</v>
      </c>
      <c r="BG1374" s="1098" t="str">
        <f ca="1">IF(LEFT(BD1374,2)="RF",OFFSET(Pinlist!$D$1,Chart!BC1374,0)&amp;"_"&amp;OFFSET(Pinlist!$G$1,Chart!BC1374,0),"")</f>
        <v/>
      </c>
      <c r="BH1374" s="1098"/>
      <c r="BI1374" s="178"/>
      <c r="BJ1374" s="178"/>
      <c r="BK1374" s="178"/>
      <c r="BL1374" s="178"/>
      <c r="BM1374" s="178"/>
      <c r="BN1374" s="178"/>
      <c r="BO1374" s="178"/>
      <c r="BP1374" s="178"/>
      <c r="BQ1374" s="196"/>
      <c r="BR1374" s="196"/>
      <c r="BS1374" s="196"/>
      <c r="BT1374" s="196"/>
      <c r="BU1374" s="196"/>
      <c r="BV1374" s="196"/>
      <c r="BW1374" s="178"/>
      <c r="BX1374" s="196"/>
      <c r="BY1374" s="196"/>
      <c r="BZ1374" s="196"/>
      <c r="CA1374" s="196"/>
      <c r="CB1374" s="178"/>
      <c r="CC1374" s="178"/>
      <c r="CD1374" s="202"/>
      <c r="CE1374" s="202"/>
      <c r="CF1374" s="178"/>
      <c r="CG1374" s="196"/>
      <c r="CH1374" s="178"/>
      <c r="CI1374" s="178"/>
      <c r="CJ1374" s="178"/>
      <c r="CK1374" s="178"/>
      <c r="CL1374" s="178"/>
      <c r="CM1374" s="178"/>
      <c r="CN1374" s="178"/>
      <c r="CO1374" s="178"/>
      <c r="CP1374" s="178"/>
      <c r="CQ1374" s="178"/>
      <c r="CR1374" s="178"/>
      <c r="CS1374" s="178"/>
      <c r="CT1374" s="178"/>
      <c r="CU1374" s="178"/>
      <c r="CV1374" s="178"/>
      <c r="CW1374" s="178"/>
      <c r="CX1374" s="178"/>
      <c r="CY1374" s="178"/>
      <c r="CZ1374" s="178"/>
      <c r="DA1374" s="150"/>
    </row>
    <row r="1375" spans="53:105" x14ac:dyDescent="0.2">
      <c r="BA1375" s="518">
        <f t="shared" ca="1" si="76"/>
        <v>61</v>
      </c>
      <c r="BB1375" s="174">
        <f t="shared" ca="1" si="77"/>
        <v>1312</v>
      </c>
      <c r="BC1375" s="525" t="e">
        <f ca="1">MATCH(BD1375,OFFSET(Pinlist!$A$2,BC1374*(BA1375=BA1374),0,$BM$23,1),0)+BC1374*(BA1375=BA1374)</f>
        <v>#N/A</v>
      </c>
      <c r="BD1375" s="167">
        <f t="shared" ca="1" si="78"/>
        <v>0</v>
      </c>
      <c r="BE1375" s="191" t="e">
        <f ca="1">(OFFSET(Pinlist!$E$1,BC1375,0)-$BN$16)*$BN$19</f>
        <v>#N/A</v>
      </c>
      <c r="BF1375" s="192" t="e">
        <f ca="1">(OFFSET(Pinlist!$F$1,BC1375,0)-$BO$16)*$BO$19</f>
        <v>#N/A</v>
      </c>
      <c r="BG1375" s="1098" t="str">
        <f ca="1">IF(LEFT(BD1375,2)="RF",OFFSET(Pinlist!$D$1,Chart!BC1375,0)&amp;"_"&amp;OFFSET(Pinlist!$G$1,Chart!BC1375,0),"")</f>
        <v/>
      </c>
      <c r="BH1375" s="1098"/>
      <c r="BI1375" s="178"/>
      <c r="BJ1375" s="178"/>
      <c r="BK1375" s="178"/>
      <c r="BL1375" s="178"/>
      <c r="BM1375" s="178"/>
      <c r="BN1375" s="178"/>
      <c r="BO1375" s="178"/>
      <c r="BP1375" s="178"/>
      <c r="BQ1375" s="196"/>
      <c r="BR1375" s="196"/>
      <c r="BS1375" s="196"/>
      <c r="BT1375" s="196"/>
      <c r="BU1375" s="196"/>
      <c r="BV1375" s="196"/>
      <c r="BW1375" s="178"/>
      <c r="BX1375" s="196"/>
      <c r="BY1375" s="196"/>
      <c r="BZ1375" s="196"/>
      <c r="CA1375" s="196"/>
      <c r="CB1375" s="178"/>
      <c r="CC1375" s="178"/>
      <c r="CD1375" s="202"/>
      <c r="CE1375" s="202"/>
      <c r="CF1375" s="178"/>
      <c r="CG1375" s="196"/>
      <c r="CH1375" s="178"/>
      <c r="CI1375" s="178"/>
      <c r="CJ1375" s="178"/>
      <c r="CK1375" s="178"/>
      <c r="CL1375" s="178"/>
      <c r="CM1375" s="178"/>
      <c r="CN1375" s="178"/>
      <c r="CO1375" s="178"/>
      <c r="CP1375" s="178"/>
      <c r="CQ1375" s="178"/>
      <c r="CR1375" s="178"/>
      <c r="CS1375" s="178"/>
      <c r="CT1375" s="178"/>
      <c r="CU1375" s="178"/>
      <c r="CV1375" s="178"/>
      <c r="CW1375" s="178"/>
      <c r="CX1375" s="178"/>
      <c r="CY1375" s="178"/>
      <c r="CZ1375" s="178"/>
      <c r="DA1375" s="150"/>
    </row>
    <row r="1376" spans="53:105" x14ac:dyDescent="0.2">
      <c r="BA1376" s="518">
        <f t="shared" ca="1" si="76"/>
        <v>61</v>
      </c>
      <c r="BB1376" s="174">
        <f t="shared" ca="1" si="77"/>
        <v>1313</v>
      </c>
      <c r="BC1376" s="525" t="e">
        <f ca="1">MATCH(BD1376,OFFSET(Pinlist!$A$2,BC1375*(BA1376=BA1375),0,$BM$23,1),0)+BC1375*(BA1376=BA1375)</f>
        <v>#N/A</v>
      </c>
      <c r="BD1376" s="167">
        <f t="shared" ca="1" si="78"/>
        <v>0</v>
      </c>
      <c r="BE1376" s="191" t="e">
        <f ca="1">(OFFSET(Pinlist!$E$1,BC1376,0)-$BN$16)*$BN$19</f>
        <v>#N/A</v>
      </c>
      <c r="BF1376" s="192" t="e">
        <f ca="1">(OFFSET(Pinlist!$F$1,BC1376,0)-$BO$16)*$BO$19</f>
        <v>#N/A</v>
      </c>
      <c r="BG1376" s="1098" t="str">
        <f ca="1">IF(LEFT(BD1376,2)="RF",OFFSET(Pinlist!$D$1,Chart!BC1376,0)&amp;"_"&amp;OFFSET(Pinlist!$G$1,Chart!BC1376,0),"")</f>
        <v/>
      </c>
      <c r="BH1376" s="1098"/>
      <c r="BI1376" s="178"/>
      <c r="BJ1376" s="178"/>
      <c r="BK1376" s="178"/>
      <c r="BL1376" s="178"/>
      <c r="BM1376" s="178"/>
      <c r="BN1376" s="178"/>
      <c r="BO1376" s="178"/>
      <c r="BP1376" s="178"/>
      <c r="BQ1376" s="196"/>
      <c r="BR1376" s="196"/>
      <c r="BS1376" s="196"/>
      <c r="BT1376" s="196"/>
      <c r="BU1376" s="196"/>
      <c r="BV1376" s="196"/>
      <c r="BW1376" s="178"/>
      <c r="BX1376" s="196"/>
      <c r="BY1376" s="196"/>
      <c r="BZ1376" s="196"/>
      <c r="CA1376" s="196"/>
      <c r="CB1376" s="178"/>
      <c r="CC1376" s="178"/>
      <c r="CD1376" s="202"/>
      <c r="CE1376" s="202"/>
      <c r="CF1376" s="178"/>
      <c r="CG1376" s="196"/>
      <c r="CH1376" s="178"/>
      <c r="CI1376" s="178"/>
      <c r="CJ1376" s="178"/>
      <c r="CK1376" s="178"/>
      <c r="CL1376" s="178"/>
      <c r="CM1376" s="178"/>
      <c r="CN1376" s="178"/>
      <c r="CO1376" s="178"/>
      <c r="CP1376" s="178"/>
      <c r="CQ1376" s="178"/>
      <c r="CR1376" s="178"/>
      <c r="CS1376" s="178"/>
      <c r="CT1376" s="178"/>
      <c r="CU1376" s="178"/>
      <c r="CV1376" s="178"/>
      <c r="CW1376" s="178"/>
      <c r="CX1376" s="178"/>
      <c r="CY1376" s="178"/>
      <c r="CZ1376" s="178"/>
      <c r="DA1376" s="150"/>
    </row>
    <row r="1377" spans="53:105" x14ac:dyDescent="0.2">
      <c r="BA1377" s="518">
        <f t="shared" ca="1" si="76"/>
        <v>61</v>
      </c>
      <c r="BB1377" s="174">
        <f t="shared" ca="1" si="77"/>
        <v>1314</v>
      </c>
      <c r="BC1377" s="525" t="e">
        <f ca="1">MATCH(BD1377,OFFSET(Pinlist!$A$2,BC1376*(BA1377=BA1376),0,$BM$23,1),0)+BC1376*(BA1377=BA1376)</f>
        <v>#N/A</v>
      </c>
      <c r="BD1377" s="167">
        <f t="shared" ca="1" si="78"/>
        <v>0</v>
      </c>
      <c r="BE1377" s="191" t="e">
        <f ca="1">(OFFSET(Pinlist!$E$1,BC1377,0)-$BN$16)*$BN$19</f>
        <v>#N/A</v>
      </c>
      <c r="BF1377" s="192" t="e">
        <f ca="1">(OFFSET(Pinlist!$F$1,BC1377,0)-$BO$16)*$BO$19</f>
        <v>#N/A</v>
      </c>
      <c r="BG1377" s="1098" t="str">
        <f ca="1">IF(LEFT(BD1377,2)="RF",OFFSET(Pinlist!$D$1,Chart!BC1377,0)&amp;"_"&amp;OFFSET(Pinlist!$G$1,Chart!BC1377,0),"")</f>
        <v/>
      </c>
      <c r="BH1377" s="1098"/>
      <c r="BI1377" s="178"/>
      <c r="BJ1377" s="178"/>
      <c r="BK1377" s="178"/>
      <c r="BL1377" s="178"/>
      <c r="BM1377" s="178"/>
      <c r="BN1377" s="178"/>
      <c r="BO1377" s="178"/>
      <c r="BP1377" s="178"/>
      <c r="BQ1377" s="196"/>
      <c r="BR1377" s="196"/>
      <c r="BS1377" s="196"/>
      <c r="BT1377" s="196"/>
      <c r="BU1377" s="196"/>
      <c r="BV1377" s="196"/>
      <c r="BW1377" s="178"/>
      <c r="BX1377" s="196"/>
      <c r="BY1377" s="196"/>
      <c r="BZ1377" s="196"/>
      <c r="CA1377" s="196"/>
      <c r="CB1377" s="178"/>
      <c r="CC1377" s="178"/>
      <c r="CD1377" s="202"/>
      <c r="CE1377" s="202"/>
      <c r="CF1377" s="178"/>
      <c r="CG1377" s="196"/>
      <c r="CH1377" s="178"/>
      <c r="CI1377" s="178"/>
      <c r="CJ1377" s="178"/>
      <c r="CK1377" s="178"/>
      <c r="CL1377" s="178"/>
      <c r="CM1377" s="178"/>
      <c r="CN1377" s="178"/>
      <c r="CO1377" s="178"/>
      <c r="CP1377" s="178"/>
      <c r="CQ1377" s="178"/>
      <c r="CR1377" s="178"/>
      <c r="CS1377" s="178"/>
      <c r="CT1377" s="178"/>
      <c r="CU1377" s="178"/>
      <c r="CV1377" s="178"/>
      <c r="CW1377" s="178"/>
      <c r="CX1377" s="178"/>
      <c r="CY1377" s="178"/>
      <c r="CZ1377" s="178"/>
      <c r="DA1377" s="150"/>
    </row>
    <row r="1378" spans="53:105" x14ac:dyDescent="0.2">
      <c r="BA1378" s="518">
        <f t="shared" ca="1" si="76"/>
        <v>61</v>
      </c>
      <c r="BB1378" s="174">
        <f t="shared" ca="1" si="77"/>
        <v>1315</v>
      </c>
      <c r="BC1378" s="525" t="e">
        <f ca="1">MATCH(BD1378,OFFSET(Pinlist!$A$2,BC1377*(BA1378=BA1377),0,$BM$23,1),0)+BC1377*(BA1378=BA1377)</f>
        <v>#N/A</v>
      </c>
      <c r="BD1378" s="167">
        <f t="shared" ca="1" si="78"/>
        <v>0</v>
      </c>
      <c r="BE1378" s="191" t="e">
        <f ca="1">(OFFSET(Pinlist!$E$1,BC1378,0)-$BN$16)*$BN$19</f>
        <v>#N/A</v>
      </c>
      <c r="BF1378" s="192" t="e">
        <f ca="1">(OFFSET(Pinlist!$F$1,BC1378,0)-$BO$16)*$BO$19</f>
        <v>#N/A</v>
      </c>
      <c r="BG1378" s="1098" t="str">
        <f ca="1">IF(LEFT(BD1378,2)="RF",OFFSET(Pinlist!$D$1,Chart!BC1378,0)&amp;"_"&amp;OFFSET(Pinlist!$G$1,Chart!BC1378,0),"")</f>
        <v/>
      </c>
      <c r="BH1378" s="1098"/>
      <c r="BI1378" s="178"/>
      <c r="BJ1378" s="178"/>
      <c r="BK1378" s="178"/>
      <c r="BL1378" s="178"/>
      <c r="BM1378" s="178"/>
      <c r="BN1378" s="178"/>
      <c r="BO1378" s="178"/>
      <c r="BP1378" s="178"/>
      <c r="BQ1378" s="196"/>
      <c r="BR1378" s="196"/>
      <c r="BS1378" s="196"/>
      <c r="BT1378" s="196"/>
      <c r="BU1378" s="196"/>
      <c r="BV1378" s="196"/>
      <c r="BW1378" s="178"/>
      <c r="BX1378" s="196"/>
      <c r="BY1378" s="196"/>
      <c r="BZ1378" s="196"/>
      <c r="CA1378" s="196"/>
      <c r="CB1378" s="178"/>
      <c r="CC1378" s="178"/>
      <c r="CD1378" s="202"/>
      <c r="CE1378" s="202"/>
      <c r="CF1378" s="178"/>
      <c r="CG1378" s="196"/>
      <c r="CH1378" s="178"/>
      <c r="CI1378" s="178"/>
      <c r="CJ1378" s="178"/>
      <c r="CK1378" s="178"/>
      <c r="CL1378" s="178"/>
      <c r="CM1378" s="178"/>
      <c r="CN1378" s="178"/>
      <c r="CO1378" s="178"/>
      <c r="CP1378" s="178"/>
      <c r="CQ1378" s="178"/>
      <c r="CR1378" s="178"/>
      <c r="CS1378" s="178"/>
      <c r="CT1378" s="178"/>
      <c r="CU1378" s="178"/>
      <c r="CV1378" s="178"/>
      <c r="CW1378" s="178"/>
      <c r="CX1378" s="178"/>
      <c r="CY1378" s="178"/>
      <c r="CZ1378" s="178"/>
      <c r="DA1378" s="150"/>
    </row>
    <row r="1379" spans="53:105" x14ac:dyDescent="0.2">
      <c r="BA1379" s="518">
        <f t="shared" ca="1" si="76"/>
        <v>61</v>
      </c>
      <c r="BB1379" s="174">
        <f t="shared" ca="1" si="77"/>
        <v>1316</v>
      </c>
      <c r="BC1379" s="525" t="e">
        <f ca="1">MATCH(BD1379,OFFSET(Pinlist!$A$2,BC1378*(BA1379=BA1378),0,$BM$23,1),0)+BC1378*(BA1379=BA1378)</f>
        <v>#N/A</v>
      </c>
      <c r="BD1379" s="167">
        <f t="shared" ca="1" si="78"/>
        <v>0</v>
      </c>
      <c r="BE1379" s="191" t="e">
        <f ca="1">(OFFSET(Pinlist!$E$1,BC1379,0)-$BN$16)*$BN$19</f>
        <v>#N/A</v>
      </c>
      <c r="BF1379" s="192" t="e">
        <f ca="1">(OFFSET(Pinlist!$F$1,BC1379,0)-$BO$16)*$BO$19</f>
        <v>#N/A</v>
      </c>
      <c r="BG1379" s="1098" t="str">
        <f ca="1">IF(LEFT(BD1379,2)="RF",OFFSET(Pinlist!$D$1,Chart!BC1379,0)&amp;"_"&amp;OFFSET(Pinlist!$G$1,Chart!BC1379,0),"")</f>
        <v/>
      </c>
      <c r="BH1379" s="1098"/>
      <c r="BI1379" s="178"/>
      <c r="BJ1379" s="178"/>
      <c r="BK1379" s="178"/>
      <c r="BL1379" s="178"/>
      <c r="BM1379" s="178"/>
      <c r="BN1379" s="178"/>
      <c r="BO1379" s="178"/>
      <c r="BP1379" s="178"/>
      <c r="BQ1379" s="196"/>
      <c r="BR1379" s="196"/>
      <c r="BS1379" s="196"/>
      <c r="BT1379" s="196"/>
      <c r="BU1379" s="196"/>
      <c r="BV1379" s="196"/>
      <c r="BW1379" s="178"/>
      <c r="BX1379" s="196"/>
      <c r="BY1379" s="196"/>
      <c r="BZ1379" s="196"/>
      <c r="CA1379" s="196"/>
      <c r="CB1379" s="178"/>
      <c r="CC1379" s="178"/>
      <c r="CD1379" s="202"/>
      <c r="CE1379" s="202"/>
      <c r="CF1379" s="178"/>
      <c r="CG1379" s="196"/>
      <c r="CH1379" s="178"/>
      <c r="CI1379" s="178"/>
      <c r="CJ1379" s="178"/>
      <c r="CK1379" s="178"/>
      <c r="CL1379" s="178"/>
      <c r="CM1379" s="178"/>
      <c r="CN1379" s="178"/>
      <c r="CO1379" s="178"/>
      <c r="CP1379" s="178"/>
      <c r="CQ1379" s="178"/>
      <c r="CR1379" s="178"/>
      <c r="CS1379" s="178"/>
      <c r="CT1379" s="178"/>
      <c r="CU1379" s="178"/>
      <c r="CV1379" s="178"/>
      <c r="CW1379" s="178"/>
      <c r="CX1379" s="178"/>
      <c r="CY1379" s="178"/>
      <c r="CZ1379" s="178"/>
      <c r="DA1379" s="150"/>
    </row>
    <row r="1380" spans="53:105" x14ac:dyDescent="0.2">
      <c r="BA1380" s="518">
        <f t="shared" ca="1" si="76"/>
        <v>61</v>
      </c>
      <c r="BB1380" s="174">
        <f t="shared" ca="1" si="77"/>
        <v>1317</v>
      </c>
      <c r="BC1380" s="525" t="e">
        <f ca="1">MATCH(BD1380,OFFSET(Pinlist!$A$2,BC1379*(BA1380=BA1379),0,$BM$23,1),0)+BC1379*(BA1380=BA1379)</f>
        <v>#N/A</v>
      </c>
      <c r="BD1380" s="167">
        <f t="shared" ca="1" si="78"/>
        <v>0</v>
      </c>
      <c r="BE1380" s="191" t="e">
        <f ca="1">(OFFSET(Pinlist!$E$1,BC1380,0)-$BN$16)*$BN$19</f>
        <v>#N/A</v>
      </c>
      <c r="BF1380" s="192" t="e">
        <f ca="1">(OFFSET(Pinlist!$F$1,BC1380,0)-$BO$16)*$BO$19</f>
        <v>#N/A</v>
      </c>
      <c r="BG1380" s="1098" t="str">
        <f ca="1">IF(LEFT(BD1380,2)="RF",OFFSET(Pinlist!$D$1,Chart!BC1380,0)&amp;"_"&amp;OFFSET(Pinlist!$G$1,Chart!BC1380,0),"")</f>
        <v/>
      </c>
      <c r="BH1380" s="1098"/>
      <c r="BI1380" s="178"/>
      <c r="BJ1380" s="178"/>
      <c r="BK1380" s="178"/>
      <c r="BL1380" s="178"/>
      <c r="BM1380" s="178"/>
      <c r="BN1380" s="178"/>
      <c r="BO1380" s="178"/>
      <c r="BP1380" s="178"/>
      <c r="BQ1380" s="196"/>
      <c r="BR1380" s="196"/>
      <c r="BS1380" s="196"/>
      <c r="BT1380" s="196"/>
      <c r="BU1380" s="196"/>
      <c r="BV1380" s="196"/>
      <c r="BW1380" s="178"/>
      <c r="BX1380" s="196"/>
      <c r="BY1380" s="196"/>
      <c r="BZ1380" s="196"/>
      <c r="CA1380" s="196"/>
      <c r="CB1380" s="178"/>
      <c r="CC1380" s="178"/>
      <c r="CD1380" s="202"/>
      <c r="CE1380" s="202"/>
      <c r="CF1380" s="178"/>
      <c r="CG1380" s="196"/>
      <c r="CH1380" s="178"/>
      <c r="CI1380" s="178"/>
      <c r="CJ1380" s="178"/>
      <c r="CK1380" s="178"/>
      <c r="CL1380" s="178"/>
      <c r="CM1380" s="178"/>
      <c r="CN1380" s="178"/>
      <c r="CO1380" s="178"/>
      <c r="CP1380" s="178"/>
      <c r="CQ1380" s="178"/>
      <c r="CR1380" s="178"/>
      <c r="CS1380" s="178"/>
      <c r="CT1380" s="178"/>
      <c r="CU1380" s="178"/>
      <c r="CV1380" s="178"/>
      <c r="CW1380" s="178"/>
      <c r="CX1380" s="178"/>
      <c r="CY1380" s="178"/>
      <c r="CZ1380" s="178"/>
      <c r="DA1380" s="150"/>
    </row>
    <row r="1381" spans="53:105" x14ac:dyDescent="0.2">
      <c r="BA1381" s="518">
        <f t="shared" ca="1" si="76"/>
        <v>61</v>
      </c>
      <c r="BB1381" s="174">
        <f t="shared" ca="1" si="77"/>
        <v>1318</v>
      </c>
      <c r="BC1381" s="525" t="e">
        <f ca="1">MATCH(BD1381,OFFSET(Pinlist!$A$2,BC1380*(BA1381=BA1380),0,$BM$23,1),0)+BC1380*(BA1381=BA1380)</f>
        <v>#N/A</v>
      </c>
      <c r="BD1381" s="167">
        <f t="shared" ca="1" si="78"/>
        <v>0</v>
      </c>
      <c r="BE1381" s="191" t="e">
        <f ca="1">(OFFSET(Pinlist!$E$1,BC1381,0)-$BN$16)*$BN$19</f>
        <v>#N/A</v>
      </c>
      <c r="BF1381" s="192" t="e">
        <f ca="1">(OFFSET(Pinlist!$F$1,BC1381,0)-$BO$16)*$BO$19</f>
        <v>#N/A</v>
      </c>
      <c r="BG1381" s="1098" t="str">
        <f ca="1">IF(LEFT(BD1381,2)="RF",OFFSET(Pinlist!$D$1,Chart!BC1381,0)&amp;"_"&amp;OFFSET(Pinlist!$G$1,Chart!BC1381,0),"")</f>
        <v/>
      </c>
      <c r="BH1381" s="1098"/>
      <c r="BI1381" s="178"/>
      <c r="BJ1381" s="178"/>
      <c r="BK1381" s="178"/>
      <c r="BL1381" s="178"/>
      <c r="BM1381" s="178"/>
      <c r="BN1381" s="178"/>
      <c r="BO1381" s="178"/>
      <c r="BP1381" s="178"/>
      <c r="BQ1381" s="196"/>
      <c r="BR1381" s="196"/>
      <c r="BS1381" s="196"/>
      <c r="BT1381" s="196"/>
      <c r="BU1381" s="196"/>
      <c r="BV1381" s="196"/>
      <c r="BW1381" s="178"/>
      <c r="BX1381" s="196"/>
      <c r="BY1381" s="196"/>
      <c r="BZ1381" s="196"/>
      <c r="CA1381" s="196"/>
      <c r="CB1381" s="178"/>
      <c r="CC1381" s="178"/>
      <c r="CD1381" s="202"/>
      <c r="CE1381" s="202"/>
      <c r="CF1381" s="178"/>
      <c r="CG1381" s="196"/>
      <c r="CH1381" s="178"/>
      <c r="CI1381" s="178"/>
      <c r="CJ1381" s="178"/>
      <c r="CK1381" s="178"/>
      <c r="CL1381" s="178"/>
      <c r="CM1381" s="178"/>
      <c r="CN1381" s="178"/>
      <c r="CO1381" s="178"/>
      <c r="CP1381" s="178"/>
      <c r="CQ1381" s="178"/>
      <c r="CR1381" s="178"/>
      <c r="CS1381" s="178"/>
      <c r="CT1381" s="178"/>
      <c r="CU1381" s="178"/>
      <c r="CV1381" s="178"/>
      <c r="CW1381" s="178"/>
      <c r="CX1381" s="178"/>
      <c r="CY1381" s="178"/>
      <c r="CZ1381" s="178"/>
      <c r="DA1381" s="150"/>
    </row>
    <row r="1382" spans="53:105" x14ac:dyDescent="0.2">
      <c r="BA1382" s="518">
        <f t="shared" ca="1" si="76"/>
        <v>61</v>
      </c>
      <c r="BB1382" s="174">
        <f t="shared" ca="1" si="77"/>
        <v>1319</v>
      </c>
      <c r="BC1382" s="525" t="e">
        <f ca="1">MATCH(BD1382,OFFSET(Pinlist!$A$2,BC1381*(BA1382=BA1381),0,$BM$23,1),0)+BC1381*(BA1382=BA1381)</f>
        <v>#N/A</v>
      </c>
      <c r="BD1382" s="167">
        <f t="shared" ca="1" si="78"/>
        <v>0</v>
      </c>
      <c r="BE1382" s="191" t="e">
        <f ca="1">(OFFSET(Pinlist!$E$1,BC1382,0)-$BN$16)*$BN$19</f>
        <v>#N/A</v>
      </c>
      <c r="BF1382" s="192" t="e">
        <f ca="1">(OFFSET(Pinlist!$F$1,BC1382,0)-$BO$16)*$BO$19</f>
        <v>#N/A</v>
      </c>
      <c r="BG1382" s="1098" t="str">
        <f ca="1">IF(LEFT(BD1382,2)="RF",OFFSET(Pinlist!$D$1,Chart!BC1382,0)&amp;"_"&amp;OFFSET(Pinlist!$G$1,Chart!BC1382,0),"")</f>
        <v/>
      </c>
      <c r="BH1382" s="1098"/>
      <c r="BI1382" s="178"/>
      <c r="BJ1382" s="178"/>
      <c r="BK1382" s="178"/>
      <c r="BL1382" s="178"/>
      <c r="BM1382" s="178"/>
      <c r="BN1382" s="178"/>
      <c r="BO1382" s="178"/>
      <c r="BP1382" s="178"/>
      <c r="BQ1382" s="196"/>
      <c r="BR1382" s="196"/>
      <c r="BS1382" s="196"/>
      <c r="BT1382" s="196"/>
      <c r="BU1382" s="196"/>
      <c r="BV1382" s="196"/>
      <c r="BW1382" s="178"/>
      <c r="BX1382" s="196"/>
      <c r="BY1382" s="196"/>
      <c r="BZ1382" s="196"/>
      <c r="CA1382" s="196"/>
      <c r="CB1382" s="178"/>
      <c r="CC1382" s="178"/>
      <c r="CD1382" s="202"/>
      <c r="CE1382" s="202"/>
      <c r="CF1382" s="178"/>
      <c r="CG1382" s="196"/>
      <c r="CH1382" s="178"/>
      <c r="CI1382" s="178"/>
      <c r="CJ1382" s="178"/>
      <c r="CK1382" s="178"/>
      <c r="CL1382" s="178"/>
      <c r="CM1382" s="178"/>
      <c r="CN1382" s="178"/>
      <c r="CO1382" s="178"/>
      <c r="CP1382" s="178"/>
      <c r="CQ1382" s="178"/>
      <c r="CR1382" s="178"/>
      <c r="CS1382" s="178"/>
      <c r="CT1382" s="178"/>
      <c r="CU1382" s="178"/>
      <c r="CV1382" s="178"/>
      <c r="CW1382" s="178"/>
      <c r="CX1382" s="178"/>
      <c r="CY1382" s="178"/>
      <c r="CZ1382" s="178"/>
      <c r="DA1382" s="150"/>
    </row>
    <row r="1383" spans="53:105" x14ac:dyDescent="0.2">
      <c r="BA1383" s="518">
        <f t="shared" ca="1" si="76"/>
        <v>61</v>
      </c>
      <c r="BB1383" s="174">
        <f t="shared" ca="1" si="77"/>
        <v>1320</v>
      </c>
      <c r="BC1383" s="525" t="e">
        <f ca="1">MATCH(BD1383,OFFSET(Pinlist!$A$2,BC1382*(BA1383=BA1382),0,$BM$23,1),0)+BC1382*(BA1383=BA1382)</f>
        <v>#N/A</v>
      </c>
      <c r="BD1383" s="167">
        <f t="shared" ca="1" si="78"/>
        <v>0</v>
      </c>
      <c r="BE1383" s="191" t="e">
        <f ca="1">(OFFSET(Pinlist!$E$1,BC1383,0)-$BN$16)*$BN$19</f>
        <v>#N/A</v>
      </c>
      <c r="BF1383" s="192" t="e">
        <f ca="1">(OFFSET(Pinlist!$F$1,BC1383,0)-$BO$16)*$BO$19</f>
        <v>#N/A</v>
      </c>
      <c r="BG1383" s="1098" t="str">
        <f ca="1">IF(LEFT(BD1383,2)="RF",OFFSET(Pinlist!$D$1,Chart!BC1383,0)&amp;"_"&amp;OFFSET(Pinlist!$G$1,Chart!BC1383,0),"")</f>
        <v/>
      </c>
      <c r="BH1383" s="1098"/>
      <c r="BI1383" s="178"/>
      <c r="BJ1383" s="178"/>
      <c r="BK1383" s="178"/>
      <c r="BL1383" s="178"/>
      <c r="BM1383" s="178"/>
      <c r="BN1383" s="178"/>
      <c r="BO1383" s="178"/>
      <c r="BP1383" s="178"/>
      <c r="BQ1383" s="196"/>
      <c r="BR1383" s="196"/>
      <c r="BS1383" s="196"/>
      <c r="BT1383" s="196"/>
      <c r="BU1383" s="196"/>
      <c r="BV1383" s="196"/>
      <c r="BW1383" s="178"/>
      <c r="BX1383" s="196"/>
      <c r="BY1383" s="196"/>
      <c r="BZ1383" s="196"/>
      <c r="CA1383" s="196"/>
      <c r="CB1383" s="178"/>
      <c r="CC1383" s="178"/>
      <c r="CD1383" s="202"/>
      <c r="CE1383" s="202"/>
      <c r="CF1383" s="178"/>
      <c r="CG1383" s="196"/>
      <c r="CH1383" s="178"/>
      <c r="CI1383" s="178"/>
      <c r="CJ1383" s="178"/>
      <c r="CK1383" s="178"/>
      <c r="CL1383" s="178"/>
      <c r="CM1383" s="178"/>
      <c r="CN1383" s="178"/>
      <c r="CO1383" s="178"/>
      <c r="CP1383" s="178"/>
      <c r="CQ1383" s="178"/>
      <c r="CR1383" s="178"/>
      <c r="CS1383" s="178"/>
      <c r="CT1383" s="178"/>
      <c r="CU1383" s="178"/>
      <c r="CV1383" s="178"/>
      <c r="CW1383" s="178"/>
      <c r="CX1383" s="178"/>
      <c r="CY1383" s="178"/>
      <c r="CZ1383" s="178"/>
      <c r="DA1383" s="150"/>
    </row>
    <row r="1384" spans="53:105" x14ac:dyDescent="0.2">
      <c r="BA1384" s="518">
        <f t="shared" ca="1" si="76"/>
        <v>61</v>
      </c>
      <c r="BB1384" s="174">
        <f t="shared" ca="1" si="77"/>
        <v>1321</v>
      </c>
      <c r="BC1384" s="525" t="e">
        <f ca="1">MATCH(BD1384,OFFSET(Pinlist!$A$2,BC1383*(BA1384=BA1383),0,$BM$23,1),0)+BC1383*(BA1384=BA1383)</f>
        <v>#N/A</v>
      </c>
      <c r="BD1384" s="167">
        <f t="shared" ca="1" si="78"/>
        <v>0</v>
      </c>
      <c r="BE1384" s="191" t="e">
        <f ca="1">(OFFSET(Pinlist!$E$1,BC1384,0)-$BN$16)*$BN$19</f>
        <v>#N/A</v>
      </c>
      <c r="BF1384" s="192" t="e">
        <f ca="1">(OFFSET(Pinlist!$F$1,BC1384,0)-$BO$16)*$BO$19</f>
        <v>#N/A</v>
      </c>
      <c r="BG1384" s="1098" t="str">
        <f ca="1">IF(LEFT(BD1384,2)="RF",OFFSET(Pinlist!$D$1,Chart!BC1384,0)&amp;"_"&amp;OFFSET(Pinlist!$G$1,Chart!BC1384,0),"")</f>
        <v/>
      </c>
      <c r="BH1384" s="1098"/>
      <c r="BI1384" s="178"/>
      <c r="BJ1384" s="178"/>
      <c r="BK1384" s="178"/>
      <c r="BL1384" s="178"/>
      <c r="BM1384" s="178"/>
      <c r="BN1384" s="178"/>
      <c r="BO1384" s="178"/>
      <c r="BP1384" s="178"/>
      <c r="BQ1384" s="196"/>
      <c r="BR1384" s="196"/>
      <c r="BS1384" s="196"/>
      <c r="BT1384" s="196"/>
      <c r="BU1384" s="196"/>
      <c r="BV1384" s="196"/>
      <c r="BW1384" s="178"/>
      <c r="BX1384" s="196"/>
      <c r="BY1384" s="196"/>
      <c r="BZ1384" s="196"/>
      <c r="CA1384" s="196"/>
      <c r="CB1384" s="178"/>
      <c r="CC1384" s="178"/>
      <c r="CD1384" s="202"/>
      <c r="CE1384" s="202"/>
      <c r="CF1384" s="178"/>
      <c r="CG1384" s="196"/>
      <c r="CH1384" s="178"/>
      <c r="CI1384" s="178"/>
      <c r="CJ1384" s="178"/>
      <c r="CK1384" s="178"/>
      <c r="CL1384" s="178"/>
      <c r="CM1384" s="178"/>
      <c r="CN1384" s="178"/>
      <c r="CO1384" s="178"/>
      <c r="CP1384" s="178"/>
      <c r="CQ1384" s="178"/>
      <c r="CR1384" s="178"/>
      <c r="CS1384" s="178"/>
      <c r="CT1384" s="178"/>
      <c r="CU1384" s="178"/>
      <c r="CV1384" s="178"/>
      <c r="CW1384" s="178"/>
      <c r="CX1384" s="178"/>
      <c r="CY1384" s="178"/>
      <c r="CZ1384" s="178"/>
      <c r="DA1384" s="150"/>
    </row>
    <row r="1385" spans="53:105" x14ac:dyDescent="0.2">
      <c r="BA1385" s="518">
        <f t="shared" ca="1" si="76"/>
        <v>61</v>
      </c>
      <c r="BB1385" s="174">
        <f t="shared" ca="1" si="77"/>
        <v>1322</v>
      </c>
      <c r="BC1385" s="525" t="e">
        <f ca="1">MATCH(BD1385,OFFSET(Pinlist!$A$2,BC1384*(BA1385=BA1384),0,$BM$23,1),0)+BC1384*(BA1385=BA1384)</f>
        <v>#N/A</v>
      </c>
      <c r="BD1385" s="167">
        <f t="shared" ca="1" si="78"/>
        <v>0</v>
      </c>
      <c r="BE1385" s="191" t="e">
        <f ca="1">(OFFSET(Pinlist!$E$1,BC1385,0)-$BN$16)*$BN$19</f>
        <v>#N/A</v>
      </c>
      <c r="BF1385" s="192" t="e">
        <f ca="1">(OFFSET(Pinlist!$F$1,BC1385,0)-$BO$16)*$BO$19</f>
        <v>#N/A</v>
      </c>
      <c r="BG1385" s="1098" t="str">
        <f ca="1">IF(LEFT(BD1385,2)="RF",OFFSET(Pinlist!$D$1,Chart!BC1385,0)&amp;"_"&amp;OFFSET(Pinlist!$G$1,Chart!BC1385,0),"")</f>
        <v/>
      </c>
      <c r="BH1385" s="1098"/>
      <c r="BI1385" s="178"/>
      <c r="BJ1385" s="178"/>
      <c r="BK1385" s="178"/>
      <c r="BL1385" s="178"/>
      <c r="BM1385" s="178"/>
      <c r="BN1385" s="178"/>
      <c r="BO1385" s="178"/>
      <c r="BP1385" s="178"/>
      <c r="BQ1385" s="196"/>
      <c r="BR1385" s="196"/>
      <c r="BS1385" s="196"/>
      <c r="BT1385" s="196"/>
      <c r="BU1385" s="196"/>
      <c r="BV1385" s="196"/>
      <c r="BW1385" s="178"/>
      <c r="BX1385" s="196"/>
      <c r="BY1385" s="196"/>
      <c r="BZ1385" s="196"/>
      <c r="CA1385" s="196"/>
      <c r="CB1385" s="178"/>
      <c r="CC1385" s="178"/>
      <c r="CD1385" s="202"/>
      <c r="CE1385" s="202"/>
      <c r="CF1385" s="178"/>
      <c r="CG1385" s="196"/>
      <c r="CH1385" s="178"/>
      <c r="CI1385" s="178"/>
      <c r="CJ1385" s="178"/>
      <c r="CK1385" s="178"/>
      <c r="CL1385" s="178"/>
      <c r="CM1385" s="178"/>
      <c r="CN1385" s="178"/>
      <c r="CO1385" s="178"/>
      <c r="CP1385" s="178"/>
      <c r="CQ1385" s="178"/>
      <c r="CR1385" s="178"/>
      <c r="CS1385" s="178"/>
      <c r="CT1385" s="178"/>
      <c r="CU1385" s="178"/>
      <c r="CV1385" s="178"/>
      <c r="CW1385" s="178"/>
      <c r="CX1385" s="178"/>
      <c r="CY1385" s="178"/>
      <c r="CZ1385" s="178"/>
      <c r="DA1385" s="150"/>
    </row>
    <row r="1386" spans="53:105" x14ac:dyDescent="0.2">
      <c r="BA1386" s="518">
        <f t="shared" ca="1" si="76"/>
        <v>61</v>
      </c>
      <c r="BB1386" s="174">
        <f t="shared" ca="1" si="77"/>
        <v>1323</v>
      </c>
      <c r="BC1386" s="525" t="e">
        <f ca="1">MATCH(BD1386,OFFSET(Pinlist!$A$2,BC1385*(BA1386=BA1385),0,$BM$23,1),0)+BC1385*(BA1386=BA1385)</f>
        <v>#N/A</v>
      </c>
      <c r="BD1386" s="167">
        <f t="shared" ca="1" si="78"/>
        <v>0</v>
      </c>
      <c r="BE1386" s="191" t="e">
        <f ca="1">(OFFSET(Pinlist!$E$1,BC1386,0)-$BN$16)*$BN$19</f>
        <v>#N/A</v>
      </c>
      <c r="BF1386" s="192" t="e">
        <f ca="1">(OFFSET(Pinlist!$F$1,BC1386,0)-$BO$16)*$BO$19</f>
        <v>#N/A</v>
      </c>
      <c r="BG1386" s="1098" t="str">
        <f ca="1">IF(LEFT(BD1386,2)="RF",OFFSET(Pinlist!$D$1,Chart!BC1386,0)&amp;"_"&amp;OFFSET(Pinlist!$G$1,Chart!BC1386,0),"")</f>
        <v/>
      </c>
      <c r="BH1386" s="1098"/>
      <c r="BI1386" s="178"/>
      <c r="BJ1386" s="178"/>
      <c r="BK1386" s="178"/>
      <c r="BL1386" s="178"/>
      <c r="BM1386" s="178"/>
      <c r="BN1386" s="178"/>
      <c r="BO1386" s="178"/>
      <c r="BP1386" s="178"/>
      <c r="BQ1386" s="196"/>
      <c r="BR1386" s="196"/>
      <c r="BS1386" s="196"/>
      <c r="BT1386" s="196"/>
      <c r="BU1386" s="196"/>
      <c r="BV1386" s="196"/>
      <c r="BW1386" s="178"/>
      <c r="BX1386" s="196"/>
      <c r="BY1386" s="196"/>
      <c r="BZ1386" s="196"/>
      <c r="CA1386" s="196"/>
      <c r="CB1386" s="178"/>
      <c r="CC1386" s="178"/>
      <c r="CD1386" s="202"/>
      <c r="CE1386" s="202"/>
      <c r="CF1386" s="178"/>
      <c r="CG1386" s="196"/>
      <c r="CH1386" s="178"/>
      <c r="CI1386" s="178"/>
      <c r="CJ1386" s="178"/>
      <c r="CK1386" s="178"/>
      <c r="CL1386" s="178"/>
      <c r="CM1386" s="178"/>
      <c r="CN1386" s="178"/>
      <c r="CO1386" s="178"/>
      <c r="CP1386" s="178"/>
      <c r="CQ1386" s="178"/>
      <c r="CR1386" s="178"/>
      <c r="CS1386" s="178"/>
      <c r="CT1386" s="178"/>
      <c r="CU1386" s="178"/>
      <c r="CV1386" s="178"/>
      <c r="CW1386" s="178"/>
      <c r="CX1386" s="178"/>
      <c r="CY1386" s="178"/>
      <c r="CZ1386" s="178"/>
      <c r="DA1386" s="150"/>
    </row>
    <row r="1387" spans="53:105" x14ac:dyDescent="0.2">
      <c r="BA1387" s="518">
        <f t="shared" ca="1" si="76"/>
        <v>61</v>
      </c>
      <c r="BB1387" s="174">
        <f t="shared" ca="1" si="77"/>
        <v>1324</v>
      </c>
      <c r="BC1387" s="525" t="e">
        <f ca="1">MATCH(BD1387,OFFSET(Pinlist!$A$2,BC1386*(BA1387=BA1386),0,$BM$23,1),0)+BC1386*(BA1387=BA1386)</f>
        <v>#N/A</v>
      </c>
      <c r="BD1387" s="167">
        <f t="shared" ca="1" si="78"/>
        <v>0</v>
      </c>
      <c r="BE1387" s="191" t="e">
        <f ca="1">(OFFSET(Pinlist!$E$1,BC1387,0)-$BN$16)*$BN$19</f>
        <v>#N/A</v>
      </c>
      <c r="BF1387" s="192" t="e">
        <f ca="1">(OFFSET(Pinlist!$F$1,BC1387,0)-$BO$16)*$BO$19</f>
        <v>#N/A</v>
      </c>
      <c r="BG1387" s="1098" t="str">
        <f ca="1">IF(LEFT(BD1387,2)="RF",OFFSET(Pinlist!$D$1,Chart!BC1387,0)&amp;"_"&amp;OFFSET(Pinlist!$G$1,Chart!BC1387,0),"")</f>
        <v/>
      </c>
      <c r="BH1387" s="1098"/>
      <c r="BI1387" s="178"/>
      <c r="BJ1387" s="178"/>
      <c r="BK1387" s="178"/>
      <c r="BL1387" s="178"/>
      <c r="BM1387" s="178"/>
      <c r="BN1387" s="178"/>
      <c r="BO1387" s="178"/>
      <c r="BP1387" s="178"/>
      <c r="BQ1387" s="196"/>
      <c r="BR1387" s="196"/>
      <c r="BS1387" s="196"/>
      <c r="BT1387" s="196"/>
      <c r="BU1387" s="196"/>
      <c r="BV1387" s="196"/>
      <c r="BW1387" s="178"/>
      <c r="BX1387" s="196"/>
      <c r="BY1387" s="196"/>
      <c r="BZ1387" s="196"/>
      <c r="CA1387" s="196"/>
      <c r="CB1387" s="178"/>
      <c r="CC1387" s="178"/>
      <c r="CD1387" s="202"/>
      <c r="CE1387" s="202"/>
      <c r="CF1387" s="178"/>
      <c r="CG1387" s="196"/>
      <c r="CH1387" s="178"/>
      <c r="CI1387" s="178"/>
      <c r="CJ1387" s="178"/>
      <c r="CK1387" s="178"/>
      <c r="CL1387" s="178"/>
      <c r="CM1387" s="178"/>
      <c r="CN1387" s="178"/>
      <c r="CO1387" s="178"/>
      <c r="CP1387" s="178"/>
      <c r="CQ1387" s="178"/>
      <c r="CR1387" s="178"/>
      <c r="CS1387" s="178"/>
      <c r="CT1387" s="178"/>
      <c r="CU1387" s="178"/>
      <c r="CV1387" s="178"/>
      <c r="CW1387" s="178"/>
      <c r="CX1387" s="178"/>
      <c r="CY1387" s="178"/>
      <c r="CZ1387" s="178"/>
      <c r="DA1387" s="150"/>
    </row>
    <row r="1388" spans="53:105" x14ac:dyDescent="0.2">
      <c r="BA1388" s="518">
        <f t="shared" ca="1" si="76"/>
        <v>61</v>
      </c>
      <c r="BB1388" s="174">
        <f t="shared" ca="1" si="77"/>
        <v>1325</v>
      </c>
      <c r="BC1388" s="525" t="e">
        <f ca="1">MATCH(BD1388,OFFSET(Pinlist!$A$2,BC1387*(BA1388=BA1387),0,$BM$23,1),0)+BC1387*(BA1388=BA1387)</f>
        <v>#N/A</v>
      </c>
      <c r="BD1388" s="167">
        <f t="shared" ca="1" si="78"/>
        <v>0</v>
      </c>
      <c r="BE1388" s="191" t="e">
        <f ca="1">(OFFSET(Pinlist!$E$1,BC1388,0)-$BN$16)*$BN$19</f>
        <v>#N/A</v>
      </c>
      <c r="BF1388" s="192" t="e">
        <f ca="1">(OFFSET(Pinlist!$F$1,BC1388,0)-$BO$16)*$BO$19</f>
        <v>#N/A</v>
      </c>
      <c r="BG1388" s="1098" t="str">
        <f ca="1">IF(LEFT(BD1388,2)="RF",OFFSET(Pinlist!$D$1,Chart!BC1388,0)&amp;"_"&amp;OFFSET(Pinlist!$G$1,Chart!BC1388,0),"")</f>
        <v/>
      </c>
      <c r="BH1388" s="1098"/>
      <c r="BI1388" s="178"/>
      <c r="BJ1388" s="178"/>
      <c r="BK1388" s="178"/>
      <c r="BL1388" s="178"/>
      <c r="BM1388" s="178"/>
      <c r="BN1388" s="178"/>
      <c r="BO1388" s="178"/>
      <c r="BP1388" s="178"/>
      <c r="BQ1388" s="196"/>
      <c r="BR1388" s="196"/>
      <c r="BS1388" s="196"/>
      <c r="BT1388" s="196"/>
      <c r="BU1388" s="196"/>
      <c r="BV1388" s="196"/>
      <c r="BW1388" s="178"/>
      <c r="BX1388" s="196"/>
      <c r="BY1388" s="196"/>
      <c r="BZ1388" s="196"/>
      <c r="CA1388" s="196"/>
      <c r="CB1388" s="178"/>
      <c r="CC1388" s="178"/>
      <c r="CD1388" s="202"/>
      <c r="CE1388" s="202"/>
      <c r="CF1388" s="178"/>
      <c r="CG1388" s="196"/>
      <c r="CH1388" s="178"/>
      <c r="CI1388" s="178"/>
      <c r="CJ1388" s="178"/>
      <c r="CK1388" s="178"/>
      <c r="CL1388" s="178"/>
      <c r="CM1388" s="178"/>
      <c r="CN1388" s="178"/>
      <c r="CO1388" s="178"/>
      <c r="CP1388" s="178"/>
      <c r="CQ1388" s="178"/>
      <c r="CR1388" s="178"/>
      <c r="CS1388" s="178"/>
      <c r="CT1388" s="178"/>
      <c r="CU1388" s="178"/>
      <c r="CV1388" s="178"/>
      <c r="CW1388" s="178"/>
      <c r="CX1388" s="178"/>
      <c r="CY1388" s="178"/>
      <c r="CZ1388" s="178"/>
      <c r="DA1388" s="150"/>
    </row>
    <row r="1389" spans="53:105" x14ac:dyDescent="0.2">
      <c r="BA1389" s="518">
        <f t="shared" ca="1" si="76"/>
        <v>61</v>
      </c>
      <c r="BB1389" s="174">
        <f t="shared" ca="1" si="77"/>
        <v>1326</v>
      </c>
      <c r="BC1389" s="525" t="e">
        <f ca="1">MATCH(BD1389,OFFSET(Pinlist!$A$2,BC1388*(BA1389=BA1388),0,$BM$23,1),0)+BC1388*(BA1389=BA1388)</f>
        <v>#N/A</v>
      </c>
      <c r="BD1389" s="167">
        <f t="shared" ca="1" si="78"/>
        <v>0</v>
      </c>
      <c r="BE1389" s="191" t="e">
        <f ca="1">(OFFSET(Pinlist!$E$1,BC1389,0)-$BN$16)*$BN$19</f>
        <v>#N/A</v>
      </c>
      <c r="BF1389" s="192" t="e">
        <f ca="1">(OFFSET(Pinlist!$F$1,BC1389,0)-$BO$16)*$BO$19</f>
        <v>#N/A</v>
      </c>
      <c r="BG1389" s="1098" t="str">
        <f ca="1">IF(LEFT(BD1389,2)="RF",OFFSET(Pinlist!$D$1,Chart!BC1389,0)&amp;"_"&amp;OFFSET(Pinlist!$G$1,Chart!BC1389,0),"")</f>
        <v/>
      </c>
      <c r="BH1389" s="1098"/>
      <c r="BI1389" s="178"/>
      <c r="BJ1389" s="178"/>
      <c r="BK1389" s="178"/>
      <c r="BL1389" s="178"/>
      <c r="BM1389" s="178"/>
      <c r="BN1389" s="178"/>
      <c r="BO1389" s="178"/>
      <c r="BP1389" s="178"/>
      <c r="BQ1389" s="196"/>
      <c r="BR1389" s="196"/>
      <c r="BS1389" s="196"/>
      <c r="BT1389" s="196"/>
      <c r="BU1389" s="196"/>
      <c r="BV1389" s="196"/>
      <c r="BW1389" s="178"/>
      <c r="BX1389" s="196"/>
      <c r="BY1389" s="196"/>
      <c r="BZ1389" s="196"/>
      <c r="CA1389" s="196"/>
      <c r="CB1389" s="178"/>
      <c r="CC1389" s="178"/>
      <c r="CD1389" s="202"/>
      <c r="CE1389" s="202"/>
      <c r="CF1389" s="178"/>
      <c r="CG1389" s="196"/>
      <c r="CH1389" s="178"/>
      <c r="CI1389" s="178"/>
      <c r="CJ1389" s="178"/>
      <c r="CK1389" s="178"/>
      <c r="CL1389" s="178"/>
      <c r="CM1389" s="178"/>
      <c r="CN1389" s="178"/>
      <c r="CO1389" s="178"/>
      <c r="CP1389" s="178"/>
      <c r="CQ1389" s="178"/>
      <c r="CR1389" s="178"/>
      <c r="CS1389" s="178"/>
      <c r="CT1389" s="178"/>
      <c r="CU1389" s="178"/>
      <c r="CV1389" s="178"/>
      <c r="CW1389" s="178"/>
      <c r="CX1389" s="178"/>
      <c r="CY1389" s="178"/>
      <c r="CZ1389" s="178"/>
      <c r="DA1389" s="150"/>
    </row>
    <row r="1390" spans="53:105" x14ac:dyDescent="0.2">
      <c r="BA1390" s="518">
        <f t="shared" ca="1" si="76"/>
        <v>61</v>
      </c>
      <c r="BB1390" s="174">
        <f t="shared" ca="1" si="77"/>
        <v>1327</v>
      </c>
      <c r="BC1390" s="525" t="e">
        <f ca="1">MATCH(BD1390,OFFSET(Pinlist!$A$2,BC1389*(BA1390=BA1389),0,$BM$23,1),0)+BC1389*(BA1390=BA1389)</f>
        <v>#N/A</v>
      </c>
      <c r="BD1390" s="167">
        <f t="shared" ca="1" si="78"/>
        <v>0</v>
      </c>
      <c r="BE1390" s="191" t="e">
        <f ca="1">(OFFSET(Pinlist!$E$1,BC1390,0)-$BN$16)*$BN$19</f>
        <v>#N/A</v>
      </c>
      <c r="BF1390" s="192" t="e">
        <f ca="1">(OFFSET(Pinlist!$F$1,BC1390,0)-$BO$16)*$BO$19</f>
        <v>#N/A</v>
      </c>
      <c r="BG1390" s="1098" t="str">
        <f ca="1">IF(LEFT(BD1390,2)="RF",OFFSET(Pinlist!$D$1,Chart!BC1390,0)&amp;"_"&amp;OFFSET(Pinlist!$G$1,Chart!BC1390,0),"")</f>
        <v/>
      </c>
      <c r="BH1390" s="1098"/>
      <c r="BI1390" s="178"/>
      <c r="BJ1390" s="178"/>
      <c r="BK1390" s="178"/>
      <c r="BL1390" s="178"/>
      <c r="BM1390" s="178"/>
      <c r="BN1390" s="178"/>
      <c r="BO1390" s="178"/>
      <c r="BP1390" s="178"/>
      <c r="BQ1390" s="196"/>
      <c r="BR1390" s="196"/>
      <c r="BS1390" s="196"/>
      <c r="BT1390" s="196"/>
      <c r="BU1390" s="196"/>
      <c r="BV1390" s="196"/>
      <c r="BW1390" s="178"/>
      <c r="BX1390" s="196"/>
      <c r="BY1390" s="196"/>
      <c r="BZ1390" s="196"/>
      <c r="CA1390" s="196"/>
      <c r="CB1390" s="178"/>
      <c r="CC1390" s="178"/>
      <c r="CD1390" s="202"/>
      <c r="CE1390" s="202"/>
      <c r="CF1390" s="178"/>
      <c r="CG1390" s="196"/>
      <c r="CH1390" s="178"/>
      <c r="CI1390" s="178"/>
      <c r="CJ1390" s="178"/>
      <c r="CK1390" s="178"/>
      <c r="CL1390" s="178"/>
      <c r="CM1390" s="178"/>
      <c r="CN1390" s="178"/>
      <c r="CO1390" s="178"/>
      <c r="CP1390" s="178"/>
      <c r="CQ1390" s="178"/>
      <c r="CR1390" s="178"/>
      <c r="CS1390" s="178"/>
      <c r="CT1390" s="178"/>
      <c r="CU1390" s="178"/>
      <c r="CV1390" s="178"/>
      <c r="CW1390" s="178"/>
      <c r="CX1390" s="178"/>
      <c r="CY1390" s="178"/>
      <c r="CZ1390" s="178"/>
      <c r="DA1390" s="150"/>
    </row>
    <row r="1391" spans="53:105" x14ac:dyDescent="0.2">
      <c r="BA1391" s="518">
        <f t="shared" ca="1" si="76"/>
        <v>61</v>
      </c>
      <c r="BB1391" s="174">
        <f t="shared" ca="1" si="77"/>
        <v>1328</v>
      </c>
      <c r="BC1391" s="525" t="e">
        <f ca="1">MATCH(BD1391,OFFSET(Pinlist!$A$2,BC1390*(BA1391=BA1390),0,$BM$23,1),0)+BC1390*(BA1391=BA1390)</f>
        <v>#N/A</v>
      </c>
      <c r="BD1391" s="167">
        <f t="shared" ca="1" si="78"/>
        <v>0</v>
      </c>
      <c r="BE1391" s="191" t="e">
        <f ca="1">(OFFSET(Pinlist!$E$1,BC1391,0)-$BN$16)*$BN$19</f>
        <v>#N/A</v>
      </c>
      <c r="BF1391" s="192" t="e">
        <f ca="1">(OFFSET(Pinlist!$F$1,BC1391,0)-$BO$16)*$BO$19</f>
        <v>#N/A</v>
      </c>
      <c r="BG1391" s="1098" t="str">
        <f ca="1">IF(LEFT(BD1391,2)="RF",OFFSET(Pinlist!$D$1,Chart!BC1391,0)&amp;"_"&amp;OFFSET(Pinlist!$G$1,Chart!BC1391,0),"")</f>
        <v/>
      </c>
      <c r="BH1391" s="1098"/>
      <c r="BI1391" s="178"/>
      <c r="BJ1391" s="178"/>
      <c r="BK1391" s="178"/>
      <c r="BL1391" s="178"/>
      <c r="BM1391" s="178"/>
      <c r="BN1391" s="178"/>
      <c r="BO1391" s="178"/>
      <c r="BP1391" s="178"/>
      <c r="BQ1391" s="196"/>
      <c r="BR1391" s="196"/>
      <c r="BS1391" s="196"/>
      <c r="BT1391" s="196"/>
      <c r="BU1391" s="196"/>
      <c r="BV1391" s="196"/>
      <c r="BW1391" s="178"/>
      <c r="BX1391" s="196"/>
      <c r="BY1391" s="196"/>
      <c r="BZ1391" s="196"/>
      <c r="CA1391" s="196"/>
      <c r="CB1391" s="178"/>
      <c r="CC1391" s="178"/>
      <c r="CD1391" s="202"/>
      <c r="CE1391" s="202"/>
      <c r="CF1391" s="178"/>
      <c r="CG1391" s="196"/>
      <c r="CH1391" s="178"/>
      <c r="CI1391" s="178"/>
      <c r="CJ1391" s="178"/>
      <c r="CK1391" s="178"/>
      <c r="CL1391" s="178"/>
      <c r="CM1391" s="178"/>
      <c r="CN1391" s="178"/>
      <c r="CO1391" s="178"/>
      <c r="CP1391" s="178"/>
      <c r="CQ1391" s="178"/>
      <c r="CR1391" s="178"/>
      <c r="CS1391" s="178"/>
      <c r="CT1391" s="178"/>
      <c r="CU1391" s="178"/>
      <c r="CV1391" s="178"/>
      <c r="CW1391" s="178"/>
      <c r="CX1391" s="178"/>
      <c r="CY1391" s="178"/>
      <c r="CZ1391" s="178"/>
      <c r="DA1391" s="150"/>
    </row>
    <row r="1392" spans="53:105" x14ac:dyDescent="0.2">
      <c r="BA1392" s="518">
        <f t="shared" ca="1" si="76"/>
        <v>61</v>
      </c>
      <c r="BB1392" s="174">
        <f t="shared" ca="1" si="77"/>
        <v>1329</v>
      </c>
      <c r="BC1392" s="525" t="e">
        <f ca="1">MATCH(BD1392,OFFSET(Pinlist!$A$2,BC1391*(BA1392=BA1391),0,$BM$23,1),0)+BC1391*(BA1392=BA1391)</f>
        <v>#N/A</v>
      </c>
      <c r="BD1392" s="167">
        <f t="shared" ca="1" si="78"/>
        <v>0</v>
      </c>
      <c r="BE1392" s="191" t="e">
        <f ca="1">(OFFSET(Pinlist!$E$1,BC1392,0)-$BN$16)*$BN$19</f>
        <v>#N/A</v>
      </c>
      <c r="BF1392" s="192" t="e">
        <f ca="1">(OFFSET(Pinlist!$F$1,BC1392,0)-$BO$16)*$BO$19</f>
        <v>#N/A</v>
      </c>
      <c r="BG1392" s="1098" t="str">
        <f ca="1">IF(LEFT(BD1392,2)="RF",OFFSET(Pinlist!$D$1,Chart!BC1392,0)&amp;"_"&amp;OFFSET(Pinlist!$G$1,Chart!BC1392,0),"")</f>
        <v/>
      </c>
      <c r="BH1392" s="1098"/>
      <c r="BI1392" s="178"/>
      <c r="BJ1392" s="178"/>
      <c r="BK1392" s="178"/>
      <c r="BL1392" s="178"/>
      <c r="BM1392" s="178"/>
      <c r="BN1392" s="178"/>
      <c r="BO1392" s="178"/>
      <c r="BP1392" s="178"/>
      <c r="BQ1392" s="196"/>
      <c r="BR1392" s="196"/>
      <c r="BS1392" s="196"/>
      <c r="BT1392" s="196"/>
      <c r="BU1392" s="196"/>
      <c r="BV1392" s="196"/>
      <c r="BW1392" s="178"/>
      <c r="BX1392" s="196"/>
      <c r="BY1392" s="196"/>
      <c r="BZ1392" s="196"/>
      <c r="CA1392" s="196"/>
      <c r="CB1392" s="178"/>
      <c r="CC1392" s="178"/>
      <c r="CD1392" s="202"/>
      <c r="CE1392" s="202"/>
      <c r="CF1392" s="178"/>
      <c r="CG1392" s="196"/>
      <c r="CH1392" s="178"/>
      <c r="CI1392" s="178"/>
      <c r="CJ1392" s="178"/>
      <c r="CK1392" s="178"/>
      <c r="CL1392" s="178"/>
      <c r="CM1392" s="178"/>
      <c r="CN1392" s="178"/>
      <c r="CO1392" s="178"/>
      <c r="CP1392" s="178"/>
      <c r="CQ1392" s="178"/>
      <c r="CR1392" s="178"/>
      <c r="CS1392" s="178"/>
      <c r="CT1392" s="178"/>
      <c r="CU1392" s="178"/>
      <c r="CV1392" s="178"/>
      <c r="CW1392" s="178"/>
      <c r="CX1392" s="178"/>
      <c r="CY1392" s="178"/>
      <c r="CZ1392" s="178"/>
      <c r="DA1392" s="150"/>
    </row>
    <row r="1393" spans="53:105" x14ac:dyDescent="0.2">
      <c r="BA1393" s="518">
        <f t="shared" ca="1" si="76"/>
        <v>61</v>
      </c>
      <c r="BB1393" s="174">
        <f t="shared" ca="1" si="77"/>
        <v>1330</v>
      </c>
      <c r="BC1393" s="525" t="e">
        <f ca="1">MATCH(BD1393,OFFSET(Pinlist!$A$2,BC1392*(BA1393=BA1392),0,$BM$23,1),0)+BC1392*(BA1393=BA1392)</f>
        <v>#N/A</v>
      </c>
      <c r="BD1393" s="167">
        <f t="shared" ca="1" si="78"/>
        <v>0</v>
      </c>
      <c r="BE1393" s="191" t="e">
        <f ca="1">(OFFSET(Pinlist!$E$1,BC1393,0)-$BN$16)*$BN$19</f>
        <v>#N/A</v>
      </c>
      <c r="BF1393" s="192" t="e">
        <f ca="1">(OFFSET(Pinlist!$F$1,BC1393,0)-$BO$16)*$BO$19</f>
        <v>#N/A</v>
      </c>
      <c r="BG1393" s="1098" t="str">
        <f ca="1">IF(LEFT(BD1393,2)="RF",OFFSET(Pinlist!$D$1,Chart!BC1393,0)&amp;"_"&amp;OFFSET(Pinlist!$G$1,Chart!BC1393,0),"")</f>
        <v/>
      </c>
      <c r="BH1393" s="1098"/>
      <c r="BI1393" s="178"/>
      <c r="BJ1393" s="178"/>
      <c r="BK1393" s="178"/>
      <c r="BL1393" s="178"/>
      <c r="BM1393" s="178"/>
      <c r="BN1393" s="178"/>
      <c r="BO1393" s="178"/>
      <c r="BP1393" s="178"/>
      <c r="BQ1393" s="196"/>
      <c r="BR1393" s="196"/>
      <c r="BS1393" s="196"/>
      <c r="BT1393" s="196"/>
      <c r="BU1393" s="196"/>
      <c r="BV1393" s="196"/>
      <c r="BW1393" s="178"/>
      <c r="BX1393" s="196"/>
      <c r="BY1393" s="196"/>
      <c r="BZ1393" s="196"/>
      <c r="CA1393" s="196"/>
      <c r="CB1393" s="178"/>
      <c r="CC1393" s="178"/>
      <c r="CD1393" s="202"/>
      <c r="CE1393" s="202"/>
      <c r="CF1393" s="178"/>
      <c r="CG1393" s="196"/>
      <c r="CH1393" s="178"/>
      <c r="CI1393" s="178"/>
      <c r="CJ1393" s="178"/>
      <c r="CK1393" s="178"/>
      <c r="CL1393" s="178"/>
      <c r="CM1393" s="178"/>
      <c r="CN1393" s="178"/>
      <c r="CO1393" s="178"/>
      <c r="CP1393" s="178"/>
      <c r="CQ1393" s="178"/>
      <c r="CR1393" s="178"/>
      <c r="CS1393" s="178"/>
      <c r="CT1393" s="178"/>
      <c r="CU1393" s="178"/>
      <c r="CV1393" s="178"/>
      <c r="CW1393" s="178"/>
      <c r="CX1393" s="178"/>
      <c r="CY1393" s="178"/>
      <c r="CZ1393" s="178"/>
      <c r="DA1393" s="150"/>
    </row>
    <row r="1394" spans="53:105" x14ac:dyDescent="0.2">
      <c r="BA1394" s="518">
        <f t="shared" ca="1" si="76"/>
        <v>61</v>
      </c>
      <c r="BB1394" s="174">
        <f t="shared" ca="1" si="77"/>
        <v>1331</v>
      </c>
      <c r="BC1394" s="525" t="e">
        <f ca="1">MATCH(BD1394,OFFSET(Pinlist!$A$2,BC1393*(BA1394=BA1393),0,$BM$23,1),0)+BC1393*(BA1394=BA1393)</f>
        <v>#N/A</v>
      </c>
      <c r="BD1394" s="167">
        <f t="shared" ca="1" si="78"/>
        <v>0</v>
      </c>
      <c r="BE1394" s="191" t="e">
        <f ca="1">(OFFSET(Pinlist!$E$1,BC1394,0)-$BN$16)*$BN$19</f>
        <v>#N/A</v>
      </c>
      <c r="BF1394" s="192" t="e">
        <f ca="1">(OFFSET(Pinlist!$F$1,BC1394,0)-$BO$16)*$BO$19</f>
        <v>#N/A</v>
      </c>
      <c r="BG1394" s="1098" t="str">
        <f ca="1">IF(LEFT(BD1394,2)="RF",OFFSET(Pinlist!$D$1,Chart!BC1394,0)&amp;"_"&amp;OFFSET(Pinlist!$G$1,Chart!BC1394,0),"")</f>
        <v/>
      </c>
      <c r="BH1394" s="1098"/>
      <c r="BI1394" s="178"/>
      <c r="BJ1394" s="178"/>
      <c r="BK1394" s="178"/>
      <c r="BL1394" s="178"/>
      <c r="BM1394" s="178"/>
      <c r="BN1394" s="178"/>
      <c r="BO1394" s="178"/>
      <c r="BP1394" s="178"/>
      <c r="BQ1394" s="196"/>
      <c r="BR1394" s="196"/>
      <c r="BS1394" s="196"/>
      <c r="BT1394" s="196"/>
      <c r="BU1394" s="196"/>
      <c r="BV1394" s="196"/>
      <c r="BW1394" s="178"/>
      <c r="BX1394" s="196"/>
      <c r="BY1394" s="196"/>
      <c r="BZ1394" s="196"/>
      <c r="CA1394" s="196"/>
      <c r="CB1394" s="178"/>
      <c r="CC1394" s="178"/>
      <c r="CD1394" s="202"/>
      <c r="CE1394" s="202"/>
      <c r="CF1394" s="178"/>
      <c r="CG1394" s="196"/>
      <c r="CH1394" s="178"/>
      <c r="CI1394" s="178"/>
      <c r="CJ1394" s="178"/>
      <c r="CK1394" s="178"/>
      <c r="CL1394" s="178"/>
      <c r="CM1394" s="178"/>
      <c r="CN1394" s="178"/>
      <c r="CO1394" s="178"/>
      <c r="CP1394" s="178"/>
      <c r="CQ1394" s="178"/>
      <c r="CR1394" s="178"/>
      <c r="CS1394" s="178"/>
      <c r="CT1394" s="178"/>
      <c r="CU1394" s="178"/>
      <c r="CV1394" s="178"/>
      <c r="CW1394" s="178"/>
      <c r="CX1394" s="178"/>
      <c r="CY1394" s="178"/>
      <c r="CZ1394" s="178"/>
      <c r="DA1394" s="150"/>
    </row>
    <row r="1395" spans="53:105" x14ac:dyDescent="0.2">
      <c r="BA1395" s="518">
        <f t="shared" ca="1" si="76"/>
        <v>61</v>
      </c>
      <c r="BB1395" s="174">
        <f t="shared" ca="1" si="77"/>
        <v>1332</v>
      </c>
      <c r="BC1395" s="525" t="e">
        <f ca="1">MATCH(BD1395,OFFSET(Pinlist!$A$2,BC1394*(BA1395=BA1394),0,$BM$23,1),0)+BC1394*(BA1395=BA1394)</f>
        <v>#N/A</v>
      </c>
      <c r="BD1395" s="167">
        <f t="shared" ca="1" si="78"/>
        <v>0</v>
      </c>
      <c r="BE1395" s="191" t="e">
        <f ca="1">(OFFSET(Pinlist!$E$1,BC1395,0)-$BN$16)*$BN$19</f>
        <v>#N/A</v>
      </c>
      <c r="BF1395" s="192" t="e">
        <f ca="1">(OFFSET(Pinlist!$F$1,BC1395,0)-$BO$16)*$BO$19</f>
        <v>#N/A</v>
      </c>
      <c r="BG1395" s="1098" t="str">
        <f ca="1">IF(LEFT(BD1395,2)="RF",OFFSET(Pinlist!$D$1,Chart!BC1395,0)&amp;"_"&amp;OFFSET(Pinlist!$G$1,Chart!BC1395,0),"")</f>
        <v/>
      </c>
      <c r="BH1395" s="1098"/>
      <c r="BI1395" s="178"/>
      <c r="BJ1395" s="178"/>
      <c r="BK1395" s="178"/>
      <c r="BL1395" s="178"/>
      <c r="BM1395" s="178"/>
      <c r="BN1395" s="178"/>
      <c r="BO1395" s="178"/>
      <c r="BP1395" s="178"/>
      <c r="BQ1395" s="196"/>
      <c r="BR1395" s="196"/>
      <c r="BS1395" s="196"/>
      <c r="BT1395" s="196"/>
      <c r="BU1395" s="196"/>
      <c r="BV1395" s="196"/>
      <c r="BW1395" s="178"/>
      <c r="BX1395" s="196"/>
      <c r="BY1395" s="196"/>
      <c r="BZ1395" s="196"/>
      <c r="CA1395" s="196"/>
      <c r="CB1395" s="178"/>
      <c r="CC1395" s="178"/>
      <c r="CD1395" s="202"/>
      <c r="CE1395" s="202"/>
      <c r="CF1395" s="178"/>
      <c r="CG1395" s="196"/>
      <c r="CH1395" s="178"/>
      <c r="CI1395" s="178"/>
      <c r="CJ1395" s="178"/>
      <c r="CK1395" s="178"/>
      <c r="CL1395" s="178"/>
      <c r="CM1395" s="178"/>
      <c r="CN1395" s="178"/>
      <c r="CO1395" s="178"/>
      <c r="CP1395" s="178"/>
      <c r="CQ1395" s="178"/>
      <c r="CR1395" s="178"/>
      <c r="CS1395" s="178"/>
      <c r="CT1395" s="178"/>
      <c r="CU1395" s="178"/>
      <c r="CV1395" s="178"/>
      <c r="CW1395" s="178"/>
      <c r="CX1395" s="178"/>
      <c r="CY1395" s="178"/>
      <c r="CZ1395" s="178"/>
      <c r="DA1395" s="150"/>
    </row>
    <row r="1396" spans="53:105" x14ac:dyDescent="0.2">
      <c r="BA1396" s="518">
        <f t="shared" ca="1" si="76"/>
        <v>61</v>
      </c>
      <c r="BB1396" s="174">
        <f t="shared" ca="1" si="77"/>
        <v>1333</v>
      </c>
      <c r="BC1396" s="525" t="e">
        <f ca="1">MATCH(BD1396,OFFSET(Pinlist!$A$2,BC1395*(BA1396=BA1395),0,$BM$23,1),0)+BC1395*(BA1396=BA1395)</f>
        <v>#N/A</v>
      </c>
      <c r="BD1396" s="167">
        <f t="shared" ca="1" si="78"/>
        <v>0</v>
      </c>
      <c r="BE1396" s="191" t="e">
        <f ca="1">(OFFSET(Pinlist!$E$1,BC1396,0)-$BN$16)*$BN$19</f>
        <v>#N/A</v>
      </c>
      <c r="BF1396" s="192" t="e">
        <f ca="1">(OFFSET(Pinlist!$F$1,BC1396,0)-$BO$16)*$BO$19</f>
        <v>#N/A</v>
      </c>
      <c r="BG1396" s="1098" t="str">
        <f ca="1">IF(LEFT(BD1396,2)="RF",OFFSET(Pinlist!$D$1,Chart!BC1396,0)&amp;"_"&amp;OFFSET(Pinlist!$G$1,Chart!BC1396,0),"")</f>
        <v/>
      </c>
      <c r="BH1396" s="1098"/>
      <c r="BI1396" s="178"/>
      <c r="BJ1396" s="178"/>
      <c r="BK1396" s="178"/>
      <c r="BL1396" s="178"/>
      <c r="BM1396" s="178"/>
      <c r="BN1396" s="178"/>
      <c r="BO1396" s="178"/>
      <c r="BP1396" s="178"/>
      <c r="BQ1396" s="196"/>
      <c r="BR1396" s="196"/>
      <c r="BS1396" s="196"/>
      <c r="BT1396" s="196"/>
      <c r="BU1396" s="196"/>
      <c r="BV1396" s="196"/>
      <c r="BW1396" s="178"/>
      <c r="BX1396" s="196"/>
      <c r="BY1396" s="196"/>
      <c r="BZ1396" s="196"/>
      <c r="CA1396" s="196"/>
      <c r="CB1396" s="178"/>
      <c r="CC1396" s="178"/>
      <c r="CD1396" s="202"/>
      <c r="CE1396" s="202"/>
      <c r="CF1396" s="178"/>
      <c r="CG1396" s="196"/>
      <c r="CH1396" s="178"/>
      <c r="CI1396" s="178"/>
      <c r="CJ1396" s="178"/>
      <c r="CK1396" s="178"/>
      <c r="CL1396" s="178"/>
      <c r="CM1396" s="178"/>
      <c r="CN1396" s="178"/>
      <c r="CO1396" s="178"/>
      <c r="CP1396" s="178"/>
      <c r="CQ1396" s="178"/>
      <c r="CR1396" s="178"/>
      <c r="CS1396" s="178"/>
      <c r="CT1396" s="178"/>
      <c r="CU1396" s="178"/>
      <c r="CV1396" s="178"/>
      <c r="CW1396" s="178"/>
      <c r="CX1396" s="178"/>
      <c r="CY1396" s="178"/>
      <c r="CZ1396" s="178"/>
      <c r="DA1396" s="150"/>
    </row>
    <row r="1397" spans="53:105" x14ac:dyDescent="0.2">
      <c r="BA1397" s="518">
        <f t="shared" ca="1" si="76"/>
        <v>61</v>
      </c>
      <c r="BB1397" s="174">
        <f t="shared" ca="1" si="77"/>
        <v>1334</v>
      </c>
      <c r="BC1397" s="525" t="e">
        <f ca="1">MATCH(BD1397,OFFSET(Pinlist!$A$2,BC1396*(BA1397=BA1396),0,$BM$23,1),0)+BC1396*(BA1397=BA1396)</f>
        <v>#N/A</v>
      </c>
      <c r="BD1397" s="167">
        <f t="shared" ca="1" si="78"/>
        <v>0</v>
      </c>
      <c r="BE1397" s="191" t="e">
        <f ca="1">(OFFSET(Pinlist!$E$1,BC1397,0)-$BN$16)*$BN$19</f>
        <v>#N/A</v>
      </c>
      <c r="BF1397" s="192" t="e">
        <f ca="1">(OFFSET(Pinlist!$F$1,BC1397,0)-$BO$16)*$BO$19</f>
        <v>#N/A</v>
      </c>
      <c r="BG1397" s="1098" t="str">
        <f ca="1">IF(LEFT(BD1397,2)="RF",OFFSET(Pinlist!$D$1,Chart!BC1397,0)&amp;"_"&amp;OFFSET(Pinlist!$G$1,Chart!BC1397,0),"")</f>
        <v/>
      </c>
      <c r="BH1397" s="1098"/>
      <c r="BI1397" s="178"/>
      <c r="BJ1397" s="178"/>
      <c r="BK1397" s="178"/>
      <c r="BL1397" s="178"/>
      <c r="BM1397" s="178"/>
      <c r="BN1397" s="178"/>
      <c r="BO1397" s="178"/>
      <c r="BP1397" s="178"/>
      <c r="BQ1397" s="196"/>
      <c r="BR1397" s="196"/>
      <c r="BS1397" s="196"/>
      <c r="BT1397" s="196"/>
      <c r="BU1397" s="196"/>
      <c r="BV1397" s="196"/>
      <c r="BW1397" s="178"/>
      <c r="BX1397" s="196"/>
      <c r="BY1397" s="196"/>
      <c r="BZ1397" s="196"/>
      <c r="CA1397" s="196"/>
      <c r="CB1397" s="178"/>
      <c r="CC1397" s="178"/>
      <c r="CD1397" s="202"/>
      <c r="CE1397" s="202"/>
      <c r="CF1397" s="178"/>
      <c r="CG1397" s="196"/>
      <c r="CH1397" s="178"/>
      <c r="CI1397" s="178"/>
      <c r="CJ1397" s="178"/>
      <c r="CK1397" s="178"/>
      <c r="CL1397" s="178"/>
      <c r="CM1397" s="178"/>
      <c r="CN1397" s="178"/>
      <c r="CO1397" s="178"/>
      <c r="CP1397" s="178"/>
      <c r="CQ1397" s="178"/>
      <c r="CR1397" s="178"/>
      <c r="CS1397" s="178"/>
      <c r="CT1397" s="178"/>
      <c r="CU1397" s="178"/>
      <c r="CV1397" s="178"/>
      <c r="CW1397" s="178"/>
      <c r="CX1397" s="178"/>
      <c r="CY1397" s="178"/>
      <c r="CZ1397" s="178"/>
      <c r="DA1397" s="150"/>
    </row>
    <row r="1398" spans="53:105" x14ac:dyDescent="0.2">
      <c r="BA1398" s="518">
        <f t="shared" ca="1" si="76"/>
        <v>61</v>
      </c>
      <c r="BB1398" s="174">
        <f t="shared" ca="1" si="77"/>
        <v>1335</v>
      </c>
      <c r="BC1398" s="525" t="e">
        <f ca="1">MATCH(BD1398,OFFSET(Pinlist!$A$2,BC1397*(BA1398=BA1397),0,$BM$23,1),0)+BC1397*(BA1398=BA1397)</f>
        <v>#N/A</v>
      </c>
      <c r="BD1398" s="167">
        <f t="shared" ca="1" si="78"/>
        <v>0</v>
      </c>
      <c r="BE1398" s="191" t="e">
        <f ca="1">(OFFSET(Pinlist!$E$1,BC1398,0)-$BN$16)*$BN$19</f>
        <v>#N/A</v>
      </c>
      <c r="BF1398" s="192" t="e">
        <f ca="1">(OFFSET(Pinlist!$F$1,BC1398,0)-$BO$16)*$BO$19</f>
        <v>#N/A</v>
      </c>
      <c r="BG1398" s="1098" t="str">
        <f ca="1">IF(LEFT(BD1398,2)="RF",OFFSET(Pinlist!$D$1,Chart!BC1398,0)&amp;"_"&amp;OFFSET(Pinlist!$G$1,Chart!BC1398,0),"")</f>
        <v/>
      </c>
      <c r="BH1398" s="1098"/>
      <c r="BI1398" s="178"/>
      <c r="BJ1398" s="178"/>
      <c r="BK1398" s="178"/>
      <c r="BL1398" s="178"/>
      <c r="BM1398" s="178"/>
      <c r="BN1398" s="178"/>
      <c r="BO1398" s="178"/>
      <c r="BP1398" s="178"/>
      <c r="BQ1398" s="196"/>
      <c r="BR1398" s="196"/>
      <c r="BS1398" s="196"/>
      <c r="BT1398" s="196"/>
      <c r="BU1398" s="196"/>
      <c r="BV1398" s="196"/>
      <c r="BW1398" s="178"/>
      <c r="BX1398" s="196"/>
      <c r="BY1398" s="196"/>
      <c r="BZ1398" s="196"/>
      <c r="CA1398" s="196"/>
      <c r="CB1398" s="178"/>
      <c r="CC1398" s="178"/>
      <c r="CD1398" s="202"/>
      <c r="CE1398" s="202"/>
      <c r="CF1398" s="178"/>
      <c r="CG1398" s="196"/>
      <c r="CH1398" s="178"/>
      <c r="CI1398" s="178"/>
      <c r="CJ1398" s="178"/>
      <c r="CK1398" s="178"/>
      <c r="CL1398" s="178"/>
      <c r="CM1398" s="178"/>
      <c r="CN1398" s="178"/>
      <c r="CO1398" s="178"/>
      <c r="CP1398" s="178"/>
      <c r="CQ1398" s="178"/>
      <c r="CR1398" s="178"/>
      <c r="CS1398" s="178"/>
      <c r="CT1398" s="178"/>
      <c r="CU1398" s="178"/>
      <c r="CV1398" s="178"/>
      <c r="CW1398" s="178"/>
      <c r="CX1398" s="178"/>
      <c r="CY1398" s="178"/>
      <c r="CZ1398" s="178"/>
      <c r="DA1398" s="150"/>
    </row>
    <row r="1399" spans="53:105" x14ac:dyDescent="0.2">
      <c r="BA1399" s="518">
        <f t="shared" ca="1" si="76"/>
        <v>61</v>
      </c>
      <c r="BB1399" s="174">
        <f t="shared" ca="1" si="77"/>
        <v>1336</v>
      </c>
      <c r="BC1399" s="525" t="e">
        <f ca="1">MATCH(BD1399,OFFSET(Pinlist!$A$2,BC1398*(BA1399=BA1398),0,$BM$23,1),0)+BC1398*(BA1399=BA1398)</f>
        <v>#N/A</v>
      </c>
      <c r="BD1399" s="167">
        <f t="shared" ca="1" si="78"/>
        <v>0</v>
      </c>
      <c r="BE1399" s="191" t="e">
        <f ca="1">(OFFSET(Pinlist!$E$1,BC1399,0)-$BN$16)*$BN$19</f>
        <v>#N/A</v>
      </c>
      <c r="BF1399" s="192" t="e">
        <f ca="1">(OFFSET(Pinlist!$F$1,BC1399,0)-$BO$16)*$BO$19</f>
        <v>#N/A</v>
      </c>
      <c r="BG1399" s="1098" t="str">
        <f ca="1">IF(LEFT(BD1399,2)="RF",OFFSET(Pinlist!$D$1,Chart!BC1399,0)&amp;"_"&amp;OFFSET(Pinlist!$G$1,Chart!BC1399,0),"")</f>
        <v/>
      </c>
      <c r="BH1399" s="1098"/>
      <c r="BI1399" s="178"/>
      <c r="BJ1399" s="178"/>
      <c r="BK1399" s="178"/>
      <c r="BL1399" s="178"/>
      <c r="BM1399" s="178"/>
      <c r="BN1399" s="178"/>
      <c r="BO1399" s="178"/>
      <c r="BP1399" s="178"/>
      <c r="BQ1399" s="196"/>
      <c r="BR1399" s="196"/>
      <c r="BS1399" s="196"/>
      <c r="BT1399" s="196"/>
      <c r="BU1399" s="196"/>
      <c r="BV1399" s="196"/>
      <c r="BW1399" s="178"/>
      <c r="BX1399" s="196"/>
      <c r="BY1399" s="196"/>
      <c r="BZ1399" s="196"/>
      <c r="CA1399" s="196"/>
      <c r="CB1399" s="178"/>
      <c r="CC1399" s="178"/>
      <c r="CD1399" s="202"/>
      <c r="CE1399" s="202"/>
      <c r="CF1399" s="178"/>
      <c r="CG1399" s="196"/>
      <c r="CH1399" s="178"/>
      <c r="CI1399" s="178"/>
      <c r="CJ1399" s="178"/>
      <c r="CK1399" s="178"/>
      <c r="CL1399" s="178"/>
      <c r="CM1399" s="178"/>
      <c r="CN1399" s="178"/>
      <c r="CO1399" s="178"/>
      <c r="CP1399" s="178"/>
      <c r="CQ1399" s="178"/>
      <c r="CR1399" s="178"/>
      <c r="CS1399" s="178"/>
      <c r="CT1399" s="178"/>
      <c r="CU1399" s="178"/>
      <c r="CV1399" s="178"/>
      <c r="CW1399" s="178"/>
      <c r="CX1399" s="178"/>
      <c r="CY1399" s="178"/>
      <c r="CZ1399" s="178"/>
      <c r="DA1399" s="150"/>
    </row>
    <row r="1400" spans="53:105" x14ac:dyDescent="0.2">
      <c r="BA1400" s="518">
        <f t="shared" ca="1" si="76"/>
        <v>61</v>
      </c>
      <c r="BB1400" s="174">
        <f t="shared" ca="1" si="77"/>
        <v>1337</v>
      </c>
      <c r="BC1400" s="525" t="e">
        <f ca="1">MATCH(BD1400,OFFSET(Pinlist!$A$2,BC1399*(BA1400=BA1399),0,$BM$23,1),0)+BC1399*(BA1400=BA1399)</f>
        <v>#N/A</v>
      </c>
      <c r="BD1400" s="167">
        <f t="shared" ca="1" si="78"/>
        <v>0</v>
      </c>
      <c r="BE1400" s="191" t="e">
        <f ca="1">(OFFSET(Pinlist!$E$1,BC1400,0)-$BN$16)*$BN$19</f>
        <v>#N/A</v>
      </c>
      <c r="BF1400" s="192" t="e">
        <f ca="1">(OFFSET(Pinlist!$F$1,BC1400,0)-$BO$16)*$BO$19</f>
        <v>#N/A</v>
      </c>
      <c r="BG1400" s="1098" t="str">
        <f ca="1">IF(LEFT(BD1400,2)="RF",OFFSET(Pinlist!$D$1,Chart!BC1400,0)&amp;"_"&amp;OFFSET(Pinlist!$G$1,Chart!BC1400,0),"")</f>
        <v/>
      </c>
      <c r="BH1400" s="1098"/>
      <c r="BI1400" s="178"/>
      <c r="BJ1400" s="178"/>
      <c r="BK1400" s="178"/>
      <c r="BL1400" s="178"/>
      <c r="BM1400" s="178"/>
      <c r="BN1400" s="178"/>
      <c r="BO1400" s="178"/>
      <c r="BP1400" s="178"/>
      <c r="BQ1400" s="196"/>
      <c r="BR1400" s="196"/>
      <c r="BS1400" s="196"/>
      <c r="BT1400" s="196"/>
      <c r="BU1400" s="196"/>
      <c r="BV1400" s="196"/>
      <c r="BW1400" s="178"/>
      <c r="BX1400" s="196"/>
      <c r="BY1400" s="196"/>
      <c r="BZ1400" s="196"/>
      <c r="CA1400" s="196"/>
      <c r="CB1400" s="178"/>
      <c r="CC1400" s="178"/>
      <c r="CD1400" s="202"/>
      <c r="CE1400" s="202"/>
      <c r="CF1400" s="178"/>
      <c r="CG1400" s="196"/>
      <c r="CH1400" s="178"/>
      <c r="CI1400" s="178"/>
      <c r="CJ1400" s="178"/>
      <c r="CK1400" s="178"/>
      <c r="CL1400" s="178"/>
      <c r="CM1400" s="178"/>
      <c r="CN1400" s="178"/>
      <c r="CO1400" s="178"/>
      <c r="CP1400" s="178"/>
      <c r="CQ1400" s="178"/>
      <c r="CR1400" s="178"/>
      <c r="CS1400" s="178"/>
      <c r="CT1400" s="178"/>
      <c r="CU1400" s="178"/>
      <c r="CV1400" s="178"/>
      <c r="CW1400" s="178"/>
      <c r="CX1400" s="178"/>
      <c r="CY1400" s="178"/>
      <c r="CZ1400" s="178"/>
      <c r="DA1400" s="150"/>
    </row>
    <row r="1401" spans="53:105" x14ac:dyDescent="0.2">
      <c r="BA1401" s="518">
        <f t="shared" ca="1" si="76"/>
        <v>61</v>
      </c>
      <c r="BB1401" s="174">
        <f t="shared" ca="1" si="77"/>
        <v>1338</v>
      </c>
      <c r="BC1401" s="525" t="e">
        <f ca="1">MATCH(BD1401,OFFSET(Pinlist!$A$2,BC1400*(BA1401=BA1400),0,$BM$23,1),0)+BC1400*(BA1401=BA1400)</f>
        <v>#N/A</v>
      </c>
      <c r="BD1401" s="167">
        <f t="shared" ca="1" si="78"/>
        <v>0</v>
      </c>
      <c r="BE1401" s="191" t="e">
        <f ca="1">(OFFSET(Pinlist!$E$1,BC1401,0)-$BN$16)*$BN$19</f>
        <v>#N/A</v>
      </c>
      <c r="BF1401" s="192" t="e">
        <f ca="1">(OFFSET(Pinlist!$F$1,BC1401,0)-$BO$16)*$BO$19</f>
        <v>#N/A</v>
      </c>
      <c r="BG1401" s="1098" t="str">
        <f ca="1">IF(LEFT(BD1401,2)="RF",OFFSET(Pinlist!$D$1,Chart!BC1401,0)&amp;"_"&amp;OFFSET(Pinlist!$G$1,Chart!BC1401,0),"")</f>
        <v/>
      </c>
      <c r="BH1401" s="1098"/>
      <c r="BI1401" s="178"/>
      <c r="BJ1401" s="178"/>
      <c r="BK1401" s="178"/>
      <c r="BL1401" s="178"/>
      <c r="BM1401" s="178"/>
      <c r="BN1401" s="178"/>
      <c r="BO1401" s="178"/>
      <c r="BP1401" s="178"/>
      <c r="BQ1401" s="196"/>
      <c r="BR1401" s="196"/>
      <c r="BS1401" s="196"/>
      <c r="BT1401" s="196"/>
      <c r="BU1401" s="196"/>
      <c r="BV1401" s="196"/>
      <c r="BW1401" s="178"/>
      <c r="BX1401" s="196"/>
      <c r="BY1401" s="196"/>
      <c r="BZ1401" s="196"/>
      <c r="CA1401" s="196"/>
      <c r="CB1401" s="178"/>
      <c r="CC1401" s="178"/>
      <c r="CD1401" s="202"/>
      <c r="CE1401" s="202"/>
      <c r="CF1401" s="178"/>
      <c r="CG1401" s="196"/>
      <c r="CH1401" s="178"/>
      <c r="CI1401" s="178"/>
      <c r="CJ1401" s="178"/>
      <c r="CK1401" s="178"/>
      <c r="CL1401" s="178"/>
      <c r="CM1401" s="178"/>
      <c r="CN1401" s="178"/>
      <c r="CO1401" s="178"/>
      <c r="CP1401" s="178"/>
      <c r="CQ1401" s="178"/>
      <c r="CR1401" s="178"/>
      <c r="CS1401" s="178"/>
      <c r="CT1401" s="178"/>
      <c r="CU1401" s="178"/>
      <c r="CV1401" s="178"/>
      <c r="CW1401" s="178"/>
      <c r="CX1401" s="178"/>
      <c r="CY1401" s="178"/>
      <c r="CZ1401" s="178"/>
      <c r="DA1401" s="150"/>
    </row>
    <row r="1402" spans="53:105" x14ac:dyDescent="0.2">
      <c r="BA1402" s="518">
        <f t="shared" ca="1" si="76"/>
        <v>61</v>
      </c>
      <c r="BB1402" s="174">
        <f t="shared" ca="1" si="77"/>
        <v>1339</v>
      </c>
      <c r="BC1402" s="525" t="e">
        <f ca="1">MATCH(BD1402,OFFSET(Pinlist!$A$2,BC1401*(BA1402=BA1401),0,$BM$23,1),0)+BC1401*(BA1402=BA1401)</f>
        <v>#N/A</v>
      </c>
      <c r="BD1402" s="167">
        <f t="shared" ca="1" si="78"/>
        <v>0</v>
      </c>
      <c r="BE1402" s="191" t="e">
        <f ca="1">(OFFSET(Pinlist!$E$1,BC1402,0)-$BN$16)*$BN$19</f>
        <v>#N/A</v>
      </c>
      <c r="BF1402" s="192" t="e">
        <f ca="1">(OFFSET(Pinlist!$F$1,BC1402,0)-$BO$16)*$BO$19</f>
        <v>#N/A</v>
      </c>
      <c r="BG1402" s="1098" t="str">
        <f ca="1">IF(LEFT(BD1402,2)="RF",OFFSET(Pinlist!$D$1,Chart!BC1402,0)&amp;"_"&amp;OFFSET(Pinlist!$G$1,Chart!BC1402,0),"")</f>
        <v/>
      </c>
      <c r="BH1402" s="1098"/>
      <c r="BI1402" s="178"/>
      <c r="BJ1402" s="178"/>
      <c r="BK1402" s="178"/>
      <c r="BL1402" s="178"/>
      <c r="BM1402" s="178"/>
      <c r="BN1402" s="178"/>
      <c r="BO1402" s="178"/>
      <c r="BP1402" s="178"/>
      <c r="BQ1402" s="196"/>
      <c r="BR1402" s="196"/>
      <c r="BS1402" s="196"/>
      <c r="BT1402" s="196"/>
      <c r="BU1402" s="196"/>
      <c r="BV1402" s="196"/>
      <c r="BW1402" s="178"/>
      <c r="BX1402" s="196"/>
      <c r="BY1402" s="196"/>
      <c r="BZ1402" s="196"/>
      <c r="CA1402" s="196"/>
      <c r="CB1402" s="178"/>
      <c r="CC1402" s="178"/>
      <c r="CD1402" s="202"/>
      <c r="CE1402" s="202"/>
      <c r="CF1402" s="178"/>
      <c r="CG1402" s="196"/>
      <c r="CH1402" s="178"/>
      <c r="CI1402" s="178"/>
      <c r="CJ1402" s="178"/>
      <c r="CK1402" s="178"/>
      <c r="CL1402" s="178"/>
      <c r="CM1402" s="178"/>
      <c r="CN1402" s="178"/>
      <c r="CO1402" s="178"/>
      <c r="CP1402" s="178"/>
      <c r="CQ1402" s="178"/>
      <c r="CR1402" s="178"/>
      <c r="CS1402" s="178"/>
      <c r="CT1402" s="178"/>
      <c r="CU1402" s="178"/>
      <c r="CV1402" s="178"/>
      <c r="CW1402" s="178"/>
      <c r="CX1402" s="178"/>
      <c r="CY1402" s="178"/>
      <c r="CZ1402" s="178"/>
      <c r="DA1402" s="150"/>
    </row>
    <row r="1403" spans="53:105" x14ac:dyDescent="0.2">
      <c r="BA1403" s="518">
        <f t="shared" ca="1" si="76"/>
        <v>61</v>
      </c>
      <c r="BB1403" s="174">
        <f t="shared" ca="1" si="77"/>
        <v>1340</v>
      </c>
      <c r="BC1403" s="525" t="e">
        <f ca="1">MATCH(BD1403,OFFSET(Pinlist!$A$2,BC1402*(BA1403=BA1402),0,$BM$23,1),0)+BC1402*(BA1403=BA1402)</f>
        <v>#N/A</v>
      </c>
      <c r="BD1403" s="167">
        <f t="shared" ca="1" si="78"/>
        <v>0</v>
      </c>
      <c r="BE1403" s="191" t="e">
        <f ca="1">(OFFSET(Pinlist!$E$1,BC1403,0)-$BN$16)*$BN$19</f>
        <v>#N/A</v>
      </c>
      <c r="BF1403" s="192" t="e">
        <f ca="1">(OFFSET(Pinlist!$F$1,BC1403,0)-$BO$16)*$BO$19</f>
        <v>#N/A</v>
      </c>
      <c r="BG1403" s="1098" t="str">
        <f ca="1">IF(LEFT(BD1403,2)="RF",OFFSET(Pinlist!$D$1,Chart!BC1403,0)&amp;"_"&amp;OFFSET(Pinlist!$G$1,Chart!BC1403,0),"")</f>
        <v/>
      </c>
      <c r="BH1403" s="1098"/>
      <c r="BI1403" s="178"/>
      <c r="BJ1403" s="178"/>
      <c r="BK1403" s="178"/>
      <c r="BL1403" s="178"/>
      <c r="BM1403" s="178"/>
      <c r="BN1403" s="178"/>
      <c r="BO1403" s="178"/>
      <c r="BP1403" s="178"/>
      <c r="BQ1403" s="196"/>
      <c r="BR1403" s="196"/>
      <c r="BS1403" s="196"/>
      <c r="BT1403" s="196"/>
      <c r="BU1403" s="196"/>
      <c r="BV1403" s="196"/>
      <c r="BW1403" s="178"/>
      <c r="BX1403" s="196"/>
      <c r="BY1403" s="196"/>
      <c r="BZ1403" s="196"/>
      <c r="CA1403" s="196"/>
      <c r="CB1403" s="178"/>
      <c r="CC1403" s="178"/>
      <c r="CD1403" s="202"/>
      <c r="CE1403" s="202"/>
      <c r="CF1403" s="178"/>
      <c r="CG1403" s="196"/>
      <c r="CH1403" s="178"/>
      <c r="CI1403" s="178"/>
      <c r="CJ1403" s="178"/>
      <c r="CK1403" s="178"/>
      <c r="CL1403" s="178"/>
      <c r="CM1403" s="178"/>
      <c r="CN1403" s="178"/>
      <c r="CO1403" s="178"/>
      <c r="CP1403" s="178"/>
      <c r="CQ1403" s="178"/>
      <c r="CR1403" s="178"/>
      <c r="CS1403" s="178"/>
      <c r="CT1403" s="178"/>
      <c r="CU1403" s="178"/>
      <c r="CV1403" s="178"/>
      <c r="CW1403" s="178"/>
      <c r="CX1403" s="178"/>
      <c r="CY1403" s="178"/>
      <c r="CZ1403" s="178"/>
      <c r="DA1403" s="150"/>
    </row>
    <row r="1404" spans="53:105" x14ac:dyDescent="0.2">
      <c r="BA1404" s="518">
        <f t="shared" ca="1" si="76"/>
        <v>61</v>
      </c>
      <c r="BB1404" s="174">
        <f t="shared" ca="1" si="77"/>
        <v>1341</v>
      </c>
      <c r="BC1404" s="525" t="e">
        <f ca="1">MATCH(BD1404,OFFSET(Pinlist!$A$2,BC1403*(BA1404=BA1403),0,$BM$23,1),0)+BC1403*(BA1404=BA1403)</f>
        <v>#N/A</v>
      </c>
      <c r="BD1404" s="167">
        <f t="shared" ca="1" si="78"/>
        <v>0</v>
      </c>
      <c r="BE1404" s="191" t="e">
        <f ca="1">(OFFSET(Pinlist!$E$1,BC1404,0)-$BN$16)*$BN$19</f>
        <v>#N/A</v>
      </c>
      <c r="BF1404" s="192" t="e">
        <f ca="1">(OFFSET(Pinlist!$F$1,BC1404,0)-$BO$16)*$BO$19</f>
        <v>#N/A</v>
      </c>
      <c r="BG1404" s="1098" t="str">
        <f ca="1">IF(LEFT(BD1404,2)="RF",OFFSET(Pinlist!$D$1,Chart!BC1404,0)&amp;"_"&amp;OFFSET(Pinlist!$G$1,Chart!BC1404,0),"")</f>
        <v/>
      </c>
      <c r="BH1404" s="1098"/>
      <c r="BI1404" s="178"/>
      <c r="BJ1404" s="178"/>
      <c r="BK1404" s="178"/>
      <c r="BL1404" s="178"/>
      <c r="BM1404" s="178"/>
      <c r="BN1404" s="178"/>
      <c r="BO1404" s="178"/>
      <c r="BP1404" s="178"/>
      <c r="BQ1404" s="196"/>
      <c r="BR1404" s="196"/>
      <c r="BS1404" s="196"/>
      <c r="BT1404" s="196"/>
      <c r="BU1404" s="196"/>
      <c r="BV1404" s="196"/>
      <c r="BW1404" s="178"/>
      <c r="BX1404" s="196"/>
      <c r="BY1404" s="196"/>
      <c r="BZ1404" s="196"/>
      <c r="CA1404" s="196"/>
      <c r="CB1404" s="178"/>
      <c r="CC1404" s="178"/>
      <c r="CD1404" s="202"/>
      <c r="CE1404" s="202"/>
      <c r="CF1404" s="178"/>
      <c r="CG1404" s="196"/>
      <c r="CH1404" s="178"/>
      <c r="CI1404" s="178"/>
      <c r="CJ1404" s="178"/>
      <c r="CK1404" s="178"/>
      <c r="CL1404" s="178"/>
      <c r="CM1404" s="178"/>
      <c r="CN1404" s="178"/>
      <c r="CO1404" s="178"/>
      <c r="CP1404" s="178"/>
      <c r="CQ1404" s="178"/>
      <c r="CR1404" s="178"/>
      <c r="CS1404" s="178"/>
      <c r="CT1404" s="178"/>
      <c r="CU1404" s="178"/>
      <c r="CV1404" s="178"/>
      <c r="CW1404" s="178"/>
      <c r="CX1404" s="178"/>
      <c r="CY1404" s="178"/>
      <c r="CZ1404" s="178"/>
      <c r="DA1404" s="150"/>
    </row>
    <row r="1405" spans="53:105" x14ac:dyDescent="0.2">
      <c r="BA1405" s="518">
        <f t="shared" ca="1" si="76"/>
        <v>61</v>
      </c>
      <c r="BB1405" s="174">
        <f t="shared" ca="1" si="77"/>
        <v>1342</v>
      </c>
      <c r="BC1405" s="525" t="e">
        <f ca="1">MATCH(BD1405,OFFSET(Pinlist!$A$2,BC1404*(BA1405=BA1404),0,$BM$23,1),0)+BC1404*(BA1405=BA1404)</f>
        <v>#N/A</v>
      </c>
      <c r="BD1405" s="167">
        <f t="shared" ca="1" si="78"/>
        <v>0</v>
      </c>
      <c r="BE1405" s="191" t="e">
        <f ca="1">(OFFSET(Pinlist!$E$1,BC1405,0)-$BN$16)*$BN$19</f>
        <v>#N/A</v>
      </c>
      <c r="BF1405" s="192" t="e">
        <f ca="1">(OFFSET(Pinlist!$F$1,BC1405,0)-$BO$16)*$BO$19</f>
        <v>#N/A</v>
      </c>
      <c r="BG1405" s="1098" t="str">
        <f ca="1">IF(LEFT(BD1405,2)="RF",OFFSET(Pinlist!$D$1,Chart!BC1405,0)&amp;"_"&amp;OFFSET(Pinlist!$G$1,Chart!BC1405,0),"")</f>
        <v/>
      </c>
      <c r="BH1405" s="1098"/>
      <c r="BI1405" s="178"/>
      <c r="BJ1405" s="178"/>
      <c r="BK1405" s="178"/>
      <c r="BL1405" s="178"/>
      <c r="BM1405" s="178"/>
      <c r="BN1405" s="178"/>
      <c r="BO1405" s="178"/>
      <c r="BP1405" s="178"/>
      <c r="BQ1405" s="196"/>
      <c r="BR1405" s="196"/>
      <c r="BS1405" s="196"/>
      <c r="BT1405" s="196"/>
      <c r="BU1405" s="196"/>
      <c r="BV1405" s="196"/>
      <c r="BW1405" s="178"/>
      <c r="BX1405" s="196"/>
      <c r="BY1405" s="196"/>
      <c r="BZ1405" s="196"/>
      <c r="CA1405" s="196"/>
      <c r="CB1405" s="178"/>
      <c r="CC1405" s="178"/>
      <c r="CD1405" s="202"/>
      <c r="CE1405" s="202"/>
      <c r="CF1405" s="178"/>
      <c r="CG1405" s="196"/>
      <c r="CH1405" s="178"/>
      <c r="CI1405" s="178"/>
      <c r="CJ1405" s="178"/>
      <c r="CK1405" s="178"/>
      <c r="CL1405" s="178"/>
      <c r="CM1405" s="178"/>
      <c r="CN1405" s="178"/>
      <c r="CO1405" s="178"/>
      <c r="CP1405" s="178"/>
      <c r="CQ1405" s="178"/>
      <c r="CR1405" s="178"/>
      <c r="CS1405" s="178"/>
      <c r="CT1405" s="178"/>
      <c r="CU1405" s="178"/>
      <c r="CV1405" s="178"/>
      <c r="CW1405" s="178"/>
      <c r="CX1405" s="178"/>
      <c r="CY1405" s="178"/>
      <c r="CZ1405" s="178"/>
      <c r="DA1405" s="150"/>
    </row>
    <row r="1406" spans="53:105" x14ac:dyDescent="0.2">
      <c r="BA1406" s="518">
        <f t="shared" ca="1" si="76"/>
        <v>61</v>
      </c>
      <c r="BB1406" s="174">
        <f t="shared" ca="1" si="77"/>
        <v>1343</v>
      </c>
      <c r="BC1406" s="525" t="e">
        <f ca="1">MATCH(BD1406,OFFSET(Pinlist!$A$2,BC1405*(BA1406=BA1405),0,$BM$23,1),0)+BC1405*(BA1406=BA1405)</f>
        <v>#N/A</v>
      </c>
      <c r="BD1406" s="167">
        <f t="shared" ca="1" si="78"/>
        <v>0</v>
      </c>
      <c r="BE1406" s="191" t="e">
        <f ca="1">(OFFSET(Pinlist!$E$1,BC1406,0)-$BN$16)*$BN$19</f>
        <v>#N/A</v>
      </c>
      <c r="BF1406" s="192" t="e">
        <f ca="1">(OFFSET(Pinlist!$F$1,BC1406,0)-$BO$16)*$BO$19</f>
        <v>#N/A</v>
      </c>
      <c r="BG1406" s="1098" t="str">
        <f ca="1">IF(LEFT(BD1406,2)="RF",OFFSET(Pinlist!$D$1,Chart!BC1406,0)&amp;"_"&amp;OFFSET(Pinlist!$G$1,Chart!BC1406,0),"")</f>
        <v/>
      </c>
      <c r="BH1406" s="1098"/>
      <c r="BI1406" s="178"/>
      <c r="BJ1406" s="178"/>
      <c r="BK1406" s="178"/>
      <c r="BL1406" s="178"/>
      <c r="BM1406" s="178"/>
      <c r="BN1406" s="178"/>
      <c r="BO1406" s="178"/>
      <c r="BP1406" s="178"/>
      <c r="BQ1406" s="196"/>
      <c r="BR1406" s="196"/>
      <c r="BS1406" s="196"/>
      <c r="BT1406" s="196"/>
      <c r="BU1406" s="196"/>
      <c r="BV1406" s="196"/>
      <c r="BW1406" s="178"/>
      <c r="BX1406" s="196"/>
      <c r="BY1406" s="196"/>
      <c r="BZ1406" s="196"/>
      <c r="CA1406" s="196"/>
      <c r="CB1406" s="178"/>
      <c r="CC1406" s="178"/>
      <c r="CD1406" s="202"/>
      <c r="CE1406" s="202"/>
      <c r="CF1406" s="178"/>
      <c r="CG1406" s="196"/>
      <c r="CH1406" s="178"/>
      <c r="CI1406" s="178"/>
      <c r="CJ1406" s="178"/>
      <c r="CK1406" s="178"/>
      <c r="CL1406" s="178"/>
      <c r="CM1406" s="178"/>
      <c r="CN1406" s="178"/>
      <c r="CO1406" s="178"/>
      <c r="CP1406" s="178"/>
      <c r="CQ1406" s="178"/>
      <c r="CR1406" s="178"/>
      <c r="CS1406" s="178"/>
      <c r="CT1406" s="178"/>
      <c r="CU1406" s="178"/>
      <c r="CV1406" s="178"/>
      <c r="CW1406" s="178"/>
      <c r="CX1406" s="178"/>
      <c r="CY1406" s="178"/>
      <c r="CZ1406" s="178"/>
      <c r="DA1406" s="150"/>
    </row>
    <row r="1407" spans="53:105" x14ac:dyDescent="0.2">
      <c r="BA1407" s="518">
        <f t="shared" ca="1" si="76"/>
        <v>61</v>
      </c>
      <c r="BB1407" s="174">
        <f t="shared" ca="1" si="77"/>
        <v>1344</v>
      </c>
      <c r="BC1407" s="525" t="e">
        <f ca="1">MATCH(BD1407,OFFSET(Pinlist!$A$2,BC1406*(BA1407=BA1406),0,$BM$23,1),0)+BC1406*(BA1407=BA1406)</f>
        <v>#N/A</v>
      </c>
      <c r="BD1407" s="167">
        <f t="shared" ca="1" si="78"/>
        <v>0</v>
      </c>
      <c r="BE1407" s="191" t="e">
        <f ca="1">(OFFSET(Pinlist!$E$1,BC1407,0)-$BN$16)*$BN$19</f>
        <v>#N/A</v>
      </c>
      <c r="BF1407" s="192" t="e">
        <f ca="1">(OFFSET(Pinlist!$F$1,BC1407,0)-$BO$16)*$BO$19</f>
        <v>#N/A</v>
      </c>
      <c r="BG1407" s="1098" t="str">
        <f ca="1">IF(LEFT(BD1407,2)="RF",OFFSET(Pinlist!$D$1,Chart!BC1407,0)&amp;"_"&amp;OFFSET(Pinlist!$G$1,Chart!BC1407,0),"")</f>
        <v/>
      </c>
      <c r="BH1407" s="1098"/>
      <c r="BI1407" s="178"/>
      <c r="BJ1407" s="178"/>
      <c r="BK1407" s="178"/>
      <c r="BL1407" s="178"/>
      <c r="BM1407" s="178"/>
      <c r="BN1407" s="178"/>
      <c r="BO1407" s="178"/>
      <c r="BP1407" s="178"/>
      <c r="BQ1407" s="196"/>
      <c r="BR1407" s="196"/>
      <c r="BS1407" s="196"/>
      <c r="BT1407" s="196"/>
      <c r="BU1407" s="196"/>
      <c r="BV1407" s="196"/>
      <c r="BW1407" s="178"/>
      <c r="BX1407" s="196"/>
      <c r="BY1407" s="196"/>
      <c r="BZ1407" s="196"/>
      <c r="CA1407" s="196"/>
      <c r="CB1407" s="178"/>
      <c r="CC1407" s="178"/>
      <c r="CD1407" s="202"/>
      <c r="CE1407" s="202"/>
      <c r="CF1407" s="178"/>
      <c r="CG1407" s="196"/>
      <c r="CH1407" s="178"/>
      <c r="CI1407" s="178"/>
      <c r="CJ1407" s="178"/>
      <c r="CK1407" s="178"/>
      <c r="CL1407" s="178"/>
      <c r="CM1407" s="178"/>
      <c r="CN1407" s="178"/>
      <c r="CO1407" s="178"/>
      <c r="CP1407" s="178"/>
      <c r="CQ1407" s="178"/>
      <c r="CR1407" s="178"/>
      <c r="CS1407" s="178"/>
      <c r="CT1407" s="178"/>
      <c r="CU1407" s="178"/>
      <c r="CV1407" s="178"/>
      <c r="CW1407" s="178"/>
      <c r="CX1407" s="178"/>
      <c r="CY1407" s="178"/>
      <c r="CZ1407" s="178"/>
      <c r="DA1407" s="150"/>
    </row>
    <row r="1408" spans="53:105" x14ac:dyDescent="0.2">
      <c r="BA1408" s="518">
        <f t="shared" ca="1" si="76"/>
        <v>61</v>
      </c>
      <c r="BB1408" s="174">
        <f t="shared" ca="1" si="77"/>
        <v>1345</v>
      </c>
      <c r="BC1408" s="525" t="e">
        <f ca="1">MATCH(BD1408,OFFSET(Pinlist!$A$2,BC1407*(BA1408=BA1407),0,$BM$23,1),0)+BC1407*(BA1408=BA1407)</f>
        <v>#N/A</v>
      </c>
      <c r="BD1408" s="167">
        <f t="shared" ca="1" si="78"/>
        <v>0</v>
      </c>
      <c r="BE1408" s="191" t="e">
        <f ca="1">(OFFSET(Pinlist!$E$1,BC1408,0)-$BN$16)*$BN$19</f>
        <v>#N/A</v>
      </c>
      <c r="BF1408" s="192" t="e">
        <f ca="1">(OFFSET(Pinlist!$F$1,BC1408,0)-$BO$16)*$BO$19</f>
        <v>#N/A</v>
      </c>
      <c r="BG1408" s="1098" t="str">
        <f ca="1">IF(LEFT(BD1408,2)="RF",OFFSET(Pinlist!$D$1,Chart!BC1408,0)&amp;"_"&amp;OFFSET(Pinlist!$G$1,Chart!BC1408,0),"")</f>
        <v/>
      </c>
      <c r="BH1408" s="1098"/>
      <c r="BI1408" s="178"/>
      <c r="BJ1408" s="178"/>
      <c r="BK1408" s="178"/>
      <c r="BL1408" s="178"/>
      <c r="BM1408" s="178"/>
      <c r="BN1408" s="178"/>
      <c r="BO1408" s="178"/>
      <c r="BP1408" s="178"/>
      <c r="BQ1408" s="196"/>
      <c r="BR1408" s="196"/>
      <c r="BS1408" s="196"/>
      <c r="BT1408" s="196"/>
      <c r="BU1408" s="196"/>
      <c r="BV1408" s="196"/>
      <c r="BW1408" s="178"/>
      <c r="BX1408" s="196"/>
      <c r="BY1408" s="196"/>
      <c r="BZ1408" s="196"/>
      <c r="CA1408" s="196"/>
      <c r="CB1408" s="178"/>
      <c r="CC1408" s="178"/>
      <c r="CD1408" s="202"/>
      <c r="CE1408" s="202"/>
      <c r="CF1408" s="178"/>
      <c r="CG1408" s="196"/>
      <c r="CH1408" s="178"/>
      <c r="CI1408" s="178"/>
      <c r="CJ1408" s="178"/>
      <c r="CK1408" s="178"/>
      <c r="CL1408" s="178"/>
      <c r="CM1408" s="178"/>
      <c r="CN1408" s="178"/>
      <c r="CO1408" s="178"/>
      <c r="CP1408" s="178"/>
      <c r="CQ1408" s="178"/>
      <c r="CR1408" s="178"/>
      <c r="CS1408" s="178"/>
      <c r="CT1408" s="178"/>
      <c r="CU1408" s="178"/>
      <c r="CV1408" s="178"/>
      <c r="CW1408" s="178"/>
      <c r="CX1408" s="178"/>
      <c r="CY1408" s="178"/>
      <c r="CZ1408" s="178"/>
      <c r="DA1408" s="150"/>
    </row>
    <row r="1409" spans="53:105" x14ac:dyDescent="0.2">
      <c r="BA1409" s="518">
        <f t="shared" ca="1" si="76"/>
        <v>61</v>
      </c>
      <c r="BB1409" s="174">
        <f t="shared" ca="1" si="77"/>
        <v>1346</v>
      </c>
      <c r="BC1409" s="525" t="e">
        <f ca="1">MATCH(BD1409,OFFSET(Pinlist!$A$2,BC1408*(BA1409=BA1408),0,$BM$23,1),0)+BC1408*(BA1409=BA1408)</f>
        <v>#N/A</v>
      </c>
      <c r="BD1409" s="167">
        <f t="shared" ca="1" si="78"/>
        <v>0</v>
      </c>
      <c r="BE1409" s="191" t="e">
        <f ca="1">(OFFSET(Pinlist!$E$1,BC1409,0)-$BN$16)*$BN$19</f>
        <v>#N/A</v>
      </c>
      <c r="BF1409" s="192" t="e">
        <f ca="1">(OFFSET(Pinlist!$F$1,BC1409,0)-$BO$16)*$BO$19</f>
        <v>#N/A</v>
      </c>
      <c r="BG1409" s="1098" t="str">
        <f ca="1">IF(LEFT(BD1409,2)="RF",OFFSET(Pinlist!$D$1,Chart!BC1409,0)&amp;"_"&amp;OFFSET(Pinlist!$G$1,Chart!BC1409,0),"")</f>
        <v/>
      </c>
      <c r="BH1409" s="1098"/>
      <c r="BI1409" s="178"/>
      <c r="BJ1409" s="178"/>
      <c r="BK1409" s="178"/>
      <c r="BL1409" s="178"/>
      <c r="BM1409" s="178"/>
      <c r="BN1409" s="178"/>
      <c r="BO1409" s="178"/>
      <c r="BP1409" s="178"/>
      <c r="BQ1409" s="196"/>
      <c r="BR1409" s="196"/>
      <c r="BS1409" s="196"/>
      <c r="BT1409" s="196"/>
      <c r="BU1409" s="196"/>
      <c r="BV1409" s="196"/>
      <c r="BW1409" s="178"/>
      <c r="BX1409" s="196"/>
      <c r="BY1409" s="196"/>
      <c r="BZ1409" s="196"/>
      <c r="CA1409" s="196"/>
      <c r="CB1409" s="178"/>
      <c r="CC1409" s="178"/>
      <c r="CD1409" s="202"/>
      <c r="CE1409" s="202"/>
      <c r="CF1409" s="178"/>
      <c r="CG1409" s="196"/>
      <c r="CH1409" s="178"/>
      <c r="CI1409" s="178"/>
      <c r="CJ1409" s="178"/>
      <c r="CK1409" s="178"/>
      <c r="CL1409" s="178"/>
      <c r="CM1409" s="178"/>
      <c r="CN1409" s="178"/>
      <c r="CO1409" s="178"/>
      <c r="CP1409" s="178"/>
      <c r="CQ1409" s="178"/>
      <c r="CR1409" s="178"/>
      <c r="CS1409" s="178"/>
      <c r="CT1409" s="178"/>
      <c r="CU1409" s="178"/>
      <c r="CV1409" s="178"/>
      <c r="CW1409" s="178"/>
      <c r="CX1409" s="178"/>
      <c r="CY1409" s="178"/>
      <c r="CZ1409" s="178"/>
      <c r="DA1409" s="150"/>
    </row>
    <row r="1410" spans="53:105" x14ac:dyDescent="0.2">
      <c r="BA1410" s="518">
        <f t="shared" ca="1" si="76"/>
        <v>61</v>
      </c>
      <c r="BB1410" s="174">
        <f t="shared" ca="1" si="77"/>
        <v>1347</v>
      </c>
      <c r="BC1410" s="525" t="e">
        <f ca="1">MATCH(BD1410,OFFSET(Pinlist!$A$2,BC1409*(BA1410=BA1409),0,$BM$23,1),0)+BC1409*(BA1410=BA1409)</f>
        <v>#N/A</v>
      </c>
      <c r="BD1410" s="167">
        <f t="shared" ca="1" si="78"/>
        <v>0</v>
      </c>
      <c r="BE1410" s="191" t="e">
        <f ca="1">(OFFSET(Pinlist!$E$1,BC1410,0)-$BN$16)*$BN$19</f>
        <v>#N/A</v>
      </c>
      <c r="BF1410" s="192" t="e">
        <f ca="1">(OFFSET(Pinlist!$F$1,BC1410,0)-$BO$16)*$BO$19</f>
        <v>#N/A</v>
      </c>
      <c r="BG1410" s="1098" t="str">
        <f ca="1">IF(LEFT(BD1410,2)="RF",OFFSET(Pinlist!$D$1,Chart!BC1410,0)&amp;"_"&amp;OFFSET(Pinlist!$G$1,Chart!BC1410,0),"")</f>
        <v/>
      </c>
      <c r="BH1410" s="1098"/>
      <c r="BI1410" s="178"/>
      <c r="BJ1410" s="178"/>
      <c r="BK1410" s="178"/>
      <c r="BL1410" s="178"/>
      <c r="BM1410" s="178"/>
      <c r="BN1410" s="178"/>
      <c r="BO1410" s="178"/>
      <c r="BP1410" s="178"/>
      <c r="BQ1410" s="196"/>
      <c r="BR1410" s="196"/>
      <c r="BS1410" s="196"/>
      <c r="BT1410" s="196"/>
      <c r="BU1410" s="196"/>
      <c r="BV1410" s="196"/>
      <c r="BW1410" s="178"/>
      <c r="BX1410" s="196"/>
      <c r="BY1410" s="196"/>
      <c r="BZ1410" s="196"/>
      <c r="CA1410" s="196"/>
      <c r="CB1410" s="178"/>
      <c r="CC1410" s="178"/>
      <c r="CD1410" s="202"/>
      <c r="CE1410" s="202"/>
      <c r="CF1410" s="178"/>
      <c r="CG1410" s="196"/>
      <c r="CH1410" s="178"/>
      <c r="CI1410" s="178"/>
      <c r="CJ1410" s="178"/>
      <c r="CK1410" s="178"/>
      <c r="CL1410" s="178"/>
      <c r="CM1410" s="178"/>
      <c r="CN1410" s="178"/>
      <c r="CO1410" s="178"/>
      <c r="CP1410" s="178"/>
      <c r="CQ1410" s="178"/>
      <c r="CR1410" s="178"/>
      <c r="CS1410" s="178"/>
      <c r="CT1410" s="178"/>
      <c r="CU1410" s="178"/>
      <c r="CV1410" s="178"/>
      <c r="CW1410" s="178"/>
      <c r="CX1410" s="178"/>
      <c r="CY1410" s="178"/>
      <c r="CZ1410" s="178"/>
      <c r="DA1410" s="150"/>
    </row>
    <row r="1411" spans="53:105" x14ac:dyDescent="0.2">
      <c r="BA1411" s="518">
        <f t="shared" ca="1" si="76"/>
        <v>61</v>
      </c>
      <c r="BB1411" s="174">
        <f t="shared" ca="1" si="77"/>
        <v>1348</v>
      </c>
      <c r="BC1411" s="525" t="e">
        <f ca="1">MATCH(BD1411,OFFSET(Pinlist!$A$2,BC1410*(BA1411=BA1410),0,$BM$23,1),0)+BC1410*(BA1411=BA1410)</f>
        <v>#N/A</v>
      </c>
      <c r="BD1411" s="167">
        <f t="shared" ca="1" si="78"/>
        <v>0</v>
      </c>
      <c r="BE1411" s="191" t="e">
        <f ca="1">(OFFSET(Pinlist!$E$1,BC1411,0)-$BN$16)*$BN$19</f>
        <v>#N/A</v>
      </c>
      <c r="BF1411" s="192" t="e">
        <f ca="1">(OFFSET(Pinlist!$F$1,BC1411,0)-$BO$16)*$BO$19</f>
        <v>#N/A</v>
      </c>
      <c r="BG1411" s="1098" t="str">
        <f ca="1">IF(LEFT(BD1411,2)="RF",OFFSET(Pinlist!$D$1,Chart!BC1411,0)&amp;"_"&amp;OFFSET(Pinlist!$G$1,Chart!BC1411,0),"")</f>
        <v/>
      </c>
      <c r="BH1411" s="1098"/>
      <c r="BI1411" s="178"/>
      <c r="BJ1411" s="178"/>
      <c r="BK1411" s="178"/>
      <c r="BL1411" s="178"/>
      <c r="BM1411" s="178"/>
      <c r="BN1411" s="178"/>
      <c r="BO1411" s="178"/>
      <c r="BP1411" s="178"/>
      <c r="BQ1411" s="196"/>
      <c r="BR1411" s="196"/>
      <c r="BS1411" s="196"/>
      <c r="BT1411" s="196"/>
      <c r="BU1411" s="196"/>
      <c r="BV1411" s="196"/>
      <c r="BW1411" s="178"/>
      <c r="BX1411" s="196"/>
      <c r="BY1411" s="196"/>
      <c r="BZ1411" s="196"/>
      <c r="CA1411" s="196"/>
      <c r="CB1411" s="178"/>
      <c r="CC1411" s="178"/>
      <c r="CD1411" s="202"/>
      <c r="CE1411" s="202"/>
      <c r="CF1411" s="178"/>
      <c r="CG1411" s="196"/>
      <c r="CH1411" s="178"/>
      <c r="CI1411" s="178"/>
      <c r="CJ1411" s="178"/>
      <c r="CK1411" s="178"/>
      <c r="CL1411" s="178"/>
      <c r="CM1411" s="178"/>
      <c r="CN1411" s="178"/>
      <c r="CO1411" s="178"/>
      <c r="CP1411" s="178"/>
      <c r="CQ1411" s="178"/>
      <c r="CR1411" s="178"/>
      <c r="CS1411" s="178"/>
      <c r="CT1411" s="178"/>
      <c r="CU1411" s="178"/>
      <c r="CV1411" s="178"/>
      <c r="CW1411" s="178"/>
      <c r="CX1411" s="178"/>
      <c r="CY1411" s="178"/>
      <c r="CZ1411" s="178"/>
      <c r="DA1411" s="150"/>
    </row>
    <row r="1412" spans="53:105" x14ac:dyDescent="0.2">
      <c r="BA1412" s="518">
        <f t="shared" ref="BA1412:BA1475" ca="1" si="79">BA1411+(BB1411=OFFSET($BZ$3,BA1411,0))</f>
        <v>61</v>
      </c>
      <c r="BB1412" s="174">
        <f t="shared" ref="BB1412:BB1475" ca="1" si="80">IF(BA1412=BA1411,BB1411+1,1)</f>
        <v>1349</v>
      </c>
      <c r="BC1412" s="525" t="e">
        <f ca="1">MATCH(BD1412,OFFSET(Pinlist!$A$2,BC1411*(BA1412=BA1411),0,$BM$23,1),0)+BC1411*(BA1412=BA1411)</f>
        <v>#N/A</v>
      </c>
      <c r="BD1412" s="167">
        <f t="shared" ref="BD1412:BD1475" ca="1" si="81">OFFSET($BY$3,BA1412,0)</f>
        <v>0</v>
      </c>
      <c r="BE1412" s="191" t="e">
        <f ca="1">(OFFSET(Pinlist!$E$1,BC1412,0)-$BN$16)*$BN$19</f>
        <v>#N/A</v>
      </c>
      <c r="BF1412" s="192" t="e">
        <f ca="1">(OFFSET(Pinlist!$F$1,BC1412,0)-$BO$16)*$BO$19</f>
        <v>#N/A</v>
      </c>
      <c r="BG1412" s="1098" t="str">
        <f ca="1">IF(LEFT(BD1412,2)="RF",OFFSET(Pinlist!$D$1,Chart!BC1412,0)&amp;"_"&amp;OFFSET(Pinlist!$G$1,Chart!BC1412,0),"")</f>
        <v/>
      </c>
      <c r="BH1412" s="1098"/>
      <c r="BI1412" s="178"/>
      <c r="BJ1412" s="178"/>
      <c r="BK1412" s="178"/>
      <c r="BL1412" s="178"/>
      <c r="BM1412" s="178"/>
      <c r="BN1412" s="178"/>
      <c r="BO1412" s="178"/>
      <c r="BP1412" s="178"/>
      <c r="BQ1412" s="196"/>
      <c r="BR1412" s="196"/>
      <c r="BS1412" s="196"/>
      <c r="BT1412" s="196"/>
      <c r="BU1412" s="196"/>
      <c r="BV1412" s="196"/>
      <c r="BW1412" s="178"/>
      <c r="BX1412" s="196"/>
      <c r="BY1412" s="196"/>
      <c r="BZ1412" s="196"/>
      <c r="CA1412" s="196"/>
      <c r="CB1412" s="178"/>
      <c r="CC1412" s="178"/>
      <c r="CD1412" s="202"/>
      <c r="CE1412" s="202"/>
      <c r="CF1412" s="178"/>
      <c r="CG1412" s="196"/>
      <c r="CH1412" s="178"/>
      <c r="CI1412" s="178"/>
      <c r="CJ1412" s="178"/>
      <c r="CK1412" s="178"/>
      <c r="CL1412" s="178"/>
      <c r="CM1412" s="178"/>
      <c r="CN1412" s="178"/>
      <c r="CO1412" s="178"/>
      <c r="CP1412" s="178"/>
      <c r="CQ1412" s="178"/>
      <c r="CR1412" s="178"/>
      <c r="CS1412" s="178"/>
      <c r="CT1412" s="178"/>
      <c r="CU1412" s="178"/>
      <c r="CV1412" s="178"/>
      <c r="CW1412" s="178"/>
      <c r="CX1412" s="178"/>
      <c r="CY1412" s="178"/>
      <c r="CZ1412" s="178"/>
      <c r="DA1412" s="150"/>
    </row>
    <row r="1413" spans="53:105" x14ac:dyDescent="0.2">
      <c r="BA1413" s="518">
        <f t="shared" ca="1" si="79"/>
        <v>61</v>
      </c>
      <c r="BB1413" s="174">
        <f t="shared" ca="1" si="80"/>
        <v>1350</v>
      </c>
      <c r="BC1413" s="525" t="e">
        <f ca="1">MATCH(BD1413,OFFSET(Pinlist!$A$2,BC1412*(BA1413=BA1412),0,$BM$23,1),0)+BC1412*(BA1413=BA1412)</f>
        <v>#N/A</v>
      </c>
      <c r="BD1413" s="167">
        <f t="shared" ca="1" si="81"/>
        <v>0</v>
      </c>
      <c r="BE1413" s="191" t="e">
        <f ca="1">(OFFSET(Pinlist!$E$1,BC1413,0)-$BN$16)*$BN$19</f>
        <v>#N/A</v>
      </c>
      <c r="BF1413" s="192" t="e">
        <f ca="1">(OFFSET(Pinlist!$F$1,BC1413,0)-$BO$16)*$BO$19</f>
        <v>#N/A</v>
      </c>
      <c r="BG1413" s="1098" t="str">
        <f ca="1">IF(LEFT(BD1413,2)="RF",OFFSET(Pinlist!$D$1,Chart!BC1413,0)&amp;"_"&amp;OFFSET(Pinlist!$G$1,Chart!BC1413,0),"")</f>
        <v/>
      </c>
      <c r="BH1413" s="1098"/>
      <c r="BI1413" s="178"/>
      <c r="BJ1413" s="178"/>
      <c r="BK1413" s="178"/>
      <c r="BL1413" s="178"/>
      <c r="BM1413" s="178"/>
      <c r="BN1413" s="178"/>
      <c r="BO1413" s="178"/>
      <c r="BP1413" s="178"/>
      <c r="BQ1413" s="196"/>
      <c r="BR1413" s="196"/>
      <c r="BS1413" s="196"/>
      <c r="BT1413" s="196"/>
      <c r="BU1413" s="196"/>
      <c r="BV1413" s="196"/>
      <c r="BW1413" s="178"/>
      <c r="BX1413" s="196"/>
      <c r="BY1413" s="196"/>
      <c r="BZ1413" s="196"/>
      <c r="CA1413" s="196"/>
      <c r="CB1413" s="178"/>
      <c r="CC1413" s="178"/>
      <c r="CD1413" s="202"/>
      <c r="CE1413" s="202"/>
      <c r="CF1413" s="178"/>
      <c r="CG1413" s="196"/>
      <c r="CH1413" s="178"/>
      <c r="CI1413" s="178"/>
      <c r="CJ1413" s="178"/>
      <c r="CK1413" s="178"/>
      <c r="CL1413" s="178"/>
      <c r="CM1413" s="178"/>
      <c r="CN1413" s="178"/>
      <c r="CO1413" s="178"/>
      <c r="CP1413" s="178"/>
      <c r="CQ1413" s="178"/>
      <c r="CR1413" s="178"/>
      <c r="CS1413" s="178"/>
      <c r="CT1413" s="178"/>
      <c r="CU1413" s="178"/>
      <c r="CV1413" s="178"/>
      <c r="CW1413" s="178"/>
      <c r="CX1413" s="178"/>
      <c r="CY1413" s="178"/>
      <c r="CZ1413" s="178"/>
      <c r="DA1413" s="150"/>
    </row>
    <row r="1414" spans="53:105" x14ac:dyDescent="0.2">
      <c r="BA1414" s="518">
        <f t="shared" ca="1" si="79"/>
        <v>61</v>
      </c>
      <c r="BB1414" s="174">
        <f t="shared" ca="1" si="80"/>
        <v>1351</v>
      </c>
      <c r="BC1414" s="525" t="e">
        <f ca="1">MATCH(BD1414,OFFSET(Pinlist!$A$2,BC1413*(BA1414=BA1413),0,$BM$23,1),0)+BC1413*(BA1414=BA1413)</f>
        <v>#N/A</v>
      </c>
      <c r="BD1414" s="167">
        <f t="shared" ca="1" si="81"/>
        <v>0</v>
      </c>
      <c r="BE1414" s="191" t="e">
        <f ca="1">(OFFSET(Pinlist!$E$1,BC1414,0)-$BN$16)*$BN$19</f>
        <v>#N/A</v>
      </c>
      <c r="BF1414" s="192" t="e">
        <f ca="1">(OFFSET(Pinlist!$F$1,BC1414,0)-$BO$16)*$BO$19</f>
        <v>#N/A</v>
      </c>
      <c r="BG1414" s="1098" t="str">
        <f ca="1">IF(LEFT(BD1414,2)="RF",OFFSET(Pinlist!$D$1,Chart!BC1414,0)&amp;"_"&amp;OFFSET(Pinlist!$G$1,Chart!BC1414,0),"")</f>
        <v/>
      </c>
      <c r="BH1414" s="1098"/>
      <c r="BI1414" s="178"/>
      <c r="BJ1414" s="178"/>
      <c r="BK1414" s="178"/>
      <c r="BL1414" s="178"/>
      <c r="BM1414" s="178"/>
      <c r="BN1414" s="178"/>
      <c r="BO1414" s="178"/>
      <c r="BP1414" s="178"/>
      <c r="BQ1414" s="196"/>
      <c r="BR1414" s="196"/>
      <c r="BS1414" s="196"/>
      <c r="BT1414" s="196"/>
      <c r="BU1414" s="196"/>
      <c r="BV1414" s="196"/>
      <c r="BW1414" s="178"/>
      <c r="BX1414" s="196"/>
      <c r="BY1414" s="196"/>
      <c r="BZ1414" s="196"/>
      <c r="CA1414" s="196"/>
      <c r="CB1414" s="178"/>
      <c r="CC1414" s="178"/>
      <c r="CD1414" s="202"/>
      <c r="CE1414" s="202"/>
      <c r="CF1414" s="178"/>
      <c r="CG1414" s="196"/>
      <c r="CH1414" s="178"/>
      <c r="CI1414" s="178"/>
      <c r="CJ1414" s="178"/>
      <c r="CK1414" s="178"/>
      <c r="CL1414" s="178"/>
      <c r="CM1414" s="178"/>
      <c r="CN1414" s="178"/>
      <c r="CO1414" s="178"/>
      <c r="CP1414" s="178"/>
      <c r="CQ1414" s="178"/>
      <c r="CR1414" s="178"/>
      <c r="CS1414" s="178"/>
      <c r="CT1414" s="178"/>
      <c r="CU1414" s="178"/>
      <c r="CV1414" s="178"/>
      <c r="CW1414" s="178"/>
      <c r="CX1414" s="178"/>
      <c r="CY1414" s="178"/>
      <c r="CZ1414" s="178"/>
      <c r="DA1414" s="150"/>
    </row>
    <row r="1415" spans="53:105" x14ac:dyDescent="0.2">
      <c r="BA1415" s="518">
        <f t="shared" ca="1" si="79"/>
        <v>61</v>
      </c>
      <c r="BB1415" s="174">
        <f t="shared" ca="1" si="80"/>
        <v>1352</v>
      </c>
      <c r="BC1415" s="525" t="e">
        <f ca="1">MATCH(BD1415,OFFSET(Pinlist!$A$2,BC1414*(BA1415=BA1414),0,$BM$23,1),0)+BC1414*(BA1415=BA1414)</f>
        <v>#N/A</v>
      </c>
      <c r="BD1415" s="167">
        <f t="shared" ca="1" si="81"/>
        <v>0</v>
      </c>
      <c r="BE1415" s="191" t="e">
        <f ca="1">(OFFSET(Pinlist!$E$1,BC1415,0)-$BN$16)*$BN$19</f>
        <v>#N/A</v>
      </c>
      <c r="BF1415" s="192" t="e">
        <f ca="1">(OFFSET(Pinlist!$F$1,BC1415,0)-$BO$16)*$BO$19</f>
        <v>#N/A</v>
      </c>
      <c r="BG1415" s="1098" t="str">
        <f ca="1">IF(LEFT(BD1415,2)="RF",OFFSET(Pinlist!$D$1,Chart!BC1415,0)&amp;"_"&amp;OFFSET(Pinlist!$G$1,Chart!BC1415,0),"")</f>
        <v/>
      </c>
      <c r="BH1415" s="1098"/>
      <c r="BI1415" s="178"/>
      <c r="BJ1415" s="178"/>
      <c r="BK1415" s="178"/>
      <c r="BL1415" s="178"/>
      <c r="BM1415" s="178"/>
      <c r="BN1415" s="178"/>
      <c r="BO1415" s="178"/>
      <c r="BP1415" s="178"/>
      <c r="BQ1415" s="196"/>
      <c r="BR1415" s="196"/>
      <c r="BS1415" s="196"/>
      <c r="BT1415" s="196"/>
      <c r="BU1415" s="196"/>
      <c r="BV1415" s="196"/>
      <c r="BW1415" s="178"/>
      <c r="BX1415" s="196"/>
      <c r="BY1415" s="196"/>
      <c r="BZ1415" s="196"/>
      <c r="CA1415" s="196"/>
      <c r="CB1415" s="178"/>
      <c r="CC1415" s="178"/>
      <c r="CD1415" s="202"/>
      <c r="CE1415" s="202"/>
      <c r="CF1415" s="178"/>
      <c r="CG1415" s="196"/>
      <c r="CH1415" s="178"/>
      <c r="CI1415" s="178"/>
      <c r="CJ1415" s="178"/>
      <c r="CK1415" s="178"/>
      <c r="CL1415" s="178"/>
      <c r="CM1415" s="178"/>
      <c r="CN1415" s="178"/>
      <c r="CO1415" s="178"/>
      <c r="CP1415" s="178"/>
      <c r="CQ1415" s="178"/>
      <c r="CR1415" s="178"/>
      <c r="CS1415" s="178"/>
      <c r="CT1415" s="178"/>
      <c r="CU1415" s="178"/>
      <c r="CV1415" s="178"/>
      <c r="CW1415" s="178"/>
      <c r="CX1415" s="178"/>
      <c r="CY1415" s="178"/>
      <c r="CZ1415" s="178"/>
      <c r="DA1415" s="150"/>
    </row>
    <row r="1416" spans="53:105" x14ac:dyDescent="0.2">
      <c r="BA1416" s="518">
        <f t="shared" ca="1" si="79"/>
        <v>61</v>
      </c>
      <c r="BB1416" s="174">
        <f t="shared" ca="1" si="80"/>
        <v>1353</v>
      </c>
      <c r="BC1416" s="525" t="e">
        <f ca="1">MATCH(BD1416,OFFSET(Pinlist!$A$2,BC1415*(BA1416=BA1415),0,$BM$23,1),0)+BC1415*(BA1416=BA1415)</f>
        <v>#N/A</v>
      </c>
      <c r="BD1416" s="167">
        <f t="shared" ca="1" si="81"/>
        <v>0</v>
      </c>
      <c r="BE1416" s="191" t="e">
        <f ca="1">(OFFSET(Pinlist!$E$1,BC1416,0)-$BN$16)*$BN$19</f>
        <v>#N/A</v>
      </c>
      <c r="BF1416" s="192" t="e">
        <f ca="1">(OFFSET(Pinlist!$F$1,BC1416,0)-$BO$16)*$BO$19</f>
        <v>#N/A</v>
      </c>
      <c r="BG1416" s="1098" t="str">
        <f ca="1">IF(LEFT(BD1416,2)="RF",OFFSET(Pinlist!$D$1,Chart!BC1416,0)&amp;"_"&amp;OFFSET(Pinlist!$G$1,Chart!BC1416,0),"")</f>
        <v/>
      </c>
      <c r="BH1416" s="1098"/>
      <c r="BI1416" s="178"/>
      <c r="BJ1416" s="178"/>
      <c r="BK1416" s="178"/>
      <c r="BL1416" s="178"/>
      <c r="BM1416" s="178"/>
      <c r="BN1416" s="178"/>
      <c r="BO1416" s="178"/>
      <c r="BP1416" s="178"/>
      <c r="BQ1416" s="196"/>
      <c r="BR1416" s="196"/>
      <c r="BS1416" s="196"/>
      <c r="BT1416" s="196"/>
      <c r="BU1416" s="196"/>
      <c r="BV1416" s="196"/>
      <c r="BW1416" s="178"/>
      <c r="BX1416" s="196"/>
      <c r="BY1416" s="196"/>
      <c r="BZ1416" s="196"/>
      <c r="CA1416" s="196"/>
      <c r="CB1416" s="178"/>
      <c r="CC1416" s="178"/>
      <c r="CD1416" s="202"/>
      <c r="CE1416" s="202"/>
      <c r="CF1416" s="178"/>
      <c r="CG1416" s="196"/>
      <c r="CH1416" s="178"/>
      <c r="CI1416" s="178"/>
      <c r="CJ1416" s="178"/>
      <c r="CK1416" s="178"/>
      <c r="CL1416" s="178"/>
      <c r="CM1416" s="178"/>
      <c r="CN1416" s="178"/>
      <c r="CO1416" s="178"/>
      <c r="CP1416" s="178"/>
      <c r="CQ1416" s="178"/>
      <c r="CR1416" s="178"/>
      <c r="CS1416" s="178"/>
      <c r="CT1416" s="178"/>
      <c r="CU1416" s="178"/>
      <c r="CV1416" s="178"/>
      <c r="CW1416" s="178"/>
      <c r="CX1416" s="178"/>
      <c r="CY1416" s="178"/>
      <c r="CZ1416" s="178"/>
      <c r="DA1416" s="150"/>
    </row>
    <row r="1417" spans="53:105" x14ac:dyDescent="0.2">
      <c r="BA1417" s="518">
        <f t="shared" ca="1" si="79"/>
        <v>61</v>
      </c>
      <c r="BB1417" s="174">
        <f t="shared" ca="1" si="80"/>
        <v>1354</v>
      </c>
      <c r="BC1417" s="525" t="e">
        <f ca="1">MATCH(BD1417,OFFSET(Pinlist!$A$2,BC1416*(BA1417=BA1416),0,$BM$23,1),0)+BC1416*(BA1417=BA1416)</f>
        <v>#N/A</v>
      </c>
      <c r="BD1417" s="167">
        <f t="shared" ca="1" si="81"/>
        <v>0</v>
      </c>
      <c r="BE1417" s="191" t="e">
        <f ca="1">(OFFSET(Pinlist!$E$1,BC1417,0)-$BN$16)*$BN$19</f>
        <v>#N/A</v>
      </c>
      <c r="BF1417" s="192" t="e">
        <f ca="1">(OFFSET(Pinlist!$F$1,BC1417,0)-$BO$16)*$BO$19</f>
        <v>#N/A</v>
      </c>
      <c r="BG1417" s="1098" t="str">
        <f ca="1">IF(LEFT(BD1417,2)="RF",OFFSET(Pinlist!$D$1,Chart!BC1417,0)&amp;"_"&amp;OFFSET(Pinlist!$G$1,Chart!BC1417,0),"")</f>
        <v/>
      </c>
      <c r="BH1417" s="1098"/>
      <c r="BI1417" s="178"/>
      <c r="BJ1417" s="178"/>
      <c r="BK1417" s="178"/>
      <c r="BL1417" s="178"/>
      <c r="BM1417" s="178"/>
      <c r="BN1417" s="178"/>
      <c r="BO1417" s="178"/>
      <c r="BP1417" s="178"/>
      <c r="BQ1417" s="196"/>
      <c r="BR1417" s="196"/>
      <c r="BS1417" s="196"/>
      <c r="BT1417" s="196"/>
      <c r="BU1417" s="196"/>
      <c r="BV1417" s="196"/>
      <c r="BW1417" s="178"/>
      <c r="BX1417" s="196"/>
      <c r="BY1417" s="196"/>
      <c r="BZ1417" s="196"/>
      <c r="CA1417" s="196"/>
      <c r="CB1417" s="178"/>
      <c r="CC1417" s="178"/>
      <c r="CD1417" s="202"/>
      <c r="CE1417" s="202"/>
      <c r="CF1417" s="178"/>
      <c r="CG1417" s="196"/>
      <c r="CH1417" s="178"/>
      <c r="CI1417" s="178"/>
      <c r="CJ1417" s="178"/>
      <c r="CK1417" s="178"/>
      <c r="CL1417" s="178"/>
      <c r="CM1417" s="178"/>
      <c r="CN1417" s="178"/>
      <c r="CO1417" s="178"/>
      <c r="CP1417" s="178"/>
      <c r="CQ1417" s="178"/>
      <c r="CR1417" s="178"/>
      <c r="CS1417" s="178"/>
      <c r="CT1417" s="178"/>
      <c r="CU1417" s="178"/>
      <c r="CV1417" s="178"/>
      <c r="CW1417" s="178"/>
      <c r="CX1417" s="178"/>
      <c r="CY1417" s="178"/>
      <c r="CZ1417" s="178"/>
      <c r="DA1417" s="150"/>
    </row>
    <row r="1418" spans="53:105" x14ac:dyDescent="0.2">
      <c r="BA1418" s="518">
        <f t="shared" ca="1" si="79"/>
        <v>61</v>
      </c>
      <c r="BB1418" s="174">
        <f t="shared" ca="1" si="80"/>
        <v>1355</v>
      </c>
      <c r="BC1418" s="525" t="e">
        <f ca="1">MATCH(BD1418,OFFSET(Pinlist!$A$2,BC1417*(BA1418=BA1417),0,$BM$23,1),0)+BC1417*(BA1418=BA1417)</f>
        <v>#N/A</v>
      </c>
      <c r="BD1418" s="167">
        <f t="shared" ca="1" si="81"/>
        <v>0</v>
      </c>
      <c r="BE1418" s="191" t="e">
        <f ca="1">(OFFSET(Pinlist!$E$1,BC1418,0)-$BN$16)*$BN$19</f>
        <v>#N/A</v>
      </c>
      <c r="BF1418" s="192" t="e">
        <f ca="1">(OFFSET(Pinlist!$F$1,BC1418,0)-$BO$16)*$BO$19</f>
        <v>#N/A</v>
      </c>
      <c r="BG1418" s="1098" t="str">
        <f ca="1">IF(LEFT(BD1418,2)="RF",OFFSET(Pinlist!$D$1,Chart!BC1418,0)&amp;"_"&amp;OFFSET(Pinlist!$G$1,Chart!BC1418,0),"")</f>
        <v/>
      </c>
      <c r="BH1418" s="1098"/>
      <c r="BI1418" s="178"/>
      <c r="BJ1418" s="178"/>
      <c r="BK1418" s="178"/>
      <c r="BL1418" s="178"/>
      <c r="BM1418" s="178"/>
      <c r="BN1418" s="178"/>
      <c r="BO1418" s="178"/>
      <c r="BP1418" s="178"/>
      <c r="BQ1418" s="196"/>
      <c r="BR1418" s="196"/>
      <c r="BS1418" s="196"/>
      <c r="BT1418" s="196"/>
      <c r="BU1418" s="196"/>
      <c r="BV1418" s="196"/>
      <c r="BW1418" s="178"/>
      <c r="BX1418" s="196"/>
      <c r="BY1418" s="196"/>
      <c r="BZ1418" s="196"/>
      <c r="CA1418" s="196"/>
      <c r="CB1418" s="178"/>
      <c r="CC1418" s="178"/>
      <c r="CD1418" s="202"/>
      <c r="CE1418" s="202"/>
      <c r="CF1418" s="178"/>
      <c r="CG1418" s="196"/>
      <c r="CH1418" s="178"/>
      <c r="CI1418" s="178"/>
      <c r="CJ1418" s="178"/>
      <c r="CK1418" s="178"/>
      <c r="CL1418" s="178"/>
      <c r="CM1418" s="178"/>
      <c r="CN1418" s="178"/>
      <c r="CO1418" s="178"/>
      <c r="CP1418" s="178"/>
      <c r="CQ1418" s="178"/>
      <c r="CR1418" s="178"/>
      <c r="CS1418" s="178"/>
      <c r="CT1418" s="178"/>
      <c r="CU1418" s="178"/>
      <c r="CV1418" s="178"/>
      <c r="CW1418" s="178"/>
      <c r="CX1418" s="178"/>
      <c r="CY1418" s="178"/>
      <c r="CZ1418" s="178"/>
      <c r="DA1418" s="150"/>
    </row>
    <row r="1419" spans="53:105" x14ac:dyDescent="0.2">
      <c r="BA1419" s="518">
        <f t="shared" ca="1" si="79"/>
        <v>61</v>
      </c>
      <c r="BB1419" s="174">
        <f t="shared" ca="1" si="80"/>
        <v>1356</v>
      </c>
      <c r="BC1419" s="525" t="e">
        <f ca="1">MATCH(BD1419,OFFSET(Pinlist!$A$2,BC1418*(BA1419=BA1418),0,$BM$23,1),0)+BC1418*(BA1419=BA1418)</f>
        <v>#N/A</v>
      </c>
      <c r="BD1419" s="167">
        <f t="shared" ca="1" si="81"/>
        <v>0</v>
      </c>
      <c r="BE1419" s="191" t="e">
        <f ca="1">(OFFSET(Pinlist!$E$1,BC1419,0)-$BN$16)*$BN$19</f>
        <v>#N/A</v>
      </c>
      <c r="BF1419" s="192" t="e">
        <f ca="1">(OFFSET(Pinlist!$F$1,BC1419,0)-$BO$16)*$BO$19</f>
        <v>#N/A</v>
      </c>
      <c r="BG1419" s="1098" t="str">
        <f ca="1">IF(LEFT(BD1419,2)="RF",OFFSET(Pinlist!$D$1,Chart!BC1419,0)&amp;"_"&amp;OFFSET(Pinlist!$G$1,Chart!BC1419,0),"")</f>
        <v/>
      </c>
      <c r="BH1419" s="1098"/>
      <c r="BI1419" s="178"/>
      <c r="BJ1419" s="178"/>
      <c r="BK1419" s="178"/>
      <c r="BL1419" s="178"/>
      <c r="BM1419" s="178"/>
      <c r="BN1419" s="178"/>
      <c r="BO1419" s="178"/>
      <c r="BP1419" s="178"/>
      <c r="BQ1419" s="196"/>
      <c r="BR1419" s="196"/>
      <c r="BS1419" s="196"/>
      <c r="BT1419" s="196"/>
      <c r="BU1419" s="196"/>
      <c r="BV1419" s="196"/>
      <c r="BW1419" s="178"/>
      <c r="BX1419" s="196"/>
      <c r="BY1419" s="196"/>
      <c r="BZ1419" s="196"/>
      <c r="CA1419" s="196"/>
      <c r="CB1419" s="178"/>
      <c r="CC1419" s="178"/>
      <c r="CD1419" s="202"/>
      <c r="CE1419" s="202"/>
      <c r="CF1419" s="178"/>
      <c r="CG1419" s="196"/>
      <c r="CH1419" s="178"/>
      <c r="CI1419" s="178"/>
      <c r="CJ1419" s="178"/>
      <c r="CK1419" s="178"/>
      <c r="CL1419" s="178"/>
      <c r="CM1419" s="178"/>
      <c r="CN1419" s="178"/>
      <c r="CO1419" s="178"/>
      <c r="CP1419" s="178"/>
      <c r="CQ1419" s="178"/>
      <c r="CR1419" s="178"/>
      <c r="CS1419" s="178"/>
      <c r="CT1419" s="178"/>
      <c r="CU1419" s="178"/>
      <c r="CV1419" s="178"/>
      <c r="CW1419" s="178"/>
      <c r="CX1419" s="178"/>
      <c r="CY1419" s="178"/>
      <c r="CZ1419" s="178"/>
      <c r="DA1419" s="150"/>
    </row>
    <row r="1420" spans="53:105" x14ac:dyDescent="0.2">
      <c r="BA1420" s="518">
        <f t="shared" ca="1" si="79"/>
        <v>61</v>
      </c>
      <c r="BB1420" s="174">
        <f t="shared" ca="1" si="80"/>
        <v>1357</v>
      </c>
      <c r="BC1420" s="525" t="e">
        <f ca="1">MATCH(BD1420,OFFSET(Pinlist!$A$2,BC1419*(BA1420=BA1419),0,$BM$23,1),0)+BC1419*(BA1420=BA1419)</f>
        <v>#N/A</v>
      </c>
      <c r="BD1420" s="167">
        <f t="shared" ca="1" si="81"/>
        <v>0</v>
      </c>
      <c r="BE1420" s="191" t="e">
        <f ca="1">(OFFSET(Pinlist!$E$1,BC1420,0)-$BN$16)*$BN$19</f>
        <v>#N/A</v>
      </c>
      <c r="BF1420" s="192" t="e">
        <f ca="1">(OFFSET(Pinlist!$F$1,BC1420,0)-$BO$16)*$BO$19</f>
        <v>#N/A</v>
      </c>
      <c r="BG1420" s="1098" t="str">
        <f ca="1">IF(LEFT(BD1420,2)="RF",OFFSET(Pinlist!$D$1,Chart!BC1420,0)&amp;"_"&amp;OFFSET(Pinlist!$G$1,Chart!BC1420,0),"")</f>
        <v/>
      </c>
      <c r="BH1420" s="1098"/>
      <c r="BI1420" s="178"/>
      <c r="BJ1420" s="178"/>
      <c r="BK1420" s="178"/>
      <c r="BL1420" s="178"/>
      <c r="BM1420" s="178"/>
      <c r="BN1420" s="178"/>
      <c r="BO1420" s="178"/>
      <c r="BP1420" s="178"/>
      <c r="BQ1420" s="196"/>
      <c r="BR1420" s="196"/>
      <c r="BS1420" s="196"/>
      <c r="BT1420" s="196"/>
      <c r="BU1420" s="196"/>
      <c r="BV1420" s="196"/>
      <c r="BW1420" s="178"/>
      <c r="BX1420" s="196"/>
      <c r="BY1420" s="196"/>
      <c r="BZ1420" s="196"/>
      <c r="CA1420" s="196"/>
      <c r="CB1420" s="178"/>
      <c r="CC1420" s="178"/>
      <c r="CD1420" s="202"/>
      <c r="CE1420" s="202"/>
      <c r="CF1420" s="178"/>
      <c r="CG1420" s="196"/>
      <c r="CH1420" s="178"/>
      <c r="CI1420" s="178"/>
      <c r="CJ1420" s="178"/>
      <c r="CK1420" s="178"/>
      <c r="CL1420" s="178"/>
      <c r="CM1420" s="178"/>
      <c r="CN1420" s="178"/>
      <c r="CO1420" s="178"/>
      <c r="CP1420" s="178"/>
      <c r="CQ1420" s="178"/>
      <c r="CR1420" s="178"/>
      <c r="CS1420" s="178"/>
      <c r="CT1420" s="178"/>
      <c r="CU1420" s="178"/>
      <c r="CV1420" s="178"/>
      <c r="CW1420" s="178"/>
      <c r="CX1420" s="178"/>
      <c r="CY1420" s="178"/>
      <c r="CZ1420" s="178"/>
      <c r="DA1420" s="150"/>
    </row>
    <row r="1421" spans="53:105" x14ac:dyDescent="0.2">
      <c r="BA1421" s="518">
        <f t="shared" ca="1" si="79"/>
        <v>61</v>
      </c>
      <c r="BB1421" s="174">
        <f t="shared" ca="1" si="80"/>
        <v>1358</v>
      </c>
      <c r="BC1421" s="525" t="e">
        <f ca="1">MATCH(BD1421,OFFSET(Pinlist!$A$2,BC1420*(BA1421=BA1420),0,$BM$23,1),0)+BC1420*(BA1421=BA1420)</f>
        <v>#N/A</v>
      </c>
      <c r="BD1421" s="167">
        <f t="shared" ca="1" si="81"/>
        <v>0</v>
      </c>
      <c r="BE1421" s="191" t="e">
        <f ca="1">(OFFSET(Pinlist!$E$1,BC1421,0)-$BN$16)*$BN$19</f>
        <v>#N/A</v>
      </c>
      <c r="BF1421" s="192" t="e">
        <f ca="1">(OFFSET(Pinlist!$F$1,BC1421,0)-$BO$16)*$BO$19</f>
        <v>#N/A</v>
      </c>
      <c r="BG1421" s="1098" t="str">
        <f ca="1">IF(LEFT(BD1421,2)="RF",OFFSET(Pinlist!$D$1,Chart!BC1421,0)&amp;"_"&amp;OFFSET(Pinlist!$G$1,Chart!BC1421,0),"")</f>
        <v/>
      </c>
      <c r="BH1421" s="1098"/>
      <c r="BI1421" s="178"/>
      <c r="BJ1421" s="178"/>
      <c r="BK1421" s="178"/>
      <c r="BL1421" s="178"/>
      <c r="BM1421" s="178"/>
      <c r="BN1421" s="178"/>
      <c r="BO1421" s="178"/>
      <c r="BP1421" s="178"/>
      <c r="BQ1421" s="196"/>
      <c r="BR1421" s="196"/>
      <c r="BS1421" s="196"/>
      <c r="BT1421" s="196"/>
      <c r="BU1421" s="196"/>
      <c r="BV1421" s="196"/>
      <c r="BW1421" s="178"/>
      <c r="BX1421" s="196"/>
      <c r="BY1421" s="196"/>
      <c r="BZ1421" s="196"/>
      <c r="CA1421" s="196"/>
      <c r="CB1421" s="178"/>
      <c r="CC1421" s="178"/>
      <c r="CD1421" s="202"/>
      <c r="CE1421" s="202"/>
      <c r="CF1421" s="178"/>
      <c r="CG1421" s="196"/>
      <c r="CH1421" s="178"/>
      <c r="CI1421" s="178"/>
      <c r="CJ1421" s="178"/>
      <c r="CK1421" s="178"/>
      <c r="CL1421" s="178"/>
      <c r="CM1421" s="178"/>
      <c r="CN1421" s="178"/>
      <c r="CO1421" s="178"/>
      <c r="CP1421" s="178"/>
      <c r="CQ1421" s="178"/>
      <c r="CR1421" s="178"/>
      <c r="CS1421" s="178"/>
      <c r="CT1421" s="178"/>
      <c r="CU1421" s="178"/>
      <c r="CV1421" s="178"/>
      <c r="CW1421" s="178"/>
      <c r="CX1421" s="178"/>
      <c r="CY1421" s="178"/>
      <c r="CZ1421" s="178"/>
      <c r="DA1421" s="150"/>
    </row>
    <row r="1422" spans="53:105" x14ac:dyDescent="0.2">
      <c r="BA1422" s="518">
        <f t="shared" ca="1" si="79"/>
        <v>61</v>
      </c>
      <c r="BB1422" s="174">
        <f t="shared" ca="1" si="80"/>
        <v>1359</v>
      </c>
      <c r="BC1422" s="525" t="e">
        <f ca="1">MATCH(BD1422,OFFSET(Pinlist!$A$2,BC1421*(BA1422=BA1421),0,$BM$23,1),0)+BC1421*(BA1422=BA1421)</f>
        <v>#N/A</v>
      </c>
      <c r="BD1422" s="167">
        <f t="shared" ca="1" si="81"/>
        <v>0</v>
      </c>
      <c r="BE1422" s="191" t="e">
        <f ca="1">(OFFSET(Pinlist!$E$1,BC1422,0)-$BN$16)*$BN$19</f>
        <v>#N/A</v>
      </c>
      <c r="BF1422" s="192" t="e">
        <f ca="1">(OFFSET(Pinlist!$F$1,BC1422,0)-$BO$16)*$BO$19</f>
        <v>#N/A</v>
      </c>
      <c r="BG1422" s="1098" t="str">
        <f ca="1">IF(LEFT(BD1422,2)="RF",OFFSET(Pinlist!$D$1,Chart!BC1422,0)&amp;"_"&amp;OFFSET(Pinlist!$G$1,Chart!BC1422,0),"")</f>
        <v/>
      </c>
      <c r="BH1422" s="1098"/>
      <c r="BI1422" s="178"/>
      <c r="BJ1422" s="178"/>
      <c r="BK1422" s="178"/>
      <c r="BL1422" s="178"/>
      <c r="BM1422" s="178"/>
      <c r="BN1422" s="178"/>
      <c r="BO1422" s="178"/>
      <c r="BP1422" s="178"/>
      <c r="BQ1422" s="196"/>
      <c r="BR1422" s="196"/>
      <c r="BS1422" s="196"/>
      <c r="BT1422" s="196"/>
      <c r="BU1422" s="196"/>
      <c r="BV1422" s="196"/>
      <c r="BW1422" s="178"/>
      <c r="BX1422" s="196"/>
      <c r="BY1422" s="196"/>
      <c r="BZ1422" s="196"/>
      <c r="CA1422" s="196"/>
      <c r="CB1422" s="178"/>
      <c r="CC1422" s="178"/>
      <c r="CD1422" s="202"/>
      <c r="CE1422" s="202"/>
      <c r="CF1422" s="178"/>
      <c r="CG1422" s="196"/>
      <c r="CH1422" s="178"/>
      <c r="CI1422" s="178"/>
      <c r="CJ1422" s="178"/>
      <c r="CK1422" s="178"/>
      <c r="CL1422" s="178"/>
      <c r="CM1422" s="178"/>
      <c r="CN1422" s="178"/>
      <c r="CO1422" s="178"/>
      <c r="CP1422" s="178"/>
      <c r="CQ1422" s="178"/>
      <c r="CR1422" s="178"/>
      <c r="CS1422" s="178"/>
      <c r="CT1422" s="178"/>
      <c r="CU1422" s="178"/>
      <c r="CV1422" s="178"/>
      <c r="CW1422" s="178"/>
      <c r="CX1422" s="178"/>
      <c r="CY1422" s="178"/>
      <c r="CZ1422" s="178"/>
      <c r="DA1422" s="150"/>
    </row>
    <row r="1423" spans="53:105" x14ac:dyDescent="0.2">
      <c r="BA1423" s="518">
        <f t="shared" ca="1" si="79"/>
        <v>61</v>
      </c>
      <c r="BB1423" s="174">
        <f t="shared" ca="1" si="80"/>
        <v>1360</v>
      </c>
      <c r="BC1423" s="525" t="e">
        <f ca="1">MATCH(BD1423,OFFSET(Pinlist!$A$2,BC1422*(BA1423=BA1422),0,$BM$23,1),0)+BC1422*(BA1423=BA1422)</f>
        <v>#N/A</v>
      </c>
      <c r="BD1423" s="167">
        <f t="shared" ca="1" si="81"/>
        <v>0</v>
      </c>
      <c r="BE1423" s="191" t="e">
        <f ca="1">(OFFSET(Pinlist!$E$1,BC1423,0)-$BN$16)*$BN$19</f>
        <v>#N/A</v>
      </c>
      <c r="BF1423" s="192" t="e">
        <f ca="1">(OFFSET(Pinlist!$F$1,BC1423,0)-$BO$16)*$BO$19</f>
        <v>#N/A</v>
      </c>
      <c r="BG1423" s="1098" t="str">
        <f ca="1">IF(LEFT(BD1423,2)="RF",OFFSET(Pinlist!$D$1,Chart!BC1423,0)&amp;"_"&amp;OFFSET(Pinlist!$G$1,Chart!BC1423,0),"")</f>
        <v/>
      </c>
      <c r="BH1423" s="1098"/>
      <c r="BI1423" s="178"/>
      <c r="BJ1423" s="178"/>
      <c r="BK1423" s="178"/>
      <c r="BL1423" s="178"/>
      <c r="BM1423" s="178"/>
      <c r="BN1423" s="178"/>
      <c r="BO1423" s="178"/>
      <c r="BP1423" s="178"/>
      <c r="BQ1423" s="196"/>
      <c r="BR1423" s="196"/>
      <c r="BS1423" s="196"/>
      <c r="BT1423" s="196"/>
      <c r="BU1423" s="196"/>
      <c r="BV1423" s="196"/>
      <c r="BW1423" s="178"/>
      <c r="BX1423" s="196"/>
      <c r="BY1423" s="196"/>
      <c r="BZ1423" s="196"/>
      <c r="CA1423" s="196"/>
      <c r="CB1423" s="178"/>
      <c r="CC1423" s="178"/>
      <c r="CD1423" s="202"/>
      <c r="CE1423" s="202"/>
      <c r="CF1423" s="178"/>
      <c r="CG1423" s="196"/>
      <c r="CH1423" s="178"/>
      <c r="CI1423" s="178"/>
      <c r="CJ1423" s="178"/>
      <c r="CK1423" s="178"/>
      <c r="CL1423" s="178"/>
      <c r="CM1423" s="178"/>
      <c r="CN1423" s="178"/>
      <c r="CO1423" s="178"/>
      <c r="CP1423" s="178"/>
      <c r="CQ1423" s="178"/>
      <c r="CR1423" s="178"/>
      <c r="CS1423" s="178"/>
      <c r="CT1423" s="178"/>
      <c r="CU1423" s="178"/>
      <c r="CV1423" s="178"/>
      <c r="CW1423" s="178"/>
      <c r="CX1423" s="178"/>
      <c r="CY1423" s="178"/>
      <c r="CZ1423" s="178"/>
      <c r="DA1423" s="150"/>
    </row>
    <row r="1424" spans="53:105" x14ac:dyDescent="0.2">
      <c r="BA1424" s="518">
        <f t="shared" ca="1" si="79"/>
        <v>61</v>
      </c>
      <c r="BB1424" s="174">
        <f t="shared" ca="1" si="80"/>
        <v>1361</v>
      </c>
      <c r="BC1424" s="525" t="e">
        <f ca="1">MATCH(BD1424,OFFSET(Pinlist!$A$2,BC1423*(BA1424=BA1423),0,$BM$23,1),0)+BC1423*(BA1424=BA1423)</f>
        <v>#N/A</v>
      </c>
      <c r="BD1424" s="167">
        <f t="shared" ca="1" si="81"/>
        <v>0</v>
      </c>
      <c r="BE1424" s="191" t="e">
        <f ca="1">(OFFSET(Pinlist!$E$1,BC1424,0)-$BN$16)*$BN$19</f>
        <v>#N/A</v>
      </c>
      <c r="BF1424" s="192" t="e">
        <f ca="1">(OFFSET(Pinlist!$F$1,BC1424,0)-$BO$16)*$BO$19</f>
        <v>#N/A</v>
      </c>
      <c r="BG1424" s="1098" t="str">
        <f ca="1">IF(LEFT(BD1424,2)="RF",OFFSET(Pinlist!$D$1,Chart!BC1424,0)&amp;"_"&amp;OFFSET(Pinlist!$G$1,Chart!BC1424,0),"")</f>
        <v/>
      </c>
      <c r="BH1424" s="1098"/>
      <c r="BI1424" s="178"/>
      <c r="BJ1424" s="178"/>
      <c r="BK1424" s="178"/>
      <c r="BL1424" s="178"/>
      <c r="BM1424" s="178"/>
      <c r="BN1424" s="178"/>
      <c r="BO1424" s="178"/>
      <c r="BP1424" s="178"/>
      <c r="BQ1424" s="196"/>
      <c r="BR1424" s="196"/>
      <c r="BS1424" s="196"/>
      <c r="BT1424" s="196"/>
      <c r="BU1424" s="196"/>
      <c r="BV1424" s="196"/>
      <c r="BW1424" s="178"/>
      <c r="BX1424" s="196"/>
      <c r="BY1424" s="196"/>
      <c r="BZ1424" s="196"/>
      <c r="CA1424" s="196"/>
      <c r="CB1424" s="178"/>
      <c r="CC1424" s="178"/>
      <c r="CD1424" s="202"/>
      <c r="CE1424" s="202"/>
      <c r="CF1424" s="178"/>
      <c r="CG1424" s="196"/>
      <c r="CH1424" s="178"/>
      <c r="CI1424" s="178"/>
      <c r="CJ1424" s="178"/>
      <c r="CK1424" s="178"/>
      <c r="CL1424" s="178"/>
      <c r="CM1424" s="178"/>
      <c r="CN1424" s="178"/>
      <c r="CO1424" s="178"/>
      <c r="CP1424" s="178"/>
      <c r="CQ1424" s="178"/>
      <c r="CR1424" s="178"/>
      <c r="CS1424" s="178"/>
      <c r="CT1424" s="178"/>
      <c r="CU1424" s="178"/>
      <c r="CV1424" s="178"/>
      <c r="CW1424" s="178"/>
      <c r="CX1424" s="178"/>
      <c r="CY1424" s="178"/>
      <c r="CZ1424" s="178"/>
      <c r="DA1424" s="150"/>
    </row>
    <row r="1425" spans="53:105" x14ac:dyDescent="0.2">
      <c r="BA1425" s="518">
        <f t="shared" ca="1" si="79"/>
        <v>61</v>
      </c>
      <c r="BB1425" s="174">
        <f t="shared" ca="1" si="80"/>
        <v>1362</v>
      </c>
      <c r="BC1425" s="525" t="e">
        <f ca="1">MATCH(BD1425,OFFSET(Pinlist!$A$2,BC1424*(BA1425=BA1424),0,$BM$23,1),0)+BC1424*(BA1425=BA1424)</f>
        <v>#N/A</v>
      </c>
      <c r="BD1425" s="167">
        <f t="shared" ca="1" si="81"/>
        <v>0</v>
      </c>
      <c r="BE1425" s="191" t="e">
        <f ca="1">(OFFSET(Pinlist!$E$1,BC1425,0)-$BN$16)*$BN$19</f>
        <v>#N/A</v>
      </c>
      <c r="BF1425" s="192" t="e">
        <f ca="1">(OFFSET(Pinlist!$F$1,BC1425,0)-$BO$16)*$BO$19</f>
        <v>#N/A</v>
      </c>
      <c r="BG1425" s="1098" t="str">
        <f ca="1">IF(LEFT(BD1425,2)="RF",OFFSET(Pinlist!$D$1,Chart!BC1425,0)&amp;"_"&amp;OFFSET(Pinlist!$G$1,Chart!BC1425,0),"")</f>
        <v/>
      </c>
      <c r="BH1425" s="1098"/>
      <c r="BI1425" s="178"/>
      <c r="BJ1425" s="178"/>
      <c r="BK1425" s="178"/>
      <c r="BL1425" s="178"/>
      <c r="BM1425" s="178"/>
      <c r="BN1425" s="178"/>
      <c r="BO1425" s="178"/>
      <c r="BP1425" s="178"/>
      <c r="BQ1425" s="196"/>
      <c r="BR1425" s="196"/>
      <c r="BS1425" s="196"/>
      <c r="BT1425" s="196"/>
      <c r="BU1425" s="196"/>
      <c r="BV1425" s="196"/>
      <c r="BW1425" s="178"/>
      <c r="BX1425" s="196"/>
      <c r="BY1425" s="196"/>
      <c r="BZ1425" s="196"/>
      <c r="CA1425" s="196"/>
      <c r="CB1425" s="178"/>
      <c r="CC1425" s="178"/>
      <c r="CD1425" s="202"/>
      <c r="CE1425" s="202"/>
      <c r="CF1425" s="178"/>
      <c r="CG1425" s="196"/>
      <c r="CH1425" s="178"/>
      <c r="CI1425" s="178"/>
      <c r="CJ1425" s="178"/>
      <c r="CK1425" s="178"/>
      <c r="CL1425" s="178"/>
      <c r="CM1425" s="178"/>
      <c r="CN1425" s="178"/>
      <c r="CO1425" s="178"/>
      <c r="CP1425" s="178"/>
      <c r="CQ1425" s="178"/>
      <c r="CR1425" s="178"/>
      <c r="CS1425" s="178"/>
      <c r="CT1425" s="178"/>
      <c r="CU1425" s="178"/>
      <c r="CV1425" s="178"/>
      <c r="CW1425" s="178"/>
      <c r="CX1425" s="178"/>
      <c r="CY1425" s="178"/>
      <c r="CZ1425" s="178"/>
      <c r="DA1425" s="150"/>
    </row>
    <row r="1426" spans="53:105" x14ac:dyDescent="0.2">
      <c r="BA1426" s="518">
        <f t="shared" ca="1" si="79"/>
        <v>61</v>
      </c>
      <c r="BB1426" s="174">
        <f t="shared" ca="1" si="80"/>
        <v>1363</v>
      </c>
      <c r="BC1426" s="525" t="e">
        <f ca="1">MATCH(BD1426,OFFSET(Pinlist!$A$2,BC1425*(BA1426=BA1425),0,$BM$23,1),0)+BC1425*(BA1426=BA1425)</f>
        <v>#N/A</v>
      </c>
      <c r="BD1426" s="167">
        <f t="shared" ca="1" si="81"/>
        <v>0</v>
      </c>
      <c r="BE1426" s="191" t="e">
        <f ca="1">(OFFSET(Pinlist!$E$1,BC1426,0)-$BN$16)*$BN$19</f>
        <v>#N/A</v>
      </c>
      <c r="BF1426" s="192" t="e">
        <f ca="1">(OFFSET(Pinlist!$F$1,BC1426,0)-$BO$16)*$BO$19</f>
        <v>#N/A</v>
      </c>
      <c r="BG1426" s="1098" t="str">
        <f ca="1">IF(LEFT(BD1426,2)="RF",OFFSET(Pinlist!$D$1,Chart!BC1426,0)&amp;"_"&amp;OFFSET(Pinlist!$G$1,Chart!BC1426,0),"")</f>
        <v/>
      </c>
      <c r="BH1426" s="1098"/>
      <c r="BI1426" s="178"/>
      <c r="BJ1426" s="178"/>
      <c r="BK1426" s="178"/>
      <c r="BL1426" s="178"/>
      <c r="BM1426" s="178"/>
      <c r="BN1426" s="178"/>
      <c r="BO1426" s="178"/>
      <c r="BP1426" s="178"/>
      <c r="BQ1426" s="196"/>
      <c r="BR1426" s="196"/>
      <c r="BS1426" s="196"/>
      <c r="BT1426" s="196"/>
      <c r="BU1426" s="196"/>
      <c r="BV1426" s="196"/>
      <c r="BW1426" s="178"/>
      <c r="BX1426" s="196"/>
      <c r="BY1426" s="196"/>
      <c r="BZ1426" s="196"/>
      <c r="CA1426" s="196"/>
      <c r="CB1426" s="178"/>
      <c r="CC1426" s="178"/>
      <c r="CD1426" s="202"/>
      <c r="CE1426" s="202"/>
      <c r="CF1426" s="178"/>
      <c r="CG1426" s="196"/>
      <c r="CH1426" s="178"/>
      <c r="CI1426" s="178"/>
      <c r="CJ1426" s="178"/>
      <c r="CK1426" s="178"/>
      <c r="CL1426" s="178"/>
      <c r="CM1426" s="178"/>
      <c r="CN1426" s="178"/>
      <c r="CO1426" s="178"/>
      <c r="CP1426" s="178"/>
      <c r="CQ1426" s="178"/>
      <c r="CR1426" s="178"/>
      <c r="CS1426" s="178"/>
      <c r="CT1426" s="178"/>
      <c r="CU1426" s="178"/>
      <c r="CV1426" s="178"/>
      <c r="CW1426" s="178"/>
      <c r="CX1426" s="178"/>
      <c r="CY1426" s="178"/>
      <c r="CZ1426" s="178"/>
      <c r="DA1426" s="150"/>
    </row>
    <row r="1427" spans="53:105" x14ac:dyDescent="0.2">
      <c r="BA1427" s="518">
        <f t="shared" ca="1" si="79"/>
        <v>61</v>
      </c>
      <c r="BB1427" s="174">
        <f t="shared" ca="1" si="80"/>
        <v>1364</v>
      </c>
      <c r="BC1427" s="525" t="e">
        <f ca="1">MATCH(BD1427,OFFSET(Pinlist!$A$2,BC1426*(BA1427=BA1426),0,$BM$23,1),0)+BC1426*(BA1427=BA1426)</f>
        <v>#N/A</v>
      </c>
      <c r="BD1427" s="167">
        <f t="shared" ca="1" si="81"/>
        <v>0</v>
      </c>
      <c r="BE1427" s="191" t="e">
        <f ca="1">(OFFSET(Pinlist!$E$1,BC1427,0)-$BN$16)*$BN$19</f>
        <v>#N/A</v>
      </c>
      <c r="BF1427" s="192" t="e">
        <f ca="1">(OFFSET(Pinlist!$F$1,BC1427,0)-$BO$16)*$BO$19</f>
        <v>#N/A</v>
      </c>
      <c r="BG1427" s="1098" t="str">
        <f ca="1">IF(LEFT(BD1427,2)="RF",OFFSET(Pinlist!$D$1,Chart!BC1427,0)&amp;"_"&amp;OFFSET(Pinlist!$G$1,Chart!BC1427,0),"")</f>
        <v/>
      </c>
      <c r="BH1427" s="1098"/>
      <c r="BI1427" s="178"/>
      <c r="BJ1427" s="178"/>
      <c r="BK1427" s="178"/>
      <c r="BL1427" s="178"/>
      <c r="BM1427" s="178"/>
      <c r="BN1427" s="178"/>
      <c r="BO1427" s="178"/>
      <c r="BP1427" s="178"/>
      <c r="BQ1427" s="196"/>
      <c r="BR1427" s="196"/>
      <c r="BS1427" s="196"/>
      <c r="BT1427" s="196"/>
      <c r="BU1427" s="196"/>
      <c r="BV1427" s="196"/>
      <c r="BW1427" s="178"/>
      <c r="BX1427" s="196"/>
      <c r="BY1427" s="196"/>
      <c r="BZ1427" s="196"/>
      <c r="CA1427" s="196"/>
      <c r="CB1427" s="178"/>
      <c r="CC1427" s="178"/>
      <c r="CD1427" s="202"/>
      <c r="CE1427" s="202"/>
      <c r="CF1427" s="178"/>
      <c r="CG1427" s="196"/>
      <c r="CH1427" s="178"/>
      <c r="CI1427" s="178"/>
      <c r="CJ1427" s="178"/>
      <c r="CK1427" s="178"/>
      <c r="CL1427" s="178"/>
      <c r="CM1427" s="178"/>
      <c r="CN1427" s="178"/>
      <c r="CO1427" s="178"/>
      <c r="CP1427" s="178"/>
      <c r="CQ1427" s="178"/>
      <c r="CR1427" s="178"/>
      <c r="CS1427" s="178"/>
      <c r="CT1427" s="178"/>
      <c r="CU1427" s="178"/>
      <c r="CV1427" s="178"/>
      <c r="CW1427" s="178"/>
      <c r="CX1427" s="178"/>
      <c r="CY1427" s="178"/>
      <c r="CZ1427" s="178"/>
      <c r="DA1427" s="150"/>
    </row>
    <row r="1428" spans="53:105" x14ac:dyDescent="0.2">
      <c r="BA1428" s="518">
        <f t="shared" ca="1" si="79"/>
        <v>61</v>
      </c>
      <c r="BB1428" s="174">
        <f t="shared" ca="1" si="80"/>
        <v>1365</v>
      </c>
      <c r="BC1428" s="525" t="e">
        <f ca="1">MATCH(BD1428,OFFSET(Pinlist!$A$2,BC1427*(BA1428=BA1427),0,$BM$23,1),0)+BC1427*(BA1428=BA1427)</f>
        <v>#N/A</v>
      </c>
      <c r="BD1428" s="167">
        <f t="shared" ca="1" si="81"/>
        <v>0</v>
      </c>
      <c r="BE1428" s="191" t="e">
        <f ca="1">(OFFSET(Pinlist!$E$1,BC1428,0)-$BN$16)*$BN$19</f>
        <v>#N/A</v>
      </c>
      <c r="BF1428" s="192" t="e">
        <f ca="1">(OFFSET(Pinlist!$F$1,BC1428,0)-$BO$16)*$BO$19</f>
        <v>#N/A</v>
      </c>
      <c r="BG1428" s="1098" t="str">
        <f ca="1">IF(LEFT(BD1428,2)="RF",OFFSET(Pinlist!$D$1,Chart!BC1428,0)&amp;"_"&amp;OFFSET(Pinlist!$G$1,Chart!BC1428,0),"")</f>
        <v/>
      </c>
      <c r="BH1428" s="1098"/>
      <c r="BI1428" s="178"/>
      <c r="BJ1428" s="178"/>
      <c r="BK1428" s="178"/>
      <c r="BL1428" s="178"/>
      <c r="BM1428" s="178"/>
      <c r="BN1428" s="178"/>
      <c r="BO1428" s="178"/>
      <c r="BP1428" s="178"/>
      <c r="BQ1428" s="196"/>
      <c r="BR1428" s="196"/>
      <c r="BS1428" s="196"/>
      <c r="BT1428" s="196"/>
      <c r="BU1428" s="196"/>
      <c r="BV1428" s="196"/>
      <c r="BW1428" s="178"/>
      <c r="BX1428" s="196"/>
      <c r="BY1428" s="196"/>
      <c r="BZ1428" s="196"/>
      <c r="CA1428" s="196"/>
      <c r="CB1428" s="178"/>
      <c r="CC1428" s="178"/>
      <c r="CD1428" s="202"/>
      <c r="CE1428" s="202"/>
      <c r="CF1428" s="178"/>
      <c r="CG1428" s="196"/>
      <c r="CH1428" s="178"/>
      <c r="CI1428" s="178"/>
      <c r="CJ1428" s="178"/>
      <c r="CK1428" s="178"/>
      <c r="CL1428" s="178"/>
      <c r="CM1428" s="178"/>
      <c r="CN1428" s="178"/>
      <c r="CO1428" s="178"/>
      <c r="CP1428" s="178"/>
      <c r="CQ1428" s="178"/>
      <c r="CR1428" s="178"/>
      <c r="CS1428" s="178"/>
      <c r="CT1428" s="178"/>
      <c r="CU1428" s="178"/>
      <c r="CV1428" s="178"/>
      <c r="CW1428" s="178"/>
      <c r="CX1428" s="178"/>
      <c r="CY1428" s="178"/>
      <c r="CZ1428" s="178"/>
      <c r="DA1428" s="150"/>
    </row>
    <row r="1429" spans="53:105" x14ac:dyDescent="0.2">
      <c r="BA1429" s="518">
        <f t="shared" ca="1" si="79"/>
        <v>61</v>
      </c>
      <c r="BB1429" s="174">
        <f t="shared" ca="1" si="80"/>
        <v>1366</v>
      </c>
      <c r="BC1429" s="525" t="e">
        <f ca="1">MATCH(BD1429,OFFSET(Pinlist!$A$2,BC1428*(BA1429=BA1428),0,$BM$23,1),0)+BC1428*(BA1429=BA1428)</f>
        <v>#N/A</v>
      </c>
      <c r="BD1429" s="167">
        <f t="shared" ca="1" si="81"/>
        <v>0</v>
      </c>
      <c r="BE1429" s="191" t="e">
        <f ca="1">(OFFSET(Pinlist!$E$1,BC1429,0)-$BN$16)*$BN$19</f>
        <v>#N/A</v>
      </c>
      <c r="BF1429" s="192" t="e">
        <f ca="1">(OFFSET(Pinlist!$F$1,BC1429,0)-$BO$16)*$BO$19</f>
        <v>#N/A</v>
      </c>
      <c r="BG1429" s="1098" t="str">
        <f ca="1">IF(LEFT(BD1429,2)="RF",OFFSET(Pinlist!$D$1,Chart!BC1429,0)&amp;"_"&amp;OFFSET(Pinlist!$G$1,Chart!BC1429,0),"")</f>
        <v/>
      </c>
      <c r="BH1429" s="1098"/>
      <c r="BI1429" s="178"/>
      <c r="BJ1429" s="178"/>
      <c r="BK1429" s="178"/>
      <c r="BL1429" s="178"/>
      <c r="BM1429" s="178"/>
      <c r="BN1429" s="178"/>
      <c r="BO1429" s="178"/>
      <c r="BP1429" s="178"/>
      <c r="BQ1429" s="196"/>
      <c r="BR1429" s="196"/>
      <c r="BS1429" s="196"/>
      <c r="BT1429" s="196"/>
      <c r="BU1429" s="196"/>
      <c r="BV1429" s="196"/>
      <c r="BW1429" s="178"/>
      <c r="BX1429" s="196"/>
      <c r="BY1429" s="196"/>
      <c r="BZ1429" s="196"/>
      <c r="CA1429" s="196"/>
      <c r="CB1429" s="178"/>
      <c r="CC1429" s="178"/>
      <c r="CD1429" s="202"/>
      <c r="CE1429" s="202"/>
      <c r="CF1429" s="178"/>
      <c r="CG1429" s="196"/>
      <c r="CH1429" s="178"/>
      <c r="CI1429" s="178"/>
      <c r="CJ1429" s="178"/>
      <c r="CK1429" s="178"/>
      <c r="CL1429" s="178"/>
      <c r="CM1429" s="178"/>
      <c r="CN1429" s="178"/>
      <c r="CO1429" s="178"/>
      <c r="CP1429" s="178"/>
      <c r="CQ1429" s="178"/>
      <c r="CR1429" s="178"/>
      <c r="CS1429" s="178"/>
      <c r="CT1429" s="178"/>
      <c r="CU1429" s="178"/>
      <c r="CV1429" s="178"/>
      <c r="CW1429" s="178"/>
      <c r="CX1429" s="178"/>
      <c r="CY1429" s="178"/>
      <c r="CZ1429" s="178"/>
      <c r="DA1429" s="150"/>
    </row>
    <row r="1430" spans="53:105" x14ac:dyDescent="0.2">
      <c r="BA1430" s="518">
        <f t="shared" ca="1" si="79"/>
        <v>61</v>
      </c>
      <c r="BB1430" s="174">
        <f t="shared" ca="1" si="80"/>
        <v>1367</v>
      </c>
      <c r="BC1430" s="525" t="e">
        <f ca="1">MATCH(BD1430,OFFSET(Pinlist!$A$2,BC1429*(BA1430=BA1429),0,$BM$23,1),0)+BC1429*(BA1430=BA1429)</f>
        <v>#N/A</v>
      </c>
      <c r="BD1430" s="167">
        <f t="shared" ca="1" si="81"/>
        <v>0</v>
      </c>
      <c r="BE1430" s="191" t="e">
        <f ca="1">(OFFSET(Pinlist!$E$1,BC1430,0)-$BN$16)*$BN$19</f>
        <v>#N/A</v>
      </c>
      <c r="BF1430" s="192" t="e">
        <f ca="1">(OFFSET(Pinlist!$F$1,BC1430,0)-$BO$16)*$BO$19</f>
        <v>#N/A</v>
      </c>
      <c r="BG1430" s="1098" t="str">
        <f ca="1">IF(LEFT(BD1430,2)="RF",OFFSET(Pinlist!$D$1,Chart!BC1430,0)&amp;"_"&amp;OFFSET(Pinlist!$G$1,Chart!BC1430,0),"")</f>
        <v/>
      </c>
      <c r="BH1430" s="1098"/>
      <c r="BI1430" s="178"/>
      <c r="BJ1430" s="178"/>
      <c r="BK1430" s="178"/>
      <c r="BL1430" s="178"/>
      <c r="BM1430" s="178"/>
      <c r="BN1430" s="178"/>
      <c r="BO1430" s="178"/>
      <c r="BP1430" s="178"/>
      <c r="BQ1430" s="196"/>
      <c r="BR1430" s="196"/>
      <c r="BS1430" s="196"/>
      <c r="BT1430" s="196"/>
      <c r="BU1430" s="196"/>
      <c r="BV1430" s="196"/>
      <c r="BW1430" s="178"/>
      <c r="BX1430" s="196"/>
      <c r="BY1430" s="196"/>
      <c r="BZ1430" s="196"/>
      <c r="CA1430" s="196"/>
      <c r="CB1430" s="178"/>
      <c r="CC1430" s="178"/>
      <c r="CD1430" s="202"/>
      <c r="CE1430" s="202"/>
      <c r="CF1430" s="178"/>
      <c r="CG1430" s="196"/>
      <c r="CH1430" s="178"/>
      <c r="CI1430" s="178"/>
      <c r="CJ1430" s="178"/>
      <c r="CK1430" s="178"/>
      <c r="CL1430" s="178"/>
      <c r="CM1430" s="178"/>
      <c r="CN1430" s="178"/>
      <c r="CO1430" s="178"/>
      <c r="CP1430" s="178"/>
      <c r="CQ1430" s="178"/>
      <c r="CR1430" s="178"/>
      <c r="CS1430" s="178"/>
      <c r="CT1430" s="178"/>
      <c r="CU1430" s="178"/>
      <c r="CV1430" s="178"/>
      <c r="CW1430" s="178"/>
      <c r="CX1430" s="178"/>
      <c r="CY1430" s="178"/>
      <c r="CZ1430" s="178"/>
      <c r="DA1430" s="150"/>
    </row>
    <row r="1431" spans="53:105" x14ac:dyDescent="0.2">
      <c r="BA1431" s="518">
        <f t="shared" ca="1" si="79"/>
        <v>61</v>
      </c>
      <c r="BB1431" s="174">
        <f t="shared" ca="1" si="80"/>
        <v>1368</v>
      </c>
      <c r="BC1431" s="525" t="e">
        <f ca="1">MATCH(BD1431,OFFSET(Pinlist!$A$2,BC1430*(BA1431=BA1430),0,$BM$23,1),0)+BC1430*(BA1431=BA1430)</f>
        <v>#N/A</v>
      </c>
      <c r="BD1431" s="167">
        <f t="shared" ca="1" si="81"/>
        <v>0</v>
      </c>
      <c r="BE1431" s="191" t="e">
        <f ca="1">(OFFSET(Pinlist!$E$1,BC1431,0)-$BN$16)*$BN$19</f>
        <v>#N/A</v>
      </c>
      <c r="BF1431" s="192" t="e">
        <f ca="1">(OFFSET(Pinlist!$F$1,BC1431,0)-$BO$16)*$BO$19</f>
        <v>#N/A</v>
      </c>
      <c r="BG1431" s="1098" t="str">
        <f ca="1">IF(LEFT(BD1431,2)="RF",OFFSET(Pinlist!$D$1,Chart!BC1431,0)&amp;"_"&amp;OFFSET(Pinlist!$G$1,Chart!BC1431,0),"")</f>
        <v/>
      </c>
      <c r="BH1431" s="1098"/>
      <c r="BI1431" s="178"/>
      <c r="BJ1431" s="178"/>
      <c r="BK1431" s="178"/>
      <c r="BL1431" s="178"/>
      <c r="BM1431" s="178"/>
      <c r="BN1431" s="178"/>
      <c r="BO1431" s="178"/>
      <c r="BP1431" s="178"/>
      <c r="BQ1431" s="196"/>
      <c r="BR1431" s="196"/>
      <c r="BS1431" s="196"/>
      <c r="BT1431" s="196"/>
      <c r="BU1431" s="196"/>
      <c r="BV1431" s="196"/>
      <c r="BW1431" s="178"/>
      <c r="BX1431" s="196"/>
      <c r="BY1431" s="196"/>
      <c r="BZ1431" s="196"/>
      <c r="CA1431" s="196"/>
      <c r="CB1431" s="178"/>
      <c r="CC1431" s="178"/>
      <c r="CD1431" s="202"/>
      <c r="CE1431" s="202"/>
      <c r="CF1431" s="178"/>
      <c r="CG1431" s="196"/>
      <c r="CH1431" s="178"/>
      <c r="CI1431" s="178"/>
      <c r="CJ1431" s="178"/>
      <c r="CK1431" s="178"/>
      <c r="CL1431" s="178"/>
      <c r="CM1431" s="178"/>
      <c r="CN1431" s="178"/>
      <c r="CO1431" s="178"/>
      <c r="CP1431" s="178"/>
      <c r="CQ1431" s="178"/>
      <c r="CR1431" s="178"/>
      <c r="CS1431" s="178"/>
      <c r="CT1431" s="178"/>
      <c r="CU1431" s="178"/>
      <c r="CV1431" s="178"/>
      <c r="CW1431" s="178"/>
      <c r="CX1431" s="178"/>
      <c r="CY1431" s="178"/>
      <c r="CZ1431" s="178"/>
      <c r="DA1431" s="150"/>
    </row>
    <row r="1432" spans="53:105" x14ac:dyDescent="0.2">
      <c r="BA1432" s="518">
        <f t="shared" ca="1" si="79"/>
        <v>61</v>
      </c>
      <c r="BB1432" s="174">
        <f t="shared" ca="1" si="80"/>
        <v>1369</v>
      </c>
      <c r="BC1432" s="525" t="e">
        <f ca="1">MATCH(BD1432,OFFSET(Pinlist!$A$2,BC1431*(BA1432=BA1431),0,$BM$23,1),0)+BC1431*(BA1432=BA1431)</f>
        <v>#N/A</v>
      </c>
      <c r="BD1432" s="167">
        <f t="shared" ca="1" si="81"/>
        <v>0</v>
      </c>
      <c r="BE1432" s="191" t="e">
        <f ca="1">(OFFSET(Pinlist!$E$1,BC1432,0)-$BN$16)*$BN$19</f>
        <v>#N/A</v>
      </c>
      <c r="BF1432" s="192" t="e">
        <f ca="1">(OFFSET(Pinlist!$F$1,BC1432,0)-$BO$16)*$BO$19</f>
        <v>#N/A</v>
      </c>
      <c r="BG1432" s="1098" t="str">
        <f ca="1">IF(LEFT(BD1432,2)="RF",OFFSET(Pinlist!$D$1,Chart!BC1432,0)&amp;"_"&amp;OFFSET(Pinlist!$G$1,Chart!BC1432,0),"")</f>
        <v/>
      </c>
      <c r="BH1432" s="1098"/>
      <c r="BI1432" s="178"/>
      <c r="BJ1432" s="178"/>
      <c r="BK1432" s="178"/>
      <c r="BL1432" s="178"/>
      <c r="BM1432" s="178"/>
      <c r="BN1432" s="178"/>
      <c r="BO1432" s="178"/>
      <c r="BP1432" s="178"/>
      <c r="BQ1432" s="196"/>
      <c r="BR1432" s="196"/>
      <c r="BS1432" s="196"/>
      <c r="BT1432" s="196"/>
      <c r="BU1432" s="196"/>
      <c r="BV1432" s="196"/>
      <c r="BW1432" s="178"/>
      <c r="BX1432" s="196"/>
      <c r="BY1432" s="196"/>
      <c r="BZ1432" s="196"/>
      <c r="CA1432" s="196"/>
      <c r="CB1432" s="178"/>
      <c r="CC1432" s="178"/>
      <c r="CD1432" s="202"/>
      <c r="CE1432" s="202"/>
      <c r="CF1432" s="178"/>
      <c r="CG1432" s="196"/>
      <c r="CH1432" s="178"/>
      <c r="CI1432" s="178"/>
      <c r="CJ1432" s="178"/>
      <c r="CK1432" s="178"/>
      <c r="CL1432" s="178"/>
      <c r="CM1432" s="178"/>
      <c r="CN1432" s="178"/>
      <c r="CO1432" s="178"/>
      <c r="CP1432" s="178"/>
      <c r="CQ1432" s="178"/>
      <c r="CR1432" s="178"/>
      <c r="CS1432" s="178"/>
      <c r="CT1432" s="178"/>
      <c r="CU1432" s="178"/>
      <c r="CV1432" s="178"/>
      <c r="CW1432" s="178"/>
      <c r="CX1432" s="178"/>
      <c r="CY1432" s="178"/>
      <c r="CZ1432" s="178"/>
      <c r="DA1432" s="150"/>
    </row>
    <row r="1433" spans="53:105" x14ac:dyDescent="0.2">
      <c r="BA1433" s="518">
        <f t="shared" ca="1" si="79"/>
        <v>61</v>
      </c>
      <c r="BB1433" s="174">
        <f t="shared" ca="1" si="80"/>
        <v>1370</v>
      </c>
      <c r="BC1433" s="525" t="e">
        <f ca="1">MATCH(BD1433,OFFSET(Pinlist!$A$2,BC1432*(BA1433=BA1432),0,$BM$23,1),0)+BC1432*(BA1433=BA1432)</f>
        <v>#N/A</v>
      </c>
      <c r="BD1433" s="167">
        <f t="shared" ca="1" si="81"/>
        <v>0</v>
      </c>
      <c r="BE1433" s="191" t="e">
        <f ca="1">(OFFSET(Pinlist!$E$1,BC1433,0)-$BN$16)*$BN$19</f>
        <v>#N/A</v>
      </c>
      <c r="BF1433" s="192" t="e">
        <f ca="1">(OFFSET(Pinlist!$F$1,BC1433,0)-$BO$16)*$BO$19</f>
        <v>#N/A</v>
      </c>
      <c r="BG1433" s="1098" t="str">
        <f ca="1">IF(LEFT(BD1433,2)="RF",OFFSET(Pinlist!$D$1,Chart!BC1433,0)&amp;"_"&amp;OFFSET(Pinlist!$G$1,Chart!BC1433,0),"")</f>
        <v/>
      </c>
      <c r="BH1433" s="1098"/>
      <c r="BI1433" s="178"/>
      <c r="BJ1433" s="178"/>
      <c r="BK1433" s="178"/>
      <c r="BL1433" s="178"/>
      <c r="BM1433" s="178"/>
      <c r="BN1433" s="178"/>
      <c r="BO1433" s="178"/>
      <c r="BP1433" s="178"/>
      <c r="BQ1433" s="196"/>
      <c r="BR1433" s="196"/>
      <c r="BS1433" s="196"/>
      <c r="BT1433" s="196"/>
      <c r="BU1433" s="196"/>
      <c r="BV1433" s="196"/>
      <c r="BW1433" s="178"/>
      <c r="BX1433" s="196"/>
      <c r="BY1433" s="196"/>
      <c r="BZ1433" s="196"/>
      <c r="CA1433" s="196"/>
      <c r="CB1433" s="178"/>
      <c r="CC1433" s="178"/>
      <c r="CD1433" s="202"/>
      <c r="CE1433" s="202"/>
      <c r="CF1433" s="178"/>
      <c r="CG1433" s="196"/>
      <c r="CH1433" s="178"/>
      <c r="CI1433" s="178"/>
      <c r="CJ1433" s="178"/>
      <c r="CK1433" s="178"/>
      <c r="CL1433" s="178"/>
      <c r="CM1433" s="178"/>
      <c r="CN1433" s="178"/>
      <c r="CO1433" s="178"/>
      <c r="CP1433" s="178"/>
      <c r="CQ1433" s="178"/>
      <c r="CR1433" s="178"/>
      <c r="CS1433" s="178"/>
      <c r="CT1433" s="178"/>
      <c r="CU1433" s="178"/>
      <c r="CV1433" s="178"/>
      <c r="CW1433" s="178"/>
      <c r="CX1433" s="178"/>
      <c r="CY1433" s="178"/>
      <c r="CZ1433" s="178"/>
      <c r="DA1433" s="150"/>
    </row>
    <row r="1434" spans="53:105" x14ac:dyDescent="0.2">
      <c r="BA1434" s="518">
        <f t="shared" ca="1" si="79"/>
        <v>61</v>
      </c>
      <c r="BB1434" s="174">
        <f t="shared" ca="1" si="80"/>
        <v>1371</v>
      </c>
      <c r="BC1434" s="525" t="e">
        <f ca="1">MATCH(BD1434,OFFSET(Pinlist!$A$2,BC1433*(BA1434=BA1433),0,$BM$23,1),0)+BC1433*(BA1434=BA1433)</f>
        <v>#N/A</v>
      </c>
      <c r="BD1434" s="167">
        <f t="shared" ca="1" si="81"/>
        <v>0</v>
      </c>
      <c r="BE1434" s="191" t="e">
        <f ca="1">(OFFSET(Pinlist!$E$1,BC1434,0)-$BN$16)*$BN$19</f>
        <v>#N/A</v>
      </c>
      <c r="BF1434" s="192" t="e">
        <f ca="1">(OFFSET(Pinlist!$F$1,BC1434,0)-$BO$16)*$BO$19</f>
        <v>#N/A</v>
      </c>
      <c r="BG1434" s="1098" t="str">
        <f ca="1">IF(LEFT(BD1434,2)="RF",OFFSET(Pinlist!$D$1,Chart!BC1434,0)&amp;"_"&amp;OFFSET(Pinlist!$G$1,Chart!BC1434,0),"")</f>
        <v/>
      </c>
      <c r="BH1434" s="1098"/>
      <c r="BI1434" s="178"/>
      <c r="BJ1434" s="178"/>
      <c r="BK1434" s="178"/>
      <c r="BL1434" s="178"/>
      <c r="BM1434" s="178"/>
      <c r="BN1434" s="178"/>
      <c r="BO1434" s="178"/>
      <c r="BP1434" s="178"/>
      <c r="BQ1434" s="196"/>
      <c r="BR1434" s="196"/>
      <c r="BS1434" s="196"/>
      <c r="BT1434" s="196"/>
      <c r="BU1434" s="196"/>
      <c r="BV1434" s="196"/>
      <c r="BW1434" s="178"/>
      <c r="BX1434" s="196"/>
      <c r="BY1434" s="196"/>
      <c r="BZ1434" s="196"/>
      <c r="CA1434" s="196"/>
      <c r="CB1434" s="178"/>
      <c r="CC1434" s="178"/>
      <c r="CD1434" s="202"/>
      <c r="CE1434" s="202"/>
      <c r="CF1434" s="178"/>
      <c r="CG1434" s="196"/>
      <c r="CH1434" s="178"/>
      <c r="CI1434" s="178"/>
      <c r="CJ1434" s="178"/>
      <c r="CK1434" s="178"/>
      <c r="CL1434" s="178"/>
      <c r="CM1434" s="178"/>
      <c r="CN1434" s="178"/>
      <c r="CO1434" s="178"/>
      <c r="CP1434" s="178"/>
      <c r="CQ1434" s="178"/>
      <c r="CR1434" s="178"/>
      <c r="CS1434" s="178"/>
      <c r="CT1434" s="178"/>
      <c r="CU1434" s="178"/>
      <c r="CV1434" s="178"/>
      <c r="CW1434" s="178"/>
      <c r="CX1434" s="178"/>
      <c r="CY1434" s="178"/>
      <c r="CZ1434" s="178"/>
      <c r="DA1434" s="150"/>
    </row>
    <row r="1435" spans="53:105" x14ac:dyDescent="0.2">
      <c r="BA1435" s="518">
        <f t="shared" ca="1" si="79"/>
        <v>61</v>
      </c>
      <c r="BB1435" s="174">
        <f t="shared" ca="1" si="80"/>
        <v>1372</v>
      </c>
      <c r="BC1435" s="525" t="e">
        <f ca="1">MATCH(BD1435,OFFSET(Pinlist!$A$2,BC1434*(BA1435=BA1434),0,$BM$23,1),0)+BC1434*(BA1435=BA1434)</f>
        <v>#N/A</v>
      </c>
      <c r="BD1435" s="167">
        <f t="shared" ca="1" si="81"/>
        <v>0</v>
      </c>
      <c r="BE1435" s="191" t="e">
        <f ca="1">(OFFSET(Pinlist!$E$1,BC1435,0)-$BN$16)*$BN$19</f>
        <v>#N/A</v>
      </c>
      <c r="BF1435" s="192" t="e">
        <f ca="1">(OFFSET(Pinlist!$F$1,BC1435,0)-$BO$16)*$BO$19</f>
        <v>#N/A</v>
      </c>
      <c r="BG1435" s="1098" t="str">
        <f ca="1">IF(LEFT(BD1435,2)="RF",OFFSET(Pinlist!$D$1,Chart!BC1435,0)&amp;"_"&amp;OFFSET(Pinlist!$G$1,Chart!BC1435,0),"")</f>
        <v/>
      </c>
      <c r="BH1435" s="1098"/>
      <c r="BI1435" s="178"/>
      <c r="BJ1435" s="178"/>
      <c r="BK1435" s="178"/>
      <c r="BL1435" s="178"/>
      <c r="BM1435" s="178"/>
      <c r="BN1435" s="178"/>
      <c r="BO1435" s="178"/>
      <c r="BP1435" s="178"/>
      <c r="BQ1435" s="196"/>
      <c r="BR1435" s="196"/>
      <c r="BS1435" s="196"/>
      <c r="BT1435" s="196"/>
      <c r="BU1435" s="196"/>
      <c r="BV1435" s="196"/>
      <c r="BW1435" s="178"/>
      <c r="BX1435" s="196"/>
      <c r="BY1435" s="196"/>
      <c r="BZ1435" s="196"/>
      <c r="CA1435" s="196"/>
      <c r="CB1435" s="178"/>
      <c r="CC1435" s="178"/>
      <c r="CD1435" s="202"/>
      <c r="CE1435" s="202"/>
      <c r="CF1435" s="178"/>
      <c r="CG1435" s="196"/>
      <c r="CH1435" s="178"/>
      <c r="CI1435" s="178"/>
      <c r="CJ1435" s="178"/>
      <c r="CK1435" s="178"/>
      <c r="CL1435" s="178"/>
      <c r="CM1435" s="178"/>
      <c r="CN1435" s="178"/>
      <c r="CO1435" s="178"/>
      <c r="CP1435" s="178"/>
      <c r="CQ1435" s="178"/>
      <c r="CR1435" s="178"/>
      <c r="CS1435" s="178"/>
      <c r="CT1435" s="178"/>
      <c r="CU1435" s="178"/>
      <c r="CV1435" s="178"/>
      <c r="CW1435" s="178"/>
      <c r="CX1435" s="178"/>
      <c r="CY1435" s="178"/>
      <c r="CZ1435" s="178"/>
      <c r="DA1435" s="150"/>
    </row>
    <row r="1436" spans="53:105" x14ac:dyDescent="0.2">
      <c r="BA1436" s="518">
        <f t="shared" ca="1" si="79"/>
        <v>61</v>
      </c>
      <c r="BB1436" s="174">
        <f t="shared" ca="1" si="80"/>
        <v>1373</v>
      </c>
      <c r="BC1436" s="525" t="e">
        <f ca="1">MATCH(BD1436,OFFSET(Pinlist!$A$2,BC1435*(BA1436=BA1435),0,$BM$23,1),0)+BC1435*(BA1436=BA1435)</f>
        <v>#N/A</v>
      </c>
      <c r="BD1436" s="167">
        <f t="shared" ca="1" si="81"/>
        <v>0</v>
      </c>
      <c r="BE1436" s="191" t="e">
        <f ca="1">(OFFSET(Pinlist!$E$1,BC1436,0)-$BN$16)*$BN$19</f>
        <v>#N/A</v>
      </c>
      <c r="BF1436" s="192" t="e">
        <f ca="1">(OFFSET(Pinlist!$F$1,BC1436,0)-$BO$16)*$BO$19</f>
        <v>#N/A</v>
      </c>
      <c r="BG1436" s="1098" t="str">
        <f ca="1">IF(LEFT(BD1436,2)="RF",OFFSET(Pinlist!$D$1,Chart!BC1436,0)&amp;"_"&amp;OFFSET(Pinlist!$G$1,Chart!BC1436,0),"")</f>
        <v/>
      </c>
      <c r="BH1436" s="1098"/>
      <c r="BI1436" s="178"/>
      <c r="BJ1436" s="178"/>
      <c r="BK1436" s="178"/>
      <c r="BL1436" s="178"/>
      <c r="BM1436" s="178"/>
      <c r="BN1436" s="178"/>
      <c r="BO1436" s="178"/>
      <c r="BP1436" s="178"/>
      <c r="BQ1436" s="196"/>
      <c r="BR1436" s="196"/>
      <c r="BS1436" s="196"/>
      <c r="BT1436" s="196"/>
      <c r="BU1436" s="196"/>
      <c r="BV1436" s="196"/>
      <c r="BW1436" s="178"/>
      <c r="BX1436" s="196"/>
      <c r="BY1436" s="196"/>
      <c r="BZ1436" s="196"/>
      <c r="CA1436" s="196"/>
      <c r="CB1436" s="178"/>
      <c r="CC1436" s="178"/>
      <c r="CD1436" s="202"/>
      <c r="CE1436" s="202"/>
      <c r="CF1436" s="178"/>
      <c r="CG1436" s="196"/>
      <c r="CH1436" s="178"/>
      <c r="CI1436" s="178"/>
      <c r="CJ1436" s="178"/>
      <c r="CK1436" s="178"/>
      <c r="CL1436" s="178"/>
      <c r="CM1436" s="178"/>
      <c r="CN1436" s="178"/>
      <c r="CO1436" s="178"/>
      <c r="CP1436" s="178"/>
      <c r="CQ1436" s="178"/>
      <c r="CR1436" s="178"/>
      <c r="CS1436" s="178"/>
      <c r="CT1436" s="178"/>
      <c r="CU1436" s="178"/>
      <c r="CV1436" s="178"/>
      <c r="CW1436" s="178"/>
      <c r="CX1436" s="178"/>
      <c r="CY1436" s="178"/>
      <c r="CZ1436" s="178"/>
      <c r="DA1436" s="150"/>
    </row>
    <row r="1437" spans="53:105" x14ac:dyDescent="0.2">
      <c r="BA1437" s="518">
        <f t="shared" ca="1" si="79"/>
        <v>61</v>
      </c>
      <c r="BB1437" s="174">
        <f t="shared" ca="1" si="80"/>
        <v>1374</v>
      </c>
      <c r="BC1437" s="525" t="e">
        <f ca="1">MATCH(BD1437,OFFSET(Pinlist!$A$2,BC1436*(BA1437=BA1436),0,$BM$23,1),0)+BC1436*(BA1437=BA1436)</f>
        <v>#N/A</v>
      </c>
      <c r="BD1437" s="167">
        <f t="shared" ca="1" si="81"/>
        <v>0</v>
      </c>
      <c r="BE1437" s="191" t="e">
        <f ca="1">(OFFSET(Pinlist!$E$1,BC1437,0)-$BN$16)*$BN$19</f>
        <v>#N/A</v>
      </c>
      <c r="BF1437" s="192" t="e">
        <f ca="1">(OFFSET(Pinlist!$F$1,BC1437,0)-$BO$16)*$BO$19</f>
        <v>#N/A</v>
      </c>
      <c r="BG1437" s="1098" t="str">
        <f ca="1">IF(LEFT(BD1437,2)="RF",OFFSET(Pinlist!$D$1,Chart!BC1437,0)&amp;"_"&amp;OFFSET(Pinlist!$G$1,Chart!BC1437,0),"")</f>
        <v/>
      </c>
      <c r="BH1437" s="1098"/>
      <c r="BI1437" s="178"/>
      <c r="BJ1437" s="178"/>
      <c r="BK1437" s="178"/>
      <c r="BL1437" s="178"/>
      <c r="BM1437" s="178"/>
      <c r="BN1437" s="178"/>
      <c r="BO1437" s="178"/>
      <c r="BP1437" s="178"/>
      <c r="BQ1437" s="196"/>
      <c r="BR1437" s="196"/>
      <c r="BS1437" s="196"/>
      <c r="BT1437" s="196"/>
      <c r="BU1437" s="196"/>
      <c r="BV1437" s="196"/>
      <c r="BW1437" s="178"/>
      <c r="BX1437" s="196"/>
      <c r="BY1437" s="196"/>
      <c r="BZ1437" s="196"/>
      <c r="CA1437" s="196"/>
      <c r="CB1437" s="178"/>
      <c r="CC1437" s="178"/>
      <c r="CD1437" s="202"/>
      <c r="CE1437" s="202"/>
      <c r="CF1437" s="178"/>
      <c r="CG1437" s="196"/>
      <c r="CH1437" s="178"/>
      <c r="CI1437" s="178"/>
      <c r="CJ1437" s="178"/>
      <c r="CK1437" s="178"/>
      <c r="CL1437" s="178"/>
      <c r="CM1437" s="178"/>
      <c r="CN1437" s="178"/>
      <c r="CO1437" s="178"/>
      <c r="CP1437" s="178"/>
      <c r="CQ1437" s="178"/>
      <c r="CR1437" s="178"/>
      <c r="CS1437" s="178"/>
      <c r="CT1437" s="178"/>
      <c r="CU1437" s="178"/>
      <c r="CV1437" s="178"/>
      <c r="CW1437" s="178"/>
      <c r="CX1437" s="178"/>
      <c r="CY1437" s="178"/>
      <c r="CZ1437" s="178"/>
      <c r="DA1437" s="150"/>
    </row>
    <row r="1438" spans="53:105" x14ac:dyDescent="0.2">
      <c r="BA1438" s="518">
        <f t="shared" ca="1" si="79"/>
        <v>61</v>
      </c>
      <c r="BB1438" s="174">
        <f t="shared" ca="1" si="80"/>
        <v>1375</v>
      </c>
      <c r="BC1438" s="525" t="e">
        <f ca="1">MATCH(BD1438,OFFSET(Pinlist!$A$2,BC1437*(BA1438=BA1437),0,$BM$23,1),0)+BC1437*(BA1438=BA1437)</f>
        <v>#N/A</v>
      </c>
      <c r="BD1438" s="167">
        <f t="shared" ca="1" si="81"/>
        <v>0</v>
      </c>
      <c r="BE1438" s="191" t="e">
        <f ca="1">(OFFSET(Pinlist!$E$1,BC1438,0)-$BN$16)*$BN$19</f>
        <v>#N/A</v>
      </c>
      <c r="BF1438" s="192" t="e">
        <f ca="1">(OFFSET(Pinlist!$F$1,BC1438,0)-$BO$16)*$BO$19</f>
        <v>#N/A</v>
      </c>
      <c r="BG1438" s="1098" t="str">
        <f ca="1">IF(LEFT(BD1438,2)="RF",OFFSET(Pinlist!$D$1,Chart!BC1438,0)&amp;"_"&amp;OFFSET(Pinlist!$G$1,Chart!BC1438,0),"")</f>
        <v/>
      </c>
      <c r="BH1438" s="1098"/>
      <c r="BI1438" s="178"/>
      <c r="BJ1438" s="178"/>
      <c r="BK1438" s="178"/>
      <c r="BL1438" s="178"/>
      <c r="BM1438" s="178"/>
      <c r="BN1438" s="178"/>
      <c r="BO1438" s="178"/>
      <c r="BP1438" s="178"/>
      <c r="BQ1438" s="196"/>
      <c r="BR1438" s="196"/>
      <c r="BS1438" s="196"/>
      <c r="BT1438" s="196"/>
      <c r="BU1438" s="196"/>
      <c r="BV1438" s="196"/>
      <c r="BW1438" s="178"/>
      <c r="BX1438" s="196"/>
      <c r="BY1438" s="196"/>
      <c r="BZ1438" s="196"/>
      <c r="CA1438" s="196"/>
      <c r="CB1438" s="178"/>
      <c r="CC1438" s="178"/>
      <c r="CD1438" s="202"/>
      <c r="CE1438" s="202"/>
      <c r="CF1438" s="178"/>
      <c r="CG1438" s="196"/>
      <c r="CH1438" s="178"/>
      <c r="CI1438" s="178"/>
      <c r="CJ1438" s="178"/>
      <c r="CK1438" s="178"/>
      <c r="CL1438" s="178"/>
      <c r="CM1438" s="178"/>
      <c r="CN1438" s="178"/>
      <c r="CO1438" s="178"/>
      <c r="CP1438" s="178"/>
      <c r="CQ1438" s="178"/>
      <c r="CR1438" s="178"/>
      <c r="CS1438" s="178"/>
      <c r="CT1438" s="178"/>
      <c r="CU1438" s="178"/>
      <c r="CV1438" s="178"/>
      <c r="CW1438" s="178"/>
      <c r="CX1438" s="178"/>
      <c r="CY1438" s="178"/>
      <c r="CZ1438" s="178"/>
      <c r="DA1438" s="150"/>
    </row>
    <row r="1439" spans="53:105" x14ac:dyDescent="0.2">
      <c r="BA1439" s="518">
        <f t="shared" ca="1" si="79"/>
        <v>61</v>
      </c>
      <c r="BB1439" s="174">
        <f t="shared" ca="1" si="80"/>
        <v>1376</v>
      </c>
      <c r="BC1439" s="525" t="e">
        <f ca="1">MATCH(BD1439,OFFSET(Pinlist!$A$2,BC1438*(BA1439=BA1438),0,$BM$23,1),0)+BC1438*(BA1439=BA1438)</f>
        <v>#N/A</v>
      </c>
      <c r="BD1439" s="167">
        <f t="shared" ca="1" si="81"/>
        <v>0</v>
      </c>
      <c r="BE1439" s="191" t="e">
        <f ca="1">(OFFSET(Pinlist!$E$1,BC1439,0)-$BN$16)*$BN$19</f>
        <v>#N/A</v>
      </c>
      <c r="BF1439" s="192" t="e">
        <f ca="1">(OFFSET(Pinlist!$F$1,BC1439,0)-$BO$16)*$BO$19</f>
        <v>#N/A</v>
      </c>
      <c r="BG1439" s="1098" t="str">
        <f ca="1">IF(LEFT(BD1439,2)="RF",OFFSET(Pinlist!$D$1,Chart!BC1439,0)&amp;"_"&amp;OFFSET(Pinlist!$G$1,Chart!BC1439,0),"")</f>
        <v/>
      </c>
      <c r="BH1439" s="1098"/>
      <c r="BI1439" s="178"/>
      <c r="BJ1439" s="178"/>
      <c r="BK1439" s="178"/>
      <c r="BL1439" s="178"/>
      <c r="BM1439" s="178"/>
      <c r="BN1439" s="178"/>
      <c r="BO1439" s="178"/>
      <c r="BP1439" s="178"/>
      <c r="BQ1439" s="196"/>
      <c r="BR1439" s="196"/>
      <c r="BS1439" s="196"/>
      <c r="BT1439" s="196"/>
      <c r="BU1439" s="196"/>
      <c r="BV1439" s="196"/>
      <c r="BW1439" s="178"/>
      <c r="BX1439" s="196"/>
      <c r="BY1439" s="196"/>
      <c r="BZ1439" s="196"/>
      <c r="CA1439" s="196"/>
      <c r="CB1439" s="178"/>
      <c r="CC1439" s="178"/>
      <c r="CD1439" s="202"/>
      <c r="CE1439" s="202"/>
      <c r="CF1439" s="178"/>
      <c r="CG1439" s="196"/>
      <c r="CH1439" s="178"/>
      <c r="CI1439" s="178"/>
      <c r="CJ1439" s="178"/>
      <c r="CK1439" s="178"/>
      <c r="CL1439" s="178"/>
      <c r="CM1439" s="178"/>
      <c r="CN1439" s="178"/>
      <c r="CO1439" s="178"/>
      <c r="CP1439" s="178"/>
      <c r="CQ1439" s="178"/>
      <c r="CR1439" s="178"/>
      <c r="CS1439" s="178"/>
      <c r="CT1439" s="178"/>
      <c r="CU1439" s="178"/>
      <c r="CV1439" s="178"/>
      <c r="CW1439" s="178"/>
      <c r="CX1439" s="178"/>
      <c r="CY1439" s="178"/>
      <c r="CZ1439" s="178"/>
      <c r="DA1439" s="150"/>
    </row>
    <row r="1440" spans="53:105" x14ac:dyDescent="0.2">
      <c r="BA1440" s="518">
        <f t="shared" ca="1" si="79"/>
        <v>61</v>
      </c>
      <c r="BB1440" s="174">
        <f t="shared" ca="1" si="80"/>
        <v>1377</v>
      </c>
      <c r="BC1440" s="525" t="e">
        <f ca="1">MATCH(BD1440,OFFSET(Pinlist!$A$2,BC1439*(BA1440=BA1439),0,$BM$23,1),0)+BC1439*(BA1440=BA1439)</f>
        <v>#N/A</v>
      </c>
      <c r="BD1440" s="167">
        <f t="shared" ca="1" si="81"/>
        <v>0</v>
      </c>
      <c r="BE1440" s="191" t="e">
        <f ca="1">(OFFSET(Pinlist!$E$1,BC1440,0)-$BN$16)*$BN$19</f>
        <v>#N/A</v>
      </c>
      <c r="BF1440" s="192" t="e">
        <f ca="1">(OFFSET(Pinlist!$F$1,BC1440,0)-$BO$16)*$BO$19</f>
        <v>#N/A</v>
      </c>
      <c r="BG1440" s="1098" t="str">
        <f ca="1">IF(LEFT(BD1440,2)="RF",OFFSET(Pinlist!$D$1,Chart!BC1440,0)&amp;"_"&amp;OFFSET(Pinlist!$G$1,Chart!BC1440,0),"")</f>
        <v/>
      </c>
      <c r="BH1440" s="1098"/>
      <c r="BI1440" s="178"/>
      <c r="BJ1440" s="178"/>
      <c r="BK1440" s="178"/>
      <c r="BL1440" s="178"/>
      <c r="BM1440" s="178"/>
      <c r="BN1440" s="178"/>
      <c r="BO1440" s="178"/>
      <c r="BP1440" s="178"/>
      <c r="BQ1440" s="196"/>
      <c r="BR1440" s="196"/>
      <c r="BS1440" s="196"/>
      <c r="BT1440" s="196"/>
      <c r="BU1440" s="196"/>
      <c r="BV1440" s="196"/>
      <c r="BW1440" s="178"/>
      <c r="BX1440" s="196"/>
      <c r="BY1440" s="196"/>
      <c r="BZ1440" s="196"/>
      <c r="CA1440" s="196"/>
      <c r="CB1440" s="178"/>
      <c r="CC1440" s="178"/>
      <c r="CD1440" s="202"/>
      <c r="CE1440" s="202"/>
      <c r="CF1440" s="178"/>
      <c r="CG1440" s="196"/>
      <c r="CH1440" s="178"/>
      <c r="CI1440" s="178"/>
      <c r="CJ1440" s="178"/>
      <c r="CK1440" s="178"/>
      <c r="CL1440" s="178"/>
      <c r="CM1440" s="178"/>
      <c r="CN1440" s="178"/>
      <c r="CO1440" s="178"/>
      <c r="CP1440" s="178"/>
      <c r="CQ1440" s="178"/>
      <c r="CR1440" s="178"/>
      <c r="CS1440" s="178"/>
      <c r="CT1440" s="178"/>
      <c r="CU1440" s="178"/>
      <c r="CV1440" s="178"/>
      <c r="CW1440" s="178"/>
      <c r="CX1440" s="178"/>
      <c r="CY1440" s="178"/>
      <c r="CZ1440" s="178"/>
      <c r="DA1440" s="150"/>
    </row>
    <row r="1441" spans="53:105" x14ac:dyDescent="0.2">
      <c r="BA1441" s="518">
        <f t="shared" ca="1" si="79"/>
        <v>61</v>
      </c>
      <c r="BB1441" s="174">
        <f t="shared" ca="1" si="80"/>
        <v>1378</v>
      </c>
      <c r="BC1441" s="525" t="e">
        <f ca="1">MATCH(BD1441,OFFSET(Pinlist!$A$2,BC1440*(BA1441=BA1440),0,$BM$23,1),0)+BC1440*(BA1441=BA1440)</f>
        <v>#N/A</v>
      </c>
      <c r="BD1441" s="167">
        <f t="shared" ca="1" si="81"/>
        <v>0</v>
      </c>
      <c r="BE1441" s="191" t="e">
        <f ca="1">(OFFSET(Pinlist!$E$1,BC1441,0)-$BN$16)*$BN$19</f>
        <v>#N/A</v>
      </c>
      <c r="BF1441" s="192" t="e">
        <f ca="1">(OFFSET(Pinlist!$F$1,BC1441,0)-$BO$16)*$BO$19</f>
        <v>#N/A</v>
      </c>
      <c r="BG1441" s="1098" t="str">
        <f ca="1">IF(LEFT(BD1441,2)="RF",OFFSET(Pinlist!$D$1,Chart!BC1441,0)&amp;"_"&amp;OFFSET(Pinlist!$G$1,Chart!BC1441,0),"")</f>
        <v/>
      </c>
      <c r="BH1441" s="1098"/>
      <c r="BI1441" s="178"/>
      <c r="BJ1441" s="178"/>
      <c r="BK1441" s="178"/>
      <c r="BL1441" s="178"/>
      <c r="BM1441" s="178"/>
      <c r="BN1441" s="178"/>
      <c r="BO1441" s="178"/>
      <c r="BP1441" s="178"/>
      <c r="BQ1441" s="196"/>
      <c r="BR1441" s="196"/>
      <c r="BS1441" s="196"/>
      <c r="BT1441" s="196"/>
      <c r="BU1441" s="196"/>
      <c r="BV1441" s="196"/>
      <c r="BW1441" s="178"/>
      <c r="BX1441" s="196"/>
      <c r="BY1441" s="196"/>
      <c r="BZ1441" s="196"/>
      <c r="CA1441" s="196"/>
      <c r="CB1441" s="178"/>
      <c r="CC1441" s="178"/>
      <c r="CD1441" s="202"/>
      <c r="CE1441" s="202"/>
      <c r="CF1441" s="178"/>
      <c r="CG1441" s="196"/>
      <c r="CH1441" s="178"/>
      <c r="CI1441" s="178"/>
      <c r="CJ1441" s="178"/>
      <c r="CK1441" s="178"/>
      <c r="CL1441" s="178"/>
      <c r="CM1441" s="178"/>
      <c r="CN1441" s="178"/>
      <c r="CO1441" s="178"/>
      <c r="CP1441" s="178"/>
      <c r="CQ1441" s="178"/>
      <c r="CR1441" s="178"/>
      <c r="CS1441" s="178"/>
      <c r="CT1441" s="178"/>
      <c r="CU1441" s="178"/>
      <c r="CV1441" s="178"/>
      <c r="CW1441" s="178"/>
      <c r="CX1441" s="178"/>
      <c r="CY1441" s="178"/>
      <c r="CZ1441" s="178"/>
      <c r="DA1441" s="150"/>
    </row>
    <row r="1442" spans="53:105" x14ac:dyDescent="0.2">
      <c r="BA1442" s="518">
        <f t="shared" ca="1" si="79"/>
        <v>61</v>
      </c>
      <c r="BB1442" s="174">
        <f t="shared" ca="1" si="80"/>
        <v>1379</v>
      </c>
      <c r="BC1442" s="525" t="e">
        <f ca="1">MATCH(BD1442,OFFSET(Pinlist!$A$2,BC1441*(BA1442=BA1441),0,$BM$23,1),0)+BC1441*(BA1442=BA1441)</f>
        <v>#N/A</v>
      </c>
      <c r="BD1442" s="167">
        <f t="shared" ca="1" si="81"/>
        <v>0</v>
      </c>
      <c r="BE1442" s="191" t="e">
        <f ca="1">(OFFSET(Pinlist!$E$1,BC1442,0)-$BN$16)*$BN$19</f>
        <v>#N/A</v>
      </c>
      <c r="BF1442" s="192" t="e">
        <f ca="1">(OFFSET(Pinlist!$F$1,BC1442,0)-$BO$16)*$BO$19</f>
        <v>#N/A</v>
      </c>
      <c r="BG1442" s="1098" t="str">
        <f ca="1">IF(LEFT(BD1442,2)="RF",OFFSET(Pinlist!$D$1,Chart!BC1442,0)&amp;"_"&amp;OFFSET(Pinlist!$G$1,Chart!BC1442,0),"")</f>
        <v/>
      </c>
      <c r="BH1442" s="1098"/>
      <c r="BI1442" s="178"/>
      <c r="BJ1442" s="178"/>
      <c r="BK1442" s="178"/>
      <c r="BL1442" s="178"/>
      <c r="BM1442" s="178"/>
      <c r="BN1442" s="178"/>
      <c r="BO1442" s="178"/>
      <c r="BP1442" s="178"/>
      <c r="BQ1442" s="196"/>
      <c r="BR1442" s="196"/>
      <c r="BS1442" s="196"/>
      <c r="BT1442" s="196"/>
      <c r="BU1442" s="196"/>
      <c r="BV1442" s="196"/>
      <c r="BW1442" s="178"/>
      <c r="BX1442" s="196"/>
      <c r="BY1442" s="196"/>
      <c r="BZ1442" s="196"/>
      <c r="CA1442" s="196"/>
      <c r="CB1442" s="178"/>
      <c r="CC1442" s="178"/>
      <c r="CD1442" s="202"/>
      <c r="CE1442" s="202"/>
      <c r="CF1442" s="178"/>
      <c r="CG1442" s="196"/>
      <c r="CH1442" s="178"/>
      <c r="CI1442" s="178"/>
      <c r="CJ1442" s="178"/>
      <c r="CK1442" s="178"/>
      <c r="CL1442" s="178"/>
      <c r="CM1442" s="178"/>
      <c r="CN1442" s="178"/>
      <c r="CO1442" s="178"/>
      <c r="CP1442" s="178"/>
      <c r="CQ1442" s="178"/>
      <c r="CR1442" s="178"/>
      <c r="CS1442" s="178"/>
      <c r="CT1442" s="178"/>
      <c r="CU1442" s="178"/>
      <c r="CV1442" s="178"/>
      <c r="CW1442" s="178"/>
      <c r="CX1442" s="178"/>
      <c r="CY1442" s="178"/>
      <c r="CZ1442" s="178"/>
      <c r="DA1442" s="150"/>
    </row>
    <row r="1443" spans="53:105" x14ac:dyDescent="0.2">
      <c r="BA1443" s="518">
        <f t="shared" ca="1" si="79"/>
        <v>61</v>
      </c>
      <c r="BB1443" s="174">
        <f t="shared" ca="1" si="80"/>
        <v>1380</v>
      </c>
      <c r="BC1443" s="525" t="e">
        <f ca="1">MATCH(BD1443,OFFSET(Pinlist!$A$2,BC1442*(BA1443=BA1442),0,$BM$23,1),0)+BC1442*(BA1443=BA1442)</f>
        <v>#N/A</v>
      </c>
      <c r="BD1443" s="167">
        <f t="shared" ca="1" si="81"/>
        <v>0</v>
      </c>
      <c r="BE1443" s="191" t="e">
        <f ca="1">(OFFSET(Pinlist!$E$1,BC1443,0)-$BN$16)*$BN$19</f>
        <v>#N/A</v>
      </c>
      <c r="BF1443" s="192" t="e">
        <f ca="1">(OFFSET(Pinlist!$F$1,BC1443,0)-$BO$16)*$BO$19</f>
        <v>#N/A</v>
      </c>
      <c r="BG1443" s="1098" t="str">
        <f ca="1">IF(LEFT(BD1443,2)="RF",OFFSET(Pinlist!$D$1,Chart!BC1443,0)&amp;"_"&amp;OFFSET(Pinlist!$G$1,Chart!BC1443,0),"")</f>
        <v/>
      </c>
      <c r="BH1443" s="1098"/>
      <c r="BI1443" s="178"/>
      <c r="BJ1443" s="178"/>
      <c r="BK1443" s="178"/>
      <c r="BL1443" s="178"/>
      <c r="BM1443" s="178"/>
      <c r="BN1443" s="178"/>
      <c r="BO1443" s="178"/>
      <c r="BP1443" s="178"/>
      <c r="BQ1443" s="196"/>
      <c r="BR1443" s="196"/>
      <c r="BS1443" s="196"/>
      <c r="BT1443" s="196"/>
      <c r="BU1443" s="196"/>
      <c r="BV1443" s="196"/>
      <c r="BW1443" s="178"/>
      <c r="BX1443" s="196"/>
      <c r="BY1443" s="196"/>
      <c r="BZ1443" s="196"/>
      <c r="CA1443" s="196"/>
      <c r="CB1443" s="178"/>
      <c r="CC1443" s="178"/>
      <c r="CD1443" s="202"/>
      <c r="CE1443" s="202"/>
      <c r="CF1443" s="178"/>
      <c r="CG1443" s="196"/>
      <c r="CH1443" s="178"/>
      <c r="CI1443" s="178"/>
      <c r="CJ1443" s="178"/>
      <c r="CK1443" s="178"/>
      <c r="CL1443" s="178"/>
      <c r="CM1443" s="178"/>
      <c r="CN1443" s="178"/>
      <c r="CO1443" s="178"/>
      <c r="CP1443" s="178"/>
      <c r="CQ1443" s="178"/>
      <c r="CR1443" s="178"/>
      <c r="CS1443" s="178"/>
      <c r="CT1443" s="178"/>
      <c r="CU1443" s="178"/>
      <c r="CV1443" s="178"/>
      <c r="CW1443" s="178"/>
      <c r="CX1443" s="178"/>
      <c r="CY1443" s="178"/>
      <c r="CZ1443" s="178"/>
      <c r="DA1443" s="150"/>
    </row>
    <row r="1444" spans="53:105" x14ac:dyDescent="0.2">
      <c r="BA1444" s="518">
        <f t="shared" ca="1" si="79"/>
        <v>61</v>
      </c>
      <c r="BB1444" s="174">
        <f t="shared" ca="1" si="80"/>
        <v>1381</v>
      </c>
      <c r="BC1444" s="525" t="e">
        <f ca="1">MATCH(BD1444,OFFSET(Pinlist!$A$2,BC1443*(BA1444=BA1443),0,$BM$23,1),0)+BC1443*(BA1444=BA1443)</f>
        <v>#N/A</v>
      </c>
      <c r="BD1444" s="167">
        <f t="shared" ca="1" si="81"/>
        <v>0</v>
      </c>
      <c r="BE1444" s="191" t="e">
        <f ca="1">(OFFSET(Pinlist!$E$1,BC1444,0)-$BN$16)*$BN$19</f>
        <v>#N/A</v>
      </c>
      <c r="BF1444" s="192" t="e">
        <f ca="1">(OFFSET(Pinlist!$F$1,BC1444,0)-$BO$16)*$BO$19</f>
        <v>#N/A</v>
      </c>
      <c r="BG1444" s="1098" t="str">
        <f ca="1">IF(LEFT(BD1444,2)="RF",OFFSET(Pinlist!$D$1,Chart!BC1444,0)&amp;"_"&amp;OFFSET(Pinlist!$G$1,Chart!BC1444,0),"")</f>
        <v/>
      </c>
      <c r="BH1444" s="1098"/>
      <c r="BI1444" s="178"/>
      <c r="BJ1444" s="178"/>
      <c r="BK1444" s="178"/>
      <c r="BL1444" s="178"/>
      <c r="BM1444" s="178"/>
      <c r="BN1444" s="178"/>
      <c r="BO1444" s="178"/>
      <c r="BP1444" s="178"/>
      <c r="BQ1444" s="196"/>
      <c r="BR1444" s="196"/>
      <c r="BS1444" s="196"/>
      <c r="BT1444" s="196"/>
      <c r="BU1444" s="196"/>
      <c r="BV1444" s="196"/>
      <c r="BW1444" s="178"/>
      <c r="BX1444" s="196"/>
      <c r="BY1444" s="196"/>
      <c r="BZ1444" s="196"/>
      <c r="CA1444" s="196"/>
      <c r="CB1444" s="178"/>
      <c r="CC1444" s="178"/>
      <c r="CD1444" s="202"/>
      <c r="CE1444" s="202"/>
      <c r="CF1444" s="178"/>
      <c r="CG1444" s="196"/>
      <c r="CH1444" s="178"/>
      <c r="CI1444" s="178"/>
      <c r="CJ1444" s="178"/>
      <c r="CK1444" s="178"/>
      <c r="CL1444" s="178"/>
      <c r="CM1444" s="178"/>
      <c r="CN1444" s="178"/>
      <c r="CO1444" s="178"/>
      <c r="CP1444" s="178"/>
      <c r="CQ1444" s="178"/>
      <c r="CR1444" s="178"/>
      <c r="CS1444" s="178"/>
      <c r="CT1444" s="178"/>
      <c r="CU1444" s="178"/>
      <c r="CV1444" s="178"/>
      <c r="CW1444" s="178"/>
      <c r="CX1444" s="178"/>
      <c r="CY1444" s="178"/>
      <c r="CZ1444" s="178"/>
      <c r="DA1444" s="150"/>
    </row>
    <row r="1445" spans="53:105" x14ac:dyDescent="0.2">
      <c r="BA1445" s="518">
        <f t="shared" ca="1" si="79"/>
        <v>61</v>
      </c>
      <c r="BB1445" s="174">
        <f t="shared" ca="1" si="80"/>
        <v>1382</v>
      </c>
      <c r="BC1445" s="525" t="e">
        <f ca="1">MATCH(BD1445,OFFSET(Pinlist!$A$2,BC1444*(BA1445=BA1444),0,$BM$23,1),0)+BC1444*(BA1445=BA1444)</f>
        <v>#N/A</v>
      </c>
      <c r="BD1445" s="167">
        <f t="shared" ca="1" si="81"/>
        <v>0</v>
      </c>
      <c r="BE1445" s="191" t="e">
        <f ca="1">(OFFSET(Pinlist!$E$1,BC1445,0)-$BN$16)*$BN$19</f>
        <v>#N/A</v>
      </c>
      <c r="BF1445" s="192" t="e">
        <f ca="1">(OFFSET(Pinlist!$F$1,BC1445,0)-$BO$16)*$BO$19</f>
        <v>#N/A</v>
      </c>
      <c r="BG1445" s="1098" t="str">
        <f ca="1">IF(LEFT(BD1445,2)="RF",OFFSET(Pinlist!$D$1,Chart!BC1445,0)&amp;"_"&amp;OFFSET(Pinlist!$G$1,Chart!BC1445,0),"")</f>
        <v/>
      </c>
      <c r="BH1445" s="1098"/>
      <c r="BI1445" s="178"/>
      <c r="BJ1445" s="178"/>
      <c r="BK1445" s="178"/>
      <c r="BL1445" s="178"/>
      <c r="BM1445" s="178"/>
      <c r="BN1445" s="178"/>
      <c r="BO1445" s="178"/>
      <c r="BP1445" s="178"/>
      <c r="BQ1445" s="196"/>
      <c r="BR1445" s="196"/>
      <c r="BS1445" s="196"/>
      <c r="BT1445" s="196"/>
      <c r="BU1445" s="196"/>
      <c r="BV1445" s="196"/>
      <c r="BW1445" s="178"/>
      <c r="BX1445" s="196"/>
      <c r="BY1445" s="196"/>
      <c r="BZ1445" s="196"/>
      <c r="CA1445" s="196"/>
      <c r="CB1445" s="178"/>
      <c r="CC1445" s="178"/>
      <c r="CD1445" s="202"/>
      <c r="CE1445" s="202"/>
      <c r="CF1445" s="178"/>
      <c r="CG1445" s="196"/>
      <c r="CH1445" s="178"/>
      <c r="CI1445" s="178"/>
      <c r="CJ1445" s="178"/>
      <c r="CK1445" s="178"/>
      <c r="CL1445" s="178"/>
      <c r="CM1445" s="178"/>
      <c r="CN1445" s="178"/>
      <c r="CO1445" s="178"/>
      <c r="CP1445" s="178"/>
      <c r="CQ1445" s="178"/>
      <c r="CR1445" s="178"/>
      <c r="CS1445" s="178"/>
      <c r="CT1445" s="178"/>
      <c r="CU1445" s="178"/>
      <c r="CV1445" s="178"/>
      <c r="CW1445" s="178"/>
      <c r="CX1445" s="178"/>
      <c r="CY1445" s="178"/>
      <c r="CZ1445" s="178"/>
      <c r="DA1445" s="150"/>
    </row>
    <row r="1446" spans="53:105" x14ac:dyDescent="0.2">
      <c r="BA1446" s="518">
        <f t="shared" ca="1" si="79"/>
        <v>61</v>
      </c>
      <c r="BB1446" s="174">
        <f t="shared" ca="1" si="80"/>
        <v>1383</v>
      </c>
      <c r="BC1446" s="525" t="e">
        <f ca="1">MATCH(BD1446,OFFSET(Pinlist!$A$2,BC1445*(BA1446=BA1445),0,$BM$23,1),0)+BC1445*(BA1446=BA1445)</f>
        <v>#N/A</v>
      </c>
      <c r="BD1446" s="167">
        <f t="shared" ca="1" si="81"/>
        <v>0</v>
      </c>
      <c r="BE1446" s="191" t="e">
        <f ca="1">(OFFSET(Pinlist!$E$1,BC1446,0)-$BN$16)*$BN$19</f>
        <v>#N/A</v>
      </c>
      <c r="BF1446" s="192" t="e">
        <f ca="1">(OFFSET(Pinlist!$F$1,BC1446,0)-$BO$16)*$BO$19</f>
        <v>#N/A</v>
      </c>
      <c r="BG1446" s="1098" t="str">
        <f ca="1">IF(LEFT(BD1446,2)="RF",OFFSET(Pinlist!$D$1,Chart!BC1446,0)&amp;"_"&amp;OFFSET(Pinlist!$G$1,Chart!BC1446,0),"")</f>
        <v/>
      </c>
      <c r="BH1446" s="1098"/>
      <c r="BI1446" s="178"/>
      <c r="BJ1446" s="178"/>
      <c r="BK1446" s="178"/>
      <c r="BL1446" s="178"/>
      <c r="BM1446" s="178"/>
      <c r="BN1446" s="178"/>
      <c r="BO1446" s="178"/>
      <c r="BP1446" s="178"/>
      <c r="BQ1446" s="196"/>
      <c r="BR1446" s="196"/>
      <c r="BS1446" s="196"/>
      <c r="BT1446" s="196"/>
      <c r="BU1446" s="196"/>
      <c r="BV1446" s="196"/>
      <c r="BW1446" s="178"/>
      <c r="BX1446" s="196"/>
      <c r="BY1446" s="196"/>
      <c r="BZ1446" s="196"/>
      <c r="CA1446" s="196"/>
      <c r="CB1446" s="178"/>
      <c r="CC1446" s="178"/>
      <c r="CD1446" s="202"/>
      <c r="CE1446" s="202"/>
      <c r="CF1446" s="178"/>
      <c r="CG1446" s="196"/>
      <c r="CH1446" s="178"/>
      <c r="CI1446" s="178"/>
      <c r="CJ1446" s="178"/>
      <c r="CK1446" s="178"/>
      <c r="CL1446" s="178"/>
      <c r="CM1446" s="178"/>
      <c r="CN1446" s="178"/>
      <c r="CO1446" s="178"/>
      <c r="CP1446" s="178"/>
      <c r="CQ1446" s="178"/>
      <c r="CR1446" s="178"/>
      <c r="CS1446" s="178"/>
      <c r="CT1446" s="178"/>
      <c r="CU1446" s="178"/>
      <c r="CV1446" s="178"/>
      <c r="CW1446" s="178"/>
      <c r="CX1446" s="178"/>
      <c r="CY1446" s="178"/>
      <c r="CZ1446" s="178"/>
      <c r="DA1446" s="150"/>
    </row>
    <row r="1447" spans="53:105" x14ac:dyDescent="0.2">
      <c r="BA1447" s="518">
        <f t="shared" ca="1" si="79"/>
        <v>61</v>
      </c>
      <c r="BB1447" s="174">
        <f t="shared" ca="1" si="80"/>
        <v>1384</v>
      </c>
      <c r="BC1447" s="525" t="e">
        <f ca="1">MATCH(BD1447,OFFSET(Pinlist!$A$2,BC1446*(BA1447=BA1446),0,$BM$23,1),0)+BC1446*(BA1447=BA1446)</f>
        <v>#N/A</v>
      </c>
      <c r="BD1447" s="167">
        <f t="shared" ca="1" si="81"/>
        <v>0</v>
      </c>
      <c r="BE1447" s="191" t="e">
        <f ca="1">(OFFSET(Pinlist!$E$1,BC1447,0)-$BN$16)*$BN$19</f>
        <v>#N/A</v>
      </c>
      <c r="BF1447" s="192" t="e">
        <f ca="1">(OFFSET(Pinlist!$F$1,BC1447,0)-$BO$16)*$BO$19</f>
        <v>#N/A</v>
      </c>
      <c r="BG1447" s="1098" t="str">
        <f ca="1">IF(LEFT(BD1447,2)="RF",OFFSET(Pinlist!$D$1,Chart!BC1447,0)&amp;"_"&amp;OFFSET(Pinlist!$G$1,Chart!BC1447,0),"")</f>
        <v/>
      </c>
      <c r="BH1447" s="1098"/>
      <c r="BI1447" s="178"/>
      <c r="BJ1447" s="178"/>
      <c r="BK1447" s="178"/>
      <c r="BL1447" s="178"/>
      <c r="BM1447" s="178"/>
      <c r="BN1447" s="178"/>
      <c r="BO1447" s="178"/>
      <c r="BP1447" s="178"/>
      <c r="BQ1447" s="196"/>
      <c r="BR1447" s="196"/>
      <c r="BS1447" s="196"/>
      <c r="BT1447" s="196"/>
      <c r="BU1447" s="196"/>
      <c r="BV1447" s="196"/>
      <c r="BW1447" s="178"/>
      <c r="BX1447" s="196"/>
      <c r="BY1447" s="196"/>
      <c r="BZ1447" s="196"/>
      <c r="CA1447" s="196"/>
      <c r="CB1447" s="178"/>
      <c r="CC1447" s="178"/>
      <c r="CD1447" s="202"/>
      <c r="CE1447" s="202"/>
      <c r="CF1447" s="178"/>
      <c r="CG1447" s="196"/>
      <c r="CH1447" s="178"/>
      <c r="CI1447" s="178"/>
      <c r="CJ1447" s="178"/>
      <c r="CK1447" s="178"/>
      <c r="CL1447" s="178"/>
      <c r="CM1447" s="178"/>
      <c r="CN1447" s="178"/>
      <c r="CO1447" s="178"/>
      <c r="CP1447" s="178"/>
      <c r="CQ1447" s="178"/>
      <c r="CR1447" s="178"/>
      <c r="CS1447" s="178"/>
      <c r="CT1447" s="178"/>
      <c r="CU1447" s="178"/>
      <c r="CV1447" s="178"/>
      <c r="CW1447" s="178"/>
      <c r="CX1447" s="178"/>
      <c r="CY1447" s="178"/>
      <c r="CZ1447" s="178"/>
      <c r="DA1447" s="150"/>
    </row>
    <row r="1448" spans="53:105" x14ac:dyDescent="0.2">
      <c r="BA1448" s="518">
        <f t="shared" ca="1" si="79"/>
        <v>61</v>
      </c>
      <c r="BB1448" s="174">
        <f t="shared" ca="1" si="80"/>
        <v>1385</v>
      </c>
      <c r="BC1448" s="525" t="e">
        <f ca="1">MATCH(BD1448,OFFSET(Pinlist!$A$2,BC1447*(BA1448=BA1447),0,$BM$23,1),0)+BC1447*(BA1448=BA1447)</f>
        <v>#N/A</v>
      </c>
      <c r="BD1448" s="167">
        <f t="shared" ca="1" si="81"/>
        <v>0</v>
      </c>
      <c r="BE1448" s="191" t="e">
        <f ca="1">(OFFSET(Pinlist!$E$1,BC1448,0)-$BN$16)*$BN$19</f>
        <v>#N/A</v>
      </c>
      <c r="BF1448" s="192" t="e">
        <f ca="1">(OFFSET(Pinlist!$F$1,BC1448,0)-$BO$16)*$BO$19</f>
        <v>#N/A</v>
      </c>
      <c r="BG1448" s="1098" t="str">
        <f ca="1">IF(LEFT(BD1448,2)="RF",OFFSET(Pinlist!$D$1,Chart!BC1448,0)&amp;"_"&amp;OFFSET(Pinlist!$G$1,Chart!BC1448,0),"")</f>
        <v/>
      </c>
      <c r="BH1448" s="1098"/>
      <c r="BI1448" s="178"/>
      <c r="BJ1448" s="178"/>
      <c r="BK1448" s="178"/>
      <c r="BL1448" s="178"/>
      <c r="BM1448" s="178"/>
      <c r="BN1448" s="178"/>
      <c r="BO1448" s="178"/>
      <c r="BP1448" s="178"/>
      <c r="BQ1448" s="196"/>
      <c r="BR1448" s="196"/>
      <c r="BS1448" s="196"/>
      <c r="BT1448" s="196"/>
      <c r="BU1448" s="196"/>
      <c r="BV1448" s="196"/>
      <c r="BW1448" s="178"/>
      <c r="BX1448" s="196"/>
      <c r="BY1448" s="196"/>
      <c r="BZ1448" s="196"/>
      <c r="CA1448" s="196"/>
      <c r="CB1448" s="178"/>
      <c r="CC1448" s="178"/>
      <c r="CD1448" s="202"/>
      <c r="CE1448" s="202"/>
      <c r="CF1448" s="178"/>
      <c r="CG1448" s="196"/>
      <c r="CH1448" s="178"/>
      <c r="CI1448" s="178"/>
      <c r="CJ1448" s="178"/>
      <c r="CK1448" s="178"/>
      <c r="CL1448" s="178"/>
      <c r="CM1448" s="178"/>
      <c r="CN1448" s="178"/>
      <c r="CO1448" s="178"/>
      <c r="CP1448" s="178"/>
      <c r="CQ1448" s="178"/>
      <c r="CR1448" s="178"/>
      <c r="CS1448" s="178"/>
      <c r="CT1448" s="178"/>
      <c r="CU1448" s="178"/>
      <c r="CV1448" s="178"/>
      <c r="CW1448" s="178"/>
      <c r="CX1448" s="178"/>
      <c r="CY1448" s="178"/>
      <c r="CZ1448" s="178"/>
      <c r="DA1448" s="150"/>
    </row>
    <row r="1449" spans="53:105" x14ac:dyDescent="0.2">
      <c r="BA1449" s="518">
        <f t="shared" ca="1" si="79"/>
        <v>61</v>
      </c>
      <c r="BB1449" s="174">
        <f t="shared" ca="1" si="80"/>
        <v>1386</v>
      </c>
      <c r="BC1449" s="525" t="e">
        <f ca="1">MATCH(BD1449,OFFSET(Pinlist!$A$2,BC1448*(BA1449=BA1448),0,$BM$23,1),0)+BC1448*(BA1449=BA1448)</f>
        <v>#N/A</v>
      </c>
      <c r="BD1449" s="167">
        <f t="shared" ca="1" si="81"/>
        <v>0</v>
      </c>
      <c r="BE1449" s="191" t="e">
        <f ca="1">(OFFSET(Pinlist!$E$1,BC1449,0)-$BN$16)*$BN$19</f>
        <v>#N/A</v>
      </c>
      <c r="BF1449" s="192" t="e">
        <f ca="1">(OFFSET(Pinlist!$F$1,BC1449,0)-$BO$16)*$BO$19</f>
        <v>#N/A</v>
      </c>
      <c r="BG1449" s="1098" t="str">
        <f ca="1">IF(LEFT(BD1449,2)="RF",OFFSET(Pinlist!$D$1,Chart!BC1449,0)&amp;"_"&amp;OFFSET(Pinlist!$G$1,Chart!BC1449,0),"")</f>
        <v/>
      </c>
      <c r="BH1449" s="1098"/>
      <c r="BI1449" s="178"/>
      <c r="BJ1449" s="178"/>
      <c r="BK1449" s="178"/>
      <c r="BL1449" s="178"/>
      <c r="BM1449" s="178"/>
      <c r="BN1449" s="178"/>
      <c r="BO1449" s="178"/>
      <c r="BP1449" s="178"/>
      <c r="BQ1449" s="196"/>
      <c r="BR1449" s="196"/>
      <c r="BS1449" s="196"/>
      <c r="BT1449" s="196"/>
      <c r="BU1449" s="196"/>
      <c r="BV1449" s="196"/>
      <c r="BW1449" s="178"/>
      <c r="BX1449" s="196"/>
      <c r="BY1449" s="196"/>
      <c r="BZ1449" s="196"/>
      <c r="CA1449" s="196"/>
      <c r="CB1449" s="178"/>
      <c r="CC1449" s="178"/>
      <c r="CD1449" s="202"/>
      <c r="CE1449" s="202"/>
      <c r="CF1449" s="178"/>
      <c r="CG1449" s="196"/>
      <c r="CH1449" s="178"/>
      <c r="CI1449" s="178"/>
      <c r="CJ1449" s="178"/>
      <c r="CK1449" s="178"/>
      <c r="CL1449" s="178"/>
      <c r="CM1449" s="178"/>
      <c r="CN1449" s="178"/>
      <c r="CO1449" s="178"/>
      <c r="CP1449" s="178"/>
      <c r="CQ1449" s="178"/>
      <c r="CR1449" s="178"/>
      <c r="CS1449" s="178"/>
      <c r="CT1449" s="178"/>
      <c r="CU1449" s="178"/>
      <c r="CV1449" s="178"/>
      <c r="CW1449" s="178"/>
      <c r="CX1449" s="178"/>
      <c r="CY1449" s="178"/>
      <c r="CZ1449" s="178"/>
      <c r="DA1449" s="150"/>
    </row>
    <row r="1450" spans="53:105" x14ac:dyDescent="0.2">
      <c r="BA1450" s="518">
        <f t="shared" ca="1" si="79"/>
        <v>61</v>
      </c>
      <c r="BB1450" s="174">
        <f t="shared" ca="1" si="80"/>
        <v>1387</v>
      </c>
      <c r="BC1450" s="525" t="e">
        <f ca="1">MATCH(BD1450,OFFSET(Pinlist!$A$2,BC1449*(BA1450=BA1449),0,$BM$23,1),0)+BC1449*(BA1450=BA1449)</f>
        <v>#N/A</v>
      </c>
      <c r="BD1450" s="167">
        <f t="shared" ca="1" si="81"/>
        <v>0</v>
      </c>
      <c r="BE1450" s="191" t="e">
        <f ca="1">(OFFSET(Pinlist!$E$1,BC1450,0)-$BN$16)*$BN$19</f>
        <v>#N/A</v>
      </c>
      <c r="BF1450" s="192" t="e">
        <f ca="1">(OFFSET(Pinlist!$F$1,BC1450,0)-$BO$16)*$BO$19</f>
        <v>#N/A</v>
      </c>
      <c r="BG1450" s="1098" t="str">
        <f ca="1">IF(LEFT(BD1450,2)="RF",OFFSET(Pinlist!$D$1,Chart!BC1450,0)&amp;"_"&amp;OFFSET(Pinlist!$G$1,Chart!BC1450,0),"")</f>
        <v/>
      </c>
      <c r="BH1450" s="1098"/>
      <c r="BI1450" s="178"/>
      <c r="BJ1450" s="178"/>
      <c r="BK1450" s="178"/>
      <c r="BL1450" s="178"/>
      <c r="BM1450" s="178"/>
      <c r="BN1450" s="178"/>
      <c r="BO1450" s="178"/>
      <c r="BP1450" s="178"/>
      <c r="BQ1450" s="196"/>
      <c r="BR1450" s="196"/>
      <c r="BS1450" s="196"/>
      <c r="BT1450" s="196"/>
      <c r="BU1450" s="196"/>
      <c r="BV1450" s="196"/>
      <c r="BW1450" s="178"/>
      <c r="BX1450" s="196"/>
      <c r="BY1450" s="196"/>
      <c r="BZ1450" s="196"/>
      <c r="CA1450" s="196"/>
      <c r="CB1450" s="178"/>
      <c r="CC1450" s="178"/>
      <c r="CD1450" s="202"/>
      <c r="CE1450" s="202"/>
      <c r="CF1450" s="178"/>
      <c r="CG1450" s="196"/>
      <c r="CH1450" s="178"/>
      <c r="CI1450" s="178"/>
      <c r="CJ1450" s="178"/>
      <c r="CK1450" s="178"/>
      <c r="CL1450" s="178"/>
      <c r="CM1450" s="178"/>
      <c r="CN1450" s="178"/>
      <c r="CO1450" s="178"/>
      <c r="CP1450" s="178"/>
      <c r="CQ1450" s="178"/>
      <c r="CR1450" s="178"/>
      <c r="CS1450" s="178"/>
      <c r="CT1450" s="178"/>
      <c r="CU1450" s="178"/>
      <c r="CV1450" s="178"/>
      <c r="CW1450" s="178"/>
      <c r="CX1450" s="178"/>
      <c r="CY1450" s="178"/>
      <c r="CZ1450" s="178"/>
      <c r="DA1450" s="150"/>
    </row>
    <row r="1451" spans="53:105" x14ac:dyDescent="0.2">
      <c r="BA1451" s="518">
        <f t="shared" ca="1" si="79"/>
        <v>61</v>
      </c>
      <c r="BB1451" s="174">
        <f t="shared" ca="1" si="80"/>
        <v>1388</v>
      </c>
      <c r="BC1451" s="525" t="e">
        <f ca="1">MATCH(BD1451,OFFSET(Pinlist!$A$2,BC1450*(BA1451=BA1450),0,$BM$23,1),0)+BC1450*(BA1451=BA1450)</f>
        <v>#N/A</v>
      </c>
      <c r="BD1451" s="167">
        <f t="shared" ca="1" si="81"/>
        <v>0</v>
      </c>
      <c r="BE1451" s="191" t="e">
        <f ca="1">(OFFSET(Pinlist!$E$1,BC1451,0)-$BN$16)*$BN$19</f>
        <v>#N/A</v>
      </c>
      <c r="BF1451" s="192" t="e">
        <f ca="1">(OFFSET(Pinlist!$F$1,BC1451,0)-$BO$16)*$BO$19</f>
        <v>#N/A</v>
      </c>
      <c r="BG1451" s="1098" t="str">
        <f ca="1">IF(LEFT(BD1451,2)="RF",OFFSET(Pinlist!$D$1,Chart!BC1451,0)&amp;"_"&amp;OFFSET(Pinlist!$G$1,Chart!BC1451,0),"")</f>
        <v/>
      </c>
      <c r="BH1451" s="1098"/>
      <c r="BI1451" s="178"/>
      <c r="BJ1451" s="178"/>
      <c r="BK1451" s="178"/>
      <c r="BL1451" s="178"/>
      <c r="BM1451" s="178"/>
      <c r="BN1451" s="178"/>
      <c r="BO1451" s="178"/>
      <c r="BP1451" s="178"/>
      <c r="BQ1451" s="196"/>
      <c r="BR1451" s="196"/>
      <c r="BS1451" s="196"/>
      <c r="BT1451" s="196"/>
      <c r="BU1451" s="196"/>
      <c r="BV1451" s="196"/>
      <c r="BW1451" s="178"/>
      <c r="BX1451" s="196"/>
      <c r="BY1451" s="196"/>
      <c r="BZ1451" s="196"/>
      <c r="CA1451" s="196"/>
      <c r="CB1451" s="178"/>
      <c r="CC1451" s="178"/>
      <c r="CD1451" s="202"/>
      <c r="CE1451" s="202"/>
      <c r="CF1451" s="178"/>
      <c r="CG1451" s="196"/>
      <c r="CH1451" s="178"/>
      <c r="CI1451" s="178"/>
      <c r="CJ1451" s="178"/>
      <c r="CK1451" s="178"/>
      <c r="CL1451" s="178"/>
      <c r="CM1451" s="178"/>
      <c r="CN1451" s="178"/>
      <c r="CO1451" s="178"/>
      <c r="CP1451" s="178"/>
      <c r="CQ1451" s="178"/>
      <c r="CR1451" s="178"/>
      <c r="CS1451" s="178"/>
      <c r="CT1451" s="178"/>
      <c r="CU1451" s="178"/>
      <c r="CV1451" s="178"/>
      <c r="CW1451" s="178"/>
      <c r="CX1451" s="178"/>
      <c r="CY1451" s="178"/>
      <c r="CZ1451" s="178"/>
      <c r="DA1451" s="150"/>
    </row>
    <row r="1452" spans="53:105" x14ac:dyDescent="0.2">
      <c r="BA1452" s="518">
        <f t="shared" ca="1" si="79"/>
        <v>61</v>
      </c>
      <c r="BB1452" s="174">
        <f t="shared" ca="1" si="80"/>
        <v>1389</v>
      </c>
      <c r="BC1452" s="525" t="e">
        <f ca="1">MATCH(BD1452,OFFSET(Pinlist!$A$2,BC1451*(BA1452=BA1451),0,$BM$23,1),0)+BC1451*(BA1452=BA1451)</f>
        <v>#N/A</v>
      </c>
      <c r="BD1452" s="167">
        <f t="shared" ca="1" si="81"/>
        <v>0</v>
      </c>
      <c r="BE1452" s="191" t="e">
        <f ca="1">(OFFSET(Pinlist!$E$1,BC1452,0)-$BN$16)*$BN$19</f>
        <v>#N/A</v>
      </c>
      <c r="BF1452" s="192" t="e">
        <f ca="1">(OFFSET(Pinlist!$F$1,BC1452,0)-$BO$16)*$BO$19</f>
        <v>#N/A</v>
      </c>
      <c r="BG1452" s="1098" t="str">
        <f ca="1">IF(LEFT(BD1452,2)="RF",OFFSET(Pinlist!$D$1,Chart!BC1452,0)&amp;"_"&amp;OFFSET(Pinlist!$G$1,Chart!BC1452,0),"")</f>
        <v/>
      </c>
      <c r="BH1452" s="1098"/>
      <c r="BI1452" s="178"/>
      <c r="BJ1452" s="178"/>
      <c r="BK1452" s="178"/>
      <c r="BL1452" s="178"/>
      <c r="BM1452" s="178"/>
      <c r="BN1452" s="178"/>
      <c r="BO1452" s="178"/>
      <c r="BP1452" s="178"/>
      <c r="BQ1452" s="196"/>
      <c r="BR1452" s="196"/>
      <c r="BS1452" s="196"/>
      <c r="BT1452" s="196"/>
      <c r="BU1452" s="196"/>
      <c r="BV1452" s="196"/>
      <c r="BW1452" s="178"/>
      <c r="BX1452" s="196"/>
      <c r="BY1452" s="196"/>
      <c r="BZ1452" s="196"/>
      <c r="CA1452" s="196"/>
      <c r="CB1452" s="178"/>
      <c r="CC1452" s="178"/>
      <c r="CD1452" s="202"/>
      <c r="CE1452" s="202"/>
      <c r="CF1452" s="178"/>
      <c r="CG1452" s="196"/>
      <c r="CH1452" s="178"/>
      <c r="CI1452" s="178"/>
      <c r="CJ1452" s="178"/>
      <c r="CK1452" s="178"/>
      <c r="CL1452" s="178"/>
      <c r="CM1452" s="178"/>
      <c r="CN1452" s="178"/>
      <c r="CO1452" s="178"/>
      <c r="CP1452" s="178"/>
      <c r="CQ1452" s="178"/>
      <c r="CR1452" s="178"/>
      <c r="CS1452" s="178"/>
      <c r="CT1452" s="178"/>
      <c r="CU1452" s="178"/>
      <c r="CV1452" s="178"/>
      <c r="CW1452" s="178"/>
      <c r="CX1452" s="178"/>
      <c r="CY1452" s="178"/>
      <c r="CZ1452" s="178"/>
      <c r="DA1452" s="150"/>
    </row>
    <row r="1453" spans="53:105" x14ac:dyDescent="0.2">
      <c r="BA1453" s="518">
        <f t="shared" ca="1" si="79"/>
        <v>61</v>
      </c>
      <c r="BB1453" s="174">
        <f t="shared" ca="1" si="80"/>
        <v>1390</v>
      </c>
      <c r="BC1453" s="525" t="e">
        <f ca="1">MATCH(BD1453,OFFSET(Pinlist!$A$2,BC1452*(BA1453=BA1452),0,$BM$23,1),0)+BC1452*(BA1453=BA1452)</f>
        <v>#N/A</v>
      </c>
      <c r="BD1453" s="167">
        <f t="shared" ca="1" si="81"/>
        <v>0</v>
      </c>
      <c r="BE1453" s="191" t="e">
        <f ca="1">(OFFSET(Pinlist!$E$1,BC1453,0)-$BN$16)*$BN$19</f>
        <v>#N/A</v>
      </c>
      <c r="BF1453" s="192" t="e">
        <f ca="1">(OFFSET(Pinlist!$F$1,BC1453,0)-$BO$16)*$BO$19</f>
        <v>#N/A</v>
      </c>
      <c r="BG1453" s="1098" t="str">
        <f ca="1">IF(LEFT(BD1453,2)="RF",OFFSET(Pinlist!$D$1,Chart!BC1453,0)&amp;"_"&amp;OFFSET(Pinlist!$G$1,Chart!BC1453,0),"")</f>
        <v/>
      </c>
      <c r="BH1453" s="1098"/>
      <c r="BI1453" s="178"/>
      <c r="BJ1453" s="178"/>
      <c r="BK1453" s="178"/>
      <c r="BL1453" s="178"/>
      <c r="BM1453" s="178"/>
      <c r="BN1453" s="178"/>
      <c r="BO1453" s="178"/>
      <c r="BP1453" s="178"/>
      <c r="BQ1453" s="196"/>
      <c r="BR1453" s="196"/>
      <c r="BS1453" s="196"/>
      <c r="BT1453" s="196"/>
      <c r="BU1453" s="196"/>
      <c r="BV1453" s="196"/>
      <c r="BW1453" s="178"/>
      <c r="BX1453" s="196"/>
      <c r="BY1453" s="196"/>
      <c r="BZ1453" s="196"/>
      <c r="CA1453" s="196"/>
      <c r="CB1453" s="178"/>
      <c r="CC1453" s="178"/>
      <c r="CD1453" s="202"/>
      <c r="CE1453" s="202"/>
      <c r="CF1453" s="178"/>
      <c r="CG1453" s="196"/>
      <c r="CH1453" s="178"/>
      <c r="CI1453" s="178"/>
      <c r="CJ1453" s="178"/>
      <c r="CK1453" s="178"/>
      <c r="CL1453" s="178"/>
      <c r="CM1453" s="178"/>
      <c r="CN1453" s="178"/>
      <c r="CO1453" s="178"/>
      <c r="CP1453" s="178"/>
      <c r="CQ1453" s="178"/>
      <c r="CR1453" s="178"/>
      <c r="CS1453" s="178"/>
      <c r="CT1453" s="178"/>
      <c r="CU1453" s="178"/>
      <c r="CV1453" s="178"/>
      <c r="CW1453" s="178"/>
      <c r="CX1453" s="178"/>
      <c r="CY1453" s="178"/>
      <c r="CZ1453" s="178"/>
      <c r="DA1453" s="150"/>
    </row>
    <row r="1454" spans="53:105" x14ac:dyDescent="0.2">
      <c r="BA1454" s="518">
        <f t="shared" ca="1" si="79"/>
        <v>61</v>
      </c>
      <c r="BB1454" s="174">
        <f t="shared" ca="1" si="80"/>
        <v>1391</v>
      </c>
      <c r="BC1454" s="525" t="e">
        <f ca="1">MATCH(BD1454,OFFSET(Pinlist!$A$2,BC1453*(BA1454=BA1453),0,$BM$23,1),0)+BC1453*(BA1454=BA1453)</f>
        <v>#N/A</v>
      </c>
      <c r="BD1454" s="167">
        <f t="shared" ca="1" si="81"/>
        <v>0</v>
      </c>
      <c r="BE1454" s="191" t="e">
        <f ca="1">(OFFSET(Pinlist!$E$1,BC1454,0)-$BN$16)*$BN$19</f>
        <v>#N/A</v>
      </c>
      <c r="BF1454" s="192" t="e">
        <f ca="1">(OFFSET(Pinlist!$F$1,BC1454,0)-$BO$16)*$BO$19</f>
        <v>#N/A</v>
      </c>
      <c r="BG1454" s="1098" t="str">
        <f ca="1">IF(LEFT(BD1454,2)="RF",OFFSET(Pinlist!$D$1,Chart!BC1454,0)&amp;"_"&amp;OFFSET(Pinlist!$G$1,Chart!BC1454,0),"")</f>
        <v/>
      </c>
      <c r="BH1454" s="1098"/>
      <c r="BI1454" s="178"/>
      <c r="BJ1454" s="178"/>
      <c r="BK1454" s="178"/>
      <c r="BL1454" s="178"/>
      <c r="BM1454" s="178"/>
      <c r="BN1454" s="178"/>
      <c r="BO1454" s="178"/>
      <c r="BP1454" s="178"/>
      <c r="BQ1454" s="196"/>
      <c r="BR1454" s="196"/>
      <c r="BS1454" s="196"/>
      <c r="BT1454" s="196"/>
      <c r="BU1454" s="196"/>
      <c r="BV1454" s="196"/>
      <c r="BW1454" s="178"/>
      <c r="BX1454" s="196"/>
      <c r="BY1454" s="196"/>
      <c r="BZ1454" s="196"/>
      <c r="CA1454" s="196"/>
      <c r="CB1454" s="178"/>
      <c r="CC1454" s="178"/>
      <c r="CD1454" s="202"/>
      <c r="CE1454" s="202"/>
      <c r="CF1454" s="178"/>
      <c r="CG1454" s="196"/>
      <c r="CH1454" s="178"/>
      <c r="CI1454" s="178"/>
      <c r="CJ1454" s="178"/>
      <c r="CK1454" s="178"/>
      <c r="CL1454" s="178"/>
      <c r="CM1454" s="178"/>
      <c r="CN1454" s="178"/>
      <c r="CO1454" s="178"/>
      <c r="CP1454" s="178"/>
      <c r="CQ1454" s="178"/>
      <c r="CR1454" s="178"/>
      <c r="CS1454" s="178"/>
      <c r="CT1454" s="178"/>
      <c r="CU1454" s="178"/>
      <c r="CV1454" s="178"/>
      <c r="CW1454" s="178"/>
      <c r="CX1454" s="178"/>
      <c r="CY1454" s="178"/>
      <c r="CZ1454" s="178"/>
      <c r="DA1454" s="150"/>
    </row>
    <row r="1455" spans="53:105" x14ac:dyDescent="0.2">
      <c r="BA1455" s="518">
        <f t="shared" ca="1" si="79"/>
        <v>61</v>
      </c>
      <c r="BB1455" s="174">
        <f t="shared" ca="1" si="80"/>
        <v>1392</v>
      </c>
      <c r="BC1455" s="525" t="e">
        <f ca="1">MATCH(BD1455,OFFSET(Pinlist!$A$2,BC1454*(BA1455=BA1454),0,$BM$23,1),0)+BC1454*(BA1455=BA1454)</f>
        <v>#N/A</v>
      </c>
      <c r="BD1455" s="167">
        <f t="shared" ca="1" si="81"/>
        <v>0</v>
      </c>
      <c r="BE1455" s="191" t="e">
        <f ca="1">(OFFSET(Pinlist!$E$1,BC1455,0)-$BN$16)*$BN$19</f>
        <v>#N/A</v>
      </c>
      <c r="BF1455" s="192" t="e">
        <f ca="1">(OFFSET(Pinlist!$F$1,BC1455,0)-$BO$16)*$BO$19</f>
        <v>#N/A</v>
      </c>
      <c r="BG1455" s="1098" t="str">
        <f ca="1">IF(LEFT(BD1455,2)="RF",OFFSET(Pinlist!$D$1,Chart!BC1455,0)&amp;"_"&amp;OFFSET(Pinlist!$G$1,Chart!BC1455,0),"")</f>
        <v/>
      </c>
      <c r="BH1455" s="1098"/>
      <c r="BI1455" s="178"/>
      <c r="BJ1455" s="178"/>
      <c r="BK1455" s="178"/>
      <c r="BL1455" s="178"/>
      <c r="BM1455" s="178"/>
      <c r="BN1455" s="178"/>
      <c r="BO1455" s="178"/>
      <c r="BP1455" s="178"/>
      <c r="BQ1455" s="196"/>
      <c r="BR1455" s="196"/>
      <c r="BS1455" s="196"/>
      <c r="BT1455" s="196"/>
      <c r="BU1455" s="196"/>
      <c r="BV1455" s="196"/>
      <c r="BW1455" s="178"/>
      <c r="BX1455" s="196"/>
      <c r="BY1455" s="196"/>
      <c r="BZ1455" s="196"/>
      <c r="CA1455" s="196"/>
      <c r="CB1455" s="178"/>
      <c r="CC1455" s="178"/>
      <c r="CD1455" s="202"/>
      <c r="CE1455" s="202"/>
      <c r="CF1455" s="178"/>
      <c r="CG1455" s="196"/>
      <c r="CH1455" s="178"/>
      <c r="CI1455" s="178"/>
      <c r="CJ1455" s="178"/>
      <c r="CK1455" s="178"/>
      <c r="CL1455" s="178"/>
      <c r="CM1455" s="178"/>
      <c r="CN1455" s="178"/>
      <c r="CO1455" s="178"/>
      <c r="CP1455" s="178"/>
      <c r="CQ1455" s="178"/>
      <c r="CR1455" s="178"/>
      <c r="CS1455" s="178"/>
      <c r="CT1455" s="178"/>
      <c r="CU1455" s="178"/>
      <c r="CV1455" s="178"/>
      <c r="CW1455" s="178"/>
      <c r="CX1455" s="178"/>
      <c r="CY1455" s="178"/>
      <c r="CZ1455" s="178"/>
      <c r="DA1455" s="150"/>
    </row>
    <row r="1456" spans="53:105" x14ac:dyDescent="0.2">
      <c r="BA1456" s="518">
        <f t="shared" ca="1" si="79"/>
        <v>61</v>
      </c>
      <c r="BB1456" s="174">
        <f t="shared" ca="1" si="80"/>
        <v>1393</v>
      </c>
      <c r="BC1456" s="525" t="e">
        <f ca="1">MATCH(BD1456,OFFSET(Pinlist!$A$2,BC1455*(BA1456=BA1455),0,$BM$23,1),0)+BC1455*(BA1456=BA1455)</f>
        <v>#N/A</v>
      </c>
      <c r="BD1456" s="167">
        <f t="shared" ca="1" si="81"/>
        <v>0</v>
      </c>
      <c r="BE1456" s="191" t="e">
        <f ca="1">(OFFSET(Pinlist!$E$1,BC1456,0)-$BN$16)*$BN$19</f>
        <v>#N/A</v>
      </c>
      <c r="BF1456" s="192" t="e">
        <f ca="1">(OFFSET(Pinlist!$F$1,BC1456,0)-$BO$16)*$BO$19</f>
        <v>#N/A</v>
      </c>
      <c r="BG1456" s="1098" t="str">
        <f ca="1">IF(LEFT(BD1456,2)="RF",OFFSET(Pinlist!$D$1,Chart!BC1456,0)&amp;"_"&amp;OFFSET(Pinlist!$G$1,Chart!BC1456,0),"")</f>
        <v/>
      </c>
      <c r="BH1456" s="1098"/>
      <c r="BI1456" s="178"/>
      <c r="BJ1456" s="178"/>
      <c r="BK1456" s="178"/>
      <c r="BL1456" s="178"/>
      <c r="BM1456" s="178"/>
      <c r="BN1456" s="178"/>
      <c r="BO1456" s="178"/>
      <c r="BP1456" s="178"/>
      <c r="BQ1456" s="196"/>
      <c r="BR1456" s="196"/>
      <c r="BS1456" s="196"/>
      <c r="BT1456" s="196"/>
      <c r="BU1456" s="196"/>
      <c r="BV1456" s="196"/>
      <c r="BW1456" s="178"/>
      <c r="BX1456" s="196"/>
      <c r="BY1456" s="196"/>
      <c r="BZ1456" s="196"/>
      <c r="CA1456" s="196"/>
      <c r="CB1456" s="178"/>
      <c r="CC1456" s="178"/>
      <c r="CD1456" s="202"/>
      <c r="CE1456" s="202"/>
      <c r="CF1456" s="178"/>
      <c r="CG1456" s="196"/>
      <c r="CH1456" s="178"/>
      <c r="CI1456" s="178"/>
      <c r="CJ1456" s="178"/>
      <c r="CK1456" s="178"/>
      <c r="CL1456" s="178"/>
      <c r="CM1456" s="178"/>
      <c r="CN1456" s="178"/>
      <c r="CO1456" s="178"/>
      <c r="CP1456" s="178"/>
      <c r="CQ1456" s="178"/>
      <c r="CR1456" s="178"/>
      <c r="CS1456" s="178"/>
      <c r="CT1456" s="178"/>
      <c r="CU1456" s="178"/>
      <c r="CV1456" s="178"/>
      <c r="CW1456" s="178"/>
      <c r="CX1456" s="178"/>
      <c r="CY1456" s="178"/>
      <c r="CZ1456" s="178"/>
      <c r="DA1456" s="150"/>
    </row>
    <row r="1457" spans="53:105" x14ac:dyDescent="0.2">
      <c r="BA1457" s="518">
        <f t="shared" ca="1" si="79"/>
        <v>61</v>
      </c>
      <c r="BB1457" s="174">
        <f t="shared" ca="1" si="80"/>
        <v>1394</v>
      </c>
      <c r="BC1457" s="525" t="e">
        <f ca="1">MATCH(BD1457,OFFSET(Pinlist!$A$2,BC1456*(BA1457=BA1456),0,$BM$23,1),0)+BC1456*(BA1457=BA1456)</f>
        <v>#N/A</v>
      </c>
      <c r="BD1457" s="167">
        <f t="shared" ca="1" si="81"/>
        <v>0</v>
      </c>
      <c r="BE1457" s="191" t="e">
        <f ca="1">(OFFSET(Pinlist!$E$1,BC1457,0)-$BN$16)*$BN$19</f>
        <v>#N/A</v>
      </c>
      <c r="BF1457" s="192" t="e">
        <f ca="1">(OFFSET(Pinlist!$F$1,BC1457,0)-$BO$16)*$BO$19</f>
        <v>#N/A</v>
      </c>
      <c r="BG1457" s="1098" t="str">
        <f ca="1">IF(LEFT(BD1457,2)="RF",OFFSET(Pinlist!$D$1,Chart!BC1457,0)&amp;"_"&amp;OFFSET(Pinlist!$G$1,Chart!BC1457,0),"")</f>
        <v/>
      </c>
      <c r="BH1457" s="1098"/>
      <c r="BI1457" s="178"/>
      <c r="BJ1457" s="178"/>
      <c r="BK1457" s="178"/>
      <c r="BL1457" s="178"/>
      <c r="BM1457" s="178"/>
      <c r="BN1457" s="178"/>
      <c r="BO1457" s="178"/>
      <c r="BP1457" s="178"/>
      <c r="BQ1457" s="196"/>
      <c r="BR1457" s="196"/>
      <c r="BS1457" s="196"/>
      <c r="BT1457" s="196"/>
      <c r="BU1457" s="196"/>
      <c r="BV1457" s="196"/>
      <c r="BW1457" s="178"/>
      <c r="BX1457" s="196"/>
      <c r="BY1457" s="196"/>
      <c r="BZ1457" s="196"/>
      <c r="CA1457" s="196"/>
      <c r="CB1457" s="178"/>
      <c r="CC1457" s="178"/>
      <c r="CD1457" s="202"/>
      <c r="CE1457" s="202"/>
      <c r="CF1457" s="178"/>
      <c r="CG1457" s="196"/>
      <c r="CH1457" s="178"/>
      <c r="CI1457" s="178"/>
      <c r="CJ1457" s="178"/>
      <c r="CK1457" s="178"/>
      <c r="CL1457" s="178"/>
      <c r="CM1457" s="178"/>
      <c r="CN1457" s="178"/>
      <c r="CO1457" s="178"/>
      <c r="CP1457" s="178"/>
      <c r="CQ1457" s="178"/>
      <c r="CR1457" s="178"/>
      <c r="CS1457" s="178"/>
      <c r="CT1457" s="178"/>
      <c r="CU1457" s="178"/>
      <c r="CV1457" s="178"/>
      <c r="CW1457" s="178"/>
      <c r="CX1457" s="178"/>
      <c r="CY1457" s="178"/>
      <c r="CZ1457" s="178"/>
      <c r="DA1457" s="150"/>
    </row>
    <row r="1458" spans="53:105" x14ac:dyDescent="0.2">
      <c r="BA1458" s="518">
        <f t="shared" ca="1" si="79"/>
        <v>61</v>
      </c>
      <c r="BB1458" s="174">
        <f t="shared" ca="1" si="80"/>
        <v>1395</v>
      </c>
      <c r="BC1458" s="525" t="e">
        <f ca="1">MATCH(BD1458,OFFSET(Pinlist!$A$2,BC1457*(BA1458=BA1457),0,$BM$23,1),0)+BC1457*(BA1458=BA1457)</f>
        <v>#N/A</v>
      </c>
      <c r="BD1458" s="167">
        <f t="shared" ca="1" si="81"/>
        <v>0</v>
      </c>
      <c r="BE1458" s="191" t="e">
        <f ca="1">(OFFSET(Pinlist!$E$1,BC1458,0)-$BN$16)*$BN$19</f>
        <v>#N/A</v>
      </c>
      <c r="BF1458" s="192" t="e">
        <f ca="1">(OFFSET(Pinlist!$F$1,BC1458,0)-$BO$16)*$BO$19</f>
        <v>#N/A</v>
      </c>
      <c r="BG1458" s="1098" t="str">
        <f ca="1">IF(LEFT(BD1458,2)="RF",OFFSET(Pinlist!$D$1,Chart!BC1458,0)&amp;"_"&amp;OFFSET(Pinlist!$G$1,Chart!BC1458,0),"")</f>
        <v/>
      </c>
      <c r="BH1458" s="1098"/>
      <c r="BI1458" s="178"/>
      <c r="BJ1458" s="178"/>
      <c r="BK1458" s="178"/>
      <c r="BL1458" s="178"/>
      <c r="BM1458" s="178"/>
      <c r="BN1458" s="178"/>
      <c r="BO1458" s="178"/>
      <c r="BP1458" s="178"/>
      <c r="BQ1458" s="196"/>
      <c r="BR1458" s="196"/>
      <c r="BS1458" s="196"/>
      <c r="BT1458" s="196"/>
      <c r="BU1458" s="196"/>
      <c r="BV1458" s="196"/>
      <c r="BW1458" s="178"/>
      <c r="BX1458" s="196"/>
      <c r="BY1458" s="196"/>
      <c r="BZ1458" s="196"/>
      <c r="CA1458" s="196"/>
      <c r="CB1458" s="178"/>
      <c r="CC1458" s="178"/>
      <c r="CD1458" s="202"/>
      <c r="CE1458" s="202"/>
      <c r="CF1458" s="178"/>
      <c r="CG1458" s="196"/>
      <c r="CH1458" s="178"/>
      <c r="CI1458" s="178"/>
      <c r="CJ1458" s="178"/>
      <c r="CK1458" s="178"/>
      <c r="CL1458" s="178"/>
      <c r="CM1458" s="178"/>
      <c r="CN1458" s="178"/>
      <c r="CO1458" s="178"/>
      <c r="CP1458" s="178"/>
      <c r="CQ1458" s="178"/>
      <c r="CR1458" s="178"/>
      <c r="CS1458" s="178"/>
      <c r="CT1458" s="178"/>
      <c r="CU1458" s="178"/>
      <c r="CV1458" s="178"/>
      <c r="CW1458" s="178"/>
      <c r="CX1458" s="178"/>
      <c r="CY1458" s="178"/>
      <c r="CZ1458" s="178"/>
      <c r="DA1458" s="150"/>
    </row>
    <row r="1459" spans="53:105" x14ac:dyDescent="0.2">
      <c r="BA1459" s="518">
        <f t="shared" ca="1" si="79"/>
        <v>61</v>
      </c>
      <c r="BB1459" s="174">
        <f t="shared" ca="1" si="80"/>
        <v>1396</v>
      </c>
      <c r="BC1459" s="525" t="e">
        <f ca="1">MATCH(BD1459,OFFSET(Pinlist!$A$2,BC1458*(BA1459=BA1458),0,$BM$23,1),0)+BC1458*(BA1459=BA1458)</f>
        <v>#N/A</v>
      </c>
      <c r="BD1459" s="167">
        <f t="shared" ca="1" si="81"/>
        <v>0</v>
      </c>
      <c r="BE1459" s="191" t="e">
        <f ca="1">(OFFSET(Pinlist!$E$1,BC1459,0)-$BN$16)*$BN$19</f>
        <v>#N/A</v>
      </c>
      <c r="BF1459" s="192" t="e">
        <f ca="1">(OFFSET(Pinlist!$F$1,BC1459,0)-$BO$16)*$BO$19</f>
        <v>#N/A</v>
      </c>
      <c r="BG1459" s="1098" t="str">
        <f ca="1">IF(LEFT(BD1459,2)="RF",OFFSET(Pinlist!$D$1,Chart!BC1459,0)&amp;"_"&amp;OFFSET(Pinlist!$G$1,Chart!BC1459,0),"")</f>
        <v/>
      </c>
      <c r="BH1459" s="1098"/>
      <c r="BI1459" s="178"/>
      <c r="BJ1459" s="178"/>
      <c r="BK1459" s="178"/>
      <c r="BL1459" s="178"/>
      <c r="BM1459" s="178"/>
      <c r="BN1459" s="178"/>
      <c r="BO1459" s="178"/>
      <c r="BP1459" s="178"/>
      <c r="BQ1459" s="196"/>
      <c r="BR1459" s="196"/>
      <c r="BS1459" s="196"/>
      <c r="BT1459" s="196"/>
      <c r="BU1459" s="196"/>
      <c r="BV1459" s="196"/>
      <c r="BW1459" s="178"/>
      <c r="BX1459" s="196"/>
      <c r="BY1459" s="196"/>
      <c r="BZ1459" s="196"/>
      <c r="CA1459" s="196"/>
      <c r="CB1459" s="178"/>
      <c r="CC1459" s="178"/>
      <c r="CD1459" s="202"/>
      <c r="CE1459" s="202"/>
      <c r="CF1459" s="178"/>
      <c r="CG1459" s="196"/>
      <c r="CH1459" s="178"/>
      <c r="CI1459" s="178"/>
      <c r="CJ1459" s="178"/>
      <c r="CK1459" s="178"/>
      <c r="CL1459" s="178"/>
      <c r="CM1459" s="178"/>
      <c r="CN1459" s="178"/>
      <c r="CO1459" s="178"/>
      <c r="CP1459" s="178"/>
      <c r="CQ1459" s="178"/>
      <c r="CR1459" s="178"/>
      <c r="CS1459" s="178"/>
      <c r="CT1459" s="178"/>
      <c r="CU1459" s="178"/>
      <c r="CV1459" s="178"/>
      <c r="CW1459" s="178"/>
      <c r="CX1459" s="178"/>
      <c r="CY1459" s="178"/>
      <c r="CZ1459" s="178"/>
      <c r="DA1459" s="150"/>
    </row>
    <row r="1460" spans="53:105" x14ac:dyDescent="0.2">
      <c r="BA1460" s="518">
        <f t="shared" ca="1" si="79"/>
        <v>61</v>
      </c>
      <c r="BB1460" s="174">
        <f t="shared" ca="1" si="80"/>
        <v>1397</v>
      </c>
      <c r="BC1460" s="525" t="e">
        <f ca="1">MATCH(BD1460,OFFSET(Pinlist!$A$2,BC1459*(BA1460=BA1459),0,$BM$23,1),0)+BC1459*(BA1460=BA1459)</f>
        <v>#N/A</v>
      </c>
      <c r="BD1460" s="167">
        <f t="shared" ca="1" si="81"/>
        <v>0</v>
      </c>
      <c r="BE1460" s="191" t="e">
        <f ca="1">(OFFSET(Pinlist!$E$1,BC1460,0)-$BN$16)*$BN$19</f>
        <v>#N/A</v>
      </c>
      <c r="BF1460" s="192" t="e">
        <f ca="1">(OFFSET(Pinlist!$F$1,BC1460,0)-$BO$16)*$BO$19</f>
        <v>#N/A</v>
      </c>
      <c r="BG1460" s="1098" t="str">
        <f ca="1">IF(LEFT(BD1460,2)="RF",OFFSET(Pinlist!$D$1,Chart!BC1460,0)&amp;"_"&amp;OFFSET(Pinlist!$G$1,Chart!BC1460,0),"")</f>
        <v/>
      </c>
      <c r="BH1460" s="1098"/>
      <c r="BI1460" s="178"/>
      <c r="BJ1460" s="178"/>
      <c r="BK1460" s="178"/>
      <c r="BL1460" s="178"/>
      <c r="BM1460" s="178"/>
      <c r="BN1460" s="178"/>
      <c r="BO1460" s="178"/>
      <c r="BP1460" s="178"/>
      <c r="BQ1460" s="196"/>
      <c r="BR1460" s="196"/>
      <c r="BS1460" s="196"/>
      <c r="BT1460" s="196"/>
      <c r="BU1460" s="196"/>
      <c r="BV1460" s="196"/>
      <c r="BW1460" s="178"/>
      <c r="BX1460" s="196"/>
      <c r="BY1460" s="196"/>
      <c r="BZ1460" s="196"/>
      <c r="CA1460" s="196"/>
      <c r="CB1460" s="178"/>
      <c r="CC1460" s="178"/>
      <c r="CD1460" s="202"/>
      <c r="CE1460" s="202"/>
      <c r="CF1460" s="178"/>
      <c r="CG1460" s="196"/>
      <c r="CH1460" s="178"/>
      <c r="CI1460" s="178"/>
      <c r="CJ1460" s="178"/>
      <c r="CK1460" s="178"/>
      <c r="CL1460" s="178"/>
      <c r="CM1460" s="178"/>
      <c r="CN1460" s="178"/>
      <c r="CO1460" s="178"/>
      <c r="CP1460" s="178"/>
      <c r="CQ1460" s="178"/>
      <c r="CR1460" s="178"/>
      <c r="CS1460" s="178"/>
      <c r="CT1460" s="178"/>
      <c r="CU1460" s="178"/>
      <c r="CV1460" s="178"/>
      <c r="CW1460" s="178"/>
      <c r="CX1460" s="178"/>
      <c r="CY1460" s="178"/>
      <c r="CZ1460" s="178"/>
      <c r="DA1460" s="150"/>
    </row>
    <row r="1461" spans="53:105" x14ac:dyDescent="0.2">
      <c r="BA1461" s="518">
        <f t="shared" ca="1" si="79"/>
        <v>61</v>
      </c>
      <c r="BB1461" s="174">
        <f t="shared" ca="1" si="80"/>
        <v>1398</v>
      </c>
      <c r="BC1461" s="525" t="e">
        <f ca="1">MATCH(BD1461,OFFSET(Pinlist!$A$2,BC1460*(BA1461=BA1460),0,$BM$23,1),0)+BC1460*(BA1461=BA1460)</f>
        <v>#N/A</v>
      </c>
      <c r="BD1461" s="167">
        <f t="shared" ca="1" si="81"/>
        <v>0</v>
      </c>
      <c r="BE1461" s="191" t="e">
        <f ca="1">(OFFSET(Pinlist!$E$1,BC1461,0)-$BN$16)*$BN$19</f>
        <v>#N/A</v>
      </c>
      <c r="BF1461" s="192" t="e">
        <f ca="1">(OFFSET(Pinlist!$F$1,BC1461,0)-$BO$16)*$BO$19</f>
        <v>#N/A</v>
      </c>
      <c r="BG1461" s="1098" t="str">
        <f ca="1">IF(LEFT(BD1461,2)="RF",OFFSET(Pinlist!$D$1,Chart!BC1461,0)&amp;"_"&amp;OFFSET(Pinlist!$G$1,Chart!BC1461,0),"")</f>
        <v/>
      </c>
      <c r="BH1461" s="1098"/>
      <c r="BI1461" s="178"/>
      <c r="BJ1461" s="178"/>
      <c r="BK1461" s="178"/>
      <c r="BL1461" s="178"/>
      <c r="BM1461" s="178"/>
      <c r="BN1461" s="178"/>
      <c r="BO1461" s="178"/>
      <c r="BP1461" s="178"/>
      <c r="BQ1461" s="196"/>
      <c r="BR1461" s="196"/>
      <c r="BS1461" s="196"/>
      <c r="BT1461" s="196"/>
      <c r="BU1461" s="196"/>
      <c r="BV1461" s="196"/>
      <c r="BW1461" s="178"/>
      <c r="BX1461" s="196"/>
      <c r="BY1461" s="196"/>
      <c r="BZ1461" s="196"/>
      <c r="CA1461" s="196"/>
      <c r="CB1461" s="178"/>
      <c r="CC1461" s="178"/>
      <c r="CD1461" s="202"/>
      <c r="CE1461" s="202"/>
      <c r="CF1461" s="178"/>
      <c r="CG1461" s="196"/>
      <c r="CH1461" s="178"/>
      <c r="CI1461" s="178"/>
      <c r="CJ1461" s="178"/>
      <c r="CK1461" s="178"/>
      <c r="CL1461" s="178"/>
      <c r="CM1461" s="178"/>
      <c r="CN1461" s="178"/>
      <c r="CO1461" s="178"/>
      <c r="CP1461" s="178"/>
      <c r="CQ1461" s="178"/>
      <c r="CR1461" s="178"/>
      <c r="CS1461" s="178"/>
      <c r="CT1461" s="178"/>
      <c r="CU1461" s="178"/>
      <c r="CV1461" s="178"/>
      <c r="CW1461" s="178"/>
      <c r="CX1461" s="178"/>
      <c r="CY1461" s="178"/>
      <c r="CZ1461" s="178"/>
      <c r="DA1461" s="150"/>
    </row>
    <row r="1462" spans="53:105" x14ac:dyDescent="0.2">
      <c r="BA1462" s="518">
        <f t="shared" ca="1" si="79"/>
        <v>61</v>
      </c>
      <c r="BB1462" s="174">
        <f t="shared" ca="1" si="80"/>
        <v>1399</v>
      </c>
      <c r="BC1462" s="525" t="e">
        <f ca="1">MATCH(BD1462,OFFSET(Pinlist!$A$2,BC1461*(BA1462=BA1461),0,$BM$23,1),0)+BC1461*(BA1462=BA1461)</f>
        <v>#N/A</v>
      </c>
      <c r="BD1462" s="167">
        <f t="shared" ca="1" si="81"/>
        <v>0</v>
      </c>
      <c r="BE1462" s="191" t="e">
        <f ca="1">(OFFSET(Pinlist!$E$1,BC1462,0)-$BN$16)*$BN$19</f>
        <v>#N/A</v>
      </c>
      <c r="BF1462" s="192" t="e">
        <f ca="1">(OFFSET(Pinlist!$F$1,BC1462,0)-$BO$16)*$BO$19</f>
        <v>#N/A</v>
      </c>
      <c r="BG1462" s="1098" t="str">
        <f ca="1">IF(LEFT(BD1462,2)="RF",OFFSET(Pinlist!$D$1,Chart!BC1462,0)&amp;"_"&amp;OFFSET(Pinlist!$G$1,Chart!BC1462,0),"")</f>
        <v/>
      </c>
      <c r="BH1462" s="1098"/>
      <c r="BI1462" s="178"/>
      <c r="BJ1462" s="178"/>
      <c r="BK1462" s="178"/>
      <c r="BL1462" s="178"/>
      <c r="BM1462" s="178"/>
      <c r="BN1462" s="178"/>
      <c r="BO1462" s="178"/>
      <c r="BP1462" s="178"/>
      <c r="BQ1462" s="196"/>
      <c r="BR1462" s="196"/>
      <c r="BS1462" s="196"/>
      <c r="BT1462" s="196"/>
      <c r="BU1462" s="196"/>
      <c r="BV1462" s="196"/>
      <c r="BW1462" s="178"/>
      <c r="BX1462" s="196"/>
      <c r="BY1462" s="196"/>
      <c r="BZ1462" s="196"/>
      <c r="CA1462" s="196"/>
      <c r="CB1462" s="178"/>
      <c r="CC1462" s="178"/>
      <c r="CD1462" s="202"/>
      <c r="CE1462" s="202"/>
      <c r="CF1462" s="178"/>
      <c r="CG1462" s="196"/>
      <c r="CH1462" s="178"/>
      <c r="CI1462" s="178"/>
      <c r="CJ1462" s="178"/>
      <c r="CK1462" s="178"/>
      <c r="CL1462" s="178"/>
      <c r="CM1462" s="178"/>
      <c r="CN1462" s="178"/>
      <c r="CO1462" s="178"/>
      <c r="CP1462" s="178"/>
      <c r="CQ1462" s="178"/>
      <c r="CR1462" s="178"/>
      <c r="CS1462" s="178"/>
      <c r="CT1462" s="178"/>
      <c r="CU1462" s="178"/>
      <c r="CV1462" s="178"/>
      <c r="CW1462" s="178"/>
      <c r="CX1462" s="178"/>
      <c r="CY1462" s="178"/>
      <c r="CZ1462" s="178"/>
      <c r="DA1462" s="150"/>
    </row>
    <row r="1463" spans="53:105" x14ac:dyDescent="0.2">
      <c r="BA1463" s="518">
        <f t="shared" ca="1" si="79"/>
        <v>61</v>
      </c>
      <c r="BB1463" s="174">
        <f t="shared" ca="1" si="80"/>
        <v>1400</v>
      </c>
      <c r="BC1463" s="525" t="e">
        <f ca="1">MATCH(BD1463,OFFSET(Pinlist!$A$2,BC1462*(BA1463=BA1462),0,$BM$23,1),0)+BC1462*(BA1463=BA1462)</f>
        <v>#N/A</v>
      </c>
      <c r="BD1463" s="167">
        <f t="shared" ca="1" si="81"/>
        <v>0</v>
      </c>
      <c r="BE1463" s="191" t="e">
        <f ca="1">(OFFSET(Pinlist!$E$1,BC1463,0)-$BN$16)*$BN$19</f>
        <v>#N/A</v>
      </c>
      <c r="BF1463" s="192" t="e">
        <f ca="1">(OFFSET(Pinlist!$F$1,BC1463,0)-$BO$16)*$BO$19</f>
        <v>#N/A</v>
      </c>
      <c r="BG1463" s="1098" t="str">
        <f ca="1">IF(LEFT(BD1463,2)="RF",OFFSET(Pinlist!$D$1,Chart!BC1463,0)&amp;"_"&amp;OFFSET(Pinlist!$G$1,Chart!BC1463,0),"")</f>
        <v/>
      </c>
      <c r="BH1463" s="1098"/>
      <c r="BI1463" s="178"/>
      <c r="BJ1463" s="178"/>
      <c r="BK1463" s="178"/>
      <c r="BL1463" s="178"/>
      <c r="BM1463" s="178"/>
      <c r="BN1463" s="178"/>
      <c r="BO1463" s="178"/>
      <c r="BP1463" s="178"/>
      <c r="BQ1463" s="196"/>
      <c r="BR1463" s="196"/>
      <c r="BS1463" s="196"/>
      <c r="BT1463" s="196"/>
      <c r="BU1463" s="196"/>
      <c r="BV1463" s="196"/>
      <c r="BW1463" s="178"/>
      <c r="BX1463" s="196"/>
      <c r="BY1463" s="196"/>
      <c r="BZ1463" s="196"/>
      <c r="CA1463" s="196"/>
      <c r="CB1463" s="178"/>
      <c r="CC1463" s="178"/>
      <c r="CD1463" s="202"/>
      <c r="CE1463" s="202"/>
      <c r="CF1463" s="178"/>
      <c r="CG1463" s="196"/>
      <c r="CH1463" s="178"/>
      <c r="CI1463" s="178"/>
      <c r="CJ1463" s="178"/>
      <c r="CK1463" s="178"/>
      <c r="CL1463" s="178"/>
      <c r="CM1463" s="178"/>
      <c r="CN1463" s="178"/>
      <c r="CO1463" s="178"/>
      <c r="CP1463" s="178"/>
      <c r="CQ1463" s="178"/>
      <c r="CR1463" s="178"/>
      <c r="CS1463" s="178"/>
      <c r="CT1463" s="178"/>
      <c r="CU1463" s="178"/>
      <c r="CV1463" s="178"/>
      <c r="CW1463" s="178"/>
      <c r="CX1463" s="178"/>
      <c r="CY1463" s="178"/>
      <c r="CZ1463" s="178"/>
      <c r="DA1463" s="150"/>
    </row>
    <row r="1464" spans="53:105" x14ac:dyDescent="0.2">
      <c r="BA1464" s="518">
        <f t="shared" ca="1" si="79"/>
        <v>61</v>
      </c>
      <c r="BB1464" s="174">
        <f t="shared" ca="1" si="80"/>
        <v>1401</v>
      </c>
      <c r="BC1464" s="525" t="e">
        <f ca="1">MATCH(BD1464,OFFSET(Pinlist!$A$2,BC1463*(BA1464=BA1463),0,$BM$23,1),0)+BC1463*(BA1464=BA1463)</f>
        <v>#N/A</v>
      </c>
      <c r="BD1464" s="167">
        <f t="shared" ca="1" si="81"/>
        <v>0</v>
      </c>
      <c r="BE1464" s="191" t="e">
        <f ca="1">(OFFSET(Pinlist!$E$1,BC1464,0)-$BN$16)*$BN$19</f>
        <v>#N/A</v>
      </c>
      <c r="BF1464" s="192" t="e">
        <f ca="1">(OFFSET(Pinlist!$F$1,BC1464,0)-$BO$16)*$BO$19</f>
        <v>#N/A</v>
      </c>
      <c r="BG1464" s="1098" t="str">
        <f ca="1">IF(LEFT(BD1464,2)="RF",OFFSET(Pinlist!$D$1,Chart!BC1464,0)&amp;"_"&amp;OFFSET(Pinlist!$G$1,Chart!BC1464,0),"")</f>
        <v/>
      </c>
      <c r="BH1464" s="1098"/>
      <c r="BI1464" s="178"/>
      <c r="BJ1464" s="178"/>
      <c r="BK1464" s="178"/>
      <c r="BL1464" s="178"/>
      <c r="BM1464" s="178"/>
      <c r="BN1464" s="178"/>
      <c r="BO1464" s="178"/>
      <c r="BP1464" s="178"/>
      <c r="BQ1464" s="196"/>
      <c r="BR1464" s="196"/>
      <c r="BS1464" s="196"/>
      <c r="BT1464" s="196"/>
      <c r="BU1464" s="196"/>
      <c r="BV1464" s="196"/>
      <c r="BW1464" s="178"/>
      <c r="BX1464" s="196"/>
      <c r="BY1464" s="196"/>
      <c r="BZ1464" s="196"/>
      <c r="CA1464" s="196"/>
      <c r="CB1464" s="178"/>
      <c r="CC1464" s="178"/>
      <c r="CD1464" s="202"/>
      <c r="CE1464" s="202"/>
      <c r="CF1464" s="178"/>
      <c r="CG1464" s="196"/>
      <c r="CH1464" s="178"/>
      <c r="CI1464" s="178"/>
      <c r="CJ1464" s="178"/>
      <c r="CK1464" s="178"/>
      <c r="CL1464" s="178"/>
      <c r="CM1464" s="178"/>
      <c r="CN1464" s="178"/>
      <c r="CO1464" s="178"/>
      <c r="CP1464" s="178"/>
      <c r="CQ1464" s="178"/>
      <c r="CR1464" s="178"/>
      <c r="CS1464" s="178"/>
      <c r="CT1464" s="178"/>
      <c r="CU1464" s="178"/>
      <c r="CV1464" s="178"/>
      <c r="CW1464" s="178"/>
      <c r="CX1464" s="178"/>
      <c r="CY1464" s="178"/>
      <c r="CZ1464" s="178"/>
      <c r="DA1464" s="150"/>
    </row>
    <row r="1465" spans="53:105" x14ac:dyDescent="0.2">
      <c r="BA1465" s="518">
        <f t="shared" ca="1" si="79"/>
        <v>61</v>
      </c>
      <c r="BB1465" s="174">
        <f t="shared" ca="1" si="80"/>
        <v>1402</v>
      </c>
      <c r="BC1465" s="525" t="e">
        <f ca="1">MATCH(BD1465,OFFSET(Pinlist!$A$2,BC1464*(BA1465=BA1464),0,$BM$23,1),0)+BC1464*(BA1465=BA1464)</f>
        <v>#N/A</v>
      </c>
      <c r="BD1465" s="167">
        <f t="shared" ca="1" si="81"/>
        <v>0</v>
      </c>
      <c r="BE1465" s="191" t="e">
        <f ca="1">(OFFSET(Pinlist!$E$1,BC1465,0)-$BN$16)*$BN$19</f>
        <v>#N/A</v>
      </c>
      <c r="BF1465" s="192" t="e">
        <f ca="1">(OFFSET(Pinlist!$F$1,BC1465,0)-$BO$16)*$BO$19</f>
        <v>#N/A</v>
      </c>
      <c r="BG1465" s="1098" t="str">
        <f ca="1">IF(LEFT(BD1465,2)="RF",OFFSET(Pinlist!$D$1,Chart!BC1465,0)&amp;"_"&amp;OFFSET(Pinlist!$G$1,Chart!BC1465,0),"")</f>
        <v/>
      </c>
      <c r="BH1465" s="1098"/>
      <c r="BI1465" s="178"/>
      <c r="BJ1465" s="178"/>
      <c r="BK1465" s="178"/>
      <c r="BL1465" s="178"/>
      <c r="BM1465" s="178"/>
      <c r="BN1465" s="178"/>
      <c r="BO1465" s="178"/>
      <c r="BP1465" s="178"/>
      <c r="BQ1465" s="196"/>
      <c r="BR1465" s="196"/>
      <c r="BS1465" s="196"/>
      <c r="BT1465" s="196"/>
      <c r="BU1465" s="196"/>
      <c r="BV1465" s="196"/>
      <c r="BW1465" s="178"/>
      <c r="BX1465" s="196"/>
      <c r="BY1465" s="196"/>
      <c r="BZ1465" s="196"/>
      <c r="CA1465" s="196"/>
      <c r="CB1465" s="178"/>
      <c r="CC1465" s="178"/>
      <c r="CD1465" s="202"/>
      <c r="CE1465" s="202"/>
      <c r="CF1465" s="178"/>
      <c r="CG1465" s="196"/>
      <c r="CH1465" s="178"/>
      <c r="CI1465" s="178"/>
      <c r="CJ1465" s="178"/>
      <c r="CK1465" s="178"/>
      <c r="CL1465" s="178"/>
      <c r="CM1465" s="178"/>
      <c r="CN1465" s="178"/>
      <c r="CO1465" s="178"/>
      <c r="CP1465" s="178"/>
      <c r="CQ1465" s="178"/>
      <c r="CR1465" s="178"/>
      <c r="CS1465" s="178"/>
      <c r="CT1465" s="178"/>
      <c r="CU1465" s="178"/>
      <c r="CV1465" s="178"/>
      <c r="CW1465" s="178"/>
      <c r="CX1465" s="178"/>
      <c r="CY1465" s="178"/>
      <c r="CZ1465" s="178"/>
      <c r="DA1465" s="150"/>
    </row>
    <row r="1466" spans="53:105" x14ac:dyDescent="0.2">
      <c r="BA1466" s="518">
        <f t="shared" ca="1" si="79"/>
        <v>61</v>
      </c>
      <c r="BB1466" s="174">
        <f t="shared" ca="1" si="80"/>
        <v>1403</v>
      </c>
      <c r="BC1466" s="525" t="e">
        <f ca="1">MATCH(BD1466,OFFSET(Pinlist!$A$2,BC1465*(BA1466=BA1465),0,$BM$23,1),0)+BC1465*(BA1466=BA1465)</f>
        <v>#N/A</v>
      </c>
      <c r="BD1466" s="167">
        <f t="shared" ca="1" si="81"/>
        <v>0</v>
      </c>
      <c r="BE1466" s="191" t="e">
        <f ca="1">(OFFSET(Pinlist!$E$1,BC1466,0)-$BN$16)*$BN$19</f>
        <v>#N/A</v>
      </c>
      <c r="BF1466" s="192" t="e">
        <f ca="1">(OFFSET(Pinlist!$F$1,BC1466,0)-$BO$16)*$BO$19</f>
        <v>#N/A</v>
      </c>
      <c r="BG1466" s="1098" t="str">
        <f ca="1">IF(LEFT(BD1466,2)="RF",OFFSET(Pinlist!$D$1,Chart!BC1466,0)&amp;"_"&amp;OFFSET(Pinlist!$G$1,Chart!BC1466,0),"")</f>
        <v/>
      </c>
      <c r="BH1466" s="1098"/>
      <c r="BI1466" s="178"/>
      <c r="BJ1466" s="178"/>
      <c r="BK1466" s="178"/>
      <c r="BL1466" s="178"/>
      <c r="BM1466" s="178"/>
      <c r="BN1466" s="178"/>
      <c r="BO1466" s="178"/>
      <c r="BP1466" s="178"/>
      <c r="BQ1466" s="196"/>
      <c r="BR1466" s="196"/>
      <c r="BS1466" s="196"/>
      <c r="BT1466" s="196"/>
      <c r="BU1466" s="196"/>
      <c r="BV1466" s="196"/>
      <c r="BW1466" s="178"/>
      <c r="BX1466" s="196"/>
      <c r="BY1466" s="196"/>
      <c r="BZ1466" s="196"/>
      <c r="CA1466" s="196"/>
      <c r="CB1466" s="178"/>
      <c r="CC1466" s="178"/>
      <c r="CD1466" s="202"/>
      <c r="CE1466" s="202"/>
      <c r="CF1466" s="178"/>
      <c r="CG1466" s="196"/>
      <c r="CH1466" s="178"/>
      <c r="CI1466" s="178"/>
      <c r="CJ1466" s="178"/>
      <c r="CK1466" s="178"/>
      <c r="CL1466" s="178"/>
      <c r="CM1466" s="178"/>
      <c r="CN1466" s="178"/>
      <c r="CO1466" s="178"/>
      <c r="CP1466" s="178"/>
      <c r="CQ1466" s="178"/>
      <c r="CR1466" s="178"/>
      <c r="CS1466" s="178"/>
      <c r="CT1466" s="178"/>
      <c r="CU1466" s="178"/>
      <c r="CV1466" s="178"/>
      <c r="CW1466" s="178"/>
      <c r="CX1466" s="178"/>
      <c r="CY1466" s="178"/>
      <c r="CZ1466" s="178"/>
      <c r="DA1466" s="150"/>
    </row>
    <row r="1467" spans="53:105" x14ac:dyDescent="0.2">
      <c r="BA1467" s="518">
        <f t="shared" ca="1" si="79"/>
        <v>61</v>
      </c>
      <c r="BB1467" s="174">
        <f t="shared" ca="1" si="80"/>
        <v>1404</v>
      </c>
      <c r="BC1467" s="525" t="e">
        <f ca="1">MATCH(BD1467,OFFSET(Pinlist!$A$2,BC1466*(BA1467=BA1466),0,$BM$23,1),0)+BC1466*(BA1467=BA1466)</f>
        <v>#N/A</v>
      </c>
      <c r="BD1467" s="167">
        <f t="shared" ca="1" si="81"/>
        <v>0</v>
      </c>
      <c r="BE1467" s="191" t="e">
        <f ca="1">(OFFSET(Pinlist!$E$1,BC1467,0)-$BN$16)*$BN$19</f>
        <v>#N/A</v>
      </c>
      <c r="BF1467" s="192" t="e">
        <f ca="1">(OFFSET(Pinlist!$F$1,BC1467,0)-$BO$16)*$BO$19</f>
        <v>#N/A</v>
      </c>
      <c r="BG1467" s="1098" t="str">
        <f ca="1">IF(LEFT(BD1467,2)="RF",OFFSET(Pinlist!$D$1,Chart!BC1467,0)&amp;"_"&amp;OFFSET(Pinlist!$G$1,Chart!BC1467,0),"")</f>
        <v/>
      </c>
      <c r="BH1467" s="1098"/>
      <c r="BI1467" s="178"/>
      <c r="BJ1467" s="178"/>
      <c r="BK1467" s="178"/>
      <c r="BL1467" s="178"/>
      <c r="BM1467" s="178"/>
      <c r="BN1467" s="178"/>
      <c r="BO1467" s="178"/>
      <c r="BP1467" s="178"/>
      <c r="BQ1467" s="196"/>
      <c r="BR1467" s="196"/>
      <c r="BS1467" s="196"/>
      <c r="BT1467" s="196"/>
      <c r="BU1467" s="196"/>
      <c r="BV1467" s="196"/>
      <c r="BW1467" s="178"/>
      <c r="BX1467" s="196"/>
      <c r="BY1467" s="196"/>
      <c r="BZ1467" s="196"/>
      <c r="CA1467" s="196"/>
      <c r="CB1467" s="178"/>
      <c r="CC1467" s="178"/>
      <c r="CD1467" s="202"/>
      <c r="CE1467" s="202"/>
      <c r="CF1467" s="178"/>
      <c r="CG1467" s="196"/>
      <c r="CH1467" s="178"/>
      <c r="CI1467" s="178"/>
      <c r="CJ1467" s="178"/>
      <c r="CK1467" s="178"/>
      <c r="CL1467" s="178"/>
      <c r="CM1467" s="178"/>
      <c r="CN1467" s="178"/>
      <c r="CO1467" s="178"/>
      <c r="CP1467" s="178"/>
      <c r="CQ1467" s="178"/>
      <c r="CR1467" s="178"/>
      <c r="CS1467" s="178"/>
      <c r="CT1467" s="178"/>
      <c r="CU1467" s="178"/>
      <c r="CV1467" s="178"/>
      <c r="CW1467" s="178"/>
      <c r="CX1467" s="178"/>
      <c r="CY1467" s="178"/>
      <c r="CZ1467" s="178"/>
      <c r="DA1467" s="150"/>
    </row>
    <row r="1468" spans="53:105" x14ac:dyDescent="0.2">
      <c r="BA1468" s="518">
        <f t="shared" ca="1" si="79"/>
        <v>61</v>
      </c>
      <c r="BB1468" s="174">
        <f t="shared" ca="1" si="80"/>
        <v>1405</v>
      </c>
      <c r="BC1468" s="525" t="e">
        <f ca="1">MATCH(BD1468,OFFSET(Pinlist!$A$2,BC1467*(BA1468=BA1467),0,$BM$23,1),0)+BC1467*(BA1468=BA1467)</f>
        <v>#N/A</v>
      </c>
      <c r="BD1468" s="167">
        <f t="shared" ca="1" si="81"/>
        <v>0</v>
      </c>
      <c r="BE1468" s="191" t="e">
        <f ca="1">(OFFSET(Pinlist!$E$1,BC1468,0)-$BN$16)*$BN$19</f>
        <v>#N/A</v>
      </c>
      <c r="BF1468" s="192" t="e">
        <f ca="1">(OFFSET(Pinlist!$F$1,BC1468,0)-$BO$16)*$BO$19</f>
        <v>#N/A</v>
      </c>
      <c r="BG1468" s="1098" t="str">
        <f ca="1">IF(LEFT(BD1468,2)="RF",OFFSET(Pinlist!$D$1,Chart!BC1468,0)&amp;"_"&amp;OFFSET(Pinlist!$G$1,Chart!BC1468,0),"")</f>
        <v/>
      </c>
      <c r="BH1468" s="1098"/>
      <c r="BI1468" s="178"/>
      <c r="BJ1468" s="178"/>
      <c r="BK1468" s="178"/>
      <c r="BL1468" s="178"/>
      <c r="BM1468" s="178"/>
      <c r="BN1468" s="178"/>
      <c r="BO1468" s="178"/>
      <c r="BP1468" s="178"/>
      <c r="BQ1468" s="196"/>
      <c r="BR1468" s="196"/>
      <c r="BS1468" s="196"/>
      <c r="BT1468" s="196"/>
      <c r="BU1468" s="196"/>
      <c r="BV1468" s="196"/>
      <c r="BW1468" s="178"/>
      <c r="BX1468" s="196"/>
      <c r="BY1468" s="196"/>
      <c r="BZ1468" s="196"/>
      <c r="CA1468" s="196"/>
      <c r="CB1468" s="178"/>
      <c r="CC1468" s="178"/>
      <c r="CD1468" s="202"/>
      <c r="CE1468" s="202"/>
      <c r="CF1468" s="178"/>
      <c r="CG1468" s="196"/>
      <c r="CH1468" s="178"/>
      <c r="CI1468" s="178"/>
      <c r="CJ1468" s="178"/>
      <c r="CK1468" s="178"/>
      <c r="CL1468" s="178"/>
      <c r="CM1468" s="178"/>
      <c r="CN1468" s="178"/>
      <c r="CO1468" s="178"/>
      <c r="CP1468" s="178"/>
      <c r="CQ1468" s="178"/>
      <c r="CR1468" s="178"/>
      <c r="CS1468" s="178"/>
      <c r="CT1468" s="178"/>
      <c r="CU1468" s="178"/>
      <c r="CV1468" s="178"/>
      <c r="CW1468" s="178"/>
      <c r="CX1468" s="178"/>
      <c r="CY1468" s="178"/>
      <c r="CZ1468" s="178"/>
      <c r="DA1468" s="150"/>
    </row>
    <row r="1469" spans="53:105" x14ac:dyDescent="0.2">
      <c r="BA1469" s="518">
        <f t="shared" ca="1" si="79"/>
        <v>61</v>
      </c>
      <c r="BB1469" s="174">
        <f t="shared" ca="1" si="80"/>
        <v>1406</v>
      </c>
      <c r="BC1469" s="525" t="e">
        <f ca="1">MATCH(BD1469,OFFSET(Pinlist!$A$2,BC1468*(BA1469=BA1468),0,$BM$23,1),0)+BC1468*(BA1469=BA1468)</f>
        <v>#N/A</v>
      </c>
      <c r="BD1469" s="167">
        <f t="shared" ca="1" si="81"/>
        <v>0</v>
      </c>
      <c r="BE1469" s="191" t="e">
        <f ca="1">(OFFSET(Pinlist!$E$1,BC1469,0)-$BN$16)*$BN$19</f>
        <v>#N/A</v>
      </c>
      <c r="BF1469" s="192" t="e">
        <f ca="1">(OFFSET(Pinlist!$F$1,BC1469,0)-$BO$16)*$BO$19</f>
        <v>#N/A</v>
      </c>
      <c r="BG1469" s="1098" t="str">
        <f ca="1">IF(LEFT(BD1469,2)="RF",OFFSET(Pinlist!$D$1,Chart!BC1469,0)&amp;"_"&amp;OFFSET(Pinlist!$G$1,Chart!BC1469,0),"")</f>
        <v/>
      </c>
      <c r="BH1469" s="1098"/>
      <c r="BI1469" s="178"/>
      <c r="BJ1469" s="178"/>
      <c r="BK1469" s="178"/>
      <c r="BL1469" s="178"/>
      <c r="BM1469" s="178"/>
      <c r="BN1469" s="178"/>
      <c r="BO1469" s="178"/>
      <c r="BP1469" s="178"/>
      <c r="BQ1469" s="196"/>
      <c r="BR1469" s="196"/>
      <c r="BS1469" s="196"/>
      <c r="BT1469" s="196"/>
      <c r="BU1469" s="196"/>
      <c r="BV1469" s="196"/>
      <c r="BW1469" s="178"/>
      <c r="BX1469" s="196"/>
      <c r="BY1469" s="196"/>
      <c r="BZ1469" s="196"/>
      <c r="CA1469" s="196"/>
      <c r="CB1469" s="178"/>
      <c r="CC1469" s="178"/>
      <c r="CD1469" s="202"/>
      <c r="CE1469" s="202"/>
      <c r="CF1469" s="178"/>
      <c r="CG1469" s="196"/>
      <c r="CH1469" s="178"/>
      <c r="CI1469" s="178"/>
      <c r="CJ1469" s="178"/>
      <c r="CK1469" s="178"/>
      <c r="CL1469" s="178"/>
      <c r="CM1469" s="178"/>
      <c r="CN1469" s="178"/>
      <c r="CO1469" s="178"/>
      <c r="CP1469" s="178"/>
      <c r="CQ1469" s="178"/>
      <c r="CR1469" s="178"/>
      <c r="CS1469" s="178"/>
      <c r="CT1469" s="178"/>
      <c r="CU1469" s="178"/>
      <c r="CV1469" s="178"/>
      <c r="CW1469" s="178"/>
      <c r="CX1469" s="178"/>
      <c r="CY1469" s="178"/>
      <c r="CZ1469" s="178"/>
      <c r="DA1469" s="150"/>
    </row>
    <row r="1470" spans="53:105" x14ac:dyDescent="0.2">
      <c r="BA1470" s="518">
        <f t="shared" ca="1" si="79"/>
        <v>61</v>
      </c>
      <c r="BB1470" s="174">
        <f t="shared" ca="1" si="80"/>
        <v>1407</v>
      </c>
      <c r="BC1470" s="525" t="e">
        <f ca="1">MATCH(BD1470,OFFSET(Pinlist!$A$2,BC1469*(BA1470=BA1469),0,$BM$23,1),0)+BC1469*(BA1470=BA1469)</f>
        <v>#N/A</v>
      </c>
      <c r="BD1470" s="167">
        <f t="shared" ca="1" si="81"/>
        <v>0</v>
      </c>
      <c r="BE1470" s="191" t="e">
        <f ca="1">(OFFSET(Pinlist!$E$1,BC1470,0)-$BN$16)*$BN$19</f>
        <v>#N/A</v>
      </c>
      <c r="BF1470" s="192" t="e">
        <f ca="1">(OFFSET(Pinlist!$F$1,BC1470,0)-$BO$16)*$BO$19</f>
        <v>#N/A</v>
      </c>
      <c r="BG1470" s="1098" t="str">
        <f ca="1">IF(LEFT(BD1470,2)="RF",OFFSET(Pinlist!$D$1,Chart!BC1470,0)&amp;"_"&amp;OFFSET(Pinlist!$G$1,Chart!BC1470,0),"")</f>
        <v/>
      </c>
      <c r="BH1470" s="1098"/>
      <c r="BI1470" s="178"/>
      <c r="BJ1470" s="178"/>
      <c r="BK1470" s="178"/>
      <c r="BL1470" s="178"/>
      <c r="BM1470" s="178"/>
      <c r="BN1470" s="178"/>
      <c r="BO1470" s="178"/>
      <c r="BP1470" s="178"/>
      <c r="BQ1470" s="196"/>
      <c r="BR1470" s="196"/>
      <c r="BS1470" s="196"/>
      <c r="BT1470" s="196"/>
      <c r="BU1470" s="196"/>
      <c r="BV1470" s="196"/>
      <c r="BW1470" s="178"/>
      <c r="BX1470" s="196"/>
      <c r="BY1470" s="196"/>
      <c r="BZ1470" s="196"/>
      <c r="CA1470" s="196"/>
      <c r="CB1470" s="178"/>
      <c r="CC1470" s="178"/>
      <c r="CD1470" s="202"/>
      <c r="CE1470" s="202"/>
      <c r="CF1470" s="178"/>
      <c r="CG1470" s="196"/>
      <c r="CH1470" s="178"/>
      <c r="CI1470" s="178"/>
      <c r="CJ1470" s="178"/>
      <c r="CK1470" s="178"/>
      <c r="CL1470" s="178"/>
      <c r="CM1470" s="178"/>
      <c r="CN1470" s="178"/>
      <c r="CO1470" s="178"/>
      <c r="CP1470" s="178"/>
      <c r="CQ1470" s="178"/>
      <c r="CR1470" s="178"/>
      <c r="CS1470" s="178"/>
      <c r="CT1470" s="178"/>
      <c r="CU1470" s="178"/>
      <c r="CV1470" s="178"/>
      <c r="CW1470" s="178"/>
      <c r="CX1470" s="178"/>
      <c r="CY1470" s="178"/>
      <c r="CZ1470" s="178"/>
      <c r="DA1470" s="150"/>
    </row>
    <row r="1471" spans="53:105" x14ac:dyDescent="0.2">
      <c r="BA1471" s="518">
        <f t="shared" ca="1" si="79"/>
        <v>61</v>
      </c>
      <c r="BB1471" s="174">
        <f t="shared" ca="1" si="80"/>
        <v>1408</v>
      </c>
      <c r="BC1471" s="525" t="e">
        <f ca="1">MATCH(BD1471,OFFSET(Pinlist!$A$2,BC1470*(BA1471=BA1470),0,$BM$23,1),0)+BC1470*(BA1471=BA1470)</f>
        <v>#N/A</v>
      </c>
      <c r="BD1471" s="167">
        <f t="shared" ca="1" si="81"/>
        <v>0</v>
      </c>
      <c r="BE1471" s="191" t="e">
        <f ca="1">(OFFSET(Pinlist!$E$1,BC1471,0)-$BN$16)*$BN$19</f>
        <v>#N/A</v>
      </c>
      <c r="BF1471" s="192" t="e">
        <f ca="1">(OFFSET(Pinlist!$F$1,BC1471,0)-$BO$16)*$BO$19</f>
        <v>#N/A</v>
      </c>
      <c r="BG1471" s="1098" t="str">
        <f ca="1">IF(LEFT(BD1471,2)="RF",OFFSET(Pinlist!$D$1,Chart!BC1471,0)&amp;"_"&amp;OFFSET(Pinlist!$G$1,Chart!BC1471,0),"")</f>
        <v/>
      </c>
      <c r="BH1471" s="1098"/>
      <c r="BI1471" s="178"/>
      <c r="BJ1471" s="178"/>
      <c r="BK1471" s="178"/>
      <c r="BL1471" s="178"/>
      <c r="BM1471" s="178"/>
      <c r="BN1471" s="178"/>
      <c r="BO1471" s="178"/>
      <c r="BP1471" s="178"/>
      <c r="BQ1471" s="196"/>
      <c r="BR1471" s="196"/>
      <c r="BS1471" s="196"/>
      <c r="BT1471" s="196"/>
      <c r="BU1471" s="196"/>
      <c r="BV1471" s="196"/>
      <c r="BW1471" s="178"/>
      <c r="BX1471" s="196"/>
      <c r="BY1471" s="196"/>
      <c r="BZ1471" s="196"/>
      <c r="CA1471" s="196"/>
      <c r="CB1471" s="178"/>
      <c r="CC1471" s="178"/>
      <c r="CD1471" s="202"/>
      <c r="CE1471" s="202"/>
      <c r="CF1471" s="178"/>
      <c r="CG1471" s="196"/>
      <c r="CH1471" s="178"/>
      <c r="CI1471" s="178"/>
      <c r="CJ1471" s="178"/>
      <c r="CK1471" s="178"/>
      <c r="CL1471" s="178"/>
      <c r="CM1471" s="178"/>
      <c r="CN1471" s="178"/>
      <c r="CO1471" s="178"/>
      <c r="CP1471" s="178"/>
      <c r="CQ1471" s="178"/>
      <c r="CR1471" s="178"/>
      <c r="CS1471" s="178"/>
      <c r="CT1471" s="178"/>
      <c r="CU1471" s="178"/>
      <c r="CV1471" s="178"/>
      <c r="CW1471" s="178"/>
      <c r="CX1471" s="178"/>
      <c r="CY1471" s="178"/>
      <c r="CZ1471" s="178"/>
      <c r="DA1471" s="150"/>
    </row>
    <row r="1472" spans="53:105" x14ac:dyDescent="0.2">
      <c r="BA1472" s="518">
        <f t="shared" ca="1" si="79"/>
        <v>61</v>
      </c>
      <c r="BB1472" s="174">
        <f t="shared" ca="1" si="80"/>
        <v>1409</v>
      </c>
      <c r="BC1472" s="525" t="e">
        <f ca="1">MATCH(BD1472,OFFSET(Pinlist!$A$2,BC1471*(BA1472=BA1471),0,$BM$23,1),0)+BC1471*(BA1472=BA1471)</f>
        <v>#N/A</v>
      </c>
      <c r="BD1472" s="167">
        <f t="shared" ca="1" si="81"/>
        <v>0</v>
      </c>
      <c r="BE1472" s="191" t="e">
        <f ca="1">(OFFSET(Pinlist!$E$1,BC1472,0)-$BN$16)*$BN$19</f>
        <v>#N/A</v>
      </c>
      <c r="BF1472" s="192" t="e">
        <f ca="1">(OFFSET(Pinlist!$F$1,BC1472,0)-$BO$16)*$BO$19</f>
        <v>#N/A</v>
      </c>
      <c r="BG1472" s="1098" t="str">
        <f ca="1">IF(LEFT(BD1472,2)="RF",OFFSET(Pinlist!$D$1,Chart!BC1472,0)&amp;"_"&amp;OFFSET(Pinlist!$G$1,Chart!BC1472,0),"")</f>
        <v/>
      </c>
      <c r="BH1472" s="1098"/>
      <c r="BI1472" s="178"/>
      <c r="BJ1472" s="178"/>
      <c r="BK1472" s="178"/>
      <c r="BL1472" s="178"/>
      <c r="BM1472" s="178"/>
      <c r="BN1472" s="178"/>
      <c r="BO1472" s="178"/>
      <c r="BP1472" s="178"/>
      <c r="BQ1472" s="196"/>
      <c r="BR1472" s="196"/>
      <c r="BS1472" s="196"/>
      <c r="BT1472" s="196"/>
      <c r="BU1472" s="196"/>
      <c r="BV1472" s="196"/>
      <c r="BW1472" s="178"/>
      <c r="BX1472" s="196"/>
      <c r="BY1472" s="196"/>
      <c r="BZ1472" s="196"/>
      <c r="CA1472" s="196"/>
      <c r="CB1472" s="178"/>
      <c r="CC1472" s="178"/>
      <c r="CD1472" s="202"/>
      <c r="CE1472" s="202"/>
      <c r="CF1472" s="178"/>
      <c r="CG1472" s="196"/>
      <c r="CH1472" s="178"/>
      <c r="CI1472" s="178"/>
      <c r="CJ1472" s="178"/>
      <c r="CK1472" s="178"/>
      <c r="CL1472" s="178"/>
      <c r="CM1472" s="178"/>
      <c r="CN1472" s="178"/>
      <c r="CO1472" s="178"/>
      <c r="CP1472" s="178"/>
      <c r="CQ1472" s="178"/>
      <c r="CR1472" s="178"/>
      <c r="CS1472" s="178"/>
      <c r="CT1472" s="178"/>
      <c r="CU1472" s="178"/>
      <c r="CV1472" s="178"/>
      <c r="CW1472" s="178"/>
      <c r="CX1472" s="178"/>
      <c r="CY1472" s="178"/>
      <c r="CZ1472" s="178"/>
      <c r="DA1472" s="150"/>
    </row>
    <row r="1473" spans="53:105" x14ac:dyDescent="0.2">
      <c r="BA1473" s="518">
        <f t="shared" ca="1" si="79"/>
        <v>61</v>
      </c>
      <c r="BB1473" s="174">
        <f t="shared" ca="1" si="80"/>
        <v>1410</v>
      </c>
      <c r="BC1473" s="525" t="e">
        <f ca="1">MATCH(BD1473,OFFSET(Pinlist!$A$2,BC1472*(BA1473=BA1472),0,$BM$23,1),0)+BC1472*(BA1473=BA1472)</f>
        <v>#N/A</v>
      </c>
      <c r="BD1473" s="167">
        <f t="shared" ca="1" si="81"/>
        <v>0</v>
      </c>
      <c r="BE1473" s="191" t="e">
        <f ca="1">(OFFSET(Pinlist!$E$1,BC1473,0)-$BN$16)*$BN$19</f>
        <v>#N/A</v>
      </c>
      <c r="BF1473" s="192" t="e">
        <f ca="1">(OFFSET(Pinlist!$F$1,BC1473,0)-$BO$16)*$BO$19</f>
        <v>#N/A</v>
      </c>
      <c r="BG1473" s="1098" t="str">
        <f ca="1">IF(LEFT(BD1473,2)="RF",OFFSET(Pinlist!$D$1,Chart!BC1473,0)&amp;"_"&amp;OFFSET(Pinlist!$G$1,Chart!BC1473,0),"")</f>
        <v/>
      </c>
      <c r="BH1473" s="1098"/>
      <c r="BI1473" s="178"/>
      <c r="BJ1473" s="178"/>
      <c r="BK1473" s="178"/>
      <c r="BL1473" s="178"/>
      <c r="BM1473" s="178"/>
      <c r="BN1473" s="178"/>
      <c r="BO1473" s="178"/>
      <c r="BP1473" s="178"/>
      <c r="BQ1473" s="196"/>
      <c r="BR1473" s="196"/>
      <c r="BS1473" s="196"/>
      <c r="BT1473" s="196"/>
      <c r="BU1473" s="196"/>
      <c r="BV1473" s="196"/>
      <c r="BW1473" s="178"/>
      <c r="BX1473" s="196"/>
      <c r="BY1473" s="196"/>
      <c r="BZ1473" s="196"/>
      <c r="CA1473" s="196"/>
      <c r="CB1473" s="178"/>
      <c r="CC1473" s="178"/>
      <c r="CD1473" s="202"/>
      <c r="CE1473" s="202"/>
      <c r="CF1473" s="178"/>
      <c r="CG1473" s="196"/>
      <c r="CH1473" s="178"/>
      <c r="CI1473" s="178"/>
      <c r="CJ1473" s="178"/>
      <c r="CK1473" s="178"/>
      <c r="CL1473" s="178"/>
      <c r="CM1473" s="178"/>
      <c r="CN1473" s="178"/>
      <c r="CO1473" s="178"/>
      <c r="CP1473" s="178"/>
      <c r="CQ1473" s="178"/>
      <c r="CR1473" s="178"/>
      <c r="CS1473" s="178"/>
      <c r="CT1473" s="178"/>
      <c r="CU1473" s="178"/>
      <c r="CV1473" s="178"/>
      <c r="CW1473" s="178"/>
      <c r="CX1473" s="178"/>
      <c r="CY1473" s="178"/>
      <c r="CZ1473" s="178"/>
      <c r="DA1473" s="150"/>
    </row>
    <row r="1474" spans="53:105" x14ac:dyDescent="0.2">
      <c r="BA1474" s="518">
        <f t="shared" ca="1" si="79"/>
        <v>61</v>
      </c>
      <c r="BB1474" s="174">
        <f t="shared" ca="1" si="80"/>
        <v>1411</v>
      </c>
      <c r="BC1474" s="525" t="e">
        <f ca="1">MATCH(BD1474,OFFSET(Pinlist!$A$2,BC1473*(BA1474=BA1473),0,$BM$23,1),0)+BC1473*(BA1474=BA1473)</f>
        <v>#N/A</v>
      </c>
      <c r="BD1474" s="167">
        <f t="shared" ca="1" si="81"/>
        <v>0</v>
      </c>
      <c r="BE1474" s="191" t="e">
        <f ca="1">(OFFSET(Pinlist!$E$1,BC1474,0)-$BN$16)*$BN$19</f>
        <v>#N/A</v>
      </c>
      <c r="BF1474" s="192" t="e">
        <f ca="1">(OFFSET(Pinlist!$F$1,BC1474,0)-$BO$16)*$BO$19</f>
        <v>#N/A</v>
      </c>
      <c r="BG1474" s="1098" t="str">
        <f ca="1">IF(LEFT(BD1474,2)="RF",OFFSET(Pinlist!$D$1,Chart!BC1474,0)&amp;"_"&amp;OFFSET(Pinlist!$G$1,Chart!BC1474,0),"")</f>
        <v/>
      </c>
      <c r="BH1474" s="1098"/>
      <c r="BI1474" s="178"/>
      <c r="BJ1474" s="178"/>
      <c r="BK1474" s="178"/>
      <c r="BL1474" s="178"/>
      <c r="BM1474" s="178"/>
      <c r="BN1474" s="178"/>
      <c r="BO1474" s="178"/>
      <c r="BP1474" s="178"/>
      <c r="BQ1474" s="196"/>
      <c r="BR1474" s="196"/>
      <c r="BS1474" s="196"/>
      <c r="BT1474" s="196"/>
      <c r="BU1474" s="196"/>
      <c r="BV1474" s="196"/>
      <c r="BW1474" s="178"/>
      <c r="BX1474" s="196"/>
      <c r="BY1474" s="196"/>
      <c r="BZ1474" s="196"/>
      <c r="CA1474" s="196"/>
      <c r="CB1474" s="178"/>
      <c r="CC1474" s="178"/>
      <c r="CD1474" s="202"/>
      <c r="CE1474" s="202"/>
      <c r="CF1474" s="178"/>
      <c r="CG1474" s="196"/>
      <c r="CH1474" s="178"/>
      <c r="CI1474" s="178"/>
      <c r="CJ1474" s="178"/>
      <c r="CK1474" s="178"/>
      <c r="CL1474" s="178"/>
      <c r="CM1474" s="178"/>
      <c r="CN1474" s="178"/>
      <c r="CO1474" s="178"/>
      <c r="CP1474" s="178"/>
      <c r="CQ1474" s="178"/>
      <c r="CR1474" s="178"/>
      <c r="CS1474" s="178"/>
      <c r="CT1474" s="178"/>
      <c r="CU1474" s="178"/>
      <c r="CV1474" s="178"/>
      <c r="CW1474" s="178"/>
      <c r="CX1474" s="178"/>
      <c r="CY1474" s="178"/>
      <c r="CZ1474" s="178"/>
      <c r="DA1474" s="150"/>
    </row>
    <row r="1475" spans="53:105" x14ac:dyDescent="0.2">
      <c r="BA1475" s="518">
        <f t="shared" ca="1" si="79"/>
        <v>61</v>
      </c>
      <c r="BB1475" s="174">
        <f t="shared" ca="1" si="80"/>
        <v>1412</v>
      </c>
      <c r="BC1475" s="525" t="e">
        <f ca="1">MATCH(BD1475,OFFSET(Pinlist!$A$2,BC1474*(BA1475=BA1474),0,$BM$23,1),0)+BC1474*(BA1475=BA1474)</f>
        <v>#N/A</v>
      </c>
      <c r="BD1475" s="167">
        <f t="shared" ca="1" si="81"/>
        <v>0</v>
      </c>
      <c r="BE1475" s="191" t="e">
        <f ca="1">(OFFSET(Pinlist!$E$1,BC1475,0)-$BN$16)*$BN$19</f>
        <v>#N/A</v>
      </c>
      <c r="BF1475" s="192" t="e">
        <f ca="1">(OFFSET(Pinlist!$F$1,BC1475,0)-$BO$16)*$BO$19</f>
        <v>#N/A</v>
      </c>
      <c r="BG1475" s="1098" t="str">
        <f ca="1">IF(LEFT(BD1475,2)="RF",OFFSET(Pinlist!$D$1,Chart!BC1475,0)&amp;"_"&amp;OFFSET(Pinlist!$G$1,Chart!BC1475,0),"")</f>
        <v/>
      </c>
      <c r="BH1475" s="1098"/>
      <c r="BI1475" s="178"/>
      <c r="BJ1475" s="178"/>
      <c r="BK1475" s="178"/>
      <c r="BL1475" s="178"/>
      <c r="BM1475" s="178"/>
      <c r="BN1475" s="178"/>
      <c r="BO1475" s="178"/>
      <c r="BP1475" s="178"/>
      <c r="BQ1475" s="196"/>
      <c r="BR1475" s="196"/>
      <c r="BS1475" s="196"/>
      <c r="BT1475" s="196"/>
      <c r="BU1475" s="196"/>
      <c r="BV1475" s="196"/>
      <c r="BW1475" s="178"/>
      <c r="BX1475" s="196"/>
      <c r="BY1475" s="196"/>
      <c r="BZ1475" s="196"/>
      <c r="CA1475" s="196"/>
      <c r="CB1475" s="178"/>
      <c r="CC1475" s="178"/>
      <c r="CD1475" s="202"/>
      <c r="CE1475" s="202"/>
      <c r="CF1475" s="178"/>
      <c r="CG1475" s="196"/>
      <c r="CH1475" s="178"/>
      <c r="CI1475" s="178"/>
      <c r="CJ1475" s="178"/>
      <c r="CK1475" s="178"/>
      <c r="CL1475" s="178"/>
      <c r="CM1475" s="178"/>
      <c r="CN1475" s="178"/>
      <c r="CO1475" s="178"/>
      <c r="CP1475" s="178"/>
      <c r="CQ1475" s="178"/>
      <c r="CR1475" s="178"/>
      <c r="CS1475" s="178"/>
      <c r="CT1475" s="178"/>
      <c r="CU1475" s="178"/>
      <c r="CV1475" s="178"/>
      <c r="CW1475" s="178"/>
      <c r="CX1475" s="178"/>
      <c r="CY1475" s="178"/>
      <c r="CZ1475" s="178"/>
      <c r="DA1475" s="150"/>
    </row>
    <row r="1476" spans="53:105" x14ac:dyDescent="0.2">
      <c r="BA1476" s="518">
        <f t="shared" ref="BA1476:BA1539" ca="1" si="82">BA1475+(BB1475=OFFSET($BZ$3,BA1475,0))</f>
        <v>61</v>
      </c>
      <c r="BB1476" s="174">
        <f t="shared" ref="BB1476:BB1539" ca="1" si="83">IF(BA1476=BA1475,BB1475+1,1)</f>
        <v>1413</v>
      </c>
      <c r="BC1476" s="525" t="e">
        <f ca="1">MATCH(BD1476,OFFSET(Pinlist!$A$2,BC1475*(BA1476=BA1475),0,$BM$23,1),0)+BC1475*(BA1476=BA1475)</f>
        <v>#N/A</v>
      </c>
      <c r="BD1476" s="167">
        <f t="shared" ref="BD1476:BD1539" ca="1" si="84">OFFSET($BY$3,BA1476,0)</f>
        <v>0</v>
      </c>
      <c r="BE1476" s="191" t="e">
        <f ca="1">(OFFSET(Pinlist!$E$1,BC1476,0)-$BN$16)*$BN$19</f>
        <v>#N/A</v>
      </c>
      <c r="BF1476" s="192" t="e">
        <f ca="1">(OFFSET(Pinlist!$F$1,BC1476,0)-$BO$16)*$BO$19</f>
        <v>#N/A</v>
      </c>
      <c r="BG1476" s="1098" t="str">
        <f ca="1">IF(LEFT(BD1476,2)="RF",OFFSET(Pinlist!$D$1,Chart!BC1476,0)&amp;"_"&amp;OFFSET(Pinlist!$G$1,Chart!BC1476,0),"")</f>
        <v/>
      </c>
      <c r="BH1476" s="1098"/>
      <c r="BI1476" s="178"/>
      <c r="BJ1476" s="178"/>
      <c r="BK1476" s="178"/>
      <c r="BL1476" s="178"/>
      <c r="BM1476" s="178"/>
      <c r="BN1476" s="178"/>
      <c r="BO1476" s="178"/>
      <c r="BP1476" s="178"/>
      <c r="BQ1476" s="196"/>
      <c r="BR1476" s="196"/>
      <c r="BS1476" s="196"/>
      <c r="BT1476" s="196"/>
      <c r="BU1476" s="196"/>
      <c r="BV1476" s="196"/>
      <c r="BW1476" s="178"/>
      <c r="BX1476" s="196"/>
      <c r="BY1476" s="196"/>
      <c r="BZ1476" s="196"/>
      <c r="CA1476" s="196"/>
      <c r="CB1476" s="178"/>
      <c r="CC1476" s="178"/>
      <c r="CD1476" s="202"/>
      <c r="CE1476" s="202"/>
      <c r="CF1476" s="178"/>
      <c r="CG1476" s="196"/>
      <c r="CH1476" s="178"/>
      <c r="CI1476" s="178"/>
      <c r="CJ1476" s="178"/>
      <c r="CK1476" s="178"/>
      <c r="CL1476" s="178"/>
      <c r="CM1476" s="178"/>
      <c r="CN1476" s="178"/>
      <c r="CO1476" s="178"/>
      <c r="CP1476" s="178"/>
      <c r="CQ1476" s="178"/>
      <c r="CR1476" s="178"/>
      <c r="CS1476" s="178"/>
      <c r="CT1476" s="178"/>
      <c r="CU1476" s="178"/>
      <c r="CV1476" s="178"/>
      <c r="CW1476" s="178"/>
      <c r="CX1476" s="178"/>
      <c r="CY1476" s="178"/>
      <c r="CZ1476" s="178"/>
      <c r="DA1476" s="150"/>
    </row>
    <row r="1477" spans="53:105" x14ac:dyDescent="0.2">
      <c r="BA1477" s="518">
        <f t="shared" ca="1" si="82"/>
        <v>61</v>
      </c>
      <c r="BB1477" s="174">
        <f t="shared" ca="1" si="83"/>
        <v>1414</v>
      </c>
      <c r="BC1477" s="525" t="e">
        <f ca="1">MATCH(BD1477,OFFSET(Pinlist!$A$2,BC1476*(BA1477=BA1476),0,$BM$23,1),0)+BC1476*(BA1477=BA1476)</f>
        <v>#N/A</v>
      </c>
      <c r="BD1477" s="167">
        <f t="shared" ca="1" si="84"/>
        <v>0</v>
      </c>
      <c r="BE1477" s="191" t="e">
        <f ca="1">(OFFSET(Pinlist!$E$1,BC1477,0)-$BN$16)*$BN$19</f>
        <v>#N/A</v>
      </c>
      <c r="BF1477" s="192" t="e">
        <f ca="1">(OFFSET(Pinlist!$F$1,BC1477,0)-$BO$16)*$BO$19</f>
        <v>#N/A</v>
      </c>
      <c r="BG1477" s="1098" t="str">
        <f ca="1">IF(LEFT(BD1477,2)="RF",OFFSET(Pinlist!$D$1,Chart!BC1477,0)&amp;"_"&amp;OFFSET(Pinlist!$G$1,Chart!BC1477,0),"")</f>
        <v/>
      </c>
      <c r="BH1477" s="1098"/>
      <c r="BI1477" s="178"/>
      <c r="BJ1477" s="178"/>
      <c r="BK1477" s="178"/>
      <c r="BL1477" s="178"/>
      <c r="BM1477" s="178"/>
      <c r="BN1477" s="178"/>
      <c r="BO1477" s="178"/>
      <c r="BP1477" s="178"/>
      <c r="BQ1477" s="196"/>
      <c r="BR1477" s="196"/>
      <c r="BS1477" s="196"/>
      <c r="BT1477" s="196"/>
      <c r="BU1477" s="196"/>
      <c r="BV1477" s="196"/>
      <c r="BW1477" s="178"/>
      <c r="BX1477" s="196"/>
      <c r="BY1477" s="196"/>
      <c r="BZ1477" s="196"/>
      <c r="CA1477" s="196"/>
      <c r="CB1477" s="178"/>
      <c r="CC1477" s="178"/>
      <c r="CD1477" s="202"/>
      <c r="CE1477" s="202"/>
      <c r="CF1477" s="178"/>
      <c r="CG1477" s="196"/>
      <c r="CH1477" s="178"/>
      <c r="CI1477" s="178"/>
      <c r="CJ1477" s="178"/>
      <c r="CK1477" s="178"/>
      <c r="CL1477" s="178"/>
      <c r="CM1477" s="178"/>
      <c r="CN1477" s="178"/>
      <c r="CO1477" s="178"/>
      <c r="CP1477" s="178"/>
      <c r="CQ1477" s="178"/>
      <c r="CR1477" s="178"/>
      <c r="CS1477" s="178"/>
      <c r="CT1477" s="178"/>
      <c r="CU1477" s="178"/>
      <c r="CV1477" s="178"/>
      <c r="CW1477" s="178"/>
      <c r="CX1477" s="178"/>
      <c r="CY1477" s="178"/>
      <c r="CZ1477" s="178"/>
      <c r="DA1477" s="150"/>
    </row>
    <row r="1478" spans="53:105" x14ac:dyDescent="0.2">
      <c r="BA1478" s="518">
        <f t="shared" ca="1" si="82"/>
        <v>61</v>
      </c>
      <c r="BB1478" s="174">
        <f t="shared" ca="1" si="83"/>
        <v>1415</v>
      </c>
      <c r="BC1478" s="525" t="e">
        <f ca="1">MATCH(BD1478,OFFSET(Pinlist!$A$2,BC1477*(BA1478=BA1477),0,$BM$23,1),0)+BC1477*(BA1478=BA1477)</f>
        <v>#N/A</v>
      </c>
      <c r="BD1478" s="167">
        <f t="shared" ca="1" si="84"/>
        <v>0</v>
      </c>
      <c r="BE1478" s="191" t="e">
        <f ca="1">(OFFSET(Pinlist!$E$1,BC1478,0)-$BN$16)*$BN$19</f>
        <v>#N/A</v>
      </c>
      <c r="BF1478" s="192" t="e">
        <f ca="1">(OFFSET(Pinlist!$F$1,BC1478,0)-$BO$16)*$BO$19</f>
        <v>#N/A</v>
      </c>
      <c r="BG1478" s="1098" t="str">
        <f ca="1">IF(LEFT(BD1478,2)="RF",OFFSET(Pinlist!$D$1,Chart!BC1478,0)&amp;"_"&amp;OFFSET(Pinlist!$G$1,Chart!BC1478,0),"")</f>
        <v/>
      </c>
      <c r="BH1478" s="1098"/>
      <c r="BI1478" s="178"/>
      <c r="BJ1478" s="178"/>
      <c r="BK1478" s="178"/>
      <c r="BL1478" s="178"/>
      <c r="BM1478" s="178"/>
      <c r="BN1478" s="178"/>
      <c r="BO1478" s="178"/>
      <c r="BP1478" s="178"/>
      <c r="BQ1478" s="196"/>
      <c r="BR1478" s="196"/>
      <c r="BS1478" s="196"/>
      <c r="BT1478" s="196"/>
      <c r="BU1478" s="196"/>
      <c r="BV1478" s="196"/>
      <c r="BW1478" s="178"/>
      <c r="BX1478" s="196"/>
      <c r="BY1478" s="196"/>
      <c r="BZ1478" s="196"/>
      <c r="CA1478" s="196"/>
      <c r="CB1478" s="178"/>
      <c r="CC1478" s="178"/>
      <c r="CD1478" s="202"/>
      <c r="CE1478" s="202"/>
      <c r="CF1478" s="178"/>
      <c r="CG1478" s="196"/>
      <c r="CH1478" s="178"/>
      <c r="CI1478" s="178"/>
      <c r="CJ1478" s="178"/>
      <c r="CK1478" s="178"/>
      <c r="CL1478" s="178"/>
      <c r="CM1478" s="178"/>
      <c r="CN1478" s="178"/>
      <c r="CO1478" s="178"/>
      <c r="CP1478" s="178"/>
      <c r="CQ1478" s="178"/>
      <c r="CR1478" s="178"/>
      <c r="CS1478" s="178"/>
      <c r="CT1478" s="178"/>
      <c r="CU1478" s="178"/>
      <c r="CV1478" s="178"/>
      <c r="CW1478" s="178"/>
      <c r="CX1478" s="178"/>
      <c r="CY1478" s="178"/>
      <c r="CZ1478" s="178"/>
      <c r="DA1478" s="150"/>
    </row>
    <row r="1479" spans="53:105" x14ac:dyDescent="0.2">
      <c r="BA1479" s="518">
        <f t="shared" ca="1" si="82"/>
        <v>61</v>
      </c>
      <c r="BB1479" s="174">
        <f t="shared" ca="1" si="83"/>
        <v>1416</v>
      </c>
      <c r="BC1479" s="525" t="e">
        <f ca="1">MATCH(BD1479,OFFSET(Pinlist!$A$2,BC1478*(BA1479=BA1478),0,$BM$23,1),0)+BC1478*(BA1479=BA1478)</f>
        <v>#N/A</v>
      </c>
      <c r="BD1479" s="167">
        <f t="shared" ca="1" si="84"/>
        <v>0</v>
      </c>
      <c r="BE1479" s="191" t="e">
        <f ca="1">(OFFSET(Pinlist!$E$1,BC1479,0)-$BN$16)*$BN$19</f>
        <v>#N/A</v>
      </c>
      <c r="BF1479" s="192" t="e">
        <f ca="1">(OFFSET(Pinlist!$F$1,BC1479,0)-$BO$16)*$BO$19</f>
        <v>#N/A</v>
      </c>
      <c r="BG1479" s="1098" t="str">
        <f ca="1">IF(LEFT(BD1479,2)="RF",OFFSET(Pinlist!$D$1,Chart!BC1479,0)&amp;"_"&amp;OFFSET(Pinlist!$G$1,Chart!BC1479,0),"")</f>
        <v/>
      </c>
      <c r="BH1479" s="1098"/>
      <c r="BI1479" s="178"/>
      <c r="BJ1479" s="178"/>
      <c r="BK1479" s="178"/>
      <c r="BL1479" s="178"/>
      <c r="BM1479" s="178"/>
      <c r="BN1479" s="178"/>
      <c r="BO1479" s="178"/>
      <c r="BP1479" s="178"/>
      <c r="BQ1479" s="196"/>
      <c r="BR1479" s="196"/>
      <c r="BS1479" s="196"/>
      <c r="BT1479" s="196"/>
      <c r="BU1479" s="196"/>
      <c r="BV1479" s="196"/>
      <c r="BW1479" s="178"/>
      <c r="BX1479" s="196"/>
      <c r="BY1479" s="196"/>
      <c r="BZ1479" s="196"/>
      <c r="CA1479" s="196"/>
      <c r="CB1479" s="178"/>
      <c r="CC1479" s="178"/>
      <c r="CD1479" s="202"/>
      <c r="CE1479" s="202"/>
      <c r="CF1479" s="178"/>
      <c r="CG1479" s="196"/>
      <c r="CH1479" s="178"/>
      <c r="CI1479" s="178"/>
      <c r="CJ1479" s="178"/>
      <c r="CK1479" s="178"/>
      <c r="CL1479" s="178"/>
      <c r="CM1479" s="178"/>
      <c r="CN1479" s="178"/>
      <c r="CO1479" s="178"/>
      <c r="CP1479" s="178"/>
      <c r="CQ1479" s="178"/>
      <c r="CR1479" s="178"/>
      <c r="CS1479" s="178"/>
      <c r="CT1479" s="178"/>
      <c r="CU1479" s="178"/>
      <c r="CV1479" s="178"/>
      <c r="CW1479" s="178"/>
      <c r="CX1479" s="178"/>
      <c r="CY1479" s="178"/>
      <c r="CZ1479" s="178"/>
      <c r="DA1479" s="150"/>
    </row>
    <row r="1480" spans="53:105" x14ac:dyDescent="0.2">
      <c r="BA1480" s="518">
        <f t="shared" ca="1" si="82"/>
        <v>61</v>
      </c>
      <c r="BB1480" s="174">
        <f t="shared" ca="1" si="83"/>
        <v>1417</v>
      </c>
      <c r="BC1480" s="525" t="e">
        <f ca="1">MATCH(BD1480,OFFSET(Pinlist!$A$2,BC1479*(BA1480=BA1479),0,$BM$23,1),0)+BC1479*(BA1480=BA1479)</f>
        <v>#N/A</v>
      </c>
      <c r="BD1480" s="167">
        <f t="shared" ca="1" si="84"/>
        <v>0</v>
      </c>
      <c r="BE1480" s="191" t="e">
        <f ca="1">(OFFSET(Pinlist!$E$1,BC1480,0)-$BN$16)*$BN$19</f>
        <v>#N/A</v>
      </c>
      <c r="BF1480" s="192" t="e">
        <f ca="1">(OFFSET(Pinlist!$F$1,BC1480,0)-$BO$16)*$BO$19</f>
        <v>#N/A</v>
      </c>
      <c r="BG1480" s="1098" t="str">
        <f ca="1">IF(LEFT(BD1480,2)="RF",OFFSET(Pinlist!$D$1,Chart!BC1480,0)&amp;"_"&amp;OFFSET(Pinlist!$G$1,Chart!BC1480,0),"")</f>
        <v/>
      </c>
      <c r="BH1480" s="1098"/>
      <c r="BI1480" s="178"/>
      <c r="BJ1480" s="178"/>
      <c r="BK1480" s="178"/>
      <c r="BL1480" s="178"/>
      <c r="BM1480" s="178"/>
      <c r="BN1480" s="178"/>
      <c r="BO1480" s="178"/>
      <c r="BP1480" s="178"/>
      <c r="BQ1480" s="196"/>
      <c r="BR1480" s="196"/>
      <c r="BS1480" s="196"/>
      <c r="BT1480" s="196"/>
      <c r="BU1480" s="196"/>
      <c r="BV1480" s="196"/>
      <c r="BW1480" s="178"/>
      <c r="BX1480" s="196"/>
      <c r="BY1480" s="196"/>
      <c r="BZ1480" s="196"/>
      <c r="CA1480" s="196"/>
      <c r="CB1480" s="178"/>
      <c r="CC1480" s="178"/>
      <c r="CD1480" s="202"/>
      <c r="CE1480" s="202"/>
      <c r="CF1480" s="178"/>
      <c r="CG1480" s="196"/>
      <c r="CH1480" s="178"/>
      <c r="CI1480" s="178"/>
      <c r="CJ1480" s="178"/>
      <c r="CK1480" s="178"/>
      <c r="CL1480" s="178"/>
      <c r="CM1480" s="178"/>
      <c r="CN1480" s="178"/>
      <c r="CO1480" s="178"/>
      <c r="CP1480" s="178"/>
      <c r="CQ1480" s="178"/>
      <c r="CR1480" s="178"/>
      <c r="CS1480" s="178"/>
      <c r="CT1480" s="178"/>
      <c r="CU1480" s="178"/>
      <c r="CV1480" s="178"/>
      <c r="CW1480" s="178"/>
      <c r="CX1480" s="178"/>
      <c r="CY1480" s="178"/>
      <c r="CZ1480" s="178"/>
      <c r="DA1480" s="150"/>
    </row>
    <row r="1481" spans="53:105" x14ac:dyDescent="0.2">
      <c r="BA1481" s="518">
        <f t="shared" ca="1" si="82"/>
        <v>61</v>
      </c>
      <c r="BB1481" s="174">
        <f t="shared" ca="1" si="83"/>
        <v>1418</v>
      </c>
      <c r="BC1481" s="525" t="e">
        <f ca="1">MATCH(BD1481,OFFSET(Pinlist!$A$2,BC1480*(BA1481=BA1480),0,$BM$23,1),0)+BC1480*(BA1481=BA1480)</f>
        <v>#N/A</v>
      </c>
      <c r="BD1481" s="167">
        <f t="shared" ca="1" si="84"/>
        <v>0</v>
      </c>
      <c r="BE1481" s="191" t="e">
        <f ca="1">(OFFSET(Pinlist!$E$1,BC1481,0)-$BN$16)*$BN$19</f>
        <v>#N/A</v>
      </c>
      <c r="BF1481" s="192" t="e">
        <f ca="1">(OFFSET(Pinlist!$F$1,BC1481,0)-$BO$16)*$BO$19</f>
        <v>#N/A</v>
      </c>
      <c r="BG1481" s="1098" t="str">
        <f ca="1">IF(LEFT(BD1481,2)="RF",OFFSET(Pinlist!$D$1,Chart!BC1481,0)&amp;"_"&amp;OFFSET(Pinlist!$G$1,Chart!BC1481,0),"")</f>
        <v/>
      </c>
      <c r="BH1481" s="1098"/>
      <c r="BI1481" s="178"/>
      <c r="BJ1481" s="178"/>
      <c r="BK1481" s="178"/>
      <c r="BL1481" s="178"/>
      <c r="BM1481" s="178"/>
      <c r="BN1481" s="178"/>
      <c r="BO1481" s="178"/>
      <c r="BP1481" s="178"/>
      <c r="BQ1481" s="196"/>
      <c r="BR1481" s="196"/>
      <c r="BS1481" s="196"/>
      <c r="BT1481" s="196"/>
      <c r="BU1481" s="196"/>
      <c r="BV1481" s="196"/>
      <c r="BW1481" s="178"/>
      <c r="BX1481" s="196"/>
      <c r="BY1481" s="196"/>
      <c r="BZ1481" s="196"/>
      <c r="CA1481" s="196"/>
      <c r="CB1481" s="178"/>
      <c r="CC1481" s="178"/>
      <c r="CD1481" s="202"/>
      <c r="CE1481" s="202"/>
      <c r="CF1481" s="178"/>
      <c r="CG1481" s="196"/>
      <c r="CH1481" s="178"/>
      <c r="CI1481" s="178"/>
      <c r="CJ1481" s="178"/>
      <c r="CK1481" s="178"/>
      <c r="CL1481" s="178"/>
      <c r="CM1481" s="178"/>
      <c r="CN1481" s="178"/>
      <c r="CO1481" s="178"/>
      <c r="CP1481" s="178"/>
      <c r="CQ1481" s="178"/>
      <c r="CR1481" s="178"/>
      <c r="CS1481" s="178"/>
      <c r="CT1481" s="178"/>
      <c r="CU1481" s="178"/>
      <c r="CV1481" s="178"/>
      <c r="CW1481" s="178"/>
      <c r="CX1481" s="178"/>
      <c r="CY1481" s="178"/>
      <c r="CZ1481" s="178"/>
      <c r="DA1481" s="150"/>
    </row>
    <row r="1482" spans="53:105" x14ac:dyDescent="0.2">
      <c r="BA1482" s="518">
        <f t="shared" ca="1" si="82"/>
        <v>61</v>
      </c>
      <c r="BB1482" s="174">
        <f t="shared" ca="1" si="83"/>
        <v>1419</v>
      </c>
      <c r="BC1482" s="525" t="e">
        <f ca="1">MATCH(BD1482,OFFSET(Pinlist!$A$2,BC1481*(BA1482=BA1481),0,$BM$23,1),0)+BC1481*(BA1482=BA1481)</f>
        <v>#N/A</v>
      </c>
      <c r="BD1482" s="167">
        <f t="shared" ca="1" si="84"/>
        <v>0</v>
      </c>
      <c r="BE1482" s="191" t="e">
        <f ca="1">(OFFSET(Pinlist!$E$1,BC1482,0)-$BN$16)*$BN$19</f>
        <v>#N/A</v>
      </c>
      <c r="BF1482" s="192" t="e">
        <f ca="1">(OFFSET(Pinlist!$F$1,BC1482,0)-$BO$16)*$BO$19</f>
        <v>#N/A</v>
      </c>
      <c r="BG1482" s="1098" t="str">
        <f ca="1">IF(LEFT(BD1482,2)="RF",OFFSET(Pinlist!$D$1,Chart!BC1482,0)&amp;"_"&amp;OFFSET(Pinlist!$G$1,Chart!BC1482,0),"")</f>
        <v/>
      </c>
      <c r="BH1482" s="1098"/>
      <c r="BI1482" s="178"/>
      <c r="BJ1482" s="178"/>
      <c r="BK1482" s="178"/>
      <c r="BL1482" s="178"/>
      <c r="BM1482" s="178"/>
      <c r="BN1482" s="178"/>
      <c r="BO1482" s="178"/>
      <c r="BP1482" s="178"/>
      <c r="BQ1482" s="196"/>
      <c r="BR1482" s="196"/>
      <c r="BS1482" s="196"/>
      <c r="BT1482" s="196"/>
      <c r="BU1482" s="196"/>
      <c r="BV1482" s="196"/>
      <c r="BW1482" s="178"/>
      <c r="BX1482" s="196"/>
      <c r="BY1482" s="196"/>
      <c r="BZ1482" s="196"/>
      <c r="CA1482" s="196"/>
      <c r="CB1482" s="178"/>
      <c r="CC1482" s="178"/>
      <c r="CD1482" s="202"/>
      <c r="CE1482" s="202"/>
      <c r="CF1482" s="178"/>
      <c r="CG1482" s="196"/>
      <c r="CH1482" s="178"/>
      <c r="CI1482" s="178"/>
      <c r="CJ1482" s="178"/>
      <c r="CK1482" s="178"/>
      <c r="CL1482" s="178"/>
      <c r="CM1482" s="178"/>
      <c r="CN1482" s="178"/>
      <c r="CO1482" s="178"/>
      <c r="CP1482" s="178"/>
      <c r="CQ1482" s="178"/>
      <c r="CR1482" s="178"/>
      <c r="CS1482" s="178"/>
      <c r="CT1482" s="178"/>
      <c r="CU1482" s="178"/>
      <c r="CV1482" s="178"/>
      <c r="CW1482" s="178"/>
      <c r="CX1482" s="178"/>
      <c r="CY1482" s="178"/>
      <c r="CZ1482" s="178"/>
      <c r="DA1482" s="150"/>
    </row>
    <row r="1483" spans="53:105" x14ac:dyDescent="0.2">
      <c r="BA1483" s="518">
        <f t="shared" ca="1" si="82"/>
        <v>61</v>
      </c>
      <c r="BB1483" s="174">
        <f t="shared" ca="1" si="83"/>
        <v>1420</v>
      </c>
      <c r="BC1483" s="525" t="e">
        <f ca="1">MATCH(BD1483,OFFSET(Pinlist!$A$2,BC1482*(BA1483=BA1482),0,$BM$23,1),0)+BC1482*(BA1483=BA1482)</f>
        <v>#N/A</v>
      </c>
      <c r="BD1483" s="167">
        <f t="shared" ca="1" si="84"/>
        <v>0</v>
      </c>
      <c r="BE1483" s="191" t="e">
        <f ca="1">(OFFSET(Pinlist!$E$1,BC1483,0)-$BN$16)*$BN$19</f>
        <v>#N/A</v>
      </c>
      <c r="BF1483" s="192" t="e">
        <f ca="1">(OFFSET(Pinlist!$F$1,BC1483,0)-$BO$16)*$BO$19</f>
        <v>#N/A</v>
      </c>
      <c r="BG1483" s="1098" t="str">
        <f ca="1">IF(LEFT(BD1483,2)="RF",OFFSET(Pinlist!$D$1,Chart!BC1483,0)&amp;"_"&amp;OFFSET(Pinlist!$G$1,Chart!BC1483,0),"")</f>
        <v/>
      </c>
      <c r="BH1483" s="1098"/>
      <c r="BI1483" s="178"/>
      <c r="BJ1483" s="178"/>
      <c r="BK1483" s="178"/>
      <c r="BL1483" s="178"/>
      <c r="BM1483" s="178"/>
      <c r="BN1483" s="178"/>
      <c r="BO1483" s="178"/>
      <c r="BP1483" s="178"/>
      <c r="BQ1483" s="196"/>
      <c r="BR1483" s="196"/>
      <c r="BS1483" s="196"/>
      <c r="BT1483" s="196"/>
      <c r="BU1483" s="196"/>
      <c r="BV1483" s="196"/>
      <c r="BW1483" s="178"/>
      <c r="BX1483" s="196"/>
      <c r="BY1483" s="196"/>
      <c r="BZ1483" s="196"/>
      <c r="CA1483" s="196"/>
      <c r="CB1483" s="178"/>
      <c r="CC1483" s="178"/>
      <c r="CD1483" s="202"/>
      <c r="CE1483" s="202"/>
      <c r="CF1483" s="178"/>
      <c r="CG1483" s="196"/>
      <c r="CH1483" s="178"/>
      <c r="CI1483" s="178"/>
      <c r="CJ1483" s="178"/>
      <c r="CK1483" s="178"/>
      <c r="CL1483" s="178"/>
      <c r="CM1483" s="178"/>
      <c r="CN1483" s="178"/>
      <c r="CO1483" s="178"/>
      <c r="CP1483" s="178"/>
      <c r="CQ1483" s="178"/>
      <c r="CR1483" s="178"/>
      <c r="CS1483" s="178"/>
      <c r="CT1483" s="178"/>
      <c r="CU1483" s="178"/>
      <c r="CV1483" s="178"/>
      <c r="CW1483" s="178"/>
      <c r="CX1483" s="178"/>
      <c r="CY1483" s="178"/>
      <c r="CZ1483" s="178"/>
      <c r="DA1483" s="150"/>
    </row>
    <row r="1484" spans="53:105" x14ac:dyDescent="0.2">
      <c r="BA1484" s="518">
        <f t="shared" ca="1" si="82"/>
        <v>61</v>
      </c>
      <c r="BB1484" s="174">
        <f t="shared" ca="1" si="83"/>
        <v>1421</v>
      </c>
      <c r="BC1484" s="525" t="e">
        <f ca="1">MATCH(BD1484,OFFSET(Pinlist!$A$2,BC1483*(BA1484=BA1483),0,$BM$23,1),0)+BC1483*(BA1484=BA1483)</f>
        <v>#N/A</v>
      </c>
      <c r="BD1484" s="167">
        <f t="shared" ca="1" si="84"/>
        <v>0</v>
      </c>
      <c r="BE1484" s="191" t="e">
        <f ca="1">(OFFSET(Pinlist!$E$1,BC1484,0)-$BN$16)*$BN$19</f>
        <v>#N/A</v>
      </c>
      <c r="BF1484" s="192" t="e">
        <f ca="1">(OFFSET(Pinlist!$F$1,BC1484,0)-$BO$16)*$BO$19</f>
        <v>#N/A</v>
      </c>
      <c r="BG1484" s="1098" t="str">
        <f ca="1">IF(LEFT(BD1484,2)="RF",OFFSET(Pinlist!$D$1,Chart!BC1484,0)&amp;"_"&amp;OFFSET(Pinlist!$G$1,Chart!BC1484,0),"")</f>
        <v/>
      </c>
      <c r="BH1484" s="1098"/>
      <c r="BI1484" s="178"/>
      <c r="BJ1484" s="178"/>
      <c r="BK1484" s="178"/>
      <c r="BL1484" s="178"/>
      <c r="BM1484" s="178"/>
      <c r="BN1484" s="178"/>
      <c r="BO1484" s="178"/>
      <c r="BP1484" s="178"/>
      <c r="BQ1484" s="196"/>
      <c r="BR1484" s="196"/>
      <c r="BS1484" s="196"/>
      <c r="BT1484" s="196"/>
      <c r="BU1484" s="196"/>
      <c r="BV1484" s="196"/>
      <c r="BW1484" s="178"/>
      <c r="BX1484" s="196"/>
      <c r="BY1484" s="196"/>
      <c r="BZ1484" s="196"/>
      <c r="CA1484" s="196"/>
      <c r="CB1484" s="178"/>
      <c r="CC1484" s="178"/>
      <c r="CD1484" s="202"/>
      <c r="CE1484" s="202"/>
      <c r="CF1484" s="178"/>
      <c r="CG1484" s="196"/>
      <c r="CH1484" s="178"/>
      <c r="CI1484" s="178"/>
      <c r="CJ1484" s="178"/>
      <c r="CK1484" s="178"/>
      <c r="CL1484" s="178"/>
      <c r="CM1484" s="178"/>
      <c r="CN1484" s="178"/>
      <c r="CO1484" s="178"/>
      <c r="CP1484" s="178"/>
      <c r="CQ1484" s="178"/>
      <c r="CR1484" s="178"/>
      <c r="CS1484" s="178"/>
      <c r="CT1484" s="178"/>
      <c r="CU1484" s="178"/>
      <c r="CV1484" s="178"/>
      <c r="CW1484" s="178"/>
      <c r="CX1484" s="178"/>
      <c r="CY1484" s="178"/>
      <c r="CZ1484" s="178"/>
      <c r="DA1484" s="150"/>
    </row>
    <row r="1485" spans="53:105" x14ac:dyDescent="0.2">
      <c r="BA1485" s="518">
        <f t="shared" ca="1" si="82"/>
        <v>61</v>
      </c>
      <c r="BB1485" s="174">
        <f t="shared" ca="1" si="83"/>
        <v>1422</v>
      </c>
      <c r="BC1485" s="525" t="e">
        <f ca="1">MATCH(BD1485,OFFSET(Pinlist!$A$2,BC1484*(BA1485=BA1484),0,$BM$23,1),0)+BC1484*(BA1485=BA1484)</f>
        <v>#N/A</v>
      </c>
      <c r="BD1485" s="167">
        <f t="shared" ca="1" si="84"/>
        <v>0</v>
      </c>
      <c r="BE1485" s="191" t="e">
        <f ca="1">(OFFSET(Pinlist!$E$1,BC1485,0)-$BN$16)*$BN$19</f>
        <v>#N/A</v>
      </c>
      <c r="BF1485" s="192" t="e">
        <f ca="1">(OFFSET(Pinlist!$F$1,BC1485,0)-$BO$16)*$BO$19</f>
        <v>#N/A</v>
      </c>
      <c r="BG1485" s="1098" t="str">
        <f ca="1">IF(LEFT(BD1485,2)="RF",OFFSET(Pinlist!$D$1,Chart!BC1485,0)&amp;"_"&amp;OFFSET(Pinlist!$G$1,Chart!BC1485,0),"")</f>
        <v/>
      </c>
      <c r="BH1485" s="1098"/>
      <c r="BI1485" s="178"/>
      <c r="BJ1485" s="178"/>
      <c r="BK1485" s="178"/>
      <c r="BL1485" s="178"/>
      <c r="BM1485" s="178"/>
      <c r="BN1485" s="178"/>
      <c r="BO1485" s="178"/>
      <c r="BP1485" s="178"/>
      <c r="BQ1485" s="196"/>
      <c r="BR1485" s="196"/>
      <c r="BS1485" s="196"/>
      <c r="BT1485" s="196"/>
      <c r="BU1485" s="196"/>
      <c r="BV1485" s="196"/>
      <c r="BW1485" s="178"/>
      <c r="BX1485" s="196"/>
      <c r="BY1485" s="196"/>
      <c r="BZ1485" s="196"/>
      <c r="CA1485" s="196"/>
      <c r="CB1485" s="178"/>
      <c r="CC1485" s="178"/>
      <c r="CD1485" s="202"/>
      <c r="CE1485" s="202"/>
      <c r="CF1485" s="178"/>
      <c r="CG1485" s="196"/>
      <c r="CH1485" s="178"/>
      <c r="CI1485" s="178"/>
      <c r="CJ1485" s="178"/>
      <c r="CK1485" s="178"/>
      <c r="CL1485" s="178"/>
      <c r="CM1485" s="178"/>
      <c r="CN1485" s="178"/>
      <c r="CO1485" s="178"/>
      <c r="CP1485" s="178"/>
      <c r="CQ1485" s="178"/>
      <c r="CR1485" s="178"/>
      <c r="CS1485" s="178"/>
      <c r="CT1485" s="178"/>
      <c r="CU1485" s="178"/>
      <c r="CV1485" s="178"/>
      <c r="CW1485" s="178"/>
      <c r="CX1485" s="178"/>
      <c r="CY1485" s="178"/>
      <c r="CZ1485" s="178"/>
      <c r="DA1485" s="150"/>
    </row>
    <row r="1486" spans="53:105" x14ac:dyDescent="0.2">
      <c r="BA1486" s="518">
        <f t="shared" ca="1" si="82"/>
        <v>61</v>
      </c>
      <c r="BB1486" s="174">
        <f t="shared" ca="1" si="83"/>
        <v>1423</v>
      </c>
      <c r="BC1486" s="525" t="e">
        <f ca="1">MATCH(BD1486,OFFSET(Pinlist!$A$2,BC1485*(BA1486=BA1485),0,$BM$23,1),0)+BC1485*(BA1486=BA1485)</f>
        <v>#N/A</v>
      </c>
      <c r="BD1486" s="167">
        <f t="shared" ca="1" si="84"/>
        <v>0</v>
      </c>
      <c r="BE1486" s="191" t="e">
        <f ca="1">(OFFSET(Pinlist!$E$1,BC1486,0)-$BN$16)*$BN$19</f>
        <v>#N/A</v>
      </c>
      <c r="BF1486" s="192" t="e">
        <f ca="1">(OFFSET(Pinlist!$F$1,BC1486,0)-$BO$16)*$BO$19</f>
        <v>#N/A</v>
      </c>
      <c r="BG1486" s="1098" t="str">
        <f ca="1">IF(LEFT(BD1486,2)="RF",OFFSET(Pinlist!$D$1,Chart!BC1486,0)&amp;"_"&amp;OFFSET(Pinlist!$G$1,Chart!BC1486,0),"")</f>
        <v/>
      </c>
      <c r="BH1486" s="1098"/>
      <c r="BI1486" s="178"/>
      <c r="BJ1486" s="178"/>
      <c r="BK1486" s="178"/>
      <c r="BL1486" s="178"/>
      <c r="BM1486" s="178"/>
      <c r="BN1486" s="178"/>
      <c r="BO1486" s="178"/>
      <c r="BP1486" s="178"/>
      <c r="BQ1486" s="196"/>
      <c r="BR1486" s="196"/>
      <c r="BS1486" s="196"/>
      <c r="BT1486" s="196"/>
      <c r="BU1486" s="196"/>
      <c r="BV1486" s="196"/>
      <c r="BW1486" s="178"/>
      <c r="BX1486" s="196"/>
      <c r="BY1486" s="196"/>
      <c r="BZ1486" s="196"/>
      <c r="CA1486" s="196"/>
      <c r="CB1486" s="178"/>
      <c r="CC1486" s="178"/>
      <c r="CD1486" s="202"/>
      <c r="CE1486" s="202"/>
      <c r="CF1486" s="178"/>
      <c r="CG1486" s="196"/>
      <c r="CH1486" s="178"/>
      <c r="CI1486" s="178"/>
      <c r="CJ1486" s="178"/>
      <c r="CK1486" s="178"/>
      <c r="CL1486" s="178"/>
      <c r="CM1486" s="178"/>
      <c r="CN1486" s="178"/>
      <c r="CO1486" s="178"/>
      <c r="CP1486" s="178"/>
      <c r="CQ1486" s="178"/>
      <c r="CR1486" s="178"/>
      <c r="CS1486" s="178"/>
      <c r="CT1486" s="178"/>
      <c r="CU1486" s="178"/>
      <c r="CV1486" s="178"/>
      <c r="CW1486" s="178"/>
      <c r="CX1486" s="178"/>
      <c r="CY1486" s="178"/>
      <c r="CZ1486" s="178"/>
      <c r="DA1486" s="150"/>
    </row>
    <row r="1487" spans="53:105" x14ac:dyDescent="0.2">
      <c r="BA1487" s="518">
        <f t="shared" ca="1" si="82"/>
        <v>61</v>
      </c>
      <c r="BB1487" s="174">
        <f t="shared" ca="1" si="83"/>
        <v>1424</v>
      </c>
      <c r="BC1487" s="525" t="e">
        <f ca="1">MATCH(BD1487,OFFSET(Pinlist!$A$2,BC1486*(BA1487=BA1486),0,$BM$23,1),0)+BC1486*(BA1487=BA1486)</f>
        <v>#N/A</v>
      </c>
      <c r="BD1487" s="167">
        <f t="shared" ca="1" si="84"/>
        <v>0</v>
      </c>
      <c r="BE1487" s="191" t="e">
        <f ca="1">(OFFSET(Pinlist!$E$1,BC1487,0)-$BN$16)*$BN$19</f>
        <v>#N/A</v>
      </c>
      <c r="BF1487" s="192" t="e">
        <f ca="1">(OFFSET(Pinlist!$F$1,BC1487,0)-$BO$16)*$BO$19</f>
        <v>#N/A</v>
      </c>
      <c r="BG1487" s="1098" t="str">
        <f ca="1">IF(LEFT(BD1487,2)="RF",OFFSET(Pinlist!$D$1,Chart!BC1487,0)&amp;"_"&amp;OFFSET(Pinlist!$G$1,Chart!BC1487,0),"")</f>
        <v/>
      </c>
      <c r="BH1487" s="1098"/>
      <c r="BI1487" s="178"/>
      <c r="BJ1487" s="178"/>
      <c r="BK1487" s="178"/>
      <c r="BL1487" s="178"/>
      <c r="BM1487" s="178"/>
      <c r="BN1487" s="178"/>
      <c r="BO1487" s="178"/>
      <c r="BP1487" s="178"/>
      <c r="BQ1487" s="196"/>
      <c r="BR1487" s="196"/>
      <c r="BS1487" s="196"/>
      <c r="BT1487" s="196"/>
      <c r="BU1487" s="196"/>
      <c r="BV1487" s="196"/>
      <c r="BW1487" s="178"/>
      <c r="BX1487" s="196"/>
      <c r="BY1487" s="196"/>
      <c r="BZ1487" s="196"/>
      <c r="CA1487" s="196"/>
      <c r="CB1487" s="178"/>
      <c r="CC1487" s="178"/>
      <c r="CD1487" s="202"/>
      <c r="CE1487" s="202"/>
      <c r="CF1487" s="178"/>
      <c r="CG1487" s="196"/>
      <c r="CH1487" s="178"/>
      <c r="CI1487" s="178"/>
      <c r="CJ1487" s="178"/>
      <c r="CK1487" s="178"/>
      <c r="CL1487" s="178"/>
      <c r="CM1487" s="178"/>
      <c r="CN1487" s="178"/>
      <c r="CO1487" s="178"/>
      <c r="CP1487" s="178"/>
      <c r="CQ1487" s="178"/>
      <c r="CR1487" s="178"/>
      <c r="CS1487" s="178"/>
      <c r="CT1487" s="178"/>
      <c r="CU1487" s="178"/>
      <c r="CV1487" s="178"/>
      <c r="CW1487" s="178"/>
      <c r="CX1487" s="178"/>
      <c r="CY1487" s="178"/>
      <c r="CZ1487" s="178"/>
      <c r="DA1487" s="150"/>
    </row>
    <row r="1488" spans="53:105" x14ac:dyDescent="0.2">
      <c r="BA1488" s="518">
        <f t="shared" ca="1" si="82"/>
        <v>61</v>
      </c>
      <c r="BB1488" s="174">
        <f t="shared" ca="1" si="83"/>
        <v>1425</v>
      </c>
      <c r="BC1488" s="525" t="e">
        <f ca="1">MATCH(BD1488,OFFSET(Pinlist!$A$2,BC1487*(BA1488=BA1487),0,$BM$23,1),0)+BC1487*(BA1488=BA1487)</f>
        <v>#N/A</v>
      </c>
      <c r="BD1488" s="167">
        <f t="shared" ca="1" si="84"/>
        <v>0</v>
      </c>
      <c r="BE1488" s="191" t="e">
        <f ca="1">(OFFSET(Pinlist!$E$1,BC1488,0)-$BN$16)*$BN$19</f>
        <v>#N/A</v>
      </c>
      <c r="BF1488" s="192" t="e">
        <f ca="1">(OFFSET(Pinlist!$F$1,BC1488,0)-$BO$16)*$BO$19</f>
        <v>#N/A</v>
      </c>
      <c r="BG1488" s="1098" t="str">
        <f ca="1">IF(LEFT(BD1488,2)="RF",OFFSET(Pinlist!$D$1,Chart!BC1488,0)&amp;"_"&amp;OFFSET(Pinlist!$G$1,Chart!BC1488,0),"")</f>
        <v/>
      </c>
      <c r="BH1488" s="1098"/>
      <c r="BI1488" s="178"/>
      <c r="BJ1488" s="178"/>
      <c r="BK1488" s="178"/>
      <c r="BL1488" s="178"/>
      <c r="BM1488" s="178"/>
      <c r="BN1488" s="178"/>
      <c r="BO1488" s="178"/>
      <c r="BP1488" s="178"/>
      <c r="BQ1488" s="196"/>
      <c r="BR1488" s="196"/>
      <c r="BS1488" s="196"/>
      <c r="BT1488" s="196"/>
      <c r="BU1488" s="196"/>
      <c r="BV1488" s="196"/>
      <c r="BW1488" s="178"/>
      <c r="BX1488" s="196"/>
      <c r="BY1488" s="196"/>
      <c r="BZ1488" s="196"/>
      <c r="CA1488" s="196"/>
      <c r="CB1488" s="178"/>
      <c r="CC1488" s="178"/>
      <c r="CD1488" s="202"/>
      <c r="CE1488" s="202"/>
      <c r="CF1488" s="178"/>
      <c r="CG1488" s="196"/>
      <c r="CH1488" s="178"/>
      <c r="CI1488" s="178"/>
      <c r="CJ1488" s="178"/>
      <c r="CK1488" s="178"/>
      <c r="CL1488" s="178"/>
      <c r="CM1488" s="178"/>
      <c r="CN1488" s="178"/>
      <c r="CO1488" s="178"/>
      <c r="CP1488" s="178"/>
      <c r="CQ1488" s="178"/>
      <c r="CR1488" s="178"/>
      <c r="CS1488" s="178"/>
      <c r="CT1488" s="178"/>
      <c r="CU1488" s="178"/>
      <c r="CV1488" s="178"/>
      <c r="CW1488" s="178"/>
      <c r="CX1488" s="178"/>
      <c r="CY1488" s="178"/>
      <c r="CZ1488" s="178"/>
      <c r="DA1488" s="150"/>
    </row>
    <row r="1489" spans="53:105" x14ac:dyDescent="0.2">
      <c r="BA1489" s="518">
        <f t="shared" ca="1" si="82"/>
        <v>61</v>
      </c>
      <c r="BB1489" s="174">
        <f t="shared" ca="1" si="83"/>
        <v>1426</v>
      </c>
      <c r="BC1489" s="525" t="e">
        <f ca="1">MATCH(BD1489,OFFSET(Pinlist!$A$2,BC1488*(BA1489=BA1488),0,$BM$23,1),0)+BC1488*(BA1489=BA1488)</f>
        <v>#N/A</v>
      </c>
      <c r="BD1489" s="167">
        <f t="shared" ca="1" si="84"/>
        <v>0</v>
      </c>
      <c r="BE1489" s="191" t="e">
        <f ca="1">(OFFSET(Pinlist!$E$1,BC1489,0)-$BN$16)*$BN$19</f>
        <v>#N/A</v>
      </c>
      <c r="BF1489" s="192" t="e">
        <f ca="1">(OFFSET(Pinlist!$F$1,BC1489,0)-$BO$16)*$BO$19</f>
        <v>#N/A</v>
      </c>
      <c r="BG1489" s="1098" t="str">
        <f ca="1">IF(LEFT(BD1489,2)="RF",OFFSET(Pinlist!$D$1,Chart!BC1489,0)&amp;"_"&amp;OFFSET(Pinlist!$G$1,Chart!BC1489,0),"")</f>
        <v/>
      </c>
      <c r="BH1489" s="1098"/>
      <c r="BI1489" s="178"/>
      <c r="BJ1489" s="178"/>
      <c r="BK1489" s="178"/>
      <c r="BL1489" s="178"/>
      <c r="BM1489" s="178"/>
      <c r="BN1489" s="178"/>
      <c r="BO1489" s="178"/>
      <c r="BP1489" s="178"/>
      <c r="BQ1489" s="196"/>
      <c r="BR1489" s="196"/>
      <c r="BS1489" s="196"/>
      <c r="BT1489" s="196"/>
      <c r="BU1489" s="196"/>
      <c r="BV1489" s="196"/>
      <c r="BW1489" s="178"/>
      <c r="BX1489" s="196"/>
      <c r="BY1489" s="196"/>
      <c r="BZ1489" s="196"/>
      <c r="CA1489" s="196"/>
      <c r="CB1489" s="178"/>
      <c r="CC1489" s="178"/>
      <c r="CD1489" s="202"/>
      <c r="CE1489" s="202"/>
      <c r="CF1489" s="178"/>
      <c r="CG1489" s="196"/>
      <c r="CH1489" s="178"/>
      <c r="CI1489" s="178"/>
      <c r="CJ1489" s="178"/>
      <c r="CK1489" s="178"/>
      <c r="CL1489" s="178"/>
      <c r="CM1489" s="178"/>
      <c r="CN1489" s="178"/>
      <c r="CO1489" s="178"/>
      <c r="CP1489" s="178"/>
      <c r="CQ1489" s="178"/>
      <c r="CR1489" s="178"/>
      <c r="CS1489" s="178"/>
      <c r="CT1489" s="178"/>
      <c r="CU1489" s="178"/>
      <c r="CV1489" s="178"/>
      <c r="CW1489" s="178"/>
      <c r="CX1489" s="178"/>
      <c r="CY1489" s="178"/>
      <c r="CZ1489" s="178"/>
      <c r="DA1489" s="150"/>
    </row>
    <row r="1490" spans="53:105" x14ac:dyDescent="0.2">
      <c r="BA1490" s="518">
        <f t="shared" ca="1" si="82"/>
        <v>61</v>
      </c>
      <c r="BB1490" s="174">
        <f t="shared" ca="1" si="83"/>
        <v>1427</v>
      </c>
      <c r="BC1490" s="525" t="e">
        <f ca="1">MATCH(BD1490,OFFSET(Pinlist!$A$2,BC1489*(BA1490=BA1489),0,$BM$23,1),0)+BC1489*(BA1490=BA1489)</f>
        <v>#N/A</v>
      </c>
      <c r="BD1490" s="167">
        <f t="shared" ca="1" si="84"/>
        <v>0</v>
      </c>
      <c r="BE1490" s="191" t="e">
        <f ca="1">(OFFSET(Pinlist!$E$1,BC1490,0)-$BN$16)*$BN$19</f>
        <v>#N/A</v>
      </c>
      <c r="BF1490" s="192" t="e">
        <f ca="1">(OFFSET(Pinlist!$F$1,BC1490,0)-$BO$16)*$BO$19</f>
        <v>#N/A</v>
      </c>
      <c r="BG1490" s="1098" t="str">
        <f ca="1">IF(LEFT(BD1490,2)="RF",OFFSET(Pinlist!$D$1,Chart!BC1490,0)&amp;"_"&amp;OFFSET(Pinlist!$G$1,Chart!BC1490,0),"")</f>
        <v/>
      </c>
      <c r="BH1490" s="1098"/>
      <c r="BI1490" s="178"/>
      <c r="BJ1490" s="178"/>
      <c r="BK1490" s="178"/>
      <c r="BL1490" s="178"/>
      <c r="BM1490" s="178"/>
      <c r="BN1490" s="178"/>
      <c r="BO1490" s="178"/>
      <c r="BP1490" s="178"/>
      <c r="BQ1490" s="196"/>
      <c r="BR1490" s="196"/>
      <c r="BS1490" s="196"/>
      <c r="BT1490" s="196"/>
      <c r="BU1490" s="196"/>
      <c r="BV1490" s="196"/>
      <c r="BW1490" s="178"/>
      <c r="BX1490" s="196"/>
      <c r="BY1490" s="196"/>
      <c r="BZ1490" s="196"/>
      <c r="CA1490" s="196"/>
      <c r="CB1490" s="178"/>
      <c r="CC1490" s="178"/>
      <c r="CD1490" s="202"/>
      <c r="CE1490" s="202"/>
      <c r="CF1490" s="178"/>
      <c r="CG1490" s="196"/>
      <c r="CH1490" s="178"/>
      <c r="CI1490" s="178"/>
      <c r="CJ1490" s="178"/>
      <c r="CK1490" s="178"/>
      <c r="CL1490" s="178"/>
      <c r="CM1490" s="178"/>
      <c r="CN1490" s="178"/>
      <c r="CO1490" s="178"/>
      <c r="CP1490" s="178"/>
      <c r="CQ1490" s="178"/>
      <c r="CR1490" s="178"/>
      <c r="CS1490" s="178"/>
      <c r="CT1490" s="178"/>
      <c r="CU1490" s="178"/>
      <c r="CV1490" s="178"/>
      <c r="CW1490" s="178"/>
      <c r="CX1490" s="178"/>
      <c r="CY1490" s="178"/>
      <c r="CZ1490" s="178"/>
      <c r="DA1490" s="150"/>
    </row>
    <row r="1491" spans="53:105" x14ac:dyDescent="0.2">
      <c r="BA1491" s="518">
        <f t="shared" ca="1" si="82"/>
        <v>61</v>
      </c>
      <c r="BB1491" s="174">
        <f t="shared" ca="1" si="83"/>
        <v>1428</v>
      </c>
      <c r="BC1491" s="525" t="e">
        <f ca="1">MATCH(BD1491,OFFSET(Pinlist!$A$2,BC1490*(BA1491=BA1490),0,$BM$23,1),0)+BC1490*(BA1491=BA1490)</f>
        <v>#N/A</v>
      </c>
      <c r="BD1491" s="167">
        <f t="shared" ca="1" si="84"/>
        <v>0</v>
      </c>
      <c r="BE1491" s="191" t="e">
        <f ca="1">(OFFSET(Pinlist!$E$1,BC1491,0)-$BN$16)*$BN$19</f>
        <v>#N/A</v>
      </c>
      <c r="BF1491" s="192" t="e">
        <f ca="1">(OFFSET(Pinlist!$F$1,BC1491,0)-$BO$16)*$BO$19</f>
        <v>#N/A</v>
      </c>
      <c r="BG1491" s="1098" t="str">
        <f ca="1">IF(LEFT(BD1491,2)="RF",OFFSET(Pinlist!$D$1,Chart!BC1491,0)&amp;"_"&amp;OFFSET(Pinlist!$G$1,Chart!BC1491,0),"")</f>
        <v/>
      </c>
      <c r="BH1491" s="1098"/>
      <c r="BI1491" s="178"/>
      <c r="BJ1491" s="178"/>
      <c r="BK1491" s="178"/>
      <c r="BL1491" s="178"/>
      <c r="BM1491" s="178"/>
      <c r="BN1491" s="178"/>
      <c r="BO1491" s="178"/>
      <c r="BP1491" s="178"/>
      <c r="BQ1491" s="196"/>
      <c r="BR1491" s="196"/>
      <c r="BS1491" s="196"/>
      <c r="BT1491" s="196"/>
      <c r="BU1491" s="196"/>
      <c r="BV1491" s="196"/>
      <c r="BW1491" s="178"/>
      <c r="BX1491" s="196"/>
      <c r="BY1491" s="196"/>
      <c r="BZ1491" s="196"/>
      <c r="CA1491" s="196"/>
      <c r="CB1491" s="178"/>
      <c r="CC1491" s="178"/>
      <c r="CD1491" s="202"/>
      <c r="CE1491" s="202"/>
      <c r="CF1491" s="178"/>
      <c r="CG1491" s="196"/>
      <c r="CH1491" s="178"/>
      <c r="CI1491" s="178"/>
      <c r="CJ1491" s="178"/>
      <c r="CK1491" s="178"/>
      <c r="CL1491" s="178"/>
      <c r="CM1491" s="178"/>
      <c r="CN1491" s="178"/>
      <c r="CO1491" s="178"/>
      <c r="CP1491" s="178"/>
      <c r="CQ1491" s="178"/>
      <c r="CR1491" s="178"/>
      <c r="CS1491" s="178"/>
      <c r="CT1491" s="178"/>
      <c r="CU1491" s="178"/>
      <c r="CV1491" s="178"/>
      <c r="CW1491" s="178"/>
      <c r="CX1491" s="178"/>
      <c r="CY1491" s="178"/>
      <c r="CZ1491" s="178"/>
      <c r="DA1491" s="150"/>
    </row>
    <row r="1492" spans="53:105" x14ac:dyDescent="0.2">
      <c r="BA1492" s="518">
        <f t="shared" ca="1" si="82"/>
        <v>61</v>
      </c>
      <c r="BB1492" s="174">
        <f t="shared" ca="1" si="83"/>
        <v>1429</v>
      </c>
      <c r="BC1492" s="525" t="e">
        <f ca="1">MATCH(BD1492,OFFSET(Pinlist!$A$2,BC1491*(BA1492=BA1491),0,$BM$23,1),0)+BC1491*(BA1492=BA1491)</f>
        <v>#N/A</v>
      </c>
      <c r="BD1492" s="167">
        <f t="shared" ca="1" si="84"/>
        <v>0</v>
      </c>
      <c r="BE1492" s="191" t="e">
        <f ca="1">(OFFSET(Pinlist!$E$1,BC1492,0)-$BN$16)*$BN$19</f>
        <v>#N/A</v>
      </c>
      <c r="BF1492" s="192" t="e">
        <f ca="1">(OFFSET(Pinlist!$F$1,BC1492,0)-$BO$16)*$BO$19</f>
        <v>#N/A</v>
      </c>
      <c r="BG1492" s="1098" t="str">
        <f ca="1">IF(LEFT(BD1492,2)="RF",OFFSET(Pinlist!$D$1,Chart!BC1492,0)&amp;"_"&amp;OFFSET(Pinlist!$G$1,Chart!BC1492,0),"")</f>
        <v/>
      </c>
      <c r="BH1492" s="1098"/>
      <c r="BI1492" s="178"/>
      <c r="BJ1492" s="178"/>
      <c r="BK1492" s="178"/>
      <c r="BL1492" s="178"/>
      <c r="BM1492" s="178"/>
      <c r="BN1492" s="178"/>
      <c r="BO1492" s="178"/>
      <c r="BP1492" s="178"/>
      <c r="BQ1492" s="196"/>
      <c r="BR1492" s="196"/>
      <c r="BS1492" s="196"/>
      <c r="BT1492" s="196"/>
      <c r="BU1492" s="196"/>
      <c r="BV1492" s="196"/>
      <c r="BW1492" s="178"/>
      <c r="BX1492" s="196"/>
      <c r="BY1492" s="196"/>
      <c r="BZ1492" s="196"/>
      <c r="CA1492" s="196"/>
      <c r="CB1492" s="178"/>
      <c r="CC1492" s="178"/>
      <c r="CD1492" s="202"/>
      <c r="CE1492" s="202"/>
      <c r="CF1492" s="178"/>
      <c r="CG1492" s="196"/>
      <c r="CH1492" s="178"/>
      <c r="CI1492" s="178"/>
      <c r="CJ1492" s="178"/>
      <c r="CK1492" s="178"/>
      <c r="CL1492" s="178"/>
      <c r="CM1492" s="178"/>
      <c r="CN1492" s="178"/>
      <c r="CO1492" s="178"/>
      <c r="CP1492" s="178"/>
      <c r="CQ1492" s="178"/>
      <c r="CR1492" s="178"/>
      <c r="CS1492" s="178"/>
      <c r="CT1492" s="178"/>
      <c r="CU1492" s="178"/>
      <c r="CV1492" s="178"/>
      <c r="CW1492" s="178"/>
      <c r="CX1492" s="178"/>
      <c r="CY1492" s="178"/>
      <c r="CZ1492" s="178"/>
      <c r="DA1492" s="150"/>
    </row>
    <row r="1493" spans="53:105" x14ac:dyDescent="0.2">
      <c r="BA1493" s="518">
        <f t="shared" ca="1" si="82"/>
        <v>61</v>
      </c>
      <c r="BB1493" s="174">
        <f t="shared" ca="1" si="83"/>
        <v>1430</v>
      </c>
      <c r="BC1493" s="525" t="e">
        <f ca="1">MATCH(BD1493,OFFSET(Pinlist!$A$2,BC1492*(BA1493=BA1492),0,$BM$23,1),0)+BC1492*(BA1493=BA1492)</f>
        <v>#N/A</v>
      </c>
      <c r="BD1493" s="167">
        <f t="shared" ca="1" si="84"/>
        <v>0</v>
      </c>
      <c r="BE1493" s="191" t="e">
        <f ca="1">(OFFSET(Pinlist!$E$1,BC1493,0)-$BN$16)*$BN$19</f>
        <v>#N/A</v>
      </c>
      <c r="BF1493" s="192" t="e">
        <f ca="1">(OFFSET(Pinlist!$F$1,BC1493,0)-$BO$16)*$BO$19</f>
        <v>#N/A</v>
      </c>
      <c r="BG1493" s="1098" t="str">
        <f ca="1">IF(LEFT(BD1493,2)="RF",OFFSET(Pinlist!$D$1,Chart!BC1493,0)&amp;"_"&amp;OFFSET(Pinlist!$G$1,Chart!BC1493,0),"")</f>
        <v/>
      </c>
      <c r="BH1493" s="1098"/>
      <c r="BI1493" s="178"/>
      <c r="BJ1493" s="178"/>
      <c r="BK1493" s="178"/>
      <c r="BL1493" s="178"/>
      <c r="BM1493" s="178"/>
      <c r="BN1493" s="178"/>
      <c r="BO1493" s="178"/>
      <c r="BP1493" s="178"/>
      <c r="BQ1493" s="196"/>
      <c r="BR1493" s="196"/>
      <c r="BS1493" s="196"/>
      <c r="BT1493" s="196"/>
      <c r="BU1493" s="196"/>
      <c r="BV1493" s="196"/>
      <c r="BW1493" s="178"/>
      <c r="BX1493" s="196"/>
      <c r="BY1493" s="196"/>
      <c r="BZ1493" s="196"/>
      <c r="CA1493" s="196"/>
      <c r="CB1493" s="178"/>
      <c r="CC1493" s="178"/>
      <c r="CD1493" s="202"/>
      <c r="CE1493" s="202"/>
      <c r="CF1493" s="178"/>
      <c r="CG1493" s="196"/>
      <c r="CH1493" s="178"/>
      <c r="CI1493" s="178"/>
      <c r="CJ1493" s="178"/>
      <c r="CK1493" s="178"/>
      <c r="CL1493" s="178"/>
      <c r="CM1493" s="178"/>
      <c r="CN1493" s="178"/>
      <c r="CO1493" s="178"/>
      <c r="CP1493" s="178"/>
      <c r="CQ1493" s="178"/>
      <c r="CR1493" s="178"/>
      <c r="CS1493" s="178"/>
      <c r="CT1493" s="178"/>
      <c r="CU1493" s="178"/>
      <c r="CV1493" s="178"/>
      <c r="CW1493" s="178"/>
      <c r="CX1493" s="178"/>
      <c r="CY1493" s="178"/>
      <c r="CZ1493" s="178"/>
      <c r="DA1493" s="150"/>
    </row>
    <row r="1494" spans="53:105" x14ac:dyDescent="0.2">
      <c r="BA1494" s="518">
        <f t="shared" ca="1" si="82"/>
        <v>61</v>
      </c>
      <c r="BB1494" s="174">
        <f t="shared" ca="1" si="83"/>
        <v>1431</v>
      </c>
      <c r="BC1494" s="525" t="e">
        <f ca="1">MATCH(BD1494,OFFSET(Pinlist!$A$2,BC1493*(BA1494=BA1493),0,$BM$23,1),0)+BC1493*(BA1494=BA1493)</f>
        <v>#N/A</v>
      </c>
      <c r="BD1494" s="167">
        <f t="shared" ca="1" si="84"/>
        <v>0</v>
      </c>
      <c r="BE1494" s="191" t="e">
        <f ca="1">(OFFSET(Pinlist!$E$1,BC1494,0)-$BN$16)*$BN$19</f>
        <v>#N/A</v>
      </c>
      <c r="BF1494" s="192" t="e">
        <f ca="1">(OFFSET(Pinlist!$F$1,BC1494,0)-$BO$16)*$BO$19</f>
        <v>#N/A</v>
      </c>
      <c r="BG1494" s="1098" t="str">
        <f ca="1">IF(LEFT(BD1494,2)="RF",OFFSET(Pinlist!$D$1,Chart!BC1494,0)&amp;"_"&amp;OFFSET(Pinlist!$G$1,Chart!BC1494,0),"")</f>
        <v/>
      </c>
      <c r="BH1494" s="1098"/>
      <c r="BI1494" s="178"/>
      <c r="BJ1494" s="178"/>
      <c r="BK1494" s="178"/>
      <c r="BL1494" s="178"/>
      <c r="BM1494" s="178"/>
      <c r="BN1494" s="178"/>
      <c r="BO1494" s="178"/>
      <c r="BP1494" s="178"/>
      <c r="BQ1494" s="196"/>
      <c r="BR1494" s="196"/>
      <c r="BS1494" s="196"/>
      <c r="BT1494" s="196"/>
      <c r="BU1494" s="196"/>
      <c r="BV1494" s="196"/>
      <c r="BW1494" s="178"/>
      <c r="BX1494" s="196"/>
      <c r="BY1494" s="196"/>
      <c r="BZ1494" s="196"/>
      <c r="CA1494" s="196"/>
      <c r="CB1494" s="178"/>
      <c r="CC1494" s="178"/>
      <c r="CD1494" s="202"/>
      <c r="CE1494" s="202"/>
      <c r="CF1494" s="178"/>
      <c r="CG1494" s="196"/>
      <c r="CH1494" s="178"/>
      <c r="CI1494" s="178"/>
      <c r="CJ1494" s="178"/>
      <c r="CK1494" s="178"/>
      <c r="CL1494" s="178"/>
      <c r="CM1494" s="178"/>
      <c r="CN1494" s="178"/>
      <c r="CO1494" s="178"/>
      <c r="CP1494" s="178"/>
      <c r="CQ1494" s="178"/>
      <c r="CR1494" s="178"/>
      <c r="CS1494" s="178"/>
      <c r="CT1494" s="178"/>
      <c r="CU1494" s="178"/>
      <c r="CV1494" s="178"/>
      <c r="CW1494" s="178"/>
      <c r="CX1494" s="178"/>
      <c r="CY1494" s="178"/>
      <c r="CZ1494" s="178"/>
      <c r="DA1494" s="150"/>
    </row>
    <row r="1495" spans="53:105" x14ac:dyDescent="0.2">
      <c r="BA1495" s="518">
        <f t="shared" ca="1" si="82"/>
        <v>61</v>
      </c>
      <c r="BB1495" s="174">
        <f t="shared" ca="1" si="83"/>
        <v>1432</v>
      </c>
      <c r="BC1495" s="525" t="e">
        <f ca="1">MATCH(BD1495,OFFSET(Pinlist!$A$2,BC1494*(BA1495=BA1494),0,$BM$23,1),0)+BC1494*(BA1495=BA1494)</f>
        <v>#N/A</v>
      </c>
      <c r="BD1495" s="167">
        <f t="shared" ca="1" si="84"/>
        <v>0</v>
      </c>
      <c r="BE1495" s="191" t="e">
        <f ca="1">(OFFSET(Pinlist!$E$1,BC1495,0)-$BN$16)*$BN$19</f>
        <v>#N/A</v>
      </c>
      <c r="BF1495" s="192" t="e">
        <f ca="1">(OFFSET(Pinlist!$F$1,BC1495,0)-$BO$16)*$BO$19</f>
        <v>#N/A</v>
      </c>
      <c r="BG1495" s="1098" t="str">
        <f ca="1">IF(LEFT(BD1495,2)="RF",OFFSET(Pinlist!$D$1,Chart!BC1495,0)&amp;"_"&amp;OFFSET(Pinlist!$G$1,Chart!BC1495,0),"")</f>
        <v/>
      </c>
      <c r="BH1495" s="1098"/>
      <c r="BI1495" s="178"/>
      <c r="BJ1495" s="178"/>
      <c r="BK1495" s="178"/>
      <c r="BL1495" s="178"/>
      <c r="BM1495" s="178"/>
      <c r="BN1495" s="178"/>
      <c r="BO1495" s="178"/>
      <c r="BP1495" s="178"/>
      <c r="BQ1495" s="196"/>
      <c r="BR1495" s="196"/>
      <c r="BS1495" s="196"/>
      <c r="BT1495" s="196"/>
      <c r="BU1495" s="196"/>
      <c r="BV1495" s="196"/>
      <c r="BW1495" s="178"/>
      <c r="BX1495" s="196"/>
      <c r="BY1495" s="196"/>
      <c r="BZ1495" s="196"/>
      <c r="CA1495" s="196"/>
      <c r="CB1495" s="178"/>
      <c r="CC1495" s="178"/>
      <c r="CD1495" s="202"/>
      <c r="CE1495" s="202"/>
      <c r="CF1495" s="178"/>
      <c r="CG1495" s="196"/>
      <c r="CH1495" s="178"/>
      <c r="CI1495" s="178"/>
      <c r="CJ1495" s="178"/>
      <c r="CK1495" s="178"/>
      <c r="CL1495" s="178"/>
      <c r="CM1495" s="178"/>
      <c r="CN1495" s="178"/>
      <c r="CO1495" s="178"/>
      <c r="CP1495" s="178"/>
      <c r="CQ1495" s="178"/>
      <c r="CR1495" s="178"/>
      <c r="CS1495" s="178"/>
      <c r="CT1495" s="178"/>
      <c r="CU1495" s="178"/>
      <c r="CV1495" s="178"/>
      <c r="CW1495" s="178"/>
      <c r="CX1495" s="178"/>
      <c r="CY1495" s="178"/>
      <c r="CZ1495" s="178"/>
      <c r="DA1495" s="150"/>
    </row>
    <row r="1496" spans="53:105" x14ac:dyDescent="0.2">
      <c r="BA1496" s="518">
        <f t="shared" ca="1" si="82"/>
        <v>61</v>
      </c>
      <c r="BB1496" s="174">
        <f t="shared" ca="1" si="83"/>
        <v>1433</v>
      </c>
      <c r="BC1496" s="525" t="e">
        <f ca="1">MATCH(BD1496,OFFSET(Pinlist!$A$2,BC1495*(BA1496=BA1495),0,$BM$23,1),0)+BC1495*(BA1496=BA1495)</f>
        <v>#N/A</v>
      </c>
      <c r="BD1496" s="167">
        <f t="shared" ca="1" si="84"/>
        <v>0</v>
      </c>
      <c r="BE1496" s="191" t="e">
        <f ca="1">(OFFSET(Pinlist!$E$1,BC1496,0)-$BN$16)*$BN$19</f>
        <v>#N/A</v>
      </c>
      <c r="BF1496" s="192" t="e">
        <f ca="1">(OFFSET(Pinlist!$F$1,BC1496,0)-$BO$16)*$BO$19</f>
        <v>#N/A</v>
      </c>
      <c r="BG1496" s="1098" t="str">
        <f ca="1">IF(LEFT(BD1496,2)="RF",OFFSET(Pinlist!$D$1,Chart!BC1496,0)&amp;"_"&amp;OFFSET(Pinlist!$G$1,Chart!BC1496,0),"")</f>
        <v/>
      </c>
      <c r="BH1496" s="1098"/>
      <c r="BI1496" s="178"/>
      <c r="BJ1496" s="178"/>
      <c r="BK1496" s="178"/>
      <c r="BL1496" s="178"/>
      <c r="BM1496" s="178"/>
      <c r="BN1496" s="178"/>
      <c r="BO1496" s="178"/>
      <c r="BP1496" s="178"/>
      <c r="BQ1496" s="196"/>
      <c r="BR1496" s="196"/>
      <c r="BS1496" s="196"/>
      <c r="BT1496" s="196"/>
      <c r="BU1496" s="196"/>
      <c r="BV1496" s="196"/>
      <c r="BW1496" s="178"/>
      <c r="BX1496" s="196"/>
      <c r="BY1496" s="196"/>
      <c r="BZ1496" s="196"/>
      <c r="CA1496" s="196"/>
      <c r="CB1496" s="178"/>
      <c r="CC1496" s="178"/>
      <c r="CD1496" s="202"/>
      <c r="CE1496" s="202"/>
      <c r="CF1496" s="178"/>
      <c r="CG1496" s="196"/>
      <c r="CH1496" s="178"/>
      <c r="CI1496" s="178"/>
      <c r="CJ1496" s="178"/>
      <c r="CK1496" s="178"/>
      <c r="CL1496" s="178"/>
      <c r="CM1496" s="178"/>
      <c r="CN1496" s="178"/>
      <c r="CO1496" s="178"/>
      <c r="CP1496" s="178"/>
      <c r="CQ1496" s="178"/>
      <c r="CR1496" s="178"/>
      <c r="CS1496" s="178"/>
      <c r="CT1496" s="178"/>
      <c r="CU1496" s="178"/>
      <c r="CV1496" s="178"/>
      <c r="CW1496" s="178"/>
      <c r="CX1496" s="178"/>
      <c r="CY1496" s="178"/>
      <c r="CZ1496" s="178"/>
      <c r="DA1496" s="150"/>
    </row>
    <row r="1497" spans="53:105" x14ac:dyDescent="0.2">
      <c r="BA1497" s="518">
        <f t="shared" ca="1" si="82"/>
        <v>61</v>
      </c>
      <c r="BB1497" s="174">
        <f t="shared" ca="1" si="83"/>
        <v>1434</v>
      </c>
      <c r="BC1497" s="525" t="e">
        <f ca="1">MATCH(BD1497,OFFSET(Pinlist!$A$2,BC1496*(BA1497=BA1496),0,$BM$23,1),0)+BC1496*(BA1497=BA1496)</f>
        <v>#N/A</v>
      </c>
      <c r="BD1497" s="167">
        <f t="shared" ca="1" si="84"/>
        <v>0</v>
      </c>
      <c r="BE1497" s="191" t="e">
        <f ca="1">(OFFSET(Pinlist!$E$1,BC1497,0)-$BN$16)*$BN$19</f>
        <v>#N/A</v>
      </c>
      <c r="BF1497" s="192" t="e">
        <f ca="1">(OFFSET(Pinlist!$F$1,BC1497,0)-$BO$16)*$BO$19</f>
        <v>#N/A</v>
      </c>
      <c r="BG1497" s="1098" t="str">
        <f ca="1">IF(LEFT(BD1497,2)="RF",OFFSET(Pinlist!$D$1,Chart!BC1497,0)&amp;"_"&amp;OFFSET(Pinlist!$G$1,Chart!BC1497,0),"")</f>
        <v/>
      </c>
      <c r="BH1497" s="1098"/>
      <c r="BI1497" s="178"/>
      <c r="BJ1497" s="178"/>
      <c r="BK1497" s="178"/>
      <c r="BL1497" s="178"/>
      <c r="BM1497" s="178"/>
      <c r="BN1497" s="178"/>
      <c r="BO1497" s="178"/>
      <c r="BP1497" s="178"/>
      <c r="BQ1497" s="196"/>
      <c r="BR1497" s="196"/>
      <c r="BS1497" s="196"/>
      <c r="BT1497" s="196"/>
      <c r="BU1497" s="196"/>
      <c r="BV1497" s="196"/>
      <c r="BW1497" s="178"/>
      <c r="BX1497" s="196"/>
      <c r="BY1497" s="196"/>
      <c r="BZ1497" s="196"/>
      <c r="CA1497" s="196"/>
      <c r="CB1497" s="178"/>
      <c r="CC1497" s="178"/>
      <c r="CD1497" s="202"/>
      <c r="CE1497" s="202"/>
      <c r="CF1497" s="178"/>
      <c r="CG1497" s="196"/>
      <c r="CH1497" s="178"/>
      <c r="CI1497" s="178"/>
      <c r="CJ1497" s="178"/>
      <c r="CK1497" s="178"/>
      <c r="CL1497" s="178"/>
      <c r="CM1497" s="178"/>
      <c r="CN1497" s="178"/>
      <c r="CO1497" s="178"/>
      <c r="CP1497" s="178"/>
      <c r="CQ1497" s="178"/>
      <c r="CR1497" s="178"/>
      <c r="CS1497" s="178"/>
      <c r="CT1497" s="178"/>
      <c r="CU1497" s="178"/>
      <c r="CV1497" s="178"/>
      <c r="CW1497" s="178"/>
      <c r="CX1497" s="178"/>
      <c r="CY1497" s="178"/>
      <c r="CZ1497" s="178"/>
      <c r="DA1497" s="150"/>
    </row>
    <row r="1498" spans="53:105" x14ac:dyDescent="0.2">
      <c r="BA1498" s="518">
        <f t="shared" ca="1" si="82"/>
        <v>61</v>
      </c>
      <c r="BB1498" s="174">
        <f t="shared" ca="1" si="83"/>
        <v>1435</v>
      </c>
      <c r="BC1498" s="525" t="e">
        <f ca="1">MATCH(BD1498,OFFSET(Pinlist!$A$2,BC1497*(BA1498=BA1497),0,$BM$23,1),0)+BC1497*(BA1498=BA1497)</f>
        <v>#N/A</v>
      </c>
      <c r="BD1498" s="167">
        <f t="shared" ca="1" si="84"/>
        <v>0</v>
      </c>
      <c r="BE1498" s="191" t="e">
        <f ca="1">(OFFSET(Pinlist!$E$1,BC1498,0)-$BN$16)*$BN$19</f>
        <v>#N/A</v>
      </c>
      <c r="BF1498" s="192" t="e">
        <f ca="1">(OFFSET(Pinlist!$F$1,BC1498,0)-$BO$16)*$BO$19</f>
        <v>#N/A</v>
      </c>
      <c r="BG1498" s="1098" t="str">
        <f ca="1">IF(LEFT(BD1498,2)="RF",OFFSET(Pinlist!$D$1,Chart!BC1498,0)&amp;"_"&amp;OFFSET(Pinlist!$G$1,Chart!BC1498,0),"")</f>
        <v/>
      </c>
      <c r="BH1498" s="1098"/>
      <c r="BI1498" s="178"/>
      <c r="BJ1498" s="178"/>
      <c r="BK1498" s="178"/>
      <c r="BL1498" s="178"/>
      <c r="BM1498" s="178"/>
      <c r="BN1498" s="178"/>
      <c r="BO1498" s="178"/>
      <c r="BP1498" s="178"/>
      <c r="BQ1498" s="196"/>
      <c r="BR1498" s="196"/>
      <c r="BS1498" s="196"/>
      <c r="BT1498" s="196"/>
      <c r="BU1498" s="196"/>
      <c r="BV1498" s="196"/>
      <c r="BW1498" s="178"/>
      <c r="BX1498" s="196"/>
      <c r="BY1498" s="196"/>
      <c r="BZ1498" s="196"/>
      <c r="CA1498" s="196"/>
      <c r="CB1498" s="178"/>
      <c r="CC1498" s="178"/>
      <c r="CD1498" s="202"/>
      <c r="CE1498" s="202"/>
      <c r="CF1498" s="178"/>
      <c r="CG1498" s="196"/>
      <c r="CH1498" s="178"/>
      <c r="CI1498" s="178"/>
      <c r="CJ1498" s="178"/>
      <c r="CK1498" s="178"/>
      <c r="CL1498" s="178"/>
      <c r="CM1498" s="178"/>
      <c r="CN1498" s="178"/>
      <c r="CO1498" s="178"/>
      <c r="CP1498" s="178"/>
      <c r="CQ1498" s="178"/>
      <c r="CR1498" s="178"/>
      <c r="CS1498" s="178"/>
      <c r="CT1498" s="178"/>
      <c r="CU1498" s="178"/>
      <c r="CV1498" s="178"/>
      <c r="CW1498" s="178"/>
      <c r="CX1498" s="178"/>
      <c r="CY1498" s="178"/>
      <c r="CZ1498" s="178"/>
      <c r="DA1498" s="150"/>
    </row>
    <row r="1499" spans="53:105" x14ac:dyDescent="0.2">
      <c r="BA1499" s="518">
        <f t="shared" ca="1" si="82"/>
        <v>61</v>
      </c>
      <c r="BB1499" s="174">
        <f t="shared" ca="1" si="83"/>
        <v>1436</v>
      </c>
      <c r="BC1499" s="525" t="e">
        <f ca="1">MATCH(BD1499,OFFSET(Pinlist!$A$2,BC1498*(BA1499=BA1498),0,$BM$23,1),0)+BC1498*(BA1499=BA1498)</f>
        <v>#N/A</v>
      </c>
      <c r="BD1499" s="167">
        <f t="shared" ca="1" si="84"/>
        <v>0</v>
      </c>
      <c r="BE1499" s="191" t="e">
        <f ca="1">(OFFSET(Pinlist!$E$1,BC1499,0)-$BN$16)*$BN$19</f>
        <v>#N/A</v>
      </c>
      <c r="BF1499" s="192" t="e">
        <f ca="1">(OFFSET(Pinlist!$F$1,BC1499,0)-$BO$16)*$BO$19</f>
        <v>#N/A</v>
      </c>
      <c r="BG1499" s="1098" t="str">
        <f ca="1">IF(LEFT(BD1499,2)="RF",OFFSET(Pinlist!$D$1,Chart!BC1499,0)&amp;"_"&amp;OFFSET(Pinlist!$G$1,Chart!BC1499,0),"")</f>
        <v/>
      </c>
      <c r="BH1499" s="1098"/>
      <c r="BI1499" s="178"/>
      <c r="BJ1499" s="178"/>
      <c r="BK1499" s="178"/>
      <c r="BL1499" s="178"/>
      <c r="BM1499" s="178"/>
      <c r="BN1499" s="178"/>
      <c r="BO1499" s="178"/>
      <c r="BP1499" s="178"/>
      <c r="BQ1499" s="196"/>
      <c r="BR1499" s="196"/>
      <c r="BS1499" s="196"/>
      <c r="BT1499" s="196"/>
      <c r="BU1499" s="196"/>
      <c r="BV1499" s="196"/>
      <c r="BW1499" s="178"/>
      <c r="BX1499" s="196"/>
      <c r="BY1499" s="196"/>
      <c r="BZ1499" s="196"/>
      <c r="CA1499" s="196"/>
      <c r="CB1499" s="178"/>
      <c r="CC1499" s="178"/>
      <c r="CD1499" s="202"/>
      <c r="CE1499" s="202"/>
      <c r="CF1499" s="178"/>
      <c r="CG1499" s="196"/>
      <c r="CH1499" s="178"/>
      <c r="CI1499" s="178"/>
      <c r="CJ1499" s="178"/>
      <c r="CK1499" s="178"/>
      <c r="CL1499" s="178"/>
      <c r="CM1499" s="178"/>
      <c r="CN1499" s="178"/>
      <c r="CO1499" s="178"/>
      <c r="CP1499" s="178"/>
      <c r="CQ1499" s="178"/>
      <c r="CR1499" s="178"/>
      <c r="CS1499" s="178"/>
      <c r="CT1499" s="178"/>
      <c r="CU1499" s="178"/>
      <c r="CV1499" s="178"/>
      <c r="CW1499" s="178"/>
      <c r="CX1499" s="178"/>
      <c r="CY1499" s="178"/>
      <c r="CZ1499" s="178"/>
      <c r="DA1499" s="150"/>
    </row>
    <row r="1500" spans="53:105" x14ac:dyDescent="0.2">
      <c r="BA1500" s="518">
        <f t="shared" ca="1" si="82"/>
        <v>61</v>
      </c>
      <c r="BB1500" s="174">
        <f t="shared" ca="1" si="83"/>
        <v>1437</v>
      </c>
      <c r="BC1500" s="525" t="e">
        <f ca="1">MATCH(BD1500,OFFSET(Pinlist!$A$2,BC1499*(BA1500=BA1499),0,$BM$23,1),0)+BC1499*(BA1500=BA1499)</f>
        <v>#N/A</v>
      </c>
      <c r="BD1500" s="167">
        <f t="shared" ca="1" si="84"/>
        <v>0</v>
      </c>
      <c r="BE1500" s="191" t="e">
        <f ca="1">(OFFSET(Pinlist!$E$1,BC1500,0)-$BN$16)*$BN$19</f>
        <v>#N/A</v>
      </c>
      <c r="BF1500" s="192" t="e">
        <f ca="1">(OFFSET(Pinlist!$F$1,BC1500,0)-$BO$16)*$BO$19</f>
        <v>#N/A</v>
      </c>
      <c r="BG1500" s="1098" t="str">
        <f ca="1">IF(LEFT(BD1500,2)="RF",OFFSET(Pinlist!$D$1,Chart!BC1500,0)&amp;"_"&amp;OFFSET(Pinlist!$G$1,Chart!BC1500,0),"")</f>
        <v/>
      </c>
      <c r="BH1500" s="1098"/>
      <c r="BI1500" s="178"/>
      <c r="BJ1500" s="178"/>
      <c r="BK1500" s="178"/>
      <c r="BL1500" s="178"/>
      <c r="BM1500" s="178"/>
      <c r="BN1500" s="178"/>
      <c r="BO1500" s="178"/>
      <c r="BP1500" s="178"/>
      <c r="BQ1500" s="196"/>
      <c r="BR1500" s="196"/>
      <c r="BS1500" s="196"/>
      <c r="BT1500" s="196"/>
      <c r="BU1500" s="196"/>
      <c r="BV1500" s="196"/>
      <c r="BW1500" s="178"/>
      <c r="BX1500" s="196"/>
      <c r="BY1500" s="196"/>
      <c r="BZ1500" s="196"/>
      <c r="CA1500" s="196"/>
      <c r="CB1500" s="178"/>
      <c r="CC1500" s="178"/>
      <c r="CD1500" s="202"/>
      <c r="CE1500" s="202"/>
      <c r="CF1500" s="178"/>
      <c r="CG1500" s="196"/>
      <c r="CH1500" s="178"/>
      <c r="CI1500" s="178"/>
      <c r="CJ1500" s="178"/>
      <c r="CK1500" s="178"/>
      <c r="CL1500" s="178"/>
      <c r="CM1500" s="178"/>
      <c r="CN1500" s="178"/>
      <c r="CO1500" s="178"/>
      <c r="CP1500" s="178"/>
      <c r="CQ1500" s="178"/>
      <c r="CR1500" s="178"/>
      <c r="CS1500" s="178"/>
      <c r="CT1500" s="178"/>
      <c r="CU1500" s="178"/>
      <c r="CV1500" s="178"/>
      <c r="CW1500" s="178"/>
      <c r="CX1500" s="178"/>
      <c r="CY1500" s="178"/>
      <c r="CZ1500" s="178"/>
      <c r="DA1500" s="150"/>
    </row>
    <row r="1501" spans="53:105" x14ac:dyDescent="0.2">
      <c r="BA1501" s="518">
        <f t="shared" ca="1" si="82"/>
        <v>61</v>
      </c>
      <c r="BB1501" s="174">
        <f t="shared" ca="1" si="83"/>
        <v>1438</v>
      </c>
      <c r="BC1501" s="525" t="e">
        <f ca="1">MATCH(BD1501,OFFSET(Pinlist!$A$2,BC1500*(BA1501=BA1500),0,$BM$23,1),0)+BC1500*(BA1501=BA1500)</f>
        <v>#N/A</v>
      </c>
      <c r="BD1501" s="167">
        <f t="shared" ca="1" si="84"/>
        <v>0</v>
      </c>
      <c r="BE1501" s="191" t="e">
        <f ca="1">(OFFSET(Pinlist!$E$1,BC1501,0)-$BN$16)*$BN$19</f>
        <v>#N/A</v>
      </c>
      <c r="BF1501" s="192" t="e">
        <f ca="1">(OFFSET(Pinlist!$F$1,BC1501,0)-$BO$16)*$BO$19</f>
        <v>#N/A</v>
      </c>
      <c r="BG1501" s="1098" t="str">
        <f ca="1">IF(LEFT(BD1501,2)="RF",OFFSET(Pinlist!$D$1,Chart!BC1501,0)&amp;"_"&amp;OFFSET(Pinlist!$G$1,Chart!BC1501,0),"")</f>
        <v/>
      </c>
      <c r="BH1501" s="1098"/>
      <c r="BI1501" s="178"/>
      <c r="BJ1501" s="178"/>
      <c r="BK1501" s="178"/>
      <c r="BL1501" s="178"/>
      <c r="BM1501" s="178"/>
      <c r="BN1501" s="178"/>
      <c r="BO1501" s="178"/>
      <c r="BP1501" s="178"/>
      <c r="BQ1501" s="196"/>
      <c r="BR1501" s="196"/>
      <c r="BS1501" s="196"/>
      <c r="BT1501" s="196"/>
      <c r="BU1501" s="196"/>
      <c r="BV1501" s="196"/>
      <c r="BW1501" s="178"/>
      <c r="BX1501" s="196"/>
      <c r="BY1501" s="196"/>
      <c r="BZ1501" s="196"/>
      <c r="CA1501" s="196"/>
      <c r="CB1501" s="178"/>
      <c r="CC1501" s="178"/>
      <c r="CD1501" s="202"/>
      <c r="CE1501" s="202"/>
      <c r="CF1501" s="178"/>
      <c r="CG1501" s="196"/>
      <c r="CH1501" s="178"/>
      <c r="CI1501" s="178"/>
      <c r="CJ1501" s="178"/>
      <c r="CK1501" s="178"/>
      <c r="CL1501" s="178"/>
      <c r="CM1501" s="178"/>
      <c r="CN1501" s="178"/>
      <c r="CO1501" s="178"/>
      <c r="CP1501" s="178"/>
      <c r="CQ1501" s="178"/>
      <c r="CR1501" s="178"/>
      <c r="CS1501" s="178"/>
      <c r="CT1501" s="178"/>
      <c r="CU1501" s="178"/>
      <c r="CV1501" s="178"/>
      <c r="CW1501" s="178"/>
      <c r="CX1501" s="178"/>
      <c r="CY1501" s="178"/>
      <c r="CZ1501" s="178"/>
      <c r="DA1501" s="150"/>
    </row>
    <row r="1502" spans="53:105" x14ac:dyDescent="0.2">
      <c r="BA1502" s="518">
        <f t="shared" ca="1" si="82"/>
        <v>61</v>
      </c>
      <c r="BB1502" s="174">
        <f t="shared" ca="1" si="83"/>
        <v>1439</v>
      </c>
      <c r="BC1502" s="525" t="e">
        <f ca="1">MATCH(BD1502,OFFSET(Pinlist!$A$2,BC1501*(BA1502=BA1501),0,$BM$23,1),0)+BC1501*(BA1502=BA1501)</f>
        <v>#N/A</v>
      </c>
      <c r="BD1502" s="167">
        <f t="shared" ca="1" si="84"/>
        <v>0</v>
      </c>
      <c r="BE1502" s="191" t="e">
        <f ca="1">(OFFSET(Pinlist!$E$1,BC1502,0)-$BN$16)*$BN$19</f>
        <v>#N/A</v>
      </c>
      <c r="BF1502" s="192" t="e">
        <f ca="1">(OFFSET(Pinlist!$F$1,BC1502,0)-$BO$16)*$BO$19</f>
        <v>#N/A</v>
      </c>
      <c r="BG1502" s="1098" t="str">
        <f ca="1">IF(LEFT(BD1502,2)="RF",OFFSET(Pinlist!$D$1,Chart!BC1502,0)&amp;"_"&amp;OFFSET(Pinlist!$G$1,Chart!BC1502,0),"")</f>
        <v/>
      </c>
      <c r="BH1502" s="1098"/>
      <c r="BI1502" s="178"/>
      <c r="BJ1502" s="178"/>
      <c r="BK1502" s="178"/>
      <c r="BL1502" s="178"/>
      <c r="BM1502" s="178"/>
      <c r="BN1502" s="178"/>
      <c r="BO1502" s="178"/>
      <c r="BP1502" s="178"/>
      <c r="BQ1502" s="196"/>
      <c r="BR1502" s="196"/>
      <c r="BS1502" s="196"/>
      <c r="BT1502" s="196"/>
      <c r="BU1502" s="196"/>
      <c r="BV1502" s="196"/>
      <c r="BW1502" s="178"/>
      <c r="BX1502" s="196"/>
      <c r="BY1502" s="196"/>
      <c r="BZ1502" s="196"/>
      <c r="CA1502" s="196"/>
      <c r="CB1502" s="178"/>
      <c r="CC1502" s="178"/>
      <c r="CD1502" s="202"/>
      <c r="CE1502" s="202"/>
      <c r="CF1502" s="178"/>
      <c r="CG1502" s="196"/>
      <c r="CH1502" s="178"/>
      <c r="CI1502" s="178"/>
      <c r="CJ1502" s="178"/>
      <c r="CK1502" s="178"/>
      <c r="CL1502" s="178"/>
      <c r="CM1502" s="178"/>
      <c r="CN1502" s="178"/>
      <c r="CO1502" s="178"/>
      <c r="CP1502" s="178"/>
      <c r="CQ1502" s="178"/>
      <c r="CR1502" s="178"/>
      <c r="CS1502" s="178"/>
      <c r="CT1502" s="178"/>
      <c r="CU1502" s="178"/>
      <c r="CV1502" s="178"/>
      <c r="CW1502" s="178"/>
      <c r="CX1502" s="178"/>
      <c r="CY1502" s="178"/>
      <c r="CZ1502" s="178"/>
      <c r="DA1502" s="150"/>
    </row>
    <row r="1503" spans="53:105" x14ac:dyDescent="0.2">
      <c r="BA1503" s="518">
        <f t="shared" ca="1" si="82"/>
        <v>61</v>
      </c>
      <c r="BB1503" s="174">
        <f t="shared" ca="1" si="83"/>
        <v>1440</v>
      </c>
      <c r="BC1503" s="525" t="e">
        <f ca="1">MATCH(BD1503,OFFSET(Pinlist!$A$2,BC1502*(BA1503=BA1502),0,$BM$23,1),0)+BC1502*(BA1503=BA1502)</f>
        <v>#N/A</v>
      </c>
      <c r="BD1503" s="167">
        <f t="shared" ca="1" si="84"/>
        <v>0</v>
      </c>
      <c r="BE1503" s="191" t="e">
        <f ca="1">(OFFSET(Pinlist!$E$1,BC1503,0)-$BN$16)*$BN$19</f>
        <v>#N/A</v>
      </c>
      <c r="BF1503" s="192" t="e">
        <f ca="1">(OFFSET(Pinlist!$F$1,BC1503,0)-$BO$16)*$BO$19</f>
        <v>#N/A</v>
      </c>
      <c r="BG1503" s="1098" t="str">
        <f ca="1">IF(LEFT(BD1503,2)="RF",OFFSET(Pinlist!$D$1,Chart!BC1503,0)&amp;"_"&amp;OFFSET(Pinlist!$G$1,Chart!BC1503,0),"")</f>
        <v/>
      </c>
      <c r="BH1503" s="1098"/>
      <c r="BI1503" s="178"/>
      <c r="BJ1503" s="178"/>
      <c r="BK1503" s="178"/>
      <c r="BL1503" s="178"/>
      <c r="BM1503" s="178"/>
      <c r="BN1503" s="178"/>
      <c r="BO1503" s="178"/>
      <c r="BP1503" s="178"/>
      <c r="BQ1503" s="196"/>
      <c r="BR1503" s="196"/>
      <c r="BS1503" s="196"/>
      <c r="BT1503" s="196"/>
      <c r="BU1503" s="196"/>
      <c r="BV1503" s="196"/>
      <c r="BW1503" s="178"/>
      <c r="BX1503" s="196"/>
      <c r="BY1503" s="196"/>
      <c r="BZ1503" s="196"/>
      <c r="CA1503" s="196"/>
      <c r="CB1503" s="178"/>
      <c r="CC1503" s="178"/>
      <c r="CD1503" s="202"/>
      <c r="CE1503" s="202"/>
      <c r="CF1503" s="178"/>
      <c r="CG1503" s="196"/>
      <c r="CH1503" s="178"/>
      <c r="CI1503" s="178"/>
      <c r="CJ1503" s="178"/>
      <c r="CK1503" s="178"/>
      <c r="CL1503" s="178"/>
      <c r="CM1503" s="178"/>
      <c r="CN1503" s="178"/>
      <c r="CO1503" s="178"/>
      <c r="CP1503" s="178"/>
      <c r="CQ1503" s="178"/>
      <c r="CR1503" s="178"/>
      <c r="CS1503" s="178"/>
      <c r="CT1503" s="178"/>
      <c r="CU1503" s="178"/>
      <c r="CV1503" s="178"/>
      <c r="CW1503" s="178"/>
      <c r="CX1503" s="178"/>
      <c r="CY1503" s="178"/>
      <c r="CZ1503" s="178"/>
      <c r="DA1503" s="150"/>
    </row>
    <row r="1504" spans="53:105" x14ac:dyDescent="0.2">
      <c r="BA1504" s="518">
        <f t="shared" ca="1" si="82"/>
        <v>61</v>
      </c>
      <c r="BB1504" s="174">
        <f t="shared" ca="1" si="83"/>
        <v>1441</v>
      </c>
      <c r="BC1504" s="525" t="e">
        <f ca="1">MATCH(BD1504,OFFSET(Pinlist!$A$2,BC1503*(BA1504=BA1503),0,$BM$23,1),0)+BC1503*(BA1504=BA1503)</f>
        <v>#N/A</v>
      </c>
      <c r="BD1504" s="167">
        <f t="shared" ca="1" si="84"/>
        <v>0</v>
      </c>
      <c r="BE1504" s="191" t="e">
        <f ca="1">(OFFSET(Pinlist!$E$1,BC1504,0)-$BN$16)*$BN$19</f>
        <v>#N/A</v>
      </c>
      <c r="BF1504" s="192" t="e">
        <f ca="1">(OFFSET(Pinlist!$F$1,BC1504,0)-$BO$16)*$BO$19</f>
        <v>#N/A</v>
      </c>
      <c r="BG1504" s="1098" t="str">
        <f ca="1">IF(LEFT(BD1504,2)="RF",OFFSET(Pinlist!$D$1,Chart!BC1504,0)&amp;"_"&amp;OFFSET(Pinlist!$G$1,Chart!BC1504,0),"")</f>
        <v/>
      </c>
      <c r="BH1504" s="1098"/>
      <c r="BI1504" s="178"/>
      <c r="BJ1504" s="178"/>
      <c r="BK1504" s="178"/>
      <c r="BL1504" s="178"/>
      <c r="BM1504" s="178"/>
      <c r="BN1504" s="178"/>
      <c r="BO1504" s="178"/>
      <c r="BP1504" s="178"/>
      <c r="BQ1504" s="196"/>
      <c r="BR1504" s="196"/>
      <c r="BS1504" s="196"/>
      <c r="BT1504" s="196"/>
      <c r="BU1504" s="196"/>
      <c r="BV1504" s="196"/>
      <c r="BW1504" s="178"/>
      <c r="BX1504" s="196"/>
      <c r="BY1504" s="196"/>
      <c r="BZ1504" s="196"/>
      <c r="CA1504" s="196"/>
      <c r="CB1504" s="178"/>
      <c r="CC1504" s="178"/>
      <c r="CD1504" s="202"/>
      <c r="CE1504" s="202"/>
      <c r="CF1504" s="178"/>
      <c r="CG1504" s="196"/>
      <c r="CH1504" s="178"/>
      <c r="CI1504" s="178"/>
      <c r="CJ1504" s="178"/>
      <c r="CK1504" s="178"/>
      <c r="CL1504" s="178"/>
      <c r="CM1504" s="178"/>
      <c r="CN1504" s="178"/>
      <c r="CO1504" s="178"/>
      <c r="CP1504" s="178"/>
      <c r="CQ1504" s="178"/>
      <c r="CR1504" s="178"/>
      <c r="CS1504" s="178"/>
      <c r="CT1504" s="178"/>
      <c r="CU1504" s="178"/>
      <c r="CV1504" s="178"/>
      <c r="CW1504" s="178"/>
      <c r="CX1504" s="178"/>
      <c r="CY1504" s="178"/>
      <c r="CZ1504" s="178"/>
      <c r="DA1504" s="150"/>
    </row>
    <row r="1505" spans="53:105" x14ac:dyDescent="0.2">
      <c r="BA1505" s="518">
        <f t="shared" ca="1" si="82"/>
        <v>61</v>
      </c>
      <c r="BB1505" s="174">
        <f t="shared" ca="1" si="83"/>
        <v>1442</v>
      </c>
      <c r="BC1505" s="525" t="e">
        <f ca="1">MATCH(BD1505,OFFSET(Pinlist!$A$2,BC1504*(BA1505=BA1504),0,$BM$23,1),0)+BC1504*(BA1505=BA1504)</f>
        <v>#N/A</v>
      </c>
      <c r="BD1505" s="167">
        <f t="shared" ca="1" si="84"/>
        <v>0</v>
      </c>
      <c r="BE1505" s="191" t="e">
        <f ca="1">(OFFSET(Pinlist!$E$1,BC1505,0)-$BN$16)*$BN$19</f>
        <v>#N/A</v>
      </c>
      <c r="BF1505" s="192" t="e">
        <f ca="1">(OFFSET(Pinlist!$F$1,BC1505,0)-$BO$16)*$BO$19</f>
        <v>#N/A</v>
      </c>
      <c r="BG1505" s="1098" t="str">
        <f ca="1">IF(LEFT(BD1505,2)="RF",OFFSET(Pinlist!$D$1,Chart!BC1505,0)&amp;"_"&amp;OFFSET(Pinlist!$G$1,Chart!BC1505,0),"")</f>
        <v/>
      </c>
      <c r="BH1505" s="1098"/>
      <c r="BI1505" s="178"/>
      <c r="BJ1505" s="178"/>
      <c r="BK1505" s="178"/>
      <c r="BL1505" s="178"/>
      <c r="BM1505" s="178"/>
      <c r="BN1505" s="178"/>
      <c r="BO1505" s="178"/>
      <c r="BP1505" s="178"/>
      <c r="BQ1505" s="196"/>
      <c r="BR1505" s="196"/>
      <c r="BS1505" s="196"/>
      <c r="BT1505" s="196"/>
      <c r="BU1505" s="196"/>
      <c r="BV1505" s="196"/>
      <c r="BW1505" s="178"/>
      <c r="BX1505" s="196"/>
      <c r="BY1505" s="196"/>
      <c r="BZ1505" s="196"/>
      <c r="CA1505" s="196"/>
      <c r="CB1505" s="178"/>
      <c r="CC1505" s="178"/>
      <c r="CD1505" s="202"/>
      <c r="CE1505" s="202"/>
      <c r="CF1505" s="178"/>
      <c r="CG1505" s="196"/>
      <c r="CH1505" s="178"/>
      <c r="CI1505" s="178"/>
      <c r="CJ1505" s="178"/>
      <c r="CK1505" s="178"/>
      <c r="CL1505" s="178"/>
      <c r="CM1505" s="178"/>
      <c r="CN1505" s="178"/>
      <c r="CO1505" s="178"/>
      <c r="CP1505" s="178"/>
      <c r="CQ1505" s="178"/>
      <c r="CR1505" s="178"/>
      <c r="CS1505" s="178"/>
      <c r="CT1505" s="178"/>
      <c r="CU1505" s="178"/>
      <c r="CV1505" s="178"/>
      <c r="CW1505" s="178"/>
      <c r="CX1505" s="178"/>
      <c r="CY1505" s="178"/>
      <c r="CZ1505" s="178"/>
      <c r="DA1505" s="150"/>
    </row>
    <row r="1506" spans="53:105" x14ac:dyDescent="0.2">
      <c r="BA1506" s="518">
        <f t="shared" ca="1" si="82"/>
        <v>61</v>
      </c>
      <c r="BB1506" s="174">
        <f t="shared" ca="1" si="83"/>
        <v>1443</v>
      </c>
      <c r="BC1506" s="525" t="e">
        <f ca="1">MATCH(BD1506,OFFSET(Pinlist!$A$2,BC1505*(BA1506=BA1505),0,$BM$23,1),0)+BC1505*(BA1506=BA1505)</f>
        <v>#N/A</v>
      </c>
      <c r="BD1506" s="167">
        <f t="shared" ca="1" si="84"/>
        <v>0</v>
      </c>
      <c r="BE1506" s="191" t="e">
        <f ca="1">(OFFSET(Pinlist!$E$1,BC1506,0)-$BN$16)*$BN$19</f>
        <v>#N/A</v>
      </c>
      <c r="BF1506" s="192" t="e">
        <f ca="1">(OFFSET(Pinlist!$F$1,BC1506,0)-$BO$16)*$BO$19</f>
        <v>#N/A</v>
      </c>
      <c r="BG1506" s="1098" t="str">
        <f ca="1">IF(LEFT(BD1506,2)="RF",OFFSET(Pinlist!$D$1,Chart!BC1506,0)&amp;"_"&amp;OFFSET(Pinlist!$G$1,Chart!BC1506,0),"")</f>
        <v/>
      </c>
      <c r="BH1506" s="1098"/>
      <c r="BI1506" s="178"/>
      <c r="BJ1506" s="178"/>
      <c r="BK1506" s="178"/>
      <c r="BL1506" s="178"/>
      <c r="BM1506" s="178"/>
      <c r="BN1506" s="178"/>
      <c r="BO1506" s="178"/>
      <c r="BP1506" s="178"/>
      <c r="BQ1506" s="196"/>
      <c r="BR1506" s="196"/>
      <c r="BS1506" s="196"/>
      <c r="BT1506" s="196"/>
      <c r="BU1506" s="196"/>
      <c r="BV1506" s="196"/>
      <c r="BW1506" s="178"/>
      <c r="BX1506" s="196"/>
      <c r="BY1506" s="196"/>
      <c r="BZ1506" s="196"/>
      <c r="CA1506" s="196"/>
      <c r="CB1506" s="178"/>
      <c r="CC1506" s="178"/>
      <c r="CD1506" s="202"/>
      <c r="CE1506" s="202"/>
      <c r="CF1506" s="178"/>
      <c r="CG1506" s="196"/>
      <c r="CH1506" s="178"/>
      <c r="CI1506" s="178"/>
      <c r="CJ1506" s="178"/>
      <c r="CK1506" s="178"/>
      <c r="CL1506" s="178"/>
      <c r="CM1506" s="178"/>
      <c r="CN1506" s="178"/>
      <c r="CO1506" s="178"/>
      <c r="CP1506" s="178"/>
      <c r="CQ1506" s="178"/>
      <c r="CR1506" s="178"/>
      <c r="CS1506" s="178"/>
      <c r="CT1506" s="178"/>
      <c r="CU1506" s="178"/>
      <c r="CV1506" s="178"/>
      <c r="CW1506" s="178"/>
      <c r="CX1506" s="178"/>
      <c r="CY1506" s="178"/>
      <c r="CZ1506" s="178"/>
      <c r="DA1506" s="150"/>
    </row>
    <row r="1507" spans="53:105" x14ac:dyDescent="0.2">
      <c r="BA1507" s="518">
        <f t="shared" ca="1" si="82"/>
        <v>61</v>
      </c>
      <c r="BB1507" s="174">
        <f t="shared" ca="1" si="83"/>
        <v>1444</v>
      </c>
      <c r="BC1507" s="525" t="e">
        <f ca="1">MATCH(BD1507,OFFSET(Pinlist!$A$2,BC1506*(BA1507=BA1506),0,$BM$23,1),0)+BC1506*(BA1507=BA1506)</f>
        <v>#N/A</v>
      </c>
      <c r="BD1507" s="167">
        <f t="shared" ca="1" si="84"/>
        <v>0</v>
      </c>
      <c r="BE1507" s="191" t="e">
        <f ca="1">(OFFSET(Pinlist!$E$1,BC1507,0)-$BN$16)*$BN$19</f>
        <v>#N/A</v>
      </c>
      <c r="BF1507" s="192" t="e">
        <f ca="1">(OFFSET(Pinlist!$F$1,BC1507,0)-$BO$16)*$BO$19</f>
        <v>#N/A</v>
      </c>
      <c r="BG1507" s="1098" t="str">
        <f ca="1">IF(LEFT(BD1507,2)="RF",OFFSET(Pinlist!$D$1,Chart!BC1507,0)&amp;"_"&amp;OFFSET(Pinlist!$G$1,Chart!BC1507,0),"")</f>
        <v/>
      </c>
      <c r="BH1507" s="1098"/>
      <c r="BI1507" s="178"/>
      <c r="BJ1507" s="178"/>
      <c r="BK1507" s="178"/>
      <c r="BL1507" s="178"/>
      <c r="BM1507" s="178"/>
      <c r="BN1507" s="178"/>
      <c r="BO1507" s="178"/>
      <c r="BP1507" s="178"/>
      <c r="BQ1507" s="196"/>
      <c r="BR1507" s="196"/>
      <c r="BS1507" s="196"/>
      <c r="BT1507" s="196"/>
      <c r="BU1507" s="196"/>
      <c r="BV1507" s="196"/>
      <c r="BW1507" s="178"/>
      <c r="BX1507" s="196"/>
      <c r="BY1507" s="196"/>
      <c r="BZ1507" s="196"/>
      <c r="CA1507" s="196"/>
      <c r="CB1507" s="178"/>
      <c r="CC1507" s="178"/>
      <c r="CD1507" s="202"/>
      <c r="CE1507" s="202"/>
      <c r="CF1507" s="178"/>
      <c r="CG1507" s="196"/>
      <c r="CH1507" s="178"/>
      <c r="CI1507" s="178"/>
      <c r="CJ1507" s="178"/>
      <c r="CK1507" s="178"/>
      <c r="CL1507" s="178"/>
      <c r="CM1507" s="178"/>
      <c r="CN1507" s="178"/>
      <c r="CO1507" s="178"/>
      <c r="CP1507" s="178"/>
      <c r="CQ1507" s="178"/>
      <c r="CR1507" s="178"/>
      <c r="CS1507" s="178"/>
      <c r="CT1507" s="178"/>
      <c r="CU1507" s="178"/>
      <c r="CV1507" s="178"/>
      <c r="CW1507" s="178"/>
      <c r="CX1507" s="178"/>
      <c r="CY1507" s="178"/>
      <c r="CZ1507" s="178"/>
      <c r="DA1507" s="150"/>
    </row>
    <row r="1508" spans="53:105" x14ac:dyDescent="0.2">
      <c r="BA1508" s="518">
        <f t="shared" ca="1" si="82"/>
        <v>61</v>
      </c>
      <c r="BB1508" s="174">
        <f t="shared" ca="1" si="83"/>
        <v>1445</v>
      </c>
      <c r="BC1508" s="525" t="e">
        <f ca="1">MATCH(BD1508,OFFSET(Pinlist!$A$2,BC1507*(BA1508=BA1507),0,$BM$23,1),0)+BC1507*(BA1508=BA1507)</f>
        <v>#N/A</v>
      </c>
      <c r="BD1508" s="167">
        <f t="shared" ca="1" si="84"/>
        <v>0</v>
      </c>
      <c r="BE1508" s="191" t="e">
        <f ca="1">(OFFSET(Pinlist!$E$1,BC1508,0)-$BN$16)*$BN$19</f>
        <v>#N/A</v>
      </c>
      <c r="BF1508" s="192" t="e">
        <f ca="1">(OFFSET(Pinlist!$F$1,BC1508,0)-$BO$16)*$BO$19</f>
        <v>#N/A</v>
      </c>
      <c r="BG1508" s="1098" t="str">
        <f ca="1">IF(LEFT(BD1508,2)="RF",OFFSET(Pinlist!$D$1,Chart!BC1508,0)&amp;"_"&amp;OFFSET(Pinlist!$G$1,Chart!BC1508,0),"")</f>
        <v/>
      </c>
      <c r="BH1508" s="1098"/>
      <c r="BI1508" s="178"/>
      <c r="BJ1508" s="178"/>
      <c r="BK1508" s="178"/>
      <c r="BL1508" s="178"/>
      <c r="BM1508" s="178"/>
      <c r="BN1508" s="178"/>
      <c r="BO1508" s="178"/>
      <c r="BP1508" s="178"/>
      <c r="BQ1508" s="196"/>
      <c r="BR1508" s="196"/>
      <c r="BS1508" s="196"/>
      <c r="BT1508" s="196"/>
      <c r="BU1508" s="196"/>
      <c r="BV1508" s="196"/>
      <c r="BW1508" s="178"/>
      <c r="BX1508" s="196"/>
      <c r="BY1508" s="196"/>
      <c r="BZ1508" s="196"/>
      <c r="CA1508" s="196"/>
      <c r="CB1508" s="178"/>
      <c r="CC1508" s="178"/>
      <c r="CD1508" s="202"/>
      <c r="CE1508" s="202"/>
      <c r="CF1508" s="178"/>
      <c r="CG1508" s="196"/>
      <c r="CH1508" s="178"/>
      <c r="CI1508" s="178"/>
      <c r="CJ1508" s="178"/>
      <c r="CK1508" s="178"/>
      <c r="CL1508" s="178"/>
      <c r="CM1508" s="178"/>
      <c r="CN1508" s="178"/>
      <c r="CO1508" s="178"/>
      <c r="CP1508" s="178"/>
      <c r="CQ1508" s="178"/>
      <c r="CR1508" s="178"/>
      <c r="CS1508" s="178"/>
      <c r="CT1508" s="178"/>
      <c r="CU1508" s="178"/>
      <c r="CV1508" s="178"/>
      <c r="CW1508" s="178"/>
      <c r="CX1508" s="178"/>
      <c r="CY1508" s="178"/>
      <c r="CZ1508" s="178"/>
      <c r="DA1508" s="150"/>
    </row>
    <row r="1509" spans="53:105" x14ac:dyDescent="0.2">
      <c r="BA1509" s="518">
        <f t="shared" ca="1" si="82"/>
        <v>61</v>
      </c>
      <c r="BB1509" s="174">
        <f t="shared" ca="1" si="83"/>
        <v>1446</v>
      </c>
      <c r="BC1509" s="525" t="e">
        <f ca="1">MATCH(BD1509,OFFSET(Pinlist!$A$2,BC1508*(BA1509=BA1508),0,$BM$23,1),0)+BC1508*(BA1509=BA1508)</f>
        <v>#N/A</v>
      </c>
      <c r="BD1509" s="167">
        <f t="shared" ca="1" si="84"/>
        <v>0</v>
      </c>
      <c r="BE1509" s="191" t="e">
        <f ca="1">(OFFSET(Pinlist!$E$1,BC1509,0)-$BN$16)*$BN$19</f>
        <v>#N/A</v>
      </c>
      <c r="BF1509" s="192" t="e">
        <f ca="1">(OFFSET(Pinlist!$F$1,BC1509,0)-$BO$16)*$BO$19</f>
        <v>#N/A</v>
      </c>
      <c r="BG1509" s="1098" t="str">
        <f ca="1">IF(LEFT(BD1509,2)="RF",OFFSET(Pinlist!$D$1,Chart!BC1509,0)&amp;"_"&amp;OFFSET(Pinlist!$G$1,Chart!BC1509,0),"")</f>
        <v/>
      </c>
      <c r="BH1509" s="1098"/>
      <c r="BI1509" s="178"/>
      <c r="BJ1509" s="178"/>
      <c r="BK1509" s="178"/>
      <c r="BL1509" s="178"/>
      <c r="BM1509" s="178"/>
      <c r="BN1509" s="178"/>
      <c r="BO1509" s="178"/>
      <c r="BP1509" s="178"/>
      <c r="BQ1509" s="196"/>
      <c r="BR1509" s="196"/>
      <c r="BS1509" s="196"/>
      <c r="BT1509" s="196"/>
      <c r="BU1509" s="196"/>
      <c r="BV1509" s="196"/>
      <c r="BW1509" s="178"/>
      <c r="BX1509" s="196"/>
      <c r="BY1509" s="196"/>
      <c r="BZ1509" s="196"/>
      <c r="CA1509" s="196"/>
      <c r="CB1509" s="178"/>
      <c r="CC1509" s="178"/>
      <c r="CD1509" s="202"/>
      <c r="CE1509" s="202"/>
      <c r="CF1509" s="178"/>
      <c r="CG1509" s="196"/>
      <c r="CH1509" s="178"/>
      <c r="CI1509" s="178"/>
      <c r="CJ1509" s="178"/>
      <c r="CK1509" s="178"/>
      <c r="CL1509" s="178"/>
      <c r="CM1509" s="178"/>
      <c r="CN1509" s="178"/>
      <c r="CO1509" s="178"/>
      <c r="CP1509" s="178"/>
      <c r="CQ1509" s="178"/>
      <c r="CR1509" s="178"/>
      <c r="CS1509" s="178"/>
      <c r="CT1509" s="178"/>
      <c r="CU1509" s="178"/>
      <c r="CV1509" s="178"/>
      <c r="CW1509" s="178"/>
      <c r="CX1509" s="178"/>
      <c r="CY1509" s="178"/>
      <c r="CZ1509" s="178"/>
      <c r="DA1509" s="150"/>
    </row>
    <row r="1510" spans="53:105" x14ac:dyDescent="0.2">
      <c r="BA1510" s="518">
        <f t="shared" ca="1" si="82"/>
        <v>61</v>
      </c>
      <c r="BB1510" s="174">
        <f t="shared" ca="1" si="83"/>
        <v>1447</v>
      </c>
      <c r="BC1510" s="525" t="e">
        <f ca="1">MATCH(BD1510,OFFSET(Pinlist!$A$2,BC1509*(BA1510=BA1509),0,$BM$23,1),0)+BC1509*(BA1510=BA1509)</f>
        <v>#N/A</v>
      </c>
      <c r="BD1510" s="167">
        <f t="shared" ca="1" si="84"/>
        <v>0</v>
      </c>
      <c r="BE1510" s="191" t="e">
        <f ca="1">(OFFSET(Pinlist!$E$1,BC1510,0)-$BN$16)*$BN$19</f>
        <v>#N/A</v>
      </c>
      <c r="BF1510" s="192" t="e">
        <f ca="1">(OFFSET(Pinlist!$F$1,BC1510,0)-$BO$16)*$BO$19</f>
        <v>#N/A</v>
      </c>
      <c r="BG1510" s="1098" t="str">
        <f ca="1">IF(LEFT(BD1510,2)="RF",OFFSET(Pinlist!$D$1,Chart!BC1510,0)&amp;"_"&amp;OFFSET(Pinlist!$G$1,Chart!BC1510,0),"")</f>
        <v/>
      </c>
      <c r="BH1510" s="1098"/>
      <c r="BI1510" s="178"/>
      <c r="BJ1510" s="178"/>
      <c r="BK1510" s="178"/>
      <c r="BL1510" s="178"/>
      <c r="BM1510" s="178"/>
      <c r="BN1510" s="178"/>
      <c r="BO1510" s="178"/>
      <c r="BP1510" s="178"/>
      <c r="BQ1510" s="196"/>
      <c r="BR1510" s="196"/>
      <c r="BS1510" s="196"/>
      <c r="BT1510" s="196"/>
      <c r="BU1510" s="196"/>
      <c r="BV1510" s="196"/>
      <c r="BW1510" s="178"/>
      <c r="BX1510" s="196"/>
      <c r="BY1510" s="196"/>
      <c r="BZ1510" s="196"/>
      <c r="CA1510" s="196"/>
      <c r="CB1510" s="178"/>
      <c r="CC1510" s="178"/>
      <c r="CD1510" s="202"/>
      <c r="CE1510" s="202"/>
      <c r="CF1510" s="178"/>
      <c r="CG1510" s="196"/>
      <c r="CH1510" s="178"/>
      <c r="CI1510" s="178"/>
      <c r="CJ1510" s="178"/>
      <c r="CK1510" s="178"/>
      <c r="CL1510" s="178"/>
      <c r="CM1510" s="178"/>
      <c r="CN1510" s="178"/>
      <c r="CO1510" s="178"/>
      <c r="CP1510" s="178"/>
      <c r="CQ1510" s="178"/>
      <c r="CR1510" s="178"/>
      <c r="CS1510" s="178"/>
      <c r="CT1510" s="178"/>
      <c r="CU1510" s="178"/>
      <c r="CV1510" s="178"/>
      <c r="CW1510" s="178"/>
      <c r="CX1510" s="178"/>
      <c r="CY1510" s="178"/>
      <c r="CZ1510" s="178"/>
      <c r="DA1510" s="150"/>
    </row>
    <row r="1511" spans="53:105" x14ac:dyDescent="0.2">
      <c r="BA1511" s="518">
        <f t="shared" ca="1" si="82"/>
        <v>61</v>
      </c>
      <c r="BB1511" s="174">
        <f t="shared" ca="1" si="83"/>
        <v>1448</v>
      </c>
      <c r="BC1511" s="525" t="e">
        <f ca="1">MATCH(BD1511,OFFSET(Pinlist!$A$2,BC1510*(BA1511=BA1510),0,$BM$23,1),0)+BC1510*(BA1511=BA1510)</f>
        <v>#N/A</v>
      </c>
      <c r="BD1511" s="167">
        <f t="shared" ca="1" si="84"/>
        <v>0</v>
      </c>
      <c r="BE1511" s="191" t="e">
        <f ca="1">(OFFSET(Pinlist!$E$1,BC1511,0)-$BN$16)*$BN$19</f>
        <v>#N/A</v>
      </c>
      <c r="BF1511" s="192" t="e">
        <f ca="1">(OFFSET(Pinlist!$F$1,BC1511,0)-$BO$16)*$BO$19</f>
        <v>#N/A</v>
      </c>
      <c r="BG1511" s="1098" t="str">
        <f ca="1">IF(LEFT(BD1511,2)="RF",OFFSET(Pinlist!$D$1,Chart!BC1511,0)&amp;"_"&amp;OFFSET(Pinlist!$G$1,Chart!BC1511,0),"")</f>
        <v/>
      </c>
      <c r="BH1511" s="1098"/>
      <c r="BI1511" s="178"/>
      <c r="BJ1511" s="178"/>
      <c r="BK1511" s="178"/>
      <c r="BL1511" s="178"/>
      <c r="BM1511" s="178"/>
      <c r="BN1511" s="178"/>
      <c r="BO1511" s="178"/>
      <c r="BP1511" s="178"/>
      <c r="BQ1511" s="196"/>
      <c r="BR1511" s="196"/>
      <c r="BS1511" s="196"/>
      <c r="BT1511" s="196"/>
      <c r="BU1511" s="196"/>
      <c r="BV1511" s="196"/>
      <c r="BW1511" s="178"/>
      <c r="BX1511" s="196"/>
      <c r="BY1511" s="196"/>
      <c r="BZ1511" s="196"/>
      <c r="CA1511" s="196"/>
      <c r="CB1511" s="178"/>
      <c r="CC1511" s="178"/>
      <c r="CD1511" s="202"/>
      <c r="CE1511" s="202"/>
      <c r="CF1511" s="178"/>
      <c r="CG1511" s="196"/>
      <c r="CH1511" s="178"/>
      <c r="CI1511" s="178"/>
      <c r="CJ1511" s="178"/>
      <c r="CK1511" s="178"/>
      <c r="CL1511" s="178"/>
      <c r="CM1511" s="178"/>
      <c r="CN1511" s="178"/>
      <c r="CO1511" s="178"/>
      <c r="CP1511" s="178"/>
      <c r="CQ1511" s="178"/>
      <c r="CR1511" s="178"/>
      <c r="CS1511" s="178"/>
      <c r="CT1511" s="178"/>
      <c r="CU1511" s="178"/>
      <c r="CV1511" s="178"/>
      <c r="CW1511" s="178"/>
      <c r="CX1511" s="178"/>
      <c r="CY1511" s="178"/>
      <c r="CZ1511" s="178"/>
      <c r="DA1511" s="150"/>
    </row>
    <row r="1512" spans="53:105" x14ac:dyDescent="0.2">
      <c r="BA1512" s="518">
        <f t="shared" ca="1" si="82"/>
        <v>61</v>
      </c>
      <c r="BB1512" s="174">
        <f t="shared" ca="1" si="83"/>
        <v>1449</v>
      </c>
      <c r="BC1512" s="525" t="e">
        <f ca="1">MATCH(BD1512,OFFSET(Pinlist!$A$2,BC1511*(BA1512=BA1511),0,$BM$23,1),0)+BC1511*(BA1512=BA1511)</f>
        <v>#N/A</v>
      </c>
      <c r="BD1512" s="167">
        <f t="shared" ca="1" si="84"/>
        <v>0</v>
      </c>
      <c r="BE1512" s="191" t="e">
        <f ca="1">(OFFSET(Pinlist!$E$1,BC1512,0)-$BN$16)*$BN$19</f>
        <v>#N/A</v>
      </c>
      <c r="BF1512" s="192" t="e">
        <f ca="1">(OFFSET(Pinlist!$F$1,BC1512,0)-$BO$16)*$BO$19</f>
        <v>#N/A</v>
      </c>
      <c r="BG1512" s="1098" t="str">
        <f ca="1">IF(LEFT(BD1512,2)="RF",OFFSET(Pinlist!$D$1,Chart!BC1512,0)&amp;"_"&amp;OFFSET(Pinlist!$G$1,Chart!BC1512,0),"")</f>
        <v/>
      </c>
      <c r="BH1512" s="1098"/>
      <c r="BI1512" s="178"/>
      <c r="BJ1512" s="178"/>
      <c r="BK1512" s="178"/>
      <c r="BL1512" s="178"/>
      <c r="BM1512" s="178"/>
      <c r="BN1512" s="178"/>
      <c r="BO1512" s="178"/>
      <c r="BP1512" s="178"/>
      <c r="BQ1512" s="196"/>
      <c r="BR1512" s="196"/>
      <c r="BS1512" s="196"/>
      <c r="BT1512" s="196"/>
      <c r="BU1512" s="196"/>
      <c r="BV1512" s="196"/>
      <c r="BW1512" s="178"/>
      <c r="BX1512" s="196"/>
      <c r="BY1512" s="196"/>
      <c r="BZ1512" s="196"/>
      <c r="CA1512" s="196"/>
      <c r="CB1512" s="178"/>
      <c r="CC1512" s="178"/>
      <c r="CD1512" s="202"/>
      <c r="CE1512" s="202"/>
      <c r="CF1512" s="178"/>
      <c r="CG1512" s="196"/>
      <c r="CH1512" s="178"/>
      <c r="CI1512" s="178"/>
      <c r="CJ1512" s="178"/>
      <c r="CK1512" s="178"/>
      <c r="CL1512" s="178"/>
      <c r="CM1512" s="178"/>
      <c r="CN1512" s="178"/>
      <c r="CO1512" s="178"/>
      <c r="CP1512" s="178"/>
      <c r="CQ1512" s="178"/>
      <c r="CR1512" s="178"/>
      <c r="CS1512" s="178"/>
      <c r="CT1512" s="178"/>
      <c r="CU1512" s="178"/>
      <c r="CV1512" s="178"/>
      <c r="CW1512" s="178"/>
      <c r="CX1512" s="178"/>
      <c r="CY1512" s="178"/>
      <c r="CZ1512" s="178"/>
      <c r="DA1512" s="150"/>
    </row>
    <row r="1513" spans="53:105" x14ac:dyDescent="0.2">
      <c r="BA1513" s="518">
        <f t="shared" ca="1" si="82"/>
        <v>61</v>
      </c>
      <c r="BB1513" s="174">
        <f t="shared" ca="1" si="83"/>
        <v>1450</v>
      </c>
      <c r="BC1513" s="525" t="e">
        <f ca="1">MATCH(BD1513,OFFSET(Pinlist!$A$2,BC1512*(BA1513=BA1512),0,$BM$23,1),0)+BC1512*(BA1513=BA1512)</f>
        <v>#N/A</v>
      </c>
      <c r="BD1513" s="167">
        <f t="shared" ca="1" si="84"/>
        <v>0</v>
      </c>
      <c r="BE1513" s="191" t="e">
        <f ca="1">(OFFSET(Pinlist!$E$1,BC1513,0)-$BN$16)*$BN$19</f>
        <v>#N/A</v>
      </c>
      <c r="BF1513" s="192" t="e">
        <f ca="1">(OFFSET(Pinlist!$F$1,BC1513,0)-$BO$16)*$BO$19</f>
        <v>#N/A</v>
      </c>
      <c r="BG1513" s="1098" t="str">
        <f ca="1">IF(LEFT(BD1513,2)="RF",OFFSET(Pinlist!$D$1,Chart!BC1513,0)&amp;"_"&amp;OFFSET(Pinlist!$G$1,Chart!BC1513,0),"")</f>
        <v/>
      </c>
      <c r="BH1513" s="1098"/>
      <c r="BI1513" s="178"/>
      <c r="BJ1513" s="178"/>
      <c r="BK1513" s="178"/>
      <c r="BL1513" s="178"/>
      <c r="BM1513" s="178"/>
      <c r="BN1513" s="178"/>
      <c r="BO1513" s="178"/>
      <c r="BP1513" s="178"/>
      <c r="BQ1513" s="196"/>
      <c r="BR1513" s="196"/>
      <c r="BS1513" s="196"/>
      <c r="BT1513" s="196"/>
      <c r="BU1513" s="196"/>
      <c r="BV1513" s="196"/>
      <c r="BW1513" s="178"/>
      <c r="BX1513" s="196"/>
      <c r="BY1513" s="196"/>
      <c r="BZ1513" s="196"/>
      <c r="CA1513" s="196"/>
      <c r="CB1513" s="178"/>
      <c r="CC1513" s="178"/>
      <c r="CD1513" s="202"/>
      <c r="CE1513" s="202"/>
      <c r="CF1513" s="178"/>
      <c r="CG1513" s="196"/>
      <c r="CH1513" s="178"/>
      <c r="CI1513" s="178"/>
      <c r="CJ1513" s="178"/>
      <c r="CK1513" s="178"/>
      <c r="CL1513" s="178"/>
      <c r="CM1513" s="178"/>
      <c r="CN1513" s="178"/>
      <c r="CO1513" s="178"/>
      <c r="CP1513" s="178"/>
      <c r="CQ1513" s="178"/>
      <c r="CR1513" s="178"/>
      <c r="CS1513" s="178"/>
      <c r="CT1513" s="178"/>
      <c r="CU1513" s="178"/>
      <c r="CV1513" s="178"/>
      <c r="CW1513" s="178"/>
      <c r="CX1513" s="178"/>
      <c r="CY1513" s="178"/>
      <c r="CZ1513" s="178"/>
      <c r="DA1513" s="150"/>
    </row>
    <row r="1514" spans="53:105" x14ac:dyDescent="0.2">
      <c r="BA1514" s="518">
        <f t="shared" ca="1" si="82"/>
        <v>61</v>
      </c>
      <c r="BB1514" s="174">
        <f t="shared" ca="1" si="83"/>
        <v>1451</v>
      </c>
      <c r="BC1514" s="525" t="e">
        <f ca="1">MATCH(BD1514,OFFSET(Pinlist!$A$2,BC1513*(BA1514=BA1513),0,$BM$23,1),0)+BC1513*(BA1514=BA1513)</f>
        <v>#N/A</v>
      </c>
      <c r="BD1514" s="167">
        <f t="shared" ca="1" si="84"/>
        <v>0</v>
      </c>
      <c r="BE1514" s="191" t="e">
        <f ca="1">(OFFSET(Pinlist!$E$1,BC1514,0)-$BN$16)*$BN$19</f>
        <v>#N/A</v>
      </c>
      <c r="BF1514" s="192" t="e">
        <f ca="1">(OFFSET(Pinlist!$F$1,BC1514,0)-$BO$16)*$BO$19</f>
        <v>#N/A</v>
      </c>
      <c r="BG1514" s="1098" t="str">
        <f ca="1">IF(LEFT(BD1514,2)="RF",OFFSET(Pinlist!$D$1,Chart!BC1514,0)&amp;"_"&amp;OFFSET(Pinlist!$G$1,Chart!BC1514,0),"")</f>
        <v/>
      </c>
      <c r="BH1514" s="1098"/>
      <c r="BI1514" s="178"/>
      <c r="BJ1514" s="178"/>
      <c r="BK1514" s="178"/>
      <c r="BL1514" s="178"/>
      <c r="BM1514" s="178"/>
      <c r="BN1514" s="178"/>
      <c r="BO1514" s="178"/>
      <c r="BP1514" s="178"/>
      <c r="BQ1514" s="196"/>
      <c r="BR1514" s="196"/>
      <c r="BS1514" s="196"/>
      <c r="BT1514" s="196"/>
      <c r="BU1514" s="196"/>
      <c r="BV1514" s="196"/>
      <c r="BW1514" s="178"/>
      <c r="BX1514" s="196"/>
      <c r="BY1514" s="196"/>
      <c r="BZ1514" s="196"/>
      <c r="CA1514" s="196"/>
      <c r="CB1514" s="178"/>
      <c r="CC1514" s="178"/>
      <c r="CD1514" s="202"/>
      <c r="CE1514" s="202"/>
      <c r="CF1514" s="178"/>
      <c r="CG1514" s="196"/>
      <c r="CH1514" s="178"/>
      <c r="CI1514" s="178"/>
      <c r="CJ1514" s="178"/>
      <c r="CK1514" s="178"/>
      <c r="CL1514" s="178"/>
      <c r="CM1514" s="178"/>
      <c r="CN1514" s="178"/>
      <c r="CO1514" s="178"/>
      <c r="CP1514" s="178"/>
      <c r="CQ1514" s="178"/>
      <c r="CR1514" s="178"/>
      <c r="CS1514" s="178"/>
      <c r="CT1514" s="178"/>
      <c r="CU1514" s="178"/>
      <c r="CV1514" s="178"/>
      <c r="CW1514" s="178"/>
      <c r="CX1514" s="178"/>
      <c r="CY1514" s="178"/>
      <c r="CZ1514" s="178"/>
      <c r="DA1514" s="150"/>
    </row>
    <row r="1515" spans="53:105" x14ac:dyDescent="0.2">
      <c r="BA1515" s="518">
        <f t="shared" ca="1" si="82"/>
        <v>61</v>
      </c>
      <c r="BB1515" s="174">
        <f t="shared" ca="1" si="83"/>
        <v>1452</v>
      </c>
      <c r="BC1515" s="525" t="e">
        <f ca="1">MATCH(BD1515,OFFSET(Pinlist!$A$2,BC1514*(BA1515=BA1514),0,$BM$23,1),0)+BC1514*(BA1515=BA1514)</f>
        <v>#N/A</v>
      </c>
      <c r="BD1515" s="167">
        <f t="shared" ca="1" si="84"/>
        <v>0</v>
      </c>
      <c r="BE1515" s="191" t="e">
        <f ca="1">(OFFSET(Pinlist!$E$1,BC1515,0)-$BN$16)*$BN$19</f>
        <v>#N/A</v>
      </c>
      <c r="BF1515" s="192" t="e">
        <f ca="1">(OFFSET(Pinlist!$F$1,BC1515,0)-$BO$16)*$BO$19</f>
        <v>#N/A</v>
      </c>
      <c r="BG1515" s="1098" t="str">
        <f ca="1">IF(LEFT(BD1515,2)="RF",OFFSET(Pinlist!$D$1,Chart!BC1515,0)&amp;"_"&amp;OFFSET(Pinlist!$G$1,Chart!BC1515,0),"")</f>
        <v/>
      </c>
      <c r="BH1515" s="1098"/>
      <c r="BI1515" s="178"/>
      <c r="BJ1515" s="178"/>
      <c r="BK1515" s="178"/>
      <c r="BL1515" s="178"/>
      <c r="BM1515" s="178"/>
      <c r="BN1515" s="178"/>
      <c r="BO1515" s="178"/>
      <c r="BP1515" s="178"/>
      <c r="BQ1515" s="196"/>
      <c r="BR1515" s="196"/>
      <c r="BS1515" s="196"/>
      <c r="BT1515" s="196"/>
      <c r="BU1515" s="196"/>
      <c r="BV1515" s="196"/>
      <c r="BW1515" s="178"/>
      <c r="BX1515" s="196"/>
      <c r="BY1515" s="196"/>
      <c r="BZ1515" s="196"/>
      <c r="CA1515" s="196"/>
      <c r="CB1515" s="178"/>
      <c r="CC1515" s="178"/>
      <c r="CD1515" s="202"/>
      <c r="CE1515" s="202"/>
      <c r="CF1515" s="178"/>
      <c r="CG1515" s="196"/>
      <c r="CH1515" s="178"/>
      <c r="CI1515" s="178"/>
      <c r="CJ1515" s="178"/>
      <c r="CK1515" s="178"/>
      <c r="CL1515" s="178"/>
      <c r="CM1515" s="178"/>
      <c r="CN1515" s="178"/>
      <c r="CO1515" s="178"/>
      <c r="CP1515" s="178"/>
      <c r="CQ1515" s="178"/>
      <c r="CR1515" s="178"/>
      <c r="CS1515" s="178"/>
      <c r="CT1515" s="178"/>
      <c r="CU1515" s="178"/>
      <c r="CV1515" s="178"/>
      <c r="CW1515" s="178"/>
      <c r="CX1515" s="178"/>
      <c r="CY1515" s="178"/>
      <c r="CZ1515" s="178"/>
      <c r="DA1515" s="150"/>
    </row>
    <row r="1516" spans="53:105" x14ac:dyDescent="0.2">
      <c r="BA1516" s="518">
        <f t="shared" ca="1" si="82"/>
        <v>61</v>
      </c>
      <c r="BB1516" s="174">
        <f t="shared" ca="1" si="83"/>
        <v>1453</v>
      </c>
      <c r="BC1516" s="525" t="e">
        <f ca="1">MATCH(BD1516,OFFSET(Pinlist!$A$2,BC1515*(BA1516=BA1515),0,$BM$23,1),0)+BC1515*(BA1516=BA1515)</f>
        <v>#N/A</v>
      </c>
      <c r="BD1516" s="167">
        <f t="shared" ca="1" si="84"/>
        <v>0</v>
      </c>
      <c r="BE1516" s="191" t="e">
        <f ca="1">(OFFSET(Pinlist!$E$1,BC1516,0)-$BN$16)*$BN$19</f>
        <v>#N/A</v>
      </c>
      <c r="BF1516" s="192" t="e">
        <f ca="1">(OFFSET(Pinlist!$F$1,BC1516,0)-$BO$16)*$BO$19</f>
        <v>#N/A</v>
      </c>
      <c r="BG1516" s="1098" t="str">
        <f ca="1">IF(LEFT(BD1516,2)="RF",OFFSET(Pinlist!$D$1,Chart!BC1516,0)&amp;"_"&amp;OFFSET(Pinlist!$G$1,Chart!BC1516,0),"")</f>
        <v/>
      </c>
      <c r="BH1516" s="1098"/>
      <c r="BI1516" s="178"/>
      <c r="BJ1516" s="178"/>
      <c r="BK1516" s="178"/>
      <c r="BL1516" s="178"/>
      <c r="BM1516" s="178"/>
      <c r="BN1516" s="178"/>
      <c r="BO1516" s="178"/>
      <c r="BP1516" s="178"/>
      <c r="BQ1516" s="196"/>
      <c r="BR1516" s="196"/>
      <c r="BS1516" s="196"/>
      <c r="BT1516" s="196"/>
      <c r="BU1516" s="196"/>
      <c r="BV1516" s="196"/>
      <c r="BW1516" s="178"/>
      <c r="BX1516" s="196"/>
      <c r="BY1516" s="196"/>
      <c r="BZ1516" s="196"/>
      <c r="CA1516" s="196"/>
      <c r="CB1516" s="178"/>
      <c r="CC1516" s="178"/>
      <c r="CD1516" s="202"/>
      <c r="CE1516" s="202"/>
      <c r="CF1516" s="178"/>
      <c r="CG1516" s="196"/>
      <c r="CH1516" s="178"/>
      <c r="CI1516" s="178"/>
      <c r="CJ1516" s="178"/>
      <c r="CK1516" s="178"/>
      <c r="CL1516" s="178"/>
      <c r="CM1516" s="178"/>
      <c r="CN1516" s="178"/>
      <c r="CO1516" s="178"/>
      <c r="CP1516" s="178"/>
      <c r="CQ1516" s="178"/>
      <c r="CR1516" s="178"/>
      <c r="CS1516" s="178"/>
      <c r="CT1516" s="178"/>
      <c r="CU1516" s="178"/>
      <c r="CV1516" s="178"/>
      <c r="CW1516" s="178"/>
      <c r="CX1516" s="178"/>
      <c r="CY1516" s="178"/>
      <c r="CZ1516" s="178"/>
      <c r="DA1516" s="150"/>
    </row>
    <row r="1517" spans="53:105" x14ac:dyDescent="0.2">
      <c r="BA1517" s="518">
        <f t="shared" ca="1" si="82"/>
        <v>61</v>
      </c>
      <c r="BB1517" s="174">
        <f t="shared" ca="1" si="83"/>
        <v>1454</v>
      </c>
      <c r="BC1517" s="525" t="e">
        <f ca="1">MATCH(BD1517,OFFSET(Pinlist!$A$2,BC1516*(BA1517=BA1516),0,$BM$23,1),0)+BC1516*(BA1517=BA1516)</f>
        <v>#N/A</v>
      </c>
      <c r="BD1517" s="167">
        <f t="shared" ca="1" si="84"/>
        <v>0</v>
      </c>
      <c r="BE1517" s="191" t="e">
        <f ca="1">(OFFSET(Pinlist!$E$1,BC1517,0)-$BN$16)*$BN$19</f>
        <v>#N/A</v>
      </c>
      <c r="BF1517" s="192" t="e">
        <f ca="1">(OFFSET(Pinlist!$F$1,BC1517,0)-$BO$16)*$BO$19</f>
        <v>#N/A</v>
      </c>
      <c r="BG1517" s="1098" t="str">
        <f ca="1">IF(LEFT(BD1517,2)="RF",OFFSET(Pinlist!$D$1,Chart!BC1517,0)&amp;"_"&amp;OFFSET(Pinlist!$G$1,Chart!BC1517,0),"")</f>
        <v/>
      </c>
      <c r="BH1517" s="1098"/>
      <c r="BI1517" s="178"/>
      <c r="BJ1517" s="178"/>
      <c r="BK1517" s="178"/>
      <c r="BL1517" s="178"/>
      <c r="BM1517" s="178"/>
      <c r="BN1517" s="178"/>
      <c r="BO1517" s="178"/>
      <c r="BP1517" s="178"/>
      <c r="BQ1517" s="196"/>
      <c r="BR1517" s="196"/>
      <c r="BS1517" s="196"/>
      <c r="BT1517" s="196"/>
      <c r="BU1517" s="196"/>
      <c r="BV1517" s="196"/>
      <c r="BW1517" s="178"/>
      <c r="BX1517" s="196"/>
      <c r="BY1517" s="196"/>
      <c r="BZ1517" s="196"/>
      <c r="CA1517" s="196"/>
      <c r="CB1517" s="178"/>
      <c r="CC1517" s="178"/>
      <c r="CD1517" s="202"/>
      <c r="CE1517" s="202"/>
      <c r="CF1517" s="178"/>
      <c r="CG1517" s="196"/>
      <c r="CH1517" s="178"/>
      <c r="CI1517" s="178"/>
      <c r="CJ1517" s="178"/>
      <c r="CK1517" s="178"/>
      <c r="CL1517" s="178"/>
      <c r="CM1517" s="178"/>
      <c r="CN1517" s="178"/>
      <c r="CO1517" s="178"/>
      <c r="CP1517" s="178"/>
      <c r="CQ1517" s="178"/>
      <c r="CR1517" s="178"/>
      <c r="CS1517" s="178"/>
      <c r="CT1517" s="178"/>
      <c r="CU1517" s="178"/>
      <c r="CV1517" s="178"/>
      <c r="CW1517" s="178"/>
      <c r="CX1517" s="178"/>
      <c r="CY1517" s="178"/>
      <c r="CZ1517" s="178"/>
      <c r="DA1517" s="150"/>
    </row>
    <row r="1518" spans="53:105" x14ac:dyDescent="0.2">
      <c r="BA1518" s="518">
        <f t="shared" ca="1" si="82"/>
        <v>61</v>
      </c>
      <c r="BB1518" s="174">
        <f t="shared" ca="1" si="83"/>
        <v>1455</v>
      </c>
      <c r="BC1518" s="525" t="e">
        <f ca="1">MATCH(BD1518,OFFSET(Pinlist!$A$2,BC1517*(BA1518=BA1517),0,$BM$23,1),0)+BC1517*(BA1518=BA1517)</f>
        <v>#N/A</v>
      </c>
      <c r="BD1518" s="167">
        <f t="shared" ca="1" si="84"/>
        <v>0</v>
      </c>
      <c r="BE1518" s="191" t="e">
        <f ca="1">(OFFSET(Pinlist!$E$1,BC1518,0)-$BN$16)*$BN$19</f>
        <v>#N/A</v>
      </c>
      <c r="BF1518" s="192" t="e">
        <f ca="1">(OFFSET(Pinlist!$F$1,BC1518,0)-$BO$16)*$BO$19</f>
        <v>#N/A</v>
      </c>
      <c r="BG1518" s="1098" t="str">
        <f ca="1">IF(LEFT(BD1518,2)="RF",OFFSET(Pinlist!$D$1,Chart!BC1518,0)&amp;"_"&amp;OFFSET(Pinlist!$G$1,Chart!BC1518,0),"")</f>
        <v/>
      </c>
      <c r="BH1518" s="1098"/>
      <c r="BI1518" s="178"/>
      <c r="BJ1518" s="178"/>
      <c r="BK1518" s="178"/>
      <c r="BL1518" s="178"/>
      <c r="BM1518" s="178"/>
      <c r="BN1518" s="178"/>
      <c r="BO1518" s="178"/>
      <c r="BP1518" s="178"/>
      <c r="BQ1518" s="196"/>
      <c r="BR1518" s="196"/>
      <c r="BS1518" s="196"/>
      <c r="BT1518" s="196"/>
      <c r="BU1518" s="196"/>
      <c r="BV1518" s="196"/>
      <c r="BW1518" s="178"/>
      <c r="BX1518" s="196"/>
      <c r="BY1518" s="196"/>
      <c r="BZ1518" s="196"/>
      <c r="CA1518" s="196"/>
      <c r="CB1518" s="178"/>
      <c r="CC1518" s="178"/>
      <c r="CD1518" s="202"/>
      <c r="CE1518" s="202"/>
      <c r="CF1518" s="178"/>
      <c r="CG1518" s="196"/>
      <c r="CH1518" s="178"/>
      <c r="CI1518" s="178"/>
      <c r="CJ1518" s="178"/>
      <c r="CK1518" s="178"/>
      <c r="CL1518" s="178"/>
      <c r="CM1518" s="178"/>
      <c r="CN1518" s="178"/>
      <c r="CO1518" s="178"/>
      <c r="CP1518" s="178"/>
      <c r="CQ1518" s="178"/>
      <c r="CR1518" s="178"/>
      <c r="CS1518" s="178"/>
      <c r="CT1518" s="178"/>
      <c r="CU1518" s="178"/>
      <c r="CV1518" s="178"/>
      <c r="CW1518" s="178"/>
      <c r="CX1518" s="178"/>
      <c r="CY1518" s="178"/>
      <c r="CZ1518" s="178"/>
      <c r="DA1518" s="150"/>
    </row>
    <row r="1519" spans="53:105" x14ac:dyDescent="0.2">
      <c r="BA1519" s="518">
        <f t="shared" ca="1" si="82"/>
        <v>61</v>
      </c>
      <c r="BB1519" s="174">
        <f t="shared" ca="1" si="83"/>
        <v>1456</v>
      </c>
      <c r="BC1519" s="525" t="e">
        <f ca="1">MATCH(BD1519,OFFSET(Pinlist!$A$2,BC1518*(BA1519=BA1518),0,$BM$23,1),0)+BC1518*(BA1519=BA1518)</f>
        <v>#N/A</v>
      </c>
      <c r="BD1519" s="167">
        <f t="shared" ca="1" si="84"/>
        <v>0</v>
      </c>
      <c r="BE1519" s="191" t="e">
        <f ca="1">(OFFSET(Pinlist!$E$1,BC1519,0)-$BN$16)*$BN$19</f>
        <v>#N/A</v>
      </c>
      <c r="BF1519" s="192" t="e">
        <f ca="1">(OFFSET(Pinlist!$F$1,BC1519,0)-$BO$16)*$BO$19</f>
        <v>#N/A</v>
      </c>
      <c r="BG1519" s="1098" t="str">
        <f ca="1">IF(LEFT(BD1519,2)="RF",OFFSET(Pinlist!$D$1,Chart!BC1519,0)&amp;"_"&amp;OFFSET(Pinlist!$G$1,Chart!BC1519,0),"")</f>
        <v/>
      </c>
      <c r="BH1519" s="1098"/>
      <c r="BI1519" s="178"/>
      <c r="BJ1519" s="178"/>
      <c r="BK1519" s="178"/>
      <c r="BL1519" s="178"/>
      <c r="BM1519" s="178"/>
      <c r="BN1519" s="178"/>
      <c r="BO1519" s="178"/>
      <c r="BP1519" s="178"/>
      <c r="BQ1519" s="196"/>
      <c r="BR1519" s="196"/>
      <c r="BS1519" s="196"/>
      <c r="BT1519" s="196"/>
      <c r="BU1519" s="196"/>
      <c r="BV1519" s="196"/>
      <c r="BW1519" s="178"/>
      <c r="BX1519" s="196"/>
      <c r="BY1519" s="196"/>
      <c r="BZ1519" s="196"/>
      <c r="CA1519" s="196"/>
      <c r="CB1519" s="178"/>
      <c r="CC1519" s="178"/>
      <c r="CD1519" s="202"/>
      <c r="CE1519" s="202"/>
      <c r="CF1519" s="178"/>
      <c r="CG1519" s="196"/>
      <c r="CH1519" s="178"/>
      <c r="CI1519" s="178"/>
      <c r="CJ1519" s="178"/>
      <c r="CK1519" s="178"/>
      <c r="CL1519" s="178"/>
      <c r="CM1519" s="178"/>
      <c r="CN1519" s="178"/>
      <c r="CO1519" s="178"/>
      <c r="CP1519" s="178"/>
      <c r="CQ1519" s="178"/>
      <c r="CR1519" s="178"/>
      <c r="CS1519" s="178"/>
      <c r="CT1519" s="178"/>
      <c r="CU1519" s="178"/>
      <c r="CV1519" s="178"/>
      <c r="CW1519" s="178"/>
      <c r="CX1519" s="178"/>
      <c r="CY1519" s="178"/>
      <c r="CZ1519" s="178"/>
      <c r="DA1519" s="150"/>
    </row>
    <row r="1520" spans="53:105" x14ac:dyDescent="0.2">
      <c r="BA1520" s="518">
        <f t="shared" ca="1" si="82"/>
        <v>61</v>
      </c>
      <c r="BB1520" s="174">
        <f t="shared" ca="1" si="83"/>
        <v>1457</v>
      </c>
      <c r="BC1520" s="525" t="e">
        <f ca="1">MATCH(BD1520,OFFSET(Pinlist!$A$2,BC1519*(BA1520=BA1519),0,$BM$23,1),0)+BC1519*(BA1520=BA1519)</f>
        <v>#N/A</v>
      </c>
      <c r="BD1520" s="167">
        <f t="shared" ca="1" si="84"/>
        <v>0</v>
      </c>
      <c r="BE1520" s="191" t="e">
        <f ca="1">(OFFSET(Pinlist!$E$1,BC1520,0)-$BN$16)*$BN$19</f>
        <v>#N/A</v>
      </c>
      <c r="BF1520" s="192" t="e">
        <f ca="1">(OFFSET(Pinlist!$F$1,BC1520,0)-$BO$16)*$BO$19</f>
        <v>#N/A</v>
      </c>
      <c r="BG1520" s="1098" t="str">
        <f ca="1">IF(LEFT(BD1520,2)="RF",OFFSET(Pinlist!$D$1,Chart!BC1520,0)&amp;"_"&amp;OFFSET(Pinlist!$G$1,Chart!BC1520,0),"")</f>
        <v/>
      </c>
      <c r="BH1520" s="1098"/>
      <c r="BI1520" s="178"/>
      <c r="BJ1520" s="178"/>
      <c r="BK1520" s="178"/>
      <c r="BL1520" s="178"/>
      <c r="BM1520" s="178"/>
      <c r="BN1520" s="178"/>
      <c r="BO1520" s="178"/>
      <c r="BP1520" s="178"/>
      <c r="BQ1520" s="196"/>
      <c r="BR1520" s="196"/>
      <c r="BS1520" s="196"/>
      <c r="BT1520" s="196"/>
      <c r="BU1520" s="196"/>
      <c r="BV1520" s="196"/>
      <c r="BW1520" s="178"/>
      <c r="BX1520" s="196"/>
      <c r="BY1520" s="196"/>
      <c r="BZ1520" s="196"/>
      <c r="CA1520" s="196"/>
      <c r="CB1520" s="178"/>
      <c r="CC1520" s="178"/>
      <c r="CD1520" s="202"/>
      <c r="CE1520" s="202"/>
      <c r="CF1520" s="178"/>
      <c r="CG1520" s="196"/>
      <c r="CH1520" s="178"/>
      <c r="CI1520" s="178"/>
      <c r="CJ1520" s="178"/>
      <c r="CK1520" s="178"/>
      <c r="CL1520" s="178"/>
      <c r="CM1520" s="178"/>
      <c r="CN1520" s="178"/>
      <c r="CO1520" s="178"/>
      <c r="CP1520" s="178"/>
      <c r="CQ1520" s="178"/>
      <c r="CR1520" s="178"/>
      <c r="CS1520" s="178"/>
      <c r="CT1520" s="178"/>
      <c r="CU1520" s="178"/>
      <c r="CV1520" s="178"/>
      <c r="CW1520" s="178"/>
      <c r="CX1520" s="178"/>
      <c r="CY1520" s="178"/>
      <c r="CZ1520" s="178"/>
      <c r="DA1520" s="150"/>
    </row>
    <row r="1521" spans="53:105" x14ac:dyDescent="0.2">
      <c r="BA1521" s="518">
        <f t="shared" ca="1" si="82"/>
        <v>61</v>
      </c>
      <c r="BB1521" s="174">
        <f t="shared" ca="1" si="83"/>
        <v>1458</v>
      </c>
      <c r="BC1521" s="525" t="e">
        <f ca="1">MATCH(BD1521,OFFSET(Pinlist!$A$2,BC1520*(BA1521=BA1520),0,$BM$23,1),0)+BC1520*(BA1521=BA1520)</f>
        <v>#N/A</v>
      </c>
      <c r="BD1521" s="167">
        <f t="shared" ca="1" si="84"/>
        <v>0</v>
      </c>
      <c r="BE1521" s="191" t="e">
        <f ca="1">(OFFSET(Pinlist!$E$1,BC1521,0)-$BN$16)*$BN$19</f>
        <v>#N/A</v>
      </c>
      <c r="BF1521" s="192" t="e">
        <f ca="1">(OFFSET(Pinlist!$F$1,BC1521,0)-$BO$16)*$BO$19</f>
        <v>#N/A</v>
      </c>
      <c r="BG1521" s="1098" t="str">
        <f ca="1">IF(LEFT(BD1521,2)="RF",OFFSET(Pinlist!$D$1,Chart!BC1521,0)&amp;"_"&amp;OFFSET(Pinlist!$G$1,Chart!BC1521,0),"")</f>
        <v/>
      </c>
      <c r="BH1521" s="1098"/>
      <c r="BI1521" s="178"/>
      <c r="BJ1521" s="178"/>
      <c r="BK1521" s="178"/>
      <c r="BL1521" s="178"/>
      <c r="BM1521" s="178"/>
      <c r="BN1521" s="178"/>
      <c r="BO1521" s="178"/>
      <c r="BP1521" s="178"/>
      <c r="BQ1521" s="196"/>
      <c r="BR1521" s="196"/>
      <c r="BS1521" s="196"/>
      <c r="BT1521" s="196"/>
      <c r="BU1521" s="196"/>
      <c r="BV1521" s="196"/>
      <c r="BW1521" s="178"/>
      <c r="BX1521" s="196"/>
      <c r="BY1521" s="196"/>
      <c r="BZ1521" s="196"/>
      <c r="CA1521" s="196"/>
      <c r="CB1521" s="178"/>
      <c r="CC1521" s="178"/>
      <c r="CD1521" s="202"/>
      <c r="CE1521" s="202"/>
      <c r="CF1521" s="178"/>
      <c r="CG1521" s="196"/>
      <c r="CH1521" s="178"/>
      <c r="CI1521" s="178"/>
      <c r="CJ1521" s="178"/>
      <c r="CK1521" s="178"/>
      <c r="CL1521" s="178"/>
      <c r="CM1521" s="178"/>
      <c r="CN1521" s="178"/>
      <c r="CO1521" s="178"/>
      <c r="CP1521" s="178"/>
      <c r="CQ1521" s="178"/>
      <c r="CR1521" s="178"/>
      <c r="CS1521" s="178"/>
      <c r="CT1521" s="178"/>
      <c r="CU1521" s="178"/>
      <c r="CV1521" s="178"/>
      <c r="CW1521" s="178"/>
      <c r="CX1521" s="178"/>
      <c r="CY1521" s="178"/>
      <c r="CZ1521" s="178"/>
      <c r="DA1521" s="150"/>
    </row>
    <row r="1522" spans="53:105" x14ac:dyDescent="0.2">
      <c r="BA1522" s="518">
        <f t="shared" ca="1" si="82"/>
        <v>61</v>
      </c>
      <c r="BB1522" s="174">
        <f t="shared" ca="1" si="83"/>
        <v>1459</v>
      </c>
      <c r="BC1522" s="525" t="e">
        <f ca="1">MATCH(BD1522,OFFSET(Pinlist!$A$2,BC1521*(BA1522=BA1521),0,$BM$23,1),0)+BC1521*(BA1522=BA1521)</f>
        <v>#N/A</v>
      </c>
      <c r="BD1522" s="167">
        <f t="shared" ca="1" si="84"/>
        <v>0</v>
      </c>
      <c r="BE1522" s="191" t="e">
        <f ca="1">(OFFSET(Pinlist!$E$1,BC1522,0)-$BN$16)*$BN$19</f>
        <v>#N/A</v>
      </c>
      <c r="BF1522" s="192" t="e">
        <f ca="1">(OFFSET(Pinlist!$F$1,BC1522,0)-$BO$16)*$BO$19</f>
        <v>#N/A</v>
      </c>
      <c r="BG1522" s="1098" t="str">
        <f ca="1">IF(LEFT(BD1522,2)="RF",OFFSET(Pinlist!$D$1,Chart!BC1522,0)&amp;"_"&amp;OFFSET(Pinlist!$G$1,Chart!BC1522,0),"")</f>
        <v/>
      </c>
      <c r="BH1522" s="1098"/>
      <c r="BI1522" s="178"/>
      <c r="BJ1522" s="178"/>
      <c r="BK1522" s="178"/>
      <c r="BL1522" s="178"/>
      <c r="BM1522" s="178"/>
      <c r="BN1522" s="178"/>
      <c r="BO1522" s="178"/>
      <c r="BP1522" s="178"/>
      <c r="BQ1522" s="196"/>
      <c r="BR1522" s="196"/>
      <c r="BS1522" s="196"/>
      <c r="BT1522" s="196"/>
      <c r="BU1522" s="196"/>
      <c r="BV1522" s="196"/>
      <c r="BW1522" s="178"/>
      <c r="BX1522" s="196"/>
      <c r="BY1522" s="196"/>
      <c r="BZ1522" s="196"/>
      <c r="CA1522" s="196"/>
      <c r="CB1522" s="178"/>
      <c r="CC1522" s="178"/>
      <c r="CD1522" s="202"/>
      <c r="CE1522" s="202"/>
      <c r="CF1522" s="178"/>
      <c r="CG1522" s="196"/>
      <c r="CH1522" s="178"/>
      <c r="CI1522" s="178"/>
      <c r="CJ1522" s="178"/>
      <c r="CK1522" s="178"/>
      <c r="CL1522" s="178"/>
      <c r="CM1522" s="178"/>
      <c r="CN1522" s="178"/>
      <c r="CO1522" s="178"/>
      <c r="CP1522" s="178"/>
      <c r="CQ1522" s="178"/>
      <c r="CR1522" s="178"/>
      <c r="CS1522" s="178"/>
      <c r="CT1522" s="178"/>
      <c r="CU1522" s="178"/>
      <c r="CV1522" s="178"/>
      <c r="CW1522" s="178"/>
      <c r="CX1522" s="178"/>
      <c r="CY1522" s="178"/>
      <c r="CZ1522" s="178"/>
      <c r="DA1522" s="150"/>
    </row>
    <row r="1523" spans="53:105" x14ac:dyDescent="0.2">
      <c r="BA1523" s="518">
        <f t="shared" ca="1" si="82"/>
        <v>61</v>
      </c>
      <c r="BB1523" s="174">
        <f t="shared" ca="1" si="83"/>
        <v>1460</v>
      </c>
      <c r="BC1523" s="525" t="e">
        <f ca="1">MATCH(BD1523,OFFSET(Pinlist!$A$2,BC1522*(BA1523=BA1522),0,$BM$23,1),0)+BC1522*(BA1523=BA1522)</f>
        <v>#N/A</v>
      </c>
      <c r="BD1523" s="167">
        <f t="shared" ca="1" si="84"/>
        <v>0</v>
      </c>
      <c r="BE1523" s="191" t="e">
        <f ca="1">(OFFSET(Pinlist!$E$1,BC1523,0)-$BN$16)*$BN$19</f>
        <v>#N/A</v>
      </c>
      <c r="BF1523" s="192" t="e">
        <f ca="1">(OFFSET(Pinlist!$F$1,BC1523,0)-$BO$16)*$BO$19</f>
        <v>#N/A</v>
      </c>
      <c r="BG1523" s="1098" t="str">
        <f ca="1">IF(LEFT(BD1523,2)="RF",OFFSET(Pinlist!$D$1,Chart!BC1523,0)&amp;"_"&amp;OFFSET(Pinlist!$G$1,Chart!BC1523,0),"")</f>
        <v/>
      </c>
      <c r="BH1523" s="1098"/>
      <c r="BI1523" s="178"/>
      <c r="BJ1523" s="178"/>
      <c r="BK1523" s="178"/>
      <c r="BL1523" s="178"/>
      <c r="BM1523" s="178"/>
      <c r="BN1523" s="178"/>
      <c r="BO1523" s="178"/>
      <c r="BP1523" s="178"/>
      <c r="BQ1523" s="196"/>
      <c r="BR1523" s="196"/>
      <c r="BS1523" s="196"/>
      <c r="BT1523" s="196"/>
      <c r="BU1523" s="196"/>
      <c r="BV1523" s="196"/>
      <c r="BW1523" s="178"/>
      <c r="BX1523" s="196"/>
      <c r="BY1523" s="196"/>
      <c r="BZ1523" s="196"/>
      <c r="CA1523" s="196"/>
      <c r="CB1523" s="178"/>
      <c r="CC1523" s="178"/>
      <c r="CD1523" s="202"/>
      <c r="CE1523" s="202"/>
      <c r="CF1523" s="178"/>
      <c r="CG1523" s="196"/>
      <c r="CH1523" s="178"/>
      <c r="CI1523" s="178"/>
      <c r="CJ1523" s="178"/>
      <c r="CK1523" s="178"/>
      <c r="CL1523" s="178"/>
      <c r="CM1523" s="178"/>
      <c r="CN1523" s="178"/>
      <c r="CO1523" s="178"/>
      <c r="CP1523" s="178"/>
      <c r="CQ1523" s="178"/>
      <c r="CR1523" s="178"/>
      <c r="CS1523" s="178"/>
      <c r="CT1523" s="178"/>
      <c r="CU1523" s="178"/>
      <c r="CV1523" s="178"/>
      <c r="CW1523" s="178"/>
      <c r="CX1523" s="178"/>
      <c r="CY1523" s="178"/>
      <c r="CZ1523" s="178"/>
      <c r="DA1523" s="150"/>
    </row>
    <row r="1524" spans="53:105" x14ac:dyDescent="0.2">
      <c r="BA1524" s="518">
        <f t="shared" ca="1" si="82"/>
        <v>61</v>
      </c>
      <c r="BB1524" s="174">
        <f t="shared" ca="1" si="83"/>
        <v>1461</v>
      </c>
      <c r="BC1524" s="525" t="e">
        <f ca="1">MATCH(BD1524,OFFSET(Pinlist!$A$2,BC1523*(BA1524=BA1523),0,$BM$23,1),0)+BC1523*(BA1524=BA1523)</f>
        <v>#N/A</v>
      </c>
      <c r="BD1524" s="167">
        <f t="shared" ca="1" si="84"/>
        <v>0</v>
      </c>
      <c r="BE1524" s="191" t="e">
        <f ca="1">(OFFSET(Pinlist!$E$1,BC1524,0)-$BN$16)*$BN$19</f>
        <v>#N/A</v>
      </c>
      <c r="BF1524" s="192" t="e">
        <f ca="1">(OFFSET(Pinlist!$F$1,BC1524,0)-$BO$16)*$BO$19</f>
        <v>#N/A</v>
      </c>
      <c r="BG1524" s="1098" t="str">
        <f ca="1">IF(LEFT(BD1524,2)="RF",OFFSET(Pinlist!$D$1,Chart!BC1524,0)&amp;"_"&amp;OFFSET(Pinlist!$G$1,Chart!BC1524,0),"")</f>
        <v/>
      </c>
      <c r="BH1524" s="1098"/>
      <c r="BI1524" s="178"/>
      <c r="BJ1524" s="178"/>
      <c r="BK1524" s="178"/>
      <c r="BL1524" s="178"/>
      <c r="BM1524" s="178"/>
      <c r="BN1524" s="178"/>
      <c r="BO1524" s="178"/>
      <c r="BP1524" s="178"/>
      <c r="BQ1524" s="196"/>
      <c r="BR1524" s="196"/>
      <c r="BS1524" s="196"/>
      <c r="BT1524" s="196"/>
      <c r="BU1524" s="196"/>
      <c r="BV1524" s="196"/>
      <c r="BW1524" s="178"/>
      <c r="BX1524" s="196"/>
      <c r="BY1524" s="196"/>
      <c r="BZ1524" s="196"/>
      <c r="CA1524" s="196"/>
      <c r="CB1524" s="178"/>
      <c r="CC1524" s="178"/>
      <c r="CD1524" s="202"/>
      <c r="CE1524" s="202"/>
      <c r="CF1524" s="178"/>
      <c r="CG1524" s="196"/>
      <c r="CH1524" s="178"/>
      <c r="CI1524" s="178"/>
      <c r="CJ1524" s="178"/>
      <c r="CK1524" s="178"/>
      <c r="CL1524" s="178"/>
      <c r="CM1524" s="178"/>
      <c r="CN1524" s="178"/>
      <c r="CO1524" s="178"/>
      <c r="CP1524" s="178"/>
      <c r="CQ1524" s="178"/>
      <c r="CR1524" s="178"/>
      <c r="CS1524" s="178"/>
      <c r="CT1524" s="178"/>
      <c r="CU1524" s="178"/>
      <c r="CV1524" s="178"/>
      <c r="CW1524" s="178"/>
      <c r="CX1524" s="178"/>
      <c r="CY1524" s="178"/>
      <c r="CZ1524" s="178"/>
      <c r="DA1524" s="150"/>
    </row>
    <row r="1525" spans="53:105" x14ac:dyDescent="0.2">
      <c r="BA1525" s="518">
        <f t="shared" ca="1" si="82"/>
        <v>61</v>
      </c>
      <c r="BB1525" s="174">
        <f t="shared" ca="1" si="83"/>
        <v>1462</v>
      </c>
      <c r="BC1525" s="525" t="e">
        <f ca="1">MATCH(BD1525,OFFSET(Pinlist!$A$2,BC1524*(BA1525=BA1524),0,$BM$23,1),0)+BC1524*(BA1525=BA1524)</f>
        <v>#N/A</v>
      </c>
      <c r="BD1525" s="167">
        <f t="shared" ca="1" si="84"/>
        <v>0</v>
      </c>
      <c r="BE1525" s="191" t="e">
        <f ca="1">(OFFSET(Pinlist!$E$1,BC1525,0)-$BN$16)*$BN$19</f>
        <v>#N/A</v>
      </c>
      <c r="BF1525" s="192" t="e">
        <f ca="1">(OFFSET(Pinlist!$F$1,BC1525,0)-$BO$16)*$BO$19</f>
        <v>#N/A</v>
      </c>
      <c r="BG1525" s="1098" t="str">
        <f ca="1">IF(LEFT(BD1525,2)="RF",OFFSET(Pinlist!$D$1,Chart!BC1525,0)&amp;"_"&amp;OFFSET(Pinlist!$G$1,Chart!BC1525,0),"")</f>
        <v/>
      </c>
      <c r="BH1525" s="1098"/>
      <c r="BI1525" s="178"/>
      <c r="BJ1525" s="178"/>
      <c r="BK1525" s="178"/>
      <c r="BL1525" s="178"/>
      <c r="BM1525" s="178"/>
      <c r="BN1525" s="178"/>
      <c r="BO1525" s="178"/>
      <c r="BP1525" s="178"/>
      <c r="BQ1525" s="196"/>
      <c r="BR1525" s="196"/>
      <c r="BS1525" s="196"/>
      <c r="BT1525" s="196"/>
      <c r="BU1525" s="196"/>
      <c r="BV1525" s="196"/>
      <c r="BW1525" s="178"/>
      <c r="BX1525" s="196"/>
      <c r="BY1525" s="196"/>
      <c r="BZ1525" s="196"/>
      <c r="CA1525" s="196"/>
      <c r="CB1525" s="178"/>
      <c r="CC1525" s="178"/>
      <c r="CD1525" s="202"/>
      <c r="CE1525" s="202"/>
      <c r="CF1525" s="178"/>
      <c r="CG1525" s="196"/>
      <c r="CH1525" s="178"/>
      <c r="CI1525" s="178"/>
      <c r="CJ1525" s="178"/>
      <c r="CK1525" s="178"/>
      <c r="CL1525" s="178"/>
      <c r="CM1525" s="178"/>
      <c r="CN1525" s="178"/>
      <c r="CO1525" s="178"/>
      <c r="CP1525" s="178"/>
      <c r="CQ1525" s="178"/>
      <c r="CR1525" s="178"/>
      <c r="CS1525" s="178"/>
      <c r="CT1525" s="178"/>
      <c r="CU1525" s="178"/>
      <c r="CV1525" s="178"/>
      <c r="CW1525" s="178"/>
      <c r="CX1525" s="178"/>
      <c r="CY1525" s="178"/>
      <c r="CZ1525" s="178"/>
      <c r="DA1525" s="150"/>
    </row>
    <row r="1526" spans="53:105" x14ac:dyDescent="0.2">
      <c r="BA1526" s="518">
        <f t="shared" ca="1" si="82"/>
        <v>61</v>
      </c>
      <c r="BB1526" s="174">
        <f t="shared" ca="1" si="83"/>
        <v>1463</v>
      </c>
      <c r="BC1526" s="525" t="e">
        <f ca="1">MATCH(BD1526,OFFSET(Pinlist!$A$2,BC1525*(BA1526=BA1525),0,$BM$23,1),0)+BC1525*(BA1526=BA1525)</f>
        <v>#N/A</v>
      </c>
      <c r="BD1526" s="167">
        <f t="shared" ca="1" si="84"/>
        <v>0</v>
      </c>
      <c r="BE1526" s="191" t="e">
        <f ca="1">(OFFSET(Pinlist!$E$1,BC1526,0)-$BN$16)*$BN$19</f>
        <v>#N/A</v>
      </c>
      <c r="BF1526" s="192" t="e">
        <f ca="1">(OFFSET(Pinlist!$F$1,BC1526,0)-$BO$16)*$BO$19</f>
        <v>#N/A</v>
      </c>
      <c r="BG1526" s="1098" t="str">
        <f ca="1">IF(LEFT(BD1526,2)="RF",OFFSET(Pinlist!$D$1,Chart!BC1526,0)&amp;"_"&amp;OFFSET(Pinlist!$G$1,Chart!BC1526,0),"")</f>
        <v/>
      </c>
      <c r="BH1526" s="1098"/>
      <c r="BI1526" s="178"/>
      <c r="BJ1526" s="178"/>
      <c r="BK1526" s="178"/>
      <c r="BL1526" s="178"/>
      <c r="BM1526" s="178"/>
      <c r="BN1526" s="178"/>
      <c r="BO1526" s="178"/>
      <c r="BP1526" s="178"/>
      <c r="BQ1526" s="196"/>
      <c r="BR1526" s="196"/>
      <c r="BS1526" s="196"/>
      <c r="BT1526" s="196"/>
      <c r="BU1526" s="196"/>
      <c r="BV1526" s="196"/>
      <c r="BW1526" s="178"/>
      <c r="BX1526" s="196"/>
      <c r="BY1526" s="196"/>
      <c r="BZ1526" s="196"/>
      <c r="CA1526" s="196"/>
      <c r="CB1526" s="178"/>
      <c r="CC1526" s="178"/>
      <c r="CD1526" s="202"/>
      <c r="CE1526" s="202"/>
      <c r="CF1526" s="178"/>
      <c r="CG1526" s="196"/>
      <c r="CH1526" s="178"/>
      <c r="CI1526" s="178"/>
      <c r="CJ1526" s="178"/>
      <c r="CK1526" s="178"/>
      <c r="CL1526" s="178"/>
      <c r="CM1526" s="178"/>
      <c r="CN1526" s="178"/>
      <c r="CO1526" s="178"/>
      <c r="CP1526" s="178"/>
      <c r="CQ1526" s="178"/>
      <c r="CR1526" s="178"/>
      <c r="CS1526" s="178"/>
      <c r="CT1526" s="178"/>
      <c r="CU1526" s="178"/>
      <c r="CV1526" s="178"/>
      <c r="CW1526" s="178"/>
      <c r="CX1526" s="178"/>
      <c r="CY1526" s="178"/>
      <c r="CZ1526" s="178"/>
      <c r="DA1526" s="150"/>
    </row>
    <row r="1527" spans="53:105" x14ac:dyDescent="0.2">
      <c r="BA1527" s="518">
        <f t="shared" ca="1" si="82"/>
        <v>61</v>
      </c>
      <c r="BB1527" s="174">
        <f t="shared" ca="1" si="83"/>
        <v>1464</v>
      </c>
      <c r="BC1527" s="525" t="e">
        <f ca="1">MATCH(BD1527,OFFSET(Pinlist!$A$2,BC1526*(BA1527=BA1526),0,$BM$23,1),0)+BC1526*(BA1527=BA1526)</f>
        <v>#N/A</v>
      </c>
      <c r="BD1527" s="167">
        <f t="shared" ca="1" si="84"/>
        <v>0</v>
      </c>
      <c r="BE1527" s="191" t="e">
        <f ca="1">(OFFSET(Pinlist!$E$1,BC1527,0)-$BN$16)*$BN$19</f>
        <v>#N/A</v>
      </c>
      <c r="BF1527" s="192" t="e">
        <f ca="1">(OFFSET(Pinlist!$F$1,BC1527,0)-$BO$16)*$BO$19</f>
        <v>#N/A</v>
      </c>
      <c r="BG1527" s="1098" t="str">
        <f ca="1">IF(LEFT(BD1527,2)="RF",OFFSET(Pinlist!$D$1,Chart!BC1527,0)&amp;"_"&amp;OFFSET(Pinlist!$G$1,Chart!BC1527,0),"")</f>
        <v/>
      </c>
      <c r="BH1527" s="1098"/>
      <c r="BI1527" s="178"/>
      <c r="BJ1527" s="178"/>
      <c r="BK1527" s="178"/>
      <c r="BL1527" s="178"/>
      <c r="BM1527" s="178"/>
      <c r="BN1527" s="178"/>
      <c r="BO1527" s="178"/>
      <c r="BP1527" s="178"/>
      <c r="BQ1527" s="196"/>
      <c r="BR1527" s="196"/>
      <c r="BS1527" s="196"/>
      <c r="BT1527" s="196"/>
      <c r="BU1527" s="196"/>
      <c r="BV1527" s="196"/>
      <c r="BW1527" s="178"/>
      <c r="BX1527" s="196"/>
      <c r="BY1527" s="196"/>
      <c r="BZ1527" s="196"/>
      <c r="CA1527" s="196"/>
      <c r="CB1527" s="178"/>
      <c r="CC1527" s="178"/>
      <c r="CD1527" s="202"/>
      <c r="CE1527" s="202"/>
      <c r="CF1527" s="178"/>
      <c r="CG1527" s="196"/>
      <c r="CH1527" s="178"/>
      <c r="CI1527" s="178"/>
      <c r="CJ1527" s="178"/>
      <c r="CK1527" s="178"/>
      <c r="CL1527" s="178"/>
      <c r="CM1527" s="178"/>
      <c r="CN1527" s="178"/>
      <c r="CO1527" s="178"/>
      <c r="CP1527" s="178"/>
      <c r="CQ1527" s="178"/>
      <c r="CR1527" s="178"/>
      <c r="CS1527" s="178"/>
      <c r="CT1527" s="178"/>
      <c r="CU1527" s="178"/>
      <c r="CV1527" s="178"/>
      <c r="CW1527" s="178"/>
      <c r="CX1527" s="178"/>
      <c r="CY1527" s="178"/>
      <c r="CZ1527" s="178"/>
      <c r="DA1527" s="150"/>
    </row>
    <row r="1528" spans="53:105" x14ac:dyDescent="0.2">
      <c r="BA1528" s="518">
        <f t="shared" ca="1" si="82"/>
        <v>61</v>
      </c>
      <c r="BB1528" s="174">
        <f t="shared" ca="1" si="83"/>
        <v>1465</v>
      </c>
      <c r="BC1528" s="525" t="e">
        <f ca="1">MATCH(BD1528,OFFSET(Pinlist!$A$2,BC1527*(BA1528=BA1527),0,$BM$23,1),0)+BC1527*(BA1528=BA1527)</f>
        <v>#N/A</v>
      </c>
      <c r="BD1528" s="167">
        <f t="shared" ca="1" si="84"/>
        <v>0</v>
      </c>
      <c r="BE1528" s="191" t="e">
        <f ca="1">(OFFSET(Pinlist!$E$1,BC1528,0)-$BN$16)*$BN$19</f>
        <v>#N/A</v>
      </c>
      <c r="BF1528" s="192" t="e">
        <f ca="1">(OFFSET(Pinlist!$F$1,BC1528,0)-$BO$16)*$BO$19</f>
        <v>#N/A</v>
      </c>
      <c r="BG1528" s="1098" t="str">
        <f ca="1">IF(LEFT(BD1528,2)="RF",OFFSET(Pinlist!$D$1,Chart!BC1528,0)&amp;"_"&amp;OFFSET(Pinlist!$G$1,Chart!BC1528,0),"")</f>
        <v/>
      </c>
      <c r="BH1528" s="1098"/>
      <c r="BI1528" s="178"/>
      <c r="BJ1528" s="178"/>
      <c r="BK1528" s="178"/>
      <c r="BL1528" s="178"/>
      <c r="BM1528" s="178"/>
      <c r="BN1528" s="178"/>
      <c r="BO1528" s="178"/>
      <c r="BP1528" s="178"/>
      <c r="BQ1528" s="196"/>
      <c r="BR1528" s="196"/>
      <c r="BS1528" s="196"/>
      <c r="BT1528" s="196"/>
      <c r="BU1528" s="196"/>
      <c r="BV1528" s="196"/>
      <c r="BW1528" s="178"/>
      <c r="BX1528" s="196"/>
      <c r="BY1528" s="196"/>
      <c r="BZ1528" s="196"/>
      <c r="CA1528" s="196"/>
      <c r="CB1528" s="178"/>
      <c r="CC1528" s="178"/>
      <c r="CD1528" s="202"/>
      <c r="CE1528" s="202"/>
      <c r="CF1528" s="178"/>
      <c r="CG1528" s="196"/>
      <c r="CH1528" s="178"/>
      <c r="CI1528" s="178"/>
      <c r="CJ1528" s="178"/>
      <c r="CK1528" s="178"/>
      <c r="CL1528" s="178"/>
      <c r="CM1528" s="178"/>
      <c r="CN1528" s="178"/>
      <c r="CO1528" s="178"/>
      <c r="CP1528" s="178"/>
      <c r="CQ1528" s="178"/>
      <c r="CR1528" s="178"/>
      <c r="CS1528" s="178"/>
      <c r="CT1528" s="178"/>
      <c r="CU1528" s="178"/>
      <c r="CV1528" s="178"/>
      <c r="CW1528" s="178"/>
      <c r="CX1528" s="178"/>
      <c r="CY1528" s="178"/>
      <c r="CZ1528" s="178"/>
      <c r="DA1528" s="150"/>
    </row>
    <row r="1529" spans="53:105" x14ac:dyDescent="0.2">
      <c r="BA1529" s="518">
        <f t="shared" ca="1" si="82"/>
        <v>61</v>
      </c>
      <c r="BB1529" s="174">
        <f t="shared" ca="1" si="83"/>
        <v>1466</v>
      </c>
      <c r="BC1529" s="525" t="e">
        <f ca="1">MATCH(BD1529,OFFSET(Pinlist!$A$2,BC1528*(BA1529=BA1528),0,$BM$23,1),0)+BC1528*(BA1529=BA1528)</f>
        <v>#N/A</v>
      </c>
      <c r="BD1529" s="167">
        <f t="shared" ca="1" si="84"/>
        <v>0</v>
      </c>
      <c r="BE1529" s="191" t="e">
        <f ca="1">(OFFSET(Pinlist!$E$1,BC1529,0)-$BN$16)*$BN$19</f>
        <v>#N/A</v>
      </c>
      <c r="BF1529" s="192" t="e">
        <f ca="1">(OFFSET(Pinlist!$F$1,BC1529,0)-$BO$16)*$BO$19</f>
        <v>#N/A</v>
      </c>
      <c r="BG1529" s="1098" t="str">
        <f ca="1">IF(LEFT(BD1529,2)="RF",OFFSET(Pinlist!$D$1,Chart!BC1529,0)&amp;"_"&amp;OFFSET(Pinlist!$G$1,Chart!BC1529,0),"")</f>
        <v/>
      </c>
      <c r="BH1529" s="1098"/>
      <c r="BI1529" s="178"/>
      <c r="BJ1529" s="178"/>
      <c r="BK1529" s="178"/>
      <c r="BL1529" s="178"/>
      <c r="BM1529" s="178"/>
      <c r="BN1529" s="178"/>
      <c r="BO1529" s="178"/>
      <c r="BP1529" s="178"/>
      <c r="BQ1529" s="196"/>
      <c r="BR1529" s="196"/>
      <c r="BS1529" s="196"/>
      <c r="BT1529" s="196"/>
      <c r="BU1529" s="196"/>
      <c r="BV1529" s="196"/>
      <c r="BW1529" s="178"/>
      <c r="BX1529" s="196"/>
      <c r="BY1529" s="196"/>
      <c r="BZ1529" s="196"/>
      <c r="CA1529" s="196"/>
      <c r="CB1529" s="178"/>
      <c r="CC1529" s="178"/>
      <c r="CD1529" s="202"/>
      <c r="CE1529" s="202"/>
      <c r="CF1529" s="178"/>
      <c r="CG1529" s="196"/>
      <c r="CH1529" s="178"/>
      <c r="CI1529" s="178"/>
      <c r="CJ1529" s="178"/>
      <c r="CK1529" s="178"/>
      <c r="CL1529" s="178"/>
      <c r="CM1529" s="178"/>
      <c r="CN1529" s="178"/>
      <c r="CO1529" s="178"/>
      <c r="CP1529" s="178"/>
      <c r="CQ1529" s="178"/>
      <c r="CR1529" s="178"/>
      <c r="CS1529" s="178"/>
      <c r="CT1529" s="178"/>
      <c r="CU1529" s="178"/>
      <c r="CV1529" s="178"/>
      <c r="CW1529" s="178"/>
      <c r="CX1529" s="178"/>
      <c r="CY1529" s="178"/>
      <c r="CZ1529" s="178"/>
      <c r="DA1529" s="150"/>
    </row>
    <row r="1530" spans="53:105" x14ac:dyDescent="0.2">
      <c r="BA1530" s="518">
        <f t="shared" ca="1" si="82"/>
        <v>61</v>
      </c>
      <c r="BB1530" s="174">
        <f t="shared" ca="1" si="83"/>
        <v>1467</v>
      </c>
      <c r="BC1530" s="525" t="e">
        <f ca="1">MATCH(BD1530,OFFSET(Pinlist!$A$2,BC1529*(BA1530=BA1529),0,$BM$23,1),0)+BC1529*(BA1530=BA1529)</f>
        <v>#N/A</v>
      </c>
      <c r="BD1530" s="167">
        <f t="shared" ca="1" si="84"/>
        <v>0</v>
      </c>
      <c r="BE1530" s="191" t="e">
        <f ca="1">(OFFSET(Pinlist!$E$1,BC1530,0)-$BN$16)*$BN$19</f>
        <v>#N/A</v>
      </c>
      <c r="BF1530" s="192" t="e">
        <f ca="1">(OFFSET(Pinlist!$F$1,BC1530,0)-$BO$16)*$BO$19</f>
        <v>#N/A</v>
      </c>
      <c r="BG1530" s="1098" t="str">
        <f ca="1">IF(LEFT(BD1530,2)="RF",OFFSET(Pinlist!$D$1,Chart!BC1530,0)&amp;"_"&amp;OFFSET(Pinlist!$G$1,Chart!BC1530,0),"")</f>
        <v/>
      </c>
      <c r="BH1530" s="1098"/>
      <c r="BI1530" s="178"/>
      <c r="BJ1530" s="178"/>
      <c r="BK1530" s="178"/>
      <c r="BL1530" s="178"/>
      <c r="BM1530" s="178"/>
      <c r="BN1530" s="178"/>
      <c r="BO1530" s="178"/>
      <c r="BP1530" s="178"/>
      <c r="BQ1530" s="196"/>
      <c r="BR1530" s="196"/>
      <c r="BS1530" s="196"/>
      <c r="BT1530" s="196"/>
      <c r="BU1530" s="196"/>
      <c r="BV1530" s="196"/>
      <c r="BW1530" s="178"/>
      <c r="BX1530" s="196"/>
      <c r="BY1530" s="196"/>
      <c r="BZ1530" s="196"/>
      <c r="CA1530" s="196"/>
      <c r="CB1530" s="178"/>
      <c r="CC1530" s="178"/>
      <c r="CD1530" s="202"/>
      <c r="CE1530" s="202"/>
      <c r="CF1530" s="178"/>
      <c r="CG1530" s="196"/>
      <c r="CH1530" s="178"/>
      <c r="CI1530" s="178"/>
      <c r="CJ1530" s="178"/>
      <c r="CK1530" s="178"/>
      <c r="CL1530" s="178"/>
      <c r="CM1530" s="178"/>
      <c r="CN1530" s="178"/>
      <c r="CO1530" s="178"/>
      <c r="CP1530" s="178"/>
      <c r="CQ1530" s="178"/>
      <c r="CR1530" s="178"/>
      <c r="CS1530" s="178"/>
      <c r="CT1530" s="178"/>
      <c r="CU1530" s="178"/>
      <c r="CV1530" s="178"/>
      <c r="CW1530" s="178"/>
      <c r="CX1530" s="178"/>
      <c r="CY1530" s="178"/>
      <c r="CZ1530" s="178"/>
      <c r="DA1530" s="150"/>
    </row>
    <row r="1531" spans="53:105" x14ac:dyDescent="0.2">
      <c r="BA1531" s="518">
        <f t="shared" ca="1" si="82"/>
        <v>61</v>
      </c>
      <c r="BB1531" s="174">
        <f t="shared" ca="1" si="83"/>
        <v>1468</v>
      </c>
      <c r="BC1531" s="525" t="e">
        <f ca="1">MATCH(BD1531,OFFSET(Pinlist!$A$2,BC1530*(BA1531=BA1530),0,$BM$23,1),0)+BC1530*(BA1531=BA1530)</f>
        <v>#N/A</v>
      </c>
      <c r="BD1531" s="167">
        <f t="shared" ca="1" si="84"/>
        <v>0</v>
      </c>
      <c r="BE1531" s="191" t="e">
        <f ca="1">(OFFSET(Pinlist!$E$1,BC1531,0)-$BN$16)*$BN$19</f>
        <v>#N/A</v>
      </c>
      <c r="BF1531" s="192" t="e">
        <f ca="1">(OFFSET(Pinlist!$F$1,BC1531,0)-$BO$16)*$BO$19</f>
        <v>#N/A</v>
      </c>
      <c r="BG1531" s="1098" t="str">
        <f ca="1">IF(LEFT(BD1531,2)="RF",OFFSET(Pinlist!$D$1,Chart!BC1531,0)&amp;"_"&amp;OFFSET(Pinlist!$G$1,Chart!BC1531,0),"")</f>
        <v/>
      </c>
      <c r="BH1531" s="1098"/>
      <c r="BI1531" s="178"/>
      <c r="BJ1531" s="178"/>
      <c r="BK1531" s="178"/>
      <c r="BL1531" s="178"/>
      <c r="BM1531" s="178"/>
      <c r="BN1531" s="178"/>
      <c r="BO1531" s="178"/>
      <c r="BP1531" s="178"/>
      <c r="BQ1531" s="196"/>
      <c r="BR1531" s="196"/>
      <c r="BS1531" s="196"/>
      <c r="BT1531" s="196"/>
      <c r="BU1531" s="196"/>
      <c r="BV1531" s="196"/>
      <c r="BW1531" s="178"/>
      <c r="BX1531" s="196"/>
      <c r="BY1531" s="196"/>
      <c r="BZ1531" s="196"/>
      <c r="CA1531" s="196"/>
      <c r="CB1531" s="178"/>
      <c r="CC1531" s="178"/>
      <c r="CD1531" s="202"/>
      <c r="CE1531" s="202"/>
      <c r="CF1531" s="178"/>
      <c r="CG1531" s="196"/>
      <c r="CH1531" s="178"/>
      <c r="CI1531" s="178"/>
      <c r="CJ1531" s="178"/>
      <c r="CK1531" s="178"/>
      <c r="CL1531" s="178"/>
      <c r="CM1531" s="178"/>
      <c r="CN1531" s="178"/>
      <c r="CO1531" s="178"/>
      <c r="CP1531" s="178"/>
      <c r="CQ1531" s="178"/>
      <c r="CR1531" s="178"/>
      <c r="CS1531" s="178"/>
      <c r="CT1531" s="178"/>
      <c r="CU1531" s="178"/>
      <c r="CV1531" s="178"/>
      <c r="CW1531" s="178"/>
      <c r="CX1531" s="178"/>
      <c r="CY1531" s="178"/>
      <c r="CZ1531" s="178"/>
      <c r="DA1531" s="150"/>
    </row>
    <row r="1532" spans="53:105" x14ac:dyDescent="0.2">
      <c r="BA1532" s="518">
        <f t="shared" ca="1" si="82"/>
        <v>61</v>
      </c>
      <c r="BB1532" s="174">
        <f t="shared" ca="1" si="83"/>
        <v>1469</v>
      </c>
      <c r="BC1532" s="525" t="e">
        <f ca="1">MATCH(BD1532,OFFSET(Pinlist!$A$2,BC1531*(BA1532=BA1531),0,$BM$23,1),0)+BC1531*(BA1532=BA1531)</f>
        <v>#N/A</v>
      </c>
      <c r="BD1532" s="167">
        <f t="shared" ca="1" si="84"/>
        <v>0</v>
      </c>
      <c r="BE1532" s="191" t="e">
        <f ca="1">(OFFSET(Pinlist!$E$1,BC1532,0)-$BN$16)*$BN$19</f>
        <v>#N/A</v>
      </c>
      <c r="BF1532" s="192" t="e">
        <f ca="1">(OFFSET(Pinlist!$F$1,BC1532,0)-$BO$16)*$BO$19</f>
        <v>#N/A</v>
      </c>
      <c r="BG1532" s="1098" t="str">
        <f ca="1">IF(LEFT(BD1532,2)="RF",OFFSET(Pinlist!$D$1,Chart!BC1532,0)&amp;"_"&amp;OFFSET(Pinlist!$G$1,Chart!BC1532,0),"")</f>
        <v/>
      </c>
      <c r="BH1532" s="1098"/>
      <c r="BI1532" s="178"/>
      <c r="BJ1532" s="178"/>
      <c r="BK1532" s="178"/>
      <c r="BL1532" s="178"/>
      <c r="BM1532" s="178"/>
      <c r="BN1532" s="178"/>
      <c r="BO1532" s="178"/>
      <c r="BP1532" s="178"/>
      <c r="BQ1532" s="196"/>
      <c r="BR1532" s="196"/>
      <c r="BS1532" s="196"/>
      <c r="BT1532" s="196"/>
      <c r="BU1532" s="196"/>
      <c r="BV1532" s="196"/>
      <c r="BW1532" s="178"/>
      <c r="BX1532" s="196"/>
      <c r="BY1532" s="196"/>
      <c r="BZ1532" s="196"/>
      <c r="CA1532" s="196"/>
      <c r="CB1532" s="178"/>
      <c r="CC1532" s="178"/>
      <c r="CD1532" s="202"/>
      <c r="CE1532" s="202"/>
      <c r="CF1532" s="178"/>
      <c r="CG1532" s="196"/>
      <c r="CH1532" s="178"/>
      <c r="CI1532" s="178"/>
      <c r="CJ1532" s="178"/>
      <c r="CK1532" s="178"/>
      <c r="CL1532" s="178"/>
      <c r="CM1532" s="178"/>
      <c r="CN1532" s="178"/>
      <c r="CO1532" s="178"/>
      <c r="CP1532" s="178"/>
      <c r="CQ1532" s="178"/>
      <c r="CR1532" s="178"/>
      <c r="CS1532" s="178"/>
      <c r="CT1532" s="178"/>
      <c r="CU1532" s="178"/>
      <c r="CV1532" s="178"/>
      <c r="CW1532" s="178"/>
      <c r="CX1532" s="178"/>
      <c r="CY1532" s="178"/>
      <c r="CZ1532" s="178"/>
      <c r="DA1532" s="150"/>
    </row>
    <row r="1533" spans="53:105" x14ac:dyDescent="0.2">
      <c r="BA1533" s="518">
        <f t="shared" ca="1" si="82"/>
        <v>61</v>
      </c>
      <c r="BB1533" s="174">
        <f t="shared" ca="1" si="83"/>
        <v>1470</v>
      </c>
      <c r="BC1533" s="525" t="e">
        <f ca="1">MATCH(BD1533,OFFSET(Pinlist!$A$2,BC1532*(BA1533=BA1532),0,$BM$23,1),0)+BC1532*(BA1533=BA1532)</f>
        <v>#N/A</v>
      </c>
      <c r="BD1533" s="167">
        <f t="shared" ca="1" si="84"/>
        <v>0</v>
      </c>
      <c r="BE1533" s="191" t="e">
        <f ca="1">(OFFSET(Pinlist!$E$1,BC1533,0)-$BN$16)*$BN$19</f>
        <v>#N/A</v>
      </c>
      <c r="BF1533" s="192" t="e">
        <f ca="1">(OFFSET(Pinlist!$F$1,BC1533,0)-$BO$16)*$BO$19</f>
        <v>#N/A</v>
      </c>
      <c r="BG1533" s="1098" t="str">
        <f ca="1">IF(LEFT(BD1533,2)="RF",OFFSET(Pinlist!$D$1,Chart!BC1533,0)&amp;"_"&amp;OFFSET(Pinlist!$G$1,Chart!BC1533,0),"")</f>
        <v/>
      </c>
      <c r="BH1533" s="1098"/>
      <c r="BI1533" s="178"/>
      <c r="BJ1533" s="178"/>
      <c r="BK1533" s="178"/>
      <c r="BL1533" s="178"/>
      <c r="BM1533" s="178"/>
      <c r="BN1533" s="178"/>
      <c r="BO1533" s="178"/>
      <c r="BP1533" s="178"/>
      <c r="BQ1533" s="196"/>
      <c r="BR1533" s="196"/>
      <c r="BS1533" s="196"/>
      <c r="BT1533" s="196"/>
      <c r="BU1533" s="196"/>
      <c r="BV1533" s="196"/>
      <c r="BW1533" s="178"/>
      <c r="BX1533" s="196"/>
      <c r="BY1533" s="196"/>
      <c r="BZ1533" s="196"/>
      <c r="CA1533" s="196"/>
      <c r="CB1533" s="178"/>
      <c r="CC1533" s="178"/>
      <c r="CD1533" s="202"/>
      <c r="CE1533" s="202"/>
      <c r="CF1533" s="178"/>
      <c r="CG1533" s="196"/>
      <c r="CH1533" s="178"/>
      <c r="CI1533" s="178"/>
      <c r="CJ1533" s="178"/>
      <c r="CK1533" s="178"/>
      <c r="CL1533" s="178"/>
      <c r="CM1533" s="178"/>
      <c r="CN1533" s="178"/>
      <c r="CO1533" s="178"/>
      <c r="CP1533" s="178"/>
      <c r="CQ1533" s="178"/>
      <c r="CR1533" s="178"/>
      <c r="CS1533" s="178"/>
      <c r="CT1533" s="178"/>
      <c r="CU1533" s="178"/>
      <c r="CV1533" s="178"/>
      <c r="CW1533" s="178"/>
      <c r="CX1533" s="178"/>
      <c r="CY1533" s="178"/>
      <c r="CZ1533" s="178"/>
      <c r="DA1533" s="150"/>
    </row>
    <row r="1534" spans="53:105" x14ac:dyDescent="0.2">
      <c r="BA1534" s="518">
        <f t="shared" ca="1" si="82"/>
        <v>61</v>
      </c>
      <c r="BB1534" s="174">
        <f t="shared" ca="1" si="83"/>
        <v>1471</v>
      </c>
      <c r="BC1534" s="525" t="e">
        <f ca="1">MATCH(BD1534,OFFSET(Pinlist!$A$2,BC1533*(BA1534=BA1533),0,$BM$23,1),0)+BC1533*(BA1534=BA1533)</f>
        <v>#N/A</v>
      </c>
      <c r="BD1534" s="167">
        <f t="shared" ca="1" si="84"/>
        <v>0</v>
      </c>
      <c r="BE1534" s="191" t="e">
        <f ca="1">(OFFSET(Pinlist!$E$1,BC1534,0)-$BN$16)*$BN$19</f>
        <v>#N/A</v>
      </c>
      <c r="BF1534" s="192" t="e">
        <f ca="1">(OFFSET(Pinlist!$F$1,BC1534,0)-$BO$16)*$BO$19</f>
        <v>#N/A</v>
      </c>
      <c r="BG1534" s="1098" t="str">
        <f ca="1">IF(LEFT(BD1534,2)="RF",OFFSET(Pinlist!$D$1,Chart!BC1534,0)&amp;"_"&amp;OFFSET(Pinlist!$G$1,Chart!BC1534,0),"")</f>
        <v/>
      </c>
      <c r="BH1534" s="1098"/>
      <c r="BI1534" s="178"/>
      <c r="BJ1534" s="178"/>
      <c r="BK1534" s="178"/>
      <c r="BL1534" s="178"/>
      <c r="BM1534" s="178"/>
      <c r="BN1534" s="178"/>
      <c r="BO1534" s="178"/>
      <c r="BP1534" s="178"/>
      <c r="BQ1534" s="196"/>
      <c r="BR1534" s="196"/>
      <c r="BS1534" s="196"/>
      <c r="BT1534" s="196"/>
      <c r="BU1534" s="196"/>
      <c r="BV1534" s="196"/>
      <c r="BW1534" s="178"/>
      <c r="BX1534" s="196"/>
      <c r="BY1534" s="196"/>
      <c r="BZ1534" s="196"/>
      <c r="CA1534" s="196"/>
      <c r="CB1534" s="178"/>
      <c r="CC1534" s="178"/>
      <c r="CD1534" s="202"/>
      <c r="CE1534" s="202"/>
      <c r="CF1534" s="178"/>
      <c r="CG1534" s="196"/>
      <c r="CH1534" s="178"/>
      <c r="CI1534" s="178"/>
      <c r="CJ1534" s="178"/>
      <c r="CK1534" s="178"/>
      <c r="CL1534" s="178"/>
      <c r="CM1534" s="178"/>
      <c r="CN1534" s="178"/>
      <c r="CO1534" s="178"/>
      <c r="CP1534" s="178"/>
      <c r="CQ1534" s="178"/>
      <c r="CR1534" s="178"/>
      <c r="CS1534" s="178"/>
      <c r="CT1534" s="178"/>
      <c r="CU1534" s="178"/>
      <c r="CV1534" s="178"/>
      <c r="CW1534" s="178"/>
      <c r="CX1534" s="178"/>
      <c r="CY1534" s="178"/>
      <c r="CZ1534" s="178"/>
      <c r="DA1534" s="150"/>
    </row>
    <row r="1535" spans="53:105" x14ac:dyDescent="0.2">
      <c r="BA1535" s="518">
        <f t="shared" ca="1" si="82"/>
        <v>61</v>
      </c>
      <c r="BB1535" s="174">
        <f t="shared" ca="1" si="83"/>
        <v>1472</v>
      </c>
      <c r="BC1535" s="525" t="e">
        <f ca="1">MATCH(BD1535,OFFSET(Pinlist!$A$2,BC1534*(BA1535=BA1534),0,$BM$23,1),0)+BC1534*(BA1535=BA1534)</f>
        <v>#N/A</v>
      </c>
      <c r="BD1535" s="167">
        <f t="shared" ca="1" si="84"/>
        <v>0</v>
      </c>
      <c r="BE1535" s="191" t="e">
        <f ca="1">(OFFSET(Pinlist!$E$1,BC1535,0)-$BN$16)*$BN$19</f>
        <v>#N/A</v>
      </c>
      <c r="BF1535" s="192" t="e">
        <f ca="1">(OFFSET(Pinlist!$F$1,BC1535,0)-$BO$16)*$BO$19</f>
        <v>#N/A</v>
      </c>
      <c r="BG1535" s="1098" t="str">
        <f ca="1">IF(LEFT(BD1535,2)="RF",OFFSET(Pinlist!$D$1,Chart!BC1535,0)&amp;"_"&amp;OFFSET(Pinlist!$G$1,Chart!BC1535,0),"")</f>
        <v/>
      </c>
      <c r="BH1535" s="1098"/>
      <c r="BI1535" s="178"/>
      <c r="BJ1535" s="178"/>
      <c r="BK1535" s="178"/>
      <c r="BL1535" s="178"/>
      <c r="BM1535" s="178"/>
      <c r="BN1535" s="178"/>
      <c r="BO1535" s="178"/>
      <c r="BP1535" s="178"/>
      <c r="BQ1535" s="196"/>
      <c r="BR1535" s="196"/>
      <c r="BS1535" s="196"/>
      <c r="BT1535" s="196"/>
      <c r="BU1535" s="196"/>
      <c r="BV1535" s="196"/>
      <c r="BW1535" s="178"/>
      <c r="BX1535" s="196"/>
      <c r="BY1535" s="196"/>
      <c r="BZ1535" s="196"/>
      <c r="CA1535" s="196"/>
      <c r="CB1535" s="178"/>
      <c r="CC1535" s="178"/>
      <c r="CD1535" s="202"/>
      <c r="CE1535" s="202"/>
      <c r="CF1535" s="178"/>
      <c r="CG1535" s="196"/>
      <c r="CH1535" s="178"/>
      <c r="CI1535" s="178"/>
      <c r="CJ1535" s="178"/>
      <c r="CK1535" s="178"/>
      <c r="CL1535" s="178"/>
      <c r="CM1535" s="178"/>
      <c r="CN1535" s="178"/>
      <c r="CO1535" s="178"/>
      <c r="CP1535" s="178"/>
      <c r="CQ1535" s="178"/>
      <c r="CR1535" s="178"/>
      <c r="CS1535" s="178"/>
      <c r="CT1535" s="178"/>
      <c r="CU1535" s="178"/>
      <c r="CV1535" s="178"/>
      <c r="CW1535" s="178"/>
      <c r="CX1535" s="178"/>
      <c r="CY1535" s="178"/>
      <c r="CZ1535" s="178"/>
      <c r="DA1535" s="150"/>
    </row>
    <row r="1536" spans="53:105" x14ac:dyDescent="0.2">
      <c r="BA1536" s="518">
        <f t="shared" ca="1" si="82"/>
        <v>61</v>
      </c>
      <c r="BB1536" s="174">
        <f t="shared" ca="1" si="83"/>
        <v>1473</v>
      </c>
      <c r="BC1536" s="525" t="e">
        <f ca="1">MATCH(BD1536,OFFSET(Pinlist!$A$2,BC1535*(BA1536=BA1535),0,$BM$23,1),0)+BC1535*(BA1536=BA1535)</f>
        <v>#N/A</v>
      </c>
      <c r="BD1536" s="167">
        <f t="shared" ca="1" si="84"/>
        <v>0</v>
      </c>
      <c r="BE1536" s="191" t="e">
        <f ca="1">(OFFSET(Pinlist!$E$1,BC1536,0)-$BN$16)*$BN$19</f>
        <v>#N/A</v>
      </c>
      <c r="BF1536" s="192" t="e">
        <f ca="1">(OFFSET(Pinlist!$F$1,BC1536,0)-$BO$16)*$BO$19</f>
        <v>#N/A</v>
      </c>
      <c r="BG1536" s="1098" t="str">
        <f ca="1">IF(LEFT(BD1536,2)="RF",OFFSET(Pinlist!$D$1,Chart!BC1536,0)&amp;"_"&amp;OFFSET(Pinlist!$G$1,Chart!BC1536,0),"")</f>
        <v/>
      </c>
      <c r="BH1536" s="1098"/>
      <c r="BI1536" s="178"/>
      <c r="BJ1536" s="178"/>
      <c r="BK1536" s="178"/>
      <c r="BL1536" s="178"/>
      <c r="BM1536" s="178"/>
      <c r="BN1536" s="178"/>
      <c r="BO1536" s="178"/>
      <c r="BP1536" s="178"/>
      <c r="BQ1536" s="196"/>
      <c r="BR1536" s="196"/>
      <c r="BS1536" s="196"/>
      <c r="BT1536" s="196"/>
      <c r="BU1536" s="196"/>
      <c r="BV1536" s="196"/>
      <c r="BW1536" s="178"/>
      <c r="BX1536" s="196"/>
      <c r="BY1536" s="196"/>
      <c r="BZ1536" s="196"/>
      <c r="CA1536" s="196"/>
      <c r="CB1536" s="178"/>
      <c r="CC1536" s="178"/>
      <c r="CD1536" s="202"/>
      <c r="CE1536" s="202"/>
      <c r="CF1536" s="178"/>
      <c r="CG1536" s="196"/>
      <c r="CH1536" s="178"/>
      <c r="CI1536" s="178"/>
      <c r="CJ1536" s="178"/>
      <c r="CK1536" s="178"/>
      <c r="CL1536" s="178"/>
      <c r="CM1536" s="178"/>
      <c r="CN1536" s="178"/>
      <c r="CO1536" s="178"/>
      <c r="CP1536" s="178"/>
      <c r="CQ1536" s="178"/>
      <c r="CR1536" s="178"/>
      <c r="CS1536" s="178"/>
      <c r="CT1536" s="178"/>
      <c r="CU1536" s="178"/>
      <c r="CV1536" s="178"/>
      <c r="CW1536" s="178"/>
      <c r="CX1536" s="178"/>
      <c r="CY1536" s="178"/>
      <c r="CZ1536" s="178"/>
      <c r="DA1536" s="150"/>
    </row>
    <row r="1537" spans="53:105" x14ac:dyDescent="0.2">
      <c r="BA1537" s="518">
        <f t="shared" ca="1" si="82"/>
        <v>61</v>
      </c>
      <c r="BB1537" s="174">
        <f t="shared" ca="1" si="83"/>
        <v>1474</v>
      </c>
      <c r="BC1537" s="525" t="e">
        <f ca="1">MATCH(BD1537,OFFSET(Pinlist!$A$2,BC1536*(BA1537=BA1536),0,$BM$23,1),0)+BC1536*(BA1537=BA1536)</f>
        <v>#N/A</v>
      </c>
      <c r="BD1537" s="167">
        <f t="shared" ca="1" si="84"/>
        <v>0</v>
      </c>
      <c r="BE1537" s="191" t="e">
        <f ca="1">(OFFSET(Pinlist!$E$1,BC1537,0)-$BN$16)*$BN$19</f>
        <v>#N/A</v>
      </c>
      <c r="BF1537" s="192" t="e">
        <f ca="1">(OFFSET(Pinlist!$F$1,BC1537,0)-$BO$16)*$BO$19</f>
        <v>#N/A</v>
      </c>
      <c r="BG1537" s="1098" t="str">
        <f ca="1">IF(LEFT(BD1537,2)="RF",OFFSET(Pinlist!$D$1,Chart!BC1537,0)&amp;"_"&amp;OFFSET(Pinlist!$G$1,Chart!BC1537,0),"")</f>
        <v/>
      </c>
      <c r="BH1537" s="1098"/>
      <c r="BI1537" s="178"/>
      <c r="BJ1537" s="178"/>
      <c r="BK1537" s="178"/>
      <c r="BL1537" s="178"/>
      <c r="BM1537" s="178"/>
      <c r="BN1537" s="178"/>
      <c r="BO1537" s="178"/>
      <c r="BP1537" s="178"/>
      <c r="BQ1537" s="196"/>
      <c r="BR1537" s="196"/>
      <c r="BS1537" s="196"/>
      <c r="BT1537" s="196"/>
      <c r="BU1537" s="196"/>
      <c r="BV1537" s="196"/>
      <c r="BW1537" s="178"/>
      <c r="BX1537" s="196"/>
      <c r="BY1537" s="196"/>
      <c r="BZ1537" s="196"/>
      <c r="CA1537" s="196"/>
      <c r="CB1537" s="178"/>
      <c r="CC1537" s="178"/>
      <c r="CD1537" s="202"/>
      <c r="CE1537" s="202"/>
      <c r="CF1537" s="178"/>
      <c r="CG1537" s="196"/>
      <c r="CH1537" s="178"/>
      <c r="CI1537" s="178"/>
      <c r="CJ1537" s="178"/>
      <c r="CK1537" s="178"/>
      <c r="CL1537" s="178"/>
      <c r="CM1537" s="178"/>
      <c r="CN1537" s="178"/>
      <c r="CO1537" s="178"/>
      <c r="CP1537" s="178"/>
      <c r="CQ1537" s="178"/>
      <c r="CR1537" s="178"/>
      <c r="CS1537" s="178"/>
      <c r="CT1537" s="178"/>
      <c r="CU1537" s="178"/>
      <c r="CV1537" s="178"/>
      <c r="CW1537" s="178"/>
      <c r="CX1537" s="178"/>
      <c r="CY1537" s="178"/>
      <c r="CZ1537" s="178"/>
      <c r="DA1537" s="150"/>
    </row>
    <row r="1538" spans="53:105" x14ac:dyDescent="0.2">
      <c r="BA1538" s="518">
        <f t="shared" ca="1" si="82"/>
        <v>61</v>
      </c>
      <c r="BB1538" s="174">
        <f t="shared" ca="1" si="83"/>
        <v>1475</v>
      </c>
      <c r="BC1538" s="525" t="e">
        <f ca="1">MATCH(BD1538,OFFSET(Pinlist!$A$2,BC1537*(BA1538=BA1537),0,$BM$23,1),0)+BC1537*(BA1538=BA1537)</f>
        <v>#N/A</v>
      </c>
      <c r="BD1538" s="167">
        <f t="shared" ca="1" si="84"/>
        <v>0</v>
      </c>
      <c r="BE1538" s="191" t="e">
        <f ca="1">(OFFSET(Pinlist!$E$1,BC1538,0)-$BN$16)*$BN$19</f>
        <v>#N/A</v>
      </c>
      <c r="BF1538" s="192" t="e">
        <f ca="1">(OFFSET(Pinlist!$F$1,BC1538,0)-$BO$16)*$BO$19</f>
        <v>#N/A</v>
      </c>
      <c r="BG1538" s="1098" t="str">
        <f ca="1">IF(LEFT(BD1538,2)="RF",OFFSET(Pinlist!$D$1,Chart!BC1538,0)&amp;"_"&amp;OFFSET(Pinlist!$G$1,Chart!BC1538,0),"")</f>
        <v/>
      </c>
      <c r="BH1538" s="1098"/>
      <c r="BI1538" s="178"/>
      <c r="BJ1538" s="178"/>
      <c r="BK1538" s="178"/>
      <c r="BL1538" s="178"/>
      <c r="BM1538" s="178"/>
      <c r="BN1538" s="178"/>
      <c r="BO1538" s="178"/>
      <c r="BP1538" s="178"/>
      <c r="BQ1538" s="196"/>
      <c r="BR1538" s="196"/>
      <c r="BS1538" s="196"/>
      <c r="BT1538" s="196"/>
      <c r="BU1538" s="196"/>
      <c r="BV1538" s="196"/>
      <c r="BW1538" s="178"/>
      <c r="BX1538" s="196"/>
      <c r="BY1538" s="196"/>
      <c r="BZ1538" s="196"/>
      <c r="CA1538" s="196"/>
      <c r="CB1538" s="178"/>
      <c r="CC1538" s="178"/>
      <c r="CD1538" s="202"/>
      <c r="CE1538" s="202"/>
      <c r="CF1538" s="178"/>
      <c r="CG1538" s="196"/>
      <c r="CH1538" s="178"/>
      <c r="CI1538" s="178"/>
      <c r="CJ1538" s="178"/>
      <c r="CK1538" s="178"/>
      <c r="CL1538" s="178"/>
      <c r="CM1538" s="178"/>
      <c r="CN1538" s="178"/>
      <c r="CO1538" s="178"/>
      <c r="CP1538" s="178"/>
      <c r="CQ1538" s="178"/>
      <c r="CR1538" s="178"/>
      <c r="CS1538" s="178"/>
      <c r="CT1538" s="178"/>
      <c r="CU1538" s="178"/>
      <c r="CV1538" s="178"/>
      <c r="CW1538" s="178"/>
      <c r="CX1538" s="178"/>
      <c r="CY1538" s="178"/>
      <c r="CZ1538" s="178"/>
      <c r="DA1538" s="150"/>
    </row>
    <row r="1539" spans="53:105" x14ac:dyDescent="0.2">
      <c r="BA1539" s="518">
        <f t="shared" ca="1" si="82"/>
        <v>61</v>
      </c>
      <c r="BB1539" s="174">
        <f t="shared" ca="1" si="83"/>
        <v>1476</v>
      </c>
      <c r="BC1539" s="525" t="e">
        <f ca="1">MATCH(BD1539,OFFSET(Pinlist!$A$2,BC1538*(BA1539=BA1538),0,$BM$23,1),0)+BC1538*(BA1539=BA1538)</f>
        <v>#N/A</v>
      </c>
      <c r="BD1539" s="167">
        <f t="shared" ca="1" si="84"/>
        <v>0</v>
      </c>
      <c r="BE1539" s="191" t="e">
        <f ca="1">(OFFSET(Pinlist!$E$1,BC1539,0)-$BN$16)*$BN$19</f>
        <v>#N/A</v>
      </c>
      <c r="BF1539" s="192" t="e">
        <f ca="1">(OFFSET(Pinlist!$F$1,BC1539,0)-$BO$16)*$BO$19</f>
        <v>#N/A</v>
      </c>
      <c r="BG1539" s="1098" t="str">
        <f ca="1">IF(LEFT(BD1539,2)="RF",OFFSET(Pinlist!$D$1,Chart!BC1539,0)&amp;"_"&amp;OFFSET(Pinlist!$G$1,Chart!BC1539,0),"")</f>
        <v/>
      </c>
      <c r="BH1539" s="1098"/>
      <c r="BI1539" s="178"/>
      <c r="BJ1539" s="178"/>
      <c r="BK1539" s="178"/>
      <c r="BL1539" s="178"/>
      <c r="BM1539" s="178"/>
      <c r="BN1539" s="178"/>
      <c r="BO1539" s="178"/>
      <c r="BP1539" s="178"/>
      <c r="BQ1539" s="196"/>
      <c r="BR1539" s="196"/>
      <c r="BS1539" s="196"/>
      <c r="BT1539" s="196"/>
      <c r="BU1539" s="196"/>
      <c r="BV1539" s="196"/>
      <c r="BW1539" s="178"/>
      <c r="BX1539" s="196"/>
      <c r="BY1539" s="196"/>
      <c r="BZ1539" s="196"/>
      <c r="CA1539" s="196"/>
      <c r="CB1539" s="178"/>
      <c r="CC1539" s="178"/>
      <c r="CD1539" s="202"/>
      <c r="CE1539" s="202"/>
      <c r="CF1539" s="178"/>
      <c r="CG1539" s="196"/>
      <c r="CH1539" s="178"/>
      <c r="CI1539" s="178"/>
      <c r="CJ1539" s="178"/>
      <c r="CK1539" s="178"/>
      <c r="CL1539" s="178"/>
      <c r="CM1539" s="178"/>
      <c r="CN1539" s="178"/>
      <c r="CO1539" s="178"/>
      <c r="CP1539" s="178"/>
      <c r="CQ1539" s="178"/>
      <c r="CR1539" s="178"/>
      <c r="CS1539" s="178"/>
      <c r="CT1539" s="178"/>
      <c r="CU1539" s="178"/>
      <c r="CV1539" s="178"/>
      <c r="CW1539" s="178"/>
      <c r="CX1539" s="178"/>
      <c r="CY1539" s="178"/>
      <c r="CZ1539" s="178"/>
      <c r="DA1539" s="150"/>
    </row>
    <row r="1540" spans="53:105" x14ac:dyDescent="0.2">
      <c r="BA1540" s="518">
        <f t="shared" ref="BA1540:BA1603" ca="1" si="85">BA1539+(BB1539=OFFSET($BZ$3,BA1539,0))</f>
        <v>61</v>
      </c>
      <c r="BB1540" s="174">
        <f t="shared" ref="BB1540:BB1603" ca="1" si="86">IF(BA1540=BA1539,BB1539+1,1)</f>
        <v>1477</v>
      </c>
      <c r="BC1540" s="525" t="e">
        <f ca="1">MATCH(BD1540,OFFSET(Pinlist!$A$2,BC1539*(BA1540=BA1539),0,$BM$23,1),0)+BC1539*(BA1540=BA1539)</f>
        <v>#N/A</v>
      </c>
      <c r="BD1540" s="167">
        <f t="shared" ref="BD1540:BD1603" ca="1" si="87">OFFSET($BY$3,BA1540,0)</f>
        <v>0</v>
      </c>
      <c r="BE1540" s="191" t="e">
        <f ca="1">(OFFSET(Pinlist!$E$1,BC1540,0)-$BN$16)*$BN$19</f>
        <v>#N/A</v>
      </c>
      <c r="BF1540" s="192" t="e">
        <f ca="1">(OFFSET(Pinlist!$F$1,BC1540,0)-$BO$16)*$BO$19</f>
        <v>#N/A</v>
      </c>
      <c r="BG1540" s="1098" t="str">
        <f ca="1">IF(LEFT(BD1540,2)="RF",OFFSET(Pinlist!$D$1,Chart!BC1540,0)&amp;"_"&amp;OFFSET(Pinlist!$G$1,Chart!BC1540,0),"")</f>
        <v/>
      </c>
      <c r="BH1540" s="1098"/>
      <c r="BI1540" s="178"/>
      <c r="BJ1540" s="178"/>
      <c r="BK1540" s="178"/>
      <c r="BL1540" s="178"/>
      <c r="BM1540" s="178"/>
      <c r="BN1540" s="178"/>
      <c r="BO1540" s="178"/>
      <c r="BP1540" s="178"/>
      <c r="BQ1540" s="196"/>
      <c r="BR1540" s="196"/>
      <c r="BS1540" s="196"/>
      <c r="BT1540" s="196"/>
      <c r="BU1540" s="196"/>
      <c r="BV1540" s="196"/>
      <c r="BW1540" s="178"/>
      <c r="BX1540" s="196"/>
      <c r="BY1540" s="196"/>
      <c r="BZ1540" s="196"/>
      <c r="CA1540" s="196"/>
      <c r="CB1540" s="178"/>
      <c r="CC1540" s="178"/>
      <c r="CD1540" s="202"/>
      <c r="CE1540" s="202"/>
      <c r="CF1540" s="178"/>
      <c r="CG1540" s="196"/>
      <c r="CH1540" s="178"/>
      <c r="CI1540" s="178"/>
      <c r="CJ1540" s="178"/>
      <c r="CK1540" s="178"/>
      <c r="CL1540" s="178"/>
      <c r="CM1540" s="178"/>
      <c r="CN1540" s="178"/>
      <c r="CO1540" s="178"/>
      <c r="CP1540" s="178"/>
      <c r="CQ1540" s="178"/>
      <c r="CR1540" s="178"/>
      <c r="CS1540" s="178"/>
      <c r="CT1540" s="178"/>
      <c r="CU1540" s="178"/>
      <c r="CV1540" s="178"/>
      <c r="CW1540" s="178"/>
      <c r="CX1540" s="178"/>
      <c r="CY1540" s="178"/>
      <c r="CZ1540" s="178"/>
      <c r="DA1540" s="150"/>
    </row>
    <row r="1541" spans="53:105" x14ac:dyDescent="0.2">
      <c r="BA1541" s="518">
        <f t="shared" ca="1" si="85"/>
        <v>61</v>
      </c>
      <c r="BB1541" s="174">
        <f t="shared" ca="1" si="86"/>
        <v>1478</v>
      </c>
      <c r="BC1541" s="525" t="e">
        <f ca="1">MATCH(BD1541,OFFSET(Pinlist!$A$2,BC1540*(BA1541=BA1540),0,$BM$23,1),0)+BC1540*(BA1541=BA1540)</f>
        <v>#N/A</v>
      </c>
      <c r="BD1541" s="167">
        <f t="shared" ca="1" si="87"/>
        <v>0</v>
      </c>
      <c r="BE1541" s="191" t="e">
        <f ca="1">(OFFSET(Pinlist!$E$1,BC1541,0)-$BN$16)*$BN$19</f>
        <v>#N/A</v>
      </c>
      <c r="BF1541" s="192" t="e">
        <f ca="1">(OFFSET(Pinlist!$F$1,BC1541,0)-$BO$16)*$BO$19</f>
        <v>#N/A</v>
      </c>
      <c r="BG1541" s="1098" t="str">
        <f ca="1">IF(LEFT(BD1541,2)="RF",OFFSET(Pinlist!$D$1,Chart!BC1541,0)&amp;"_"&amp;OFFSET(Pinlist!$G$1,Chart!BC1541,0),"")</f>
        <v/>
      </c>
      <c r="BH1541" s="1098"/>
      <c r="BI1541" s="178"/>
      <c r="BJ1541" s="178"/>
      <c r="BK1541" s="178"/>
      <c r="BL1541" s="178"/>
      <c r="BM1541" s="178"/>
      <c r="BN1541" s="178"/>
      <c r="BO1541" s="178"/>
      <c r="BP1541" s="178"/>
      <c r="BQ1541" s="196"/>
      <c r="BR1541" s="196"/>
      <c r="BS1541" s="196"/>
      <c r="BT1541" s="196"/>
      <c r="BU1541" s="196"/>
      <c r="BV1541" s="196"/>
      <c r="BW1541" s="178"/>
      <c r="BX1541" s="196"/>
      <c r="BY1541" s="196"/>
      <c r="BZ1541" s="196"/>
      <c r="CA1541" s="196"/>
      <c r="CB1541" s="178"/>
      <c r="CC1541" s="178"/>
      <c r="CD1541" s="202"/>
      <c r="CE1541" s="202"/>
      <c r="CF1541" s="178"/>
      <c r="CG1541" s="196"/>
      <c r="CH1541" s="178"/>
      <c r="CI1541" s="178"/>
      <c r="CJ1541" s="178"/>
      <c r="CK1541" s="178"/>
      <c r="CL1541" s="178"/>
      <c r="CM1541" s="178"/>
      <c r="CN1541" s="178"/>
      <c r="CO1541" s="178"/>
      <c r="CP1541" s="178"/>
      <c r="CQ1541" s="178"/>
      <c r="CR1541" s="178"/>
      <c r="CS1541" s="178"/>
      <c r="CT1541" s="178"/>
      <c r="CU1541" s="178"/>
      <c r="CV1541" s="178"/>
      <c r="CW1541" s="178"/>
      <c r="CX1541" s="178"/>
      <c r="CY1541" s="178"/>
      <c r="CZ1541" s="178"/>
      <c r="DA1541" s="150"/>
    </row>
    <row r="1542" spans="53:105" x14ac:dyDescent="0.2">
      <c r="BA1542" s="518">
        <f t="shared" ca="1" si="85"/>
        <v>61</v>
      </c>
      <c r="BB1542" s="174">
        <f t="shared" ca="1" si="86"/>
        <v>1479</v>
      </c>
      <c r="BC1542" s="525" t="e">
        <f ca="1">MATCH(BD1542,OFFSET(Pinlist!$A$2,BC1541*(BA1542=BA1541),0,$BM$23,1),0)+BC1541*(BA1542=BA1541)</f>
        <v>#N/A</v>
      </c>
      <c r="BD1542" s="167">
        <f t="shared" ca="1" si="87"/>
        <v>0</v>
      </c>
      <c r="BE1542" s="191" t="e">
        <f ca="1">(OFFSET(Pinlist!$E$1,BC1542,0)-$BN$16)*$BN$19</f>
        <v>#N/A</v>
      </c>
      <c r="BF1542" s="192" t="e">
        <f ca="1">(OFFSET(Pinlist!$F$1,BC1542,0)-$BO$16)*$BO$19</f>
        <v>#N/A</v>
      </c>
      <c r="BG1542" s="1098" t="str">
        <f ca="1">IF(LEFT(BD1542,2)="RF",OFFSET(Pinlist!$D$1,Chart!BC1542,0)&amp;"_"&amp;OFFSET(Pinlist!$G$1,Chart!BC1542,0),"")</f>
        <v/>
      </c>
      <c r="BH1542" s="1098"/>
      <c r="BI1542" s="178"/>
      <c r="BJ1542" s="178"/>
      <c r="BK1542" s="178"/>
      <c r="BL1542" s="178"/>
      <c r="BM1542" s="178"/>
      <c r="BN1542" s="178"/>
      <c r="BO1542" s="178"/>
      <c r="BP1542" s="178"/>
      <c r="BQ1542" s="196"/>
      <c r="BR1542" s="196"/>
      <c r="BS1542" s="196"/>
      <c r="BT1542" s="196"/>
      <c r="BU1542" s="196"/>
      <c r="BV1542" s="196"/>
      <c r="BW1542" s="178"/>
      <c r="BX1542" s="196"/>
      <c r="BY1542" s="196"/>
      <c r="BZ1542" s="196"/>
      <c r="CA1542" s="196"/>
      <c r="CB1542" s="178"/>
      <c r="CC1542" s="178"/>
      <c r="CD1542" s="202"/>
      <c r="CE1542" s="202"/>
      <c r="CF1542" s="178"/>
      <c r="CG1542" s="196"/>
      <c r="CH1542" s="178"/>
      <c r="CI1542" s="178"/>
      <c r="CJ1542" s="178"/>
      <c r="CK1542" s="178"/>
      <c r="CL1542" s="178"/>
      <c r="CM1542" s="178"/>
      <c r="CN1542" s="178"/>
      <c r="CO1542" s="178"/>
      <c r="CP1542" s="178"/>
      <c r="CQ1542" s="178"/>
      <c r="CR1542" s="178"/>
      <c r="CS1542" s="178"/>
      <c r="CT1542" s="178"/>
      <c r="CU1542" s="178"/>
      <c r="CV1542" s="178"/>
      <c r="CW1542" s="178"/>
      <c r="CX1542" s="178"/>
      <c r="CY1542" s="178"/>
      <c r="CZ1542" s="178"/>
      <c r="DA1542" s="150"/>
    </row>
    <row r="1543" spans="53:105" x14ac:dyDescent="0.2">
      <c r="BA1543" s="518">
        <f t="shared" ca="1" si="85"/>
        <v>61</v>
      </c>
      <c r="BB1543" s="174">
        <f t="shared" ca="1" si="86"/>
        <v>1480</v>
      </c>
      <c r="BC1543" s="525" t="e">
        <f ca="1">MATCH(BD1543,OFFSET(Pinlist!$A$2,BC1542*(BA1543=BA1542),0,$BM$23,1),0)+BC1542*(BA1543=BA1542)</f>
        <v>#N/A</v>
      </c>
      <c r="BD1543" s="167">
        <f t="shared" ca="1" si="87"/>
        <v>0</v>
      </c>
      <c r="BE1543" s="191" t="e">
        <f ca="1">(OFFSET(Pinlist!$E$1,BC1543,0)-$BN$16)*$BN$19</f>
        <v>#N/A</v>
      </c>
      <c r="BF1543" s="192" t="e">
        <f ca="1">(OFFSET(Pinlist!$F$1,BC1543,0)-$BO$16)*$BO$19</f>
        <v>#N/A</v>
      </c>
      <c r="BG1543" s="1098" t="str">
        <f ca="1">IF(LEFT(BD1543,2)="RF",OFFSET(Pinlist!$D$1,Chart!BC1543,0)&amp;"_"&amp;OFFSET(Pinlist!$G$1,Chart!BC1543,0),"")</f>
        <v/>
      </c>
      <c r="BH1543" s="1098"/>
      <c r="BI1543" s="178"/>
      <c r="BJ1543" s="178"/>
      <c r="BK1543" s="178"/>
      <c r="BL1543" s="178"/>
      <c r="BM1543" s="178"/>
      <c r="BN1543" s="178"/>
      <c r="BO1543" s="178"/>
      <c r="BP1543" s="178"/>
      <c r="BQ1543" s="196"/>
      <c r="BR1543" s="196"/>
      <c r="BS1543" s="196"/>
      <c r="BT1543" s="196"/>
      <c r="BU1543" s="196"/>
      <c r="BV1543" s="196"/>
      <c r="BW1543" s="178"/>
      <c r="BX1543" s="196"/>
      <c r="BY1543" s="196"/>
      <c r="BZ1543" s="196"/>
      <c r="CA1543" s="196"/>
      <c r="CB1543" s="178"/>
      <c r="CC1543" s="178"/>
      <c r="CD1543" s="202"/>
      <c r="CE1543" s="202"/>
      <c r="CF1543" s="178"/>
      <c r="CG1543" s="196"/>
      <c r="CH1543" s="178"/>
      <c r="CI1543" s="178"/>
      <c r="CJ1543" s="178"/>
      <c r="CK1543" s="178"/>
      <c r="CL1543" s="178"/>
      <c r="CM1543" s="178"/>
      <c r="CN1543" s="178"/>
      <c r="CO1543" s="178"/>
      <c r="CP1543" s="178"/>
      <c r="CQ1543" s="178"/>
      <c r="CR1543" s="178"/>
      <c r="CS1543" s="178"/>
      <c r="CT1543" s="178"/>
      <c r="CU1543" s="178"/>
      <c r="CV1543" s="178"/>
      <c r="CW1543" s="178"/>
      <c r="CX1543" s="178"/>
      <c r="CY1543" s="178"/>
      <c r="CZ1543" s="178"/>
      <c r="DA1543" s="150"/>
    </row>
    <row r="1544" spans="53:105" x14ac:dyDescent="0.2">
      <c r="BA1544" s="518">
        <f t="shared" ca="1" si="85"/>
        <v>61</v>
      </c>
      <c r="BB1544" s="174">
        <f t="shared" ca="1" si="86"/>
        <v>1481</v>
      </c>
      <c r="BC1544" s="525" t="e">
        <f ca="1">MATCH(BD1544,OFFSET(Pinlist!$A$2,BC1543*(BA1544=BA1543),0,$BM$23,1),0)+BC1543*(BA1544=BA1543)</f>
        <v>#N/A</v>
      </c>
      <c r="BD1544" s="167">
        <f t="shared" ca="1" si="87"/>
        <v>0</v>
      </c>
      <c r="BE1544" s="191" t="e">
        <f ca="1">(OFFSET(Pinlist!$E$1,BC1544,0)-$BN$16)*$BN$19</f>
        <v>#N/A</v>
      </c>
      <c r="BF1544" s="192" t="e">
        <f ca="1">(OFFSET(Pinlist!$F$1,BC1544,0)-$BO$16)*$BO$19</f>
        <v>#N/A</v>
      </c>
      <c r="BG1544" s="1098" t="str">
        <f ca="1">IF(LEFT(BD1544,2)="RF",OFFSET(Pinlist!$D$1,Chart!BC1544,0)&amp;"_"&amp;OFFSET(Pinlist!$G$1,Chart!BC1544,0),"")</f>
        <v/>
      </c>
      <c r="BH1544" s="1098"/>
      <c r="BI1544" s="178"/>
      <c r="BJ1544" s="178"/>
      <c r="BK1544" s="178"/>
      <c r="BL1544" s="178"/>
      <c r="BM1544" s="178"/>
      <c r="BN1544" s="178"/>
      <c r="BO1544" s="178"/>
      <c r="BP1544" s="178"/>
      <c r="BQ1544" s="196"/>
      <c r="BR1544" s="196"/>
      <c r="BS1544" s="196"/>
      <c r="BT1544" s="196"/>
      <c r="BU1544" s="196"/>
      <c r="BV1544" s="196"/>
      <c r="BW1544" s="178"/>
      <c r="BX1544" s="196"/>
      <c r="BY1544" s="196"/>
      <c r="BZ1544" s="196"/>
      <c r="CA1544" s="196"/>
      <c r="CB1544" s="178"/>
      <c r="CC1544" s="178"/>
      <c r="CD1544" s="202"/>
      <c r="CE1544" s="202"/>
      <c r="CF1544" s="178"/>
      <c r="CG1544" s="196"/>
      <c r="CH1544" s="178"/>
      <c r="CI1544" s="178"/>
      <c r="CJ1544" s="178"/>
      <c r="CK1544" s="178"/>
      <c r="CL1544" s="178"/>
      <c r="CM1544" s="178"/>
      <c r="CN1544" s="178"/>
      <c r="CO1544" s="178"/>
      <c r="CP1544" s="178"/>
      <c r="CQ1544" s="178"/>
      <c r="CR1544" s="178"/>
      <c r="CS1544" s="178"/>
      <c r="CT1544" s="178"/>
      <c r="CU1544" s="178"/>
      <c r="CV1544" s="178"/>
      <c r="CW1544" s="178"/>
      <c r="CX1544" s="178"/>
      <c r="CY1544" s="178"/>
      <c r="CZ1544" s="178"/>
      <c r="DA1544" s="150"/>
    </row>
    <row r="1545" spans="53:105" x14ac:dyDescent="0.2">
      <c r="BA1545" s="518">
        <f t="shared" ca="1" si="85"/>
        <v>61</v>
      </c>
      <c r="BB1545" s="174">
        <f t="shared" ca="1" si="86"/>
        <v>1482</v>
      </c>
      <c r="BC1545" s="525" t="e">
        <f ca="1">MATCH(BD1545,OFFSET(Pinlist!$A$2,BC1544*(BA1545=BA1544),0,$BM$23,1),0)+BC1544*(BA1545=BA1544)</f>
        <v>#N/A</v>
      </c>
      <c r="BD1545" s="167">
        <f t="shared" ca="1" si="87"/>
        <v>0</v>
      </c>
      <c r="BE1545" s="191" t="e">
        <f ca="1">(OFFSET(Pinlist!$E$1,BC1545,0)-$BN$16)*$BN$19</f>
        <v>#N/A</v>
      </c>
      <c r="BF1545" s="192" t="e">
        <f ca="1">(OFFSET(Pinlist!$F$1,BC1545,0)-$BO$16)*$BO$19</f>
        <v>#N/A</v>
      </c>
      <c r="BG1545" s="1098" t="str">
        <f ca="1">IF(LEFT(BD1545,2)="RF",OFFSET(Pinlist!$D$1,Chart!BC1545,0)&amp;"_"&amp;OFFSET(Pinlist!$G$1,Chart!BC1545,0),"")</f>
        <v/>
      </c>
      <c r="BH1545" s="1098"/>
      <c r="BI1545" s="178"/>
      <c r="BJ1545" s="178"/>
      <c r="BK1545" s="178"/>
      <c r="BL1545" s="178"/>
      <c r="BM1545" s="178"/>
      <c r="BN1545" s="178"/>
      <c r="BO1545" s="178"/>
      <c r="BP1545" s="178"/>
      <c r="BQ1545" s="196"/>
      <c r="BR1545" s="196"/>
      <c r="BS1545" s="196"/>
      <c r="BT1545" s="196"/>
      <c r="BU1545" s="196"/>
      <c r="BV1545" s="196"/>
      <c r="BW1545" s="178"/>
      <c r="BX1545" s="196"/>
      <c r="BY1545" s="196"/>
      <c r="BZ1545" s="196"/>
      <c r="CA1545" s="196"/>
      <c r="CB1545" s="178"/>
      <c r="CC1545" s="178"/>
      <c r="CD1545" s="202"/>
      <c r="CE1545" s="202"/>
      <c r="CF1545" s="178"/>
      <c r="CG1545" s="196"/>
      <c r="CH1545" s="178"/>
      <c r="CI1545" s="178"/>
      <c r="CJ1545" s="178"/>
      <c r="CK1545" s="178"/>
      <c r="CL1545" s="178"/>
      <c r="CM1545" s="178"/>
      <c r="CN1545" s="178"/>
      <c r="CO1545" s="178"/>
      <c r="CP1545" s="178"/>
      <c r="CQ1545" s="178"/>
      <c r="CR1545" s="178"/>
      <c r="CS1545" s="178"/>
      <c r="CT1545" s="178"/>
      <c r="CU1545" s="178"/>
      <c r="CV1545" s="178"/>
      <c r="CW1545" s="178"/>
      <c r="CX1545" s="178"/>
      <c r="CY1545" s="178"/>
      <c r="CZ1545" s="178"/>
      <c r="DA1545" s="150"/>
    </row>
    <row r="1546" spans="53:105" x14ac:dyDescent="0.2">
      <c r="BA1546" s="518">
        <f t="shared" ca="1" si="85"/>
        <v>61</v>
      </c>
      <c r="BB1546" s="174">
        <f t="shared" ca="1" si="86"/>
        <v>1483</v>
      </c>
      <c r="BC1546" s="525" t="e">
        <f ca="1">MATCH(BD1546,OFFSET(Pinlist!$A$2,BC1545*(BA1546=BA1545),0,$BM$23,1),0)+BC1545*(BA1546=BA1545)</f>
        <v>#N/A</v>
      </c>
      <c r="BD1546" s="167">
        <f t="shared" ca="1" si="87"/>
        <v>0</v>
      </c>
      <c r="BE1546" s="191" t="e">
        <f ca="1">(OFFSET(Pinlist!$E$1,BC1546,0)-$BN$16)*$BN$19</f>
        <v>#N/A</v>
      </c>
      <c r="BF1546" s="192" t="e">
        <f ca="1">(OFFSET(Pinlist!$F$1,BC1546,0)-$BO$16)*$BO$19</f>
        <v>#N/A</v>
      </c>
      <c r="BG1546" s="1098" t="str">
        <f ca="1">IF(LEFT(BD1546,2)="RF",OFFSET(Pinlist!$D$1,Chart!BC1546,0)&amp;"_"&amp;OFFSET(Pinlist!$G$1,Chart!BC1546,0),"")</f>
        <v/>
      </c>
      <c r="BH1546" s="1098"/>
      <c r="BI1546" s="178"/>
      <c r="BJ1546" s="178"/>
      <c r="BK1546" s="178"/>
      <c r="BL1546" s="178"/>
      <c r="BM1546" s="178"/>
      <c r="BN1546" s="178"/>
      <c r="BO1546" s="178"/>
      <c r="BP1546" s="178"/>
      <c r="BQ1546" s="196"/>
      <c r="BR1546" s="196"/>
      <c r="BS1546" s="196"/>
      <c r="BT1546" s="196"/>
      <c r="BU1546" s="196"/>
      <c r="BV1546" s="196"/>
      <c r="BW1546" s="178"/>
      <c r="BX1546" s="196"/>
      <c r="BY1546" s="196"/>
      <c r="BZ1546" s="196"/>
      <c r="CA1546" s="196"/>
      <c r="CB1546" s="178"/>
      <c r="CC1546" s="178"/>
      <c r="CD1546" s="202"/>
      <c r="CE1546" s="202"/>
      <c r="CF1546" s="178"/>
      <c r="CG1546" s="196"/>
      <c r="CH1546" s="178"/>
      <c r="CI1546" s="178"/>
      <c r="CJ1546" s="178"/>
      <c r="CK1546" s="178"/>
      <c r="CL1546" s="178"/>
      <c r="CM1546" s="178"/>
      <c r="CN1546" s="178"/>
      <c r="CO1546" s="178"/>
      <c r="CP1546" s="178"/>
      <c r="CQ1546" s="178"/>
      <c r="CR1546" s="178"/>
      <c r="CS1546" s="178"/>
      <c r="CT1546" s="178"/>
      <c r="CU1546" s="178"/>
      <c r="CV1546" s="178"/>
      <c r="CW1546" s="178"/>
      <c r="CX1546" s="178"/>
      <c r="CY1546" s="178"/>
      <c r="CZ1546" s="178"/>
      <c r="DA1546" s="150"/>
    </row>
    <row r="1547" spans="53:105" x14ac:dyDescent="0.2">
      <c r="BA1547" s="518">
        <f t="shared" ca="1" si="85"/>
        <v>61</v>
      </c>
      <c r="BB1547" s="174">
        <f t="shared" ca="1" si="86"/>
        <v>1484</v>
      </c>
      <c r="BC1547" s="525" t="e">
        <f ca="1">MATCH(BD1547,OFFSET(Pinlist!$A$2,BC1546*(BA1547=BA1546),0,$BM$23,1),0)+BC1546*(BA1547=BA1546)</f>
        <v>#N/A</v>
      </c>
      <c r="BD1547" s="167">
        <f t="shared" ca="1" si="87"/>
        <v>0</v>
      </c>
      <c r="BE1547" s="191" t="e">
        <f ca="1">(OFFSET(Pinlist!$E$1,BC1547,0)-$BN$16)*$BN$19</f>
        <v>#N/A</v>
      </c>
      <c r="BF1547" s="192" t="e">
        <f ca="1">(OFFSET(Pinlist!$F$1,BC1547,0)-$BO$16)*$BO$19</f>
        <v>#N/A</v>
      </c>
      <c r="BG1547" s="1098" t="str">
        <f ca="1">IF(LEFT(BD1547,2)="RF",OFFSET(Pinlist!$D$1,Chart!BC1547,0)&amp;"_"&amp;OFFSET(Pinlist!$G$1,Chart!BC1547,0),"")</f>
        <v/>
      </c>
      <c r="BH1547" s="1098"/>
      <c r="BI1547" s="178"/>
      <c r="BJ1547" s="178"/>
      <c r="BK1547" s="178"/>
      <c r="BL1547" s="178"/>
      <c r="BM1547" s="178"/>
      <c r="BN1547" s="178"/>
      <c r="BO1547" s="178"/>
      <c r="BP1547" s="178"/>
      <c r="BQ1547" s="196"/>
      <c r="BR1547" s="196"/>
      <c r="BS1547" s="196"/>
      <c r="BT1547" s="196"/>
      <c r="BU1547" s="196"/>
      <c r="BV1547" s="196"/>
      <c r="BW1547" s="178"/>
      <c r="BX1547" s="196"/>
      <c r="BY1547" s="196"/>
      <c r="BZ1547" s="196"/>
      <c r="CA1547" s="196"/>
      <c r="CB1547" s="178"/>
      <c r="CC1547" s="178"/>
      <c r="CD1547" s="202"/>
      <c r="CE1547" s="202"/>
      <c r="CF1547" s="178"/>
      <c r="CG1547" s="196"/>
      <c r="CH1547" s="178"/>
      <c r="CI1547" s="178"/>
      <c r="CJ1547" s="178"/>
      <c r="CK1547" s="178"/>
      <c r="CL1547" s="178"/>
      <c r="CM1547" s="178"/>
      <c r="CN1547" s="178"/>
      <c r="CO1547" s="178"/>
      <c r="CP1547" s="178"/>
      <c r="CQ1547" s="178"/>
      <c r="CR1547" s="178"/>
      <c r="CS1547" s="178"/>
      <c r="CT1547" s="178"/>
      <c r="CU1547" s="178"/>
      <c r="CV1547" s="178"/>
      <c r="CW1547" s="178"/>
      <c r="CX1547" s="178"/>
      <c r="CY1547" s="178"/>
      <c r="CZ1547" s="178"/>
      <c r="DA1547" s="150"/>
    </row>
    <row r="1548" spans="53:105" x14ac:dyDescent="0.2">
      <c r="BA1548" s="518">
        <f t="shared" ca="1" si="85"/>
        <v>61</v>
      </c>
      <c r="BB1548" s="174">
        <f t="shared" ca="1" si="86"/>
        <v>1485</v>
      </c>
      <c r="BC1548" s="525" t="e">
        <f ca="1">MATCH(BD1548,OFFSET(Pinlist!$A$2,BC1547*(BA1548=BA1547),0,$BM$23,1),0)+BC1547*(BA1548=BA1547)</f>
        <v>#N/A</v>
      </c>
      <c r="BD1548" s="167">
        <f t="shared" ca="1" si="87"/>
        <v>0</v>
      </c>
      <c r="BE1548" s="191" t="e">
        <f ca="1">(OFFSET(Pinlist!$E$1,BC1548,0)-$BN$16)*$BN$19</f>
        <v>#N/A</v>
      </c>
      <c r="BF1548" s="192" t="e">
        <f ca="1">(OFFSET(Pinlist!$F$1,BC1548,0)-$BO$16)*$BO$19</f>
        <v>#N/A</v>
      </c>
      <c r="BG1548" s="1098" t="str">
        <f ca="1">IF(LEFT(BD1548,2)="RF",OFFSET(Pinlist!$D$1,Chart!BC1548,0)&amp;"_"&amp;OFFSET(Pinlist!$G$1,Chart!BC1548,0),"")</f>
        <v/>
      </c>
      <c r="BH1548" s="1098"/>
      <c r="BI1548" s="178"/>
      <c r="BJ1548" s="178"/>
      <c r="BK1548" s="178"/>
      <c r="BL1548" s="178"/>
      <c r="BM1548" s="178"/>
      <c r="BN1548" s="178"/>
      <c r="BO1548" s="178"/>
      <c r="BP1548" s="178"/>
      <c r="BQ1548" s="196"/>
      <c r="BR1548" s="196"/>
      <c r="BS1548" s="196"/>
      <c r="BT1548" s="196"/>
      <c r="BU1548" s="196"/>
      <c r="BV1548" s="196"/>
      <c r="BW1548" s="178"/>
      <c r="BX1548" s="196"/>
      <c r="BY1548" s="196"/>
      <c r="BZ1548" s="196"/>
      <c r="CA1548" s="196"/>
      <c r="CB1548" s="178"/>
      <c r="CC1548" s="178"/>
      <c r="CD1548" s="202"/>
      <c r="CE1548" s="202"/>
      <c r="CF1548" s="178"/>
      <c r="CG1548" s="196"/>
      <c r="CH1548" s="178"/>
      <c r="CI1548" s="178"/>
      <c r="CJ1548" s="178"/>
      <c r="CK1548" s="178"/>
      <c r="CL1548" s="178"/>
      <c r="CM1548" s="178"/>
      <c r="CN1548" s="178"/>
      <c r="CO1548" s="178"/>
      <c r="CP1548" s="178"/>
      <c r="CQ1548" s="178"/>
      <c r="CR1548" s="178"/>
      <c r="CS1548" s="178"/>
      <c r="CT1548" s="178"/>
      <c r="CU1548" s="178"/>
      <c r="CV1548" s="178"/>
      <c r="CW1548" s="178"/>
      <c r="CX1548" s="178"/>
      <c r="CY1548" s="178"/>
      <c r="CZ1548" s="178"/>
      <c r="DA1548" s="150"/>
    </row>
    <row r="1549" spans="53:105" x14ac:dyDescent="0.2">
      <c r="BA1549" s="518">
        <f t="shared" ca="1" si="85"/>
        <v>61</v>
      </c>
      <c r="BB1549" s="174">
        <f t="shared" ca="1" si="86"/>
        <v>1486</v>
      </c>
      <c r="BC1549" s="525" t="e">
        <f ca="1">MATCH(BD1549,OFFSET(Pinlist!$A$2,BC1548*(BA1549=BA1548),0,$BM$23,1),0)+BC1548*(BA1549=BA1548)</f>
        <v>#N/A</v>
      </c>
      <c r="BD1549" s="167">
        <f t="shared" ca="1" si="87"/>
        <v>0</v>
      </c>
      <c r="BE1549" s="191" t="e">
        <f ca="1">(OFFSET(Pinlist!$E$1,BC1549,0)-$BN$16)*$BN$19</f>
        <v>#N/A</v>
      </c>
      <c r="BF1549" s="192" t="e">
        <f ca="1">(OFFSET(Pinlist!$F$1,BC1549,0)-$BO$16)*$BO$19</f>
        <v>#N/A</v>
      </c>
      <c r="BG1549" s="1098" t="str">
        <f ca="1">IF(LEFT(BD1549,2)="RF",OFFSET(Pinlist!$D$1,Chart!BC1549,0)&amp;"_"&amp;OFFSET(Pinlist!$G$1,Chart!BC1549,0),"")</f>
        <v/>
      </c>
      <c r="BH1549" s="1098"/>
      <c r="BI1549" s="178"/>
      <c r="BJ1549" s="178"/>
      <c r="BK1549" s="178"/>
      <c r="BL1549" s="178"/>
      <c r="BM1549" s="178"/>
      <c r="BN1549" s="178"/>
      <c r="BO1549" s="178"/>
      <c r="BP1549" s="178"/>
      <c r="BQ1549" s="196"/>
      <c r="BR1549" s="196"/>
      <c r="BS1549" s="196"/>
      <c r="BT1549" s="196"/>
      <c r="BU1549" s="196"/>
      <c r="BV1549" s="196"/>
      <c r="BW1549" s="178"/>
      <c r="BX1549" s="196"/>
      <c r="BY1549" s="196"/>
      <c r="BZ1549" s="196"/>
      <c r="CA1549" s="196"/>
      <c r="CB1549" s="178"/>
      <c r="CC1549" s="178"/>
      <c r="CD1549" s="202"/>
      <c r="CE1549" s="202"/>
      <c r="CF1549" s="178"/>
      <c r="CG1549" s="196"/>
      <c r="CH1549" s="178"/>
      <c r="CI1549" s="178"/>
      <c r="CJ1549" s="178"/>
      <c r="CK1549" s="178"/>
      <c r="CL1549" s="178"/>
      <c r="CM1549" s="178"/>
      <c r="CN1549" s="178"/>
      <c r="CO1549" s="178"/>
      <c r="CP1549" s="178"/>
      <c r="CQ1549" s="178"/>
      <c r="CR1549" s="178"/>
      <c r="CS1549" s="178"/>
      <c r="CT1549" s="178"/>
      <c r="CU1549" s="178"/>
      <c r="CV1549" s="178"/>
      <c r="CW1549" s="178"/>
      <c r="CX1549" s="178"/>
      <c r="CY1549" s="178"/>
      <c r="CZ1549" s="178"/>
      <c r="DA1549" s="150"/>
    </row>
    <row r="1550" spans="53:105" x14ac:dyDescent="0.2">
      <c r="BA1550" s="518">
        <f t="shared" ca="1" si="85"/>
        <v>61</v>
      </c>
      <c r="BB1550" s="174">
        <f t="shared" ca="1" si="86"/>
        <v>1487</v>
      </c>
      <c r="BC1550" s="525" t="e">
        <f ca="1">MATCH(BD1550,OFFSET(Pinlist!$A$2,BC1549*(BA1550=BA1549),0,$BM$23,1),0)+BC1549*(BA1550=BA1549)</f>
        <v>#N/A</v>
      </c>
      <c r="BD1550" s="167">
        <f t="shared" ca="1" si="87"/>
        <v>0</v>
      </c>
      <c r="BE1550" s="191" t="e">
        <f ca="1">(OFFSET(Pinlist!$E$1,BC1550,0)-$BN$16)*$BN$19</f>
        <v>#N/A</v>
      </c>
      <c r="BF1550" s="192" t="e">
        <f ca="1">(OFFSET(Pinlist!$F$1,BC1550,0)-$BO$16)*$BO$19</f>
        <v>#N/A</v>
      </c>
      <c r="BG1550" s="1098" t="str">
        <f ca="1">IF(LEFT(BD1550,2)="RF",OFFSET(Pinlist!$D$1,Chart!BC1550,0)&amp;"_"&amp;OFFSET(Pinlist!$G$1,Chart!BC1550,0),"")</f>
        <v/>
      </c>
      <c r="BH1550" s="1098"/>
      <c r="BI1550" s="178"/>
      <c r="BJ1550" s="178"/>
      <c r="BK1550" s="178"/>
      <c r="BL1550" s="178"/>
      <c r="BM1550" s="178"/>
      <c r="BN1550" s="178"/>
      <c r="BO1550" s="178"/>
      <c r="BP1550" s="178"/>
      <c r="BQ1550" s="196"/>
      <c r="BR1550" s="196"/>
      <c r="BS1550" s="196"/>
      <c r="BT1550" s="196"/>
      <c r="BU1550" s="196"/>
      <c r="BV1550" s="196"/>
      <c r="BW1550" s="178"/>
      <c r="BX1550" s="196"/>
      <c r="BY1550" s="196"/>
      <c r="BZ1550" s="196"/>
      <c r="CA1550" s="196"/>
      <c r="CB1550" s="178"/>
      <c r="CC1550" s="178"/>
      <c r="CD1550" s="202"/>
      <c r="CE1550" s="202"/>
      <c r="CF1550" s="178"/>
      <c r="CG1550" s="196"/>
      <c r="CH1550" s="178"/>
      <c r="CI1550" s="178"/>
      <c r="CJ1550" s="178"/>
      <c r="CK1550" s="178"/>
      <c r="CL1550" s="178"/>
      <c r="CM1550" s="178"/>
      <c r="CN1550" s="178"/>
      <c r="CO1550" s="178"/>
      <c r="CP1550" s="178"/>
      <c r="CQ1550" s="178"/>
      <c r="CR1550" s="178"/>
      <c r="CS1550" s="178"/>
      <c r="CT1550" s="178"/>
      <c r="CU1550" s="178"/>
      <c r="CV1550" s="178"/>
      <c r="CW1550" s="178"/>
      <c r="CX1550" s="178"/>
      <c r="CY1550" s="178"/>
      <c r="CZ1550" s="178"/>
      <c r="DA1550" s="150"/>
    </row>
    <row r="1551" spans="53:105" x14ac:dyDescent="0.2">
      <c r="BA1551" s="518">
        <f t="shared" ca="1" si="85"/>
        <v>61</v>
      </c>
      <c r="BB1551" s="174">
        <f t="shared" ca="1" si="86"/>
        <v>1488</v>
      </c>
      <c r="BC1551" s="525" t="e">
        <f ca="1">MATCH(BD1551,OFFSET(Pinlist!$A$2,BC1550*(BA1551=BA1550),0,$BM$23,1),0)+BC1550*(BA1551=BA1550)</f>
        <v>#N/A</v>
      </c>
      <c r="BD1551" s="167">
        <f t="shared" ca="1" si="87"/>
        <v>0</v>
      </c>
      <c r="BE1551" s="191" t="e">
        <f ca="1">(OFFSET(Pinlist!$E$1,BC1551,0)-$BN$16)*$BN$19</f>
        <v>#N/A</v>
      </c>
      <c r="BF1551" s="192" t="e">
        <f ca="1">(OFFSET(Pinlist!$F$1,BC1551,0)-$BO$16)*$BO$19</f>
        <v>#N/A</v>
      </c>
      <c r="BG1551" s="1098" t="str">
        <f ca="1">IF(LEFT(BD1551,2)="RF",OFFSET(Pinlist!$D$1,Chart!BC1551,0)&amp;"_"&amp;OFFSET(Pinlist!$G$1,Chart!BC1551,0),"")</f>
        <v/>
      </c>
      <c r="BH1551" s="1098"/>
      <c r="BI1551" s="178"/>
      <c r="BJ1551" s="178"/>
      <c r="BK1551" s="178"/>
      <c r="BL1551" s="178"/>
      <c r="BM1551" s="178"/>
      <c r="BN1551" s="178"/>
      <c r="BO1551" s="178"/>
      <c r="BP1551" s="178"/>
      <c r="BQ1551" s="196"/>
      <c r="BR1551" s="196"/>
      <c r="BS1551" s="196"/>
      <c r="BT1551" s="196"/>
      <c r="BU1551" s="196"/>
      <c r="BV1551" s="196"/>
      <c r="BW1551" s="178"/>
      <c r="BX1551" s="196"/>
      <c r="BY1551" s="196"/>
      <c r="BZ1551" s="196"/>
      <c r="CA1551" s="196"/>
      <c r="CB1551" s="178"/>
      <c r="CC1551" s="178"/>
      <c r="CD1551" s="202"/>
      <c r="CE1551" s="202"/>
      <c r="CF1551" s="178"/>
      <c r="CG1551" s="196"/>
      <c r="CH1551" s="178"/>
      <c r="CI1551" s="178"/>
      <c r="CJ1551" s="178"/>
      <c r="CK1551" s="178"/>
      <c r="CL1551" s="178"/>
      <c r="CM1551" s="178"/>
      <c r="CN1551" s="178"/>
      <c r="CO1551" s="178"/>
      <c r="CP1551" s="178"/>
      <c r="CQ1551" s="178"/>
      <c r="CR1551" s="178"/>
      <c r="CS1551" s="178"/>
      <c r="CT1551" s="178"/>
      <c r="CU1551" s="178"/>
      <c r="CV1551" s="178"/>
      <c r="CW1551" s="178"/>
      <c r="CX1551" s="178"/>
      <c r="CY1551" s="178"/>
      <c r="CZ1551" s="178"/>
      <c r="DA1551" s="150"/>
    </row>
    <row r="1552" spans="53:105" x14ac:dyDescent="0.2">
      <c r="BA1552" s="518">
        <f t="shared" ca="1" si="85"/>
        <v>61</v>
      </c>
      <c r="BB1552" s="174">
        <f t="shared" ca="1" si="86"/>
        <v>1489</v>
      </c>
      <c r="BC1552" s="525" t="e">
        <f ca="1">MATCH(BD1552,OFFSET(Pinlist!$A$2,BC1551*(BA1552=BA1551),0,$BM$23,1),0)+BC1551*(BA1552=BA1551)</f>
        <v>#N/A</v>
      </c>
      <c r="BD1552" s="167">
        <f t="shared" ca="1" si="87"/>
        <v>0</v>
      </c>
      <c r="BE1552" s="191" t="e">
        <f ca="1">(OFFSET(Pinlist!$E$1,BC1552,0)-$BN$16)*$BN$19</f>
        <v>#N/A</v>
      </c>
      <c r="BF1552" s="192" t="e">
        <f ca="1">(OFFSET(Pinlist!$F$1,BC1552,0)-$BO$16)*$BO$19</f>
        <v>#N/A</v>
      </c>
      <c r="BG1552" s="1098" t="str">
        <f ca="1">IF(LEFT(BD1552,2)="RF",OFFSET(Pinlist!$D$1,Chart!BC1552,0)&amp;"_"&amp;OFFSET(Pinlist!$G$1,Chart!BC1552,0),"")</f>
        <v/>
      </c>
      <c r="BH1552" s="1098"/>
      <c r="BI1552" s="178"/>
      <c r="BJ1552" s="178"/>
      <c r="BK1552" s="178"/>
      <c r="BL1552" s="178"/>
      <c r="BM1552" s="178"/>
      <c r="BN1552" s="178"/>
      <c r="BO1552" s="178"/>
      <c r="BP1552" s="178"/>
      <c r="BQ1552" s="196"/>
      <c r="BR1552" s="196"/>
      <c r="BS1552" s="196"/>
      <c r="BT1552" s="196"/>
      <c r="BU1552" s="196"/>
      <c r="BV1552" s="196"/>
      <c r="BW1552" s="178"/>
      <c r="BX1552" s="196"/>
      <c r="BY1552" s="196"/>
      <c r="BZ1552" s="196"/>
      <c r="CA1552" s="196"/>
      <c r="CB1552" s="178"/>
      <c r="CC1552" s="178"/>
      <c r="CD1552" s="202"/>
      <c r="CE1552" s="202"/>
      <c r="CF1552" s="178"/>
      <c r="CG1552" s="196"/>
      <c r="CH1552" s="178"/>
      <c r="CI1552" s="178"/>
      <c r="CJ1552" s="178"/>
      <c r="CK1552" s="178"/>
      <c r="CL1552" s="178"/>
      <c r="CM1552" s="178"/>
      <c r="CN1552" s="178"/>
      <c r="CO1552" s="178"/>
      <c r="CP1552" s="178"/>
      <c r="CQ1552" s="178"/>
      <c r="CR1552" s="178"/>
      <c r="CS1552" s="178"/>
      <c r="CT1552" s="178"/>
      <c r="CU1552" s="178"/>
      <c r="CV1552" s="178"/>
      <c r="CW1552" s="178"/>
      <c r="CX1552" s="178"/>
      <c r="CY1552" s="178"/>
      <c r="CZ1552" s="178"/>
      <c r="DA1552" s="150"/>
    </row>
    <row r="1553" spans="53:105" x14ac:dyDescent="0.2">
      <c r="BA1553" s="518">
        <f t="shared" ca="1" si="85"/>
        <v>61</v>
      </c>
      <c r="BB1553" s="174">
        <f t="shared" ca="1" si="86"/>
        <v>1490</v>
      </c>
      <c r="BC1553" s="525" t="e">
        <f ca="1">MATCH(BD1553,OFFSET(Pinlist!$A$2,BC1552*(BA1553=BA1552),0,$BM$23,1),0)+BC1552*(BA1553=BA1552)</f>
        <v>#N/A</v>
      </c>
      <c r="BD1553" s="167">
        <f t="shared" ca="1" si="87"/>
        <v>0</v>
      </c>
      <c r="BE1553" s="191" t="e">
        <f ca="1">(OFFSET(Pinlist!$E$1,BC1553,0)-$BN$16)*$BN$19</f>
        <v>#N/A</v>
      </c>
      <c r="BF1553" s="192" t="e">
        <f ca="1">(OFFSET(Pinlist!$F$1,BC1553,0)-$BO$16)*$BO$19</f>
        <v>#N/A</v>
      </c>
      <c r="BG1553" s="1098" t="str">
        <f ca="1">IF(LEFT(BD1553,2)="RF",OFFSET(Pinlist!$D$1,Chart!BC1553,0)&amp;"_"&amp;OFFSET(Pinlist!$G$1,Chart!BC1553,0),"")</f>
        <v/>
      </c>
      <c r="BH1553" s="1098"/>
      <c r="BI1553" s="178"/>
      <c r="BJ1553" s="178"/>
      <c r="BK1553" s="178"/>
      <c r="BL1553" s="178"/>
      <c r="BM1553" s="178"/>
      <c r="BN1553" s="178"/>
      <c r="BO1553" s="178"/>
      <c r="BP1553" s="178"/>
      <c r="BQ1553" s="196"/>
      <c r="BR1553" s="196"/>
      <c r="BS1553" s="196"/>
      <c r="BT1553" s="196"/>
      <c r="BU1553" s="196"/>
      <c r="BV1553" s="196"/>
      <c r="BW1553" s="178"/>
      <c r="BX1553" s="196"/>
      <c r="BY1553" s="196"/>
      <c r="BZ1553" s="196"/>
      <c r="CA1553" s="196"/>
      <c r="CB1553" s="178"/>
      <c r="CC1553" s="178"/>
      <c r="CD1553" s="202"/>
      <c r="CE1553" s="202"/>
      <c r="CF1553" s="178"/>
      <c r="CG1553" s="196"/>
      <c r="CH1553" s="178"/>
      <c r="CI1553" s="178"/>
      <c r="CJ1553" s="178"/>
      <c r="CK1553" s="178"/>
      <c r="CL1553" s="178"/>
      <c r="CM1553" s="178"/>
      <c r="CN1553" s="178"/>
      <c r="CO1553" s="178"/>
      <c r="CP1553" s="178"/>
      <c r="CQ1553" s="178"/>
      <c r="CR1553" s="178"/>
      <c r="CS1553" s="178"/>
      <c r="CT1553" s="178"/>
      <c r="CU1553" s="178"/>
      <c r="CV1553" s="178"/>
      <c r="CW1553" s="178"/>
      <c r="CX1553" s="178"/>
      <c r="CY1553" s="178"/>
      <c r="CZ1553" s="178"/>
      <c r="DA1553" s="150"/>
    </row>
    <row r="1554" spans="53:105" x14ac:dyDescent="0.2">
      <c r="BA1554" s="518">
        <f t="shared" ca="1" si="85"/>
        <v>61</v>
      </c>
      <c r="BB1554" s="174">
        <f t="shared" ca="1" si="86"/>
        <v>1491</v>
      </c>
      <c r="BC1554" s="525" t="e">
        <f ca="1">MATCH(BD1554,OFFSET(Pinlist!$A$2,BC1553*(BA1554=BA1553),0,$BM$23,1),0)+BC1553*(BA1554=BA1553)</f>
        <v>#N/A</v>
      </c>
      <c r="BD1554" s="167">
        <f t="shared" ca="1" si="87"/>
        <v>0</v>
      </c>
      <c r="BE1554" s="191" t="e">
        <f ca="1">(OFFSET(Pinlist!$E$1,BC1554,0)-$BN$16)*$BN$19</f>
        <v>#N/A</v>
      </c>
      <c r="BF1554" s="192" t="e">
        <f ca="1">(OFFSET(Pinlist!$F$1,BC1554,0)-$BO$16)*$BO$19</f>
        <v>#N/A</v>
      </c>
      <c r="BG1554" s="1098" t="str">
        <f ca="1">IF(LEFT(BD1554,2)="RF",OFFSET(Pinlist!$D$1,Chart!BC1554,0)&amp;"_"&amp;OFFSET(Pinlist!$G$1,Chart!BC1554,0),"")</f>
        <v/>
      </c>
      <c r="BH1554" s="1098"/>
      <c r="BI1554" s="178"/>
      <c r="BJ1554" s="178"/>
      <c r="BK1554" s="178"/>
      <c r="BL1554" s="178"/>
      <c r="BM1554" s="178"/>
      <c r="BN1554" s="178"/>
      <c r="BO1554" s="178"/>
      <c r="BP1554" s="178"/>
      <c r="BQ1554" s="196"/>
      <c r="BR1554" s="196"/>
      <c r="BS1554" s="196"/>
      <c r="BT1554" s="196"/>
      <c r="BU1554" s="196"/>
      <c r="BV1554" s="196"/>
      <c r="BW1554" s="178"/>
      <c r="BX1554" s="196"/>
      <c r="BY1554" s="196"/>
      <c r="BZ1554" s="196"/>
      <c r="CA1554" s="196"/>
      <c r="CB1554" s="178"/>
      <c r="CC1554" s="178"/>
      <c r="CD1554" s="202"/>
      <c r="CE1554" s="202"/>
      <c r="CF1554" s="178"/>
      <c r="CG1554" s="196"/>
      <c r="CH1554" s="178"/>
      <c r="CI1554" s="178"/>
      <c r="CJ1554" s="178"/>
      <c r="CK1554" s="178"/>
      <c r="CL1554" s="178"/>
      <c r="CM1554" s="178"/>
      <c r="CN1554" s="178"/>
      <c r="CO1554" s="178"/>
      <c r="CP1554" s="178"/>
      <c r="CQ1554" s="178"/>
      <c r="CR1554" s="178"/>
      <c r="CS1554" s="178"/>
      <c r="CT1554" s="178"/>
      <c r="CU1554" s="178"/>
      <c r="CV1554" s="178"/>
      <c r="CW1554" s="178"/>
      <c r="CX1554" s="178"/>
      <c r="CY1554" s="178"/>
      <c r="CZ1554" s="178"/>
      <c r="DA1554" s="150"/>
    </row>
    <row r="1555" spans="53:105" x14ac:dyDescent="0.2">
      <c r="BA1555" s="518">
        <f t="shared" ca="1" si="85"/>
        <v>61</v>
      </c>
      <c r="BB1555" s="174">
        <f t="shared" ca="1" si="86"/>
        <v>1492</v>
      </c>
      <c r="BC1555" s="525" t="e">
        <f ca="1">MATCH(BD1555,OFFSET(Pinlist!$A$2,BC1554*(BA1555=BA1554),0,$BM$23,1),0)+BC1554*(BA1555=BA1554)</f>
        <v>#N/A</v>
      </c>
      <c r="BD1555" s="167">
        <f t="shared" ca="1" si="87"/>
        <v>0</v>
      </c>
      <c r="BE1555" s="191" t="e">
        <f ca="1">(OFFSET(Pinlist!$E$1,BC1555,0)-$BN$16)*$BN$19</f>
        <v>#N/A</v>
      </c>
      <c r="BF1555" s="192" t="e">
        <f ca="1">(OFFSET(Pinlist!$F$1,BC1555,0)-$BO$16)*$BO$19</f>
        <v>#N/A</v>
      </c>
      <c r="BG1555" s="1098" t="str">
        <f ca="1">IF(LEFT(BD1555,2)="RF",OFFSET(Pinlist!$D$1,Chart!BC1555,0)&amp;"_"&amp;OFFSET(Pinlist!$G$1,Chart!BC1555,0),"")</f>
        <v/>
      </c>
      <c r="BH1555" s="1098"/>
      <c r="BI1555" s="178"/>
      <c r="BJ1555" s="178"/>
      <c r="BK1555" s="178"/>
      <c r="BL1555" s="178"/>
      <c r="BM1555" s="178"/>
      <c r="BN1555" s="178"/>
      <c r="BO1555" s="178"/>
      <c r="BP1555" s="178"/>
      <c r="BQ1555" s="196"/>
      <c r="BR1555" s="196"/>
      <c r="BS1555" s="196"/>
      <c r="BT1555" s="196"/>
      <c r="BU1555" s="196"/>
      <c r="BV1555" s="196"/>
      <c r="BW1555" s="178"/>
      <c r="BX1555" s="196"/>
      <c r="BY1555" s="196"/>
      <c r="BZ1555" s="196"/>
      <c r="CA1555" s="196"/>
      <c r="CB1555" s="178"/>
      <c r="CC1555" s="178"/>
      <c r="CD1555" s="202"/>
      <c r="CE1555" s="202"/>
      <c r="CF1555" s="178"/>
      <c r="CG1555" s="196"/>
      <c r="CH1555" s="178"/>
      <c r="CI1555" s="178"/>
      <c r="CJ1555" s="178"/>
      <c r="CK1555" s="178"/>
      <c r="CL1555" s="178"/>
      <c r="CM1555" s="178"/>
      <c r="CN1555" s="178"/>
      <c r="CO1555" s="178"/>
      <c r="CP1555" s="178"/>
      <c r="CQ1555" s="178"/>
      <c r="CR1555" s="178"/>
      <c r="CS1555" s="178"/>
      <c r="CT1555" s="178"/>
      <c r="CU1555" s="178"/>
      <c r="CV1555" s="178"/>
      <c r="CW1555" s="178"/>
      <c r="CX1555" s="178"/>
      <c r="CY1555" s="178"/>
      <c r="CZ1555" s="178"/>
      <c r="DA1555" s="150"/>
    </row>
    <row r="1556" spans="53:105" x14ac:dyDescent="0.2">
      <c r="BA1556" s="518">
        <f t="shared" ca="1" si="85"/>
        <v>61</v>
      </c>
      <c r="BB1556" s="174">
        <f t="shared" ca="1" si="86"/>
        <v>1493</v>
      </c>
      <c r="BC1556" s="525" t="e">
        <f ca="1">MATCH(BD1556,OFFSET(Pinlist!$A$2,BC1555*(BA1556=BA1555),0,$BM$23,1),0)+BC1555*(BA1556=BA1555)</f>
        <v>#N/A</v>
      </c>
      <c r="BD1556" s="167">
        <f t="shared" ca="1" si="87"/>
        <v>0</v>
      </c>
      <c r="BE1556" s="191" t="e">
        <f ca="1">(OFFSET(Pinlist!$E$1,BC1556,0)-$BN$16)*$BN$19</f>
        <v>#N/A</v>
      </c>
      <c r="BF1556" s="192" t="e">
        <f ca="1">(OFFSET(Pinlist!$F$1,BC1556,0)-$BO$16)*$BO$19</f>
        <v>#N/A</v>
      </c>
      <c r="BG1556" s="1098" t="str">
        <f ca="1">IF(LEFT(BD1556,2)="RF",OFFSET(Pinlist!$D$1,Chart!BC1556,0)&amp;"_"&amp;OFFSET(Pinlist!$G$1,Chart!BC1556,0),"")</f>
        <v/>
      </c>
      <c r="BH1556" s="1098"/>
      <c r="BI1556" s="178"/>
      <c r="BJ1556" s="178"/>
      <c r="BK1556" s="178"/>
      <c r="BL1556" s="178"/>
      <c r="BM1556" s="178"/>
      <c r="BN1556" s="178"/>
      <c r="BO1556" s="178"/>
      <c r="BP1556" s="178"/>
      <c r="BQ1556" s="196"/>
      <c r="BR1556" s="196"/>
      <c r="BS1556" s="196"/>
      <c r="BT1556" s="196"/>
      <c r="BU1556" s="196"/>
      <c r="BV1556" s="196"/>
      <c r="BW1556" s="178"/>
      <c r="BX1556" s="196"/>
      <c r="BY1556" s="196"/>
      <c r="BZ1556" s="196"/>
      <c r="CA1556" s="196"/>
      <c r="CB1556" s="178"/>
      <c r="CC1556" s="178"/>
      <c r="CD1556" s="202"/>
      <c r="CE1556" s="202"/>
      <c r="CF1556" s="178"/>
      <c r="CG1556" s="196"/>
      <c r="CH1556" s="178"/>
      <c r="CI1556" s="178"/>
      <c r="CJ1556" s="178"/>
      <c r="CK1556" s="178"/>
      <c r="CL1556" s="178"/>
      <c r="CM1556" s="178"/>
      <c r="CN1556" s="178"/>
      <c r="CO1556" s="178"/>
      <c r="CP1556" s="178"/>
      <c r="CQ1556" s="178"/>
      <c r="CR1556" s="178"/>
      <c r="CS1556" s="178"/>
      <c r="CT1556" s="178"/>
      <c r="CU1556" s="178"/>
      <c r="CV1556" s="178"/>
      <c r="CW1556" s="178"/>
      <c r="CX1556" s="178"/>
      <c r="CY1556" s="178"/>
      <c r="CZ1556" s="178"/>
      <c r="DA1556" s="150"/>
    </row>
    <row r="1557" spans="53:105" x14ac:dyDescent="0.2">
      <c r="BA1557" s="518">
        <f t="shared" ca="1" si="85"/>
        <v>61</v>
      </c>
      <c r="BB1557" s="174">
        <f t="shared" ca="1" si="86"/>
        <v>1494</v>
      </c>
      <c r="BC1557" s="525" t="e">
        <f ca="1">MATCH(BD1557,OFFSET(Pinlist!$A$2,BC1556*(BA1557=BA1556),0,$BM$23,1),0)+BC1556*(BA1557=BA1556)</f>
        <v>#N/A</v>
      </c>
      <c r="BD1557" s="167">
        <f t="shared" ca="1" si="87"/>
        <v>0</v>
      </c>
      <c r="BE1557" s="191" t="e">
        <f ca="1">(OFFSET(Pinlist!$E$1,BC1557,0)-$BN$16)*$BN$19</f>
        <v>#N/A</v>
      </c>
      <c r="BF1557" s="192" t="e">
        <f ca="1">(OFFSET(Pinlist!$F$1,BC1557,0)-$BO$16)*$BO$19</f>
        <v>#N/A</v>
      </c>
      <c r="BG1557" s="1098" t="str">
        <f ca="1">IF(LEFT(BD1557,2)="RF",OFFSET(Pinlist!$D$1,Chart!BC1557,0)&amp;"_"&amp;OFFSET(Pinlist!$G$1,Chart!BC1557,0),"")</f>
        <v/>
      </c>
      <c r="BH1557" s="1098"/>
      <c r="BI1557" s="178"/>
      <c r="BJ1557" s="178"/>
      <c r="BK1557" s="178"/>
      <c r="BL1557" s="178"/>
      <c r="BM1557" s="178"/>
      <c r="BN1557" s="178"/>
      <c r="BO1557" s="178"/>
      <c r="BP1557" s="178"/>
      <c r="BQ1557" s="196"/>
      <c r="BR1557" s="196"/>
      <c r="BS1557" s="196"/>
      <c r="BT1557" s="196"/>
      <c r="BU1557" s="196"/>
      <c r="BV1557" s="196"/>
      <c r="BW1557" s="178"/>
      <c r="BX1557" s="196"/>
      <c r="BY1557" s="196"/>
      <c r="BZ1557" s="196"/>
      <c r="CA1557" s="196"/>
      <c r="CB1557" s="178"/>
      <c r="CC1557" s="178"/>
      <c r="CD1557" s="202"/>
      <c r="CE1557" s="202"/>
      <c r="CF1557" s="178"/>
      <c r="CG1557" s="196"/>
      <c r="CH1557" s="178"/>
      <c r="CI1557" s="178"/>
      <c r="CJ1557" s="178"/>
      <c r="CK1557" s="178"/>
      <c r="CL1557" s="178"/>
      <c r="CM1557" s="178"/>
      <c r="CN1557" s="178"/>
      <c r="CO1557" s="178"/>
      <c r="CP1557" s="178"/>
      <c r="CQ1557" s="178"/>
      <c r="CR1557" s="178"/>
      <c r="CS1557" s="178"/>
      <c r="CT1557" s="178"/>
      <c r="CU1557" s="178"/>
      <c r="CV1557" s="178"/>
      <c r="CW1557" s="178"/>
      <c r="CX1557" s="178"/>
      <c r="CY1557" s="178"/>
      <c r="CZ1557" s="178"/>
      <c r="DA1557" s="150"/>
    </row>
    <row r="1558" spans="53:105" x14ac:dyDescent="0.2">
      <c r="BA1558" s="518">
        <f t="shared" ca="1" si="85"/>
        <v>61</v>
      </c>
      <c r="BB1558" s="174">
        <f t="shared" ca="1" si="86"/>
        <v>1495</v>
      </c>
      <c r="BC1558" s="525" t="e">
        <f ca="1">MATCH(BD1558,OFFSET(Pinlist!$A$2,BC1557*(BA1558=BA1557),0,$BM$23,1),0)+BC1557*(BA1558=BA1557)</f>
        <v>#N/A</v>
      </c>
      <c r="BD1558" s="167">
        <f t="shared" ca="1" si="87"/>
        <v>0</v>
      </c>
      <c r="BE1558" s="191" t="e">
        <f ca="1">(OFFSET(Pinlist!$E$1,BC1558,0)-$BN$16)*$BN$19</f>
        <v>#N/A</v>
      </c>
      <c r="BF1558" s="192" t="e">
        <f ca="1">(OFFSET(Pinlist!$F$1,BC1558,0)-$BO$16)*$BO$19</f>
        <v>#N/A</v>
      </c>
      <c r="BG1558" s="1098" t="str">
        <f ca="1">IF(LEFT(BD1558,2)="RF",OFFSET(Pinlist!$D$1,Chart!BC1558,0)&amp;"_"&amp;OFFSET(Pinlist!$G$1,Chart!BC1558,0),"")</f>
        <v/>
      </c>
      <c r="BH1558" s="1098"/>
      <c r="BI1558" s="178"/>
      <c r="BJ1558" s="178"/>
      <c r="BK1558" s="178"/>
      <c r="BL1558" s="178"/>
      <c r="BM1558" s="178"/>
      <c r="BN1558" s="178"/>
      <c r="BO1558" s="178"/>
      <c r="BP1558" s="178"/>
      <c r="BQ1558" s="196"/>
      <c r="BR1558" s="196"/>
      <c r="BS1558" s="196"/>
      <c r="BT1558" s="196"/>
      <c r="BU1558" s="196"/>
      <c r="BV1558" s="196"/>
      <c r="BW1558" s="178"/>
      <c r="BX1558" s="196"/>
      <c r="BY1558" s="196"/>
      <c r="BZ1558" s="196"/>
      <c r="CA1558" s="196"/>
      <c r="CB1558" s="178"/>
      <c r="CC1558" s="178"/>
      <c r="CD1558" s="202"/>
      <c r="CE1558" s="202"/>
      <c r="CF1558" s="178"/>
      <c r="CG1558" s="196"/>
      <c r="CH1558" s="178"/>
      <c r="CI1558" s="178"/>
      <c r="CJ1558" s="178"/>
      <c r="CK1558" s="178"/>
      <c r="CL1558" s="178"/>
      <c r="CM1558" s="178"/>
      <c r="CN1558" s="178"/>
      <c r="CO1558" s="178"/>
      <c r="CP1558" s="178"/>
      <c r="CQ1558" s="178"/>
      <c r="CR1558" s="178"/>
      <c r="CS1558" s="178"/>
      <c r="CT1558" s="178"/>
      <c r="CU1558" s="178"/>
      <c r="CV1558" s="178"/>
      <c r="CW1558" s="178"/>
      <c r="CX1558" s="178"/>
      <c r="CY1558" s="178"/>
      <c r="CZ1558" s="178"/>
      <c r="DA1558" s="150"/>
    </row>
    <row r="1559" spans="53:105" x14ac:dyDescent="0.2">
      <c r="BA1559" s="518">
        <f t="shared" ca="1" si="85"/>
        <v>61</v>
      </c>
      <c r="BB1559" s="174">
        <f t="shared" ca="1" si="86"/>
        <v>1496</v>
      </c>
      <c r="BC1559" s="525" t="e">
        <f ca="1">MATCH(BD1559,OFFSET(Pinlist!$A$2,BC1558*(BA1559=BA1558),0,$BM$23,1),0)+BC1558*(BA1559=BA1558)</f>
        <v>#N/A</v>
      </c>
      <c r="BD1559" s="167">
        <f t="shared" ca="1" si="87"/>
        <v>0</v>
      </c>
      <c r="BE1559" s="191" t="e">
        <f ca="1">(OFFSET(Pinlist!$E$1,BC1559,0)-$BN$16)*$BN$19</f>
        <v>#N/A</v>
      </c>
      <c r="BF1559" s="192" t="e">
        <f ca="1">(OFFSET(Pinlist!$F$1,BC1559,0)-$BO$16)*$BO$19</f>
        <v>#N/A</v>
      </c>
      <c r="BG1559" s="1098" t="str">
        <f ca="1">IF(LEFT(BD1559,2)="RF",OFFSET(Pinlist!$D$1,Chart!BC1559,0)&amp;"_"&amp;OFFSET(Pinlist!$G$1,Chart!BC1559,0),"")</f>
        <v/>
      </c>
      <c r="BH1559" s="1098"/>
      <c r="BI1559" s="178"/>
      <c r="BJ1559" s="178"/>
      <c r="BK1559" s="178"/>
      <c r="BL1559" s="178"/>
      <c r="BM1559" s="178"/>
      <c r="BN1559" s="178"/>
      <c r="BO1559" s="178"/>
      <c r="BP1559" s="178"/>
      <c r="BQ1559" s="196"/>
      <c r="BR1559" s="196"/>
      <c r="BS1559" s="196"/>
      <c r="BT1559" s="196"/>
      <c r="BU1559" s="196"/>
      <c r="BV1559" s="196"/>
      <c r="BW1559" s="178"/>
      <c r="BX1559" s="196"/>
      <c r="BY1559" s="196"/>
      <c r="BZ1559" s="196"/>
      <c r="CA1559" s="196"/>
      <c r="CB1559" s="178"/>
      <c r="CC1559" s="178"/>
      <c r="CD1559" s="202"/>
      <c r="CE1559" s="202"/>
      <c r="CF1559" s="178"/>
      <c r="CG1559" s="196"/>
      <c r="CH1559" s="178"/>
      <c r="CI1559" s="178"/>
      <c r="CJ1559" s="178"/>
      <c r="CK1559" s="178"/>
      <c r="CL1559" s="178"/>
      <c r="CM1559" s="178"/>
      <c r="CN1559" s="178"/>
      <c r="CO1559" s="178"/>
      <c r="CP1559" s="178"/>
      <c r="CQ1559" s="178"/>
      <c r="CR1559" s="178"/>
      <c r="CS1559" s="178"/>
      <c r="CT1559" s="178"/>
      <c r="CU1559" s="178"/>
      <c r="CV1559" s="178"/>
      <c r="CW1559" s="178"/>
      <c r="CX1559" s="178"/>
      <c r="CY1559" s="178"/>
      <c r="CZ1559" s="178"/>
      <c r="DA1559" s="150"/>
    </row>
    <row r="1560" spans="53:105" x14ac:dyDescent="0.2">
      <c r="BA1560" s="518">
        <f t="shared" ca="1" si="85"/>
        <v>61</v>
      </c>
      <c r="BB1560" s="174">
        <f t="shared" ca="1" si="86"/>
        <v>1497</v>
      </c>
      <c r="BC1560" s="525" t="e">
        <f ca="1">MATCH(BD1560,OFFSET(Pinlist!$A$2,BC1559*(BA1560=BA1559),0,$BM$23,1),0)+BC1559*(BA1560=BA1559)</f>
        <v>#N/A</v>
      </c>
      <c r="BD1560" s="167">
        <f t="shared" ca="1" si="87"/>
        <v>0</v>
      </c>
      <c r="BE1560" s="191" t="e">
        <f ca="1">(OFFSET(Pinlist!$E$1,BC1560,0)-$BN$16)*$BN$19</f>
        <v>#N/A</v>
      </c>
      <c r="BF1560" s="192" t="e">
        <f ca="1">(OFFSET(Pinlist!$F$1,BC1560,0)-$BO$16)*$BO$19</f>
        <v>#N/A</v>
      </c>
      <c r="BG1560" s="1098" t="str">
        <f ca="1">IF(LEFT(BD1560,2)="RF",OFFSET(Pinlist!$D$1,Chart!BC1560,0)&amp;"_"&amp;OFFSET(Pinlist!$G$1,Chart!BC1560,0),"")</f>
        <v/>
      </c>
      <c r="BH1560" s="1098"/>
      <c r="BI1560" s="178"/>
      <c r="BJ1560" s="178"/>
      <c r="BK1560" s="178"/>
      <c r="BL1560" s="178"/>
      <c r="BM1560" s="178"/>
      <c r="BN1560" s="178"/>
      <c r="BO1560" s="178"/>
      <c r="BP1560" s="178"/>
      <c r="BQ1560" s="196"/>
      <c r="BR1560" s="196"/>
      <c r="BS1560" s="196"/>
      <c r="BT1560" s="196"/>
      <c r="BU1560" s="196"/>
      <c r="BV1560" s="196"/>
      <c r="BW1560" s="178"/>
      <c r="BX1560" s="196"/>
      <c r="BY1560" s="196"/>
      <c r="BZ1560" s="196"/>
      <c r="CA1560" s="196"/>
      <c r="CB1560" s="178"/>
      <c r="CC1560" s="178"/>
      <c r="CD1560" s="202"/>
      <c r="CE1560" s="202"/>
      <c r="CF1560" s="178"/>
      <c r="CG1560" s="196"/>
      <c r="CH1560" s="178"/>
      <c r="CI1560" s="178"/>
      <c r="CJ1560" s="178"/>
      <c r="CK1560" s="178"/>
      <c r="CL1560" s="178"/>
      <c r="CM1560" s="178"/>
      <c r="CN1560" s="178"/>
      <c r="CO1560" s="178"/>
      <c r="CP1560" s="178"/>
      <c r="CQ1560" s="178"/>
      <c r="CR1560" s="178"/>
      <c r="CS1560" s="178"/>
      <c r="CT1560" s="178"/>
      <c r="CU1560" s="178"/>
      <c r="CV1560" s="178"/>
      <c r="CW1560" s="178"/>
      <c r="CX1560" s="178"/>
      <c r="CY1560" s="178"/>
      <c r="CZ1560" s="178"/>
      <c r="DA1560" s="150"/>
    </row>
    <row r="1561" spans="53:105" x14ac:dyDescent="0.2">
      <c r="BA1561" s="518">
        <f t="shared" ca="1" si="85"/>
        <v>61</v>
      </c>
      <c r="BB1561" s="174">
        <f t="shared" ca="1" si="86"/>
        <v>1498</v>
      </c>
      <c r="BC1561" s="525" t="e">
        <f ca="1">MATCH(BD1561,OFFSET(Pinlist!$A$2,BC1560*(BA1561=BA1560),0,$BM$23,1),0)+BC1560*(BA1561=BA1560)</f>
        <v>#N/A</v>
      </c>
      <c r="BD1561" s="167">
        <f t="shared" ca="1" si="87"/>
        <v>0</v>
      </c>
      <c r="BE1561" s="191" t="e">
        <f ca="1">(OFFSET(Pinlist!$E$1,BC1561,0)-$BN$16)*$BN$19</f>
        <v>#N/A</v>
      </c>
      <c r="BF1561" s="192" t="e">
        <f ca="1">(OFFSET(Pinlist!$F$1,BC1561,0)-$BO$16)*$BO$19</f>
        <v>#N/A</v>
      </c>
      <c r="BG1561" s="1098" t="str">
        <f ca="1">IF(LEFT(BD1561,2)="RF",OFFSET(Pinlist!$D$1,Chart!BC1561,0)&amp;"_"&amp;OFFSET(Pinlist!$G$1,Chart!BC1561,0),"")</f>
        <v/>
      </c>
      <c r="BH1561" s="1098"/>
      <c r="BI1561" s="178"/>
      <c r="BJ1561" s="178"/>
      <c r="BK1561" s="178"/>
      <c r="BL1561" s="178"/>
      <c r="BM1561" s="178"/>
      <c r="BN1561" s="178"/>
      <c r="BO1561" s="178"/>
      <c r="BP1561" s="178"/>
      <c r="BQ1561" s="196"/>
      <c r="BR1561" s="196"/>
      <c r="BS1561" s="196"/>
      <c r="BT1561" s="196"/>
      <c r="BU1561" s="196"/>
      <c r="BV1561" s="196"/>
      <c r="BW1561" s="178"/>
      <c r="BX1561" s="196"/>
      <c r="BY1561" s="196"/>
      <c r="BZ1561" s="196"/>
      <c r="CA1561" s="196"/>
      <c r="CB1561" s="178"/>
      <c r="CC1561" s="178"/>
      <c r="CD1561" s="202"/>
      <c r="CE1561" s="202"/>
      <c r="CF1561" s="178"/>
      <c r="CG1561" s="196"/>
      <c r="CH1561" s="178"/>
      <c r="CI1561" s="178"/>
      <c r="CJ1561" s="178"/>
      <c r="CK1561" s="178"/>
      <c r="CL1561" s="178"/>
      <c r="CM1561" s="178"/>
      <c r="CN1561" s="178"/>
      <c r="CO1561" s="178"/>
      <c r="CP1561" s="178"/>
      <c r="CQ1561" s="178"/>
      <c r="CR1561" s="178"/>
      <c r="CS1561" s="178"/>
      <c r="CT1561" s="178"/>
      <c r="CU1561" s="178"/>
      <c r="CV1561" s="178"/>
      <c r="CW1561" s="178"/>
      <c r="CX1561" s="178"/>
      <c r="CY1561" s="178"/>
      <c r="CZ1561" s="178"/>
      <c r="DA1561" s="150"/>
    </row>
    <row r="1562" spans="53:105" x14ac:dyDescent="0.2">
      <c r="BA1562" s="518">
        <f t="shared" ca="1" si="85"/>
        <v>61</v>
      </c>
      <c r="BB1562" s="174">
        <f t="shared" ca="1" si="86"/>
        <v>1499</v>
      </c>
      <c r="BC1562" s="525" t="e">
        <f ca="1">MATCH(BD1562,OFFSET(Pinlist!$A$2,BC1561*(BA1562=BA1561),0,$BM$23,1),0)+BC1561*(BA1562=BA1561)</f>
        <v>#N/A</v>
      </c>
      <c r="BD1562" s="167">
        <f t="shared" ca="1" si="87"/>
        <v>0</v>
      </c>
      <c r="BE1562" s="191" t="e">
        <f ca="1">(OFFSET(Pinlist!$E$1,BC1562,0)-$BN$16)*$BN$19</f>
        <v>#N/A</v>
      </c>
      <c r="BF1562" s="192" t="e">
        <f ca="1">(OFFSET(Pinlist!$F$1,BC1562,0)-$BO$16)*$BO$19</f>
        <v>#N/A</v>
      </c>
      <c r="BG1562" s="1098" t="str">
        <f ca="1">IF(LEFT(BD1562,2)="RF",OFFSET(Pinlist!$D$1,Chart!BC1562,0)&amp;"_"&amp;OFFSET(Pinlist!$G$1,Chart!BC1562,0),"")</f>
        <v/>
      </c>
      <c r="BH1562" s="1098"/>
      <c r="BI1562" s="178"/>
      <c r="BJ1562" s="178"/>
      <c r="BK1562" s="178"/>
      <c r="BL1562" s="178"/>
      <c r="BM1562" s="178"/>
      <c r="BN1562" s="178"/>
      <c r="BO1562" s="178"/>
      <c r="BP1562" s="178"/>
      <c r="BQ1562" s="196"/>
      <c r="BR1562" s="196"/>
      <c r="BS1562" s="196"/>
      <c r="BT1562" s="196"/>
      <c r="BU1562" s="196"/>
      <c r="BV1562" s="196"/>
      <c r="BW1562" s="178"/>
      <c r="BX1562" s="196"/>
      <c r="BY1562" s="196"/>
      <c r="BZ1562" s="196"/>
      <c r="CA1562" s="196"/>
      <c r="CB1562" s="178"/>
      <c r="CC1562" s="178"/>
      <c r="CD1562" s="202"/>
      <c r="CE1562" s="202"/>
      <c r="CF1562" s="178"/>
      <c r="CG1562" s="196"/>
      <c r="CH1562" s="178"/>
      <c r="CI1562" s="178"/>
      <c r="CJ1562" s="178"/>
      <c r="CK1562" s="178"/>
      <c r="CL1562" s="178"/>
      <c r="CM1562" s="178"/>
      <c r="CN1562" s="178"/>
      <c r="CO1562" s="178"/>
      <c r="CP1562" s="178"/>
      <c r="CQ1562" s="178"/>
      <c r="CR1562" s="178"/>
      <c r="CS1562" s="178"/>
      <c r="CT1562" s="178"/>
      <c r="CU1562" s="178"/>
      <c r="CV1562" s="178"/>
      <c r="CW1562" s="178"/>
      <c r="CX1562" s="178"/>
      <c r="CY1562" s="178"/>
      <c r="CZ1562" s="178"/>
      <c r="DA1562" s="150"/>
    </row>
    <row r="1563" spans="53:105" x14ac:dyDescent="0.2">
      <c r="BA1563" s="518">
        <f t="shared" ca="1" si="85"/>
        <v>61</v>
      </c>
      <c r="BB1563" s="174">
        <f t="shared" ca="1" si="86"/>
        <v>1500</v>
      </c>
      <c r="BC1563" s="525" t="e">
        <f ca="1">MATCH(BD1563,OFFSET(Pinlist!$A$2,BC1562*(BA1563=BA1562),0,$BM$23,1),0)+BC1562*(BA1563=BA1562)</f>
        <v>#N/A</v>
      </c>
      <c r="BD1563" s="167">
        <f t="shared" ca="1" si="87"/>
        <v>0</v>
      </c>
      <c r="BE1563" s="191" t="e">
        <f ca="1">(OFFSET(Pinlist!$E$1,BC1563,0)-$BN$16)*$BN$19</f>
        <v>#N/A</v>
      </c>
      <c r="BF1563" s="192" t="e">
        <f ca="1">(OFFSET(Pinlist!$F$1,BC1563,0)-$BO$16)*$BO$19</f>
        <v>#N/A</v>
      </c>
      <c r="BG1563" s="1098" t="str">
        <f ca="1">IF(LEFT(BD1563,2)="RF",OFFSET(Pinlist!$D$1,Chart!BC1563,0)&amp;"_"&amp;OFFSET(Pinlist!$G$1,Chart!BC1563,0),"")</f>
        <v/>
      </c>
      <c r="BH1563" s="1098"/>
      <c r="BI1563" s="178"/>
      <c r="BJ1563" s="178"/>
      <c r="BK1563" s="178"/>
      <c r="BL1563" s="178"/>
      <c r="BM1563" s="178"/>
      <c r="BN1563" s="178"/>
      <c r="BO1563" s="178"/>
      <c r="BP1563" s="178"/>
      <c r="BQ1563" s="196"/>
      <c r="BR1563" s="196"/>
      <c r="BS1563" s="196"/>
      <c r="BT1563" s="196"/>
      <c r="BU1563" s="196"/>
      <c r="BV1563" s="196"/>
      <c r="BW1563" s="178"/>
      <c r="BX1563" s="196"/>
      <c r="BY1563" s="196"/>
      <c r="BZ1563" s="196"/>
      <c r="CA1563" s="196"/>
      <c r="CB1563" s="178"/>
      <c r="CC1563" s="178"/>
      <c r="CD1563" s="202"/>
      <c r="CE1563" s="202"/>
      <c r="CF1563" s="178"/>
      <c r="CG1563" s="196"/>
      <c r="CH1563" s="178"/>
      <c r="CI1563" s="178"/>
      <c r="CJ1563" s="178"/>
      <c r="CK1563" s="178"/>
      <c r="CL1563" s="178"/>
      <c r="CM1563" s="178"/>
      <c r="CN1563" s="178"/>
      <c r="CO1563" s="178"/>
      <c r="CP1563" s="178"/>
      <c r="CQ1563" s="178"/>
      <c r="CR1563" s="178"/>
      <c r="CS1563" s="178"/>
      <c r="CT1563" s="178"/>
      <c r="CU1563" s="178"/>
      <c r="CV1563" s="178"/>
      <c r="CW1563" s="178"/>
      <c r="CX1563" s="178"/>
      <c r="CY1563" s="178"/>
      <c r="CZ1563" s="178"/>
      <c r="DA1563" s="150"/>
    </row>
    <row r="1564" spans="53:105" x14ac:dyDescent="0.2">
      <c r="BA1564" s="518">
        <f t="shared" ca="1" si="85"/>
        <v>61</v>
      </c>
      <c r="BB1564" s="174">
        <f t="shared" ca="1" si="86"/>
        <v>1501</v>
      </c>
      <c r="BC1564" s="525" t="e">
        <f ca="1">MATCH(BD1564,OFFSET(Pinlist!$A$2,BC1563*(BA1564=BA1563),0,$BM$23,1),0)+BC1563*(BA1564=BA1563)</f>
        <v>#N/A</v>
      </c>
      <c r="BD1564" s="167">
        <f t="shared" ca="1" si="87"/>
        <v>0</v>
      </c>
      <c r="BE1564" s="191" t="e">
        <f ca="1">(OFFSET(Pinlist!$E$1,BC1564,0)-$BN$16)*$BN$19</f>
        <v>#N/A</v>
      </c>
      <c r="BF1564" s="192" t="e">
        <f ca="1">(OFFSET(Pinlist!$F$1,BC1564,0)-$BO$16)*$BO$19</f>
        <v>#N/A</v>
      </c>
      <c r="BG1564" s="1098" t="str">
        <f ca="1">IF(LEFT(BD1564,2)="RF",OFFSET(Pinlist!$D$1,Chart!BC1564,0)&amp;"_"&amp;OFFSET(Pinlist!$G$1,Chart!BC1564,0),"")</f>
        <v/>
      </c>
      <c r="BH1564" s="1098"/>
      <c r="BI1564" s="178"/>
      <c r="BJ1564" s="178"/>
      <c r="BK1564" s="178"/>
      <c r="BL1564" s="178"/>
      <c r="BM1564" s="178"/>
      <c r="BN1564" s="178"/>
      <c r="BO1564" s="178"/>
      <c r="BP1564" s="178"/>
      <c r="BQ1564" s="196"/>
      <c r="BR1564" s="196"/>
      <c r="BS1564" s="196"/>
      <c r="BT1564" s="196"/>
      <c r="BU1564" s="196"/>
      <c r="BV1564" s="196"/>
      <c r="BW1564" s="178"/>
      <c r="BX1564" s="196"/>
      <c r="BY1564" s="196"/>
      <c r="BZ1564" s="196"/>
      <c r="CA1564" s="196"/>
      <c r="CB1564" s="178"/>
      <c r="CC1564" s="178"/>
      <c r="CD1564" s="202"/>
      <c r="CE1564" s="202"/>
      <c r="CF1564" s="178"/>
      <c r="CG1564" s="196"/>
      <c r="CH1564" s="178"/>
      <c r="CI1564" s="178"/>
      <c r="CJ1564" s="178"/>
      <c r="CK1564" s="178"/>
      <c r="CL1564" s="178"/>
      <c r="CM1564" s="178"/>
      <c r="CN1564" s="178"/>
      <c r="CO1564" s="178"/>
      <c r="CP1564" s="178"/>
      <c r="CQ1564" s="178"/>
      <c r="CR1564" s="178"/>
      <c r="CS1564" s="178"/>
      <c r="CT1564" s="178"/>
      <c r="CU1564" s="178"/>
      <c r="CV1564" s="178"/>
      <c r="CW1564" s="178"/>
      <c r="CX1564" s="178"/>
      <c r="CY1564" s="178"/>
      <c r="CZ1564" s="178"/>
      <c r="DA1564" s="150"/>
    </row>
    <row r="1565" spans="53:105" x14ac:dyDescent="0.2">
      <c r="BA1565" s="518">
        <f t="shared" ca="1" si="85"/>
        <v>61</v>
      </c>
      <c r="BB1565" s="174">
        <f t="shared" ca="1" si="86"/>
        <v>1502</v>
      </c>
      <c r="BC1565" s="525" t="e">
        <f ca="1">MATCH(BD1565,OFFSET(Pinlist!$A$2,BC1564*(BA1565=BA1564),0,$BM$23,1),0)+BC1564*(BA1565=BA1564)</f>
        <v>#N/A</v>
      </c>
      <c r="BD1565" s="167">
        <f t="shared" ca="1" si="87"/>
        <v>0</v>
      </c>
      <c r="BE1565" s="191" t="e">
        <f ca="1">(OFFSET(Pinlist!$E$1,BC1565,0)-$BN$16)*$BN$19</f>
        <v>#N/A</v>
      </c>
      <c r="BF1565" s="192" t="e">
        <f ca="1">(OFFSET(Pinlist!$F$1,BC1565,0)-$BO$16)*$BO$19</f>
        <v>#N/A</v>
      </c>
      <c r="BG1565" s="1098" t="str">
        <f ca="1">IF(LEFT(BD1565,2)="RF",OFFSET(Pinlist!$D$1,Chart!BC1565,0)&amp;"_"&amp;OFFSET(Pinlist!$G$1,Chart!BC1565,0),"")</f>
        <v/>
      </c>
      <c r="BH1565" s="1098"/>
      <c r="BI1565" s="178"/>
      <c r="BJ1565" s="178"/>
      <c r="BK1565" s="178"/>
      <c r="BL1565" s="178"/>
      <c r="BM1565" s="178"/>
      <c r="BN1565" s="178"/>
      <c r="BO1565" s="178"/>
      <c r="BP1565" s="178"/>
      <c r="BQ1565" s="196"/>
      <c r="BR1565" s="196"/>
      <c r="BS1565" s="196"/>
      <c r="BT1565" s="196"/>
      <c r="BU1565" s="196"/>
      <c r="BV1565" s="196"/>
      <c r="BW1565" s="178"/>
      <c r="BX1565" s="196"/>
      <c r="BY1565" s="196"/>
      <c r="BZ1565" s="196"/>
      <c r="CA1565" s="196"/>
      <c r="CB1565" s="178"/>
      <c r="CC1565" s="178"/>
      <c r="CD1565" s="202"/>
      <c r="CE1565" s="202"/>
      <c r="CF1565" s="178"/>
      <c r="CG1565" s="196"/>
      <c r="CH1565" s="178"/>
      <c r="CI1565" s="178"/>
      <c r="CJ1565" s="178"/>
      <c r="CK1565" s="178"/>
      <c r="CL1565" s="178"/>
      <c r="CM1565" s="178"/>
      <c r="CN1565" s="178"/>
      <c r="CO1565" s="178"/>
      <c r="CP1565" s="178"/>
      <c r="CQ1565" s="178"/>
      <c r="CR1565" s="178"/>
      <c r="CS1565" s="178"/>
      <c r="CT1565" s="178"/>
      <c r="CU1565" s="178"/>
      <c r="CV1565" s="178"/>
      <c r="CW1565" s="178"/>
      <c r="CX1565" s="178"/>
      <c r="CY1565" s="178"/>
      <c r="CZ1565" s="178"/>
      <c r="DA1565" s="150"/>
    </row>
    <row r="1566" spans="53:105" x14ac:dyDescent="0.2">
      <c r="BA1566" s="518">
        <f t="shared" ca="1" si="85"/>
        <v>61</v>
      </c>
      <c r="BB1566" s="174">
        <f t="shared" ca="1" si="86"/>
        <v>1503</v>
      </c>
      <c r="BC1566" s="525" t="e">
        <f ca="1">MATCH(BD1566,OFFSET(Pinlist!$A$2,BC1565*(BA1566=BA1565),0,$BM$23,1),0)+BC1565*(BA1566=BA1565)</f>
        <v>#N/A</v>
      </c>
      <c r="BD1566" s="167">
        <f t="shared" ca="1" si="87"/>
        <v>0</v>
      </c>
      <c r="BE1566" s="191" t="e">
        <f ca="1">(OFFSET(Pinlist!$E$1,BC1566,0)-$BN$16)*$BN$19</f>
        <v>#N/A</v>
      </c>
      <c r="BF1566" s="192" t="e">
        <f ca="1">(OFFSET(Pinlist!$F$1,BC1566,0)-$BO$16)*$BO$19</f>
        <v>#N/A</v>
      </c>
      <c r="BG1566" s="1098" t="str">
        <f ca="1">IF(LEFT(BD1566,2)="RF",OFFSET(Pinlist!$D$1,Chart!BC1566,0)&amp;"_"&amp;OFFSET(Pinlist!$G$1,Chart!BC1566,0),"")</f>
        <v/>
      </c>
      <c r="BH1566" s="1098"/>
      <c r="BI1566" s="178"/>
      <c r="BJ1566" s="178"/>
      <c r="BK1566" s="178"/>
      <c r="BL1566" s="178"/>
      <c r="BM1566" s="178"/>
      <c r="BN1566" s="178"/>
      <c r="BO1566" s="178"/>
      <c r="BP1566" s="178"/>
      <c r="BQ1566" s="196"/>
      <c r="BR1566" s="196"/>
      <c r="BS1566" s="196"/>
      <c r="BT1566" s="196"/>
      <c r="BU1566" s="196"/>
      <c r="BV1566" s="196"/>
      <c r="BW1566" s="178"/>
      <c r="BX1566" s="196"/>
      <c r="BY1566" s="196"/>
      <c r="BZ1566" s="196"/>
      <c r="CA1566" s="196"/>
      <c r="CB1566" s="178"/>
      <c r="CC1566" s="178"/>
      <c r="CD1566" s="202"/>
      <c r="CE1566" s="202"/>
      <c r="CF1566" s="178"/>
      <c r="CG1566" s="196"/>
      <c r="CH1566" s="178"/>
      <c r="CI1566" s="178"/>
      <c r="CJ1566" s="178"/>
      <c r="CK1566" s="178"/>
      <c r="CL1566" s="178"/>
      <c r="CM1566" s="178"/>
      <c r="CN1566" s="178"/>
      <c r="CO1566" s="178"/>
      <c r="CP1566" s="178"/>
      <c r="CQ1566" s="178"/>
      <c r="CR1566" s="178"/>
      <c r="CS1566" s="178"/>
      <c r="CT1566" s="178"/>
      <c r="CU1566" s="178"/>
      <c r="CV1566" s="178"/>
      <c r="CW1566" s="178"/>
      <c r="CX1566" s="178"/>
      <c r="CY1566" s="178"/>
      <c r="CZ1566" s="178"/>
      <c r="DA1566" s="150"/>
    </row>
    <row r="1567" spans="53:105" x14ac:dyDescent="0.2">
      <c r="BA1567" s="518">
        <f t="shared" ca="1" si="85"/>
        <v>61</v>
      </c>
      <c r="BB1567" s="174">
        <f t="shared" ca="1" si="86"/>
        <v>1504</v>
      </c>
      <c r="BC1567" s="525" t="e">
        <f ca="1">MATCH(BD1567,OFFSET(Pinlist!$A$2,BC1566*(BA1567=BA1566),0,$BM$23,1),0)+BC1566*(BA1567=BA1566)</f>
        <v>#N/A</v>
      </c>
      <c r="BD1567" s="167">
        <f t="shared" ca="1" si="87"/>
        <v>0</v>
      </c>
      <c r="BE1567" s="191" t="e">
        <f ca="1">(OFFSET(Pinlist!$E$1,BC1567,0)-$BN$16)*$BN$19</f>
        <v>#N/A</v>
      </c>
      <c r="BF1567" s="192" t="e">
        <f ca="1">(OFFSET(Pinlist!$F$1,BC1567,0)-$BO$16)*$BO$19</f>
        <v>#N/A</v>
      </c>
      <c r="BG1567" s="1098" t="str">
        <f ca="1">IF(LEFT(BD1567,2)="RF",OFFSET(Pinlist!$D$1,Chart!BC1567,0)&amp;"_"&amp;OFFSET(Pinlist!$G$1,Chart!BC1567,0),"")</f>
        <v/>
      </c>
      <c r="BH1567" s="1098"/>
      <c r="BI1567" s="178"/>
      <c r="BJ1567" s="178"/>
      <c r="BK1567" s="178"/>
      <c r="BL1567" s="178"/>
      <c r="BM1567" s="178"/>
      <c r="BN1567" s="178"/>
      <c r="BO1567" s="178"/>
      <c r="BP1567" s="178"/>
      <c r="BQ1567" s="196"/>
      <c r="BR1567" s="196"/>
      <c r="BS1567" s="196"/>
      <c r="BT1567" s="196"/>
      <c r="BU1567" s="196"/>
      <c r="BV1567" s="196"/>
      <c r="BW1567" s="178"/>
      <c r="BX1567" s="196"/>
      <c r="BY1567" s="196"/>
      <c r="BZ1567" s="196"/>
      <c r="CA1567" s="196"/>
      <c r="CB1567" s="178"/>
      <c r="CC1567" s="178"/>
      <c r="CD1567" s="202"/>
      <c r="CE1567" s="202"/>
      <c r="CF1567" s="178"/>
      <c r="CG1567" s="196"/>
      <c r="CH1567" s="178"/>
      <c r="CI1567" s="178"/>
      <c r="CJ1567" s="178"/>
      <c r="CK1567" s="178"/>
      <c r="CL1567" s="178"/>
      <c r="CM1567" s="178"/>
      <c r="CN1567" s="178"/>
      <c r="CO1567" s="178"/>
      <c r="CP1567" s="178"/>
      <c r="CQ1567" s="178"/>
      <c r="CR1567" s="178"/>
      <c r="CS1567" s="178"/>
      <c r="CT1567" s="178"/>
      <c r="CU1567" s="178"/>
      <c r="CV1567" s="178"/>
      <c r="CW1567" s="178"/>
      <c r="CX1567" s="178"/>
      <c r="CY1567" s="178"/>
      <c r="CZ1567" s="178"/>
      <c r="DA1567" s="150"/>
    </row>
    <row r="1568" spans="53:105" x14ac:dyDescent="0.2">
      <c r="BA1568" s="518">
        <f t="shared" ca="1" si="85"/>
        <v>61</v>
      </c>
      <c r="BB1568" s="174">
        <f t="shared" ca="1" si="86"/>
        <v>1505</v>
      </c>
      <c r="BC1568" s="525" t="e">
        <f ca="1">MATCH(BD1568,OFFSET(Pinlist!$A$2,BC1567*(BA1568=BA1567),0,$BM$23,1),0)+BC1567*(BA1568=BA1567)</f>
        <v>#N/A</v>
      </c>
      <c r="BD1568" s="167">
        <f t="shared" ca="1" si="87"/>
        <v>0</v>
      </c>
      <c r="BE1568" s="191" t="e">
        <f ca="1">(OFFSET(Pinlist!$E$1,BC1568,0)-$BN$16)*$BN$19</f>
        <v>#N/A</v>
      </c>
      <c r="BF1568" s="192" t="e">
        <f ca="1">(OFFSET(Pinlist!$F$1,BC1568,0)-$BO$16)*$BO$19</f>
        <v>#N/A</v>
      </c>
      <c r="BG1568" s="1098" t="str">
        <f ca="1">IF(LEFT(BD1568,2)="RF",OFFSET(Pinlist!$D$1,Chart!BC1568,0)&amp;"_"&amp;OFFSET(Pinlist!$G$1,Chart!BC1568,0),"")</f>
        <v/>
      </c>
      <c r="BH1568" s="1098"/>
      <c r="BI1568" s="178"/>
      <c r="BJ1568" s="178"/>
      <c r="BK1568" s="178"/>
      <c r="BL1568" s="178"/>
      <c r="BM1568" s="178"/>
      <c r="BN1568" s="178"/>
      <c r="BO1568" s="178"/>
      <c r="BP1568" s="178"/>
      <c r="BQ1568" s="196"/>
      <c r="BR1568" s="196"/>
      <c r="BS1568" s="196"/>
      <c r="BT1568" s="196"/>
      <c r="BU1568" s="196"/>
      <c r="BV1568" s="196"/>
      <c r="BW1568" s="178"/>
      <c r="BX1568" s="196"/>
      <c r="BY1568" s="196"/>
      <c r="BZ1568" s="196"/>
      <c r="CA1568" s="196"/>
      <c r="CB1568" s="178"/>
      <c r="CC1568" s="178"/>
      <c r="CD1568" s="202"/>
      <c r="CE1568" s="202"/>
      <c r="CF1568" s="178"/>
      <c r="CG1568" s="196"/>
      <c r="CH1568" s="178"/>
      <c r="CI1568" s="178"/>
      <c r="CJ1568" s="178"/>
      <c r="CK1568" s="178"/>
      <c r="CL1568" s="178"/>
      <c r="CM1568" s="178"/>
      <c r="CN1568" s="178"/>
      <c r="CO1568" s="178"/>
      <c r="CP1568" s="178"/>
      <c r="CQ1568" s="178"/>
      <c r="CR1568" s="178"/>
      <c r="CS1568" s="178"/>
      <c r="CT1568" s="178"/>
      <c r="CU1568" s="178"/>
      <c r="CV1568" s="178"/>
      <c r="CW1568" s="178"/>
      <c r="CX1568" s="178"/>
      <c r="CY1568" s="178"/>
      <c r="CZ1568" s="178"/>
      <c r="DA1568" s="150"/>
    </row>
    <row r="1569" spans="53:105" x14ac:dyDescent="0.2">
      <c r="BA1569" s="518">
        <f t="shared" ca="1" si="85"/>
        <v>61</v>
      </c>
      <c r="BB1569" s="174">
        <f t="shared" ca="1" si="86"/>
        <v>1506</v>
      </c>
      <c r="BC1569" s="525" t="e">
        <f ca="1">MATCH(BD1569,OFFSET(Pinlist!$A$2,BC1568*(BA1569=BA1568),0,$BM$23,1),0)+BC1568*(BA1569=BA1568)</f>
        <v>#N/A</v>
      </c>
      <c r="BD1569" s="167">
        <f t="shared" ca="1" si="87"/>
        <v>0</v>
      </c>
      <c r="BE1569" s="191" t="e">
        <f ca="1">(OFFSET(Pinlist!$E$1,BC1569,0)-$BN$16)*$BN$19</f>
        <v>#N/A</v>
      </c>
      <c r="BF1569" s="192" t="e">
        <f ca="1">(OFFSET(Pinlist!$F$1,BC1569,0)-$BO$16)*$BO$19</f>
        <v>#N/A</v>
      </c>
      <c r="BG1569" s="1098" t="str">
        <f ca="1">IF(LEFT(BD1569,2)="RF",OFFSET(Pinlist!$D$1,Chart!BC1569,0)&amp;"_"&amp;OFFSET(Pinlist!$G$1,Chart!BC1569,0),"")</f>
        <v/>
      </c>
      <c r="BH1569" s="1098"/>
      <c r="BI1569" s="178"/>
      <c r="BJ1569" s="178"/>
      <c r="BK1569" s="178"/>
      <c r="BL1569" s="178"/>
      <c r="BM1569" s="178"/>
      <c r="BN1569" s="178"/>
      <c r="BO1569" s="178"/>
      <c r="BP1569" s="178"/>
      <c r="BQ1569" s="196"/>
      <c r="BR1569" s="196"/>
      <c r="BS1569" s="196"/>
      <c r="BT1569" s="196"/>
      <c r="BU1569" s="196"/>
      <c r="BV1569" s="196"/>
      <c r="BW1569" s="178"/>
      <c r="BX1569" s="196"/>
      <c r="BY1569" s="196"/>
      <c r="BZ1569" s="196"/>
      <c r="CA1569" s="196"/>
      <c r="CB1569" s="178"/>
      <c r="CC1569" s="178"/>
      <c r="CD1569" s="202"/>
      <c r="CE1569" s="202"/>
      <c r="CF1569" s="178"/>
      <c r="CG1569" s="196"/>
      <c r="CH1569" s="178"/>
      <c r="CI1569" s="178"/>
      <c r="CJ1569" s="178"/>
      <c r="CK1569" s="178"/>
      <c r="CL1569" s="178"/>
      <c r="CM1569" s="178"/>
      <c r="CN1569" s="178"/>
      <c r="CO1569" s="178"/>
      <c r="CP1569" s="178"/>
      <c r="CQ1569" s="178"/>
      <c r="CR1569" s="178"/>
      <c r="CS1569" s="178"/>
      <c r="CT1569" s="178"/>
      <c r="CU1569" s="178"/>
      <c r="CV1569" s="178"/>
      <c r="CW1569" s="178"/>
      <c r="CX1569" s="178"/>
      <c r="CY1569" s="178"/>
      <c r="CZ1569" s="178"/>
      <c r="DA1569" s="150"/>
    </row>
    <row r="1570" spans="53:105" x14ac:dyDescent="0.2">
      <c r="BA1570" s="518">
        <f t="shared" ca="1" si="85"/>
        <v>61</v>
      </c>
      <c r="BB1570" s="174">
        <f t="shared" ca="1" si="86"/>
        <v>1507</v>
      </c>
      <c r="BC1570" s="525" t="e">
        <f ca="1">MATCH(BD1570,OFFSET(Pinlist!$A$2,BC1569*(BA1570=BA1569),0,$BM$23,1),0)+BC1569*(BA1570=BA1569)</f>
        <v>#N/A</v>
      </c>
      <c r="BD1570" s="167">
        <f t="shared" ca="1" si="87"/>
        <v>0</v>
      </c>
      <c r="BE1570" s="191" t="e">
        <f ca="1">(OFFSET(Pinlist!$E$1,BC1570,0)-$BN$16)*$BN$19</f>
        <v>#N/A</v>
      </c>
      <c r="BF1570" s="192" t="e">
        <f ca="1">(OFFSET(Pinlist!$F$1,BC1570,0)-$BO$16)*$BO$19</f>
        <v>#N/A</v>
      </c>
      <c r="BG1570" s="1098" t="str">
        <f ca="1">IF(LEFT(BD1570,2)="RF",OFFSET(Pinlist!$D$1,Chart!BC1570,0)&amp;"_"&amp;OFFSET(Pinlist!$G$1,Chart!BC1570,0),"")</f>
        <v/>
      </c>
      <c r="BH1570" s="1098"/>
      <c r="BI1570" s="178"/>
      <c r="BJ1570" s="178"/>
      <c r="BK1570" s="178"/>
      <c r="BL1570" s="178"/>
      <c r="BM1570" s="178"/>
      <c r="BN1570" s="178"/>
      <c r="BO1570" s="178"/>
      <c r="BP1570" s="178"/>
      <c r="BQ1570" s="196"/>
      <c r="BR1570" s="196"/>
      <c r="BS1570" s="196"/>
      <c r="BT1570" s="196"/>
      <c r="BU1570" s="196"/>
      <c r="BV1570" s="196"/>
      <c r="BW1570" s="178"/>
      <c r="BX1570" s="196"/>
      <c r="BY1570" s="196"/>
      <c r="BZ1570" s="196"/>
      <c r="CA1570" s="196"/>
      <c r="CB1570" s="178"/>
      <c r="CC1570" s="178"/>
      <c r="CD1570" s="202"/>
      <c r="CE1570" s="202"/>
      <c r="CF1570" s="178"/>
      <c r="CG1570" s="196"/>
      <c r="CH1570" s="178"/>
      <c r="CI1570" s="178"/>
      <c r="CJ1570" s="178"/>
      <c r="CK1570" s="178"/>
      <c r="CL1570" s="178"/>
      <c r="CM1570" s="178"/>
      <c r="CN1570" s="178"/>
      <c r="CO1570" s="178"/>
      <c r="CP1570" s="178"/>
      <c r="CQ1570" s="178"/>
      <c r="CR1570" s="178"/>
      <c r="CS1570" s="178"/>
      <c r="CT1570" s="178"/>
      <c r="CU1570" s="178"/>
      <c r="CV1570" s="178"/>
      <c r="CW1570" s="178"/>
      <c r="CX1570" s="178"/>
      <c r="CY1570" s="178"/>
      <c r="CZ1570" s="178"/>
      <c r="DA1570" s="150"/>
    </row>
    <row r="1571" spans="53:105" x14ac:dyDescent="0.2">
      <c r="BA1571" s="518">
        <f t="shared" ca="1" si="85"/>
        <v>61</v>
      </c>
      <c r="BB1571" s="174">
        <f t="shared" ca="1" si="86"/>
        <v>1508</v>
      </c>
      <c r="BC1571" s="525" t="e">
        <f ca="1">MATCH(BD1571,OFFSET(Pinlist!$A$2,BC1570*(BA1571=BA1570),0,$BM$23,1),0)+BC1570*(BA1571=BA1570)</f>
        <v>#N/A</v>
      </c>
      <c r="BD1571" s="167">
        <f t="shared" ca="1" si="87"/>
        <v>0</v>
      </c>
      <c r="BE1571" s="191" t="e">
        <f ca="1">(OFFSET(Pinlist!$E$1,BC1571,0)-$BN$16)*$BN$19</f>
        <v>#N/A</v>
      </c>
      <c r="BF1571" s="192" t="e">
        <f ca="1">(OFFSET(Pinlist!$F$1,BC1571,0)-$BO$16)*$BO$19</f>
        <v>#N/A</v>
      </c>
      <c r="BG1571" s="1098" t="str">
        <f ca="1">IF(LEFT(BD1571,2)="RF",OFFSET(Pinlist!$D$1,Chart!BC1571,0)&amp;"_"&amp;OFFSET(Pinlist!$G$1,Chart!BC1571,0),"")</f>
        <v/>
      </c>
      <c r="BH1571" s="1098"/>
      <c r="BI1571" s="178"/>
      <c r="BJ1571" s="178"/>
      <c r="BK1571" s="178"/>
      <c r="BL1571" s="178"/>
      <c r="BM1571" s="178"/>
      <c r="BN1571" s="178"/>
      <c r="BO1571" s="178"/>
      <c r="BP1571" s="178"/>
      <c r="BQ1571" s="196"/>
      <c r="BR1571" s="196"/>
      <c r="BS1571" s="196"/>
      <c r="BT1571" s="196"/>
      <c r="BU1571" s="196"/>
      <c r="BV1571" s="196"/>
      <c r="BW1571" s="178"/>
      <c r="BX1571" s="196"/>
      <c r="BY1571" s="196"/>
      <c r="BZ1571" s="196"/>
      <c r="CA1571" s="196"/>
      <c r="CB1571" s="178"/>
      <c r="CC1571" s="178"/>
      <c r="CD1571" s="202"/>
      <c r="CE1571" s="202"/>
      <c r="CF1571" s="178"/>
      <c r="CG1571" s="196"/>
      <c r="CH1571" s="178"/>
      <c r="CI1571" s="178"/>
      <c r="CJ1571" s="178"/>
      <c r="CK1571" s="178"/>
      <c r="CL1571" s="178"/>
      <c r="CM1571" s="178"/>
      <c r="CN1571" s="178"/>
      <c r="CO1571" s="178"/>
      <c r="CP1571" s="178"/>
      <c r="CQ1571" s="178"/>
      <c r="CR1571" s="178"/>
      <c r="CS1571" s="178"/>
      <c r="CT1571" s="178"/>
      <c r="CU1571" s="178"/>
      <c r="CV1571" s="178"/>
      <c r="CW1571" s="178"/>
      <c r="CX1571" s="178"/>
      <c r="CY1571" s="178"/>
      <c r="CZ1571" s="178"/>
      <c r="DA1571" s="150"/>
    </row>
    <row r="1572" spans="53:105" x14ac:dyDescent="0.2">
      <c r="BA1572" s="518">
        <f t="shared" ca="1" si="85"/>
        <v>61</v>
      </c>
      <c r="BB1572" s="174">
        <f t="shared" ca="1" si="86"/>
        <v>1509</v>
      </c>
      <c r="BC1572" s="525" t="e">
        <f ca="1">MATCH(BD1572,OFFSET(Pinlist!$A$2,BC1571*(BA1572=BA1571),0,$BM$23,1),0)+BC1571*(BA1572=BA1571)</f>
        <v>#N/A</v>
      </c>
      <c r="BD1572" s="167">
        <f t="shared" ca="1" si="87"/>
        <v>0</v>
      </c>
      <c r="BE1572" s="191" t="e">
        <f ca="1">(OFFSET(Pinlist!$E$1,BC1572,0)-$BN$16)*$BN$19</f>
        <v>#N/A</v>
      </c>
      <c r="BF1572" s="192" t="e">
        <f ca="1">(OFFSET(Pinlist!$F$1,BC1572,0)-$BO$16)*$BO$19</f>
        <v>#N/A</v>
      </c>
      <c r="BG1572" s="1098" t="str">
        <f ca="1">IF(LEFT(BD1572,2)="RF",OFFSET(Pinlist!$D$1,Chart!BC1572,0)&amp;"_"&amp;OFFSET(Pinlist!$G$1,Chart!BC1572,0),"")</f>
        <v/>
      </c>
      <c r="BH1572" s="1098"/>
      <c r="BI1572" s="178"/>
      <c r="BJ1572" s="178"/>
      <c r="BK1572" s="178"/>
      <c r="BL1572" s="178"/>
      <c r="BM1572" s="178"/>
      <c r="BN1572" s="178"/>
      <c r="BO1572" s="178"/>
      <c r="BP1572" s="178"/>
      <c r="BQ1572" s="196"/>
      <c r="BR1572" s="196"/>
      <c r="BS1572" s="196"/>
      <c r="BT1572" s="196"/>
      <c r="BU1572" s="196"/>
      <c r="BV1572" s="196"/>
      <c r="BW1572" s="178"/>
      <c r="BX1572" s="196"/>
      <c r="BY1572" s="196"/>
      <c r="BZ1572" s="196"/>
      <c r="CA1572" s="196"/>
      <c r="CB1572" s="178"/>
      <c r="CC1572" s="178"/>
      <c r="CD1572" s="202"/>
      <c r="CE1572" s="202"/>
      <c r="CF1572" s="178"/>
      <c r="CG1572" s="196"/>
      <c r="CH1572" s="178"/>
      <c r="CI1572" s="178"/>
      <c r="CJ1572" s="178"/>
      <c r="CK1572" s="178"/>
      <c r="CL1572" s="178"/>
      <c r="CM1572" s="178"/>
      <c r="CN1572" s="178"/>
      <c r="CO1572" s="178"/>
      <c r="CP1572" s="178"/>
      <c r="CQ1572" s="178"/>
      <c r="CR1572" s="178"/>
      <c r="CS1572" s="178"/>
      <c r="CT1572" s="178"/>
      <c r="CU1572" s="178"/>
      <c r="CV1572" s="178"/>
      <c r="CW1572" s="178"/>
      <c r="CX1572" s="178"/>
      <c r="CY1572" s="178"/>
      <c r="CZ1572" s="178"/>
      <c r="DA1572" s="150"/>
    </row>
    <row r="1573" spans="53:105" x14ac:dyDescent="0.2">
      <c r="BA1573" s="518">
        <f t="shared" ca="1" si="85"/>
        <v>61</v>
      </c>
      <c r="BB1573" s="174">
        <f t="shared" ca="1" si="86"/>
        <v>1510</v>
      </c>
      <c r="BC1573" s="525" t="e">
        <f ca="1">MATCH(BD1573,OFFSET(Pinlist!$A$2,BC1572*(BA1573=BA1572),0,$BM$23,1),0)+BC1572*(BA1573=BA1572)</f>
        <v>#N/A</v>
      </c>
      <c r="BD1573" s="167">
        <f t="shared" ca="1" si="87"/>
        <v>0</v>
      </c>
      <c r="BE1573" s="191" t="e">
        <f ca="1">(OFFSET(Pinlist!$E$1,BC1573,0)-$BN$16)*$BN$19</f>
        <v>#N/A</v>
      </c>
      <c r="BF1573" s="192" t="e">
        <f ca="1">(OFFSET(Pinlist!$F$1,BC1573,0)-$BO$16)*$BO$19</f>
        <v>#N/A</v>
      </c>
      <c r="BG1573" s="1098" t="str">
        <f ca="1">IF(LEFT(BD1573,2)="RF",OFFSET(Pinlist!$D$1,Chart!BC1573,0)&amp;"_"&amp;OFFSET(Pinlist!$G$1,Chart!BC1573,0),"")</f>
        <v/>
      </c>
      <c r="BH1573" s="1098"/>
      <c r="BI1573" s="178"/>
      <c r="BJ1573" s="178"/>
      <c r="BK1573" s="178"/>
      <c r="BL1573" s="178"/>
      <c r="BM1573" s="178"/>
      <c r="BN1573" s="178"/>
      <c r="BO1573" s="178"/>
      <c r="BP1573" s="178"/>
      <c r="BQ1573" s="196"/>
      <c r="BR1573" s="196"/>
      <c r="BS1573" s="196"/>
      <c r="BT1573" s="196"/>
      <c r="BU1573" s="196"/>
      <c r="BV1573" s="196"/>
      <c r="BW1573" s="178"/>
      <c r="BX1573" s="196"/>
      <c r="BY1573" s="196"/>
      <c r="BZ1573" s="196"/>
      <c r="CA1573" s="196"/>
      <c r="CB1573" s="178"/>
      <c r="CC1573" s="178"/>
      <c r="CD1573" s="202"/>
      <c r="CE1573" s="202"/>
      <c r="CF1573" s="178"/>
      <c r="CG1573" s="196"/>
      <c r="CH1573" s="178"/>
      <c r="CI1573" s="178"/>
      <c r="CJ1573" s="178"/>
      <c r="CK1573" s="178"/>
      <c r="CL1573" s="178"/>
      <c r="CM1573" s="178"/>
      <c r="CN1573" s="178"/>
      <c r="CO1573" s="178"/>
      <c r="CP1573" s="178"/>
      <c r="CQ1573" s="178"/>
      <c r="CR1573" s="178"/>
      <c r="CS1573" s="178"/>
      <c r="CT1573" s="178"/>
      <c r="CU1573" s="178"/>
      <c r="CV1573" s="178"/>
      <c r="CW1573" s="178"/>
      <c r="CX1573" s="178"/>
      <c r="CY1573" s="178"/>
      <c r="CZ1573" s="178"/>
      <c r="DA1573" s="150"/>
    </row>
    <row r="1574" spans="53:105" x14ac:dyDescent="0.2">
      <c r="BA1574" s="518">
        <f t="shared" ca="1" si="85"/>
        <v>61</v>
      </c>
      <c r="BB1574" s="174">
        <f t="shared" ca="1" si="86"/>
        <v>1511</v>
      </c>
      <c r="BC1574" s="525" t="e">
        <f ca="1">MATCH(BD1574,OFFSET(Pinlist!$A$2,BC1573*(BA1574=BA1573),0,$BM$23,1),0)+BC1573*(BA1574=BA1573)</f>
        <v>#N/A</v>
      </c>
      <c r="BD1574" s="167">
        <f t="shared" ca="1" si="87"/>
        <v>0</v>
      </c>
      <c r="BE1574" s="191" t="e">
        <f ca="1">(OFFSET(Pinlist!$E$1,BC1574,0)-$BN$16)*$BN$19</f>
        <v>#N/A</v>
      </c>
      <c r="BF1574" s="192" t="e">
        <f ca="1">(OFFSET(Pinlist!$F$1,BC1574,0)-$BO$16)*$BO$19</f>
        <v>#N/A</v>
      </c>
      <c r="BG1574" s="1098" t="str">
        <f ca="1">IF(LEFT(BD1574,2)="RF",OFFSET(Pinlist!$D$1,Chart!BC1574,0)&amp;"_"&amp;OFFSET(Pinlist!$G$1,Chart!BC1574,0),"")</f>
        <v/>
      </c>
      <c r="BH1574" s="1098"/>
      <c r="BI1574" s="178"/>
      <c r="BJ1574" s="178"/>
      <c r="BK1574" s="178"/>
      <c r="BL1574" s="178"/>
      <c r="BM1574" s="178"/>
      <c r="BN1574" s="178"/>
      <c r="BO1574" s="178"/>
      <c r="BP1574" s="178"/>
      <c r="BQ1574" s="196"/>
      <c r="BR1574" s="196"/>
      <c r="BS1574" s="196"/>
      <c r="BT1574" s="196"/>
      <c r="BU1574" s="196"/>
      <c r="BV1574" s="196"/>
      <c r="BW1574" s="178"/>
      <c r="BX1574" s="196"/>
      <c r="BY1574" s="196"/>
      <c r="BZ1574" s="196"/>
      <c r="CA1574" s="196"/>
      <c r="CB1574" s="178"/>
      <c r="CC1574" s="178"/>
      <c r="CD1574" s="202"/>
      <c r="CE1574" s="202"/>
      <c r="CF1574" s="178"/>
      <c r="CG1574" s="196"/>
      <c r="CH1574" s="178"/>
      <c r="CI1574" s="178"/>
      <c r="CJ1574" s="178"/>
      <c r="CK1574" s="178"/>
      <c r="CL1574" s="178"/>
      <c r="CM1574" s="178"/>
      <c r="CN1574" s="178"/>
      <c r="CO1574" s="178"/>
      <c r="CP1574" s="178"/>
      <c r="CQ1574" s="178"/>
      <c r="CR1574" s="178"/>
      <c r="CS1574" s="178"/>
      <c r="CT1574" s="178"/>
      <c r="CU1574" s="178"/>
      <c r="CV1574" s="178"/>
      <c r="CW1574" s="178"/>
      <c r="CX1574" s="178"/>
      <c r="CY1574" s="178"/>
      <c r="CZ1574" s="178"/>
      <c r="DA1574" s="150"/>
    </row>
    <row r="1575" spans="53:105" x14ac:dyDescent="0.2">
      <c r="BA1575" s="518">
        <f t="shared" ca="1" si="85"/>
        <v>61</v>
      </c>
      <c r="BB1575" s="174">
        <f t="shared" ca="1" si="86"/>
        <v>1512</v>
      </c>
      <c r="BC1575" s="525" t="e">
        <f ca="1">MATCH(BD1575,OFFSET(Pinlist!$A$2,BC1574*(BA1575=BA1574),0,$BM$23,1),0)+BC1574*(BA1575=BA1574)</f>
        <v>#N/A</v>
      </c>
      <c r="BD1575" s="167">
        <f t="shared" ca="1" si="87"/>
        <v>0</v>
      </c>
      <c r="BE1575" s="191" t="e">
        <f ca="1">(OFFSET(Pinlist!$E$1,BC1575,0)-$BN$16)*$BN$19</f>
        <v>#N/A</v>
      </c>
      <c r="BF1575" s="192" t="e">
        <f ca="1">(OFFSET(Pinlist!$F$1,BC1575,0)-$BO$16)*$BO$19</f>
        <v>#N/A</v>
      </c>
      <c r="BG1575" s="1098" t="str">
        <f ca="1">IF(LEFT(BD1575,2)="RF",OFFSET(Pinlist!$D$1,Chart!BC1575,0)&amp;"_"&amp;OFFSET(Pinlist!$G$1,Chart!BC1575,0),"")</f>
        <v/>
      </c>
      <c r="BH1575" s="1098"/>
      <c r="BI1575" s="178"/>
      <c r="BJ1575" s="178"/>
      <c r="BK1575" s="178"/>
      <c r="BL1575" s="178"/>
      <c r="BM1575" s="178"/>
      <c r="BN1575" s="178"/>
      <c r="BO1575" s="178"/>
      <c r="BP1575" s="178"/>
      <c r="BQ1575" s="196"/>
      <c r="BR1575" s="196"/>
      <c r="BS1575" s="196"/>
      <c r="BT1575" s="196"/>
      <c r="BU1575" s="196"/>
      <c r="BV1575" s="196"/>
      <c r="BW1575" s="178"/>
      <c r="BX1575" s="196"/>
      <c r="BY1575" s="196"/>
      <c r="BZ1575" s="196"/>
      <c r="CA1575" s="196"/>
      <c r="CB1575" s="178"/>
      <c r="CC1575" s="178"/>
      <c r="CD1575" s="202"/>
      <c r="CE1575" s="202"/>
      <c r="CF1575" s="178"/>
      <c r="CG1575" s="196"/>
      <c r="CH1575" s="178"/>
      <c r="CI1575" s="178"/>
      <c r="CJ1575" s="178"/>
      <c r="CK1575" s="178"/>
      <c r="CL1575" s="178"/>
      <c r="CM1575" s="178"/>
      <c r="CN1575" s="178"/>
      <c r="CO1575" s="178"/>
      <c r="CP1575" s="178"/>
      <c r="CQ1575" s="178"/>
      <c r="CR1575" s="178"/>
      <c r="CS1575" s="178"/>
      <c r="CT1575" s="178"/>
      <c r="CU1575" s="178"/>
      <c r="CV1575" s="178"/>
      <c r="CW1575" s="178"/>
      <c r="CX1575" s="178"/>
      <c r="CY1575" s="178"/>
      <c r="CZ1575" s="178"/>
      <c r="DA1575" s="150"/>
    </row>
    <row r="1576" spans="53:105" x14ac:dyDescent="0.2">
      <c r="BA1576" s="518">
        <f t="shared" ca="1" si="85"/>
        <v>61</v>
      </c>
      <c r="BB1576" s="174">
        <f t="shared" ca="1" si="86"/>
        <v>1513</v>
      </c>
      <c r="BC1576" s="525" t="e">
        <f ca="1">MATCH(BD1576,OFFSET(Pinlist!$A$2,BC1575*(BA1576=BA1575),0,$BM$23,1),0)+BC1575*(BA1576=BA1575)</f>
        <v>#N/A</v>
      </c>
      <c r="BD1576" s="167">
        <f t="shared" ca="1" si="87"/>
        <v>0</v>
      </c>
      <c r="BE1576" s="191" t="e">
        <f ca="1">(OFFSET(Pinlist!$E$1,BC1576,0)-$BN$16)*$BN$19</f>
        <v>#N/A</v>
      </c>
      <c r="BF1576" s="192" t="e">
        <f ca="1">(OFFSET(Pinlist!$F$1,BC1576,0)-$BO$16)*$BO$19</f>
        <v>#N/A</v>
      </c>
      <c r="BG1576" s="1098" t="str">
        <f ca="1">IF(LEFT(BD1576,2)="RF",OFFSET(Pinlist!$D$1,Chart!BC1576,0)&amp;"_"&amp;OFFSET(Pinlist!$G$1,Chart!BC1576,0),"")</f>
        <v/>
      </c>
      <c r="BH1576" s="1098"/>
      <c r="BI1576" s="178"/>
      <c r="BJ1576" s="178"/>
      <c r="BK1576" s="178"/>
      <c r="BL1576" s="178"/>
      <c r="BM1576" s="178"/>
      <c r="BN1576" s="178"/>
      <c r="BO1576" s="178"/>
      <c r="BP1576" s="178"/>
      <c r="BQ1576" s="196"/>
      <c r="BR1576" s="196"/>
      <c r="BS1576" s="196"/>
      <c r="BT1576" s="196"/>
      <c r="BU1576" s="196"/>
      <c r="BV1576" s="196"/>
      <c r="BW1576" s="178"/>
      <c r="BX1576" s="196"/>
      <c r="BY1576" s="196"/>
      <c r="BZ1576" s="196"/>
      <c r="CA1576" s="196"/>
      <c r="CB1576" s="178"/>
      <c r="CC1576" s="178"/>
      <c r="CD1576" s="202"/>
      <c r="CE1576" s="202"/>
      <c r="CF1576" s="178"/>
      <c r="CG1576" s="196"/>
      <c r="CH1576" s="178"/>
      <c r="CI1576" s="178"/>
      <c r="CJ1576" s="178"/>
      <c r="CK1576" s="178"/>
      <c r="CL1576" s="178"/>
      <c r="CM1576" s="178"/>
      <c r="CN1576" s="178"/>
      <c r="CO1576" s="178"/>
      <c r="CP1576" s="178"/>
      <c r="CQ1576" s="178"/>
      <c r="CR1576" s="178"/>
      <c r="CS1576" s="178"/>
      <c r="CT1576" s="178"/>
      <c r="CU1576" s="178"/>
      <c r="CV1576" s="178"/>
      <c r="CW1576" s="178"/>
      <c r="CX1576" s="178"/>
      <c r="CY1576" s="178"/>
      <c r="CZ1576" s="178"/>
      <c r="DA1576" s="150"/>
    </row>
    <row r="1577" spans="53:105" x14ac:dyDescent="0.2">
      <c r="BA1577" s="518">
        <f t="shared" ca="1" si="85"/>
        <v>61</v>
      </c>
      <c r="BB1577" s="174">
        <f t="shared" ca="1" si="86"/>
        <v>1514</v>
      </c>
      <c r="BC1577" s="525" t="e">
        <f ca="1">MATCH(BD1577,OFFSET(Pinlist!$A$2,BC1576*(BA1577=BA1576),0,$BM$23,1),0)+BC1576*(BA1577=BA1576)</f>
        <v>#N/A</v>
      </c>
      <c r="BD1577" s="167">
        <f t="shared" ca="1" si="87"/>
        <v>0</v>
      </c>
      <c r="BE1577" s="191" t="e">
        <f ca="1">(OFFSET(Pinlist!$E$1,BC1577,0)-$BN$16)*$BN$19</f>
        <v>#N/A</v>
      </c>
      <c r="BF1577" s="192" t="e">
        <f ca="1">(OFFSET(Pinlist!$F$1,BC1577,0)-$BO$16)*$BO$19</f>
        <v>#N/A</v>
      </c>
      <c r="BG1577" s="1098" t="str">
        <f ca="1">IF(LEFT(BD1577,2)="RF",OFFSET(Pinlist!$D$1,Chart!BC1577,0)&amp;"_"&amp;OFFSET(Pinlist!$G$1,Chart!BC1577,0),"")</f>
        <v/>
      </c>
      <c r="BH1577" s="1098"/>
      <c r="BI1577" s="178"/>
      <c r="BJ1577" s="178"/>
      <c r="BK1577" s="178"/>
      <c r="BL1577" s="178"/>
      <c r="BM1577" s="178"/>
      <c r="BN1577" s="178"/>
      <c r="BO1577" s="178"/>
      <c r="BP1577" s="178"/>
      <c r="BQ1577" s="196"/>
      <c r="BR1577" s="196"/>
      <c r="BS1577" s="196"/>
      <c r="BT1577" s="196"/>
      <c r="BU1577" s="196"/>
      <c r="BV1577" s="196"/>
      <c r="BW1577" s="178"/>
      <c r="BX1577" s="196"/>
      <c r="BY1577" s="196"/>
      <c r="BZ1577" s="196"/>
      <c r="CA1577" s="196"/>
      <c r="CB1577" s="178"/>
      <c r="CC1577" s="178"/>
      <c r="CD1577" s="202"/>
      <c r="CE1577" s="202"/>
      <c r="CF1577" s="178"/>
      <c r="CG1577" s="196"/>
      <c r="CH1577" s="178"/>
      <c r="CI1577" s="178"/>
      <c r="CJ1577" s="178"/>
      <c r="CK1577" s="178"/>
      <c r="CL1577" s="178"/>
      <c r="CM1577" s="178"/>
      <c r="CN1577" s="178"/>
      <c r="CO1577" s="178"/>
      <c r="CP1577" s="178"/>
      <c r="CQ1577" s="178"/>
      <c r="CR1577" s="178"/>
      <c r="CS1577" s="178"/>
      <c r="CT1577" s="178"/>
      <c r="CU1577" s="178"/>
      <c r="CV1577" s="178"/>
      <c r="CW1577" s="178"/>
      <c r="CX1577" s="178"/>
      <c r="CY1577" s="178"/>
      <c r="CZ1577" s="178"/>
      <c r="DA1577" s="150"/>
    </row>
    <row r="1578" spans="53:105" x14ac:dyDescent="0.2">
      <c r="BA1578" s="518">
        <f t="shared" ca="1" si="85"/>
        <v>61</v>
      </c>
      <c r="BB1578" s="174">
        <f t="shared" ca="1" si="86"/>
        <v>1515</v>
      </c>
      <c r="BC1578" s="525" t="e">
        <f ca="1">MATCH(BD1578,OFFSET(Pinlist!$A$2,BC1577*(BA1578=BA1577),0,$BM$23,1),0)+BC1577*(BA1578=BA1577)</f>
        <v>#N/A</v>
      </c>
      <c r="BD1578" s="167">
        <f t="shared" ca="1" si="87"/>
        <v>0</v>
      </c>
      <c r="BE1578" s="191" t="e">
        <f ca="1">(OFFSET(Pinlist!$E$1,BC1578,0)-$BN$16)*$BN$19</f>
        <v>#N/A</v>
      </c>
      <c r="BF1578" s="192" t="e">
        <f ca="1">(OFFSET(Pinlist!$F$1,BC1578,0)-$BO$16)*$BO$19</f>
        <v>#N/A</v>
      </c>
      <c r="BG1578" s="1098" t="str">
        <f ca="1">IF(LEFT(BD1578,2)="RF",OFFSET(Pinlist!$D$1,Chart!BC1578,0)&amp;"_"&amp;OFFSET(Pinlist!$G$1,Chart!BC1578,0),"")</f>
        <v/>
      </c>
      <c r="BH1578" s="1098"/>
      <c r="BI1578" s="178"/>
      <c r="BJ1578" s="178"/>
      <c r="BK1578" s="178"/>
      <c r="BL1578" s="178"/>
      <c r="BM1578" s="178"/>
      <c r="BN1578" s="178"/>
      <c r="BO1578" s="178"/>
      <c r="BP1578" s="178"/>
      <c r="BQ1578" s="196"/>
      <c r="BR1578" s="196"/>
      <c r="BS1578" s="196"/>
      <c r="BT1578" s="196"/>
      <c r="BU1578" s="196"/>
      <c r="BV1578" s="196"/>
      <c r="BW1578" s="178"/>
      <c r="BX1578" s="196"/>
      <c r="BY1578" s="196"/>
      <c r="BZ1578" s="196"/>
      <c r="CA1578" s="196"/>
      <c r="CB1578" s="178"/>
      <c r="CC1578" s="178"/>
      <c r="CD1578" s="202"/>
      <c r="CE1578" s="202"/>
      <c r="CF1578" s="178"/>
      <c r="CG1578" s="196"/>
      <c r="CH1578" s="178"/>
      <c r="CI1578" s="178"/>
      <c r="CJ1578" s="178"/>
      <c r="CK1578" s="178"/>
      <c r="CL1578" s="178"/>
      <c r="CM1578" s="178"/>
      <c r="CN1578" s="178"/>
      <c r="CO1578" s="178"/>
      <c r="CP1578" s="178"/>
      <c r="CQ1578" s="178"/>
      <c r="CR1578" s="178"/>
      <c r="CS1578" s="178"/>
      <c r="CT1578" s="178"/>
      <c r="CU1578" s="178"/>
      <c r="CV1578" s="178"/>
      <c r="CW1578" s="178"/>
      <c r="CX1578" s="178"/>
      <c r="CY1578" s="178"/>
      <c r="CZ1578" s="178"/>
      <c r="DA1578" s="150"/>
    </row>
    <row r="1579" spans="53:105" x14ac:dyDescent="0.2">
      <c r="BA1579" s="518">
        <f t="shared" ca="1" si="85"/>
        <v>61</v>
      </c>
      <c r="BB1579" s="174">
        <f t="shared" ca="1" si="86"/>
        <v>1516</v>
      </c>
      <c r="BC1579" s="525" t="e">
        <f ca="1">MATCH(BD1579,OFFSET(Pinlist!$A$2,BC1578*(BA1579=BA1578),0,$BM$23,1),0)+BC1578*(BA1579=BA1578)</f>
        <v>#N/A</v>
      </c>
      <c r="BD1579" s="167">
        <f t="shared" ca="1" si="87"/>
        <v>0</v>
      </c>
      <c r="BE1579" s="191" t="e">
        <f ca="1">(OFFSET(Pinlist!$E$1,BC1579,0)-$BN$16)*$BN$19</f>
        <v>#N/A</v>
      </c>
      <c r="BF1579" s="192" t="e">
        <f ca="1">(OFFSET(Pinlist!$F$1,BC1579,0)-$BO$16)*$BO$19</f>
        <v>#N/A</v>
      </c>
      <c r="BG1579" s="1098" t="str">
        <f ca="1">IF(LEFT(BD1579,2)="RF",OFFSET(Pinlist!$D$1,Chart!BC1579,0)&amp;"_"&amp;OFFSET(Pinlist!$G$1,Chart!BC1579,0),"")</f>
        <v/>
      </c>
      <c r="BH1579" s="1098"/>
      <c r="BI1579" s="178"/>
      <c r="BJ1579" s="178"/>
      <c r="BK1579" s="178"/>
      <c r="BL1579" s="178"/>
      <c r="BM1579" s="178"/>
      <c r="BN1579" s="178"/>
      <c r="BO1579" s="178"/>
      <c r="BP1579" s="178"/>
      <c r="BQ1579" s="196"/>
      <c r="BR1579" s="196"/>
      <c r="BS1579" s="196"/>
      <c r="BT1579" s="196"/>
      <c r="BU1579" s="196"/>
      <c r="BV1579" s="196"/>
      <c r="BW1579" s="178"/>
      <c r="BX1579" s="196"/>
      <c r="BY1579" s="196"/>
      <c r="BZ1579" s="196"/>
      <c r="CA1579" s="196"/>
      <c r="CB1579" s="178"/>
      <c r="CC1579" s="178"/>
      <c r="CD1579" s="202"/>
      <c r="CE1579" s="202"/>
      <c r="CF1579" s="178"/>
      <c r="CG1579" s="196"/>
      <c r="CH1579" s="178"/>
      <c r="CI1579" s="178"/>
      <c r="CJ1579" s="178"/>
      <c r="CK1579" s="178"/>
      <c r="CL1579" s="178"/>
      <c r="CM1579" s="178"/>
      <c r="CN1579" s="178"/>
      <c r="CO1579" s="178"/>
      <c r="CP1579" s="178"/>
      <c r="CQ1579" s="178"/>
      <c r="CR1579" s="178"/>
      <c r="CS1579" s="178"/>
      <c r="CT1579" s="178"/>
      <c r="CU1579" s="178"/>
      <c r="CV1579" s="178"/>
      <c r="CW1579" s="178"/>
      <c r="CX1579" s="178"/>
      <c r="CY1579" s="178"/>
      <c r="CZ1579" s="178"/>
      <c r="DA1579" s="150"/>
    </row>
    <row r="1580" spans="53:105" x14ac:dyDescent="0.2">
      <c r="BA1580" s="518">
        <f t="shared" ca="1" si="85"/>
        <v>61</v>
      </c>
      <c r="BB1580" s="174">
        <f t="shared" ca="1" si="86"/>
        <v>1517</v>
      </c>
      <c r="BC1580" s="525" t="e">
        <f ca="1">MATCH(BD1580,OFFSET(Pinlist!$A$2,BC1579*(BA1580=BA1579),0,$BM$23,1),0)+BC1579*(BA1580=BA1579)</f>
        <v>#N/A</v>
      </c>
      <c r="BD1580" s="167">
        <f t="shared" ca="1" si="87"/>
        <v>0</v>
      </c>
      <c r="BE1580" s="191" t="e">
        <f ca="1">(OFFSET(Pinlist!$E$1,BC1580,0)-$BN$16)*$BN$19</f>
        <v>#N/A</v>
      </c>
      <c r="BF1580" s="192" t="e">
        <f ca="1">(OFFSET(Pinlist!$F$1,BC1580,0)-$BO$16)*$BO$19</f>
        <v>#N/A</v>
      </c>
      <c r="BG1580" s="1098" t="str">
        <f ca="1">IF(LEFT(BD1580,2)="RF",OFFSET(Pinlist!$D$1,Chart!BC1580,0)&amp;"_"&amp;OFFSET(Pinlist!$G$1,Chart!BC1580,0),"")</f>
        <v/>
      </c>
      <c r="BH1580" s="1098"/>
      <c r="BI1580" s="178"/>
      <c r="BJ1580" s="178"/>
      <c r="BK1580" s="178"/>
      <c r="BL1580" s="178"/>
      <c r="BM1580" s="178"/>
      <c r="BN1580" s="178"/>
      <c r="BO1580" s="178"/>
      <c r="BP1580" s="178"/>
      <c r="BQ1580" s="196"/>
      <c r="BR1580" s="196"/>
      <c r="BS1580" s="196"/>
      <c r="BT1580" s="196"/>
      <c r="BU1580" s="196"/>
      <c r="BV1580" s="196"/>
      <c r="BW1580" s="178"/>
      <c r="BX1580" s="196"/>
      <c r="BY1580" s="196"/>
      <c r="BZ1580" s="196"/>
      <c r="CA1580" s="196"/>
      <c r="CB1580" s="178"/>
      <c r="CC1580" s="178"/>
      <c r="CD1580" s="202"/>
      <c r="CE1580" s="202"/>
      <c r="CF1580" s="178"/>
      <c r="CG1580" s="196"/>
      <c r="CH1580" s="178"/>
      <c r="CI1580" s="178"/>
      <c r="CJ1580" s="178"/>
      <c r="CK1580" s="178"/>
      <c r="CL1580" s="178"/>
      <c r="CM1580" s="178"/>
      <c r="CN1580" s="178"/>
      <c r="CO1580" s="178"/>
      <c r="CP1580" s="178"/>
      <c r="CQ1580" s="178"/>
      <c r="CR1580" s="178"/>
      <c r="CS1580" s="178"/>
      <c r="CT1580" s="178"/>
      <c r="CU1580" s="178"/>
      <c r="CV1580" s="178"/>
      <c r="CW1580" s="178"/>
      <c r="CX1580" s="178"/>
      <c r="CY1580" s="178"/>
      <c r="CZ1580" s="178"/>
      <c r="DA1580" s="150"/>
    </row>
    <row r="1581" spans="53:105" x14ac:dyDescent="0.2">
      <c r="BA1581" s="518">
        <f t="shared" ca="1" si="85"/>
        <v>61</v>
      </c>
      <c r="BB1581" s="174">
        <f t="shared" ca="1" si="86"/>
        <v>1518</v>
      </c>
      <c r="BC1581" s="525" t="e">
        <f ca="1">MATCH(BD1581,OFFSET(Pinlist!$A$2,BC1580*(BA1581=BA1580),0,$BM$23,1),0)+BC1580*(BA1581=BA1580)</f>
        <v>#N/A</v>
      </c>
      <c r="BD1581" s="167">
        <f t="shared" ca="1" si="87"/>
        <v>0</v>
      </c>
      <c r="BE1581" s="191" t="e">
        <f ca="1">(OFFSET(Pinlist!$E$1,BC1581,0)-$BN$16)*$BN$19</f>
        <v>#N/A</v>
      </c>
      <c r="BF1581" s="192" t="e">
        <f ca="1">(OFFSET(Pinlist!$F$1,BC1581,0)-$BO$16)*$BO$19</f>
        <v>#N/A</v>
      </c>
      <c r="BG1581" s="1098" t="str">
        <f ca="1">IF(LEFT(BD1581,2)="RF",OFFSET(Pinlist!$D$1,Chart!BC1581,0)&amp;"_"&amp;OFFSET(Pinlist!$G$1,Chart!BC1581,0),"")</f>
        <v/>
      </c>
      <c r="BH1581" s="1098"/>
      <c r="BI1581" s="178"/>
      <c r="BJ1581" s="178"/>
      <c r="BK1581" s="178"/>
      <c r="BL1581" s="178"/>
      <c r="BM1581" s="178"/>
      <c r="BN1581" s="178"/>
      <c r="BO1581" s="178"/>
      <c r="BP1581" s="178"/>
      <c r="BQ1581" s="196"/>
      <c r="BR1581" s="196"/>
      <c r="BS1581" s="196"/>
      <c r="BT1581" s="196"/>
      <c r="BU1581" s="196"/>
      <c r="BV1581" s="196"/>
      <c r="BW1581" s="178"/>
      <c r="BX1581" s="196"/>
      <c r="BY1581" s="196"/>
      <c r="BZ1581" s="196"/>
      <c r="CA1581" s="196"/>
      <c r="CB1581" s="178"/>
      <c r="CC1581" s="178"/>
      <c r="CD1581" s="202"/>
      <c r="CE1581" s="202"/>
      <c r="CF1581" s="178"/>
      <c r="CG1581" s="196"/>
      <c r="CH1581" s="178"/>
      <c r="CI1581" s="178"/>
      <c r="CJ1581" s="178"/>
      <c r="CK1581" s="178"/>
      <c r="CL1581" s="178"/>
      <c r="CM1581" s="178"/>
      <c r="CN1581" s="178"/>
      <c r="CO1581" s="178"/>
      <c r="CP1581" s="178"/>
      <c r="CQ1581" s="178"/>
      <c r="CR1581" s="178"/>
      <c r="CS1581" s="178"/>
      <c r="CT1581" s="178"/>
      <c r="CU1581" s="178"/>
      <c r="CV1581" s="178"/>
      <c r="CW1581" s="178"/>
      <c r="CX1581" s="178"/>
      <c r="CY1581" s="178"/>
      <c r="CZ1581" s="178"/>
      <c r="DA1581" s="150"/>
    </row>
    <row r="1582" spans="53:105" x14ac:dyDescent="0.2">
      <c r="BA1582" s="518">
        <f t="shared" ca="1" si="85"/>
        <v>61</v>
      </c>
      <c r="BB1582" s="174">
        <f t="shared" ca="1" si="86"/>
        <v>1519</v>
      </c>
      <c r="BC1582" s="525" t="e">
        <f ca="1">MATCH(BD1582,OFFSET(Pinlist!$A$2,BC1581*(BA1582=BA1581),0,$BM$23,1),0)+BC1581*(BA1582=BA1581)</f>
        <v>#N/A</v>
      </c>
      <c r="BD1582" s="167">
        <f t="shared" ca="1" si="87"/>
        <v>0</v>
      </c>
      <c r="BE1582" s="191" t="e">
        <f ca="1">(OFFSET(Pinlist!$E$1,BC1582,0)-$BN$16)*$BN$19</f>
        <v>#N/A</v>
      </c>
      <c r="BF1582" s="192" t="e">
        <f ca="1">(OFFSET(Pinlist!$F$1,BC1582,0)-$BO$16)*$BO$19</f>
        <v>#N/A</v>
      </c>
      <c r="BG1582" s="1098" t="str">
        <f ca="1">IF(LEFT(BD1582,2)="RF",OFFSET(Pinlist!$D$1,Chart!BC1582,0)&amp;"_"&amp;OFFSET(Pinlist!$G$1,Chart!BC1582,0),"")</f>
        <v/>
      </c>
      <c r="BH1582" s="1098"/>
      <c r="BI1582" s="178"/>
      <c r="BJ1582" s="178"/>
      <c r="BK1582" s="178"/>
      <c r="BL1582" s="178"/>
      <c r="BM1582" s="178"/>
      <c r="BN1582" s="178"/>
      <c r="BO1582" s="178"/>
      <c r="BP1582" s="178"/>
      <c r="BQ1582" s="196"/>
      <c r="BR1582" s="196"/>
      <c r="BS1582" s="196"/>
      <c r="BT1582" s="196"/>
      <c r="BU1582" s="196"/>
      <c r="BV1582" s="196"/>
      <c r="BW1582" s="178"/>
      <c r="BX1582" s="196"/>
      <c r="BY1582" s="196"/>
      <c r="BZ1582" s="196"/>
      <c r="CA1582" s="196"/>
      <c r="CB1582" s="178"/>
      <c r="CC1582" s="178"/>
      <c r="CD1582" s="202"/>
      <c r="CE1582" s="202"/>
      <c r="CF1582" s="178"/>
      <c r="CG1582" s="196"/>
      <c r="CH1582" s="178"/>
      <c r="CI1582" s="178"/>
      <c r="CJ1582" s="178"/>
      <c r="CK1582" s="178"/>
      <c r="CL1582" s="178"/>
      <c r="CM1582" s="178"/>
      <c r="CN1582" s="178"/>
      <c r="CO1582" s="178"/>
      <c r="CP1582" s="178"/>
      <c r="CQ1582" s="178"/>
      <c r="CR1582" s="178"/>
      <c r="CS1582" s="178"/>
      <c r="CT1582" s="178"/>
      <c r="CU1582" s="178"/>
      <c r="CV1582" s="178"/>
      <c r="CW1582" s="178"/>
      <c r="CX1582" s="178"/>
      <c r="CY1582" s="178"/>
      <c r="CZ1582" s="178"/>
      <c r="DA1582" s="150"/>
    </row>
    <row r="1583" spans="53:105" x14ac:dyDescent="0.2">
      <c r="BA1583" s="518">
        <f t="shared" ca="1" si="85"/>
        <v>61</v>
      </c>
      <c r="BB1583" s="174">
        <f t="shared" ca="1" si="86"/>
        <v>1520</v>
      </c>
      <c r="BC1583" s="525" t="e">
        <f ca="1">MATCH(BD1583,OFFSET(Pinlist!$A$2,BC1582*(BA1583=BA1582),0,$BM$23,1),0)+BC1582*(BA1583=BA1582)</f>
        <v>#N/A</v>
      </c>
      <c r="BD1583" s="167">
        <f t="shared" ca="1" si="87"/>
        <v>0</v>
      </c>
      <c r="BE1583" s="191" t="e">
        <f ca="1">(OFFSET(Pinlist!$E$1,BC1583,0)-$BN$16)*$BN$19</f>
        <v>#N/A</v>
      </c>
      <c r="BF1583" s="192" t="e">
        <f ca="1">(OFFSET(Pinlist!$F$1,BC1583,0)-$BO$16)*$BO$19</f>
        <v>#N/A</v>
      </c>
      <c r="BG1583" s="1098" t="str">
        <f ca="1">IF(LEFT(BD1583,2)="RF",OFFSET(Pinlist!$D$1,Chart!BC1583,0)&amp;"_"&amp;OFFSET(Pinlist!$G$1,Chart!BC1583,0),"")</f>
        <v/>
      </c>
      <c r="BH1583" s="1098"/>
      <c r="BI1583" s="178"/>
      <c r="BJ1583" s="178"/>
      <c r="BK1583" s="178"/>
      <c r="BL1583" s="178"/>
      <c r="BM1583" s="178"/>
      <c r="BN1583" s="178"/>
      <c r="BO1583" s="178"/>
      <c r="BP1583" s="178"/>
      <c r="BQ1583" s="196"/>
      <c r="BR1583" s="196"/>
      <c r="BS1583" s="196"/>
      <c r="BT1583" s="196"/>
      <c r="BU1583" s="196"/>
      <c r="BV1583" s="196"/>
      <c r="BW1583" s="178"/>
      <c r="BX1583" s="196"/>
      <c r="BY1583" s="196"/>
      <c r="BZ1583" s="196"/>
      <c r="CA1583" s="196"/>
      <c r="CB1583" s="178"/>
      <c r="CC1583" s="178"/>
      <c r="CD1583" s="202"/>
      <c r="CE1583" s="202"/>
      <c r="CF1583" s="178"/>
      <c r="CG1583" s="196"/>
      <c r="CH1583" s="178"/>
      <c r="CI1583" s="178"/>
      <c r="CJ1583" s="178"/>
      <c r="CK1583" s="178"/>
      <c r="CL1583" s="178"/>
      <c r="CM1583" s="178"/>
      <c r="CN1583" s="178"/>
      <c r="CO1583" s="178"/>
      <c r="CP1583" s="178"/>
      <c r="CQ1583" s="178"/>
      <c r="CR1583" s="178"/>
      <c r="CS1583" s="178"/>
      <c r="CT1583" s="178"/>
      <c r="CU1583" s="178"/>
      <c r="CV1583" s="178"/>
      <c r="CW1583" s="178"/>
      <c r="CX1583" s="178"/>
      <c r="CY1583" s="178"/>
      <c r="CZ1583" s="178"/>
      <c r="DA1583" s="150"/>
    </row>
    <row r="1584" spans="53:105" x14ac:dyDescent="0.2">
      <c r="BA1584" s="518">
        <f t="shared" ca="1" si="85"/>
        <v>61</v>
      </c>
      <c r="BB1584" s="174">
        <f t="shared" ca="1" si="86"/>
        <v>1521</v>
      </c>
      <c r="BC1584" s="525" t="e">
        <f ca="1">MATCH(BD1584,OFFSET(Pinlist!$A$2,BC1583*(BA1584=BA1583),0,$BM$23,1),0)+BC1583*(BA1584=BA1583)</f>
        <v>#N/A</v>
      </c>
      <c r="BD1584" s="167">
        <f t="shared" ca="1" si="87"/>
        <v>0</v>
      </c>
      <c r="BE1584" s="191" t="e">
        <f ca="1">(OFFSET(Pinlist!$E$1,BC1584,0)-$BN$16)*$BN$19</f>
        <v>#N/A</v>
      </c>
      <c r="BF1584" s="192" t="e">
        <f ca="1">(OFFSET(Pinlist!$F$1,BC1584,0)-$BO$16)*$BO$19</f>
        <v>#N/A</v>
      </c>
      <c r="BG1584" s="1098" t="str">
        <f ca="1">IF(LEFT(BD1584,2)="RF",OFFSET(Pinlist!$D$1,Chart!BC1584,0)&amp;"_"&amp;OFFSET(Pinlist!$G$1,Chart!BC1584,0),"")</f>
        <v/>
      </c>
      <c r="BH1584" s="1098"/>
      <c r="BI1584" s="178"/>
      <c r="BJ1584" s="178"/>
      <c r="BK1584" s="178"/>
      <c r="BL1584" s="178"/>
      <c r="BM1584" s="178"/>
      <c r="BN1584" s="178"/>
      <c r="BO1584" s="178"/>
      <c r="BP1584" s="178"/>
      <c r="BQ1584" s="196"/>
      <c r="BR1584" s="196"/>
      <c r="BS1584" s="196"/>
      <c r="BT1584" s="196"/>
      <c r="BU1584" s="196"/>
      <c r="BV1584" s="196"/>
      <c r="BW1584" s="178"/>
      <c r="BX1584" s="196"/>
      <c r="BY1584" s="196"/>
      <c r="BZ1584" s="196"/>
      <c r="CA1584" s="196"/>
      <c r="CB1584" s="178"/>
      <c r="CC1584" s="178"/>
      <c r="CD1584" s="202"/>
      <c r="CE1584" s="202"/>
      <c r="CF1584" s="178"/>
      <c r="CG1584" s="196"/>
      <c r="CH1584" s="178"/>
      <c r="CI1584" s="178"/>
      <c r="CJ1584" s="178"/>
      <c r="CK1584" s="178"/>
      <c r="CL1584" s="178"/>
      <c r="CM1584" s="178"/>
      <c r="CN1584" s="178"/>
      <c r="CO1584" s="178"/>
      <c r="CP1584" s="178"/>
      <c r="CQ1584" s="178"/>
      <c r="CR1584" s="178"/>
      <c r="CS1584" s="178"/>
      <c r="CT1584" s="178"/>
      <c r="CU1584" s="178"/>
      <c r="CV1584" s="178"/>
      <c r="CW1584" s="178"/>
      <c r="CX1584" s="178"/>
      <c r="CY1584" s="178"/>
      <c r="CZ1584" s="178"/>
      <c r="DA1584" s="150"/>
    </row>
    <row r="1585" spans="53:105" x14ac:dyDescent="0.2">
      <c r="BA1585" s="518">
        <f t="shared" ca="1" si="85"/>
        <v>61</v>
      </c>
      <c r="BB1585" s="174">
        <f t="shared" ca="1" si="86"/>
        <v>1522</v>
      </c>
      <c r="BC1585" s="525" t="e">
        <f ca="1">MATCH(BD1585,OFFSET(Pinlist!$A$2,BC1584*(BA1585=BA1584),0,$BM$23,1),0)+BC1584*(BA1585=BA1584)</f>
        <v>#N/A</v>
      </c>
      <c r="BD1585" s="167">
        <f t="shared" ca="1" si="87"/>
        <v>0</v>
      </c>
      <c r="BE1585" s="191" t="e">
        <f ca="1">(OFFSET(Pinlist!$E$1,BC1585,0)-$BN$16)*$BN$19</f>
        <v>#N/A</v>
      </c>
      <c r="BF1585" s="192" t="e">
        <f ca="1">(OFFSET(Pinlist!$F$1,BC1585,0)-$BO$16)*$BO$19</f>
        <v>#N/A</v>
      </c>
      <c r="BG1585" s="1098" t="str">
        <f ca="1">IF(LEFT(BD1585,2)="RF",OFFSET(Pinlist!$D$1,Chart!BC1585,0)&amp;"_"&amp;OFFSET(Pinlist!$G$1,Chart!BC1585,0),"")</f>
        <v/>
      </c>
      <c r="BH1585" s="1098"/>
      <c r="BI1585" s="178"/>
      <c r="BJ1585" s="178"/>
      <c r="BK1585" s="178"/>
      <c r="BL1585" s="178"/>
      <c r="BM1585" s="178"/>
      <c r="BN1585" s="178"/>
      <c r="BO1585" s="178"/>
      <c r="BP1585" s="178"/>
      <c r="BQ1585" s="196"/>
      <c r="BR1585" s="196"/>
      <c r="BS1585" s="196"/>
      <c r="BT1585" s="196"/>
      <c r="BU1585" s="196"/>
      <c r="BV1585" s="196"/>
      <c r="BW1585" s="178"/>
      <c r="BX1585" s="196"/>
      <c r="BY1585" s="196"/>
      <c r="BZ1585" s="196"/>
      <c r="CA1585" s="196"/>
      <c r="CB1585" s="178"/>
      <c r="CC1585" s="178"/>
      <c r="CD1585" s="202"/>
      <c r="CE1585" s="202"/>
      <c r="CF1585" s="178"/>
      <c r="CG1585" s="196"/>
      <c r="CH1585" s="178"/>
      <c r="CI1585" s="178"/>
      <c r="CJ1585" s="178"/>
      <c r="CK1585" s="178"/>
      <c r="CL1585" s="178"/>
      <c r="CM1585" s="178"/>
      <c r="CN1585" s="178"/>
      <c r="CO1585" s="178"/>
      <c r="CP1585" s="178"/>
      <c r="CQ1585" s="178"/>
      <c r="CR1585" s="178"/>
      <c r="CS1585" s="178"/>
      <c r="CT1585" s="178"/>
      <c r="CU1585" s="178"/>
      <c r="CV1585" s="178"/>
      <c r="CW1585" s="178"/>
      <c r="CX1585" s="178"/>
      <c r="CY1585" s="178"/>
      <c r="CZ1585" s="178"/>
      <c r="DA1585" s="150"/>
    </row>
    <row r="1586" spans="53:105" x14ac:dyDescent="0.2">
      <c r="BA1586" s="518">
        <f t="shared" ca="1" si="85"/>
        <v>61</v>
      </c>
      <c r="BB1586" s="174">
        <f t="shared" ca="1" si="86"/>
        <v>1523</v>
      </c>
      <c r="BC1586" s="525" t="e">
        <f ca="1">MATCH(BD1586,OFFSET(Pinlist!$A$2,BC1585*(BA1586=BA1585),0,$BM$23,1),0)+BC1585*(BA1586=BA1585)</f>
        <v>#N/A</v>
      </c>
      <c r="BD1586" s="167">
        <f t="shared" ca="1" si="87"/>
        <v>0</v>
      </c>
      <c r="BE1586" s="191" t="e">
        <f ca="1">(OFFSET(Pinlist!$E$1,BC1586,0)-$BN$16)*$BN$19</f>
        <v>#N/A</v>
      </c>
      <c r="BF1586" s="192" t="e">
        <f ca="1">(OFFSET(Pinlist!$F$1,BC1586,0)-$BO$16)*$BO$19</f>
        <v>#N/A</v>
      </c>
      <c r="BG1586" s="1098" t="str">
        <f ca="1">IF(LEFT(BD1586,2)="RF",OFFSET(Pinlist!$D$1,Chart!BC1586,0)&amp;"_"&amp;OFFSET(Pinlist!$G$1,Chart!BC1586,0),"")</f>
        <v/>
      </c>
      <c r="BH1586" s="1098"/>
      <c r="BI1586" s="178"/>
      <c r="BJ1586" s="178"/>
      <c r="BK1586" s="178"/>
      <c r="BL1586" s="178"/>
      <c r="BM1586" s="178"/>
      <c r="BN1586" s="178"/>
      <c r="BO1586" s="178"/>
      <c r="BP1586" s="178"/>
      <c r="BQ1586" s="196"/>
      <c r="BR1586" s="196"/>
      <c r="BS1586" s="196"/>
      <c r="BT1586" s="196"/>
      <c r="BU1586" s="196"/>
      <c r="BV1586" s="196"/>
      <c r="BW1586" s="178"/>
      <c r="BX1586" s="196"/>
      <c r="BY1586" s="196"/>
      <c r="BZ1586" s="196"/>
      <c r="CA1586" s="196"/>
      <c r="CB1586" s="178"/>
      <c r="CC1586" s="178"/>
      <c r="CD1586" s="202"/>
      <c r="CE1586" s="202"/>
      <c r="CF1586" s="178"/>
      <c r="CG1586" s="196"/>
      <c r="CH1586" s="178"/>
      <c r="CI1586" s="178"/>
      <c r="CJ1586" s="178"/>
      <c r="CK1586" s="178"/>
      <c r="CL1586" s="178"/>
      <c r="CM1586" s="178"/>
      <c r="CN1586" s="178"/>
      <c r="CO1586" s="178"/>
      <c r="CP1586" s="178"/>
      <c r="CQ1586" s="178"/>
      <c r="CR1586" s="178"/>
      <c r="CS1586" s="178"/>
      <c r="CT1586" s="178"/>
      <c r="CU1586" s="178"/>
      <c r="CV1586" s="178"/>
      <c r="CW1586" s="178"/>
      <c r="CX1586" s="178"/>
      <c r="CY1586" s="178"/>
      <c r="CZ1586" s="178"/>
      <c r="DA1586" s="150"/>
    </row>
    <row r="1587" spans="53:105" x14ac:dyDescent="0.2">
      <c r="BA1587" s="518">
        <f t="shared" ca="1" si="85"/>
        <v>61</v>
      </c>
      <c r="BB1587" s="174">
        <f t="shared" ca="1" si="86"/>
        <v>1524</v>
      </c>
      <c r="BC1587" s="525" t="e">
        <f ca="1">MATCH(BD1587,OFFSET(Pinlist!$A$2,BC1586*(BA1587=BA1586),0,$BM$23,1),0)+BC1586*(BA1587=BA1586)</f>
        <v>#N/A</v>
      </c>
      <c r="BD1587" s="167">
        <f t="shared" ca="1" si="87"/>
        <v>0</v>
      </c>
      <c r="BE1587" s="191" t="e">
        <f ca="1">(OFFSET(Pinlist!$E$1,BC1587,0)-$BN$16)*$BN$19</f>
        <v>#N/A</v>
      </c>
      <c r="BF1587" s="192" t="e">
        <f ca="1">(OFFSET(Pinlist!$F$1,BC1587,0)-$BO$16)*$BO$19</f>
        <v>#N/A</v>
      </c>
      <c r="BG1587" s="1098" t="str">
        <f ca="1">IF(LEFT(BD1587,2)="RF",OFFSET(Pinlist!$D$1,Chart!BC1587,0)&amp;"_"&amp;OFFSET(Pinlist!$G$1,Chart!BC1587,0),"")</f>
        <v/>
      </c>
      <c r="BH1587" s="1098"/>
      <c r="BI1587" s="178"/>
      <c r="BJ1587" s="178"/>
      <c r="BK1587" s="178"/>
      <c r="BL1587" s="178"/>
      <c r="BM1587" s="178"/>
      <c r="BN1587" s="178"/>
      <c r="BO1587" s="178"/>
      <c r="BP1587" s="178"/>
      <c r="BQ1587" s="196"/>
      <c r="BR1587" s="196"/>
      <c r="BS1587" s="196"/>
      <c r="BT1587" s="196"/>
      <c r="BU1587" s="196"/>
      <c r="BV1587" s="196"/>
      <c r="BW1587" s="178"/>
      <c r="BX1587" s="196"/>
      <c r="BY1587" s="196"/>
      <c r="BZ1587" s="196"/>
      <c r="CA1587" s="196"/>
      <c r="CB1587" s="178"/>
      <c r="CC1587" s="178"/>
      <c r="CD1587" s="202"/>
      <c r="CE1587" s="202"/>
      <c r="CF1587" s="178"/>
      <c r="CG1587" s="196"/>
      <c r="CH1587" s="178"/>
      <c r="CI1587" s="178"/>
      <c r="CJ1587" s="178"/>
      <c r="CK1587" s="178"/>
      <c r="CL1587" s="178"/>
      <c r="CM1587" s="178"/>
      <c r="CN1587" s="178"/>
      <c r="CO1587" s="178"/>
      <c r="CP1587" s="178"/>
      <c r="CQ1587" s="178"/>
      <c r="CR1587" s="178"/>
      <c r="CS1587" s="178"/>
      <c r="CT1587" s="178"/>
      <c r="CU1587" s="178"/>
      <c r="CV1587" s="178"/>
      <c r="CW1587" s="178"/>
      <c r="CX1587" s="178"/>
      <c r="CY1587" s="178"/>
      <c r="CZ1587" s="178"/>
      <c r="DA1587" s="150"/>
    </row>
    <row r="1588" spans="53:105" x14ac:dyDescent="0.2">
      <c r="BA1588" s="518">
        <f t="shared" ca="1" si="85"/>
        <v>61</v>
      </c>
      <c r="BB1588" s="174">
        <f t="shared" ca="1" si="86"/>
        <v>1525</v>
      </c>
      <c r="BC1588" s="525" t="e">
        <f ca="1">MATCH(BD1588,OFFSET(Pinlist!$A$2,BC1587*(BA1588=BA1587),0,$BM$23,1),0)+BC1587*(BA1588=BA1587)</f>
        <v>#N/A</v>
      </c>
      <c r="BD1588" s="167">
        <f t="shared" ca="1" si="87"/>
        <v>0</v>
      </c>
      <c r="BE1588" s="191" t="e">
        <f ca="1">(OFFSET(Pinlist!$E$1,BC1588,0)-$BN$16)*$BN$19</f>
        <v>#N/A</v>
      </c>
      <c r="BF1588" s="192" t="e">
        <f ca="1">(OFFSET(Pinlist!$F$1,BC1588,0)-$BO$16)*$BO$19</f>
        <v>#N/A</v>
      </c>
      <c r="BG1588" s="1098" t="str">
        <f ca="1">IF(LEFT(BD1588,2)="RF",OFFSET(Pinlist!$D$1,Chart!BC1588,0)&amp;"_"&amp;OFFSET(Pinlist!$G$1,Chart!BC1588,0),"")</f>
        <v/>
      </c>
      <c r="BH1588" s="1098"/>
      <c r="BI1588" s="178"/>
      <c r="BJ1588" s="178"/>
      <c r="BK1588" s="178"/>
      <c r="BL1588" s="178"/>
      <c r="BM1588" s="178"/>
      <c r="BN1588" s="178"/>
      <c r="BO1588" s="178"/>
      <c r="BP1588" s="178"/>
      <c r="BQ1588" s="196"/>
      <c r="BR1588" s="196"/>
      <c r="BS1588" s="196"/>
      <c r="BT1588" s="196"/>
      <c r="BU1588" s="196"/>
      <c r="BV1588" s="196"/>
      <c r="BW1588" s="178"/>
      <c r="BX1588" s="196"/>
      <c r="BY1588" s="196"/>
      <c r="BZ1588" s="196"/>
      <c r="CA1588" s="196"/>
      <c r="CB1588" s="178"/>
      <c r="CC1588" s="178"/>
      <c r="CD1588" s="202"/>
      <c r="CE1588" s="202"/>
      <c r="CF1588" s="178"/>
      <c r="CG1588" s="196"/>
      <c r="CH1588" s="178"/>
      <c r="CI1588" s="178"/>
      <c r="CJ1588" s="178"/>
      <c r="CK1588" s="178"/>
      <c r="CL1588" s="178"/>
      <c r="CM1588" s="178"/>
      <c r="CN1588" s="178"/>
      <c r="CO1588" s="178"/>
      <c r="CP1588" s="178"/>
      <c r="CQ1588" s="178"/>
      <c r="CR1588" s="178"/>
      <c r="CS1588" s="178"/>
      <c r="CT1588" s="178"/>
      <c r="CU1588" s="178"/>
      <c r="CV1588" s="178"/>
      <c r="CW1588" s="178"/>
      <c r="CX1588" s="178"/>
      <c r="CY1588" s="178"/>
      <c r="CZ1588" s="178"/>
      <c r="DA1588" s="150"/>
    </row>
    <row r="1589" spans="53:105" x14ac:dyDescent="0.2">
      <c r="BA1589" s="518">
        <f t="shared" ca="1" si="85"/>
        <v>61</v>
      </c>
      <c r="BB1589" s="174">
        <f t="shared" ca="1" si="86"/>
        <v>1526</v>
      </c>
      <c r="BC1589" s="525" t="e">
        <f ca="1">MATCH(BD1589,OFFSET(Pinlist!$A$2,BC1588*(BA1589=BA1588),0,$BM$23,1),0)+BC1588*(BA1589=BA1588)</f>
        <v>#N/A</v>
      </c>
      <c r="BD1589" s="167">
        <f t="shared" ca="1" si="87"/>
        <v>0</v>
      </c>
      <c r="BE1589" s="191" t="e">
        <f ca="1">(OFFSET(Pinlist!$E$1,BC1589,0)-$BN$16)*$BN$19</f>
        <v>#N/A</v>
      </c>
      <c r="BF1589" s="192" t="e">
        <f ca="1">(OFFSET(Pinlist!$F$1,BC1589,0)-$BO$16)*$BO$19</f>
        <v>#N/A</v>
      </c>
      <c r="BG1589" s="1098" t="str">
        <f ca="1">IF(LEFT(BD1589,2)="RF",OFFSET(Pinlist!$D$1,Chart!BC1589,0)&amp;"_"&amp;OFFSET(Pinlist!$G$1,Chart!BC1589,0),"")</f>
        <v/>
      </c>
      <c r="BH1589" s="1098"/>
      <c r="BI1589" s="178"/>
      <c r="BJ1589" s="178"/>
      <c r="BK1589" s="178"/>
      <c r="BL1589" s="178"/>
      <c r="BM1589" s="178"/>
      <c r="BN1589" s="178"/>
      <c r="BO1589" s="178"/>
      <c r="BP1589" s="178"/>
      <c r="BQ1589" s="196"/>
      <c r="BR1589" s="196"/>
      <c r="BS1589" s="196"/>
      <c r="BT1589" s="196"/>
      <c r="BU1589" s="196"/>
      <c r="BV1589" s="196"/>
      <c r="BW1589" s="178"/>
      <c r="BX1589" s="196"/>
      <c r="BY1589" s="196"/>
      <c r="BZ1589" s="196"/>
      <c r="CA1589" s="196"/>
      <c r="CB1589" s="178"/>
      <c r="CC1589" s="178"/>
      <c r="CD1589" s="202"/>
      <c r="CE1589" s="202"/>
      <c r="CF1589" s="178"/>
      <c r="CG1589" s="196"/>
      <c r="CH1589" s="178"/>
      <c r="CI1589" s="178"/>
      <c r="CJ1589" s="178"/>
      <c r="CK1589" s="178"/>
      <c r="CL1589" s="178"/>
      <c r="CM1589" s="178"/>
      <c r="CN1589" s="178"/>
      <c r="CO1589" s="178"/>
      <c r="CP1589" s="178"/>
      <c r="CQ1589" s="178"/>
      <c r="CR1589" s="178"/>
      <c r="CS1589" s="178"/>
      <c r="CT1589" s="178"/>
      <c r="CU1589" s="178"/>
      <c r="CV1589" s="178"/>
      <c r="CW1589" s="178"/>
      <c r="CX1589" s="178"/>
      <c r="CY1589" s="178"/>
      <c r="CZ1589" s="178"/>
      <c r="DA1589" s="150"/>
    </row>
    <row r="1590" spans="53:105" x14ac:dyDescent="0.2">
      <c r="BA1590" s="518">
        <f t="shared" ca="1" si="85"/>
        <v>61</v>
      </c>
      <c r="BB1590" s="174">
        <f t="shared" ca="1" si="86"/>
        <v>1527</v>
      </c>
      <c r="BC1590" s="525" t="e">
        <f ca="1">MATCH(BD1590,OFFSET(Pinlist!$A$2,BC1589*(BA1590=BA1589),0,$BM$23,1),0)+BC1589*(BA1590=BA1589)</f>
        <v>#N/A</v>
      </c>
      <c r="BD1590" s="167">
        <f t="shared" ca="1" si="87"/>
        <v>0</v>
      </c>
      <c r="BE1590" s="191" t="e">
        <f ca="1">(OFFSET(Pinlist!$E$1,BC1590,0)-$BN$16)*$BN$19</f>
        <v>#N/A</v>
      </c>
      <c r="BF1590" s="192" t="e">
        <f ca="1">(OFFSET(Pinlist!$F$1,BC1590,0)-$BO$16)*$BO$19</f>
        <v>#N/A</v>
      </c>
      <c r="BG1590" s="1098" t="str">
        <f ca="1">IF(LEFT(BD1590,2)="RF",OFFSET(Pinlist!$D$1,Chart!BC1590,0)&amp;"_"&amp;OFFSET(Pinlist!$G$1,Chart!BC1590,0),"")</f>
        <v/>
      </c>
      <c r="BH1590" s="1098"/>
      <c r="BI1590" s="178"/>
      <c r="BJ1590" s="178"/>
      <c r="BK1590" s="178"/>
      <c r="BL1590" s="178"/>
      <c r="BM1590" s="178"/>
      <c r="BN1590" s="178"/>
      <c r="BO1590" s="178"/>
      <c r="BP1590" s="178"/>
      <c r="BQ1590" s="196"/>
      <c r="BR1590" s="196"/>
      <c r="BS1590" s="196"/>
      <c r="BT1590" s="196"/>
      <c r="BU1590" s="196"/>
      <c r="BV1590" s="196"/>
      <c r="BW1590" s="178"/>
      <c r="BX1590" s="196"/>
      <c r="BY1590" s="196"/>
      <c r="BZ1590" s="196"/>
      <c r="CA1590" s="196"/>
      <c r="CB1590" s="178"/>
      <c r="CC1590" s="178"/>
      <c r="CD1590" s="202"/>
      <c r="CE1590" s="202"/>
      <c r="CF1590" s="178"/>
      <c r="CG1590" s="196"/>
      <c r="CH1590" s="178"/>
      <c r="CI1590" s="178"/>
      <c r="CJ1590" s="178"/>
      <c r="CK1590" s="178"/>
      <c r="CL1590" s="178"/>
      <c r="CM1590" s="178"/>
      <c r="CN1590" s="178"/>
      <c r="CO1590" s="178"/>
      <c r="CP1590" s="178"/>
      <c r="CQ1590" s="178"/>
      <c r="CR1590" s="178"/>
      <c r="CS1590" s="178"/>
      <c r="CT1590" s="178"/>
      <c r="CU1590" s="178"/>
      <c r="CV1590" s="178"/>
      <c r="CW1590" s="178"/>
      <c r="CX1590" s="178"/>
      <c r="CY1590" s="178"/>
      <c r="CZ1590" s="178"/>
      <c r="DA1590" s="150"/>
    </row>
    <row r="1591" spans="53:105" x14ac:dyDescent="0.2">
      <c r="BA1591" s="518">
        <f t="shared" ca="1" si="85"/>
        <v>61</v>
      </c>
      <c r="BB1591" s="174">
        <f t="shared" ca="1" si="86"/>
        <v>1528</v>
      </c>
      <c r="BC1591" s="525" t="e">
        <f ca="1">MATCH(BD1591,OFFSET(Pinlist!$A$2,BC1590*(BA1591=BA1590),0,$BM$23,1),0)+BC1590*(BA1591=BA1590)</f>
        <v>#N/A</v>
      </c>
      <c r="BD1591" s="167">
        <f t="shared" ca="1" si="87"/>
        <v>0</v>
      </c>
      <c r="BE1591" s="191" t="e">
        <f ca="1">(OFFSET(Pinlist!$E$1,BC1591,0)-$BN$16)*$BN$19</f>
        <v>#N/A</v>
      </c>
      <c r="BF1591" s="192" t="e">
        <f ca="1">(OFFSET(Pinlist!$F$1,BC1591,0)-$BO$16)*$BO$19</f>
        <v>#N/A</v>
      </c>
      <c r="BG1591" s="1098" t="str">
        <f ca="1">IF(LEFT(BD1591,2)="RF",OFFSET(Pinlist!$D$1,Chart!BC1591,0)&amp;"_"&amp;OFFSET(Pinlist!$G$1,Chart!BC1591,0),"")</f>
        <v/>
      </c>
      <c r="BH1591" s="1098"/>
      <c r="BI1591" s="178"/>
      <c r="BJ1591" s="178"/>
      <c r="BK1591" s="178"/>
      <c r="BL1591" s="178"/>
      <c r="BM1591" s="178"/>
      <c r="BN1591" s="178"/>
      <c r="BO1591" s="178"/>
      <c r="BP1591" s="178"/>
      <c r="BQ1591" s="196"/>
      <c r="BR1591" s="196"/>
      <c r="BS1591" s="196"/>
      <c r="BT1591" s="196"/>
      <c r="BU1591" s="196"/>
      <c r="BV1591" s="196"/>
      <c r="BW1591" s="178"/>
      <c r="BX1591" s="196"/>
      <c r="BY1591" s="196"/>
      <c r="BZ1591" s="196"/>
      <c r="CA1591" s="196"/>
      <c r="CB1591" s="178"/>
      <c r="CC1591" s="178"/>
      <c r="CD1591" s="202"/>
      <c r="CE1591" s="202"/>
      <c r="CF1591" s="178"/>
      <c r="CG1591" s="196"/>
      <c r="CH1591" s="178"/>
      <c r="CI1591" s="178"/>
      <c r="CJ1591" s="178"/>
      <c r="CK1591" s="178"/>
      <c r="CL1591" s="178"/>
      <c r="CM1591" s="178"/>
      <c r="CN1591" s="178"/>
      <c r="CO1591" s="178"/>
      <c r="CP1591" s="178"/>
      <c r="CQ1591" s="178"/>
      <c r="CR1591" s="178"/>
      <c r="CS1591" s="178"/>
      <c r="CT1591" s="178"/>
      <c r="CU1591" s="178"/>
      <c r="CV1591" s="178"/>
      <c r="CW1591" s="178"/>
      <c r="CX1591" s="178"/>
      <c r="CY1591" s="178"/>
      <c r="CZ1591" s="178"/>
      <c r="DA1591" s="150"/>
    </row>
    <row r="1592" spans="53:105" x14ac:dyDescent="0.2">
      <c r="BA1592" s="518">
        <f t="shared" ca="1" si="85"/>
        <v>61</v>
      </c>
      <c r="BB1592" s="174">
        <f t="shared" ca="1" si="86"/>
        <v>1529</v>
      </c>
      <c r="BC1592" s="525" t="e">
        <f ca="1">MATCH(BD1592,OFFSET(Pinlist!$A$2,BC1591*(BA1592=BA1591),0,$BM$23,1),0)+BC1591*(BA1592=BA1591)</f>
        <v>#N/A</v>
      </c>
      <c r="BD1592" s="167">
        <f t="shared" ca="1" si="87"/>
        <v>0</v>
      </c>
      <c r="BE1592" s="191" t="e">
        <f ca="1">(OFFSET(Pinlist!$E$1,BC1592,0)-$BN$16)*$BN$19</f>
        <v>#N/A</v>
      </c>
      <c r="BF1592" s="192" t="e">
        <f ca="1">(OFFSET(Pinlist!$F$1,BC1592,0)-$BO$16)*$BO$19</f>
        <v>#N/A</v>
      </c>
      <c r="BG1592" s="1098" t="str">
        <f ca="1">IF(LEFT(BD1592,2)="RF",OFFSET(Pinlist!$D$1,Chart!BC1592,0)&amp;"_"&amp;OFFSET(Pinlist!$G$1,Chart!BC1592,0),"")</f>
        <v/>
      </c>
      <c r="BH1592" s="1098"/>
      <c r="BI1592" s="178"/>
      <c r="BJ1592" s="178"/>
      <c r="BK1592" s="178"/>
      <c r="BL1592" s="178"/>
      <c r="BM1592" s="178"/>
      <c r="BN1592" s="178"/>
      <c r="BO1592" s="178"/>
      <c r="BP1592" s="178"/>
      <c r="BQ1592" s="196"/>
      <c r="BR1592" s="196"/>
      <c r="BS1592" s="196"/>
      <c r="BT1592" s="196"/>
      <c r="BU1592" s="196"/>
      <c r="BV1592" s="196"/>
      <c r="BW1592" s="178"/>
      <c r="BX1592" s="196"/>
      <c r="BY1592" s="196"/>
      <c r="BZ1592" s="196"/>
      <c r="CA1592" s="196"/>
      <c r="CB1592" s="178"/>
      <c r="CC1592" s="178"/>
      <c r="CD1592" s="202"/>
      <c r="CE1592" s="202"/>
      <c r="CF1592" s="178"/>
      <c r="CG1592" s="196"/>
      <c r="CH1592" s="178"/>
      <c r="CI1592" s="178"/>
      <c r="CJ1592" s="178"/>
      <c r="CK1592" s="178"/>
      <c r="CL1592" s="178"/>
      <c r="CM1592" s="178"/>
      <c r="CN1592" s="178"/>
      <c r="CO1592" s="178"/>
      <c r="CP1592" s="178"/>
      <c r="CQ1592" s="178"/>
      <c r="CR1592" s="178"/>
      <c r="CS1592" s="178"/>
      <c r="CT1592" s="178"/>
      <c r="CU1592" s="178"/>
      <c r="CV1592" s="178"/>
      <c r="CW1592" s="178"/>
      <c r="CX1592" s="178"/>
      <c r="CY1592" s="178"/>
      <c r="CZ1592" s="178"/>
      <c r="DA1592" s="150"/>
    </row>
    <row r="1593" spans="53:105" x14ac:dyDescent="0.2">
      <c r="BA1593" s="518">
        <f t="shared" ca="1" si="85"/>
        <v>61</v>
      </c>
      <c r="BB1593" s="174">
        <f t="shared" ca="1" si="86"/>
        <v>1530</v>
      </c>
      <c r="BC1593" s="525" t="e">
        <f ca="1">MATCH(BD1593,OFFSET(Pinlist!$A$2,BC1592*(BA1593=BA1592),0,$BM$23,1),0)+BC1592*(BA1593=BA1592)</f>
        <v>#N/A</v>
      </c>
      <c r="BD1593" s="167">
        <f t="shared" ca="1" si="87"/>
        <v>0</v>
      </c>
      <c r="BE1593" s="191" t="e">
        <f ca="1">(OFFSET(Pinlist!$E$1,BC1593,0)-$BN$16)*$BN$19</f>
        <v>#N/A</v>
      </c>
      <c r="BF1593" s="192" t="e">
        <f ca="1">(OFFSET(Pinlist!$F$1,BC1593,0)-$BO$16)*$BO$19</f>
        <v>#N/A</v>
      </c>
      <c r="BG1593" s="1098" t="str">
        <f ca="1">IF(LEFT(BD1593,2)="RF",OFFSET(Pinlist!$D$1,Chart!BC1593,0)&amp;"_"&amp;OFFSET(Pinlist!$G$1,Chart!BC1593,0),"")</f>
        <v/>
      </c>
      <c r="BH1593" s="1098"/>
      <c r="BI1593" s="178"/>
      <c r="BJ1593" s="178"/>
      <c r="BK1593" s="178"/>
      <c r="BL1593" s="178"/>
      <c r="BM1593" s="178"/>
      <c r="BN1593" s="178"/>
      <c r="BO1593" s="178"/>
      <c r="BP1593" s="178"/>
      <c r="BQ1593" s="196"/>
      <c r="BR1593" s="196"/>
      <c r="BS1593" s="196"/>
      <c r="BT1593" s="196"/>
      <c r="BU1593" s="196"/>
      <c r="BV1593" s="196"/>
      <c r="BW1593" s="178"/>
      <c r="BX1593" s="196"/>
      <c r="BY1593" s="196"/>
      <c r="BZ1593" s="196"/>
      <c r="CA1593" s="196"/>
      <c r="CB1593" s="178"/>
      <c r="CC1593" s="178"/>
      <c r="CD1593" s="202"/>
      <c r="CE1593" s="202"/>
      <c r="CF1593" s="178"/>
      <c r="CG1593" s="196"/>
      <c r="CH1593" s="178"/>
      <c r="CI1593" s="178"/>
      <c r="CJ1593" s="178"/>
      <c r="CK1593" s="178"/>
      <c r="CL1593" s="178"/>
      <c r="CM1593" s="178"/>
      <c r="CN1593" s="178"/>
      <c r="CO1593" s="178"/>
      <c r="CP1593" s="178"/>
      <c r="CQ1593" s="178"/>
      <c r="CR1593" s="178"/>
      <c r="CS1593" s="178"/>
      <c r="CT1593" s="178"/>
      <c r="CU1593" s="178"/>
      <c r="CV1593" s="178"/>
      <c r="CW1593" s="178"/>
      <c r="CX1593" s="178"/>
      <c r="CY1593" s="178"/>
      <c r="CZ1593" s="178"/>
      <c r="DA1593" s="150"/>
    </row>
    <row r="1594" spans="53:105" x14ac:dyDescent="0.2">
      <c r="BA1594" s="518">
        <f t="shared" ca="1" si="85"/>
        <v>61</v>
      </c>
      <c r="BB1594" s="174">
        <f t="shared" ca="1" si="86"/>
        <v>1531</v>
      </c>
      <c r="BC1594" s="525" t="e">
        <f ca="1">MATCH(BD1594,OFFSET(Pinlist!$A$2,BC1593*(BA1594=BA1593),0,$BM$23,1),0)+BC1593*(BA1594=BA1593)</f>
        <v>#N/A</v>
      </c>
      <c r="BD1594" s="167">
        <f t="shared" ca="1" si="87"/>
        <v>0</v>
      </c>
      <c r="BE1594" s="191" t="e">
        <f ca="1">(OFFSET(Pinlist!$E$1,BC1594,0)-$BN$16)*$BN$19</f>
        <v>#N/A</v>
      </c>
      <c r="BF1594" s="192" t="e">
        <f ca="1">(OFFSET(Pinlist!$F$1,BC1594,0)-$BO$16)*$BO$19</f>
        <v>#N/A</v>
      </c>
      <c r="BG1594" s="1098" t="str">
        <f ca="1">IF(LEFT(BD1594,2)="RF",OFFSET(Pinlist!$D$1,Chart!BC1594,0)&amp;"_"&amp;OFFSET(Pinlist!$G$1,Chart!BC1594,0),"")</f>
        <v/>
      </c>
      <c r="BH1594" s="1098"/>
      <c r="BI1594" s="178"/>
      <c r="BJ1594" s="178"/>
      <c r="BK1594" s="178"/>
      <c r="BL1594" s="178"/>
      <c r="BM1594" s="178"/>
      <c r="BN1594" s="178"/>
      <c r="BO1594" s="178"/>
      <c r="BP1594" s="178"/>
      <c r="BQ1594" s="196"/>
      <c r="BR1594" s="196"/>
      <c r="BS1594" s="196"/>
      <c r="BT1594" s="196"/>
      <c r="BU1594" s="196"/>
      <c r="BV1594" s="196"/>
      <c r="BW1594" s="178"/>
      <c r="BX1594" s="196"/>
      <c r="BY1594" s="196"/>
      <c r="BZ1594" s="196"/>
      <c r="CA1594" s="196"/>
      <c r="CB1594" s="178"/>
      <c r="CC1594" s="178"/>
      <c r="CD1594" s="202"/>
      <c r="CE1594" s="202"/>
      <c r="CF1594" s="178"/>
      <c r="CG1594" s="196"/>
      <c r="CH1594" s="178"/>
      <c r="CI1594" s="178"/>
      <c r="CJ1594" s="178"/>
      <c r="CK1594" s="178"/>
      <c r="CL1594" s="178"/>
      <c r="CM1594" s="178"/>
      <c r="CN1594" s="178"/>
      <c r="CO1594" s="178"/>
      <c r="CP1594" s="178"/>
      <c r="CQ1594" s="178"/>
      <c r="CR1594" s="178"/>
      <c r="CS1594" s="178"/>
      <c r="CT1594" s="178"/>
      <c r="CU1594" s="178"/>
      <c r="CV1594" s="178"/>
      <c r="CW1594" s="178"/>
      <c r="CX1594" s="178"/>
      <c r="CY1594" s="178"/>
      <c r="CZ1594" s="178"/>
      <c r="DA1594" s="150"/>
    </row>
    <row r="1595" spans="53:105" x14ac:dyDescent="0.2">
      <c r="BA1595" s="518">
        <f t="shared" ca="1" si="85"/>
        <v>61</v>
      </c>
      <c r="BB1595" s="174">
        <f t="shared" ca="1" si="86"/>
        <v>1532</v>
      </c>
      <c r="BC1595" s="525" t="e">
        <f ca="1">MATCH(BD1595,OFFSET(Pinlist!$A$2,BC1594*(BA1595=BA1594),0,$BM$23,1),0)+BC1594*(BA1595=BA1594)</f>
        <v>#N/A</v>
      </c>
      <c r="BD1595" s="167">
        <f t="shared" ca="1" si="87"/>
        <v>0</v>
      </c>
      <c r="BE1595" s="191" t="e">
        <f ca="1">(OFFSET(Pinlist!$E$1,BC1595,0)-$BN$16)*$BN$19</f>
        <v>#N/A</v>
      </c>
      <c r="BF1595" s="192" t="e">
        <f ca="1">(OFFSET(Pinlist!$F$1,BC1595,0)-$BO$16)*$BO$19</f>
        <v>#N/A</v>
      </c>
      <c r="BG1595" s="1098" t="str">
        <f ca="1">IF(LEFT(BD1595,2)="RF",OFFSET(Pinlist!$D$1,Chart!BC1595,0)&amp;"_"&amp;OFFSET(Pinlist!$G$1,Chart!BC1595,0),"")</f>
        <v/>
      </c>
      <c r="BH1595" s="1098"/>
      <c r="BI1595" s="178"/>
      <c r="BJ1595" s="178"/>
      <c r="BK1595" s="178"/>
      <c r="BL1595" s="178"/>
      <c r="BM1595" s="178"/>
      <c r="BN1595" s="178"/>
      <c r="BO1595" s="178"/>
      <c r="BP1595" s="178"/>
      <c r="BQ1595" s="196"/>
      <c r="BR1595" s="196"/>
      <c r="BS1595" s="196"/>
      <c r="BT1595" s="196"/>
      <c r="BU1595" s="196"/>
      <c r="BV1595" s="196"/>
      <c r="BW1595" s="178"/>
      <c r="BX1595" s="196"/>
      <c r="BY1595" s="196"/>
      <c r="BZ1595" s="196"/>
      <c r="CA1595" s="196"/>
      <c r="CB1595" s="178"/>
      <c r="CC1595" s="178"/>
      <c r="CD1595" s="202"/>
      <c r="CE1595" s="202"/>
      <c r="CF1595" s="178"/>
      <c r="CG1595" s="196"/>
      <c r="CH1595" s="178"/>
      <c r="CI1595" s="178"/>
      <c r="CJ1595" s="178"/>
      <c r="CK1595" s="178"/>
      <c r="CL1595" s="178"/>
      <c r="CM1595" s="178"/>
      <c r="CN1595" s="178"/>
      <c r="CO1595" s="178"/>
      <c r="CP1595" s="178"/>
      <c r="CQ1595" s="178"/>
      <c r="CR1595" s="178"/>
      <c r="CS1595" s="178"/>
      <c r="CT1595" s="178"/>
      <c r="CU1595" s="178"/>
      <c r="CV1595" s="178"/>
      <c r="CW1595" s="178"/>
      <c r="CX1595" s="178"/>
      <c r="CY1595" s="178"/>
      <c r="CZ1595" s="178"/>
      <c r="DA1595" s="150"/>
    </row>
    <row r="1596" spans="53:105" x14ac:dyDescent="0.2">
      <c r="BA1596" s="518">
        <f t="shared" ca="1" si="85"/>
        <v>61</v>
      </c>
      <c r="BB1596" s="174">
        <f t="shared" ca="1" si="86"/>
        <v>1533</v>
      </c>
      <c r="BC1596" s="525" t="e">
        <f ca="1">MATCH(BD1596,OFFSET(Pinlist!$A$2,BC1595*(BA1596=BA1595),0,$BM$23,1),0)+BC1595*(BA1596=BA1595)</f>
        <v>#N/A</v>
      </c>
      <c r="BD1596" s="167">
        <f t="shared" ca="1" si="87"/>
        <v>0</v>
      </c>
      <c r="BE1596" s="191" t="e">
        <f ca="1">(OFFSET(Pinlist!$E$1,BC1596,0)-$BN$16)*$BN$19</f>
        <v>#N/A</v>
      </c>
      <c r="BF1596" s="192" t="e">
        <f ca="1">(OFFSET(Pinlist!$F$1,BC1596,0)-$BO$16)*$BO$19</f>
        <v>#N/A</v>
      </c>
      <c r="BG1596" s="1098" t="str">
        <f ca="1">IF(LEFT(BD1596,2)="RF",OFFSET(Pinlist!$D$1,Chart!BC1596,0)&amp;"_"&amp;OFFSET(Pinlist!$G$1,Chart!BC1596,0),"")</f>
        <v/>
      </c>
      <c r="BH1596" s="1098"/>
      <c r="BI1596" s="178"/>
      <c r="BJ1596" s="178"/>
      <c r="BK1596" s="178"/>
      <c r="BL1596" s="178"/>
      <c r="BM1596" s="178"/>
      <c r="BN1596" s="178"/>
      <c r="BO1596" s="178"/>
      <c r="BP1596" s="178"/>
      <c r="BQ1596" s="196"/>
      <c r="BR1596" s="196"/>
      <c r="BS1596" s="196"/>
      <c r="BT1596" s="196"/>
      <c r="BU1596" s="196"/>
      <c r="BV1596" s="196"/>
      <c r="BW1596" s="178"/>
      <c r="BX1596" s="196"/>
      <c r="BY1596" s="196"/>
      <c r="BZ1596" s="196"/>
      <c r="CA1596" s="196"/>
      <c r="CB1596" s="178"/>
      <c r="CC1596" s="178"/>
      <c r="CD1596" s="202"/>
      <c r="CE1596" s="202"/>
      <c r="CF1596" s="178"/>
      <c r="CG1596" s="196"/>
      <c r="CH1596" s="178"/>
      <c r="CI1596" s="178"/>
      <c r="CJ1596" s="178"/>
      <c r="CK1596" s="178"/>
      <c r="CL1596" s="178"/>
      <c r="CM1596" s="178"/>
      <c r="CN1596" s="178"/>
      <c r="CO1596" s="178"/>
      <c r="CP1596" s="178"/>
      <c r="CQ1596" s="178"/>
      <c r="CR1596" s="178"/>
      <c r="CS1596" s="178"/>
      <c r="CT1596" s="178"/>
      <c r="CU1596" s="178"/>
      <c r="CV1596" s="178"/>
      <c r="CW1596" s="178"/>
      <c r="CX1596" s="178"/>
      <c r="CY1596" s="178"/>
      <c r="CZ1596" s="178"/>
      <c r="DA1596" s="150"/>
    </row>
    <row r="1597" spans="53:105" x14ac:dyDescent="0.2">
      <c r="BA1597" s="518">
        <f t="shared" ca="1" si="85"/>
        <v>61</v>
      </c>
      <c r="BB1597" s="174">
        <f t="shared" ca="1" si="86"/>
        <v>1534</v>
      </c>
      <c r="BC1597" s="525" t="e">
        <f ca="1">MATCH(BD1597,OFFSET(Pinlist!$A$2,BC1596*(BA1597=BA1596),0,$BM$23,1),0)+BC1596*(BA1597=BA1596)</f>
        <v>#N/A</v>
      </c>
      <c r="BD1597" s="167">
        <f t="shared" ca="1" si="87"/>
        <v>0</v>
      </c>
      <c r="BE1597" s="191" t="e">
        <f ca="1">(OFFSET(Pinlist!$E$1,BC1597,0)-$BN$16)*$BN$19</f>
        <v>#N/A</v>
      </c>
      <c r="BF1597" s="192" t="e">
        <f ca="1">(OFFSET(Pinlist!$F$1,BC1597,0)-$BO$16)*$BO$19</f>
        <v>#N/A</v>
      </c>
      <c r="BG1597" s="1098" t="str">
        <f ca="1">IF(LEFT(BD1597,2)="RF",OFFSET(Pinlist!$D$1,Chart!BC1597,0)&amp;"_"&amp;OFFSET(Pinlist!$G$1,Chart!BC1597,0),"")</f>
        <v/>
      </c>
      <c r="BH1597" s="1098"/>
      <c r="BI1597" s="178"/>
      <c r="BJ1597" s="178"/>
      <c r="BK1597" s="178"/>
      <c r="BL1597" s="178"/>
      <c r="BM1597" s="178"/>
      <c r="BN1597" s="178"/>
      <c r="BO1597" s="178"/>
      <c r="BP1597" s="178"/>
      <c r="BQ1597" s="196"/>
      <c r="BR1597" s="196"/>
      <c r="BS1597" s="196"/>
      <c r="BT1597" s="196"/>
      <c r="BU1597" s="196"/>
      <c r="BV1597" s="196"/>
      <c r="BW1597" s="178"/>
      <c r="BX1597" s="196"/>
      <c r="BY1597" s="196"/>
      <c r="BZ1597" s="196"/>
      <c r="CA1597" s="196"/>
      <c r="CB1597" s="178"/>
      <c r="CC1597" s="178"/>
      <c r="CD1597" s="202"/>
      <c r="CE1597" s="202"/>
      <c r="CF1597" s="178"/>
      <c r="CG1597" s="196"/>
      <c r="CH1597" s="178"/>
      <c r="CI1597" s="178"/>
      <c r="CJ1597" s="178"/>
      <c r="CK1597" s="178"/>
      <c r="CL1597" s="178"/>
      <c r="CM1597" s="178"/>
      <c r="CN1597" s="178"/>
      <c r="CO1597" s="178"/>
      <c r="CP1597" s="178"/>
      <c r="CQ1597" s="178"/>
      <c r="CR1597" s="178"/>
      <c r="CS1597" s="178"/>
      <c r="CT1597" s="178"/>
      <c r="CU1597" s="178"/>
      <c r="CV1597" s="178"/>
      <c r="CW1597" s="178"/>
      <c r="CX1597" s="178"/>
      <c r="CY1597" s="178"/>
      <c r="CZ1597" s="178"/>
      <c r="DA1597" s="150"/>
    </row>
    <row r="1598" spans="53:105" x14ac:dyDescent="0.2">
      <c r="BA1598" s="518">
        <f t="shared" ca="1" si="85"/>
        <v>61</v>
      </c>
      <c r="BB1598" s="174">
        <f t="shared" ca="1" si="86"/>
        <v>1535</v>
      </c>
      <c r="BC1598" s="525" t="e">
        <f ca="1">MATCH(BD1598,OFFSET(Pinlist!$A$2,BC1597*(BA1598=BA1597),0,$BM$23,1),0)+BC1597*(BA1598=BA1597)</f>
        <v>#N/A</v>
      </c>
      <c r="BD1598" s="167">
        <f t="shared" ca="1" si="87"/>
        <v>0</v>
      </c>
      <c r="BE1598" s="191" t="e">
        <f ca="1">(OFFSET(Pinlist!$E$1,BC1598,0)-$BN$16)*$BN$19</f>
        <v>#N/A</v>
      </c>
      <c r="BF1598" s="192" t="e">
        <f ca="1">(OFFSET(Pinlist!$F$1,BC1598,0)-$BO$16)*$BO$19</f>
        <v>#N/A</v>
      </c>
      <c r="BG1598" s="1098" t="str">
        <f ca="1">IF(LEFT(BD1598,2)="RF",OFFSET(Pinlist!$D$1,Chart!BC1598,0)&amp;"_"&amp;OFFSET(Pinlist!$G$1,Chart!BC1598,0),"")</f>
        <v/>
      </c>
      <c r="BH1598" s="1098"/>
      <c r="BI1598" s="178"/>
      <c r="BJ1598" s="178"/>
      <c r="BK1598" s="178"/>
      <c r="BL1598" s="178"/>
      <c r="BM1598" s="178"/>
      <c r="BN1598" s="178"/>
      <c r="BO1598" s="178"/>
      <c r="BP1598" s="178"/>
      <c r="BQ1598" s="196"/>
      <c r="BR1598" s="196"/>
      <c r="BS1598" s="196"/>
      <c r="BT1598" s="196"/>
      <c r="BU1598" s="196"/>
      <c r="BV1598" s="196"/>
      <c r="BW1598" s="178"/>
      <c r="BX1598" s="196"/>
      <c r="BY1598" s="196"/>
      <c r="BZ1598" s="196"/>
      <c r="CA1598" s="196"/>
      <c r="CB1598" s="178"/>
      <c r="CC1598" s="178"/>
      <c r="CD1598" s="202"/>
      <c r="CE1598" s="202"/>
      <c r="CF1598" s="178"/>
      <c r="CG1598" s="196"/>
      <c r="CH1598" s="178"/>
      <c r="CI1598" s="178"/>
      <c r="CJ1598" s="178"/>
      <c r="CK1598" s="178"/>
      <c r="CL1598" s="178"/>
      <c r="CM1598" s="178"/>
      <c r="CN1598" s="178"/>
      <c r="CO1598" s="178"/>
      <c r="CP1598" s="178"/>
      <c r="CQ1598" s="178"/>
      <c r="CR1598" s="178"/>
      <c r="CS1598" s="178"/>
      <c r="CT1598" s="178"/>
      <c r="CU1598" s="178"/>
      <c r="CV1598" s="178"/>
      <c r="CW1598" s="178"/>
      <c r="CX1598" s="178"/>
      <c r="CY1598" s="178"/>
      <c r="CZ1598" s="178"/>
      <c r="DA1598" s="150"/>
    </row>
    <row r="1599" spans="53:105" x14ac:dyDescent="0.2">
      <c r="BA1599" s="518">
        <f t="shared" ca="1" si="85"/>
        <v>61</v>
      </c>
      <c r="BB1599" s="174">
        <f t="shared" ca="1" si="86"/>
        <v>1536</v>
      </c>
      <c r="BC1599" s="525" t="e">
        <f ca="1">MATCH(BD1599,OFFSET(Pinlist!$A$2,BC1598*(BA1599=BA1598),0,$BM$23,1),0)+BC1598*(BA1599=BA1598)</f>
        <v>#N/A</v>
      </c>
      <c r="BD1599" s="167">
        <f t="shared" ca="1" si="87"/>
        <v>0</v>
      </c>
      <c r="BE1599" s="191" t="e">
        <f ca="1">(OFFSET(Pinlist!$E$1,BC1599,0)-$BN$16)*$BN$19</f>
        <v>#N/A</v>
      </c>
      <c r="BF1599" s="192" t="e">
        <f ca="1">(OFFSET(Pinlist!$F$1,BC1599,0)-$BO$16)*$BO$19</f>
        <v>#N/A</v>
      </c>
      <c r="BG1599" s="1098" t="str">
        <f ca="1">IF(LEFT(BD1599,2)="RF",OFFSET(Pinlist!$D$1,Chart!BC1599,0)&amp;"_"&amp;OFFSET(Pinlist!$G$1,Chart!BC1599,0),"")</f>
        <v/>
      </c>
      <c r="BH1599" s="1098"/>
      <c r="BI1599" s="178"/>
      <c r="BJ1599" s="178"/>
      <c r="BK1599" s="178"/>
      <c r="BL1599" s="178"/>
      <c r="BM1599" s="178"/>
      <c r="BN1599" s="178"/>
      <c r="BO1599" s="178"/>
      <c r="BP1599" s="178"/>
      <c r="BQ1599" s="196"/>
      <c r="BR1599" s="196"/>
      <c r="BS1599" s="196"/>
      <c r="BT1599" s="196"/>
      <c r="BU1599" s="196"/>
      <c r="BV1599" s="196"/>
      <c r="BW1599" s="178"/>
      <c r="BX1599" s="196"/>
      <c r="BY1599" s="196"/>
      <c r="BZ1599" s="196"/>
      <c r="CA1599" s="196"/>
      <c r="CB1599" s="178"/>
      <c r="CC1599" s="178"/>
      <c r="CD1599" s="202"/>
      <c r="CE1599" s="202"/>
      <c r="CF1599" s="178"/>
      <c r="CG1599" s="196"/>
      <c r="CH1599" s="178"/>
      <c r="CI1599" s="178"/>
      <c r="CJ1599" s="178"/>
      <c r="CK1599" s="178"/>
      <c r="CL1599" s="178"/>
      <c r="CM1599" s="178"/>
      <c r="CN1599" s="178"/>
      <c r="CO1599" s="178"/>
      <c r="CP1599" s="178"/>
      <c r="CQ1599" s="178"/>
      <c r="CR1599" s="178"/>
      <c r="CS1599" s="178"/>
      <c r="CT1599" s="178"/>
      <c r="CU1599" s="178"/>
      <c r="CV1599" s="178"/>
      <c r="CW1599" s="178"/>
      <c r="CX1599" s="178"/>
      <c r="CY1599" s="178"/>
      <c r="CZ1599" s="178"/>
      <c r="DA1599" s="150"/>
    </row>
    <row r="1600" spans="53:105" x14ac:dyDescent="0.2">
      <c r="BA1600" s="518">
        <f t="shared" ca="1" si="85"/>
        <v>61</v>
      </c>
      <c r="BB1600" s="174">
        <f t="shared" ca="1" si="86"/>
        <v>1537</v>
      </c>
      <c r="BC1600" s="525" t="e">
        <f ca="1">MATCH(BD1600,OFFSET(Pinlist!$A$2,BC1599*(BA1600=BA1599),0,$BM$23,1),0)+BC1599*(BA1600=BA1599)</f>
        <v>#N/A</v>
      </c>
      <c r="BD1600" s="167">
        <f t="shared" ca="1" si="87"/>
        <v>0</v>
      </c>
      <c r="BE1600" s="191" t="e">
        <f ca="1">(OFFSET(Pinlist!$E$1,BC1600,0)-$BN$16)*$BN$19</f>
        <v>#N/A</v>
      </c>
      <c r="BF1600" s="192" t="e">
        <f ca="1">(OFFSET(Pinlist!$F$1,BC1600,0)-$BO$16)*$BO$19</f>
        <v>#N/A</v>
      </c>
      <c r="BG1600" s="1098" t="str">
        <f ca="1">IF(LEFT(BD1600,2)="RF",OFFSET(Pinlist!$D$1,Chart!BC1600,0)&amp;"_"&amp;OFFSET(Pinlist!$G$1,Chart!BC1600,0),"")</f>
        <v/>
      </c>
      <c r="BH1600" s="1098"/>
      <c r="BI1600" s="178"/>
      <c r="BJ1600" s="178"/>
      <c r="BK1600" s="178"/>
      <c r="BL1600" s="178"/>
      <c r="BM1600" s="178"/>
      <c r="BN1600" s="178"/>
      <c r="BO1600" s="178"/>
      <c r="BP1600" s="178"/>
      <c r="BQ1600" s="196"/>
      <c r="BR1600" s="196"/>
      <c r="BS1600" s="196"/>
      <c r="BT1600" s="196"/>
      <c r="BU1600" s="196"/>
      <c r="BV1600" s="196"/>
      <c r="BW1600" s="178"/>
      <c r="BX1600" s="196"/>
      <c r="BY1600" s="196"/>
      <c r="BZ1600" s="196"/>
      <c r="CA1600" s="196"/>
      <c r="CB1600" s="178"/>
      <c r="CC1600" s="178"/>
      <c r="CD1600" s="202"/>
      <c r="CE1600" s="202"/>
      <c r="CF1600" s="178"/>
      <c r="CG1600" s="196"/>
      <c r="CH1600" s="178"/>
      <c r="CI1600" s="178"/>
      <c r="CJ1600" s="178"/>
      <c r="CK1600" s="178"/>
      <c r="CL1600" s="178"/>
      <c r="CM1600" s="178"/>
      <c r="CN1600" s="178"/>
      <c r="CO1600" s="178"/>
      <c r="CP1600" s="178"/>
      <c r="CQ1600" s="178"/>
      <c r="CR1600" s="178"/>
      <c r="CS1600" s="178"/>
      <c r="CT1600" s="178"/>
      <c r="CU1600" s="178"/>
      <c r="CV1600" s="178"/>
      <c r="CW1600" s="178"/>
      <c r="CX1600" s="178"/>
      <c r="CY1600" s="178"/>
      <c r="CZ1600" s="178"/>
      <c r="DA1600" s="150"/>
    </row>
    <row r="1601" spans="53:105" x14ac:dyDescent="0.2">
      <c r="BA1601" s="518">
        <f t="shared" ca="1" si="85"/>
        <v>61</v>
      </c>
      <c r="BB1601" s="174">
        <f t="shared" ca="1" si="86"/>
        <v>1538</v>
      </c>
      <c r="BC1601" s="525" t="e">
        <f ca="1">MATCH(BD1601,OFFSET(Pinlist!$A$2,BC1600*(BA1601=BA1600),0,$BM$23,1),0)+BC1600*(BA1601=BA1600)</f>
        <v>#N/A</v>
      </c>
      <c r="BD1601" s="167">
        <f t="shared" ca="1" si="87"/>
        <v>0</v>
      </c>
      <c r="BE1601" s="191" t="e">
        <f ca="1">(OFFSET(Pinlist!$E$1,BC1601,0)-$BN$16)*$BN$19</f>
        <v>#N/A</v>
      </c>
      <c r="BF1601" s="192" t="e">
        <f ca="1">(OFFSET(Pinlist!$F$1,BC1601,0)-$BO$16)*$BO$19</f>
        <v>#N/A</v>
      </c>
      <c r="BG1601" s="1098" t="str">
        <f ca="1">IF(LEFT(BD1601,2)="RF",OFFSET(Pinlist!$D$1,Chart!BC1601,0)&amp;"_"&amp;OFFSET(Pinlist!$G$1,Chart!BC1601,0),"")</f>
        <v/>
      </c>
      <c r="BH1601" s="1098"/>
      <c r="BI1601" s="178"/>
      <c r="BJ1601" s="178"/>
      <c r="BK1601" s="178"/>
      <c r="BL1601" s="178"/>
      <c r="BM1601" s="178"/>
      <c r="BN1601" s="178"/>
      <c r="BO1601" s="178"/>
      <c r="BP1601" s="178"/>
      <c r="BQ1601" s="196"/>
      <c r="BR1601" s="196"/>
      <c r="BS1601" s="196"/>
      <c r="BT1601" s="196"/>
      <c r="BU1601" s="196"/>
      <c r="BV1601" s="196"/>
      <c r="BW1601" s="178"/>
      <c r="BX1601" s="196"/>
      <c r="BY1601" s="196"/>
      <c r="BZ1601" s="196"/>
      <c r="CA1601" s="196"/>
      <c r="CB1601" s="178"/>
      <c r="CC1601" s="178"/>
      <c r="CD1601" s="202"/>
      <c r="CE1601" s="202"/>
      <c r="CF1601" s="178"/>
      <c r="CG1601" s="196"/>
      <c r="CH1601" s="178"/>
      <c r="CI1601" s="178"/>
      <c r="CJ1601" s="178"/>
      <c r="CK1601" s="178"/>
      <c r="CL1601" s="178"/>
      <c r="CM1601" s="178"/>
      <c r="CN1601" s="178"/>
      <c r="CO1601" s="178"/>
      <c r="CP1601" s="178"/>
      <c r="CQ1601" s="178"/>
      <c r="CR1601" s="178"/>
      <c r="CS1601" s="178"/>
      <c r="CT1601" s="178"/>
      <c r="CU1601" s="178"/>
      <c r="CV1601" s="178"/>
      <c r="CW1601" s="178"/>
      <c r="CX1601" s="178"/>
      <c r="CY1601" s="178"/>
      <c r="CZ1601" s="178"/>
      <c r="DA1601" s="150"/>
    </row>
    <row r="1602" spans="53:105" x14ac:dyDescent="0.2">
      <c r="BA1602" s="518">
        <f t="shared" ca="1" si="85"/>
        <v>61</v>
      </c>
      <c r="BB1602" s="174">
        <f t="shared" ca="1" si="86"/>
        <v>1539</v>
      </c>
      <c r="BC1602" s="525" t="e">
        <f ca="1">MATCH(BD1602,OFFSET(Pinlist!$A$2,BC1601*(BA1602=BA1601),0,$BM$23,1),0)+BC1601*(BA1602=BA1601)</f>
        <v>#N/A</v>
      </c>
      <c r="BD1602" s="167">
        <f t="shared" ca="1" si="87"/>
        <v>0</v>
      </c>
      <c r="BE1602" s="191" t="e">
        <f ca="1">(OFFSET(Pinlist!$E$1,BC1602,0)-$BN$16)*$BN$19</f>
        <v>#N/A</v>
      </c>
      <c r="BF1602" s="192" t="e">
        <f ca="1">(OFFSET(Pinlist!$F$1,BC1602,0)-$BO$16)*$BO$19</f>
        <v>#N/A</v>
      </c>
      <c r="BG1602" s="1098" t="str">
        <f ca="1">IF(LEFT(BD1602,2)="RF",OFFSET(Pinlist!$D$1,Chart!BC1602,0)&amp;"_"&amp;OFFSET(Pinlist!$G$1,Chart!BC1602,0),"")</f>
        <v/>
      </c>
      <c r="BH1602" s="1098"/>
      <c r="BI1602" s="178"/>
      <c r="BJ1602" s="178"/>
      <c r="BK1602" s="178"/>
      <c r="BL1602" s="178"/>
      <c r="BM1602" s="178"/>
      <c r="BN1602" s="178"/>
      <c r="BO1602" s="178"/>
      <c r="BP1602" s="178"/>
      <c r="BQ1602" s="196"/>
      <c r="BR1602" s="196"/>
      <c r="BS1602" s="196"/>
      <c r="BT1602" s="196"/>
      <c r="BU1602" s="196"/>
      <c r="BV1602" s="196"/>
      <c r="BW1602" s="178"/>
      <c r="BX1602" s="196"/>
      <c r="BY1602" s="196"/>
      <c r="BZ1602" s="196"/>
      <c r="CA1602" s="196"/>
      <c r="CB1602" s="178"/>
      <c r="CC1602" s="178"/>
      <c r="CD1602" s="202"/>
      <c r="CE1602" s="202"/>
      <c r="CF1602" s="178"/>
      <c r="CG1602" s="196"/>
      <c r="CH1602" s="178"/>
      <c r="CI1602" s="178"/>
      <c r="CJ1602" s="178"/>
      <c r="CK1602" s="178"/>
      <c r="CL1602" s="178"/>
      <c r="CM1602" s="178"/>
      <c r="CN1602" s="178"/>
      <c r="CO1602" s="178"/>
      <c r="CP1602" s="178"/>
      <c r="CQ1602" s="178"/>
      <c r="CR1602" s="178"/>
      <c r="CS1602" s="178"/>
      <c r="CT1602" s="178"/>
      <c r="CU1602" s="178"/>
      <c r="CV1602" s="178"/>
      <c r="CW1602" s="178"/>
      <c r="CX1602" s="178"/>
      <c r="CY1602" s="178"/>
      <c r="CZ1602" s="178"/>
      <c r="DA1602" s="150"/>
    </row>
    <row r="1603" spans="53:105" x14ac:dyDescent="0.2">
      <c r="BA1603" s="518">
        <f t="shared" ca="1" si="85"/>
        <v>61</v>
      </c>
      <c r="BB1603" s="174">
        <f t="shared" ca="1" si="86"/>
        <v>1540</v>
      </c>
      <c r="BC1603" s="525" t="e">
        <f ca="1">MATCH(BD1603,OFFSET(Pinlist!$A$2,BC1602*(BA1603=BA1602),0,$BM$23,1),0)+BC1602*(BA1603=BA1602)</f>
        <v>#N/A</v>
      </c>
      <c r="BD1603" s="167">
        <f t="shared" ca="1" si="87"/>
        <v>0</v>
      </c>
      <c r="BE1603" s="191" t="e">
        <f ca="1">(OFFSET(Pinlist!$E$1,BC1603,0)-$BN$16)*$BN$19</f>
        <v>#N/A</v>
      </c>
      <c r="BF1603" s="192" t="e">
        <f ca="1">(OFFSET(Pinlist!$F$1,BC1603,0)-$BO$16)*$BO$19</f>
        <v>#N/A</v>
      </c>
      <c r="BG1603" s="1098" t="str">
        <f ca="1">IF(LEFT(BD1603,2)="RF",OFFSET(Pinlist!$D$1,Chart!BC1603,0)&amp;"_"&amp;OFFSET(Pinlist!$G$1,Chart!BC1603,0),"")</f>
        <v/>
      </c>
      <c r="BH1603" s="1098"/>
      <c r="BI1603" s="178"/>
      <c r="BJ1603" s="178"/>
      <c r="BK1603" s="178"/>
      <c r="BL1603" s="178"/>
      <c r="BM1603" s="178"/>
      <c r="BN1603" s="178"/>
      <c r="BO1603" s="178"/>
      <c r="BP1603" s="178"/>
      <c r="BQ1603" s="196"/>
      <c r="BR1603" s="196"/>
      <c r="BS1603" s="196"/>
      <c r="BT1603" s="196"/>
      <c r="BU1603" s="196"/>
      <c r="BV1603" s="196"/>
      <c r="BW1603" s="178"/>
      <c r="BX1603" s="196"/>
      <c r="BY1603" s="196"/>
      <c r="BZ1603" s="196"/>
      <c r="CA1603" s="196"/>
      <c r="CB1603" s="178"/>
      <c r="CC1603" s="178"/>
      <c r="CD1603" s="202"/>
      <c r="CE1603" s="202"/>
      <c r="CF1603" s="178"/>
      <c r="CG1603" s="196"/>
      <c r="CH1603" s="178"/>
      <c r="CI1603" s="178"/>
      <c r="CJ1603" s="178"/>
      <c r="CK1603" s="178"/>
      <c r="CL1603" s="178"/>
      <c r="CM1603" s="178"/>
      <c r="CN1603" s="178"/>
      <c r="CO1603" s="178"/>
      <c r="CP1603" s="178"/>
      <c r="CQ1603" s="178"/>
      <c r="CR1603" s="178"/>
      <c r="CS1603" s="178"/>
      <c r="CT1603" s="178"/>
      <c r="CU1603" s="178"/>
      <c r="CV1603" s="178"/>
      <c r="CW1603" s="178"/>
      <c r="CX1603" s="178"/>
      <c r="CY1603" s="178"/>
      <c r="CZ1603" s="178"/>
      <c r="DA1603" s="150"/>
    </row>
    <row r="1604" spans="53:105" x14ac:dyDescent="0.2">
      <c r="BA1604" s="518">
        <f t="shared" ref="BA1604:BA1667" ca="1" si="88">BA1603+(BB1603=OFFSET($BZ$3,BA1603,0))</f>
        <v>61</v>
      </c>
      <c r="BB1604" s="174">
        <f t="shared" ref="BB1604:BB1667" ca="1" si="89">IF(BA1604=BA1603,BB1603+1,1)</f>
        <v>1541</v>
      </c>
      <c r="BC1604" s="525" t="e">
        <f ca="1">MATCH(BD1604,OFFSET(Pinlist!$A$2,BC1603*(BA1604=BA1603),0,$BM$23,1),0)+BC1603*(BA1604=BA1603)</f>
        <v>#N/A</v>
      </c>
      <c r="BD1604" s="167">
        <f t="shared" ref="BD1604:BD1667" ca="1" si="90">OFFSET($BY$3,BA1604,0)</f>
        <v>0</v>
      </c>
      <c r="BE1604" s="191" t="e">
        <f ca="1">(OFFSET(Pinlist!$E$1,BC1604,0)-$BN$16)*$BN$19</f>
        <v>#N/A</v>
      </c>
      <c r="BF1604" s="192" t="e">
        <f ca="1">(OFFSET(Pinlist!$F$1,BC1604,0)-$BO$16)*$BO$19</f>
        <v>#N/A</v>
      </c>
      <c r="BG1604" s="1098" t="str">
        <f ca="1">IF(LEFT(BD1604,2)="RF",OFFSET(Pinlist!$D$1,Chart!BC1604,0)&amp;"_"&amp;OFFSET(Pinlist!$G$1,Chart!BC1604,0),"")</f>
        <v/>
      </c>
      <c r="BH1604" s="1098"/>
      <c r="BI1604" s="178"/>
      <c r="BJ1604" s="178"/>
      <c r="BK1604" s="178"/>
      <c r="BL1604" s="178"/>
      <c r="BM1604" s="178"/>
      <c r="BN1604" s="178"/>
      <c r="BO1604" s="178"/>
      <c r="BP1604" s="178"/>
      <c r="BQ1604" s="196"/>
      <c r="BR1604" s="196"/>
      <c r="BS1604" s="196"/>
      <c r="BT1604" s="196"/>
      <c r="BU1604" s="196"/>
      <c r="BV1604" s="196"/>
      <c r="BW1604" s="178"/>
      <c r="BX1604" s="196"/>
      <c r="BY1604" s="196"/>
      <c r="BZ1604" s="196"/>
      <c r="CA1604" s="196"/>
      <c r="CB1604" s="178"/>
      <c r="CC1604" s="178"/>
      <c r="CD1604" s="202"/>
      <c r="CE1604" s="202"/>
      <c r="CF1604" s="178"/>
      <c r="CG1604" s="196"/>
      <c r="CH1604" s="178"/>
      <c r="CI1604" s="178"/>
      <c r="CJ1604" s="178"/>
      <c r="CK1604" s="178"/>
      <c r="CL1604" s="178"/>
      <c r="CM1604" s="178"/>
      <c r="CN1604" s="178"/>
      <c r="CO1604" s="178"/>
      <c r="CP1604" s="178"/>
      <c r="CQ1604" s="178"/>
      <c r="CR1604" s="178"/>
      <c r="CS1604" s="178"/>
      <c r="CT1604" s="178"/>
      <c r="CU1604" s="178"/>
      <c r="CV1604" s="178"/>
      <c r="CW1604" s="178"/>
      <c r="CX1604" s="178"/>
      <c r="CY1604" s="178"/>
      <c r="CZ1604" s="178"/>
      <c r="DA1604" s="150"/>
    </row>
    <row r="1605" spans="53:105" x14ac:dyDescent="0.2">
      <c r="BA1605" s="518">
        <f t="shared" ca="1" si="88"/>
        <v>61</v>
      </c>
      <c r="BB1605" s="174">
        <f t="shared" ca="1" si="89"/>
        <v>1542</v>
      </c>
      <c r="BC1605" s="525" t="e">
        <f ca="1">MATCH(BD1605,OFFSET(Pinlist!$A$2,BC1604*(BA1605=BA1604),0,$BM$23,1),0)+BC1604*(BA1605=BA1604)</f>
        <v>#N/A</v>
      </c>
      <c r="BD1605" s="167">
        <f t="shared" ca="1" si="90"/>
        <v>0</v>
      </c>
      <c r="BE1605" s="191" t="e">
        <f ca="1">(OFFSET(Pinlist!$E$1,BC1605,0)-$BN$16)*$BN$19</f>
        <v>#N/A</v>
      </c>
      <c r="BF1605" s="192" t="e">
        <f ca="1">(OFFSET(Pinlist!$F$1,BC1605,0)-$BO$16)*$BO$19</f>
        <v>#N/A</v>
      </c>
      <c r="BG1605" s="1098" t="str">
        <f ca="1">IF(LEFT(BD1605,2)="RF",OFFSET(Pinlist!$D$1,Chart!BC1605,0)&amp;"_"&amp;OFFSET(Pinlist!$G$1,Chart!BC1605,0),"")</f>
        <v/>
      </c>
      <c r="BH1605" s="1098"/>
      <c r="BI1605" s="178"/>
      <c r="BJ1605" s="178"/>
      <c r="BK1605" s="178"/>
      <c r="BL1605" s="178"/>
      <c r="BM1605" s="178"/>
      <c r="BN1605" s="178"/>
      <c r="BO1605" s="178"/>
      <c r="BP1605" s="178"/>
      <c r="BQ1605" s="196"/>
      <c r="BR1605" s="196"/>
      <c r="BS1605" s="196"/>
      <c r="BT1605" s="196"/>
      <c r="BU1605" s="196"/>
      <c r="BV1605" s="196"/>
      <c r="BW1605" s="178"/>
      <c r="BX1605" s="196"/>
      <c r="BY1605" s="196"/>
      <c r="BZ1605" s="196"/>
      <c r="CA1605" s="196"/>
      <c r="CB1605" s="178"/>
      <c r="CC1605" s="178"/>
      <c r="CD1605" s="202"/>
      <c r="CE1605" s="202"/>
      <c r="CF1605" s="178"/>
      <c r="CG1605" s="196"/>
      <c r="CH1605" s="178"/>
      <c r="CI1605" s="178"/>
      <c r="CJ1605" s="178"/>
      <c r="CK1605" s="178"/>
      <c r="CL1605" s="178"/>
      <c r="CM1605" s="178"/>
      <c r="CN1605" s="178"/>
      <c r="CO1605" s="178"/>
      <c r="CP1605" s="178"/>
      <c r="CQ1605" s="178"/>
      <c r="CR1605" s="178"/>
      <c r="CS1605" s="178"/>
      <c r="CT1605" s="178"/>
      <c r="CU1605" s="178"/>
      <c r="CV1605" s="178"/>
      <c r="CW1605" s="178"/>
      <c r="CX1605" s="178"/>
      <c r="CY1605" s="178"/>
      <c r="CZ1605" s="178"/>
      <c r="DA1605" s="150"/>
    </row>
    <row r="1606" spans="53:105" x14ac:dyDescent="0.2">
      <c r="BA1606" s="518">
        <f t="shared" ca="1" si="88"/>
        <v>61</v>
      </c>
      <c r="BB1606" s="174">
        <f t="shared" ca="1" si="89"/>
        <v>1543</v>
      </c>
      <c r="BC1606" s="525" t="e">
        <f ca="1">MATCH(BD1606,OFFSET(Pinlist!$A$2,BC1605*(BA1606=BA1605),0,$BM$23,1),0)+BC1605*(BA1606=BA1605)</f>
        <v>#N/A</v>
      </c>
      <c r="BD1606" s="167">
        <f t="shared" ca="1" si="90"/>
        <v>0</v>
      </c>
      <c r="BE1606" s="191" t="e">
        <f ca="1">(OFFSET(Pinlist!$E$1,BC1606,0)-$BN$16)*$BN$19</f>
        <v>#N/A</v>
      </c>
      <c r="BF1606" s="192" t="e">
        <f ca="1">(OFFSET(Pinlist!$F$1,BC1606,0)-$BO$16)*$BO$19</f>
        <v>#N/A</v>
      </c>
      <c r="BG1606" s="1098" t="str">
        <f ca="1">IF(LEFT(BD1606,2)="RF",OFFSET(Pinlist!$D$1,Chart!BC1606,0)&amp;"_"&amp;OFFSET(Pinlist!$G$1,Chart!BC1606,0),"")</f>
        <v/>
      </c>
      <c r="BH1606" s="1098"/>
      <c r="BI1606" s="178"/>
      <c r="BJ1606" s="178"/>
      <c r="BK1606" s="178"/>
      <c r="BL1606" s="178"/>
      <c r="BM1606" s="178"/>
      <c r="BN1606" s="178"/>
      <c r="BO1606" s="178"/>
      <c r="BP1606" s="178"/>
      <c r="BQ1606" s="196"/>
      <c r="BR1606" s="196"/>
      <c r="BS1606" s="196"/>
      <c r="BT1606" s="196"/>
      <c r="BU1606" s="196"/>
      <c r="BV1606" s="196"/>
      <c r="BW1606" s="178"/>
      <c r="BX1606" s="196"/>
      <c r="BY1606" s="196"/>
      <c r="BZ1606" s="196"/>
      <c r="CA1606" s="196"/>
      <c r="CB1606" s="178"/>
      <c r="CC1606" s="178"/>
      <c r="CD1606" s="202"/>
      <c r="CE1606" s="202"/>
      <c r="CF1606" s="178"/>
      <c r="CG1606" s="196"/>
      <c r="CH1606" s="178"/>
      <c r="CI1606" s="178"/>
      <c r="CJ1606" s="178"/>
      <c r="CK1606" s="178"/>
      <c r="CL1606" s="178"/>
      <c r="CM1606" s="178"/>
      <c r="CN1606" s="178"/>
      <c r="CO1606" s="178"/>
      <c r="CP1606" s="178"/>
      <c r="CQ1606" s="178"/>
      <c r="CR1606" s="178"/>
      <c r="CS1606" s="178"/>
      <c r="CT1606" s="178"/>
      <c r="CU1606" s="178"/>
      <c r="CV1606" s="178"/>
      <c r="CW1606" s="178"/>
      <c r="CX1606" s="178"/>
      <c r="CY1606" s="178"/>
      <c r="CZ1606" s="178"/>
      <c r="DA1606" s="150"/>
    </row>
    <row r="1607" spans="53:105" x14ac:dyDescent="0.2">
      <c r="BA1607" s="518">
        <f t="shared" ca="1" si="88"/>
        <v>61</v>
      </c>
      <c r="BB1607" s="174">
        <f t="shared" ca="1" si="89"/>
        <v>1544</v>
      </c>
      <c r="BC1607" s="525" t="e">
        <f ca="1">MATCH(BD1607,OFFSET(Pinlist!$A$2,BC1606*(BA1607=BA1606),0,$BM$23,1),0)+BC1606*(BA1607=BA1606)</f>
        <v>#N/A</v>
      </c>
      <c r="BD1607" s="167">
        <f t="shared" ca="1" si="90"/>
        <v>0</v>
      </c>
      <c r="BE1607" s="191" t="e">
        <f ca="1">(OFFSET(Pinlist!$E$1,BC1607,0)-$BN$16)*$BN$19</f>
        <v>#N/A</v>
      </c>
      <c r="BF1607" s="192" t="e">
        <f ca="1">(OFFSET(Pinlist!$F$1,BC1607,0)-$BO$16)*$BO$19</f>
        <v>#N/A</v>
      </c>
      <c r="BG1607" s="1098" t="str">
        <f ca="1">IF(LEFT(BD1607,2)="RF",OFFSET(Pinlist!$D$1,Chart!BC1607,0)&amp;"_"&amp;OFFSET(Pinlist!$G$1,Chart!BC1607,0),"")</f>
        <v/>
      </c>
      <c r="BH1607" s="1098"/>
      <c r="BI1607" s="178"/>
      <c r="BJ1607" s="178"/>
      <c r="BK1607" s="178"/>
      <c r="BL1607" s="178"/>
      <c r="BM1607" s="178"/>
      <c r="BN1607" s="178"/>
      <c r="BO1607" s="178"/>
      <c r="BP1607" s="178"/>
      <c r="BQ1607" s="196"/>
      <c r="BR1607" s="196"/>
      <c r="BS1607" s="196"/>
      <c r="BT1607" s="196"/>
      <c r="BU1607" s="196"/>
      <c r="BV1607" s="196"/>
      <c r="BW1607" s="178"/>
      <c r="BX1607" s="196"/>
      <c r="BY1607" s="196"/>
      <c r="BZ1607" s="196"/>
      <c r="CA1607" s="196"/>
      <c r="CB1607" s="178"/>
      <c r="CC1607" s="178"/>
      <c r="CD1607" s="202"/>
      <c r="CE1607" s="202"/>
      <c r="CF1607" s="178"/>
      <c r="CG1607" s="196"/>
      <c r="CH1607" s="178"/>
      <c r="CI1607" s="178"/>
      <c r="CJ1607" s="178"/>
      <c r="CK1607" s="178"/>
      <c r="CL1607" s="178"/>
      <c r="CM1607" s="178"/>
      <c r="CN1607" s="178"/>
      <c r="CO1607" s="178"/>
      <c r="CP1607" s="178"/>
      <c r="CQ1607" s="178"/>
      <c r="CR1607" s="178"/>
      <c r="CS1607" s="178"/>
      <c r="CT1607" s="178"/>
      <c r="CU1607" s="178"/>
      <c r="CV1607" s="178"/>
      <c r="CW1607" s="178"/>
      <c r="CX1607" s="178"/>
      <c r="CY1607" s="178"/>
      <c r="CZ1607" s="178"/>
      <c r="DA1607" s="150"/>
    </row>
    <row r="1608" spans="53:105" x14ac:dyDescent="0.2">
      <c r="BA1608" s="518">
        <f t="shared" ca="1" si="88"/>
        <v>61</v>
      </c>
      <c r="BB1608" s="174">
        <f t="shared" ca="1" si="89"/>
        <v>1545</v>
      </c>
      <c r="BC1608" s="525" t="e">
        <f ca="1">MATCH(BD1608,OFFSET(Pinlist!$A$2,BC1607*(BA1608=BA1607),0,$BM$23,1),0)+BC1607*(BA1608=BA1607)</f>
        <v>#N/A</v>
      </c>
      <c r="BD1608" s="167">
        <f t="shared" ca="1" si="90"/>
        <v>0</v>
      </c>
      <c r="BE1608" s="191" t="e">
        <f ca="1">(OFFSET(Pinlist!$E$1,BC1608,0)-$BN$16)*$BN$19</f>
        <v>#N/A</v>
      </c>
      <c r="BF1608" s="192" t="e">
        <f ca="1">(OFFSET(Pinlist!$F$1,BC1608,0)-$BO$16)*$BO$19</f>
        <v>#N/A</v>
      </c>
      <c r="BG1608" s="1098" t="str">
        <f ca="1">IF(LEFT(BD1608,2)="RF",OFFSET(Pinlist!$D$1,Chart!BC1608,0)&amp;"_"&amp;OFFSET(Pinlist!$G$1,Chart!BC1608,0),"")</f>
        <v/>
      </c>
      <c r="BH1608" s="1098"/>
      <c r="BI1608" s="178"/>
      <c r="BJ1608" s="178"/>
      <c r="BK1608" s="178"/>
      <c r="BL1608" s="178"/>
      <c r="BM1608" s="178"/>
      <c r="BN1608" s="178"/>
      <c r="BO1608" s="178"/>
      <c r="BP1608" s="178"/>
      <c r="BQ1608" s="196"/>
      <c r="BR1608" s="196"/>
      <c r="BS1608" s="196"/>
      <c r="BT1608" s="196"/>
      <c r="BU1608" s="196"/>
      <c r="BV1608" s="196"/>
      <c r="BW1608" s="178"/>
      <c r="BX1608" s="196"/>
      <c r="BY1608" s="196"/>
      <c r="BZ1608" s="196"/>
      <c r="CA1608" s="196"/>
      <c r="CB1608" s="178"/>
      <c r="CC1608" s="178"/>
      <c r="CD1608" s="202"/>
      <c r="CE1608" s="202"/>
      <c r="CF1608" s="178"/>
      <c r="CG1608" s="196"/>
      <c r="CH1608" s="178"/>
      <c r="CI1608" s="178"/>
      <c r="CJ1608" s="178"/>
      <c r="CK1608" s="178"/>
      <c r="CL1608" s="178"/>
      <c r="CM1608" s="178"/>
      <c r="CN1608" s="178"/>
      <c r="CO1608" s="178"/>
      <c r="CP1608" s="178"/>
      <c r="CQ1608" s="178"/>
      <c r="CR1608" s="178"/>
      <c r="CS1608" s="178"/>
      <c r="CT1608" s="178"/>
      <c r="CU1608" s="178"/>
      <c r="CV1608" s="178"/>
      <c r="CW1608" s="178"/>
      <c r="CX1608" s="178"/>
      <c r="CY1608" s="178"/>
      <c r="CZ1608" s="178"/>
      <c r="DA1608" s="150"/>
    </row>
    <row r="1609" spans="53:105" x14ac:dyDescent="0.2">
      <c r="BA1609" s="518">
        <f t="shared" ca="1" si="88"/>
        <v>61</v>
      </c>
      <c r="BB1609" s="174">
        <f t="shared" ca="1" si="89"/>
        <v>1546</v>
      </c>
      <c r="BC1609" s="525" t="e">
        <f ca="1">MATCH(BD1609,OFFSET(Pinlist!$A$2,BC1608*(BA1609=BA1608),0,$BM$23,1),0)+BC1608*(BA1609=BA1608)</f>
        <v>#N/A</v>
      </c>
      <c r="BD1609" s="167">
        <f t="shared" ca="1" si="90"/>
        <v>0</v>
      </c>
      <c r="BE1609" s="191" t="e">
        <f ca="1">(OFFSET(Pinlist!$E$1,BC1609,0)-$BN$16)*$BN$19</f>
        <v>#N/A</v>
      </c>
      <c r="BF1609" s="192" t="e">
        <f ca="1">(OFFSET(Pinlist!$F$1,BC1609,0)-$BO$16)*$BO$19</f>
        <v>#N/A</v>
      </c>
      <c r="BG1609" s="1098" t="str">
        <f ca="1">IF(LEFT(BD1609,2)="RF",OFFSET(Pinlist!$D$1,Chart!BC1609,0)&amp;"_"&amp;OFFSET(Pinlist!$G$1,Chart!BC1609,0),"")</f>
        <v/>
      </c>
      <c r="BH1609" s="1098"/>
      <c r="BI1609" s="178"/>
      <c r="BJ1609" s="178"/>
      <c r="BK1609" s="178"/>
      <c r="BL1609" s="178"/>
      <c r="BM1609" s="178"/>
      <c r="BN1609" s="178"/>
      <c r="BO1609" s="178"/>
      <c r="BP1609" s="178"/>
      <c r="BQ1609" s="196"/>
      <c r="BR1609" s="196"/>
      <c r="BS1609" s="196"/>
      <c r="BT1609" s="196"/>
      <c r="BU1609" s="196"/>
      <c r="BV1609" s="196"/>
      <c r="BW1609" s="178"/>
      <c r="BX1609" s="196"/>
      <c r="BY1609" s="196"/>
      <c r="BZ1609" s="196"/>
      <c r="CA1609" s="196"/>
      <c r="CB1609" s="178"/>
      <c r="CC1609" s="178"/>
      <c r="CD1609" s="202"/>
      <c r="CE1609" s="202"/>
      <c r="CF1609" s="178"/>
      <c r="CG1609" s="196"/>
      <c r="CH1609" s="178"/>
      <c r="CI1609" s="178"/>
      <c r="CJ1609" s="178"/>
      <c r="CK1609" s="178"/>
      <c r="CL1609" s="178"/>
      <c r="CM1609" s="178"/>
      <c r="CN1609" s="178"/>
      <c r="CO1609" s="178"/>
      <c r="CP1609" s="178"/>
      <c r="CQ1609" s="178"/>
      <c r="CR1609" s="178"/>
      <c r="CS1609" s="178"/>
      <c r="CT1609" s="178"/>
      <c r="CU1609" s="178"/>
      <c r="CV1609" s="178"/>
      <c r="CW1609" s="178"/>
      <c r="CX1609" s="178"/>
      <c r="CY1609" s="178"/>
      <c r="CZ1609" s="178"/>
      <c r="DA1609" s="150"/>
    </row>
    <row r="1610" spans="53:105" x14ac:dyDescent="0.2">
      <c r="BA1610" s="518">
        <f t="shared" ca="1" si="88"/>
        <v>61</v>
      </c>
      <c r="BB1610" s="174">
        <f t="shared" ca="1" si="89"/>
        <v>1547</v>
      </c>
      <c r="BC1610" s="525" t="e">
        <f ca="1">MATCH(BD1610,OFFSET(Pinlist!$A$2,BC1609*(BA1610=BA1609),0,$BM$23,1),0)+BC1609*(BA1610=BA1609)</f>
        <v>#N/A</v>
      </c>
      <c r="BD1610" s="167">
        <f t="shared" ca="1" si="90"/>
        <v>0</v>
      </c>
      <c r="BE1610" s="191" t="e">
        <f ca="1">(OFFSET(Pinlist!$E$1,BC1610,0)-$BN$16)*$BN$19</f>
        <v>#N/A</v>
      </c>
      <c r="BF1610" s="192" t="e">
        <f ca="1">(OFFSET(Pinlist!$F$1,BC1610,0)-$BO$16)*$BO$19</f>
        <v>#N/A</v>
      </c>
      <c r="BG1610" s="1098" t="str">
        <f ca="1">IF(LEFT(BD1610,2)="RF",OFFSET(Pinlist!$D$1,Chart!BC1610,0)&amp;"_"&amp;OFFSET(Pinlist!$G$1,Chart!BC1610,0),"")</f>
        <v/>
      </c>
      <c r="BH1610" s="1098"/>
      <c r="BI1610" s="178"/>
      <c r="BJ1610" s="178"/>
      <c r="BK1610" s="178"/>
      <c r="BL1610" s="178"/>
      <c r="BM1610" s="178"/>
      <c r="BN1610" s="178"/>
      <c r="BO1610" s="178"/>
      <c r="BP1610" s="178"/>
      <c r="BQ1610" s="196"/>
      <c r="BR1610" s="196"/>
      <c r="BS1610" s="196"/>
      <c r="BT1610" s="196"/>
      <c r="BU1610" s="196"/>
      <c r="BV1610" s="196"/>
      <c r="BW1610" s="178"/>
      <c r="BX1610" s="196"/>
      <c r="BY1610" s="196"/>
      <c r="BZ1610" s="196"/>
      <c r="CA1610" s="196"/>
      <c r="CB1610" s="178"/>
      <c r="CC1610" s="178"/>
      <c r="CD1610" s="202"/>
      <c r="CE1610" s="202"/>
      <c r="CF1610" s="178"/>
      <c r="CG1610" s="196"/>
      <c r="CH1610" s="178"/>
      <c r="CI1610" s="178"/>
      <c r="CJ1610" s="178"/>
      <c r="CK1610" s="178"/>
      <c r="CL1610" s="178"/>
      <c r="CM1610" s="178"/>
      <c r="CN1610" s="178"/>
      <c r="CO1610" s="178"/>
      <c r="CP1610" s="178"/>
      <c r="CQ1610" s="178"/>
      <c r="CR1610" s="178"/>
      <c r="CS1610" s="178"/>
      <c r="CT1610" s="178"/>
      <c r="CU1610" s="178"/>
      <c r="CV1610" s="178"/>
      <c r="CW1610" s="178"/>
      <c r="CX1610" s="178"/>
      <c r="CY1610" s="178"/>
      <c r="CZ1610" s="178"/>
      <c r="DA1610" s="150"/>
    </row>
    <row r="1611" spans="53:105" x14ac:dyDescent="0.2">
      <c r="BA1611" s="518">
        <f t="shared" ca="1" si="88"/>
        <v>61</v>
      </c>
      <c r="BB1611" s="174">
        <f t="shared" ca="1" si="89"/>
        <v>1548</v>
      </c>
      <c r="BC1611" s="525" t="e">
        <f ca="1">MATCH(BD1611,OFFSET(Pinlist!$A$2,BC1610*(BA1611=BA1610),0,$BM$23,1),0)+BC1610*(BA1611=BA1610)</f>
        <v>#N/A</v>
      </c>
      <c r="BD1611" s="167">
        <f t="shared" ca="1" si="90"/>
        <v>0</v>
      </c>
      <c r="BE1611" s="191" t="e">
        <f ca="1">(OFFSET(Pinlist!$E$1,BC1611,0)-$BN$16)*$BN$19</f>
        <v>#N/A</v>
      </c>
      <c r="BF1611" s="192" t="e">
        <f ca="1">(OFFSET(Pinlist!$F$1,BC1611,0)-$BO$16)*$BO$19</f>
        <v>#N/A</v>
      </c>
      <c r="BG1611" s="1098" t="str">
        <f ca="1">IF(LEFT(BD1611,2)="RF",OFFSET(Pinlist!$D$1,Chart!BC1611,0)&amp;"_"&amp;OFFSET(Pinlist!$G$1,Chart!BC1611,0),"")</f>
        <v/>
      </c>
      <c r="BH1611" s="1098"/>
      <c r="BI1611" s="178"/>
      <c r="BJ1611" s="178"/>
      <c r="BK1611" s="178"/>
      <c r="BL1611" s="178"/>
      <c r="BM1611" s="178"/>
      <c r="BN1611" s="178"/>
      <c r="BO1611" s="178"/>
      <c r="BP1611" s="178"/>
      <c r="BQ1611" s="196"/>
      <c r="BR1611" s="196"/>
      <c r="BS1611" s="196"/>
      <c r="BT1611" s="196"/>
      <c r="BU1611" s="196"/>
      <c r="BV1611" s="196"/>
      <c r="BW1611" s="178"/>
      <c r="BX1611" s="196"/>
      <c r="BY1611" s="196"/>
      <c r="BZ1611" s="196"/>
      <c r="CA1611" s="196"/>
      <c r="CB1611" s="178"/>
      <c r="CC1611" s="178"/>
      <c r="CD1611" s="202"/>
      <c r="CE1611" s="202"/>
      <c r="CF1611" s="178"/>
      <c r="CG1611" s="196"/>
      <c r="CH1611" s="178"/>
      <c r="CI1611" s="178"/>
      <c r="CJ1611" s="178"/>
      <c r="CK1611" s="178"/>
      <c r="CL1611" s="178"/>
      <c r="CM1611" s="178"/>
      <c r="CN1611" s="178"/>
      <c r="CO1611" s="178"/>
      <c r="CP1611" s="178"/>
      <c r="CQ1611" s="178"/>
      <c r="CR1611" s="178"/>
      <c r="CS1611" s="178"/>
      <c r="CT1611" s="178"/>
      <c r="CU1611" s="178"/>
      <c r="CV1611" s="178"/>
      <c r="CW1611" s="178"/>
      <c r="CX1611" s="178"/>
      <c r="CY1611" s="178"/>
      <c r="CZ1611" s="178"/>
      <c r="DA1611" s="150"/>
    </row>
    <row r="1612" spans="53:105" x14ac:dyDescent="0.2">
      <c r="BA1612" s="518">
        <f t="shared" ca="1" si="88"/>
        <v>61</v>
      </c>
      <c r="BB1612" s="174">
        <f t="shared" ca="1" si="89"/>
        <v>1549</v>
      </c>
      <c r="BC1612" s="525" t="e">
        <f ca="1">MATCH(BD1612,OFFSET(Pinlist!$A$2,BC1611*(BA1612=BA1611),0,$BM$23,1),0)+BC1611*(BA1612=BA1611)</f>
        <v>#N/A</v>
      </c>
      <c r="BD1612" s="167">
        <f t="shared" ca="1" si="90"/>
        <v>0</v>
      </c>
      <c r="BE1612" s="191" t="e">
        <f ca="1">(OFFSET(Pinlist!$E$1,BC1612,0)-$BN$16)*$BN$19</f>
        <v>#N/A</v>
      </c>
      <c r="BF1612" s="192" t="e">
        <f ca="1">(OFFSET(Pinlist!$F$1,BC1612,0)-$BO$16)*$BO$19</f>
        <v>#N/A</v>
      </c>
      <c r="BG1612" s="1098" t="str">
        <f ca="1">IF(LEFT(BD1612,2)="RF",OFFSET(Pinlist!$D$1,Chart!BC1612,0)&amp;"_"&amp;OFFSET(Pinlist!$G$1,Chart!BC1612,0),"")</f>
        <v/>
      </c>
      <c r="BH1612" s="1098"/>
      <c r="BI1612" s="178"/>
      <c r="BJ1612" s="178"/>
      <c r="BK1612" s="178"/>
      <c r="BL1612" s="178"/>
      <c r="BM1612" s="178"/>
      <c r="BN1612" s="178"/>
      <c r="BO1612" s="178"/>
      <c r="BP1612" s="178"/>
      <c r="BQ1612" s="196"/>
      <c r="BR1612" s="196"/>
      <c r="BS1612" s="196"/>
      <c r="BT1612" s="196"/>
      <c r="BU1612" s="196"/>
      <c r="BV1612" s="196"/>
      <c r="BW1612" s="178"/>
      <c r="BX1612" s="196"/>
      <c r="BY1612" s="196"/>
      <c r="BZ1612" s="196"/>
      <c r="CA1612" s="196"/>
      <c r="CB1612" s="178"/>
      <c r="CC1612" s="178"/>
      <c r="CD1612" s="202"/>
      <c r="CE1612" s="202"/>
      <c r="CF1612" s="178"/>
      <c r="CG1612" s="196"/>
      <c r="CH1612" s="178"/>
      <c r="CI1612" s="178"/>
      <c r="CJ1612" s="178"/>
      <c r="CK1612" s="178"/>
      <c r="CL1612" s="178"/>
      <c r="CM1612" s="178"/>
      <c r="CN1612" s="178"/>
      <c r="CO1612" s="178"/>
      <c r="CP1612" s="178"/>
      <c r="CQ1612" s="178"/>
      <c r="CR1612" s="178"/>
      <c r="CS1612" s="178"/>
      <c r="CT1612" s="178"/>
      <c r="CU1612" s="178"/>
      <c r="CV1612" s="178"/>
      <c r="CW1612" s="178"/>
      <c r="CX1612" s="178"/>
      <c r="CY1612" s="178"/>
      <c r="CZ1612" s="178"/>
      <c r="DA1612" s="150"/>
    </row>
    <row r="1613" spans="53:105" x14ac:dyDescent="0.2">
      <c r="BA1613" s="518">
        <f t="shared" ca="1" si="88"/>
        <v>61</v>
      </c>
      <c r="BB1613" s="174">
        <f t="shared" ca="1" si="89"/>
        <v>1550</v>
      </c>
      <c r="BC1613" s="525" t="e">
        <f ca="1">MATCH(BD1613,OFFSET(Pinlist!$A$2,BC1612*(BA1613=BA1612),0,$BM$23,1),0)+BC1612*(BA1613=BA1612)</f>
        <v>#N/A</v>
      </c>
      <c r="BD1613" s="167">
        <f t="shared" ca="1" si="90"/>
        <v>0</v>
      </c>
      <c r="BE1613" s="191" t="e">
        <f ca="1">(OFFSET(Pinlist!$E$1,BC1613,0)-$BN$16)*$BN$19</f>
        <v>#N/A</v>
      </c>
      <c r="BF1613" s="192" t="e">
        <f ca="1">(OFFSET(Pinlist!$F$1,BC1613,0)-$BO$16)*$BO$19</f>
        <v>#N/A</v>
      </c>
      <c r="BG1613" s="1098" t="str">
        <f ca="1">IF(LEFT(BD1613,2)="RF",OFFSET(Pinlist!$D$1,Chart!BC1613,0)&amp;"_"&amp;OFFSET(Pinlist!$G$1,Chart!BC1613,0),"")</f>
        <v/>
      </c>
      <c r="BH1613" s="1098"/>
      <c r="BI1613" s="178"/>
      <c r="BJ1613" s="178"/>
      <c r="BK1613" s="178"/>
      <c r="BL1613" s="178"/>
      <c r="BM1613" s="178"/>
      <c r="BN1613" s="178"/>
      <c r="BO1613" s="178"/>
      <c r="BP1613" s="178"/>
      <c r="BQ1613" s="196"/>
      <c r="BR1613" s="196"/>
      <c r="BS1613" s="196"/>
      <c r="BT1613" s="196"/>
      <c r="BU1613" s="196"/>
      <c r="BV1613" s="196"/>
      <c r="BW1613" s="178"/>
      <c r="BX1613" s="196"/>
      <c r="BY1613" s="196"/>
      <c r="BZ1613" s="196"/>
      <c r="CA1613" s="196"/>
      <c r="CB1613" s="178"/>
      <c r="CC1613" s="178"/>
      <c r="CD1613" s="202"/>
      <c r="CE1613" s="202"/>
      <c r="CF1613" s="178"/>
      <c r="CG1613" s="196"/>
      <c r="CH1613" s="178"/>
      <c r="CI1613" s="178"/>
      <c r="CJ1613" s="178"/>
      <c r="CK1613" s="178"/>
      <c r="CL1613" s="178"/>
      <c r="CM1613" s="178"/>
      <c r="CN1613" s="178"/>
      <c r="CO1613" s="178"/>
      <c r="CP1613" s="178"/>
      <c r="CQ1613" s="178"/>
      <c r="CR1613" s="178"/>
      <c r="CS1613" s="178"/>
      <c r="CT1613" s="178"/>
      <c r="CU1613" s="178"/>
      <c r="CV1613" s="178"/>
      <c r="CW1613" s="178"/>
      <c r="CX1613" s="178"/>
      <c r="CY1613" s="178"/>
      <c r="CZ1613" s="178"/>
      <c r="DA1613" s="150"/>
    </row>
    <row r="1614" spans="53:105" x14ac:dyDescent="0.2">
      <c r="BA1614" s="518">
        <f t="shared" ca="1" si="88"/>
        <v>61</v>
      </c>
      <c r="BB1614" s="174">
        <f t="shared" ca="1" si="89"/>
        <v>1551</v>
      </c>
      <c r="BC1614" s="525" t="e">
        <f ca="1">MATCH(BD1614,OFFSET(Pinlist!$A$2,BC1613*(BA1614=BA1613),0,$BM$23,1),0)+BC1613*(BA1614=BA1613)</f>
        <v>#N/A</v>
      </c>
      <c r="BD1614" s="167">
        <f t="shared" ca="1" si="90"/>
        <v>0</v>
      </c>
      <c r="BE1614" s="191" t="e">
        <f ca="1">(OFFSET(Pinlist!$E$1,BC1614,0)-$BN$16)*$BN$19</f>
        <v>#N/A</v>
      </c>
      <c r="BF1614" s="192" t="e">
        <f ca="1">(OFFSET(Pinlist!$F$1,BC1614,0)-$BO$16)*$BO$19</f>
        <v>#N/A</v>
      </c>
      <c r="BG1614" s="1098" t="str">
        <f ca="1">IF(LEFT(BD1614,2)="RF",OFFSET(Pinlist!$D$1,Chart!BC1614,0)&amp;"_"&amp;OFFSET(Pinlist!$G$1,Chart!BC1614,0),"")</f>
        <v/>
      </c>
      <c r="BH1614" s="1098"/>
      <c r="BI1614" s="178"/>
      <c r="BJ1614" s="178"/>
      <c r="BK1614" s="178"/>
      <c r="BL1614" s="178"/>
      <c r="BM1614" s="178"/>
      <c r="BN1614" s="178"/>
      <c r="BO1614" s="178"/>
      <c r="BP1614" s="178"/>
      <c r="BQ1614" s="196"/>
      <c r="BR1614" s="196"/>
      <c r="BS1614" s="196"/>
      <c r="BT1614" s="196"/>
      <c r="BU1614" s="196"/>
      <c r="BV1614" s="196"/>
      <c r="BW1614" s="178"/>
      <c r="BX1614" s="196"/>
      <c r="BY1614" s="196"/>
      <c r="BZ1614" s="196"/>
      <c r="CA1614" s="196"/>
      <c r="CB1614" s="178"/>
      <c r="CC1614" s="178"/>
      <c r="CD1614" s="202"/>
      <c r="CE1614" s="202"/>
      <c r="CF1614" s="178"/>
      <c r="CG1614" s="196"/>
      <c r="CH1614" s="178"/>
      <c r="CI1614" s="178"/>
      <c r="CJ1614" s="178"/>
      <c r="CK1614" s="178"/>
      <c r="CL1614" s="178"/>
      <c r="CM1614" s="178"/>
      <c r="CN1614" s="178"/>
      <c r="CO1614" s="178"/>
      <c r="CP1614" s="178"/>
      <c r="CQ1614" s="178"/>
      <c r="CR1614" s="178"/>
      <c r="CS1614" s="178"/>
      <c r="CT1614" s="178"/>
      <c r="CU1614" s="178"/>
      <c r="CV1614" s="178"/>
      <c r="CW1614" s="178"/>
      <c r="CX1614" s="178"/>
      <c r="CY1614" s="178"/>
      <c r="CZ1614" s="178"/>
      <c r="DA1614" s="150"/>
    </row>
    <row r="1615" spans="53:105" x14ac:dyDescent="0.2">
      <c r="BA1615" s="518">
        <f t="shared" ca="1" si="88"/>
        <v>61</v>
      </c>
      <c r="BB1615" s="174">
        <f t="shared" ca="1" si="89"/>
        <v>1552</v>
      </c>
      <c r="BC1615" s="525" t="e">
        <f ca="1">MATCH(BD1615,OFFSET(Pinlist!$A$2,BC1614*(BA1615=BA1614),0,$BM$23,1),0)+BC1614*(BA1615=BA1614)</f>
        <v>#N/A</v>
      </c>
      <c r="BD1615" s="167">
        <f t="shared" ca="1" si="90"/>
        <v>0</v>
      </c>
      <c r="BE1615" s="191" t="e">
        <f ca="1">(OFFSET(Pinlist!$E$1,BC1615,0)-$BN$16)*$BN$19</f>
        <v>#N/A</v>
      </c>
      <c r="BF1615" s="192" t="e">
        <f ca="1">(OFFSET(Pinlist!$F$1,BC1615,0)-$BO$16)*$BO$19</f>
        <v>#N/A</v>
      </c>
      <c r="BG1615" s="1098" t="str">
        <f ca="1">IF(LEFT(BD1615,2)="RF",OFFSET(Pinlist!$D$1,Chart!BC1615,0)&amp;"_"&amp;OFFSET(Pinlist!$G$1,Chart!BC1615,0),"")</f>
        <v/>
      </c>
      <c r="BH1615" s="1098"/>
      <c r="BI1615" s="178"/>
      <c r="BJ1615" s="178"/>
      <c r="BK1615" s="178"/>
      <c r="BL1615" s="178"/>
      <c r="BM1615" s="178"/>
      <c r="BN1615" s="178"/>
      <c r="BO1615" s="178"/>
      <c r="BP1615" s="178"/>
      <c r="BQ1615" s="196"/>
      <c r="BR1615" s="196"/>
      <c r="BS1615" s="196"/>
      <c r="BT1615" s="196"/>
      <c r="BU1615" s="196"/>
      <c r="BV1615" s="196"/>
      <c r="BW1615" s="178"/>
      <c r="BX1615" s="196"/>
      <c r="BY1615" s="196"/>
      <c r="BZ1615" s="196"/>
      <c r="CA1615" s="196"/>
      <c r="CB1615" s="178"/>
      <c r="CC1615" s="178"/>
      <c r="CD1615" s="202"/>
      <c r="CE1615" s="202"/>
      <c r="CF1615" s="178"/>
      <c r="CG1615" s="196"/>
      <c r="CH1615" s="178"/>
      <c r="CI1615" s="178"/>
      <c r="CJ1615" s="178"/>
      <c r="CK1615" s="178"/>
      <c r="CL1615" s="178"/>
      <c r="CM1615" s="178"/>
      <c r="CN1615" s="178"/>
      <c r="CO1615" s="178"/>
      <c r="CP1615" s="178"/>
      <c r="CQ1615" s="178"/>
      <c r="CR1615" s="178"/>
      <c r="CS1615" s="178"/>
      <c r="CT1615" s="178"/>
      <c r="CU1615" s="178"/>
      <c r="CV1615" s="178"/>
      <c r="CW1615" s="178"/>
      <c r="CX1615" s="178"/>
      <c r="CY1615" s="178"/>
      <c r="CZ1615" s="178"/>
      <c r="DA1615" s="150"/>
    </row>
    <row r="1616" spans="53:105" x14ac:dyDescent="0.2">
      <c r="BA1616" s="518">
        <f t="shared" ca="1" si="88"/>
        <v>61</v>
      </c>
      <c r="BB1616" s="174">
        <f t="shared" ca="1" si="89"/>
        <v>1553</v>
      </c>
      <c r="BC1616" s="525" t="e">
        <f ca="1">MATCH(BD1616,OFFSET(Pinlist!$A$2,BC1615*(BA1616=BA1615),0,$BM$23,1),0)+BC1615*(BA1616=BA1615)</f>
        <v>#N/A</v>
      </c>
      <c r="BD1616" s="167">
        <f t="shared" ca="1" si="90"/>
        <v>0</v>
      </c>
      <c r="BE1616" s="191" t="e">
        <f ca="1">(OFFSET(Pinlist!$E$1,BC1616,0)-$BN$16)*$BN$19</f>
        <v>#N/A</v>
      </c>
      <c r="BF1616" s="192" t="e">
        <f ca="1">(OFFSET(Pinlist!$F$1,BC1616,0)-$BO$16)*$BO$19</f>
        <v>#N/A</v>
      </c>
      <c r="BG1616" s="1098" t="str">
        <f ca="1">IF(LEFT(BD1616,2)="RF",OFFSET(Pinlist!$D$1,Chart!BC1616,0)&amp;"_"&amp;OFFSET(Pinlist!$G$1,Chart!BC1616,0),"")</f>
        <v/>
      </c>
      <c r="BH1616" s="1098"/>
      <c r="BI1616" s="178"/>
      <c r="BJ1616" s="178"/>
      <c r="BK1616" s="178"/>
      <c r="BL1616" s="178"/>
      <c r="BM1616" s="178"/>
      <c r="BN1616" s="178"/>
      <c r="BO1616" s="178"/>
      <c r="BP1616" s="178"/>
      <c r="BQ1616" s="196"/>
      <c r="BR1616" s="196"/>
      <c r="BS1616" s="196"/>
      <c r="BT1616" s="196"/>
      <c r="BU1616" s="196"/>
      <c r="BV1616" s="196"/>
      <c r="BW1616" s="178"/>
      <c r="BX1616" s="196"/>
      <c r="BY1616" s="196"/>
      <c r="BZ1616" s="196"/>
      <c r="CA1616" s="196"/>
      <c r="CB1616" s="178"/>
      <c r="CC1616" s="178"/>
      <c r="CD1616" s="202"/>
      <c r="CE1616" s="202"/>
      <c r="CF1616" s="178"/>
      <c r="CG1616" s="196"/>
      <c r="CH1616" s="178"/>
      <c r="CI1616" s="178"/>
      <c r="CJ1616" s="178"/>
      <c r="CK1616" s="178"/>
      <c r="CL1616" s="178"/>
      <c r="CM1616" s="178"/>
      <c r="CN1616" s="178"/>
      <c r="CO1616" s="178"/>
      <c r="CP1616" s="178"/>
      <c r="CQ1616" s="178"/>
      <c r="CR1616" s="178"/>
      <c r="CS1616" s="178"/>
      <c r="CT1616" s="178"/>
      <c r="CU1616" s="178"/>
      <c r="CV1616" s="178"/>
      <c r="CW1616" s="178"/>
      <c r="CX1616" s="178"/>
      <c r="CY1616" s="178"/>
      <c r="CZ1616" s="178"/>
      <c r="DA1616" s="150"/>
    </row>
    <row r="1617" spans="53:105" x14ac:dyDescent="0.2">
      <c r="BA1617" s="518">
        <f t="shared" ca="1" si="88"/>
        <v>61</v>
      </c>
      <c r="BB1617" s="174">
        <f t="shared" ca="1" si="89"/>
        <v>1554</v>
      </c>
      <c r="BC1617" s="525" t="e">
        <f ca="1">MATCH(BD1617,OFFSET(Pinlist!$A$2,BC1616*(BA1617=BA1616),0,$BM$23,1),0)+BC1616*(BA1617=BA1616)</f>
        <v>#N/A</v>
      </c>
      <c r="BD1617" s="167">
        <f t="shared" ca="1" si="90"/>
        <v>0</v>
      </c>
      <c r="BE1617" s="191" t="e">
        <f ca="1">(OFFSET(Pinlist!$E$1,BC1617,0)-$BN$16)*$BN$19</f>
        <v>#N/A</v>
      </c>
      <c r="BF1617" s="192" t="e">
        <f ca="1">(OFFSET(Pinlist!$F$1,BC1617,0)-$BO$16)*$BO$19</f>
        <v>#N/A</v>
      </c>
      <c r="BG1617" s="1098" t="str">
        <f ca="1">IF(LEFT(BD1617,2)="RF",OFFSET(Pinlist!$D$1,Chart!BC1617,0)&amp;"_"&amp;OFFSET(Pinlist!$G$1,Chart!BC1617,0),"")</f>
        <v/>
      </c>
      <c r="BH1617" s="1098"/>
      <c r="BI1617" s="178"/>
      <c r="BJ1617" s="178"/>
      <c r="BK1617" s="178"/>
      <c r="BL1617" s="178"/>
      <c r="BM1617" s="178"/>
      <c r="BN1617" s="178"/>
      <c r="BO1617" s="178"/>
      <c r="BP1617" s="178"/>
      <c r="BQ1617" s="196"/>
      <c r="BR1617" s="196"/>
      <c r="BS1617" s="196"/>
      <c r="BT1617" s="196"/>
      <c r="BU1617" s="196"/>
      <c r="BV1617" s="196"/>
      <c r="BW1617" s="178"/>
      <c r="BX1617" s="196"/>
      <c r="BY1617" s="196"/>
      <c r="BZ1617" s="196"/>
      <c r="CA1617" s="196"/>
      <c r="CB1617" s="178"/>
      <c r="CC1617" s="178"/>
      <c r="CD1617" s="202"/>
      <c r="CE1617" s="202"/>
      <c r="CF1617" s="178"/>
      <c r="CG1617" s="196"/>
      <c r="CH1617" s="178"/>
      <c r="CI1617" s="178"/>
      <c r="CJ1617" s="178"/>
      <c r="CK1617" s="178"/>
      <c r="CL1617" s="178"/>
      <c r="CM1617" s="178"/>
      <c r="CN1617" s="178"/>
      <c r="CO1617" s="178"/>
      <c r="CP1617" s="178"/>
      <c r="CQ1617" s="178"/>
      <c r="CR1617" s="178"/>
      <c r="CS1617" s="178"/>
      <c r="CT1617" s="178"/>
      <c r="CU1617" s="178"/>
      <c r="CV1617" s="178"/>
      <c r="CW1617" s="178"/>
      <c r="CX1617" s="178"/>
      <c r="CY1617" s="178"/>
      <c r="CZ1617" s="178"/>
      <c r="DA1617" s="150"/>
    </row>
    <row r="1618" spans="53:105" x14ac:dyDescent="0.2">
      <c r="BA1618" s="518">
        <f t="shared" ca="1" si="88"/>
        <v>61</v>
      </c>
      <c r="BB1618" s="174">
        <f t="shared" ca="1" si="89"/>
        <v>1555</v>
      </c>
      <c r="BC1618" s="525" t="e">
        <f ca="1">MATCH(BD1618,OFFSET(Pinlist!$A$2,BC1617*(BA1618=BA1617),0,$BM$23,1),0)+BC1617*(BA1618=BA1617)</f>
        <v>#N/A</v>
      </c>
      <c r="BD1618" s="167">
        <f t="shared" ca="1" si="90"/>
        <v>0</v>
      </c>
      <c r="BE1618" s="191" t="e">
        <f ca="1">(OFFSET(Pinlist!$E$1,BC1618,0)-$BN$16)*$BN$19</f>
        <v>#N/A</v>
      </c>
      <c r="BF1618" s="192" t="e">
        <f ca="1">(OFFSET(Pinlist!$F$1,BC1618,0)-$BO$16)*$BO$19</f>
        <v>#N/A</v>
      </c>
      <c r="BG1618" s="1098" t="str">
        <f ca="1">IF(LEFT(BD1618,2)="RF",OFFSET(Pinlist!$D$1,Chart!BC1618,0)&amp;"_"&amp;OFFSET(Pinlist!$G$1,Chart!BC1618,0),"")</f>
        <v/>
      </c>
      <c r="BH1618" s="1098"/>
      <c r="BI1618" s="178"/>
      <c r="BJ1618" s="178"/>
      <c r="BK1618" s="178"/>
      <c r="BL1618" s="178"/>
      <c r="BM1618" s="178"/>
      <c r="BN1618" s="178"/>
      <c r="BO1618" s="178"/>
      <c r="BP1618" s="178"/>
      <c r="BQ1618" s="196"/>
      <c r="BR1618" s="196"/>
      <c r="BS1618" s="196"/>
      <c r="BT1618" s="196"/>
      <c r="BU1618" s="196"/>
      <c r="BV1618" s="196"/>
      <c r="BW1618" s="178"/>
      <c r="BX1618" s="196"/>
      <c r="BY1618" s="196"/>
      <c r="BZ1618" s="196"/>
      <c r="CA1618" s="196"/>
      <c r="CB1618" s="178"/>
      <c r="CC1618" s="178"/>
      <c r="CD1618" s="202"/>
      <c r="CE1618" s="202"/>
      <c r="CF1618" s="178"/>
      <c r="CG1618" s="196"/>
      <c r="CH1618" s="178"/>
      <c r="CI1618" s="178"/>
      <c r="CJ1618" s="178"/>
      <c r="CK1618" s="178"/>
      <c r="CL1618" s="178"/>
      <c r="CM1618" s="178"/>
      <c r="CN1618" s="178"/>
      <c r="CO1618" s="178"/>
      <c r="CP1618" s="178"/>
      <c r="CQ1618" s="178"/>
      <c r="CR1618" s="178"/>
      <c r="CS1618" s="178"/>
      <c r="CT1618" s="178"/>
      <c r="CU1618" s="178"/>
      <c r="CV1618" s="178"/>
      <c r="CW1618" s="178"/>
      <c r="CX1618" s="178"/>
      <c r="CY1618" s="178"/>
      <c r="CZ1618" s="178"/>
      <c r="DA1618" s="150"/>
    </row>
    <row r="1619" spans="53:105" x14ac:dyDescent="0.2">
      <c r="BA1619" s="518">
        <f t="shared" ca="1" si="88"/>
        <v>61</v>
      </c>
      <c r="BB1619" s="174">
        <f t="shared" ca="1" si="89"/>
        <v>1556</v>
      </c>
      <c r="BC1619" s="525" t="e">
        <f ca="1">MATCH(BD1619,OFFSET(Pinlist!$A$2,BC1618*(BA1619=BA1618),0,$BM$23,1),0)+BC1618*(BA1619=BA1618)</f>
        <v>#N/A</v>
      </c>
      <c r="BD1619" s="167">
        <f t="shared" ca="1" si="90"/>
        <v>0</v>
      </c>
      <c r="BE1619" s="191" t="e">
        <f ca="1">(OFFSET(Pinlist!$E$1,BC1619,0)-$BN$16)*$BN$19</f>
        <v>#N/A</v>
      </c>
      <c r="BF1619" s="192" t="e">
        <f ca="1">(OFFSET(Pinlist!$F$1,BC1619,0)-$BO$16)*$BO$19</f>
        <v>#N/A</v>
      </c>
      <c r="BG1619" s="1098" t="str">
        <f ca="1">IF(LEFT(BD1619,2)="RF",OFFSET(Pinlist!$D$1,Chart!BC1619,0)&amp;"_"&amp;OFFSET(Pinlist!$G$1,Chart!BC1619,0),"")</f>
        <v/>
      </c>
      <c r="BH1619" s="1098"/>
      <c r="BI1619" s="178"/>
      <c r="BJ1619" s="178"/>
      <c r="BK1619" s="178"/>
      <c r="BL1619" s="178"/>
      <c r="BM1619" s="178"/>
      <c r="BN1619" s="178"/>
      <c r="BO1619" s="178"/>
      <c r="BP1619" s="178"/>
      <c r="BQ1619" s="196"/>
      <c r="BR1619" s="196"/>
      <c r="BS1619" s="196"/>
      <c r="BT1619" s="196"/>
      <c r="BU1619" s="196"/>
      <c r="BV1619" s="196"/>
      <c r="BW1619" s="178"/>
      <c r="BX1619" s="196"/>
      <c r="BY1619" s="196"/>
      <c r="BZ1619" s="196"/>
      <c r="CA1619" s="196"/>
      <c r="CB1619" s="178"/>
      <c r="CC1619" s="178"/>
      <c r="CD1619" s="202"/>
      <c r="CE1619" s="202"/>
      <c r="CF1619" s="178"/>
      <c r="CG1619" s="196"/>
      <c r="CH1619" s="178"/>
      <c r="CI1619" s="178"/>
      <c r="CJ1619" s="178"/>
      <c r="CK1619" s="178"/>
      <c r="CL1619" s="178"/>
      <c r="CM1619" s="178"/>
      <c r="CN1619" s="178"/>
      <c r="CO1619" s="178"/>
      <c r="CP1619" s="178"/>
      <c r="CQ1619" s="178"/>
      <c r="CR1619" s="178"/>
      <c r="CS1619" s="178"/>
      <c r="CT1619" s="178"/>
      <c r="CU1619" s="178"/>
      <c r="CV1619" s="178"/>
      <c r="CW1619" s="178"/>
      <c r="CX1619" s="178"/>
      <c r="CY1619" s="178"/>
      <c r="CZ1619" s="178"/>
      <c r="DA1619" s="150"/>
    </row>
    <row r="1620" spans="53:105" x14ac:dyDescent="0.2">
      <c r="BA1620" s="518">
        <f t="shared" ca="1" si="88"/>
        <v>61</v>
      </c>
      <c r="BB1620" s="174">
        <f t="shared" ca="1" si="89"/>
        <v>1557</v>
      </c>
      <c r="BC1620" s="525" t="e">
        <f ca="1">MATCH(BD1620,OFFSET(Pinlist!$A$2,BC1619*(BA1620=BA1619),0,$BM$23,1),0)+BC1619*(BA1620=BA1619)</f>
        <v>#N/A</v>
      </c>
      <c r="BD1620" s="167">
        <f t="shared" ca="1" si="90"/>
        <v>0</v>
      </c>
      <c r="BE1620" s="191" t="e">
        <f ca="1">(OFFSET(Pinlist!$E$1,BC1620,0)-$BN$16)*$BN$19</f>
        <v>#N/A</v>
      </c>
      <c r="BF1620" s="192" t="e">
        <f ca="1">(OFFSET(Pinlist!$F$1,BC1620,0)-$BO$16)*$BO$19</f>
        <v>#N/A</v>
      </c>
      <c r="BG1620" s="1098" t="str">
        <f ca="1">IF(LEFT(BD1620,2)="RF",OFFSET(Pinlist!$D$1,Chart!BC1620,0)&amp;"_"&amp;OFFSET(Pinlist!$G$1,Chart!BC1620,0),"")</f>
        <v/>
      </c>
      <c r="BH1620" s="1098"/>
      <c r="BI1620" s="178"/>
      <c r="BJ1620" s="178"/>
      <c r="BK1620" s="178"/>
      <c r="BL1620" s="178"/>
      <c r="BM1620" s="178"/>
      <c r="BN1620" s="178"/>
      <c r="BO1620" s="178"/>
      <c r="BP1620" s="178"/>
      <c r="BQ1620" s="196"/>
      <c r="BR1620" s="196"/>
      <c r="BS1620" s="196"/>
      <c r="BT1620" s="196"/>
      <c r="BU1620" s="196"/>
      <c r="BV1620" s="196"/>
      <c r="BW1620" s="178"/>
      <c r="BX1620" s="196"/>
      <c r="BY1620" s="196"/>
      <c r="BZ1620" s="196"/>
      <c r="CA1620" s="196"/>
      <c r="CB1620" s="178"/>
      <c r="CC1620" s="178"/>
      <c r="CD1620" s="202"/>
      <c r="CE1620" s="202"/>
      <c r="CF1620" s="178"/>
      <c r="CG1620" s="196"/>
      <c r="CH1620" s="178"/>
      <c r="CI1620" s="178"/>
      <c r="CJ1620" s="178"/>
      <c r="CK1620" s="178"/>
      <c r="CL1620" s="178"/>
      <c r="CM1620" s="178"/>
      <c r="CN1620" s="178"/>
      <c r="CO1620" s="178"/>
      <c r="CP1620" s="178"/>
      <c r="CQ1620" s="178"/>
      <c r="CR1620" s="178"/>
      <c r="CS1620" s="178"/>
      <c r="CT1620" s="178"/>
      <c r="CU1620" s="178"/>
      <c r="CV1620" s="178"/>
      <c r="CW1620" s="178"/>
      <c r="CX1620" s="178"/>
      <c r="CY1620" s="178"/>
      <c r="CZ1620" s="178"/>
      <c r="DA1620" s="150"/>
    </row>
    <row r="1621" spans="53:105" x14ac:dyDescent="0.2">
      <c r="BA1621" s="518">
        <f t="shared" ca="1" si="88"/>
        <v>61</v>
      </c>
      <c r="BB1621" s="174">
        <f t="shared" ca="1" si="89"/>
        <v>1558</v>
      </c>
      <c r="BC1621" s="525" t="e">
        <f ca="1">MATCH(BD1621,OFFSET(Pinlist!$A$2,BC1620*(BA1621=BA1620),0,$BM$23,1),0)+BC1620*(BA1621=BA1620)</f>
        <v>#N/A</v>
      </c>
      <c r="BD1621" s="167">
        <f t="shared" ca="1" si="90"/>
        <v>0</v>
      </c>
      <c r="BE1621" s="191" t="e">
        <f ca="1">(OFFSET(Pinlist!$E$1,BC1621,0)-$BN$16)*$BN$19</f>
        <v>#N/A</v>
      </c>
      <c r="BF1621" s="192" t="e">
        <f ca="1">(OFFSET(Pinlist!$F$1,BC1621,0)-$BO$16)*$BO$19</f>
        <v>#N/A</v>
      </c>
      <c r="BG1621" s="1098" t="str">
        <f ca="1">IF(LEFT(BD1621,2)="RF",OFFSET(Pinlist!$D$1,Chart!BC1621,0)&amp;"_"&amp;OFFSET(Pinlist!$G$1,Chart!BC1621,0),"")</f>
        <v/>
      </c>
      <c r="BH1621" s="1098"/>
      <c r="BI1621" s="178"/>
      <c r="BJ1621" s="178"/>
      <c r="BK1621" s="178"/>
      <c r="BL1621" s="178"/>
      <c r="BM1621" s="178"/>
      <c r="BN1621" s="178"/>
      <c r="BO1621" s="178"/>
      <c r="BP1621" s="178"/>
      <c r="BQ1621" s="196"/>
      <c r="BR1621" s="196"/>
      <c r="BS1621" s="196"/>
      <c r="BT1621" s="196"/>
      <c r="BU1621" s="196"/>
      <c r="BV1621" s="196"/>
      <c r="BW1621" s="178"/>
      <c r="BX1621" s="196"/>
      <c r="BY1621" s="196"/>
      <c r="BZ1621" s="196"/>
      <c r="CA1621" s="196"/>
      <c r="CB1621" s="178"/>
      <c r="CC1621" s="178"/>
      <c r="CD1621" s="202"/>
      <c r="CE1621" s="202"/>
      <c r="CF1621" s="178"/>
      <c r="CG1621" s="196"/>
      <c r="CH1621" s="178"/>
      <c r="CI1621" s="178"/>
      <c r="CJ1621" s="178"/>
      <c r="CK1621" s="178"/>
      <c r="CL1621" s="178"/>
      <c r="CM1621" s="178"/>
      <c r="CN1621" s="178"/>
      <c r="CO1621" s="178"/>
      <c r="CP1621" s="178"/>
      <c r="CQ1621" s="178"/>
      <c r="CR1621" s="178"/>
      <c r="CS1621" s="178"/>
      <c r="CT1621" s="178"/>
      <c r="CU1621" s="178"/>
      <c r="CV1621" s="178"/>
      <c r="CW1621" s="178"/>
      <c r="CX1621" s="178"/>
      <c r="CY1621" s="178"/>
      <c r="CZ1621" s="178"/>
      <c r="DA1621" s="150"/>
    </row>
    <row r="1622" spans="53:105" x14ac:dyDescent="0.2">
      <c r="BA1622" s="518">
        <f t="shared" ca="1" si="88"/>
        <v>61</v>
      </c>
      <c r="BB1622" s="174">
        <f t="shared" ca="1" si="89"/>
        <v>1559</v>
      </c>
      <c r="BC1622" s="525" t="e">
        <f ca="1">MATCH(BD1622,OFFSET(Pinlist!$A$2,BC1621*(BA1622=BA1621),0,$BM$23,1),0)+BC1621*(BA1622=BA1621)</f>
        <v>#N/A</v>
      </c>
      <c r="BD1622" s="167">
        <f t="shared" ca="1" si="90"/>
        <v>0</v>
      </c>
      <c r="BE1622" s="191" t="e">
        <f ca="1">(OFFSET(Pinlist!$E$1,BC1622,0)-$BN$16)*$BN$19</f>
        <v>#N/A</v>
      </c>
      <c r="BF1622" s="192" t="e">
        <f ca="1">(OFFSET(Pinlist!$F$1,BC1622,0)-$BO$16)*$BO$19</f>
        <v>#N/A</v>
      </c>
      <c r="BG1622" s="1098" t="str">
        <f ca="1">IF(LEFT(BD1622,2)="RF",OFFSET(Pinlist!$D$1,Chart!BC1622,0)&amp;"_"&amp;OFFSET(Pinlist!$G$1,Chart!BC1622,0),"")</f>
        <v/>
      </c>
      <c r="BH1622" s="1098"/>
      <c r="BI1622" s="178"/>
      <c r="BJ1622" s="178"/>
      <c r="BK1622" s="178"/>
      <c r="BL1622" s="178"/>
      <c r="BM1622" s="178"/>
      <c r="BN1622" s="178"/>
      <c r="BO1622" s="178"/>
      <c r="BP1622" s="178"/>
      <c r="BQ1622" s="196"/>
      <c r="BR1622" s="196"/>
      <c r="BS1622" s="196"/>
      <c r="BT1622" s="196"/>
      <c r="BU1622" s="196"/>
      <c r="BV1622" s="196"/>
      <c r="BW1622" s="178"/>
      <c r="BX1622" s="196"/>
      <c r="BY1622" s="196"/>
      <c r="BZ1622" s="196"/>
      <c r="CA1622" s="196"/>
      <c r="CB1622" s="178"/>
      <c r="CC1622" s="178"/>
      <c r="CD1622" s="202"/>
      <c r="CE1622" s="202"/>
      <c r="CF1622" s="178"/>
      <c r="CG1622" s="196"/>
      <c r="CH1622" s="178"/>
      <c r="CI1622" s="178"/>
      <c r="CJ1622" s="178"/>
      <c r="CK1622" s="178"/>
      <c r="CL1622" s="178"/>
      <c r="CM1622" s="178"/>
      <c r="CN1622" s="178"/>
      <c r="CO1622" s="178"/>
      <c r="CP1622" s="178"/>
      <c r="CQ1622" s="178"/>
      <c r="CR1622" s="178"/>
      <c r="CS1622" s="178"/>
      <c r="CT1622" s="178"/>
      <c r="CU1622" s="178"/>
      <c r="CV1622" s="178"/>
      <c r="CW1622" s="178"/>
      <c r="CX1622" s="178"/>
      <c r="CY1622" s="178"/>
      <c r="CZ1622" s="178"/>
      <c r="DA1622" s="150"/>
    </row>
    <row r="1623" spans="53:105" x14ac:dyDescent="0.2">
      <c r="BA1623" s="518">
        <f t="shared" ca="1" si="88"/>
        <v>61</v>
      </c>
      <c r="BB1623" s="174">
        <f t="shared" ca="1" si="89"/>
        <v>1560</v>
      </c>
      <c r="BC1623" s="525" t="e">
        <f ca="1">MATCH(BD1623,OFFSET(Pinlist!$A$2,BC1622*(BA1623=BA1622),0,$BM$23,1),0)+BC1622*(BA1623=BA1622)</f>
        <v>#N/A</v>
      </c>
      <c r="BD1623" s="167">
        <f t="shared" ca="1" si="90"/>
        <v>0</v>
      </c>
      <c r="BE1623" s="191" t="e">
        <f ca="1">(OFFSET(Pinlist!$E$1,BC1623,0)-$BN$16)*$BN$19</f>
        <v>#N/A</v>
      </c>
      <c r="BF1623" s="192" t="e">
        <f ca="1">(OFFSET(Pinlist!$F$1,BC1623,0)-$BO$16)*$BO$19</f>
        <v>#N/A</v>
      </c>
      <c r="BG1623" s="1098" t="str">
        <f ca="1">IF(LEFT(BD1623,2)="RF",OFFSET(Pinlist!$D$1,Chart!BC1623,0)&amp;"_"&amp;OFFSET(Pinlist!$G$1,Chart!BC1623,0),"")</f>
        <v/>
      </c>
      <c r="BH1623" s="1098"/>
      <c r="BI1623" s="178"/>
      <c r="BJ1623" s="178"/>
      <c r="BK1623" s="178"/>
      <c r="BL1623" s="178"/>
      <c r="BM1623" s="178"/>
      <c r="BN1623" s="178"/>
      <c r="BO1623" s="178"/>
      <c r="BP1623" s="178"/>
      <c r="BQ1623" s="196"/>
      <c r="BR1623" s="196"/>
      <c r="BS1623" s="196"/>
      <c r="BT1623" s="196"/>
      <c r="BU1623" s="196"/>
      <c r="BV1623" s="196"/>
      <c r="BW1623" s="178"/>
      <c r="BX1623" s="196"/>
      <c r="BY1623" s="196"/>
      <c r="BZ1623" s="196"/>
      <c r="CA1623" s="196"/>
      <c r="CB1623" s="178"/>
      <c r="CC1623" s="178"/>
      <c r="CD1623" s="202"/>
      <c r="CE1623" s="202"/>
      <c r="CF1623" s="178"/>
      <c r="CG1623" s="196"/>
      <c r="CH1623" s="178"/>
      <c r="CI1623" s="178"/>
      <c r="CJ1623" s="178"/>
      <c r="CK1623" s="178"/>
      <c r="CL1623" s="178"/>
      <c r="CM1623" s="178"/>
      <c r="CN1623" s="178"/>
      <c r="CO1623" s="178"/>
      <c r="CP1623" s="178"/>
      <c r="CQ1623" s="178"/>
      <c r="CR1623" s="178"/>
      <c r="CS1623" s="178"/>
      <c r="CT1623" s="178"/>
      <c r="CU1623" s="178"/>
      <c r="CV1623" s="178"/>
      <c r="CW1623" s="178"/>
      <c r="CX1623" s="178"/>
      <c r="CY1623" s="178"/>
      <c r="CZ1623" s="178"/>
      <c r="DA1623" s="150"/>
    </row>
    <row r="1624" spans="53:105" x14ac:dyDescent="0.2">
      <c r="BA1624" s="518">
        <f t="shared" ca="1" si="88"/>
        <v>61</v>
      </c>
      <c r="BB1624" s="174">
        <f t="shared" ca="1" si="89"/>
        <v>1561</v>
      </c>
      <c r="BC1624" s="525" t="e">
        <f ca="1">MATCH(BD1624,OFFSET(Pinlist!$A$2,BC1623*(BA1624=BA1623),0,$BM$23,1),0)+BC1623*(BA1624=BA1623)</f>
        <v>#N/A</v>
      </c>
      <c r="BD1624" s="167">
        <f t="shared" ca="1" si="90"/>
        <v>0</v>
      </c>
      <c r="BE1624" s="191" t="e">
        <f ca="1">(OFFSET(Pinlist!$E$1,BC1624,0)-$BN$16)*$BN$19</f>
        <v>#N/A</v>
      </c>
      <c r="BF1624" s="192" t="e">
        <f ca="1">(OFFSET(Pinlist!$F$1,BC1624,0)-$BO$16)*$BO$19</f>
        <v>#N/A</v>
      </c>
      <c r="BG1624" s="1098" t="str">
        <f ca="1">IF(LEFT(BD1624,2)="RF",OFFSET(Pinlist!$D$1,Chart!BC1624,0)&amp;"_"&amp;OFFSET(Pinlist!$G$1,Chart!BC1624,0),"")</f>
        <v/>
      </c>
      <c r="BH1624" s="1098"/>
      <c r="BI1624" s="178"/>
      <c r="BJ1624" s="178"/>
      <c r="BK1624" s="178"/>
      <c r="BL1624" s="178"/>
      <c r="BM1624" s="178"/>
      <c r="BN1624" s="178"/>
      <c r="BO1624" s="178"/>
      <c r="BP1624" s="178"/>
      <c r="BQ1624" s="196"/>
      <c r="BR1624" s="196"/>
      <c r="BS1624" s="196"/>
      <c r="BT1624" s="196"/>
      <c r="BU1624" s="196"/>
      <c r="BV1624" s="196"/>
      <c r="BW1624" s="178"/>
      <c r="BX1624" s="196"/>
      <c r="BY1624" s="196"/>
      <c r="BZ1624" s="196"/>
      <c r="CA1624" s="196"/>
      <c r="CB1624" s="178"/>
      <c r="CC1624" s="178"/>
      <c r="CD1624" s="202"/>
      <c r="CE1624" s="202"/>
      <c r="CF1624" s="178"/>
      <c r="CG1624" s="196"/>
      <c r="CH1624" s="178"/>
      <c r="CI1624" s="178"/>
      <c r="CJ1624" s="178"/>
      <c r="CK1624" s="178"/>
      <c r="CL1624" s="178"/>
      <c r="CM1624" s="178"/>
      <c r="CN1624" s="178"/>
      <c r="CO1624" s="178"/>
      <c r="CP1624" s="178"/>
      <c r="CQ1624" s="178"/>
      <c r="CR1624" s="178"/>
      <c r="CS1624" s="178"/>
      <c r="CT1624" s="178"/>
      <c r="CU1624" s="178"/>
      <c r="CV1624" s="178"/>
      <c r="CW1624" s="178"/>
      <c r="CX1624" s="178"/>
      <c r="CY1624" s="178"/>
      <c r="CZ1624" s="178"/>
      <c r="DA1624" s="150"/>
    </row>
    <row r="1625" spans="53:105" x14ac:dyDescent="0.2">
      <c r="BA1625" s="518">
        <f t="shared" ca="1" si="88"/>
        <v>61</v>
      </c>
      <c r="BB1625" s="174">
        <f t="shared" ca="1" si="89"/>
        <v>1562</v>
      </c>
      <c r="BC1625" s="525" t="e">
        <f ca="1">MATCH(BD1625,OFFSET(Pinlist!$A$2,BC1624*(BA1625=BA1624),0,$BM$23,1),0)+BC1624*(BA1625=BA1624)</f>
        <v>#N/A</v>
      </c>
      <c r="BD1625" s="167">
        <f t="shared" ca="1" si="90"/>
        <v>0</v>
      </c>
      <c r="BE1625" s="191" t="e">
        <f ca="1">(OFFSET(Pinlist!$E$1,BC1625,0)-$BN$16)*$BN$19</f>
        <v>#N/A</v>
      </c>
      <c r="BF1625" s="192" t="e">
        <f ca="1">(OFFSET(Pinlist!$F$1,BC1625,0)-$BO$16)*$BO$19</f>
        <v>#N/A</v>
      </c>
      <c r="BG1625" s="1098" t="str">
        <f ca="1">IF(LEFT(BD1625,2)="RF",OFFSET(Pinlist!$D$1,Chart!BC1625,0)&amp;"_"&amp;OFFSET(Pinlist!$G$1,Chart!BC1625,0),"")</f>
        <v/>
      </c>
      <c r="BH1625" s="1098"/>
      <c r="BI1625" s="178"/>
      <c r="BJ1625" s="178"/>
      <c r="BK1625" s="178"/>
      <c r="BL1625" s="178"/>
      <c r="BM1625" s="178"/>
      <c r="BN1625" s="178"/>
      <c r="BO1625" s="178"/>
      <c r="BP1625" s="178"/>
      <c r="BQ1625" s="196"/>
      <c r="BR1625" s="196"/>
      <c r="BS1625" s="196"/>
      <c r="BT1625" s="196"/>
      <c r="BU1625" s="196"/>
      <c r="BV1625" s="196"/>
      <c r="BW1625" s="178"/>
      <c r="BX1625" s="196"/>
      <c r="BY1625" s="196"/>
      <c r="BZ1625" s="196"/>
      <c r="CA1625" s="196"/>
      <c r="CB1625" s="178"/>
      <c r="CC1625" s="178"/>
      <c r="CD1625" s="202"/>
      <c r="CE1625" s="202"/>
      <c r="CF1625" s="178"/>
      <c r="CG1625" s="196"/>
      <c r="CH1625" s="178"/>
      <c r="CI1625" s="178"/>
      <c r="CJ1625" s="178"/>
      <c r="CK1625" s="178"/>
      <c r="CL1625" s="178"/>
      <c r="CM1625" s="178"/>
      <c r="CN1625" s="178"/>
      <c r="CO1625" s="178"/>
      <c r="CP1625" s="178"/>
      <c r="CQ1625" s="178"/>
      <c r="CR1625" s="178"/>
      <c r="CS1625" s="178"/>
      <c r="CT1625" s="178"/>
      <c r="CU1625" s="178"/>
      <c r="CV1625" s="178"/>
      <c r="CW1625" s="178"/>
      <c r="CX1625" s="178"/>
      <c r="CY1625" s="178"/>
      <c r="CZ1625" s="178"/>
      <c r="DA1625" s="150"/>
    </row>
    <row r="1626" spans="53:105" x14ac:dyDescent="0.2">
      <c r="BA1626" s="518">
        <f t="shared" ca="1" si="88"/>
        <v>61</v>
      </c>
      <c r="BB1626" s="174">
        <f t="shared" ca="1" si="89"/>
        <v>1563</v>
      </c>
      <c r="BC1626" s="525" t="e">
        <f ca="1">MATCH(BD1626,OFFSET(Pinlist!$A$2,BC1625*(BA1626=BA1625),0,$BM$23,1),0)+BC1625*(BA1626=BA1625)</f>
        <v>#N/A</v>
      </c>
      <c r="BD1626" s="167">
        <f t="shared" ca="1" si="90"/>
        <v>0</v>
      </c>
      <c r="BE1626" s="191" t="e">
        <f ca="1">(OFFSET(Pinlist!$E$1,BC1626,0)-$BN$16)*$BN$19</f>
        <v>#N/A</v>
      </c>
      <c r="BF1626" s="192" t="e">
        <f ca="1">(OFFSET(Pinlist!$F$1,BC1626,0)-$BO$16)*$BO$19</f>
        <v>#N/A</v>
      </c>
      <c r="BG1626" s="1098" t="str">
        <f ca="1">IF(LEFT(BD1626,2)="RF",OFFSET(Pinlist!$D$1,Chart!BC1626,0)&amp;"_"&amp;OFFSET(Pinlist!$G$1,Chart!BC1626,0),"")</f>
        <v/>
      </c>
      <c r="BH1626" s="1098"/>
      <c r="BI1626" s="178"/>
      <c r="BJ1626" s="178"/>
      <c r="BK1626" s="178"/>
      <c r="BL1626" s="178"/>
      <c r="BM1626" s="178"/>
      <c r="BN1626" s="178"/>
      <c r="BO1626" s="178"/>
      <c r="BP1626" s="178"/>
      <c r="BQ1626" s="196"/>
      <c r="BR1626" s="196"/>
      <c r="BS1626" s="196"/>
      <c r="BT1626" s="196"/>
      <c r="BU1626" s="196"/>
      <c r="BV1626" s="196"/>
      <c r="BW1626" s="178"/>
      <c r="BX1626" s="196"/>
      <c r="BY1626" s="196"/>
      <c r="BZ1626" s="196"/>
      <c r="CA1626" s="196"/>
      <c r="CB1626" s="178"/>
      <c r="CC1626" s="178"/>
      <c r="CD1626" s="202"/>
      <c r="CE1626" s="202"/>
      <c r="CF1626" s="178"/>
      <c r="CG1626" s="196"/>
      <c r="CH1626" s="178"/>
      <c r="CI1626" s="178"/>
      <c r="CJ1626" s="178"/>
      <c r="CK1626" s="178"/>
      <c r="CL1626" s="178"/>
      <c r="CM1626" s="178"/>
      <c r="CN1626" s="178"/>
      <c r="CO1626" s="178"/>
      <c r="CP1626" s="178"/>
      <c r="CQ1626" s="178"/>
      <c r="CR1626" s="178"/>
      <c r="CS1626" s="178"/>
      <c r="CT1626" s="178"/>
      <c r="CU1626" s="178"/>
      <c r="CV1626" s="178"/>
      <c r="CW1626" s="178"/>
      <c r="CX1626" s="178"/>
      <c r="CY1626" s="178"/>
      <c r="CZ1626" s="178"/>
      <c r="DA1626" s="150"/>
    </row>
    <row r="1627" spans="53:105" x14ac:dyDescent="0.2">
      <c r="BA1627" s="518">
        <f t="shared" ca="1" si="88"/>
        <v>61</v>
      </c>
      <c r="BB1627" s="174">
        <f t="shared" ca="1" si="89"/>
        <v>1564</v>
      </c>
      <c r="BC1627" s="525" t="e">
        <f ca="1">MATCH(BD1627,OFFSET(Pinlist!$A$2,BC1626*(BA1627=BA1626),0,$BM$23,1),0)+BC1626*(BA1627=BA1626)</f>
        <v>#N/A</v>
      </c>
      <c r="BD1627" s="167">
        <f t="shared" ca="1" si="90"/>
        <v>0</v>
      </c>
      <c r="BE1627" s="191" t="e">
        <f ca="1">(OFFSET(Pinlist!$E$1,BC1627,0)-$BN$16)*$BN$19</f>
        <v>#N/A</v>
      </c>
      <c r="BF1627" s="192" t="e">
        <f ca="1">(OFFSET(Pinlist!$F$1,BC1627,0)-$BO$16)*$BO$19</f>
        <v>#N/A</v>
      </c>
      <c r="BG1627" s="1098" t="str">
        <f ca="1">IF(LEFT(BD1627,2)="RF",OFFSET(Pinlist!$D$1,Chart!BC1627,0)&amp;"_"&amp;OFFSET(Pinlist!$G$1,Chart!BC1627,0),"")</f>
        <v/>
      </c>
      <c r="BH1627" s="1098"/>
      <c r="BI1627" s="178"/>
      <c r="BJ1627" s="178"/>
      <c r="BK1627" s="178"/>
      <c r="BL1627" s="178"/>
      <c r="BM1627" s="178"/>
      <c r="BN1627" s="178"/>
      <c r="BO1627" s="178"/>
      <c r="BP1627" s="178"/>
      <c r="BQ1627" s="196"/>
      <c r="BR1627" s="196"/>
      <c r="BS1627" s="196"/>
      <c r="BT1627" s="196"/>
      <c r="BU1627" s="196"/>
      <c r="BV1627" s="196"/>
      <c r="BW1627" s="178"/>
      <c r="BX1627" s="196"/>
      <c r="BY1627" s="196"/>
      <c r="BZ1627" s="196"/>
      <c r="CA1627" s="196"/>
      <c r="CB1627" s="178"/>
      <c r="CC1627" s="178"/>
      <c r="CD1627" s="202"/>
      <c r="CE1627" s="202"/>
      <c r="CF1627" s="178"/>
      <c r="CG1627" s="196"/>
      <c r="CH1627" s="178"/>
      <c r="CI1627" s="178"/>
      <c r="CJ1627" s="178"/>
      <c r="CK1627" s="178"/>
      <c r="CL1627" s="178"/>
      <c r="CM1627" s="178"/>
      <c r="CN1627" s="178"/>
      <c r="CO1627" s="178"/>
      <c r="CP1627" s="178"/>
      <c r="CQ1627" s="178"/>
      <c r="CR1627" s="178"/>
      <c r="CS1627" s="178"/>
      <c r="CT1627" s="178"/>
      <c r="CU1627" s="178"/>
      <c r="CV1627" s="178"/>
      <c r="CW1627" s="178"/>
      <c r="CX1627" s="178"/>
      <c r="CY1627" s="178"/>
      <c r="CZ1627" s="178"/>
      <c r="DA1627" s="150"/>
    </row>
    <row r="1628" spans="53:105" x14ac:dyDescent="0.2">
      <c r="BA1628" s="518">
        <f t="shared" ca="1" si="88"/>
        <v>61</v>
      </c>
      <c r="BB1628" s="174">
        <f t="shared" ca="1" si="89"/>
        <v>1565</v>
      </c>
      <c r="BC1628" s="525" t="e">
        <f ca="1">MATCH(BD1628,OFFSET(Pinlist!$A$2,BC1627*(BA1628=BA1627),0,$BM$23,1),0)+BC1627*(BA1628=BA1627)</f>
        <v>#N/A</v>
      </c>
      <c r="BD1628" s="167">
        <f t="shared" ca="1" si="90"/>
        <v>0</v>
      </c>
      <c r="BE1628" s="191" t="e">
        <f ca="1">(OFFSET(Pinlist!$E$1,BC1628,0)-$BN$16)*$BN$19</f>
        <v>#N/A</v>
      </c>
      <c r="BF1628" s="192" t="e">
        <f ca="1">(OFFSET(Pinlist!$F$1,BC1628,0)-$BO$16)*$BO$19</f>
        <v>#N/A</v>
      </c>
      <c r="BG1628" s="1098" t="str">
        <f ca="1">IF(LEFT(BD1628,2)="RF",OFFSET(Pinlist!$D$1,Chart!BC1628,0)&amp;"_"&amp;OFFSET(Pinlist!$G$1,Chart!BC1628,0),"")</f>
        <v/>
      </c>
      <c r="BH1628" s="1098"/>
      <c r="BI1628" s="178"/>
      <c r="BJ1628" s="178"/>
      <c r="BK1628" s="178"/>
      <c r="BL1628" s="178"/>
      <c r="BM1628" s="178"/>
      <c r="BN1628" s="178"/>
      <c r="BO1628" s="178"/>
      <c r="BP1628" s="178"/>
      <c r="BQ1628" s="196"/>
      <c r="BR1628" s="196"/>
      <c r="BS1628" s="196"/>
      <c r="BT1628" s="196"/>
      <c r="BU1628" s="196"/>
      <c r="BV1628" s="196"/>
      <c r="BW1628" s="178"/>
      <c r="BX1628" s="196"/>
      <c r="BY1628" s="196"/>
      <c r="BZ1628" s="196"/>
      <c r="CA1628" s="196"/>
      <c r="CB1628" s="178"/>
      <c r="CC1628" s="178"/>
      <c r="CD1628" s="202"/>
      <c r="CE1628" s="202"/>
      <c r="CF1628" s="178"/>
      <c r="CG1628" s="196"/>
      <c r="CH1628" s="178"/>
      <c r="CI1628" s="178"/>
      <c r="CJ1628" s="178"/>
      <c r="CK1628" s="178"/>
      <c r="CL1628" s="178"/>
      <c r="CM1628" s="178"/>
      <c r="CN1628" s="178"/>
      <c r="CO1628" s="178"/>
      <c r="CP1628" s="178"/>
      <c r="CQ1628" s="178"/>
      <c r="CR1628" s="178"/>
      <c r="CS1628" s="178"/>
      <c r="CT1628" s="178"/>
      <c r="CU1628" s="178"/>
      <c r="CV1628" s="178"/>
      <c r="CW1628" s="178"/>
      <c r="CX1628" s="178"/>
      <c r="CY1628" s="178"/>
      <c r="CZ1628" s="178"/>
      <c r="DA1628" s="150"/>
    </row>
    <row r="1629" spans="53:105" x14ac:dyDescent="0.2">
      <c r="BA1629" s="518">
        <f t="shared" ca="1" si="88"/>
        <v>61</v>
      </c>
      <c r="BB1629" s="174">
        <f t="shared" ca="1" si="89"/>
        <v>1566</v>
      </c>
      <c r="BC1629" s="525" t="e">
        <f ca="1">MATCH(BD1629,OFFSET(Pinlist!$A$2,BC1628*(BA1629=BA1628),0,$BM$23,1),0)+BC1628*(BA1629=BA1628)</f>
        <v>#N/A</v>
      </c>
      <c r="BD1629" s="167">
        <f t="shared" ca="1" si="90"/>
        <v>0</v>
      </c>
      <c r="BE1629" s="191" t="e">
        <f ca="1">(OFFSET(Pinlist!$E$1,BC1629,0)-$BN$16)*$BN$19</f>
        <v>#N/A</v>
      </c>
      <c r="BF1629" s="192" t="e">
        <f ca="1">(OFFSET(Pinlist!$F$1,BC1629,0)-$BO$16)*$BO$19</f>
        <v>#N/A</v>
      </c>
      <c r="BG1629" s="1098" t="str">
        <f ca="1">IF(LEFT(BD1629,2)="RF",OFFSET(Pinlist!$D$1,Chart!BC1629,0)&amp;"_"&amp;OFFSET(Pinlist!$G$1,Chart!BC1629,0),"")</f>
        <v/>
      </c>
      <c r="BH1629" s="1098"/>
      <c r="BI1629" s="178"/>
      <c r="BJ1629" s="178"/>
      <c r="BK1629" s="178"/>
      <c r="BL1629" s="178"/>
      <c r="BM1629" s="178"/>
      <c r="BN1629" s="178"/>
      <c r="BO1629" s="178"/>
      <c r="BP1629" s="178"/>
      <c r="BQ1629" s="196"/>
      <c r="BR1629" s="196"/>
      <c r="BS1629" s="196"/>
      <c r="BT1629" s="196"/>
      <c r="BU1629" s="196"/>
      <c r="BV1629" s="196"/>
      <c r="BW1629" s="178"/>
      <c r="BX1629" s="196"/>
      <c r="BY1629" s="196"/>
      <c r="BZ1629" s="196"/>
      <c r="CA1629" s="196"/>
      <c r="CB1629" s="178"/>
      <c r="CC1629" s="178"/>
      <c r="CD1629" s="202"/>
      <c r="CE1629" s="202"/>
      <c r="CF1629" s="178"/>
      <c r="CG1629" s="196"/>
      <c r="CH1629" s="178"/>
      <c r="CI1629" s="178"/>
      <c r="CJ1629" s="178"/>
      <c r="CK1629" s="178"/>
      <c r="CL1629" s="178"/>
      <c r="CM1629" s="178"/>
      <c r="CN1629" s="178"/>
      <c r="CO1629" s="178"/>
      <c r="CP1629" s="178"/>
      <c r="CQ1629" s="178"/>
      <c r="CR1629" s="178"/>
      <c r="CS1629" s="178"/>
      <c r="CT1629" s="178"/>
      <c r="CU1629" s="178"/>
      <c r="CV1629" s="178"/>
      <c r="CW1629" s="178"/>
      <c r="CX1629" s="178"/>
      <c r="CY1629" s="178"/>
      <c r="CZ1629" s="178"/>
      <c r="DA1629" s="150"/>
    </row>
    <row r="1630" spans="53:105" x14ac:dyDescent="0.2">
      <c r="BA1630" s="518">
        <f t="shared" ca="1" si="88"/>
        <v>61</v>
      </c>
      <c r="BB1630" s="174">
        <f t="shared" ca="1" si="89"/>
        <v>1567</v>
      </c>
      <c r="BC1630" s="525" t="e">
        <f ca="1">MATCH(BD1630,OFFSET(Pinlist!$A$2,BC1629*(BA1630=BA1629),0,$BM$23,1),0)+BC1629*(BA1630=BA1629)</f>
        <v>#N/A</v>
      </c>
      <c r="BD1630" s="167">
        <f t="shared" ca="1" si="90"/>
        <v>0</v>
      </c>
      <c r="BE1630" s="191" t="e">
        <f ca="1">(OFFSET(Pinlist!$E$1,BC1630,0)-$BN$16)*$BN$19</f>
        <v>#N/A</v>
      </c>
      <c r="BF1630" s="192" t="e">
        <f ca="1">(OFFSET(Pinlist!$F$1,BC1630,0)-$BO$16)*$BO$19</f>
        <v>#N/A</v>
      </c>
      <c r="BG1630" s="1098" t="str">
        <f ca="1">IF(LEFT(BD1630,2)="RF",OFFSET(Pinlist!$D$1,Chart!BC1630,0)&amp;"_"&amp;OFFSET(Pinlist!$G$1,Chart!BC1630,0),"")</f>
        <v/>
      </c>
      <c r="BH1630" s="1098"/>
      <c r="BI1630" s="178"/>
      <c r="BJ1630" s="178"/>
      <c r="BK1630" s="178"/>
      <c r="BL1630" s="178"/>
      <c r="BM1630" s="178"/>
      <c r="BN1630" s="178"/>
      <c r="BO1630" s="178"/>
      <c r="BP1630" s="178"/>
      <c r="BQ1630" s="196"/>
      <c r="BR1630" s="196"/>
      <c r="BS1630" s="196"/>
      <c r="BT1630" s="196"/>
      <c r="BU1630" s="196"/>
      <c r="BV1630" s="196"/>
      <c r="BW1630" s="178"/>
      <c r="BX1630" s="196"/>
      <c r="BY1630" s="196"/>
      <c r="BZ1630" s="196"/>
      <c r="CA1630" s="196"/>
      <c r="CB1630" s="178"/>
      <c r="CC1630" s="178"/>
      <c r="CD1630" s="202"/>
      <c r="CE1630" s="202"/>
      <c r="CF1630" s="178"/>
      <c r="CG1630" s="196"/>
      <c r="CH1630" s="178"/>
      <c r="CI1630" s="178"/>
      <c r="CJ1630" s="178"/>
      <c r="CK1630" s="178"/>
      <c r="CL1630" s="178"/>
      <c r="CM1630" s="178"/>
      <c r="CN1630" s="178"/>
      <c r="CO1630" s="178"/>
      <c r="CP1630" s="178"/>
      <c r="CQ1630" s="178"/>
      <c r="CR1630" s="178"/>
      <c r="CS1630" s="178"/>
      <c r="CT1630" s="178"/>
      <c r="CU1630" s="178"/>
      <c r="CV1630" s="178"/>
      <c r="CW1630" s="178"/>
      <c r="CX1630" s="178"/>
      <c r="CY1630" s="178"/>
      <c r="CZ1630" s="178"/>
      <c r="DA1630" s="150"/>
    </row>
    <row r="1631" spans="53:105" x14ac:dyDescent="0.2">
      <c r="BA1631" s="518">
        <f t="shared" ca="1" si="88"/>
        <v>61</v>
      </c>
      <c r="BB1631" s="174">
        <f t="shared" ca="1" si="89"/>
        <v>1568</v>
      </c>
      <c r="BC1631" s="525" t="e">
        <f ca="1">MATCH(BD1631,OFFSET(Pinlist!$A$2,BC1630*(BA1631=BA1630),0,$BM$23,1),0)+BC1630*(BA1631=BA1630)</f>
        <v>#N/A</v>
      </c>
      <c r="BD1631" s="167">
        <f t="shared" ca="1" si="90"/>
        <v>0</v>
      </c>
      <c r="BE1631" s="191" t="e">
        <f ca="1">(OFFSET(Pinlist!$E$1,BC1631,0)-$BN$16)*$BN$19</f>
        <v>#N/A</v>
      </c>
      <c r="BF1631" s="192" t="e">
        <f ca="1">(OFFSET(Pinlist!$F$1,BC1631,0)-$BO$16)*$BO$19</f>
        <v>#N/A</v>
      </c>
      <c r="BG1631" s="1098" t="str">
        <f ca="1">IF(LEFT(BD1631,2)="RF",OFFSET(Pinlist!$D$1,Chart!BC1631,0)&amp;"_"&amp;OFFSET(Pinlist!$G$1,Chart!BC1631,0),"")</f>
        <v/>
      </c>
      <c r="BH1631" s="1098"/>
      <c r="BI1631" s="178"/>
      <c r="BJ1631" s="178"/>
      <c r="BK1631" s="178"/>
      <c r="BL1631" s="178"/>
      <c r="BM1631" s="178"/>
      <c r="BN1631" s="178"/>
      <c r="BO1631" s="178"/>
      <c r="BP1631" s="178"/>
      <c r="BQ1631" s="196"/>
      <c r="BR1631" s="196"/>
      <c r="BS1631" s="196"/>
      <c r="BT1631" s="196"/>
      <c r="BU1631" s="196"/>
      <c r="BV1631" s="196"/>
      <c r="BW1631" s="178"/>
      <c r="BX1631" s="196"/>
      <c r="BY1631" s="196"/>
      <c r="BZ1631" s="196"/>
      <c r="CA1631" s="196"/>
      <c r="CB1631" s="178"/>
      <c r="CC1631" s="178"/>
      <c r="CD1631" s="202"/>
      <c r="CE1631" s="202"/>
      <c r="CF1631" s="178"/>
      <c r="CG1631" s="196"/>
      <c r="CH1631" s="178"/>
      <c r="CI1631" s="178"/>
      <c r="CJ1631" s="178"/>
      <c r="CK1631" s="178"/>
      <c r="CL1631" s="178"/>
      <c r="CM1631" s="178"/>
      <c r="CN1631" s="178"/>
      <c r="CO1631" s="178"/>
      <c r="CP1631" s="178"/>
      <c r="CQ1631" s="178"/>
      <c r="CR1631" s="178"/>
      <c r="CS1631" s="178"/>
      <c r="CT1631" s="178"/>
      <c r="CU1631" s="178"/>
      <c r="CV1631" s="178"/>
      <c r="CW1631" s="178"/>
      <c r="CX1631" s="178"/>
      <c r="CY1631" s="178"/>
      <c r="CZ1631" s="178"/>
      <c r="DA1631" s="150"/>
    </row>
    <row r="1632" spans="53:105" x14ac:dyDescent="0.2">
      <c r="BA1632" s="518">
        <f t="shared" ca="1" si="88"/>
        <v>61</v>
      </c>
      <c r="BB1632" s="174">
        <f t="shared" ca="1" si="89"/>
        <v>1569</v>
      </c>
      <c r="BC1632" s="525" t="e">
        <f ca="1">MATCH(BD1632,OFFSET(Pinlist!$A$2,BC1631*(BA1632=BA1631),0,$BM$23,1),0)+BC1631*(BA1632=BA1631)</f>
        <v>#N/A</v>
      </c>
      <c r="BD1632" s="167">
        <f t="shared" ca="1" si="90"/>
        <v>0</v>
      </c>
      <c r="BE1632" s="191" t="e">
        <f ca="1">(OFFSET(Pinlist!$E$1,BC1632,0)-$BN$16)*$BN$19</f>
        <v>#N/A</v>
      </c>
      <c r="BF1632" s="192" t="e">
        <f ca="1">(OFFSET(Pinlist!$F$1,BC1632,0)-$BO$16)*$BO$19</f>
        <v>#N/A</v>
      </c>
      <c r="BG1632" s="1098" t="str">
        <f ca="1">IF(LEFT(BD1632,2)="RF",OFFSET(Pinlist!$D$1,Chart!BC1632,0)&amp;"_"&amp;OFFSET(Pinlist!$G$1,Chart!BC1632,0),"")</f>
        <v/>
      </c>
      <c r="BH1632" s="1098"/>
      <c r="BI1632" s="178"/>
      <c r="BJ1632" s="178"/>
      <c r="BK1632" s="178"/>
      <c r="BL1632" s="178"/>
      <c r="BM1632" s="178"/>
      <c r="BN1632" s="178"/>
      <c r="BO1632" s="178"/>
      <c r="BP1632" s="178"/>
      <c r="BQ1632" s="196"/>
      <c r="BR1632" s="196"/>
      <c r="BS1632" s="196"/>
      <c r="BT1632" s="196"/>
      <c r="BU1632" s="196"/>
      <c r="BV1632" s="196"/>
      <c r="BW1632" s="178"/>
      <c r="BX1632" s="196"/>
      <c r="BY1632" s="196"/>
      <c r="BZ1632" s="196"/>
      <c r="CA1632" s="196"/>
      <c r="CB1632" s="178"/>
      <c r="CC1632" s="178"/>
      <c r="CD1632" s="202"/>
      <c r="CE1632" s="202"/>
      <c r="CF1632" s="178"/>
      <c r="CG1632" s="196"/>
      <c r="CH1632" s="178"/>
      <c r="CI1632" s="178"/>
      <c r="CJ1632" s="178"/>
      <c r="CK1632" s="178"/>
      <c r="CL1632" s="178"/>
      <c r="CM1632" s="178"/>
      <c r="CN1632" s="178"/>
      <c r="CO1632" s="178"/>
      <c r="CP1632" s="178"/>
      <c r="CQ1632" s="178"/>
      <c r="CR1632" s="178"/>
      <c r="CS1632" s="178"/>
      <c r="CT1632" s="178"/>
      <c r="CU1632" s="178"/>
      <c r="CV1632" s="178"/>
      <c r="CW1632" s="178"/>
      <c r="CX1632" s="178"/>
      <c r="CY1632" s="178"/>
      <c r="CZ1632" s="178"/>
      <c r="DA1632" s="150"/>
    </row>
    <row r="1633" spans="53:105" x14ac:dyDescent="0.2">
      <c r="BA1633" s="518">
        <f t="shared" ca="1" si="88"/>
        <v>61</v>
      </c>
      <c r="BB1633" s="174">
        <f t="shared" ca="1" si="89"/>
        <v>1570</v>
      </c>
      <c r="BC1633" s="525" t="e">
        <f ca="1">MATCH(BD1633,OFFSET(Pinlist!$A$2,BC1632*(BA1633=BA1632),0,$BM$23,1),0)+BC1632*(BA1633=BA1632)</f>
        <v>#N/A</v>
      </c>
      <c r="BD1633" s="167">
        <f t="shared" ca="1" si="90"/>
        <v>0</v>
      </c>
      <c r="BE1633" s="191" t="e">
        <f ca="1">(OFFSET(Pinlist!$E$1,BC1633,0)-$BN$16)*$BN$19</f>
        <v>#N/A</v>
      </c>
      <c r="BF1633" s="192" t="e">
        <f ca="1">(OFFSET(Pinlist!$F$1,BC1633,0)-$BO$16)*$BO$19</f>
        <v>#N/A</v>
      </c>
      <c r="BG1633" s="1098" t="str">
        <f ca="1">IF(LEFT(BD1633,2)="RF",OFFSET(Pinlist!$D$1,Chart!BC1633,0)&amp;"_"&amp;OFFSET(Pinlist!$G$1,Chart!BC1633,0),"")</f>
        <v/>
      </c>
      <c r="BH1633" s="1098"/>
      <c r="BI1633" s="178"/>
      <c r="BJ1633" s="178"/>
      <c r="BK1633" s="178"/>
      <c r="BL1633" s="178"/>
      <c r="BM1633" s="178"/>
      <c r="BN1633" s="178"/>
      <c r="BO1633" s="178"/>
      <c r="BP1633" s="178"/>
      <c r="BQ1633" s="196"/>
      <c r="BR1633" s="196"/>
      <c r="BS1633" s="196"/>
      <c r="BT1633" s="196"/>
      <c r="BU1633" s="196"/>
      <c r="BV1633" s="196"/>
      <c r="BW1633" s="178"/>
      <c r="BX1633" s="196"/>
      <c r="BY1633" s="196"/>
      <c r="BZ1633" s="196"/>
      <c r="CA1633" s="196"/>
      <c r="CB1633" s="178"/>
      <c r="CC1633" s="178"/>
      <c r="CD1633" s="202"/>
      <c r="CE1633" s="202"/>
      <c r="CF1633" s="178"/>
      <c r="CG1633" s="196"/>
      <c r="CH1633" s="178"/>
      <c r="CI1633" s="178"/>
      <c r="CJ1633" s="178"/>
      <c r="CK1633" s="178"/>
      <c r="CL1633" s="178"/>
      <c r="CM1633" s="178"/>
      <c r="CN1633" s="178"/>
      <c r="CO1633" s="178"/>
      <c r="CP1633" s="178"/>
      <c r="CQ1633" s="178"/>
      <c r="CR1633" s="178"/>
      <c r="CS1633" s="178"/>
      <c r="CT1633" s="178"/>
      <c r="CU1633" s="178"/>
      <c r="CV1633" s="178"/>
      <c r="CW1633" s="178"/>
      <c r="CX1633" s="178"/>
      <c r="CY1633" s="178"/>
      <c r="CZ1633" s="178"/>
      <c r="DA1633" s="150"/>
    </row>
    <row r="1634" spans="53:105" x14ac:dyDescent="0.2">
      <c r="BA1634" s="518">
        <f t="shared" ca="1" si="88"/>
        <v>61</v>
      </c>
      <c r="BB1634" s="174">
        <f t="shared" ca="1" si="89"/>
        <v>1571</v>
      </c>
      <c r="BC1634" s="525" t="e">
        <f ca="1">MATCH(BD1634,OFFSET(Pinlist!$A$2,BC1633*(BA1634=BA1633),0,$BM$23,1),0)+BC1633*(BA1634=BA1633)</f>
        <v>#N/A</v>
      </c>
      <c r="BD1634" s="167">
        <f t="shared" ca="1" si="90"/>
        <v>0</v>
      </c>
      <c r="BE1634" s="191" t="e">
        <f ca="1">(OFFSET(Pinlist!$E$1,BC1634,0)-$BN$16)*$BN$19</f>
        <v>#N/A</v>
      </c>
      <c r="BF1634" s="192" t="e">
        <f ca="1">(OFFSET(Pinlist!$F$1,BC1634,0)-$BO$16)*$BO$19</f>
        <v>#N/A</v>
      </c>
      <c r="BG1634" s="1098" t="str">
        <f ca="1">IF(LEFT(BD1634,2)="RF",OFFSET(Pinlist!$D$1,Chart!BC1634,0)&amp;"_"&amp;OFFSET(Pinlist!$G$1,Chart!BC1634,0),"")</f>
        <v/>
      </c>
      <c r="BH1634" s="1098"/>
      <c r="BI1634" s="178"/>
      <c r="BJ1634" s="178"/>
      <c r="BK1634" s="178"/>
      <c r="BL1634" s="178"/>
      <c r="BM1634" s="178"/>
      <c r="BN1634" s="178"/>
      <c r="BO1634" s="178"/>
      <c r="BP1634" s="178"/>
      <c r="BQ1634" s="196"/>
      <c r="BR1634" s="196"/>
      <c r="BS1634" s="196"/>
      <c r="BT1634" s="196"/>
      <c r="BU1634" s="196"/>
      <c r="BV1634" s="196"/>
      <c r="BW1634" s="178"/>
      <c r="BX1634" s="196"/>
      <c r="BY1634" s="196"/>
      <c r="BZ1634" s="196"/>
      <c r="CA1634" s="196"/>
      <c r="CB1634" s="178"/>
      <c r="CC1634" s="178"/>
      <c r="CD1634" s="202"/>
      <c r="CE1634" s="202"/>
      <c r="CF1634" s="178"/>
      <c r="CG1634" s="196"/>
      <c r="CH1634" s="178"/>
      <c r="CI1634" s="178"/>
      <c r="CJ1634" s="178"/>
      <c r="CK1634" s="178"/>
      <c r="CL1634" s="178"/>
      <c r="CM1634" s="178"/>
      <c r="CN1634" s="178"/>
      <c r="CO1634" s="178"/>
      <c r="CP1634" s="178"/>
      <c r="CQ1634" s="178"/>
      <c r="CR1634" s="178"/>
      <c r="CS1634" s="178"/>
      <c r="CT1634" s="178"/>
      <c r="CU1634" s="178"/>
      <c r="CV1634" s="178"/>
      <c r="CW1634" s="178"/>
      <c r="CX1634" s="178"/>
      <c r="CY1634" s="178"/>
      <c r="CZ1634" s="178"/>
      <c r="DA1634" s="150"/>
    </row>
    <row r="1635" spans="53:105" x14ac:dyDescent="0.2">
      <c r="BA1635" s="518">
        <f t="shared" ca="1" si="88"/>
        <v>61</v>
      </c>
      <c r="BB1635" s="174">
        <f t="shared" ca="1" si="89"/>
        <v>1572</v>
      </c>
      <c r="BC1635" s="525" t="e">
        <f ca="1">MATCH(BD1635,OFFSET(Pinlist!$A$2,BC1634*(BA1635=BA1634),0,$BM$23,1),0)+BC1634*(BA1635=BA1634)</f>
        <v>#N/A</v>
      </c>
      <c r="BD1635" s="167">
        <f t="shared" ca="1" si="90"/>
        <v>0</v>
      </c>
      <c r="BE1635" s="191" t="e">
        <f ca="1">(OFFSET(Pinlist!$E$1,BC1635,0)-$BN$16)*$BN$19</f>
        <v>#N/A</v>
      </c>
      <c r="BF1635" s="192" t="e">
        <f ca="1">(OFFSET(Pinlist!$F$1,BC1635,0)-$BO$16)*$BO$19</f>
        <v>#N/A</v>
      </c>
      <c r="BG1635" s="1098" t="str">
        <f ca="1">IF(LEFT(BD1635,2)="RF",OFFSET(Pinlist!$D$1,Chart!BC1635,0)&amp;"_"&amp;OFFSET(Pinlist!$G$1,Chart!BC1635,0),"")</f>
        <v/>
      </c>
      <c r="BH1635" s="1098"/>
      <c r="BI1635" s="178"/>
      <c r="BJ1635" s="178"/>
      <c r="BK1635" s="178"/>
      <c r="BL1635" s="178"/>
      <c r="BM1635" s="178"/>
      <c r="BN1635" s="178"/>
      <c r="BO1635" s="178"/>
      <c r="BP1635" s="178"/>
      <c r="BQ1635" s="196"/>
      <c r="BR1635" s="196"/>
      <c r="BS1635" s="196"/>
      <c r="BT1635" s="196"/>
      <c r="BU1635" s="196"/>
      <c r="BV1635" s="196"/>
      <c r="BW1635" s="178"/>
      <c r="BX1635" s="196"/>
      <c r="BY1635" s="196"/>
      <c r="BZ1635" s="196"/>
      <c r="CA1635" s="196"/>
      <c r="CB1635" s="178"/>
      <c r="CC1635" s="178"/>
      <c r="CD1635" s="202"/>
      <c r="CE1635" s="202"/>
      <c r="CF1635" s="178"/>
      <c r="CG1635" s="196"/>
      <c r="CH1635" s="178"/>
      <c r="CI1635" s="178"/>
      <c r="CJ1635" s="178"/>
      <c r="CK1635" s="178"/>
      <c r="CL1635" s="178"/>
      <c r="CM1635" s="178"/>
      <c r="CN1635" s="178"/>
      <c r="CO1635" s="178"/>
      <c r="CP1635" s="178"/>
      <c r="CQ1635" s="178"/>
      <c r="CR1635" s="178"/>
      <c r="CS1635" s="178"/>
      <c r="CT1635" s="178"/>
      <c r="CU1635" s="178"/>
      <c r="CV1635" s="178"/>
      <c r="CW1635" s="178"/>
      <c r="CX1635" s="178"/>
      <c r="CY1635" s="178"/>
      <c r="CZ1635" s="178"/>
      <c r="DA1635" s="150"/>
    </row>
    <row r="1636" spans="53:105" x14ac:dyDescent="0.2">
      <c r="BA1636" s="518">
        <f t="shared" ca="1" si="88"/>
        <v>61</v>
      </c>
      <c r="BB1636" s="174">
        <f t="shared" ca="1" si="89"/>
        <v>1573</v>
      </c>
      <c r="BC1636" s="525" t="e">
        <f ca="1">MATCH(BD1636,OFFSET(Pinlist!$A$2,BC1635*(BA1636=BA1635),0,$BM$23,1),0)+BC1635*(BA1636=BA1635)</f>
        <v>#N/A</v>
      </c>
      <c r="BD1636" s="167">
        <f t="shared" ca="1" si="90"/>
        <v>0</v>
      </c>
      <c r="BE1636" s="191" t="e">
        <f ca="1">(OFFSET(Pinlist!$E$1,BC1636,0)-$BN$16)*$BN$19</f>
        <v>#N/A</v>
      </c>
      <c r="BF1636" s="192" t="e">
        <f ca="1">(OFFSET(Pinlist!$F$1,BC1636,0)-$BO$16)*$BO$19</f>
        <v>#N/A</v>
      </c>
      <c r="BG1636" s="1098" t="str">
        <f ca="1">IF(LEFT(BD1636,2)="RF",OFFSET(Pinlist!$D$1,Chart!BC1636,0)&amp;"_"&amp;OFFSET(Pinlist!$G$1,Chart!BC1636,0),"")</f>
        <v/>
      </c>
      <c r="BH1636" s="1098"/>
      <c r="BI1636" s="178"/>
      <c r="BJ1636" s="178"/>
      <c r="BK1636" s="178"/>
      <c r="BL1636" s="178"/>
      <c r="BM1636" s="178"/>
      <c r="BN1636" s="178"/>
      <c r="BO1636" s="178"/>
      <c r="BP1636" s="178"/>
      <c r="BQ1636" s="196"/>
      <c r="BR1636" s="196"/>
      <c r="BS1636" s="196"/>
      <c r="BT1636" s="196"/>
      <c r="BU1636" s="196"/>
      <c r="BV1636" s="196"/>
      <c r="BW1636" s="178"/>
      <c r="BX1636" s="196"/>
      <c r="BY1636" s="196"/>
      <c r="BZ1636" s="196"/>
      <c r="CA1636" s="196"/>
      <c r="CB1636" s="178"/>
      <c r="CC1636" s="178"/>
      <c r="CD1636" s="202"/>
      <c r="CE1636" s="202"/>
      <c r="CF1636" s="178"/>
      <c r="CG1636" s="196"/>
      <c r="CH1636" s="178"/>
      <c r="CI1636" s="178"/>
      <c r="CJ1636" s="178"/>
      <c r="CK1636" s="178"/>
      <c r="CL1636" s="178"/>
      <c r="CM1636" s="178"/>
      <c r="CN1636" s="178"/>
      <c r="CO1636" s="178"/>
      <c r="CP1636" s="178"/>
      <c r="CQ1636" s="178"/>
      <c r="CR1636" s="178"/>
      <c r="CS1636" s="178"/>
      <c r="CT1636" s="178"/>
      <c r="CU1636" s="178"/>
      <c r="CV1636" s="178"/>
      <c r="CW1636" s="178"/>
      <c r="CX1636" s="178"/>
      <c r="CY1636" s="178"/>
      <c r="CZ1636" s="178"/>
      <c r="DA1636" s="150"/>
    </row>
    <row r="1637" spans="53:105" x14ac:dyDescent="0.2">
      <c r="BA1637" s="518">
        <f t="shared" ca="1" si="88"/>
        <v>61</v>
      </c>
      <c r="BB1637" s="174">
        <f t="shared" ca="1" si="89"/>
        <v>1574</v>
      </c>
      <c r="BC1637" s="525" t="e">
        <f ca="1">MATCH(BD1637,OFFSET(Pinlist!$A$2,BC1636*(BA1637=BA1636),0,$BM$23,1),0)+BC1636*(BA1637=BA1636)</f>
        <v>#N/A</v>
      </c>
      <c r="BD1637" s="167">
        <f t="shared" ca="1" si="90"/>
        <v>0</v>
      </c>
      <c r="BE1637" s="191" t="e">
        <f ca="1">(OFFSET(Pinlist!$E$1,BC1637,0)-$BN$16)*$BN$19</f>
        <v>#N/A</v>
      </c>
      <c r="BF1637" s="192" t="e">
        <f ca="1">(OFFSET(Pinlist!$F$1,BC1637,0)-$BO$16)*$BO$19</f>
        <v>#N/A</v>
      </c>
      <c r="BG1637" s="1098" t="str">
        <f ca="1">IF(LEFT(BD1637,2)="RF",OFFSET(Pinlist!$D$1,Chart!BC1637,0)&amp;"_"&amp;OFFSET(Pinlist!$G$1,Chart!BC1637,0),"")</f>
        <v/>
      </c>
      <c r="BH1637" s="1098"/>
      <c r="BI1637" s="178"/>
      <c r="BJ1637" s="178"/>
      <c r="BK1637" s="178"/>
      <c r="BL1637" s="178"/>
      <c r="BM1637" s="178"/>
      <c r="BN1637" s="178"/>
      <c r="BO1637" s="178"/>
      <c r="BP1637" s="178"/>
      <c r="BQ1637" s="196"/>
      <c r="BR1637" s="196"/>
      <c r="BS1637" s="196"/>
      <c r="BT1637" s="196"/>
      <c r="BU1637" s="196"/>
      <c r="BV1637" s="196"/>
      <c r="BW1637" s="178"/>
      <c r="BX1637" s="196"/>
      <c r="BY1637" s="196"/>
      <c r="BZ1637" s="196"/>
      <c r="CA1637" s="196"/>
      <c r="CB1637" s="178"/>
      <c r="CC1637" s="178"/>
      <c r="CD1637" s="202"/>
      <c r="CE1637" s="202"/>
      <c r="CF1637" s="178"/>
      <c r="CG1637" s="196"/>
      <c r="CH1637" s="178"/>
      <c r="CI1637" s="178"/>
      <c r="CJ1637" s="178"/>
      <c r="CK1637" s="178"/>
      <c r="CL1637" s="178"/>
      <c r="CM1637" s="178"/>
      <c r="CN1637" s="178"/>
      <c r="CO1637" s="178"/>
      <c r="CP1637" s="178"/>
      <c r="CQ1637" s="178"/>
      <c r="CR1637" s="178"/>
      <c r="CS1637" s="178"/>
      <c r="CT1637" s="178"/>
      <c r="CU1637" s="178"/>
      <c r="CV1637" s="178"/>
      <c r="CW1637" s="178"/>
      <c r="CX1637" s="178"/>
      <c r="CY1637" s="178"/>
      <c r="CZ1637" s="178"/>
      <c r="DA1637" s="150"/>
    </row>
    <row r="1638" spans="53:105" x14ac:dyDescent="0.2">
      <c r="BA1638" s="518">
        <f t="shared" ca="1" si="88"/>
        <v>61</v>
      </c>
      <c r="BB1638" s="174">
        <f t="shared" ca="1" si="89"/>
        <v>1575</v>
      </c>
      <c r="BC1638" s="525" t="e">
        <f ca="1">MATCH(BD1638,OFFSET(Pinlist!$A$2,BC1637*(BA1638=BA1637),0,$BM$23,1),0)+BC1637*(BA1638=BA1637)</f>
        <v>#N/A</v>
      </c>
      <c r="BD1638" s="167">
        <f t="shared" ca="1" si="90"/>
        <v>0</v>
      </c>
      <c r="BE1638" s="191" t="e">
        <f ca="1">(OFFSET(Pinlist!$E$1,BC1638,0)-$BN$16)*$BN$19</f>
        <v>#N/A</v>
      </c>
      <c r="BF1638" s="192" t="e">
        <f ca="1">(OFFSET(Pinlist!$F$1,BC1638,0)-$BO$16)*$BO$19</f>
        <v>#N/A</v>
      </c>
      <c r="BG1638" s="1098" t="str">
        <f ca="1">IF(LEFT(BD1638,2)="RF",OFFSET(Pinlist!$D$1,Chart!BC1638,0)&amp;"_"&amp;OFFSET(Pinlist!$G$1,Chart!BC1638,0),"")</f>
        <v/>
      </c>
      <c r="BH1638" s="1098"/>
      <c r="BI1638" s="178"/>
      <c r="BJ1638" s="178"/>
      <c r="BK1638" s="178"/>
      <c r="BL1638" s="178"/>
      <c r="BM1638" s="178"/>
      <c r="BN1638" s="178"/>
      <c r="BO1638" s="178"/>
      <c r="BP1638" s="178"/>
      <c r="BQ1638" s="196"/>
      <c r="BR1638" s="196"/>
      <c r="BS1638" s="196"/>
      <c r="BT1638" s="196"/>
      <c r="BU1638" s="196"/>
      <c r="BV1638" s="196"/>
      <c r="BW1638" s="178"/>
      <c r="BX1638" s="196"/>
      <c r="BY1638" s="196"/>
      <c r="BZ1638" s="196"/>
      <c r="CA1638" s="196"/>
      <c r="CB1638" s="178"/>
      <c r="CC1638" s="178"/>
      <c r="CD1638" s="202"/>
      <c r="CE1638" s="202"/>
      <c r="CF1638" s="178"/>
      <c r="CG1638" s="196"/>
      <c r="CH1638" s="178"/>
      <c r="CI1638" s="178"/>
      <c r="CJ1638" s="178"/>
      <c r="CK1638" s="178"/>
      <c r="CL1638" s="178"/>
      <c r="CM1638" s="178"/>
      <c r="CN1638" s="178"/>
      <c r="CO1638" s="178"/>
      <c r="CP1638" s="178"/>
      <c r="CQ1638" s="178"/>
      <c r="CR1638" s="178"/>
      <c r="CS1638" s="178"/>
      <c r="CT1638" s="178"/>
      <c r="CU1638" s="178"/>
      <c r="CV1638" s="178"/>
      <c r="CW1638" s="178"/>
      <c r="CX1638" s="178"/>
      <c r="CY1638" s="178"/>
      <c r="CZ1638" s="178"/>
      <c r="DA1638" s="150"/>
    </row>
    <row r="1639" spans="53:105" x14ac:dyDescent="0.2">
      <c r="BA1639" s="518">
        <f t="shared" ca="1" si="88"/>
        <v>61</v>
      </c>
      <c r="BB1639" s="174">
        <f t="shared" ca="1" si="89"/>
        <v>1576</v>
      </c>
      <c r="BC1639" s="525" t="e">
        <f ca="1">MATCH(BD1639,OFFSET(Pinlist!$A$2,BC1638*(BA1639=BA1638),0,$BM$23,1),0)+BC1638*(BA1639=BA1638)</f>
        <v>#N/A</v>
      </c>
      <c r="BD1639" s="167">
        <f t="shared" ca="1" si="90"/>
        <v>0</v>
      </c>
      <c r="BE1639" s="191" t="e">
        <f ca="1">(OFFSET(Pinlist!$E$1,BC1639,0)-$BN$16)*$BN$19</f>
        <v>#N/A</v>
      </c>
      <c r="BF1639" s="192" t="e">
        <f ca="1">(OFFSET(Pinlist!$F$1,BC1639,0)-$BO$16)*$BO$19</f>
        <v>#N/A</v>
      </c>
      <c r="BG1639" s="1098" t="str">
        <f ca="1">IF(LEFT(BD1639,2)="RF",OFFSET(Pinlist!$D$1,Chart!BC1639,0)&amp;"_"&amp;OFFSET(Pinlist!$G$1,Chart!BC1639,0),"")</f>
        <v/>
      </c>
      <c r="BH1639" s="1098"/>
      <c r="BI1639" s="178"/>
      <c r="BJ1639" s="178"/>
      <c r="BK1639" s="178"/>
      <c r="BL1639" s="178"/>
      <c r="BM1639" s="178"/>
      <c r="BN1639" s="178"/>
      <c r="BO1639" s="178"/>
      <c r="BP1639" s="178"/>
      <c r="BQ1639" s="196"/>
      <c r="BR1639" s="196"/>
      <c r="BS1639" s="196"/>
      <c r="BT1639" s="196"/>
      <c r="BU1639" s="196"/>
      <c r="BV1639" s="196"/>
      <c r="BW1639" s="178"/>
      <c r="BX1639" s="196"/>
      <c r="BY1639" s="196"/>
      <c r="BZ1639" s="196"/>
      <c r="CA1639" s="196"/>
      <c r="CB1639" s="178"/>
      <c r="CC1639" s="178"/>
      <c r="CD1639" s="202"/>
      <c r="CE1639" s="202"/>
      <c r="CF1639" s="178"/>
      <c r="CG1639" s="196"/>
      <c r="CH1639" s="178"/>
      <c r="CI1639" s="178"/>
      <c r="CJ1639" s="178"/>
      <c r="CK1639" s="178"/>
      <c r="CL1639" s="178"/>
      <c r="CM1639" s="178"/>
      <c r="CN1639" s="178"/>
      <c r="CO1639" s="178"/>
      <c r="CP1639" s="178"/>
      <c r="CQ1639" s="178"/>
      <c r="CR1639" s="178"/>
      <c r="CS1639" s="178"/>
      <c r="CT1639" s="178"/>
      <c r="CU1639" s="178"/>
      <c r="CV1639" s="178"/>
      <c r="CW1639" s="178"/>
      <c r="CX1639" s="178"/>
      <c r="CY1639" s="178"/>
      <c r="CZ1639" s="178"/>
      <c r="DA1639" s="150"/>
    </row>
    <row r="1640" spans="53:105" x14ac:dyDescent="0.2">
      <c r="BA1640" s="518">
        <f t="shared" ca="1" si="88"/>
        <v>61</v>
      </c>
      <c r="BB1640" s="174">
        <f t="shared" ca="1" si="89"/>
        <v>1577</v>
      </c>
      <c r="BC1640" s="525" t="e">
        <f ca="1">MATCH(BD1640,OFFSET(Pinlist!$A$2,BC1639*(BA1640=BA1639),0,$BM$23,1),0)+BC1639*(BA1640=BA1639)</f>
        <v>#N/A</v>
      </c>
      <c r="BD1640" s="167">
        <f t="shared" ca="1" si="90"/>
        <v>0</v>
      </c>
      <c r="BE1640" s="191" t="e">
        <f ca="1">(OFFSET(Pinlist!$E$1,BC1640,0)-$BN$16)*$BN$19</f>
        <v>#N/A</v>
      </c>
      <c r="BF1640" s="192" t="e">
        <f ca="1">(OFFSET(Pinlist!$F$1,BC1640,0)-$BO$16)*$BO$19</f>
        <v>#N/A</v>
      </c>
      <c r="BG1640" s="1098" t="str">
        <f ca="1">IF(LEFT(BD1640,2)="RF",OFFSET(Pinlist!$D$1,Chart!BC1640,0)&amp;"_"&amp;OFFSET(Pinlist!$G$1,Chart!BC1640,0),"")</f>
        <v/>
      </c>
      <c r="BH1640" s="1098"/>
      <c r="BI1640" s="178"/>
      <c r="BJ1640" s="178"/>
      <c r="BK1640" s="178"/>
      <c r="BL1640" s="178"/>
      <c r="BM1640" s="178"/>
      <c r="BN1640" s="178"/>
      <c r="BO1640" s="178"/>
      <c r="BP1640" s="178"/>
      <c r="BQ1640" s="196"/>
      <c r="BR1640" s="196"/>
      <c r="BS1640" s="196"/>
      <c r="BT1640" s="196"/>
      <c r="BU1640" s="196"/>
      <c r="BV1640" s="196"/>
      <c r="BW1640" s="178"/>
      <c r="BX1640" s="196"/>
      <c r="BY1640" s="196"/>
      <c r="BZ1640" s="196"/>
      <c r="CA1640" s="196"/>
      <c r="CB1640" s="178"/>
      <c r="CC1640" s="178"/>
      <c r="CD1640" s="202"/>
      <c r="CE1640" s="202"/>
      <c r="CF1640" s="178"/>
      <c r="CG1640" s="196"/>
      <c r="CH1640" s="178"/>
      <c r="CI1640" s="178"/>
      <c r="CJ1640" s="178"/>
      <c r="CK1640" s="178"/>
      <c r="CL1640" s="178"/>
      <c r="CM1640" s="178"/>
      <c r="CN1640" s="178"/>
      <c r="CO1640" s="178"/>
      <c r="CP1640" s="178"/>
      <c r="CQ1640" s="178"/>
      <c r="CR1640" s="178"/>
      <c r="CS1640" s="178"/>
      <c r="CT1640" s="178"/>
      <c r="CU1640" s="178"/>
      <c r="CV1640" s="178"/>
      <c r="CW1640" s="178"/>
      <c r="CX1640" s="178"/>
      <c r="CY1640" s="178"/>
      <c r="CZ1640" s="178"/>
      <c r="DA1640" s="150"/>
    </row>
    <row r="1641" spans="53:105" x14ac:dyDescent="0.2">
      <c r="BA1641" s="518">
        <f t="shared" ca="1" si="88"/>
        <v>61</v>
      </c>
      <c r="BB1641" s="174">
        <f t="shared" ca="1" si="89"/>
        <v>1578</v>
      </c>
      <c r="BC1641" s="525" t="e">
        <f ca="1">MATCH(BD1641,OFFSET(Pinlist!$A$2,BC1640*(BA1641=BA1640),0,$BM$23,1),0)+BC1640*(BA1641=BA1640)</f>
        <v>#N/A</v>
      </c>
      <c r="BD1641" s="167">
        <f t="shared" ca="1" si="90"/>
        <v>0</v>
      </c>
      <c r="BE1641" s="191" t="e">
        <f ca="1">(OFFSET(Pinlist!$E$1,BC1641,0)-$BN$16)*$BN$19</f>
        <v>#N/A</v>
      </c>
      <c r="BF1641" s="192" t="e">
        <f ca="1">(OFFSET(Pinlist!$F$1,BC1641,0)-$BO$16)*$BO$19</f>
        <v>#N/A</v>
      </c>
      <c r="BG1641" s="1098" t="str">
        <f ca="1">IF(LEFT(BD1641,2)="RF",OFFSET(Pinlist!$D$1,Chart!BC1641,0)&amp;"_"&amp;OFFSET(Pinlist!$G$1,Chart!BC1641,0),"")</f>
        <v/>
      </c>
      <c r="BH1641" s="1098"/>
      <c r="BI1641" s="178"/>
      <c r="BJ1641" s="178"/>
      <c r="BK1641" s="178"/>
      <c r="BL1641" s="178"/>
      <c r="BM1641" s="178"/>
      <c r="BN1641" s="178"/>
      <c r="BO1641" s="178"/>
      <c r="BP1641" s="178"/>
      <c r="BQ1641" s="196"/>
      <c r="BR1641" s="196"/>
      <c r="BS1641" s="196"/>
      <c r="BT1641" s="196"/>
      <c r="BU1641" s="196"/>
      <c r="BV1641" s="196"/>
      <c r="BW1641" s="178"/>
      <c r="BX1641" s="196"/>
      <c r="BY1641" s="196"/>
      <c r="BZ1641" s="196"/>
      <c r="CA1641" s="196"/>
      <c r="CB1641" s="178"/>
      <c r="CC1641" s="178"/>
      <c r="CD1641" s="202"/>
      <c r="CE1641" s="202"/>
      <c r="CF1641" s="178"/>
      <c r="CG1641" s="196"/>
      <c r="CH1641" s="178"/>
      <c r="CI1641" s="178"/>
      <c r="CJ1641" s="178"/>
      <c r="CK1641" s="178"/>
      <c r="CL1641" s="178"/>
      <c r="CM1641" s="178"/>
      <c r="CN1641" s="178"/>
      <c r="CO1641" s="178"/>
      <c r="CP1641" s="178"/>
      <c r="CQ1641" s="178"/>
      <c r="CR1641" s="178"/>
      <c r="CS1641" s="178"/>
      <c r="CT1641" s="178"/>
      <c r="CU1641" s="178"/>
      <c r="CV1641" s="178"/>
      <c r="CW1641" s="178"/>
      <c r="CX1641" s="178"/>
      <c r="CY1641" s="178"/>
      <c r="CZ1641" s="178"/>
      <c r="DA1641" s="150"/>
    </row>
    <row r="1642" spans="53:105" x14ac:dyDescent="0.2">
      <c r="BA1642" s="518">
        <f t="shared" ca="1" si="88"/>
        <v>61</v>
      </c>
      <c r="BB1642" s="174">
        <f t="shared" ca="1" si="89"/>
        <v>1579</v>
      </c>
      <c r="BC1642" s="525" t="e">
        <f ca="1">MATCH(BD1642,OFFSET(Pinlist!$A$2,BC1641*(BA1642=BA1641),0,$BM$23,1),0)+BC1641*(BA1642=BA1641)</f>
        <v>#N/A</v>
      </c>
      <c r="BD1642" s="167">
        <f t="shared" ca="1" si="90"/>
        <v>0</v>
      </c>
      <c r="BE1642" s="191" t="e">
        <f ca="1">(OFFSET(Pinlist!$E$1,BC1642,0)-$BN$16)*$BN$19</f>
        <v>#N/A</v>
      </c>
      <c r="BF1642" s="192" t="e">
        <f ca="1">(OFFSET(Pinlist!$F$1,BC1642,0)-$BO$16)*$BO$19</f>
        <v>#N/A</v>
      </c>
      <c r="BG1642" s="1098" t="str">
        <f ca="1">IF(LEFT(BD1642,2)="RF",OFFSET(Pinlist!$D$1,Chart!BC1642,0)&amp;"_"&amp;OFFSET(Pinlist!$G$1,Chart!BC1642,0),"")</f>
        <v/>
      </c>
      <c r="BH1642" s="1098"/>
      <c r="BI1642" s="178"/>
      <c r="BJ1642" s="178"/>
      <c r="BK1642" s="178"/>
      <c r="BL1642" s="178"/>
      <c r="BM1642" s="178"/>
      <c r="BN1642" s="178"/>
      <c r="BO1642" s="178"/>
      <c r="BP1642" s="178"/>
      <c r="BQ1642" s="196"/>
      <c r="BR1642" s="196"/>
      <c r="BS1642" s="196"/>
      <c r="BT1642" s="196"/>
      <c r="BU1642" s="196"/>
      <c r="BV1642" s="196"/>
      <c r="BW1642" s="178"/>
      <c r="BX1642" s="196"/>
      <c r="BY1642" s="196"/>
      <c r="BZ1642" s="196"/>
      <c r="CA1642" s="196"/>
      <c r="CB1642" s="178"/>
      <c r="CC1642" s="178"/>
      <c r="CD1642" s="202"/>
      <c r="CE1642" s="202"/>
      <c r="CF1642" s="178"/>
      <c r="CG1642" s="196"/>
      <c r="CH1642" s="178"/>
      <c r="CI1642" s="178"/>
      <c r="CJ1642" s="178"/>
      <c r="CK1642" s="178"/>
      <c r="CL1642" s="178"/>
      <c r="CM1642" s="178"/>
      <c r="CN1642" s="178"/>
      <c r="CO1642" s="178"/>
      <c r="CP1642" s="178"/>
      <c r="CQ1642" s="178"/>
      <c r="CR1642" s="178"/>
      <c r="CS1642" s="178"/>
      <c r="CT1642" s="178"/>
      <c r="CU1642" s="178"/>
      <c r="CV1642" s="178"/>
      <c r="CW1642" s="178"/>
      <c r="CX1642" s="178"/>
      <c r="CY1642" s="178"/>
      <c r="CZ1642" s="178"/>
      <c r="DA1642" s="150"/>
    </row>
    <row r="1643" spans="53:105" x14ac:dyDescent="0.2">
      <c r="BA1643" s="518">
        <f t="shared" ca="1" si="88"/>
        <v>61</v>
      </c>
      <c r="BB1643" s="174">
        <f t="shared" ca="1" si="89"/>
        <v>1580</v>
      </c>
      <c r="BC1643" s="525" t="e">
        <f ca="1">MATCH(BD1643,OFFSET(Pinlist!$A$2,BC1642*(BA1643=BA1642),0,$BM$23,1),0)+BC1642*(BA1643=BA1642)</f>
        <v>#N/A</v>
      </c>
      <c r="BD1643" s="167">
        <f t="shared" ca="1" si="90"/>
        <v>0</v>
      </c>
      <c r="BE1643" s="191" t="e">
        <f ca="1">(OFFSET(Pinlist!$E$1,BC1643,0)-$BN$16)*$BN$19</f>
        <v>#N/A</v>
      </c>
      <c r="BF1643" s="192" t="e">
        <f ca="1">(OFFSET(Pinlist!$F$1,BC1643,0)-$BO$16)*$BO$19</f>
        <v>#N/A</v>
      </c>
      <c r="BG1643" s="1098" t="str">
        <f ca="1">IF(LEFT(BD1643,2)="RF",OFFSET(Pinlist!$D$1,Chart!BC1643,0)&amp;"_"&amp;OFFSET(Pinlist!$G$1,Chart!BC1643,0),"")</f>
        <v/>
      </c>
      <c r="BH1643" s="1098"/>
      <c r="BI1643" s="178"/>
      <c r="BJ1643" s="178"/>
      <c r="BK1643" s="178"/>
      <c r="BL1643" s="178"/>
      <c r="BM1643" s="178"/>
      <c r="BN1643" s="178"/>
      <c r="BO1643" s="178"/>
      <c r="BP1643" s="178"/>
      <c r="BQ1643" s="196"/>
      <c r="BR1643" s="196"/>
      <c r="BS1643" s="196"/>
      <c r="BT1643" s="196"/>
      <c r="BU1643" s="196"/>
      <c r="BV1643" s="196"/>
      <c r="BW1643" s="178"/>
      <c r="BX1643" s="196"/>
      <c r="BY1643" s="196"/>
      <c r="BZ1643" s="196"/>
      <c r="CA1643" s="196"/>
      <c r="CB1643" s="178"/>
      <c r="CC1643" s="178"/>
      <c r="CD1643" s="202"/>
      <c r="CE1643" s="202"/>
      <c r="CF1643" s="178"/>
      <c r="CG1643" s="196"/>
      <c r="CH1643" s="178"/>
      <c r="CI1643" s="178"/>
      <c r="CJ1643" s="178"/>
      <c r="CK1643" s="178"/>
      <c r="CL1643" s="178"/>
      <c r="CM1643" s="178"/>
      <c r="CN1643" s="178"/>
      <c r="CO1643" s="178"/>
      <c r="CP1643" s="178"/>
      <c r="CQ1643" s="178"/>
      <c r="CR1643" s="178"/>
      <c r="CS1643" s="178"/>
      <c r="CT1643" s="178"/>
      <c r="CU1643" s="178"/>
      <c r="CV1643" s="178"/>
      <c r="CW1643" s="178"/>
      <c r="CX1643" s="178"/>
      <c r="CY1643" s="178"/>
      <c r="CZ1643" s="178"/>
      <c r="DA1643" s="150"/>
    </row>
    <row r="1644" spans="53:105" x14ac:dyDescent="0.2">
      <c r="BA1644" s="518">
        <f t="shared" ca="1" si="88"/>
        <v>61</v>
      </c>
      <c r="BB1644" s="174">
        <f t="shared" ca="1" si="89"/>
        <v>1581</v>
      </c>
      <c r="BC1644" s="525" t="e">
        <f ca="1">MATCH(BD1644,OFFSET(Pinlist!$A$2,BC1643*(BA1644=BA1643),0,$BM$23,1),0)+BC1643*(BA1644=BA1643)</f>
        <v>#N/A</v>
      </c>
      <c r="BD1644" s="167">
        <f t="shared" ca="1" si="90"/>
        <v>0</v>
      </c>
      <c r="BE1644" s="191" t="e">
        <f ca="1">(OFFSET(Pinlist!$E$1,BC1644,0)-$BN$16)*$BN$19</f>
        <v>#N/A</v>
      </c>
      <c r="BF1644" s="192" t="e">
        <f ca="1">(OFFSET(Pinlist!$F$1,BC1644,0)-$BO$16)*$BO$19</f>
        <v>#N/A</v>
      </c>
      <c r="BG1644" s="1098" t="str">
        <f ca="1">IF(LEFT(BD1644,2)="RF",OFFSET(Pinlist!$D$1,Chart!BC1644,0)&amp;"_"&amp;OFFSET(Pinlist!$G$1,Chart!BC1644,0),"")</f>
        <v/>
      </c>
      <c r="BH1644" s="1098"/>
      <c r="BI1644" s="178"/>
      <c r="BJ1644" s="178"/>
      <c r="BK1644" s="178"/>
      <c r="BL1644" s="178"/>
      <c r="BM1644" s="178"/>
      <c r="BN1644" s="178"/>
      <c r="BO1644" s="178"/>
      <c r="BP1644" s="178"/>
      <c r="BQ1644" s="196"/>
      <c r="BR1644" s="196"/>
      <c r="BS1644" s="196"/>
      <c r="BT1644" s="196"/>
      <c r="BU1644" s="196"/>
      <c r="BV1644" s="196"/>
      <c r="BW1644" s="178"/>
      <c r="BX1644" s="196"/>
      <c r="BY1644" s="196"/>
      <c r="BZ1644" s="196"/>
      <c r="CA1644" s="196"/>
      <c r="CB1644" s="178"/>
      <c r="CC1644" s="178"/>
      <c r="CD1644" s="202"/>
      <c r="CE1644" s="202"/>
      <c r="CF1644" s="178"/>
      <c r="CG1644" s="196"/>
      <c r="CH1644" s="178"/>
      <c r="CI1644" s="178"/>
      <c r="CJ1644" s="178"/>
      <c r="CK1644" s="178"/>
      <c r="CL1644" s="178"/>
      <c r="CM1644" s="178"/>
      <c r="CN1644" s="178"/>
      <c r="CO1644" s="178"/>
      <c r="CP1644" s="178"/>
      <c r="CQ1644" s="178"/>
      <c r="CR1644" s="178"/>
      <c r="CS1644" s="178"/>
      <c r="CT1644" s="178"/>
      <c r="CU1644" s="178"/>
      <c r="CV1644" s="178"/>
      <c r="CW1644" s="178"/>
      <c r="CX1644" s="178"/>
      <c r="CY1644" s="178"/>
      <c r="CZ1644" s="178"/>
      <c r="DA1644" s="150"/>
    </row>
    <row r="1645" spans="53:105" x14ac:dyDescent="0.2">
      <c r="BA1645" s="518">
        <f t="shared" ca="1" si="88"/>
        <v>61</v>
      </c>
      <c r="BB1645" s="174">
        <f t="shared" ca="1" si="89"/>
        <v>1582</v>
      </c>
      <c r="BC1645" s="525" t="e">
        <f ca="1">MATCH(BD1645,OFFSET(Pinlist!$A$2,BC1644*(BA1645=BA1644),0,$BM$23,1),0)+BC1644*(BA1645=BA1644)</f>
        <v>#N/A</v>
      </c>
      <c r="BD1645" s="167">
        <f t="shared" ca="1" si="90"/>
        <v>0</v>
      </c>
      <c r="BE1645" s="191" t="e">
        <f ca="1">(OFFSET(Pinlist!$E$1,BC1645,0)-$BN$16)*$BN$19</f>
        <v>#N/A</v>
      </c>
      <c r="BF1645" s="192" t="e">
        <f ca="1">(OFFSET(Pinlist!$F$1,BC1645,0)-$BO$16)*$BO$19</f>
        <v>#N/A</v>
      </c>
      <c r="BG1645" s="1098" t="str">
        <f ca="1">IF(LEFT(BD1645,2)="RF",OFFSET(Pinlist!$D$1,Chart!BC1645,0)&amp;"_"&amp;OFFSET(Pinlist!$G$1,Chart!BC1645,0),"")</f>
        <v/>
      </c>
      <c r="BH1645" s="1098"/>
      <c r="BI1645" s="178"/>
      <c r="BJ1645" s="178"/>
      <c r="BK1645" s="178"/>
      <c r="BL1645" s="178"/>
      <c r="BM1645" s="178"/>
      <c r="BN1645" s="178"/>
      <c r="BO1645" s="178"/>
      <c r="BP1645" s="178"/>
      <c r="BQ1645" s="196"/>
      <c r="BR1645" s="196"/>
      <c r="BS1645" s="196"/>
      <c r="BT1645" s="196"/>
      <c r="BU1645" s="196"/>
      <c r="BV1645" s="196"/>
      <c r="BW1645" s="178"/>
      <c r="BX1645" s="196"/>
      <c r="BY1645" s="196"/>
      <c r="BZ1645" s="196"/>
      <c r="CA1645" s="196"/>
      <c r="CB1645" s="178"/>
      <c r="CC1645" s="178"/>
      <c r="CD1645" s="202"/>
      <c r="CE1645" s="202"/>
      <c r="CF1645" s="178"/>
      <c r="CG1645" s="196"/>
      <c r="CH1645" s="178"/>
      <c r="CI1645" s="178"/>
      <c r="CJ1645" s="178"/>
      <c r="CK1645" s="178"/>
      <c r="CL1645" s="178"/>
      <c r="CM1645" s="178"/>
      <c r="CN1645" s="178"/>
      <c r="CO1645" s="178"/>
      <c r="CP1645" s="178"/>
      <c r="CQ1645" s="178"/>
      <c r="CR1645" s="178"/>
      <c r="CS1645" s="178"/>
      <c r="CT1645" s="178"/>
      <c r="CU1645" s="178"/>
      <c r="CV1645" s="178"/>
      <c r="CW1645" s="178"/>
      <c r="CX1645" s="178"/>
      <c r="CY1645" s="178"/>
      <c r="CZ1645" s="178"/>
      <c r="DA1645" s="150"/>
    </row>
    <row r="1646" spans="53:105" x14ac:dyDescent="0.2">
      <c r="BA1646" s="518">
        <f t="shared" ca="1" si="88"/>
        <v>61</v>
      </c>
      <c r="BB1646" s="174">
        <f t="shared" ca="1" si="89"/>
        <v>1583</v>
      </c>
      <c r="BC1646" s="525" t="e">
        <f ca="1">MATCH(BD1646,OFFSET(Pinlist!$A$2,BC1645*(BA1646=BA1645),0,$BM$23,1),0)+BC1645*(BA1646=BA1645)</f>
        <v>#N/A</v>
      </c>
      <c r="BD1646" s="167">
        <f t="shared" ca="1" si="90"/>
        <v>0</v>
      </c>
      <c r="BE1646" s="191" t="e">
        <f ca="1">(OFFSET(Pinlist!$E$1,BC1646,0)-$BN$16)*$BN$19</f>
        <v>#N/A</v>
      </c>
      <c r="BF1646" s="192" t="e">
        <f ca="1">(OFFSET(Pinlist!$F$1,BC1646,0)-$BO$16)*$BO$19</f>
        <v>#N/A</v>
      </c>
      <c r="BG1646" s="1098" t="str">
        <f ca="1">IF(LEFT(BD1646,2)="RF",OFFSET(Pinlist!$D$1,Chart!BC1646,0)&amp;"_"&amp;OFFSET(Pinlist!$G$1,Chart!BC1646,0),"")</f>
        <v/>
      </c>
      <c r="BH1646" s="1098"/>
      <c r="BI1646" s="178"/>
      <c r="BJ1646" s="178"/>
      <c r="BK1646" s="178"/>
      <c r="BL1646" s="178"/>
      <c r="BM1646" s="178"/>
      <c r="BN1646" s="178"/>
      <c r="BO1646" s="178"/>
      <c r="BP1646" s="178"/>
      <c r="BQ1646" s="196"/>
      <c r="BR1646" s="196"/>
      <c r="BS1646" s="196"/>
      <c r="BT1646" s="196"/>
      <c r="BU1646" s="196"/>
      <c r="BV1646" s="196"/>
      <c r="BW1646" s="178"/>
      <c r="BX1646" s="196"/>
      <c r="BY1646" s="196"/>
      <c r="BZ1646" s="196"/>
      <c r="CA1646" s="196"/>
      <c r="CB1646" s="178"/>
      <c r="CC1646" s="178"/>
      <c r="CD1646" s="202"/>
      <c r="CE1646" s="202"/>
      <c r="CF1646" s="178"/>
      <c r="CG1646" s="196"/>
      <c r="CH1646" s="178"/>
      <c r="CI1646" s="178"/>
      <c r="CJ1646" s="178"/>
      <c r="CK1646" s="178"/>
      <c r="CL1646" s="178"/>
      <c r="CM1646" s="178"/>
      <c r="CN1646" s="178"/>
      <c r="CO1646" s="178"/>
      <c r="CP1646" s="178"/>
      <c r="CQ1646" s="178"/>
      <c r="CR1646" s="178"/>
      <c r="CS1646" s="178"/>
      <c r="CT1646" s="178"/>
      <c r="CU1646" s="178"/>
      <c r="CV1646" s="178"/>
      <c r="CW1646" s="178"/>
      <c r="CX1646" s="178"/>
      <c r="CY1646" s="178"/>
      <c r="CZ1646" s="178"/>
      <c r="DA1646" s="150"/>
    </row>
    <row r="1647" spans="53:105" x14ac:dyDescent="0.2">
      <c r="BA1647" s="518">
        <f t="shared" ca="1" si="88"/>
        <v>61</v>
      </c>
      <c r="BB1647" s="174">
        <f t="shared" ca="1" si="89"/>
        <v>1584</v>
      </c>
      <c r="BC1647" s="525" t="e">
        <f ca="1">MATCH(BD1647,OFFSET(Pinlist!$A$2,BC1646*(BA1647=BA1646),0,$BM$23,1),0)+BC1646*(BA1647=BA1646)</f>
        <v>#N/A</v>
      </c>
      <c r="BD1647" s="167">
        <f t="shared" ca="1" si="90"/>
        <v>0</v>
      </c>
      <c r="BE1647" s="191" t="e">
        <f ca="1">(OFFSET(Pinlist!$E$1,BC1647,0)-$BN$16)*$BN$19</f>
        <v>#N/A</v>
      </c>
      <c r="BF1647" s="192" t="e">
        <f ca="1">(OFFSET(Pinlist!$F$1,BC1647,0)-$BO$16)*$BO$19</f>
        <v>#N/A</v>
      </c>
      <c r="BG1647" s="1098" t="str">
        <f ca="1">IF(LEFT(BD1647,2)="RF",OFFSET(Pinlist!$D$1,Chart!BC1647,0)&amp;"_"&amp;OFFSET(Pinlist!$G$1,Chart!BC1647,0),"")</f>
        <v/>
      </c>
      <c r="BH1647" s="1098"/>
      <c r="BI1647" s="178"/>
      <c r="BJ1647" s="178"/>
      <c r="BK1647" s="178"/>
      <c r="BL1647" s="178"/>
      <c r="BM1647" s="178"/>
      <c r="BN1647" s="178"/>
      <c r="BO1647" s="178"/>
      <c r="BP1647" s="178"/>
      <c r="BQ1647" s="196"/>
      <c r="BR1647" s="196"/>
      <c r="BS1647" s="196"/>
      <c r="BT1647" s="196"/>
      <c r="BU1647" s="196"/>
      <c r="BV1647" s="196"/>
      <c r="BW1647" s="178"/>
      <c r="BX1647" s="196"/>
      <c r="BY1647" s="196"/>
      <c r="BZ1647" s="196"/>
      <c r="CA1647" s="196"/>
      <c r="CB1647" s="178"/>
      <c r="CC1647" s="178"/>
      <c r="CD1647" s="202"/>
      <c r="CE1647" s="202"/>
      <c r="CF1647" s="178"/>
      <c r="CG1647" s="196"/>
      <c r="CH1647" s="178"/>
      <c r="CI1647" s="178"/>
      <c r="CJ1647" s="178"/>
      <c r="CK1647" s="178"/>
      <c r="CL1647" s="178"/>
      <c r="CM1647" s="178"/>
      <c r="CN1647" s="178"/>
      <c r="CO1647" s="178"/>
      <c r="CP1647" s="178"/>
      <c r="CQ1647" s="178"/>
      <c r="CR1647" s="178"/>
      <c r="CS1647" s="178"/>
      <c r="CT1647" s="178"/>
      <c r="CU1647" s="178"/>
      <c r="CV1647" s="178"/>
      <c r="CW1647" s="178"/>
      <c r="CX1647" s="178"/>
      <c r="CY1647" s="178"/>
      <c r="CZ1647" s="178"/>
      <c r="DA1647" s="150"/>
    </row>
    <row r="1648" spans="53:105" x14ac:dyDescent="0.2">
      <c r="BA1648" s="518">
        <f t="shared" ca="1" si="88"/>
        <v>61</v>
      </c>
      <c r="BB1648" s="174">
        <f t="shared" ca="1" si="89"/>
        <v>1585</v>
      </c>
      <c r="BC1648" s="525" t="e">
        <f ca="1">MATCH(BD1648,OFFSET(Pinlist!$A$2,BC1647*(BA1648=BA1647),0,$BM$23,1),0)+BC1647*(BA1648=BA1647)</f>
        <v>#N/A</v>
      </c>
      <c r="BD1648" s="167">
        <f t="shared" ca="1" si="90"/>
        <v>0</v>
      </c>
      <c r="BE1648" s="191" t="e">
        <f ca="1">(OFFSET(Pinlist!$E$1,BC1648,0)-$BN$16)*$BN$19</f>
        <v>#N/A</v>
      </c>
      <c r="BF1648" s="192" t="e">
        <f ca="1">(OFFSET(Pinlist!$F$1,BC1648,0)-$BO$16)*$BO$19</f>
        <v>#N/A</v>
      </c>
      <c r="BG1648" s="1098" t="str">
        <f ca="1">IF(LEFT(BD1648,2)="RF",OFFSET(Pinlist!$D$1,Chart!BC1648,0)&amp;"_"&amp;OFFSET(Pinlist!$G$1,Chart!BC1648,0),"")</f>
        <v/>
      </c>
      <c r="BH1648" s="1098"/>
      <c r="BI1648" s="178"/>
      <c r="BJ1648" s="178"/>
      <c r="BK1648" s="178"/>
      <c r="BL1648" s="178"/>
      <c r="BM1648" s="178"/>
      <c r="BN1648" s="178"/>
      <c r="BO1648" s="178"/>
      <c r="BP1648" s="178"/>
      <c r="BQ1648" s="196"/>
      <c r="BR1648" s="196"/>
      <c r="BS1648" s="196"/>
      <c r="BT1648" s="196"/>
      <c r="BU1648" s="196"/>
      <c r="BV1648" s="196"/>
      <c r="BW1648" s="178"/>
      <c r="BX1648" s="196"/>
      <c r="BY1648" s="196"/>
      <c r="BZ1648" s="196"/>
      <c r="CA1648" s="196"/>
      <c r="CB1648" s="178"/>
      <c r="CC1648" s="178"/>
      <c r="CD1648" s="202"/>
      <c r="CE1648" s="202"/>
      <c r="CF1648" s="178"/>
      <c r="CG1648" s="196"/>
      <c r="CH1648" s="178"/>
      <c r="CI1648" s="178"/>
      <c r="CJ1648" s="178"/>
      <c r="CK1648" s="178"/>
      <c r="CL1648" s="178"/>
      <c r="CM1648" s="178"/>
      <c r="CN1648" s="178"/>
      <c r="CO1648" s="178"/>
      <c r="CP1648" s="178"/>
      <c r="CQ1648" s="178"/>
      <c r="CR1648" s="178"/>
      <c r="CS1648" s="178"/>
      <c r="CT1648" s="178"/>
      <c r="CU1648" s="178"/>
      <c r="CV1648" s="178"/>
      <c r="CW1648" s="178"/>
      <c r="CX1648" s="178"/>
      <c r="CY1648" s="178"/>
      <c r="CZ1648" s="178"/>
      <c r="DA1648" s="150"/>
    </row>
    <row r="1649" spans="53:105" x14ac:dyDescent="0.2">
      <c r="BA1649" s="518">
        <f t="shared" ca="1" si="88"/>
        <v>61</v>
      </c>
      <c r="BB1649" s="174">
        <f t="shared" ca="1" si="89"/>
        <v>1586</v>
      </c>
      <c r="BC1649" s="525" t="e">
        <f ca="1">MATCH(BD1649,OFFSET(Pinlist!$A$2,BC1648*(BA1649=BA1648),0,$BM$23,1),0)+BC1648*(BA1649=BA1648)</f>
        <v>#N/A</v>
      </c>
      <c r="BD1649" s="167">
        <f t="shared" ca="1" si="90"/>
        <v>0</v>
      </c>
      <c r="BE1649" s="191" t="e">
        <f ca="1">(OFFSET(Pinlist!$E$1,BC1649,0)-$BN$16)*$BN$19</f>
        <v>#N/A</v>
      </c>
      <c r="BF1649" s="192" t="e">
        <f ca="1">(OFFSET(Pinlist!$F$1,BC1649,0)-$BO$16)*$BO$19</f>
        <v>#N/A</v>
      </c>
      <c r="BG1649" s="1098" t="str">
        <f ca="1">IF(LEFT(BD1649,2)="RF",OFFSET(Pinlist!$D$1,Chart!BC1649,0)&amp;"_"&amp;OFFSET(Pinlist!$G$1,Chart!BC1649,0),"")</f>
        <v/>
      </c>
      <c r="BH1649" s="1098"/>
      <c r="BI1649" s="178"/>
      <c r="BJ1649" s="178"/>
      <c r="BK1649" s="178"/>
      <c r="BL1649" s="178"/>
      <c r="BM1649" s="178"/>
      <c r="BN1649" s="178"/>
      <c r="BO1649" s="178"/>
      <c r="BP1649" s="178"/>
      <c r="BQ1649" s="196"/>
      <c r="BR1649" s="196"/>
      <c r="BS1649" s="196"/>
      <c r="BT1649" s="196"/>
      <c r="BU1649" s="196"/>
      <c r="BV1649" s="196"/>
      <c r="BW1649" s="178"/>
      <c r="BX1649" s="196"/>
      <c r="BY1649" s="196"/>
      <c r="BZ1649" s="196"/>
      <c r="CA1649" s="196"/>
      <c r="CB1649" s="178"/>
      <c r="CC1649" s="178"/>
      <c r="CD1649" s="202"/>
      <c r="CE1649" s="202"/>
      <c r="CF1649" s="178"/>
      <c r="CG1649" s="196"/>
      <c r="CH1649" s="178"/>
      <c r="CI1649" s="178"/>
      <c r="CJ1649" s="178"/>
      <c r="CK1649" s="178"/>
      <c r="CL1649" s="178"/>
      <c r="CM1649" s="178"/>
      <c r="CN1649" s="178"/>
      <c r="CO1649" s="178"/>
      <c r="CP1649" s="178"/>
      <c r="CQ1649" s="178"/>
      <c r="CR1649" s="178"/>
      <c r="CS1649" s="178"/>
      <c r="CT1649" s="178"/>
      <c r="CU1649" s="178"/>
      <c r="CV1649" s="178"/>
      <c r="CW1649" s="178"/>
      <c r="CX1649" s="178"/>
      <c r="CY1649" s="178"/>
      <c r="CZ1649" s="178"/>
      <c r="DA1649" s="150"/>
    </row>
    <row r="1650" spans="53:105" x14ac:dyDescent="0.2">
      <c r="BA1650" s="518">
        <f t="shared" ca="1" si="88"/>
        <v>61</v>
      </c>
      <c r="BB1650" s="174">
        <f t="shared" ca="1" si="89"/>
        <v>1587</v>
      </c>
      <c r="BC1650" s="525" t="e">
        <f ca="1">MATCH(BD1650,OFFSET(Pinlist!$A$2,BC1649*(BA1650=BA1649),0,$BM$23,1),0)+BC1649*(BA1650=BA1649)</f>
        <v>#N/A</v>
      </c>
      <c r="BD1650" s="167">
        <f t="shared" ca="1" si="90"/>
        <v>0</v>
      </c>
      <c r="BE1650" s="191" t="e">
        <f ca="1">(OFFSET(Pinlist!$E$1,BC1650,0)-$BN$16)*$BN$19</f>
        <v>#N/A</v>
      </c>
      <c r="BF1650" s="192" t="e">
        <f ca="1">(OFFSET(Pinlist!$F$1,BC1650,0)-$BO$16)*$BO$19</f>
        <v>#N/A</v>
      </c>
      <c r="BG1650" s="1098" t="str">
        <f ca="1">IF(LEFT(BD1650,2)="RF",OFFSET(Pinlist!$D$1,Chart!BC1650,0)&amp;"_"&amp;OFFSET(Pinlist!$G$1,Chart!BC1650,0),"")</f>
        <v/>
      </c>
      <c r="BH1650" s="1098"/>
      <c r="BI1650" s="178"/>
      <c r="BJ1650" s="178"/>
      <c r="BK1650" s="178"/>
      <c r="BL1650" s="178"/>
      <c r="BM1650" s="178"/>
      <c r="BN1650" s="178"/>
      <c r="BO1650" s="178"/>
      <c r="BP1650" s="178"/>
      <c r="BQ1650" s="196"/>
      <c r="BR1650" s="196"/>
      <c r="BS1650" s="196"/>
      <c r="BT1650" s="196"/>
      <c r="BU1650" s="196"/>
      <c r="BV1650" s="196"/>
      <c r="BW1650" s="178"/>
      <c r="BX1650" s="196"/>
      <c r="BY1650" s="196"/>
      <c r="BZ1650" s="196"/>
      <c r="CA1650" s="196"/>
      <c r="CB1650" s="178"/>
      <c r="CC1650" s="178"/>
      <c r="CD1650" s="202"/>
      <c r="CE1650" s="202"/>
      <c r="CF1650" s="178"/>
      <c r="CG1650" s="196"/>
      <c r="CH1650" s="178"/>
      <c r="CI1650" s="178"/>
      <c r="CJ1650" s="178"/>
      <c r="CK1650" s="178"/>
      <c r="CL1650" s="178"/>
      <c r="CM1650" s="178"/>
      <c r="CN1650" s="178"/>
      <c r="CO1650" s="178"/>
      <c r="CP1650" s="178"/>
      <c r="CQ1650" s="178"/>
      <c r="CR1650" s="178"/>
      <c r="CS1650" s="178"/>
      <c r="CT1650" s="178"/>
      <c r="CU1650" s="178"/>
      <c r="CV1650" s="178"/>
      <c r="CW1650" s="178"/>
      <c r="CX1650" s="178"/>
      <c r="CY1650" s="178"/>
      <c r="CZ1650" s="178"/>
      <c r="DA1650" s="150"/>
    </row>
    <row r="1651" spans="53:105" x14ac:dyDescent="0.2">
      <c r="BA1651" s="518">
        <f t="shared" ca="1" si="88"/>
        <v>61</v>
      </c>
      <c r="BB1651" s="174">
        <f t="shared" ca="1" si="89"/>
        <v>1588</v>
      </c>
      <c r="BC1651" s="525" t="e">
        <f ca="1">MATCH(BD1651,OFFSET(Pinlist!$A$2,BC1650*(BA1651=BA1650),0,$BM$23,1),0)+BC1650*(BA1651=BA1650)</f>
        <v>#N/A</v>
      </c>
      <c r="BD1651" s="167">
        <f t="shared" ca="1" si="90"/>
        <v>0</v>
      </c>
      <c r="BE1651" s="191" t="e">
        <f ca="1">(OFFSET(Pinlist!$E$1,BC1651,0)-$BN$16)*$BN$19</f>
        <v>#N/A</v>
      </c>
      <c r="BF1651" s="192" t="e">
        <f ca="1">(OFFSET(Pinlist!$F$1,BC1651,0)-$BO$16)*$BO$19</f>
        <v>#N/A</v>
      </c>
      <c r="BG1651" s="1098" t="str">
        <f ca="1">IF(LEFT(BD1651,2)="RF",OFFSET(Pinlist!$D$1,Chart!BC1651,0)&amp;"_"&amp;OFFSET(Pinlist!$G$1,Chart!BC1651,0),"")</f>
        <v/>
      </c>
      <c r="BH1651" s="1098"/>
      <c r="BI1651" s="178"/>
      <c r="BJ1651" s="178"/>
      <c r="BK1651" s="178"/>
      <c r="BL1651" s="178"/>
      <c r="BM1651" s="178"/>
      <c r="BN1651" s="178"/>
      <c r="BO1651" s="178"/>
      <c r="BP1651" s="178"/>
      <c r="BQ1651" s="196"/>
      <c r="BR1651" s="196"/>
      <c r="BS1651" s="196"/>
      <c r="BT1651" s="196"/>
      <c r="BU1651" s="196"/>
      <c r="BV1651" s="196"/>
      <c r="BW1651" s="178"/>
      <c r="BX1651" s="196"/>
      <c r="BY1651" s="196"/>
      <c r="BZ1651" s="196"/>
      <c r="CA1651" s="196"/>
      <c r="CB1651" s="178"/>
      <c r="CC1651" s="178"/>
      <c r="CD1651" s="202"/>
      <c r="CE1651" s="202"/>
      <c r="CF1651" s="178"/>
      <c r="CG1651" s="196"/>
      <c r="CH1651" s="178"/>
      <c r="CI1651" s="178"/>
      <c r="CJ1651" s="178"/>
      <c r="CK1651" s="178"/>
      <c r="CL1651" s="178"/>
      <c r="CM1651" s="178"/>
      <c r="CN1651" s="178"/>
      <c r="CO1651" s="178"/>
      <c r="CP1651" s="178"/>
      <c r="CQ1651" s="178"/>
      <c r="CR1651" s="178"/>
      <c r="CS1651" s="178"/>
      <c r="CT1651" s="178"/>
      <c r="CU1651" s="178"/>
      <c r="CV1651" s="178"/>
      <c r="CW1651" s="178"/>
      <c r="CX1651" s="178"/>
      <c r="CY1651" s="178"/>
      <c r="CZ1651" s="178"/>
      <c r="DA1651" s="150"/>
    </row>
    <row r="1652" spans="53:105" x14ac:dyDescent="0.2">
      <c r="BA1652" s="518">
        <f t="shared" ca="1" si="88"/>
        <v>61</v>
      </c>
      <c r="BB1652" s="174">
        <f t="shared" ca="1" si="89"/>
        <v>1589</v>
      </c>
      <c r="BC1652" s="525" t="e">
        <f ca="1">MATCH(BD1652,OFFSET(Pinlist!$A$2,BC1651*(BA1652=BA1651),0,$BM$23,1),0)+BC1651*(BA1652=BA1651)</f>
        <v>#N/A</v>
      </c>
      <c r="BD1652" s="167">
        <f t="shared" ca="1" si="90"/>
        <v>0</v>
      </c>
      <c r="BE1652" s="191" t="e">
        <f ca="1">(OFFSET(Pinlist!$E$1,BC1652,0)-$BN$16)*$BN$19</f>
        <v>#N/A</v>
      </c>
      <c r="BF1652" s="192" t="e">
        <f ca="1">(OFFSET(Pinlist!$F$1,BC1652,0)-$BO$16)*$BO$19</f>
        <v>#N/A</v>
      </c>
      <c r="BG1652" s="1098" t="str">
        <f ca="1">IF(LEFT(BD1652,2)="RF",OFFSET(Pinlist!$D$1,Chart!BC1652,0)&amp;"_"&amp;OFFSET(Pinlist!$G$1,Chart!BC1652,0),"")</f>
        <v/>
      </c>
      <c r="BH1652" s="1098"/>
      <c r="BI1652" s="178"/>
      <c r="BJ1652" s="178"/>
      <c r="BK1652" s="178"/>
      <c r="BL1652" s="178"/>
      <c r="BM1652" s="178"/>
      <c r="BN1652" s="178"/>
      <c r="BO1652" s="178"/>
      <c r="BP1652" s="178"/>
      <c r="BQ1652" s="196"/>
      <c r="BR1652" s="196"/>
      <c r="BS1652" s="196"/>
      <c r="BT1652" s="196"/>
      <c r="BU1652" s="196"/>
      <c r="BV1652" s="196"/>
      <c r="BW1652" s="178"/>
      <c r="BX1652" s="196"/>
      <c r="BY1652" s="196"/>
      <c r="BZ1652" s="196"/>
      <c r="CA1652" s="196"/>
      <c r="CB1652" s="178"/>
      <c r="CC1652" s="178"/>
      <c r="CD1652" s="202"/>
      <c r="CE1652" s="202"/>
      <c r="CF1652" s="178"/>
      <c r="CG1652" s="196"/>
      <c r="CH1652" s="178"/>
      <c r="CI1652" s="178"/>
      <c r="CJ1652" s="178"/>
      <c r="CK1652" s="178"/>
      <c r="CL1652" s="178"/>
      <c r="CM1652" s="178"/>
      <c r="CN1652" s="178"/>
      <c r="CO1652" s="178"/>
      <c r="CP1652" s="178"/>
      <c r="CQ1652" s="178"/>
      <c r="CR1652" s="178"/>
      <c r="CS1652" s="178"/>
      <c r="CT1652" s="178"/>
      <c r="CU1652" s="178"/>
      <c r="CV1652" s="178"/>
      <c r="CW1652" s="178"/>
      <c r="CX1652" s="178"/>
      <c r="CY1652" s="178"/>
      <c r="CZ1652" s="178"/>
      <c r="DA1652" s="150"/>
    </row>
    <row r="1653" spans="53:105" x14ac:dyDescent="0.2">
      <c r="BA1653" s="518">
        <f t="shared" ca="1" si="88"/>
        <v>61</v>
      </c>
      <c r="BB1653" s="174">
        <f t="shared" ca="1" si="89"/>
        <v>1590</v>
      </c>
      <c r="BC1653" s="525" t="e">
        <f ca="1">MATCH(BD1653,OFFSET(Pinlist!$A$2,BC1652*(BA1653=BA1652),0,$BM$23,1),0)+BC1652*(BA1653=BA1652)</f>
        <v>#N/A</v>
      </c>
      <c r="BD1653" s="167">
        <f t="shared" ca="1" si="90"/>
        <v>0</v>
      </c>
      <c r="BE1653" s="191" t="e">
        <f ca="1">(OFFSET(Pinlist!$E$1,BC1653,0)-$BN$16)*$BN$19</f>
        <v>#N/A</v>
      </c>
      <c r="BF1653" s="192" t="e">
        <f ca="1">(OFFSET(Pinlist!$F$1,BC1653,0)-$BO$16)*$BO$19</f>
        <v>#N/A</v>
      </c>
      <c r="BG1653" s="1098" t="str">
        <f ca="1">IF(LEFT(BD1653,2)="RF",OFFSET(Pinlist!$D$1,Chart!BC1653,0)&amp;"_"&amp;OFFSET(Pinlist!$G$1,Chart!BC1653,0),"")</f>
        <v/>
      </c>
      <c r="BH1653" s="1098"/>
      <c r="BI1653" s="178"/>
      <c r="BJ1653" s="178"/>
      <c r="BK1653" s="178"/>
      <c r="BL1653" s="178"/>
      <c r="BM1653" s="178"/>
      <c r="BN1653" s="178"/>
      <c r="BO1653" s="178"/>
      <c r="BP1653" s="178"/>
      <c r="BQ1653" s="196"/>
      <c r="BR1653" s="196"/>
      <c r="BS1653" s="196"/>
      <c r="BT1653" s="196"/>
      <c r="BU1653" s="196"/>
      <c r="BV1653" s="196"/>
      <c r="BW1653" s="178"/>
      <c r="BX1653" s="196"/>
      <c r="BY1653" s="196"/>
      <c r="BZ1653" s="196"/>
      <c r="CA1653" s="196"/>
      <c r="CB1653" s="178"/>
      <c r="CC1653" s="178"/>
      <c r="CD1653" s="202"/>
      <c r="CE1653" s="202"/>
      <c r="CF1653" s="178"/>
      <c r="CG1653" s="196"/>
      <c r="CH1653" s="178"/>
      <c r="CI1653" s="178"/>
      <c r="CJ1653" s="178"/>
      <c r="CK1653" s="178"/>
      <c r="CL1653" s="178"/>
      <c r="CM1653" s="178"/>
      <c r="CN1653" s="178"/>
      <c r="CO1653" s="178"/>
      <c r="CP1653" s="178"/>
      <c r="CQ1653" s="178"/>
      <c r="CR1653" s="178"/>
      <c r="CS1653" s="178"/>
      <c r="CT1653" s="178"/>
      <c r="CU1653" s="178"/>
      <c r="CV1653" s="178"/>
      <c r="CW1653" s="178"/>
      <c r="CX1653" s="178"/>
      <c r="CY1653" s="178"/>
      <c r="CZ1653" s="178"/>
      <c r="DA1653" s="150"/>
    </row>
    <row r="1654" spans="53:105" x14ac:dyDescent="0.2">
      <c r="BA1654" s="518">
        <f t="shared" ca="1" si="88"/>
        <v>61</v>
      </c>
      <c r="BB1654" s="174">
        <f t="shared" ca="1" si="89"/>
        <v>1591</v>
      </c>
      <c r="BC1654" s="525" t="e">
        <f ca="1">MATCH(BD1654,OFFSET(Pinlist!$A$2,BC1653*(BA1654=BA1653),0,$BM$23,1),0)+BC1653*(BA1654=BA1653)</f>
        <v>#N/A</v>
      </c>
      <c r="BD1654" s="167">
        <f t="shared" ca="1" si="90"/>
        <v>0</v>
      </c>
      <c r="BE1654" s="191" t="e">
        <f ca="1">(OFFSET(Pinlist!$E$1,BC1654,0)-$BN$16)*$BN$19</f>
        <v>#N/A</v>
      </c>
      <c r="BF1654" s="192" t="e">
        <f ca="1">(OFFSET(Pinlist!$F$1,BC1654,0)-$BO$16)*$BO$19</f>
        <v>#N/A</v>
      </c>
      <c r="BG1654" s="1098" t="str">
        <f ca="1">IF(LEFT(BD1654,2)="RF",OFFSET(Pinlist!$D$1,Chart!BC1654,0)&amp;"_"&amp;OFFSET(Pinlist!$G$1,Chart!BC1654,0),"")</f>
        <v/>
      </c>
      <c r="BH1654" s="1098"/>
      <c r="BI1654" s="178"/>
      <c r="BJ1654" s="178"/>
      <c r="BK1654" s="178"/>
      <c r="BL1654" s="178"/>
      <c r="BM1654" s="178"/>
      <c r="BN1654" s="178"/>
      <c r="BO1654" s="178"/>
      <c r="BP1654" s="178"/>
      <c r="BQ1654" s="196"/>
      <c r="BR1654" s="196"/>
      <c r="BS1654" s="196"/>
      <c r="BT1654" s="196"/>
      <c r="BU1654" s="196"/>
      <c r="BV1654" s="196"/>
      <c r="BW1654" s="178"/>
      <c r="BX1654" s="196"/>
      <c r="BY1654" s="196"/>
      <c r="BZ1654" s="196"/>
      <c r="CA1654" s="196"/>
      <c r="CB1654" s="178"/>
      <c r="CC1654" s="178"/>
      <c r="CD1654" s="202"/>
      <c r="CE1654" s="202"/>
      <c r="CF1654" s="178"/>
      <c r="CG1654" s="196"/>
      <c r="CH1654" s="178"/>
      <c r="CI1654" s="178"/>
      <c r="CJ1654" s="178"/>
      <c r="CK1654" s="178"/>
      <c r="CL1654" s="178"/>
      <c r="CM1654" s="178"/>
      <c r="CN1654" s="178"/>
      <c r="CO1654" s="178"/>
      <c r="CP1654" s="178"/>
      <c r="CQ1654" s="178"/>
      <c r="CR1654" s="178"/>
      <c r="CS1654" s="178"/>
      <c r="CT1654" s="178"/>
      <c r="CU1654" s="178"/>
      <c r="CV1654" s="178"/>
      <c r="CW1654" s="178"/>
      <c r="CX1654" s="178"/>
      <c r="CY1654" s="178"/>
      <c r="CZ1654" s="178"/>
      <c r="DA1654" s="150"/>
    </row>
    <row r="1655" spans="53:105" x14ac:dyDescent="0.2">
      <c r="BA1655" s="518">
        <f t="shared" ca="1" si="88"/>
        <v>61</v>
      </c>
      <c r="BB1655" s="174">
        <f t="shared" ca="1" si="89"/>
        <v>1592</v>
      </c>
      <c r="BC1655" s="525" t="e">
        <f ca="1">MATCH(BD1655,OFFSET(Pinlist!$A$2,BC1654*(BA1655=BA1654),0,$BM$23,1),0)+BC1654*(BA1655=BA1654)</f>
        <v>#N/A</v>
      </c>
      <c r="BD1655" s="167">
        <f t="shared" ca="1" si="90"/>
        <v>0</v>
      </c>
      <c r="BE1655" s="191" t="e">
        <f ca="1">(OFFSET(Pinlist!$E$1,BC1655,0)-$BN$16)*$BN$19</f>
        <v>#N/A</v>
      </c>
      <c r="BF1655" s="192" t="e">
        <f ca="1">(OFFSET(Pinlist!$F$1,BC1655,0)-$BO$16)*$BO$19</f>
        <v>#N/A</v>
      </c>
      <c r="BG1655" s="1098" t="str">
        <f ca="1">IF(LEFT(BD1655,2)="RF",OFFSET(Pinlist!$D$1,Chart!BC1655,0)&amp;"_"&amp;OFFSET(Pinlist!$G$1,Chart!BC1655,0),"")</f>
        <v/>
      </c>
      <c r="BH1655" s="1098"/>
      <c r="BI1655" s="178"/>
      <c r="BJ1655" s="178"/>
      <c r="BK1655" s="178"/>
      <c r="BL1655" s="178"/>
      <c r="BM1655" s="178"/>
      <c r="BN1655" s="178"/>
      <c r="BO1655" s="178"/>
      <c r="BP1655" s="178"/>
      <c r="BQ1655" s="196"/>
      <c r="BR1655" s="196"/>
      <c r="BS1655" s="196"/>
      <c r="BT1655" s="196"/>
      <c r="BU1655" s="196"/>
      <c r="BV1655" s="196"/>
      <c r="BW1655" s="178"/>
      <c r="BX1655" s="196"/>
      <c r="BY1655" s="196"/>
      <c r="BZ1655" s="196"/>
      <c r="CA1655" s="196"/>
      <c r="CB1655" s="178"/>
      <c r="CC1655" s="178"/>
      <c r="CD1655" s="202"/>
      <c r="CE1655" s="202"/>
      <c r="CF1655" s="178"/>
      <c r="CG1655" s="196"/>
      <c r="CH1655" s="178"/>
      <c r="CI1655" s="178"/>
      <c r="CJ1655" s="178"/>
      <c r="CK1655" s="178"/>
      <c r="CL1655" s="178"/>
      <c r="CM1655" s="178"/>
      <c r="CN1655" s="178"/>
      <c r="CO1655" s="178"/>
      <c r="CP1655" s="178"/>
      <c r="CQ1655" s="178"/>
      <c r="CR1655" s="178"/>
      <c r="CS1655" s="178"/>
      <c r="CT1655" s="178"/>
      <c r="CU1655" s="178"/>
      <c r="CV1655" s="178"/>
      <c r="CW1655" s="178"/>
      <c r="CX1655" s="178"/>
      <c r="CY1655" s="178"/>
      <c r="CZ1655" s="178"/>
      <c r="DA1655" s="150"/>
    </row>
    <row r="1656" spans="53:105" x14ac:dyDescent="0.2">
      <c r="BA1656" s="518">
        <f t="shared" ca="1" si="88"/>
        <v>61</v>
      </c>
      <c r="BB1656" s="174">
        <f t="shared" ca="1" si="89"/>
        <v>1593</v>
      </c>
      <c r="BC1656" s="525" t="e">
        <f ca="1">MATCH(BD1656,OFFSET(Pinlist!$A$2,BC1655*(BA1656=BA1655),0,$BM$23,1),0)+BC1655*(BA1656=BA1655)</f>
        <v>#N/A</v>
      </c>
      <c r="BD1656" s="167">
        <f t="shared" ca="1" si="90"/>
        <v>0</v>
      </c>
      <c r="BE1656" s="191" t="e">
        <f ca="1">(OFFSET(Pinlist!$E$1,BC1656,0)-$BN$16)*$BN$19</f>
        <v>#N/A</v>
      </c>
      <c r="BF1656" s="192" t="e">
        <f ca="1">(OFFSET(Pinlist!$F$1,BC1656,0)-$BO$16)*$BO$19</f>
        <v>#N/A</v>
      </c>
      <c r="BG1656" s="1098" t="str">
        <f ca="1">IF(LEFT(BD1656,2)="RF",OFFSET(Pinlist!$D$1,Chart!BC1656,0)&amp;"_"&amp;OFFSET(Pinlist!$G$1,Chart!BC1656,0),"")</f>
        <v/>
      </c>
      <c r="BH1656" s="1098"/>
      <c r="BI1656" s="178"/>
      <c r="BJ1656" s="178"/>
      <c r="BK1656" s="178"/>
      <c r="BL1656" s="178"/>
      <c r="BM1656" s="178"/>
      <c r="BN1656" s="178"/>
      <c r="BO1656" s="178"/>
      <c r="BP1656" s="178"/>
      <c r="BQ1656" s="196"/>
      <c r="BR1656" s="196"/>
      <c r="BS1656" s="196"/>
      <c r="BT1656" s="196"/>
      <c r="BU1656" s="196"/>
      <c r="BV1656" s="196"/>
      <c r="BW1656" s="178"/>
      <c r="BX1656" s="196"/>
      <c r="BY1656" s="196"/>
      <c r="BZ1656" s="196"/>
      <c r="CA1656" s="196"/>
      <c r="CB1656" s="178"/>
      <c r="CC1656" s="178"/>
      <c r="CD1656" s="202"/>
      <c r="CE1656" s="202"/>
      <c r="CF1656" s="178"/>
      <c r="CG1656" s="196"/>
      <c r="CH1656" s="178"/>
      <c r="CI1656" s="178"/>
      <c r="CJ1656" s="178"/>
      <c r="CK1656" s="178"/>
      <c r="CL1656" s="178"/>
      <c r="CM1656" s="178"/>
      <c r="CN1656" s="178"/>
      <c r="CO1656" s="178"/>
      <c r="CP1656" s="178"/>
      <c r="CQ1656" s="178"/>
      <c r="CR1656" s="178"/>
      <c r="CS1656" s="178"/>
      <c r="CT1656" s="178"/>
      <c r="CU1656" s="178"/>
      <c r="CV1656" s="178"/>
      <c r="CW1656" s="178"/>
      <c r="CX1656" s="178"/>
      <c r="CY1656" s="178"/>
      <c r="CZ1656" s="178"/>
      <c r="DA1656" s="150"/>
    </row>
    <row r="1657" spans="53:105" x14ac:dyDescent="0.2">
      <c r="BA1657" s="518">
        <f t="shared" ca="1" si="88"/>
        <v>61</v>
      </c>
      <c r="BB1657" s="174">
        <f t="shared" ca="1" si="89"/>
        <v>1594</v>
      </c>
      <c r="BC1657" s="525" t="e">
        <f ca="1">MATCH(BD1657,OFFSET(Pinlist!$A$2,BC1656*(BA1657=BA1656),0,$BM$23,1),0)+BC1656*(BA1657=BA1656)</f>
        <v>#N/A</v>
      </c>
      <c r="BD1657" s="167">
        <f t="shared" ca="1" si="90"/>
        <v>0</v>
      </c>
      <c r="BE1657" s="191" t="e">
        <f ca="1">(OFFSET(Pinlist!$E$1,BC1657,0)-$BN$16)*$BN$19</f>
        <v>#N/A</v>
      </c>
      <c r="BF1657" s="192" t="e">
        <f ca="1">(OFFSET(Pinlist!$F$1,BC1657,0)-$BO$16)*$BO$19</f>
        <v>#N/A</v>
      </c>
      <c r="BG1657" s="1098" t="str">
        <f ca="1">IF(LEFT(BD1657,2)="RF",OFFSET(Pinlist!$D$1,Chart!BC1657,0)&amp;"_"&amp;OFFSET(Pinlist!$G$1,Chart!BC1657,0),"")</f>
        <v/>
      </c>
      <c r="BH1657" s="1098"/>
      <c r="BI1657" s="178"/>
      <c r="BJ1657" s="178"/>
      <c r="BK1657" s="178"/>
      <c r="BL1657" s="178"/>
      <c r="BM1657" s="178"/>
      <c r="BN1657" s="178"/>
      <c r="BO1657" s="178"/>
      <c r="BP1657" s="178"/>
      <c r="BQ1657" s="196"/>
      <c r="BR1657" s="196"/>
      <c r="BS1657" s="196"/>
      <c r="BT1657" s="196"/>
      <c r="BU1657" s="196"/>
      <c r="BV1657" s="196"/>
      <c r="BW1657" s="178"/>
      <c r="BX1657" s="196"/>
      <c r="BY1657" s="196"/>
      <c r="BZ1657" s="196"/>
      <c r="CA1657" s="196"/>
      <c r="CB1657" s="178"/>
      <c r="CC1657" s="178"/>
      <c r="CD1657" s="202"/>
      <c r="CE1657" s="202"/>
      <c r="CF1657" s="178"/>
      <c r="CG1657" s="196"/>
      <c r="CH1657" s="178"/>
      <c r="CI1657" s="178"/>
      <c r="CJ1657" s="178"/>
      <c r="CK1657" s="178"/>
      <c r="CL1657" s="178"/>
      <c r="CM1657" s="178"/>
      <c r="CN1657" s="178"/>
      <c r="CO1657" s="178"/>
      <c r="CP1657" s="178"/>
      <c r="CQ1657" s="178"/>
      <c r="CR1657" s="178"/>
      <c r="CS1657" s="178"/>
      <c r="CT1657" s="178"/>
      <c r="CU1657" s="178"/>
      <c r="CV1657" s="178"/>
      <c r="CW1657" s="178"/>
      <c r="CX1657" s="178"/>
      <c r="CY1657" s="178"/>
      <c r="CZ1657" s="178"/>
      <c r="DA1657" s="150"/>
    </row>
    <row r="1658" spans="53:105" x14ac:dyDescent="0.2">
      <c r="BA1658" s="518">
        <f t="shared" ca="1" si="88"/>
        <v>61</v>
      </c>
      <c r="BB1658" s="174">
        <f t="shared" ca="1" si="89"/>
        <v>1595</v>
      </c>
      <c r="BC1658" s="525" t="e">
        <f ca="1">MATCH(BD1658,OFFSET(Pinlist!$A$2,BC1657*(BA1658=BA1657),0,$BM$23,1),0)+BC1657*(BA1658=BA1657)</f>
        <v>#N/A</v>
      </c>
      <c r="BD1658" s="167">
        <f t="shared" ca="1" si="90"/>
        <v>0</v>
      </c>
      <c r="BE1658" s="191" t="e">
        <f ca="1">(OFFSET(Pinlist!$E$1,BC1658,0)-$BN$16)*$BN$19</f>
        <v>#N/A</v>
      </c>
      <c r="BF1658" s="192" t="e">
        <f ca="1">(OFFSET(Pinlist!$F$1,BC1658,0)-$BO$16)*$BO$19</f>
        <v>#N/A</v>
      </c>
      <c r="BG1658" s="1098" t="str">
        <f ca="1">IF(LEFT(BD1658,2)="RF",OFFSET(Pinlist!$D$1,Chart!BC1658,0)&amp;"_"&amp;OFFSET(Pinlist!$G$1,Chart!BC1658,0),"")</f>
        <v/>
      </c>
      <c r="BH1658" s="1098"/>
      <c r="BI1658" s="178"/>
      <c r="BJ1658" s="178"/>
      <c r="BK1658" s="178"/>
      <c r="BL1658" s="178"/>
      <c r="BM1658" s="178"/>
      <c r="BN1658" s="178"/>
      <c r="BO1658" s="178"/>
      <c r="BP1658" s="178"/>
      <c r="BQ1658" s="196"/>
      <c r="BR1658" s="196"/>
      <c r="BS1658" s="196"/>
      <c r="BT1658" s="196"/>
      <c r="BU1658" s="196"/>
      <c r="BV1658" s="196"/>
      <c r="BW1658" s="178"/>
      <c r="BX1658" s="196"/>
      <c r="BY1658" s="196"/>
      <c r="BZ1658" s="196"/>
      <c r="CA1658" s="196"/>
      <c r="CB1658" s="178"/>
      <c r="CC1658" s="178"/>
      <c r="CD1658" s="202"/>
      <c r="CE1658" s="202"/>
      <c r="CF1658" s="178"/>
      <c r="CG1658" s="196"/>
      <c r="CH1658" s="178"/>
      <c r="CI1658" s="178"/>
      <c r="CJ1658" s="178"/>
      <c r="CK1658" s="178"/>
      <c r="CL1658" s="178"/>
      <c r="CM1658" s="178"/>
      <c r="CN1658" s="178"/>
      <c r="CO1658" s="178"/>
      <c r="CP1658" s="178"/>
      <c r="CQ1658" s="178"/>
      <c r="CR1658" s="178"/>
      <c r="CS1658" s="178"/>
      <c r="CT1658" s="178"/>
      <c r="CU1658" s="178"/>
      <c r="CV1658" s="178"/>
      <c r="CW1658" s="178"/>
      <c r="CX1658" s="178"/>
      <c r="CY1658" s="178"/>
      <c r="CZ1658" s="178"/>
      <c r="DA1658" s="150"/>
    </row>
    <row r="1659" spans="53:105" x14ac:dyDescent="0.2">
      <c r="BA1659" s="518">
        <f t="shared" ca="1" si="88"/>
        <v>61</v>
      </c>
      <c r="BB1659" s="174">
        <f t="shared" ca="1" si="89"/>
        <v>1596</v>
      </c>
      <c r="BC1659" s="525" t="e">
        <f ca="1">MATCH(BD1659,OFFSET(Pinlist!$A$2,BC1658*(BA1659=BA1658),0,$BM$23,1),0)+BC1658*(BA1659=BA1658)</f>
        <v>#N/A</v>
      </c>
      <c r="BD1659" s="167">
        <f t="shared" ca="1" si="90"/>
        <v>0</v>
      </c>
      <c r="BE1659" s="191" t="e">
        <f ca="1">(OFFSET(Pinlist!$E$1,BC1659,0)-$BN$16)*$BN$19</f>
        <v>#N/A</v>
      </c>
      <c r="BF1659" s="192" t="e">
        <f ca="1">(OFFSET(Pinlist!$F$1,BC1659,0)-$BO$16)*$BO$19</f>
        <v>#N/A</v>
      </c>
      <c r="BG1659" s="1098" t="str">
        <f ca="1">IF(LEFT(BD1659,2)="RF",OFFSET(Pinlist!$D$1,Chart!BC1659,0)&amp;"_"&amp;OFFSET(Pinlist!$G$1,Chart!BC1659,0),"")</f>
        <v/>
      </c>
      <c r="BH1659" s="1098"/>
      <c r="BI1659" s="178"/>
      <c r="BJ1659" s="178"/>
      <c r="BK1659" s="178"/>
      <c r="BL1659" s="178"/>
      <c r="BM1659" s="178"/>
      <c r="BN1659" s="178"/>
      <c r="BO1659" s="178"/>
      <c r="BP1659" s="178"/>
      <c r="BQ1659" s="196"/>
      <c r="BR1659" s="196"/>
      <c r="BS1659" s="196"/>
      <c r="BT1659" s="196"/>
      <c r="BU1659" s="196"/>
      <c r="BV1659" s="196"/>
      <c r="BW1659" s="178"/>
      <c r="BX1659" s="196"/>
      <c r="BY1659" s="196"/>
      <c r="BZ1659" s="196"/>
      <c r="CA1659" s="196"/>
      <c r="CB1659" s="178"/>
      <c r="CC1659" s="178"/>
      <c r="CD1659" s="202"/>
      <c r="CE1659" s="202"/>
      <c r="CF1659" s="178"/>
      <c r="CG1659" s="196"/>
      <c r="CH1659" s="178"/>
      <c r="CI1659" s="178"/>
      <c r="CJ1659" s="178"/>
      <c r="CK1659" s="178"/>
      <c r="CL1659" s="178"/>
      <c r="CM1659" s="178"/>
      <c r="CN1659" s="178"/>
      <c r="CO1659" s="178"/>
      <c r="CP1659" s="178"/>
      <c r="CQ1659" s="178"/>
      <c r="CR1659" s="178"/>
      <c r="CS1659" s="178"/>
      <c r="CT1659" s="178"/>
      <c r="CU1659" s="178"/>
      <c r="CV1659" s="178"/>
      <c r="CW1659" s="178"/>
      <c r="CX1659" s="178"/>
      <c r="CY1659" s="178"/>
      <c r="CZ1659" s="178"/>
      <c r="DA1659" s="150"/>
    </row>
    <row r="1660" spans="53:105" x14ac:dyDescent="0.2">
      <c r="BA1660" s="518">
        <f t="shared" ca="1" si="88"/>
        <v>61</v>
      </c>
      <c r="BB1660" s="174">
        <f t="shared" ca="1" si="89"/>
        <v>1597</v>
      </c>
      <c r="BC1660" s="525" t="e">
        <f ca="1">MATCH(BD1660,OFFSET(Pinlist!$A$2,BC1659*(BA1660=BA1659),0,$BM$23,1),0)+BC1659*(BA1660=BA1659)</f>
        <v>#N/A</v>
      </c>
      <c r="BD1660" s="167">
        <f t="shared" ca="1" si="90"/>
        <v>0</v>
      </c>
      <c r="BE1660" s="191" t="e">
        <f ca="1">(OFFSET(Pinlist!$E$1,BC1660,0)-$BN$16)*$BN$19</f>
        <v>#N/A</v>
      </c>
      <c r="BF1660" s="192" t="e">
        <f ca="1">(OFFSET(Pinlist!$F$1,BC1660,0)-$BO$16)*$BO$19</f>
        <v>#N/A</v>
      </c>
      <c r="BG1660" s="1098" t="str">
        <f ca="1">IF(LEFT(BD1660,2)="RF",OFFSET(Pinlist!$D$1,Chart!BC1660,0)&amp;"_"&amp;OFFSET(Pinlist!$G$1,Chart!BC1660,0),"")</f>
        <v/>
      </c>
      <c r="BH1660" s="1098"/>
      <c r="BI1660" s="178"/>
      <c r="BJ1660" s="178"/>
      <c r="BK1660" s="178"/>
      <c r="BL1660" s="178"/>
      <c r="BM1660" s="178"/>
      <c r="BN1660" s="178"/>
      <c r="BO1660" s="178"/>
      <c r="BP1660" s="178"/>
      <c r="BQ1660" s="196"/>
      <c r="BR1660" s="196"/>
      <c r="BS1660" s="196"/>
      <c r="BT1660" s="196"/>
      <c r="BU1660" s="196"/>
      <c r="BV1660" s="196"/>
      <c r="BW1660" s="178"/>
      <c r="BX1660" s="196"/>
      <c r="BY1660" s="196"/>
      <c r="BZ1660" s="196"/>
      <c r="CA1660" s="196"/>
      <c r="CB1660" s="178"/>
      <c r="CC1660" s="178"/>
      <c r="CD1660" s="202"/>
      <c r="CE1660" s="202"/>
      <c r="CF1660" s="178"/>
      <c r="CG1660" s="196"/>
      <c r="CH1660" s="178"/>
      <c r="CI1660" s="178"/>
      <c r="CJ1660" s="178"/>
      <c r="CK1660" s="178"/>
      <c r="CL1660" s="178"/>
      <c r="CM1660" s="178"/>
      <c r="CN1660" s="178"/>
      <c r="CO1660" s="178"/>
      <c r="CP1660" s="178"/>
      <c r="CQ1660" s="178"/>
      <c r="CR1660" s="178"/>
      <c r="CS1660" s="178"/>
      <c r="CT1660" s="178"/>
      <c r="CU1660" s="178"/>
      <c r="CV1660" s="178"/>
      <c r="CW1660" s="178"/>
      <c r="CX1660" s="178"/>
      <c r="CY1660" s="178"/>
      <c r="CZ1660" s="178"/>
      <c r="DA1660" s="150"/>
    </row>
    <row r="1661" spans="53:105" x14ac:dyDescent="0.2">
      <c r="BA1661" s="518">
        <f t="shared" ca="1" si="88"/>
        <v>61</v>
      </c>
      <c r="BB1661" s="174">
        <f t="shared" ca="1" si="89"/>
        <v>1598</v>
      </c>
      <c r="BC1661" s="525" t="e">
        <f ca="1">MATCH(BD1661,OFFSET(Pinlist!$A$2,BC1660*(BA1661=BA1660),0,$BM$23,1),0)+BC1660*(BA1661=BA1660)</f>
        <v>#N/A</v>
      </c>
      <c r="BD1661" s="167">
        <f t="shared" ca="1" si="90"/>
        <v>0</v>
      </c>
      <c r="BE1661" s="191" t="e">
        <f ca="1">(OFFSET(Pinlist!$E$1,BC1661,0)-$BN$16)*$BN$19</f>
        <v>#N/A</v>
      </c>
      <c r="BF1661" s="192" t="e">
        <f ca="1">(OFFSET(Pinlist!$F$1,BC1661,0)-$BO$16)*$BO$19</f>
        <v>#N/A</v>
      </c>
      <c r="BG1661" s="1098" t="str">
        <f ca="1">IF(LEFT(BD1661,2)="RF",OFFSET(Pinlist!$D$1,Chart!BC1661,0)&amp;"_"&amp;OFFSET(Pinlist!$G$1,Chart!BC1661,0),"")</f>
        <v/>
      </c>
      <c r="BH1661" s="1098"/>
      <c r="BI1661" s="178"/>
      <c r="BJ1661" s="178"/>
      <c r="BK1661" s="178"/>
      <c r="BL1661" s="178"/>
      <c r="BM1661" s="178"/>
      <c r="BN1661" s="178"/>
      <c r="BO1661" s="178"/>
      <c r="BP1661" s="178"/>
      <c r="BQ1661" s="196"/>
      <c r="BR1661" s="196"/>
      <c r="BS1661" s="196"/>
      <c r="BT1661" s="196"/>
      <c r="BU1661" s="196"/>
      <c r="BV1661" s="196"/>
      <c r="BW1661" s="178"/>
      <c r="BX1661" s="196"/>
      <c r="BY1661" s="196"/>
      <c r="BZ1661" s="196"/>
      <c r="CA1661" s="196"/>
      <c r="CB1661" s="178"/>
      <c r="CC1661" s="178"/>
      <c r="CD1661" s="202"/>
      <c r="CE1661" s="202"/>
      <c r="CF1661" s="178"/>
      <c r="CG1661" s="196"/>
      <c r="CH1661" s="178"/>
      <c r="CI1661" s="178"/>
      <c r="CJ1661" s="178"/>
      <c r="CK1661" s="178"/>
      <c r="CL1661" s="178"/>
      <c r="CM1661" s="178"/>
      <c r="CN1661" s="178"/>
      <c r="CO1661" s="178"/>
      <c r="CP1661" s="178"/>
      <c r="CQ1661" s="178"/>
      <c r="CR1661" s="178"/>
      <c r="CS1661" s="178"/>
      <c r="CT1661" s="178"/>
      <c r="CU1661" s="178"/>
      <c r="CV1661" s="178"/>
      <c r="CW1661" s="178"/>
      <c r="CX1661" s="178"/>
      <c r="CY1661" s="178"/>
      <c r="CZ1661" s="178"/>
      <c r="DA1661" s="150"/>
    </row>
    <row r="1662" spans="53:105" x14ac:dyDescent="0.2">
      <c r="BA1662" s="518">
        <f t="shared" ca="1" si="88"/>
        <v>61</v>
      </c>
      <c r="BB1662" s="174">
        <f t="shared" ca="1" si="89"/>
        <v>1599</v>
      </c>
      <c r="BC1662" s="525" t="e">
        <f ca="1">MATCH(BD1662,OFFSET(Pinlist!$A$2,BC1661*(BA1662=BA1661),0,$BM$23,1),0)+BC1661*(BA1662=BA1661)</f>
        <v>#N/A</v>
      </c>
      <c r="BD1662" s="167">
        <f t="shared" ca="1" si="90"/>
        <v>0</v>
      </c>
      <c r="BE1662" s="191" t="e">
        <f ca="1">(OFFSET(Pinlist!$E$1,BC1662,0)-$BN$16)*$BN$19</f>
        <v>#N/A</v>
      </c>
      <c r="BF1662" s="192" t="e">
        <f ca="1">(OFFSET(Pinlist!$F$1,BC1662,0)-$BO$16)*$BO$19</f>
        <v>#N/A</v>
      </c>
      <c r="BG1662" s="1098" t="str">
        <f ca="1">IF(LEFT(BD1662,2)="RF",OFFSET(Pinlist!$D$1,Chart!BC1662,0)&amp;"_"&amp;OFFSET(Pinlist!$G$1,Chart!BC1662,0),"")</f>
        <v/>
      </c>
      <c r="BH1662" s="1098"/>
      <c r="BI1662" s="178"/>
      <c r="BJ1662" s="178"/>
      <c r="BK1662" s="178"/>
      <c r="BL1662" s="178"/>
      <c r="BM1662" s="178"/>
      <c r="BN1662" s="178"/>
      <c r="BO1662" s="178"/>
      <c r="BP1662" s="178"/>
      <c r="BQ1662" s="196"/>
      <c r="BR1662" s="196"/>
      <c r="BS1662" s="196"/>
      <c r="BT1662" s="196"/>
      <c r="BU1662" s="196"/>
      <c r="BV1662" s="196"/>
      <c r="BW1662" s="178"/>
      <c r="BX1662" s="196"/>
      <c r="BY1662" s="196"/>
      <c r="BZ1662" s="196"/>
      <c r="CA1662" s="196"/>
      <c r="CB1662" s="178"/>
      <c r="CC1662" s="178"/>
      <c r="CD1662" s="202"/>
      <c r="CE1662" s="202"/>
      <c r="CF1662" s="178"/>
      <c r="CG1662" s="196"/>
      <c r="CH1662" s="178"/>
      <c r="CI1662" s="178"/>
      <c r="CJ1662" s="178"/>
      <c r="CK1662" s="178"/>
      <c r="CL1662" s="178"/>
      <c r="CM1662" s="178"/>
      <c r="CN1662" s="178"/>
      <c r="CO1662" s="178"/>
      <c r="CP1662" s="178"/>
      <c r="CQ1662" s="178"/>
      <c r="CR1662" s="178"/>
      <c r="CS1662" s="178"/>
      <c r="CT1662" s="178"/>
      <c r="CU1662" s="178"/>
      <c r="CV1662" s="178"/>
      <c r="CW1662" s="178"/>
      <c r="CX1662" s="178"/>
      <c r="CY1662" s="178"/>
      <c r="CZ1662" s="178"/>
      <c r="DA1662" s="150"/>
    </row>
    <row r="1663" spans="53:105" x14ac:dyDescent="0.2">
      <c r="BA1663" s="518">
        <f t="shared" ca="1" si="88"/>
        <v>61</v>
      </c>
      <c r="BB1663" s="174">
        <f t="shared" ca="1" si="89"/>
        <v>1600</v>
      </c>
      <c r="BC1663" s="525" t="e">
        <f ca="1">MATCH(BD1663,OFFSET(Pinlist!$A$2,BC1662*(BA1663=BA1662),0,$BM$23,1),0)+BC1662*(BA1663=BA1662)</f>
        <v>#N/A</v>
      </c>
      <c r="BD1663" s="167">
        <f t="shared" ca="1" si="90"/>
        <v>0</v>
      </c>
      <c r="BE1663" s="191" t="e">
        <f ca="1">(OFFSET(Pinlist!$E$1,BC1663,0)-$BN$16)*$BN$19</f>
        <v>#N/A</v>
      </c>
      <c r="BF1663" s="192" t="e">
        <f ca="1">(OFFSET(Pinlist!$F$1,BC1663,0)-$BO$16)*$BO$19</f>
        <v>#N/A</v>
      </c>
      <c r="BG1663" s="1098" t="str">
        <f ca="1">IF(LEFT(BD1663,2)="RF",OFFSET(Pinlist!$D$1,Chart!BC1663,0)&amp;"_"&amp;OFFSET(Pinlist!$G$1,Chart!BC1663,0),"")</f>
        <v/>
      </c>
      <c r="BH1663" s="1098"/>
      <c r="BI1663" s="178"/>
      <c r="BJ1663" s="178"/>
      <c r="BK1663" s="178"/>
      <c r="BL1663" s="178"/>
      <c r="BM1663" s="178"/>
      <c r="BN1663" s="178"/>
      <c r="BO1663" s="178"/>
      <c r="BP1663" s="178"/>
      <c r="BQ1663" s="196"/>
      <c r="BR1663" s="196"/>
      <c r="BS1663" s="196"/>
      <c r="BT1663" s="196"/>
      <c r="BU1663" s="196"/>
      <c r="BV1663" s="196"/>
      <c r="BW1663" s="178"/>
      <c r="BX1663" s="196"/>
      <c r="BY1663" s="196"/>
      <c r="BZ1663" s="196"/>
      <c r="CA1663" s="196"/>
      <c r="CB1663" s="178"/>
      <c r="CC1663" s="178"/>
      <c r="CD1663" s="202"/>
      <c r="CE1663" s="202"/>
      <c r="CF1663" s="178"/>
      <c r="CG1663" s="196"/>
      <c r="CH1663" s="178"/>
      <c r="CI1663" s="178"/>
      <c r="CJ1663" s="178"/>
      <c r="CK1663" s="178"/>
      <c r="CL1663" s="178"/>
      <c r="CM1663" s="178"/>
      <c r="CN1663" s="178"/>
      <c r="CO1663" s="178"/>
      <c r="CP1663" s="178"/>
      <c r="CQ1663" s="178"/>
      <c r="CR1663" s="178"/>
      <c r="CS1663" s="178"/>
      <c r="CT1663" s="178"/>
      <c r="CU1663" s="178"/>
      <c r="CV1663" s="178"/>
      <c r="CW1663" s="178"/>
      <c r="CX1663" s="178"/>
      <c r="CY1663" s="178"/>
      <c r="CZ1663" s="178"/>
      <c r="DA1663" s="150"/>
    </row>
    <row r="1664" spans="53:105" x14ac:dyDescent="0.2">
      <c r="BA1664" s="518">
        <f t="shared" ca="1" si="88"/>
        <v>61</v>
      </c>
      <c r="BB1664" s="174">
        <f t="shared" ca="1" si="89"/>
        <v>1601</v>
      </c>
      <c r="BC1664" s="525" t="e">
        <f ca="1">MATCH(BD1664,OFFSET(Pinlist!$A$2,BC1663*(BA1664=BA1663),0,$BM$23,1),0)+BC1663*(BA1664=BA1663)</f>
        <v>#N/A</v>
      </c>
      <c r="BD1664" s="167">
        <f t="shared" ca="1" si="90"/>
        <v>0</v>
      </c>
      <c r="BE1664" s="191" t="e">
        <f ca="1">(OFFSET(Pinlist!$E$1,BC1664,0)-$BN$16)*$BN$19</f>
        <v>#N/A</v>
      </c>
      <c r="BF1664" s="192" t="e">
        <f ca="1">(OFFSET(Pinlist!$F$1,BC1664,0)-$BO$16)*$BO$19</f>
        <v>#N/A</v>
      </c>
      <c r="BG1664" s="1098" t="str">
        <f ca="1">IF(LEFT(BD1664,2)="RF",OFFSET(Pinlist!$D$1,Chart!BC1664,0)&amp;"_"&amp;OFFSET(Pinlist!$G$1,Chart!BC1664,0),"")</f>
        <v/>
      </c>
      <c r="BH1664" s="1098"/>
      <c r="BI1664" s="178"/>
      <c r="BJ1664" s="178"/>
      <c r="BK1664" s="178"/>
      <c r="BL1664" s="178"/>
      <c r="BM1664" s="178"/>
      <c r="BN1664" s="178"/>
      <c r="BO1664" s="178"/>
      <c r="BP1664" s="178"/>
      <c r="BQ1664" s="196"/>
      <c r="BR1664" s="196"/>
      <c r="BS1664" s="196"/>
      <c r="BT1664" s="196"/>
      <c r="BU1664" s="196"/>
      <c r="BV1664" s="196"/>
      <c r="BW1664" s="178"/>
      <c r="BX1664" s="196"/>
      <c r="BY1664" s="196"/>
      <c r="BZ1664" s="196"/>
      <c r="CA1664" s="196"/>
      <c r="CB1664" s="178"/>
      <c r="CC1664" s="178"/>
      <c r="CD1664" s="202"/>
      <c r="CE1664" s="202"/>
      <c r="CF1664" s="178"/>
      <c r="CG1664" s="196"/>
      <c r="CH1664" s="178"/>
      <c r="CI1664" s="178"/>
      <c r="CJ1664" s="178"/>
      <c r="CK1664" s="178"/>
      <c r="CL1664" s="178"/>
      <c r="CM1664" s="178"/>
      <c r="CN1664" s="178"/>
      <c r="CO1664" s="178"/>
      <c r="CP1664" s="178"/>
      <c r="CQ1664" s="178"/>
      <c r="CR1664" s="178"/>
      <c r="CS1664" s="178"/>
      <c r="CT1664" s="178"/>
      <c r="CU1664" s="178"/>
      <c r="CV1664" s="178"/>
      <c r="CW1664" s="178"/>
      <c r="CX1664" s="178"/>
      <c r="CY1664" s="178"/>
      <c r="CZ1664" s="178"/>
      <c r="DA1664" s="150"/>
    </row>
    <row r="1665" spans="53:105" x14ac:dyDescent="0.2">
      <c r="BA1665" s="518">
        <f t="shared" ca="1" si="88"/>
        <v>61</v>
      </c>
      <c r="BB1665" s="174">
        <f t="shared" ca="1" si="89"/>
        <v>1602</v>
      </c>
      <c r="BC1665" s="525" t="e">
        <f ca="1">MATCH(BD1665,OFFSET(Pinlist!$A$2,BC1664*(BA1665=BA1664),0,$BM$23,1),0)+BC1664*(BA1665=BA1664)</f>
        <v>#N/A</v>
      </c>
      <c r="BD1665" s="167">
        <f t="shared" ca="1" si="90"/>
        <v>0</v>
      </c>
      <c r="BE1665" s="191" t="e">
        <f ca="1">(OFFSET(Pinlist!$E$1,BC1665,0)-$BN$16)*$BN$19</f>
        <v>#N/A</v>
      </c>
      <c r="BF1665" s="192" t="e">
        <f ca="1">(OFFSET(Pinlist!$F$1,BC1665,0)-$BO$16)*$BO$19</f>
        <v>#N/A</v>
      </c>
      <c r="BG1665" s="1098" t="str">
        <f ca="1">IF(LEFT(BD1665,2)="RF",OFFSET(Pinlist!$D$1,Chart!BC1665,0)&amp;"_"&amp;OFFSET(Pinlist!$G$1,Chart!BC1665,0),"")</f>
        <v/>
      </c>
      <c r="BH1665" s="1098"/>
      <c r="BI1665" s="178"/>
      <c r="BJ1665" s="178"/>
      <c r="BK1665" s="178"/>
      <c r="BL1665" s="178"/>
      <c r="BM1665" s="178"/>
      <c r="BN1665" s="178"/>
      <c r="BO1665" s="178"/>
      <c r="BP1665" s="178"/>
      <c r="BQ1665" s="196"/>
      <c r="BR1665" s="196"/>
      <c r="BS1665" s="196"/>
      <c r="BT1665" s="196"/>
      <c r="BU1665" s="196"/>
      <c r="BV1665" s="196"/>
      <c r="BW1665" s="178"/>
      <c r="BX1665" s="196"/>
      <c r="BY1665" s="196"/>
      <c r="BZ1665" s="196"/>
      <c r="CA1665" s="196"/>
      <c r="CB1665" s="178"/>
      <c r="CC1665" s="178"/>
      <c r="CD1665" s="202"/>
      <c r="CE1665" s="202"/>
      <c r="CF1665" s="178"/>
      <c r="CG1665" s="196"/>
      <c r="CH1665" s="178"/>
      <c r="CI1665" s="178"/>
      <c r="CJ1665" s="178"/>
      <c r="CK1665" s="178"/>
      <c r="CL1665" s="178"/>
      <c r="CM1665" s="178"/>
      <c r="CN1665" s="178"/>
      <c r="CO1665" s="178"/>
      <c r="CP1665" s="178"/>
      <c r="CQ1665" s="178"/>
      <c r="CR1665" s="178"/>
      <c r="CS1665" s="178"/>
      <c r="CT1665" s="178"/>
      <c r="CU1665" s="178"/>
      <c r="CV1665" s="178"/>
      <c r="CW1665" s="178"/>
      <c r="CX1665" s="178"/>
      <c r="CY1665" s="178"/>
      <c r="CZ1665" s="178"/>
      <c r="DA1665" s="150"/>
    </row>
    <row r="1666" spans="53:105" x14ac:dyDescent="0.2">
      <c r="BA1666" s="518">
        <f t="shared" ca="1" si="88"/>
        <v>61</v>
      </c>
      <c r="BB1666" s="174">
        <f t="shared" ca="1" si="89"/>
        <v>1603</v>
      </c>
      <c r="BC1666" s="525" t="e">
        <f ca="1">MATCH(BD1666,OFFSET(Pinlist!$A$2,BC1665*(BA1666=BA1665),0,$BM$23,1),0)+BC1665*(BA1666=BA1665)</f>
        <v>#N/A</v>
      </c>
      <c r="BD1666" s="167">
        <f t="shared" ca="1" si="90"/>
        <v>0</v>
      </c>
      <c r="BE1666" s="191" t="e">
        <f ca="1">(OFFSET(Pinlist!$E$1,BC1666,0)-$BN$16)*$BN$19</f>
        <v>#N/A</v>
      </c>
      <c r="BF1666" s="192" t="e">
        <f ca="1">(OFFSET(Pinlist!$F$1,BC1666,0)-$BO$16)*$BO$19</f>
        <v>#N/A</v>
      </c>
      <c r="BG1666" s="1098" t="str">
        <f ca="1">IF(LEFT(BD1666,2)="RF",OFFSET(Pinlist!$D$1,Chart!BC1666,0)&amp;"_"&amp;OFFSET(Pinlist!$G$1,Chart!BC1666,0),"")</f>
        <v/>
      </c>
      <c r="BH1666" s="1098"/>
      <c r="BI1666" s="178"/>
      <c r="BJ1666" s="178"/>
      <c r="BK1666" s="178"/>
      <c r="BL1666" s="178"/>
      <c r="BM1666" s="178"/>
      <c r="BN1666" s="178"/>
      <c r="BO1666" s="178"/>
      <c r="BP1666" s="178"/>
      <c r="BQ1666" s="196"/>
      <c r="BR1666" s="196"/>
      <c r="BS1666" s="196"/>
      <c r="BT1666" s="196"/>
      <c r="BU1666" s="196"/>
      <c r="BV1666" s="196"/>
      <c r="BW1666" s="178"/>
      <c r="BX1666" s="196"/>
      <c r="BY1666" s="196"/>
      <c r="BZ1666" s="196"/>
      <c r="CA1666" s="196"/>
      <c r="CB1666" s="178"/>
      <c r="CC1666" s="178"/>
      <c r="CD1666" s="202"/>
      <c r="CE1666" s="202"/>
      <c r="CF1666" s="178"/>
      <c r="CG1666" s="196"/>
      <c r="CH1666" s="178"/>
      <c r="CI1666" s="178"/>
      <c r="CJ1666" s="178"/>
      <c r="CK1666" s="178"/>
      <c r="CL1666" s="178"/>
      <c r="CM1666" s="178"/>
      <c r="CN1666" s="178"/>
      <c r="CO1666" s="178"/>
      <c r="CP1666" s="178"/>
      <c r="CQ1666" s="178"/>
      <c r="CR1666" s="178"/>
      <c r="CS1666" s="178"/>
      <c r="CT1666" s="178"/>
      <c r="CU1666" s="178"/>
      <c r="CV1666" s="178"/>
      <c r="CW1666" s="178"/>
      <c r="CX1666" s="178"/>
      <c r="CY1666" s="178"/>
      <c r="CZ1666" s="178"/>
      <c r="DA1666" s="150"/>
    </row>
    <row r="1667" spans="53:105" x14ac:dyDescent="0.2">
      <c r="BA1667" s="518">
        <f t="shared" ca="1" si="88"/>
        <v>61</v>
      </c>
      <c r="BB1667" s="174">
        <f t="shared" ca="1" si="89"/>
        <v>1604</v>
      </c>
      <c r="BC1667" s="525" t="e">
        <f ca="1">MATCH(BD1667,OFFSET(Pinlist!$A$2,BC1666*(BA1667=BA1666),0,$BM$23,1),0)+BC1666*(BA1667=BA1666)</f>
        <v>#N/A</v>
      </c>
      <c r="BD1667" s="167">
        <f t="shared" ca="1" si="90"/>
        <v>0</v>
      </c>
      <c r="BE1667" s="191" t="e">
        <f ca="1">(OFFSET(Pinlist!$E$1,BC1667,0)-$BN$16)*$BN$19</f>
        <v>#N/A</v>
      </c>
      <c r="BF1667" s="192" t="e">
        <f ca="1">(OFFSET(Pinlist!$F$1,BC1667,0)-$BO$16)*$BO$19</f>
        <v>#N/A</v>
      </c>
      <c r="BG1667" s="1098" t="str">
        <f ca="1">IF(LEFT(BD1667,2)="RF",OFFSET(Pinlist!$D$1,Chart!BC1667,0)&amp;"_"&amp;OFFSET(Pinlist!$G$1,Chart!BC1667,0),"")</f>
        <v/>
      </c>
      <c r="BH1667" s="1098"/>
      <c r="BI1667" s="178"/>
      <c r="BJ1667" s="178"/>
      <c r="BK1667" s="178"/>
      <c r="BL1667" s="178"/>
      <c r="BM1667" s="178"/>
      <c r="BN1667" s="178"/>
      <c r="BO1667" s="178"/>
      <c r="BP1667" s="178"/>
      <c r="BQ1667" s="196"/>
      <c r="BR1667" s="196"/>
      <c r="BS1667" s="196"/>
      <c r="BT1667" s="196"/>
      <c r="BU1667" s="196"/>
      <c r="BV1667" s="196"/>
      <c r="BW1667" s="178"/>
      <c r="BX1667" s="196"/>
      <c r="BY1667" s="196"/>
      <c r="BZ1667" s="196"/>
      <c r="CA1667" s="196"/>
      <c r="CB1667" s="178"/>
      <c r="CC1667" s="178"/>
      <c r="CD1667" s="202"/>
      <c r="CE1667" s="202"/>
      <c r="CF1667" s="178"/>
      <c r="CG1667" s="196"/>
      <c r="CH1667" s="178"/>
      <c r="CI1667" s="178"/>
      <c r="CJ1667" s="178"/>
      <c r="CK1667" s="178"/>
      <c r="CL1667" s="178"/>
      <c r="CM1667" s="178"/>
      <c r="CN1667" s="178"/>
      <c r="CO1667" s="178"/>
      <c r="CP1667" s="178"/>
      <c r="CQ1667" s="178"/>
      <c r="CR1667" s="178"/>
      <c r="CS1667" s="178"/>
      <c r="CT1667" s="178"/>
      <c r="CU1667" s="178"/>
      <c r="CV1667" s="178"/>
      <c r="CW1667" s="178"/>
      <c r="CX1667" s="178"/>
      <c r="CY1667" s="178"/>
      <c r="CZ1667" s="178"/>
      <c r="DA1667" s="150"/>
    </row>
    <row r="1668" spans="53:105" x14ac:dyDescent="0.2">
      <c r="BA1668" s="518">
        <f t="shared" ref="BA1668:BA1731" ca="1" si="91">BA1667+(BB1667=OFFSET($BZ$3,BA1667,0))</f>
        <v>61</v>
      </c>
      <c r="BB1668" s="174">
        <f t="shared" ref="BB1668:BB1731" ca="1" si="92">IF(BA1668=BA1667,BB1667+1,1)</f>
        <v>1605</v>
      </c>
      <c r="BC1668" s="525" t="e">
        <f ca="1">MATCH(BD1668,OFFSET(Pinlist!$A$2,BC1667*(BA1668=BA1667),0,$BM$23,1),0)+BC1667*(BA1668=BA1667)</f>
        <v>#N/A</v>
      </c>
      <c r="BD1668" s="167">
        <f t="shared" ref="BD1668:BD1731" ca="1" si="93">OFFSET($BY$3,BA1668,0)</f>
        <v>0</v>
      </c>
      <c r="BE1668" s="191" t="e">
        <f ca="1">(OFFSET(Pinlist!$E$1,BC1668,0)-$BN$16)*$BN$19</f>
        <v>#N/A</v>
      </c>
      <c r="BF1668" s="192" t="e">
        <f ca="1">(OFFSET(Pinlist!$F$1,BC1668,0)-$BO$16)*$BO$19</f>
        <v>#N/A</v>
      </c>
      <c r="BG1668" s="1098" t="str">
        <f ca="1">IF(LEFT(BD1668,2)="RF",OFFSET(Pinlist!$D$1,Chart!BC1668,0)&amp;"_"&amp;OFFSET(Pinlist!$G$1,Chart!BC1668,0),"")</f>
        <v/>
      </c>
      <c r="BH1668" s="1098"/>
      <c r="BI1668" s="178"/>
      <c r="BJ1668" s="178"/>
      <c r="BK1668" s="178"/>
      <c r="BL1668" s="178"/>
      <c r="BM1668" s="178"/>
      <c r="BN1668" s="178"/>
      <c r="BO1668" s="178"/>
      <c r="BP1668" s="178"/>
      <c r="BQ1668" s="196"/>
      <c r="BR1668" s="196"/>
      <c r="BS1668" s="196"/>
      <c r="BT1668" s="196"/>
      <c r="BU1668" s="196"/>
      <c r="BV1668" s="196"/>
      <c r="BW1668" s="178"/>
      <c r="BX1668" s="196"/>
      <c r="BY1668" s="196"/>
      <c r="BZ1668" s="196"/>
      <c r="CA1668" s="196"/>
      <c r="CB1668" s="178"/>
      <c r="CC1668" s="178"/>
      <c r="CD1668" s="202"/>
      <c r="CE1668" s="202"/>
      <c r="CF1668" s="178"/>
      <c r="CG1668" s="196"/>
      <c r="CH1668" s="178"/>
      <c r="CI1668" s="178"/>
      <c r="CJ1668" s="178"/>
      <c r="CK1668" s="178"/>
      <c r="CL1668" s="178"/>
      <c r="CM1668" s="178"/>
      <c r="CN1668" s="178"/>
      <c r="CO1668" s="178"/>
      <c r="CP1668" s="178"/>
      <c r="CQ1668" s="178"/>
      <c r="CR1668" s="178"/>
      <c r="CS1668" s="178"/>
      <c r="CT1668" s="178"/>
      <c r="CU1668" s="178"/>
      <c r="CV1668" s="178"/>
      <c r="CW1668" s="178"/>
      <c r="CX1668" s="178"/>
      <c r="CY1668" s="178"/>
      <c r="CZ1668" s="178"/>
      <c r="DA1668" s="150"/>
    </row>
    <row r="1669" spans="53:105" x14ac:dyDescent="0.2">
      <c r="BA1669" s="518">
        <f t="shared" ca="1" si="91"/>
        <v>61</v>
      </c>
      <c r="BB1669" s="174">
        <f t="shared" ca="1" si="92"/>
        <v>1606</v>
      </c>
      <c r="BC1669" s="525" t="e">
        <f ca="1">MATCH(BD1669,OFFSET(Pinlist!$A$2,BC1668*(BA1669=BA1668),0,$BM$23,1),0)+BC1668*(BA1669=BA1668)</f>
        <v>#N/A</v>
      </c>
      <c r="BD1669" s="167">
        <f t="shared" ca="1" si="93"/>
        <v>0</v>
      </c>
      <c r="BE1669" s="191" t="e">
        <f ca="1">(OFFSET(Pinlist!$E$1,BC1669,0)-$BN$16)*$BN$19</f>
        <v>#N/A</v>
      </c>
      <c r="BF1669" s="192" t="e">
        <f ca="1">(OFFSET(Pinlist!$F$1,BC1669,0)-$BO$16)*$BO$19</f>
        <v>#N/A</v>
      </c>
      <c r="BG1669" s="1098" t="str">
        <f ca="1">IF(LEFT(BD1669,2)="RF",OFFSET(Pinlist!$D$1,Chart!BC1669,0)&amp;"_"&amp;OFFSET(Pinlist!$G$1,Chart!BC1669,0),"")</f>
        <v/>
      </c>
      <c r="BH1669" s="1098"/>
      <c r="BI1669" s="178"/>
      <c r="BJ1669" s="178"/>
      <c r="BK1669" s="178"/>
      <c r="BL1669" s="178"/>
      <c r="BM1669" s="178"/>
      <c r="BN1669" s="178"/>
      <c r="BO1669" s="178"/>
      <c r="BP1669" s="178"/>
      <c r="BQ1669" s="196"/>
      <c r="BR1669" s="196"/>
      <c r="BS1669" s="196"/>
      <c r="BT1669" s="196"/>
      <c r="BU1669" s="196"/>
      <c r="BV1669" s="196"/>
      <c r="BW1669" s="178"/>
      <c r="BX1669" s="196"/>
      <c r="BY1669" s="196"/>
      <c r="BZ1669" s="196"/>
      <c r="CA1669" s="196"/>
      <c r="CB1669" s="178"/>
      <c r="CC1669" s="178"/>
      <c r="CD1669" s="202"/>
      <c r="CE1669" s="202"/>
      <c r="CF1669" s="178"/>
      <c r="CG1669" s="196"/>
      <c r="CH1669" s="178"/>
      <c r="CI1669" s="178"/>
      <c r="CJ1669" s="178"/>
      <c r="CK1669" s="178"/>
      <c r="CL1669" s="178"/>
      <c r="CM1669" s="178"/>
      <c r="CN1669" s="178"/>
      <c r="CO1669" s="178"/>
      <c r="CP1669" s="178"/>
      <c r="CQ1669" s="178"/>
      <c r="CR1669" s="178"/>
      <c r="CS1669" s="178"/>
      <c r="CT1669" s="178"/>
      <c r="CU1669" s="178"/>
      <c r="CV1669" s="178"/>
      <c r="CW1669" s="178"/>
      <c r="CX1669" s="178"/>
      <c r="CY1669" s="178"/>
      <c r="CZ1669" s="178"/>
      <c r="DA1669" s="150"/>
    </row>
    <row r="1670" spans="53:105" x14ac:dyDescent="0.2">
      <c r="BA1670" s="518">
        <f t="shared" ca="1" si="91"/>
        <v>61</v>
      </c>
      <c r="BB1670" s="174">
        <f t="shared" ca="1" si="92"/>
        <v>1607</v>
      </c>
      <c r="BC1670" s="525" t="e">
        <f ca="1">MATCH(BD1670,OFFSET(Pinlist!$A$2,BC1669*(BA1670=BA1669),0,$BM$23,1),0)+BC1669*(BA1670=BA1669)</f>
        <v>#N/A</v>
      </c>
      <c r="BD1670" s="167">
        <f t="shared" ca="1" si="93"/>
        <v>0</v>
      </c>
      <c r="BE1670" s="191" t="e">
        <f ca="1">(OFFSET(Pinlist!$E$1,BC1670,0)-$BN$16)*$BN$19</f>
        <v>#N/A</v>
      </c>
      <c r="BF1670" s="192" t="e">
        <f ca="1">(OFFSET(Pinlist!$F$1,BC1670,0)-$BO$16)*$BO$19</f>
        <v>#N/A</v>
      </c>
      <c r="BG1670" s="1098" t="str">
        <f ca="1">IF(LEFT(BD1670,2)="RF",OFFSET(Pinlist!$D$1,Chart!BC1670,0)&amp;"_"&amp;OFFSET(Pinlist!$G$1,Chart!BC1670,0),"")</f>
        <v/>
      </c>
      <c r="BH1670" s="1098"/>
      <c r="BI1670" s="178"/>
      <c r="BJ1670" s="178"/>
      <c r="BK1670" s="178"/>
      <c r="BL1670" s="178"/>
      <c r="BM1670" s="178"/>
      <c r="BN1670" s="178"/>
      <c r="BO1670" s="178"/>
      <c r="BP1670" s="178"/>
      <c r="BQ1670" s="196"/>
      <c r="BR1670" s="196"/>
      <c r="BS1670" s="196"/>
      <c r="BT1670" s="196"/>
      <c r="BU1670" s="196"/>
      <c r="BV1670" s="196"/>
      <c r="BW1670" s="178"/>
      <c r="BX1670" s="196"/>
      <c r="BY1670" s="196"/>
      <c r="BZ1670" s="196"/>
      <c r="CA1670" s="196"/>
      <c r="CB1670" s="178"/>
      <c r="CC1670" s="178"/>
      <c r="CD1670" s="202"/>
      <c r="CE1670" s="202"/>
      <c r="CF1670" s="178"/>
      <c r="CG1670" s="196"/>
      <c r="CH1670" s="178"/>
      <c r="CI1670" s="178"/>
      <c r="CJ1670" s="178"/>
      <c r="CK1670" s="178"/>
      <c r="CL1670" s="178"/>
      <c r="CM1670" s="178"/>
      <c r="CN1670" s="178"/>
      <c r="CO1670" s="178"/>
      <c r="CP1670" s="178"/>
      <c r="CQ1670" s="178"/>
      <c r="CR1670" s="178"/>
      <c r="CS1670" s="178"/>
      <c r="CT1670" s="178"/>
      <c r="CU1670" s="178"/>
      <c r="CV1670" s="178"/>
      <c r="CW1670" s="178"/>
      <c r="CX1670" s="178"/>
      <c r="CY1670" s="178"/>
      <c r="CZ1670" s="178"/>
      <c r="DA1670" s="150"/>
    </row>
    <row r="1671" spans="53:105" x14ac:dyDescent="0.2">
      <c r="BA1671" s="518">
        <f t="shared" ca="1" si="91"/>
        <v>61</v>
      </c>
      <c r="BB1671" s="174">
        <f t="shared" ca="1" si="92"/>
        <v>1608</v>
      </c>
      <c r="BC1671" s="525" t="e">
        <f ca="1">MATCH(BD1671,OFFSET(Pinlist!$A$2,BC1670*(BA1671=BA1670),0,$BM$23,1),0)+BC1670*(BA1671=BA1670)</f>
        <v>#N/A</v>
      </c>
      <c r="BD1671" s="167">
        <f t="shared" ca="1" si="93"/>
        <v>0</v>
      </c>
      <c r="BE1671" s="191" t="e">
        <f ca="1">(OFFSET(Pinlist!$E$1,BC1671,0)-$BN$16)*$BN$19</f>
        <v>#N/A</v>
      </c>
      <c r="BF1671" s="192" t="e">
        <f ca="1">(OFFSET(Pinlist!$F$1,BC1671,0)-$BO$16)*$BO$19</f>
        <v>#N/A</v>
      </c>
      <c r="BG1671" s="1098" t="str">
        <f ca="1">IF(LEFT(BD1671,2)="RF",OFFSET(Pinlist!$D$1,Chart!BC1671,0)&amp;"_"&amp;OFFSET(Pinlist!$G$1,Chart!BC1671,0),"")</f>
        <v/>
      </c>
      <c r="BH1671" s="1098"/>
      <c r="BI1671" s="178"/>
      <c r="BJ1671" s="178"/>
      <c r="BK1671" s="178"/>
      <c r="BL1671" s="178"/>
      <c r="BM1671" s="178"/>
      <c r="BN1671" s="178"/>
      <c r="BO1671" s="178"/>
      <c r="BP1671" s="178"/>
      <c r="BQ1671" s="196"/>
      <c r="BR1671" s="196"/>
      <c r="BS1671" s="196"/>
      <c r="BT1671" s="196"/>
      <c r="BU1671" s="196"/>
      <c r="BV1671" s="196"/>
      <c r="BW1671" s="178"/>
      <c r="BX1671" s="196"/>
      <c r="BY1671" s="196"/>
      <c r="BZ1671" s="196"/>
      <c r="CA1671" s="196"/>
      <c r="CB1671" s="178"/>
      <c r="CC1671" s="178"/>
      <c r="CD1671" s="202"/>
      <c r="CE1671" s="202"/>
      <c r="CF1671" s="178"/>
      <c r="CG1671" s="196"/>
      <c r="CH1671" s="178"/>
      <c r="CI1671" s="178"/>
      <c r="CJ1671" s="178"/>
      <c r="CK1671" s="178"/>
      <c r="CL1671" s="178"/>
      <c r="CM1671" s="178"/>
      <c r="CN1671" s="178"/>
      <c r="CO1671" s="178"/>
      <c r="CP1671" s="178"/>
      <c r="CQ1671" s="178"/>
      <c r="CR1671" s="178"/>
      <c r="CS1671" s="178"/>
      <c r="CT1671" s="178"/>
      <c r="CU1671" s="178"/>
      <c r="CV1671" s="178"/>
      <c r="CW1671" s="178"/>
      <c r="CX1671" s="178"/>
      <c r="CY1671" s="178"/>
      <c r="CZ1671" s="178"/>
      <c r="DA1671" s="150"/>
    </row>
    <row r="1672" spans="53:105" x14ac:dyDescent="0.2">
      <c r="BA1672" s="518">
        <f t="shared" ca="1" si="91"/>
        <v>61</v>
      </c>
      <c r="BB1672" s="174">
        <f t="shared" ca="1" si="92"/>
        <v>1609</v>
      </c>
      <c r="BC1672" s="525" t="e">
        <f ca="1">MATCH(BD1672,OFFSET(Pinlist!$A$2,BC1671*(BA1672=BA1671),0,$BM$23,1),0)+BC1671*(BA1672=BA1671)</f>
        <v>#N/A</v>
      </c>
      <c r="BD1672" s="167">
        <f t="shared" ca="1" si="93"/>
        <v>0</v>
      </c>
      <c r="BE1672" s="191" t="e">
        <f ca="1">(OFFSET(Pinlist!$E$1,BC1672,0)-$BN$16)*$BN$19</f>
        <v>#N/A</v>
      </c>
      <c r="BF1672" s="192" t="e">
        <f ca="1">(OFFSET(Pinlist!$F$1,BC1672,0)-$BO$16)*$BO$19</f>
        <v>#N/A</v>
      </c>
      <c r="BG1672" s="1098" t="str">
        <f ca="1">IF(LEFT(BD1672,2)="RF",OFFSET(Pinlist!$D$1,Chart!BC1672,0)&amp;"_"&amp;OFFSET(Pinlist!$G$1,Chart!BC1672,0),"")</f>
        <v/>
      </c>
      <c r="BH1672" s="1098"/>
      <c r="BI1672" s="178"/>
      <c r="BJ1672" s="178"/>
      <c r="BK1672" s="178"/>
      <c r="BL1672" s="178"/>
      <c r="BM1672" s="178"/>
      <c r="BN1672" s="178"/>
      <c r="BO1672" s="178"/>
      <c r="BP1672" s="178"/>
      <c r="BQ1672" s="196"/>
      <c r="BR1672" s="196"/>
      <c r="BS1672" s="196"/>
      <c r="BT1672" s="196"/>
      <c r="BU1672" s="196"/>
      <c r="BV1672" s="196"/>
      <c r="BW1672" s="178"/>
      <c r="BX1672" s="196"/>
      <c r="BY1672" s="196"/>
      <c r="BZ1672" s="196"/>
      <c r="CA1672" s="196"/>
      <c r="CB1672" s="178"/>
      <c r="CC1672" s="178"/>
      <c r="CD1672" s="202"/>
      <c r="CE1672" s="202"/>
      <c r="CF1672" s="178"/>
      <c r="CG1672" s="196"/>
      <c r="CH1672" s="178"/>
      <c r="CI1672" s="178"/>
      <c r="CJ1672" s="178"/>
      <c r="CK1672" s="178"/>
      <c r="CL1672" s="178"/>
      <c r="CM1672" s="178"/>
      <c r="CN1672" s="178"/>
      <c r="CO1672" s="178"/>
      <c r="CP1672" s="178"/>
      <c r="CQ1672" s="178"/>
      <c r="CR1672" s="178"/>
      <c r="CS1672" s="178"/>
      <c r="CT1672" s="178"/>
      <c r="CU1672" s="178"/>
      <c r="CV1672" s="178"/>
      <c r="CW1672" s="178"/>
      <c r="CX1672" s="178"/>
      <c r="CY1672" s="178"/>
      <c r="CZ1672" s="178"/>
      <c r="DA1672" s="150"/>
    </row>
    <row r="1673" spans="53:105" x14ac:dyDescent="0.2">
      <c r="BA1673" s="518">
        <f t="shared" ca="1" si="91"/>
        <v>61</v>
      </c>
      <c r="BB1673" s="174">
        <f t="shared" ca="1" si="92"/>
        <v>1610</v>
      </c>
      <c r="BC1673" s="525" t="e">
        <f ca="1">MATCH(BD1673,OFFSET(Pinlist!$A$2,BC1672*(BA1673=BA1672),0,$BM$23,1),0)+BC1672*(BA1673=BA1672)</f>
        <v>#N/A</v>
      </c>
      <c r="BD1673" s="167">
        <f t="shared" ca="1" si="93"/>
        <v>0</v>
      </c>
      <c r="BE1673" s="191" t="e">
        <f ca="1">(OFFSET(Pinlist!$E$1,BC1673,0)-$BN$16)*$BN$19</f>
        <v>#N/A</v>
      </c>
      <c r="BF1673" s="192" t="e">
        <f ca="1">(OFFSET(Pinlist!$F$1,BC1673,0)-$BO$16)*$BO$19</f>
        <v>#N/A</v>
      </c>
      <c r="BG1673" s="1098" t="str">
        <f ca="1">IF(LEFT(BD1673,2)="RF",OFFSET(Pinlist!$D$1,Chart!BC1673,0)&amp;"_"&amp;OFFSET(Pinlist!$G$1,Chart!BC1673,0),"")</f>
        <v/>
      </c>
      <c r="BH1673" s="1098"/>
      <c r="BI1673" s="178"/>
      <c r="BJ1673" s="178"/>
      <c r="BK1673" s="178"/>
      <c r="BL1673" s="178"/>
      <c r="BM1673" s="178"/>
      <c r="BN1673" s="178"/>
      <c r="BO1673" s="178"/>
      <c r="BP1673" s="178"/>
      <c r="BQ1673" s="196"/>
      <c r="BR1673" s="196"/>
      <c r="BS1673" s="196"/>
      <c r="BT1673" s="196"/>
      <c r="BU1673" s="196"/>
      <c r="BV1673" s="196"/>
      <c r="BW1673" s="178"/>
      <c r="BX1673" s="196"/>
      <c r="BY1673" s="196"/>
      <c r="BZ1673" s="196"/>
      <c r="CA1673" s="196"/>
      <c r="CB1673" s="178"/>
      <c r="CC1673" s="178"/>
      <c r="CD1673" s="202"/>
      <c r="CE1673" s="202"/>
      <c r="CF1673" s="178"/>
      <c r="CG1673" s="196"/>
      <c r="CH1673" s="178"/>
      <c r="CI1673" s="178"/>
      <c r="CJ1673" s="178"/>
      <c r="CK1673" s="178"/>
      <c r="CL1673" s="178"/>
      <c r="CM1673" s="178"/>
      <c r="CN1673" s="178"/>
      <c r="CO1673" s="178"/>
      <c r="CP1673" s="178"/>
      <c r="CQ1673" s="178"/>
      <c r="CR1673" s="178"/>
      <c r="CS1673" s="178"/>
      <c r="CT1673" s="178"/>
      <c r="CU1673" s="178"/>
      <c r="CV1673" s="178"/>
      <c r="CW1673" s="178"/>
      <c r="CX1673" s="178"/>
      <c r="CY1673" s="178"/>
      <c r="CZ1673" s="178"/>
      <c r="DA1673" s="150"/>
    </row>
    <row r="1674" spans="53:105" x14ac:dyDescent="0.2">
      <c r="BA1674" s="518">
        <f t="shared" ca="1" si="91"/>
        <v>61</v>
      </c>
      <c r="BB1674" s="174">
        <f t="shared" ca="1" si="92"/>
        <v>1611</v>
      </c>
      <c r="BC1674" s="525" t="e">
        <f ca="1">MATCH(BD1674,OFFSET(Pinlist!$A$2,BC1673*(BA1674=BA1673),0,$BM$23,1),0)+BC1673*(BA1674=BA1673)</f>
        <v>#N/A</v>
      </c>
      <c r="BD1674" s="167">
        <f t="shared" ca="1" si="93"/>
        <v>0</v>
      </c>
      <c r="BE1674" s="191" t="e">
        <f ca="1">(OFFSET(Pinlist!$E$1,BC1674,0)-$BN$16)*$BN$19</f>
        <v>#N/A</v>
      </c>
      <c r="BF1674" s="192" t="e">
        <f ca="1">(OFFSET(Pinlist!$F$1,BC1674,0)-$BO$16)*$BO$19</f>
        <v>#N/A</v>
      </c>
      <c r="BG1674" s="1098" t="str">
        <f ca="1">IF(LEFT(BD1674,2)="RF",OFFSET(Pinlist!$D$1,Chart!BC1674,0)&amp;"_"&amp;OFFSET(Pinlist!$G$1,Chart!BC1674,0),"")</f>
        <v/>
      </c>
      <c r="BH1674" s="1098"/>
      <c r="BI1674" s="178"/>
      <c r="BJ1674" s="178"/>
      <c r="BK1674" s="178"/>
      <c r="BL1674" s="178"/>
      <c r="BM1674" s="178"/>
      <c r="BN1674" s="178"/>
      <c r="BO1674" s="178"/>
      <c r="BP1674" s="178"/>
      <c r="BQ1674" s="196"/>
      <c r="BR1674" s="196"/>
      <c r="BS1674" s="196"/>
      <c r="BT1674" s="196"/>
      <c r="BU1674" s="196"/>
      <c r="BV1674" s="196"/>
      <c r="BW1674" s="178"/>
      <c r="BX1674" s="196"/>
      <c r="BY1674" s="196"/>
      <c r="BZ1674" s="196"/>
      <c r="CA1674" s="196"/>
      <c r="CB1674" s="178"/>
      <c r="CC1674" s="178"/>
      <c r="CD1674" s="202"/>
      <c r="CE1674" s="202"/>
      <c r="CF1674" s="178"/>
      <c r="CG1674" s="196"/>
      <c r="CH1674" s="178"/>
      <c r="CI1674" s="178"/>
      <c r="CJ1674" s="178"/>
      <c r="CK1674" s="178"/>
      <c r="CL1674" s="178"/>
      <c r="CM1674" s="178"/>
      <c r="CN1674" s="178"/>
      <c r="CO1674" s="178"/>
      <c r="CP1674" s="178"/>
      <c r="CQ1674" s="178"/>
      <c r="CR1674" s="178"/>
      <c r="CS1674" s="178"/>
      <c r="CT1674" s="178"/>
      <c r="CU1674" s="178"/>
      <c r="CV1674" s="178"/>
      <c r="CW1674" s="178"/>
      <c r="CX1674" s="178"/>
      <c r="CY1674" s="178"/>
      <c r="CZ1674" s="178"/>
      <c r="DA1674" s="150"/>
    </row>
    <row r="1675" spans="53:105" x14ac:dyDescent="0.2">
      <c r="BA1675" s="518">
        <f t="shared" ca="1" si="91"/>
        <v>61</v>
      </c>
      <c r="BB1675" s="174">
        <f t="shared" ca="1" si="92"/>
        <v>1612</v>
      </c>
      <c r="BC1675" s="525" t="e">
        <f ca="1">MATCH(BD1675,OFFSET(Pinlist!$A$2,BC1674*(BA1675=BA1674),0,$BM$23,1),0)+BC1674*(BA1675=BA1674)</f>
        <v>#N/A</v>
      </c>
      <c r="BD1675" s="167">
        <f t="shared" ca="1" si="93"/>
        <v>0</v>
      </c>
      <c r="BE1675" s="191" t="e">
        <f ca="1">(OFFSET(Pinlist!$E$1,BC1675,0)-$BN$16)*$BN$19</f>
        <v>#N/A</v>
      </c>
      <c r="BF1675" s="192" t="e">
        <f ca="1">(OFFSET(Pinlist!$F$1,BC1675,0)-$BO$16)*$BO$19</f>
        <v>#N/A</v>
      </c>
      <c r="BG1675" s="1098" t="str">
        <f ca="1">IF(LEFT(BD1675,2)="RF",OFFSET(Pinlist!$D$1,Chart!BC1675,0)&amp;"_"&amp;OFFSET(Pinlist!$G$1,Chart!BC1675,0),"")</f>
        <v/>
      </c>
      <c r="BH1675" s="1098"/>
      <c r="BI1675" s="178"/>
      <c r="BJ1675" s="178"/>
      <c r="BK1675" s="178"/>
      <c r="BL1675" s="178"/>
      <c r="BM1675" s="178"/>
      <c r="BN1675" s="178"/>
      <c r="BO1675" s="178"/>
      <c r="BP1675" s="178"/>
      <c r="BQ1675" s="196"/>
      <c r="BR1675" s="196"/>
      <c r="BS1675" s="196"/>
      <c r="BT1675" s="196"/>
      <c r="BU1675" s="196"/>
      <c r="BV1675" s="196"/>
      <c r="BW1675" s="178"/>
      <c r="BX1675" s="196"/>
      <c r="BY1675" s="196"/>
      <c r="BZ1675" s="196"/>
      <c r="CA1675" s="196"/>
      <c r="CB1675" s="178"/>
      <c r="CC1675" s="178"/>
      <c r="CD1675" s="202"/>
      <c r="CE1675" s="202"/>
      <c r="CF1675" s="178"/>
      <c r="CG1675" s="196"/>
      <c r="CH1675" s="178"/>
      <c r="CI1675" s="178"/>
      <c r="CJ1675" s="178"/>
      <c r="CK1675" s="178"/>
      <c r="CL1675" s="178"/>
      <c r="CM1675" s="178"/>
      <c r="CN1675" s="178"/>
      <c r="CO1675" s="178"/>
      <c r="CP1675" s="178"/>
      <c r="CQ1675" s="178"/>
      <c r="CR1675" s="178"/>
      <c r="CS1675" s="178"/>
      <c r="CT1675" s="178"/>
      <c r="CU1675" s="178"/>
      <c r="CV1675" s="178"/>
      <c r="CW1675" s="178"/>
      <c r="CX1675" s="178"/>
      <c r="CY1675" s="178"/>
      <c r="CZ1675" s="178"/>
      <c r="DA1675" s="150"/>
    </row>
    <row r="1676" spans="53:105" x14ac:dyDescent="0.2">
      <c r="BA1676" s="518">
        <f t="shared" ca="1" si="91"/>
        <v>61</v>
      </c>
      <c r="BB1676" s="174">
        <f t="shared" ca="1" si="92"/>
        <v>1613</v>
      </c>
      <c r="BC1676" s="525" t="e">
        <f ca="1">MATCH(BD1676,OFFSET(Pinlist!$A$2,BC1675*(BA1676=BA1675),0,$BM$23,1),0)+BC1675*(BA1676=BA1675)</f>
        <v>#N/A</v>
      </c>
      <c r="BD1676" s="167">
        <f t="shared" ca="1" si="93"/>
        <v>0</v>
      </c>
      <c r="BE1676" s="191" t="e">
        <f ca="1">(OFFSET(Pinlist!$E$1,BC1676,0)-$BN$16)*$BN$19</f>
        <v>#N/A</v>
      </c>
      <c r="BF1676" s="192" t="e">
        <f ca="1">(OFFSET(Pinlist!$F$1,BC1676,0)-$BO$16)*$BO$19</f>
        <v>#N/A</v>
      </c>
      <c r="BG1676" s="1098" t="str">
        <f ca="1">IF(LEFT(BD1676,2)="RF",OFFSET(Pinlist!$D$1,Chart!BC1676,0)&amp;"_"&amp;OFFSET(Pinlist!$G$1,Chart!BC1676,0),"")</f>
        <v/>
      </c>
      <c r="BH1676" s="1098"/>
      <c r="BI1676" s="178"/>
      <c r="BJ1676" s="178"/>
      <c r="BK1676" s="178"/>
      <c r="BL1676" s="178"/>
      <c r="BM1676" s="178"/>
      <c r="BN1676" s="178"/>
      <c r="BO1676" s="178"/>
      <c r="BP1676" s="178"/>
      <c r="BQ1676" s="196"/>
      <c r="BR1676" s="196"/>
      <c r="BS1676" s="196"/>
      <c r="BT1676" s="196"/>
      <c r="BU1676" s="196"/>
      <c r="BV1676" s="196"/>
      <c r="BW1676" s="178"/>
      <c r="BX1676" s="196"/>
      <c r="BY1676" s="196"/>
      <c r="BZ1676" s="196"/>
      <c r="CA1676" s="196"/>
      <c r="CB1676" s="178"/>
      <c r="CC1676" s="178"/>
      <c r="CD1676" s="202"/>
      <c r="CE1676" s="202"/>
      <c r="CF1676" s="178"/>
      <c r="CG1676" s="196"/>
      <c r="CH1676" s="178"/>
      <c r="CI1676" s="178"/>
      <c r="CJ1676" s="178"/>
      <c r="CK1676" s="178"/>
      <c r="CL1676" s="178"/>
      <c r="CM1676" s="178"/>
      <c r="CN1676" s="178"/>
      <c r="CO1676" s="178"/>
      <c r="CP1676" s="178"/>
      <c r="CQ1676" s="178"/>
      <c r="CR1676" s="178"/>
      <c r="CS1676" s="178"/>
      <c r="CT1676" s="178"/>
      <c r="CU1676" s="178"/>
      <c r="CV1676" s="178"/>
      <c r="CW1676" s="178"/>
      <c r="CX1676" s="178"/>
      <c r="CY1676" s="178"/>
      <c r="CZ1676" s="178"/>
      <c r="DA1676" s="150"/>
    </row>
    <row r="1677" spans="53:105" x14ac:dyDescent="0.2">
      <c r="BA1677" s="518">
        <f t="shared" ca="1" si="91"/>
        <v>61</v>
      </c>
      <c r="BB1677" s="174">
        <f t="shared" ca="1" si="92"/>
        <v>1614</v>
      </c>
      <c r="BC1677" s="525" t="e">
        <f ca="1">MATCH(BD1677,OFFSET(Pinlist!$A$2,BC1676*(BA1677=BA1676),0,$BM$23,1),0)+BC1676*(BA1677=BA1676)</f>
        <v>#N/A</v>
      </c>
      <c r="BD1677" s="167">
        <f t="shared" ca="1" si="93"/>
        <v>0</v>
      </c>
      <c r="BE1677" s="191" t="e">
        <f ca="1">(OFFSET(Pinlist!$E$1,BC1677,0)-$BN$16)*$BN$19</f>
        <v>#N/A</v>
      </c>
      <c r="BF1677" s="192" t="e">
        <f ca="1">(OFFSET(Pinlist!$F$1,BC1677,0)-$BO$16)*$BO$19</f>
        <v>#N/A</v>
      </c>
      <c r="BG1677" s="1098" t="str">
        <f ca="1">IF(LEFT(BD1677,2)="RF",OFFSET(Pinlist!$D$1,Chart!BC1677,0)&amp;"_"&amp;OFFSET(Pinlist!$G$1,Chart!BC1677,0),"")</f>
        <v/>
      </c>
      <c r="BH1677" s="1098"/>
      <c r="BI1677" s="178"/>
      <c r="BJ1677" s="178"/>
      <c r="BK1677" s="178"/>
      <c r="BL1677" s="178"/>
      <c r="BM1677" s="178"/>
      <c r="BN1677" s="178"/>
      <c r="BO1677" s="178"/>
      <c r="BP1677" s="178"/>
      <c r="BQ1677" s="196"/>
      <c r="BR1677" s="196"/>
      <c r="BS1677" s="196"/>
      <c r="BT1677" s="196"/>
      <c r="BU1677" s="196"/>
      <c r="BV1677" s="196"/>
      <c r="BW1677" s="178"/>
      <c r="BX1677" s="196"/>
      <c r="BY1677" s="196"/>
      <c r="BZ1677" s="196"/>
      <c r="CA1677" s="196"/>
      <c r="CB1677" s="178"/>
      <c r="CC1677" s="178"/>
      <c r="CD1677" s="202"/>
      <c r="CE1677" s="202"/>
      <c r="CF1677" s="178"/>
      <c r="CG1677" s="196"/>
      <c r="CH1677" s="178"/>
      <c r="CI1677" s="178"/>
      <c r="CJ1677" s="178"/>
      <c r="CK1677" s="178"/>
      <c r="CL1677" s="178"/>
      <c r="CM1677" s="178"/>
      <c r="CN1677" s="178"/>
      <c r="CO1677" s="178"/>
      <c r="CP1677" s="178"/>
      <c r="CQ1677" s="178"/>
      <c r="CR1677" s="178"/>
      <c r="CS1677" s="178"/>
      <c r="CT1677" s="178"/>
      <c r="CU1677" s="178"/>
      <c r="CV1677" s="178"/>
      <c r="CW1677" s="178"/>
      <c r="CX1677" s="178"/>
      <c r="CY1677" s="178"/>
      <c r="CZ1677" s="178"/>
      <c r="DA1677" s="150"/>
    </row>
    <row r="1678" spans="53:105" x14ac:dyDescent="0.2">
      <c r="BA1678" s="518">
        <f t="shared" ca="1" si="91"/>
        <v>61</v>
      </c>
      <c r="BB1678" s="174">
        <f t="shared" ca="1" si="92"/>
        <v>1615</v>
      </c>
      <c r="BC1678" s="525" t="e">
        <f ca="1">MATCH(BD1678,OFFSET(Pinlist!$A$2,BC1677*(BA1678=BA1677),0,$BM$23,1),0)+BC1677*(BA1678=BA1677)</f>
        <v>#N/A</v>
      </c>
      <c r="BD1678" s="167">
        <f t="shared" ca="1" si="93"/>
        <v>0</v>
      </c>
      <c r="BE1678" s="191" t="e">
        <f ca="1">(OFFSET(Pinlist!$E$1,BC1678,0)-$BN$16)*$BN$19</f>
        <v>#N/A</v>
      </c>
      <c r="BF1678" s="192" t="e">
        <f ca="1">(OFFSET(Pinlist!$F$1,BC1678,0)-$BO$16)*$BO$19</f>
        <v>#N/A</v>
      </c>
      <c r="BG1678" s="1098" t="str">
        <f ca="1">IF(LEFT(BD1678,2)="RF",OFFSET(Pinlist!$D$1,Chart!BC1678,0)&amp;"_"&amp;OFFSET(Pinlist!$G$1,Chart!BC1678,0),"")</f>
        <v/>
      </c>
      <c r="BH1678" s="1098"/>
      <c r="BI1678" s="178"/>
      <c r="BJ1678" s="178"/>
      <c r="BK1678" s="178"/>
      <c r="BL1678" s="178"/>
      <c r="BM1678" s="178"/>
      <c r="BN1678" s="178"/>
      <c r="BO1678" s="178"/>
      <c r="BP1678" s="178"/>
      <c r="BQ1678" s="196"/>
      <c r="BR1678" s="196"/>
      <c r="BS1678" s="196"/>
      <c r="BT1678" s="196"/>
      <c r="BU1678" s="196"/>
      <c r="BV1678" s="196"/>
      <c r="BW1678" s="178"/>
      <c r="BX1678" s="196"/>
      <c r="BY1678" s="196"/>
      <c r="BZ1678" s="196"/>
      <c r="CA1678" s="196"/>
      <c r="CB1678" s="178"/>
      <c r="CC1678" s="178"/>
      <c r="CD1678" s="202"/>
      <c r="CE1678" s="202"/>
      <c r="CF1678" s="178"/>
      <c r="CG1678" s="196"/>
      <c r="CH1678" s="178"/>
      <c r="CI1678" s="178"/>
      <c r="CJ1678" s="178"/>
      <c r="CK1678" s="178"/>
      <c r="CL1678" s="178"/>
      <c r="CM1678" s="178"/>
      <c r="CN1678" s="178"/>
      <c r="CO1678" s="178"/>
      <c r="CP1678" s="178"/>
      <c r="CQ1678" s="178"/>
      <c r="CR1678" s="178"/>
      <c r="CS1678" s="178"/>
      <c r="CT1678" s="178"/>
      <c r="CU1678" s="178"/>
      <c r="CV1678" s="178"/>
      <c r="CW1678" s="178"/>
      <c r="CX1678" s="178"/>
      <c r="CY1678" s="178"/>
      <c r="CZ1678" s="178"/>
      <c r="DA1678" s="150"/>
    </row>
    <row r="1679" spans="53:105" x14ac:dyDescent="0.2">
      <c r="BA1679" s="518">
        <f t="shared" ca="1" si="91"/>
        <v>61</v>
      </c>
      <c r="BB1679" s="174">
        <f t="shared" ca="1" si="92"/>
        <v>1616</v>
      </c>
      <c r="BC1679" s="525" t="e">
        <f ca="1">MATCH(BD1679,OFFSET(Pinlist!$A$2,BC1678*(BA1679=BA1678),0,$BM$23,1),0)+BC1678*(BA1679=BA1678)</f>
        <v>#N/A</v>
      </c>
      <c r="BD1679" s="167">
        <f t="shared" ca="1" si="93"/>
        <v>0</v>
      </c>
      <c r="BE1679" s="191" t="e">
        <f ca="1">(OFFSET(Pinlist!$E$1,BC1679,0)-$BN$16)*$BN$19</f>
        <v>#N/A</v>
      </c>
      <c r="BF1679" s="192" t="e">
        <f ca="1">(OFFSET(Pinlist!$F$1,BC1679,0)-$BO$16)*$BO$19</f>
        <v>#N/A</v>
      </c>
      <c r="BG1679" s="1098" t="str">
        <f ca="1">IF(LEFT(BD1679,2)="RF",OFFSET(Pinlist!$D$1,Chart!BC1679,0)&amp;"_"&amp;OFFSET(Pinlist!$G$1,Chart!BC1679,0),"")</f>
        <v/>
      </c>
      <c r="BH1679" s="1098"/>
      <c r="BI1679" s="178"/>
      <c r="BJ1679" s="178"/>
      <c r="BK1679" s="178"/>
      <c r="BL1679" s="178"/>
      <c r="BM1679" s="178"/>
      <c r="BN1679" s="178"/>
      <c r="BO1679" s="178"/>
      <c r="BP1679" s="178"/>
      <c r="BQ1679" s="196"/>
      <c r="BR1679" s="196"/>
      <c r="BS1679" s="196"/>
      <c r="BT1679" s="196"/>
      <c r="BU1679" s="196"/>
      <c r="BV1679" s="196"/>
      <c r="BW1679" s="178"/>
      <c r="BX1679" s="196"/>
      <c r="BY1679" s="196"/>
      <c r="BZ1679" s="196"/>
      <c r="CA1679" s="196"/>
      <c r="CB1679" s="178"/>
      <c r="CC1679" s="178"/>
      <c r="CD1679" s="202"/>
      <c r="CE1679" s="202"/>
      <c r="CF1679" s="178"/>
      <c r="CG1679" s="196"/>
      <c r="CH1679" s="178"/>
      <c r="CI1679" s="178"/>
      <c r="CJ1679" s="178"/>
      <c r="CK1679" s="178"/>
      <c r="CL1679" s="178"/>
      <c r="CM1679" s="178"/>
      <c r="CN1679" s="178"/>
      <c r="CO1679" s="178"/>
      <c r="CP1679" s="178"/>
      <c r="CQ1679" s="178"/>
      <c r="CR1679" s="178"/>
      <c r="CS1679" s="178"/>
      <c r="CT1679" s="178"/>
      <c r="CU1679" s="178"/>
      <c r="CV1679" s="178"/>
      <c r="CW1679" s="178"/>
      <c r="CX1679" s="178"/>
      <c r="CY1679" s="178"/>
      <c r="CZ1679" s="178"/>
      <c r="DA1679" s="150"/>
    </row>
    <row r="1680" spans="53:105" x14ac:dyDescent="0.2">
      <c r="BA1680" s="518">
        <f t="shared" ca="1" si="91"/>
        <v>61</v>
      </c>
      <c r="BB1680" s="174">
        <f t="shared" ca="1" si="92"/>
        <v>1617</v>
      </c>
      <c r="BC1680" s="525" t="e">
        <f ca="1">MATCH(BD1680,OFFSET(Pinlist!$A$2,BC1679*(BA1680=BA1679),0,$BM$23,1),0)+BC1679*(BA1680=BA1679)</f>
        <v>#N/A</v>
      </c>
      <c r="BD1680" s="167">
        <f t="shared" ca="1" si="93"/>
        <v>0</v>
      </c>
      <c r="BE1680" s="191" t="e">
        <f ca="1">(OFFSET(Pinlist!$E$1,BC1680,0)-$BN$16)*$BN$19</f>
        <v>#N/A</v>
      </c>
      <c r="BF1680" s="192" t="e">
        <f ca="1">(OFFSET(Pinlist!$F$1,BC1680,0)-$BO$16)*$BO$19</f>
        <v>#N/A</v>
      </c>
      <c r="BG1680" s="1098" t="str">
        <f ca="1">IF(LEFT(BD1680,2)="RF",OFFSET(Pinlist!$D$1,Chart!BC1680,0)&amp;"_"&amp;OFFSET(Pinlist!$G$1,Chart!BC1680,0),"")</f>
        <v/>
      </c>
      <c r="BH1680" s="1098"/>
      <c r="BI1680" s="178"/>
      <c r="BJ1680" s="178"/>
      <c r="BK1680" s="178"/>
      <c r="BL1680" s="178"/>
      <c r="BM1680" s="178"/>
      <c r="BN1680" s="178"/>
      <c r="BO1680" s="178"/>
      <c r="BP1680" s="178"/>
      <c r="BQ1680" s="196"/>
      <c r="BR1680" s="196"/>
      <c r="BS1680" s="196"/>
      <c r="BT1680" s="196"/>
      <c r="BU1680" s="196"/>
      <c r="BV1680" s="196"/>
      <c r="BW1680" s="178"/>
      <c r="BX1680" s="196"/>
      <c r="BY1680" s="196"/>
      <c r="BZ1680" s="196"/>
      <c r="CA1680" s="196"/>
      <c r="CB1680" s="178"/>
      <c r="CC1680" s="178"/>
      <c r="CD1680" s="202"/>
      <c r="CE1680" s="202"/>
      <c r="CF1680" s="178"/>
      <c r="CG1680" s="196"/>
      <c r="CH1680" s="178"/>
      <c r="CI1680" s="178"/>
      <c r="CJ1680" s="178"/>
      <c r="CK1680" s="178"/>
      <c r="CL1680" s="178"/>
      <c r="CM1680" s="178"/>
      <c r="CN1680" s="178"/>
      <c r="CO1680" s="178"/>
      <c r="CP1680" s="178"/>
      <c r="CQ1680" s="178"/>
      <c r="CR1680" s="178"/>
      <c r="CS1680" s="178"/>
      <c r="CT1680" s="178"/>
      <c r="CU1680" s="178"/>
      <c r="CV1680" s="178"/>
      <c r="CW1680" s="178"/>
      <c r="CX1680" s="178"/>
      <c r="CY1680" s="178"/>
      <c r="CZ1680" s="178"/>
      <c r="DA1680" s="150"/>
    </row>
    <row r="1681" spans="53:105" x14ac:dyDescent="0.2">
      <c r="BA1681" s="518">
        <f t="shared" ca="1" si="91"/>
        <v>61</v>
      </c>
      <c r="BB1681" s="174">
        <f t="shared" ca="1" si="92"/>
        <v>1618</v>
      </c>
      <c r="BC1681" s="525" t="e">
        <f ca="1">MATCH(BD1681,OFFSET(Pinlist!$A$2,BC1680*(BA1681=BA1680),0,$BM$23,1),0)+BC1680*(BA1681=BA1680)</f>
        <v>#N/A</v>
      </c>
      <c r="BD1681" s="167">
        <f t="shared" ca="1" si="93"/>
        <v>0</v>
      </c>
      <c r="BE1681" s="191" t="e">
        <f ca="1">(OFFSET(Pinlist!$E$1,BC1681,0)-$BN$16)*$BN$19</f>
        <v>#N/A</v>
      </c>
      <c r="BF1681" s="192" t="e">
        <f ca="1">(OFFSET(Pinlist!$F$1,BC1681,0)-$BO$16)*$BO$19</f>
        <v>#N/A</v>
      </c>
      <c r="BG1681" s="1098" t="str">
        <f ca="1">IF(LEFT(BD1681,2)="RF",OFFSET(Pinlist!$D$1,Chart!BC1681,0)&amp;"_"&amp;OFFSET(Pinlist!$G$1,Chart!BC1681,0),"")</f>
        <v/>
      </c>
      <c r="BH1681" s="1098"/>
      <c r="BI1681" s="178"/>
      <c r="BJ1681" s="178"/>
      <c r="BK1681" s="178"/>
      <c r="BL1681" s="178"/>
      <c r="BM1681" s="178"/>
      <c r="BN1681" s="178"/>
      <c r="BO1681" s="178"/>
      <c r="BP1681" s="178"/>
      <c r="BQ1681" s="196"/>
      <c r="BR1681" s="196"/>
      <c r="BS1681" s="196"/>
      <c r="BT1681" s="196"/>
      <c r="BU1681" s="196"/>
      <c r="BV1681" s="196"/>
      <c r="BW1681" s="178"/>
      <c r="BX1681" s="196"/>
      <c r="BY1681" s="196"/>
      <c r="BZ1681" s="196"/>
      <c r="CA1681" s="196"/>
      <c r="CB1681" s="178"/>
      <c r="CC1681" s="178"/>
      <c r="CD1681" s="202"/>
      <c r="CE1681" s="202"/>
      <c r="CF1681" s="178"/>
      <c r="CG1681" s="196"/>
      <c r="CH1681" s="178"/>
      <c r="CI1681" s="178"/>
      <c r="CJ1681" s="178"/>
      <c r="CK1681" s="178"/>
      <c r="CL1681" s="178"/>
      <c r="CM1681" s="178"/>
      <c r="CN1681" s="178"/>
      <c r="CO1681" s="178"/>
      <c r="CP1681" s="178"/>
      <c r="CQ1681" s="178"/>
      <c r="CR1681" s="178"/>
      <c r="CS1681" s="178"/>
      <c r="CT1681" s="178"/>
      <c r="CU1681" s="178"/>
      <c r="CV1681" s="178"/>
      <c r="CW1681" s="178"/>
      <c r="CX1681" s="178"/>
      <c r="CY1681" s="178"/>
      <c r="CZ1681" s="178"/>
      <c r="DA1681" s="150"/>
    </row>
    <row r="1682" spans="53:105" x14ac:dyDescent="0.2">
      <c r="BA1682" s="518">
        <f t="shared" ca="1" si="91"/>
        <v>61</v>
      </c>
      <c r="BB1682" s="174">
        <f t="shared" ca="1" si="92"/>
        <v>1619</v>
      </c>
      <c r="BC1682" s="525" t="e">
        <f ca="1">MATCH(BD1682,OFFSET(Pinlist!$A$2,BC1681*(BA1682=BA1681),0,$BM$23,1),0)+BC1681*(BA1682=BA1681)</f>
        <v>#N/A</v>
      </c>
      <c r="BD1682" s="167">
        <f t="shared" ca="1" si="93"/>
        <v>0</v>
      </c>
      <c r="BE1682" s="191" t="e">
        <f ca="1">(OFFSET(Pinlist!$E$1,BC1682,0)-$BN$16)*$BN$19</f>
        <v>#N/A</v>
      </c>
      <c r="BF1682" s="192" t="e">
        <f ca="1">(OFFSET(Pinlist!$F$1,BC1682,0)-$BO$16)*$BO$19</f>
        <v>#N/A</v>
      </c>
      <c r="BG1682" s="1098" t="str">
        <f ca="1">IF(LEFT(BD1682,2)="RF",OFFSET(Pinlist!$D$1,Chart!BC1682,0)&amp;"_"&amp;OFFSET(Pinlist!$G$1,Chart!BC1682,0),"")</f>
        <v/>
      </c>
      <c r="BH1682" s="1098"/>
      <c r="BI1682" s="178"/>
      <c r="BJ1682" s="178"/>
      <c r="BK1682" s="178"/>
      <c r="BL1682" s="178"/>
      <c r="BM1682" s="178"/>
      <c r="BN1682" s="178"/>
      <c r="BO1682" s="178"/>
      <c r="BP1682" s="178"/>
      <c r="BQ1682" s="196"/>
      <c r="BR1682" s="196"/>
      <c r="BS1682" s="196"/>
      <c r="BT1682" s="196"/>
      <c r="BU1682" s="196"/>
      <c r="BV1682" s="196"/>
      <c r="BW1682" s="178"/>
      <c r="BX1682" s="196"/>
      <c r="BY1682" s="196"/>
      <c r="BZ1682" s="196"/>
      <c r="CA1682" s="196"/>
      <c r="CB1682" s="178"/>
      <c r="CC1682" s="178"/>
      <c r="CD1682" s="202"/>
      <c r="CE1682" s="202"/>
      <c r="CF1682" s="178"/>
      <c r="CG1682" s="196"/>
      <c r="CH1682" s="178"/>
      <c r="CI1682" s="178"/>
      <c r="CJ1682" s="178"/>
      <c r="CK1682" s="178"/>
      <c r="CL1682" s="178"/>
      <c r="CM1682" s="178"/>
      <c r="CN1682" s="178"/>
      <c r="CO1682" s="178"/>
      <c r="CP1682" s="178"/>
      <c r="CQ1682" s="178"/>
      <c r="CR1682" s="178"/>
      <c r="CS1682" s="178"/>
      <c r="CT1682" s="178"/>
      <c r="CU1682" s="178"/>
      <c r="CV1682" s="178"/>
      <c r="CW1682" s="178"/>
      <c r="CX1682" s="178"/>
      <c r="CY1682" s="178"/>
      <c r="CZ1682" s="178"/>
      <c r="DA1682" s="150"/>
    </row>
    <row r="1683" spans="53:105" x14ac:dyDescent="0.2">
      <c r="BA1683" s="518">
        <f t="shared" ca="1" si="91"/>
        <v>61</v>
      </c>
      <c r="BB1683" s="174">
        <f t="shared" ca="1" si="92"/>
        <v>1620</v>
      </c>
      <c r="BC1683" s="525" t="e">
        <f ca="1">MATCH(BD1683,OFFSET(Pinlist!$A$2,BC1682*(BA1683=BA1682),0,$BM$23,1),0)+BC1682*(BA1683=BA1682)</f>
        <v>#N/A</v>
      </c>
      <c r="BD1683" s="167">
        <f t="shared" ca="1" si="93"/>
        <v>0</v>
      </c>
      <c r="BE1683" s="191" t="e">
        <f ca="1">(OFFSET(Pinlist!$E$1,BC1683,0)-$BN$16)*$BN$19</f>
        <v>#N/A</v>
      </c>
      <c r="BF1683" s="192" t="e">
        <f ca="1">(OFFSET(Pinlist!$F$1,BC1683,0)-$BO$16)*$BO$19</f>
        <v>#N/A</v>
      </c>
      <c r="BG1683" s="1098" t="str">
        <f ca="1">IF(LEFT(BD1683,2)="RF",OFFSET(Pinlist!$D$1,Chart!BC1683,0)&amp;"_"&amp;OFFSET(Pinlist!$G$1,Chart!BC1683,0),"")</f>
        <v/>
      </c>
      <c r="BH1683" s="1098"/>
      <c r="BI1683" s="178"/>
      <c r="BJ1683" s="178"/>
      <c r="BK1683" s="178"/>
      <c r="BL1683" s="178"/>
      <c r="BM1683" s="178"/>
      <c r="BN1683" s="178"/>
      <c r="BO1683" s="178"/>
      <c r="BP1683" s="178"/>
      <c r="BQ1683" s="196"/>
      <c r="BR1683" s="196"/>
      <c r="BS1683" s="196"/>
      <c r="BT1683" s="196"/>
      <c r="BU1683" s="196"/>
      <c r="BV1683" s="196"/>
      <c r="BW1683" s="178"/>
      <c r="BX1683" s="196"/>
      <c r="BY1683" s="196"/>
      <c r="BZ1683" s="196"/>
      <c r="CA1683" s="196"/>
      <c r="CB1683" s="178"/>
      <c r="CC1683" s="178"/>
      <c r="CD1683" s="202"/>
      <c r="CE1683" s="202"/>
      <c r="CF1683" s="178"/>
      <c r="CG1683" s="196"/>
      <c r="CH1683" s="178"/>
      <c r="CI1683" s="178"/>
      <c r="CJ1683" s="178"/>
      <c r="CK1683" s="178"/>
      <c r="CL1683" s="178"/>
      <c r="CM1683" s="178"/>
      <c r="CN1683" s="178"/>
      <c r="CO1683" s="178"/>
      <c r="CP1683" s="178"/>
      <c r="CQ1683" s="178"/>
      <c r="CR1683" s="178"/>
      <c r="CS1683" s="178"/>
      <c r="CT1683" s="178"/>
      <c r="CU1683" s="178"/>
      <c r="CV1683" s="178"/>
      <c r="CW1683" s="178"/>
      <c r="CX1683" s="178"/>
      <c r="CY1683" s="178"/>
      <c r="CZ1683" s="178"/>
      <c r="DA1683" s="150"/>
    </row>
    <row r="1684" spans="53:105" x14ac:dyDescent="0.2">
      <c r="BA1684" s="518">
        <f t="shared" ca="1" si="91"/>
        <v>61</v>
      </c>
      <c r="BB1684" s="174">
        <f t="shared" ca="1" si="92"/>
        <v>1621</v>
      </c>
      <c r="BC1684" s="525" t="e">
        <f ca="1">MATCH(BD1684,OFFSET(Pinlist!$A$2,BC1683*(BA1684=BA1683),0,$BM$23,1),0)+BC1683*(BA1684=BA1683)</f>
        <v>#N/A</v>
      </c>
      <c r="BD1684" s="167">
        <f t="shared" ca="1" si="93"/>
        <v>0</v>
      </c>
      <c r="BE1684" s="191" t="e">
        <f ca="1">(OFFSET(Pinlist!$E$1,BC1684,0)-$BN$16)*$BN$19</f>
        <v>#N/A</v>
      </c>
      <c r="BF1684" s="192" t="e">
        <f ca="1">(OFFSET(Pinlist!$F$1,BC1684,0)-$BO$16)*$BO$19</f>
        <v>#N/A</v>
      </c>
      <c r="BG1684" s="1098" t="str">
        <f ca="1">IF(LEFT(BD1684,2)="RF",OFFSET(Pinlist!$D$1,Chart!BC1684,0)&amp;"_"&amp;OFFSET(Pinlist!$G$1,Chart!BC1684,0),"")</f>
        <v/>
      </c>
      <c r="BH1684" s="1098"/>
      <c r="BI1684" s="178"/>
      <c r="BJ1684" s="178"/>
      <c r="BK1684" s="178"/>
      <c r="BL1684" s="178"/>
      <c r="BM1684" s="178"/>
      <c r="BN1684" s="178"/>
      <c r="BO1684" s="178"/>
      <c r="BP1684" s="178"/>
      <c r="BQ1684" s="196"/>
      <c r="BR1684" s="196"/>
      <c r="BS1684" s="196"/>
      <c r="BT1684" s="196"/>
      <c r="BU1684" s="196"/>
      <c r="BV1684" s="196"/>
      <c r="BW1684" s="178"/>
      <c r="BX1684" s="196"/>
      <c r="BY1684" s="196"/>
      <c r="BZ1684" s="196"/>
      <c r="CA1684" s="196"/>
      <c r="CB1684" s="178"/>
      <c r="CC1684" s="178"/>
      <c r="CD1684" s="202"/>
      <c r="CE1684" s="202"/>
      <c r="CF1684" s="178"/>
      <c r="CG1684" s="196"/>
      <c r="CH1684" s="178"/>
      <c r="CI1684" s="178"/>
      <c r="CJ1684" s="178"/>
      <c r="CK1684" s="178"/>
      <c r="CL1684" s="178"/>
      <c r="CM1684" s="178"/>
      <c r="CN1684" s="178"/>
      <c r="CO1684" s="178"/>
      <c r="CP1684" s="178"/>
      <c r="CQ1684" s="178"/>
      <c r="CR1684" s="178"/>
      <c r="CS1684" s="178"/>
      <c r="CT1684" s="178"/>
      <c r="CU1684" s="178"/>
      <c r="CV1684" s="178"/>
      <c r="CW1684" s="178"/>
      <c r="CX1684" s="178"/>
      <c r="CY1684" s="178"/>
      <c r="CZ1684" s="178"/>
      <c r="DA1684" s="150"/>
    </row>
    <row r="1685" spans="53:105" x14ac:dyDescent="0.2">
      <c r="BA1685" s="518">
        <f t="shared" ca="1" si="91"/>
        <v>61</v>
      </c>
      <c r="BB1685" s="174">
        <f t="shared" ca="1" si="92"/>
        <v>1622</v>
      </c>
      <c r="BC1685" s="525" t="e">
        <f ca="1">MATCH(BD1685,OFFSET(Pinlist!$A$2,BC1684*(BA1685=BA1684),0,$BM$23,1),0)+BC1684*(BA1685=BA1684)</f>
        <v>#N/A</v>
      </c>
      <c r="BD1685" s="167">
        <f t="shared" ca="1" si="93"/>
        <v>0</v>
      </c>
      <c r="BE1685" s="191" t="e">
        <f ca="1">(OFFSET(Pinlist!$E$1,BC1685,0)-$BN$16)*$BN$19</f>
        <v>#N/A</v>
      </c>
      <c r="BF1685" s="192" t="e">
        <f ca="1">(OFFSET(Pinlist!$F$1,BC1685,0)-$BO$16)*$BO$19</f>
        <v>#N/A</v>
      </c>
      <c r="BG1685" s="1098" t="str">
        <f ca="1">IF(LEFT(BD1685,2)="RF",OFFSET(Pinlist!$D$1,Chart!BC1685,0)&amp;"_"&amp;OFFSET(Pinlist!$G$1,Chart!BC1685,0),"")</f>
        <v/>
      </c>
      <c r="BH1685" s="1098"/>
      <c r="BI1685" s="178"/>
      <c r="BJ1685" s="178"/>
      <c r="BK1685" s="178"/>
      <c r="BL1685" s="178"/>
      <c r="BM1685" s="178"/>
      <c r="BN1685" s="178"/>
      <c r="BO1685" s="178"/>
      <c r="BP1685" s="178"/>
      <c r="BQ1685" s="196"/>
      <c r="BR1685" s="196"/>
      <c r="BS1685" s="196"/>
      <c r="BT1685" s="196"/>
      <c r="BU1685" s="196"/>
      <c r="BV1685" s="196"/>
      <c r="BW1685" s="178"/>
      <c r="BX1685" s="196"/>
      <c r="BY1685" s="196"/>
      <c r="BZ1685" s="196"/>
      <c r="CA1685" s="196"/>
      <c r="CB1685" s="178"/>
      <c r="CC1685" s="178"/>
      <c r="CD1685" s="202"/>
      <c r="CE1685" s="202"/>
      <c r="CF1685" s="178"/>
      <c r="CG1685" s="196"/>
      <c r="CH1685" s="178"/>
      <c r="CI1685" s="178"/>
      <c r="CJ1685" s="178"/>
      <c r="CK1685" s="178"/>
      <c r="CL1685" s="178"/>
      <c r="CM1685" s="178"/>
      <c r="CN1685" s="178"/>
      <c r="CO1685" s="178"/>
      <c r="CP1685" s="178"/>
      <c r="CQ1685" s="178"/>
      <c r="CR1685" s="178"/>
      <c r="CS1685" s="178"/>
      <c r="CT1685" s="178"/>
      <c r="CU1685" s="178"/>
      <c r="CV1685" s="178"/>
      <c r="CW1685" s="178"/>
      <c r="CX1685" s="178"/>
      <c r="CY1685" s="178"/>
      <c r="CZ1685" s="178"/>
      <c r="DA1685" s="150"/>
    </row>
    <row r="1686" spans="53:105" x14ac:dyDescent="0.2">
      <c r="BA1686" s="518">
        <f t="shared" ca="1" si="91"/>
        <v>61</v>
      </c>
      <c r="BB1686" s="174">
        <f t="shared" ca="1" si="92"/>
        <v>1623</v>
      </c>
      <c r="BC1686" s="525" t="e">
        <f ca="1">MATCH(BD1686,OFFSET(Pinlist!$A$2,BC1685*(BA1686=BA1685),0,$BM$23,1),0)+BC1685*(BA1686=BA1685)</f>
        <v>#N/A</v>
      </c>
      <c r="BD1686" s="167">
        <f t="shared" ca="1" si="93"/>
        <v>0</v>
      </c>
      <c r="BE1686" s="191" t="e">
        <f ca="1">(OFFSET(Pinlist!$E$1,BC1686,0)-$BN$16)*$BN$19</f>
        <v>#N/A</v>
      </c>
      <c r="BF1686" s="192" t="e">
        <f ca="1">(OFFSET(Pinlist!$F$1,BC1686,0)-$BO$16)*$BO$19</f>
        <v>#N/A</v>
      </c>
      <c r="BG1686" s="1098" t="str">
        <f ca="1">IF(LEFT(BD1686,2)="RF",OFFSET(Pinlist!$D$1,Chart!BC1686,0)&amp;"_"&amp;OFFSET(Pinlist!$G$1,Chart!BC1686,0),"")</f>
        <v/>
      </c>
      <c r="BH1686" s="1098"/>
      <c r="BI1686" s="178"/>
      <c r="BJ1686" s="178"/>
      <c r="BK1686" s="178"/>
      <c r="BL1686" s="178"/>
      <c r="BM1686" s="178"/>
      <c r="BN1686" s="178"/>
      <c r="BO1686" s="178"/>
      <c r="BP1686" s="178"/>
      <c r="BQ1686" s="196"/>
      <c r="BR1686" s="196"/>
      <c r="BS1686" s="196"/>
      <c r="BT1686" s="196"/>
      <c r="BU1686" s="196"/>
      <c r="BV1686" s="196"/>
      <c r="BW1686" s="178"/>
      <c r="BX1686" s="196"/>
      <c r="BY1686" s="196"/>
      <c r="BZ1686" s="196"/>
      <c r="CA1686" s="196"/>
      <c r="CB1686" s="178"/>
      <c r="CC1686" s="178"/>
      <c r="CD1686" s="202"/>
      <c r="CE1686" s="202"/>
      <c r="CF1686" s="178"/>
      <c r="CG1686" s="196"/>
      <c r="CH1686" s="178"/>
      <c r="CI1686" s="178"/>
      <c r="CJ1686" s="178"/>
      <c r="CK1686" s="178"/>
      <c r="CL1686" s="178"/>
      <c r="CM1686" s="178"/>
      <c r="CN1686" s="178"/>
      <c r="CO1686" s="178"/>
      <c r="CP1686" s="178"/>
      <c r="CQ1686" s="178"/>
      <c r="CR1686" s="178"/>
      <c r="CS1686" s="178"/>
      <c r="CT1686" s="178"/>
      <c r="CU1686" s="178"/>
      <c r="CV1686" s="178"/>
      <c r="CW1686" s="178"/>
      <c r="CX1686" s="178"/>
      <c r="CY1686" s="178"/>
      <c r="CZ1686" s="178"/>
      <c r="DA1686" s="150"/>
    </row>
    <row r="1687" spans="53:105" x14ac:dyDescent="0.2">
      <c r="BA1687" s="518">
        <f t="shared" ca="1" si="91"/>
        <v>61</v>
      </c>
      <c r="BB1687" s="174">
        <f t="shared" ca="1" si="92"/>
        <v>1624</v>
      </c>
      <c r="BC1687" s="525" t="e">
        <f ca="1">MATCH(BD1687,OFFSET(Pinlist!$A$2,BC1686*(BA1687=BA1686),0,$BM$23,1),0)+BC1686*(BA1687=BA1686)</f>
        <v>#N/A</v>
      </c>
      <c r="BD1687" s="167">
        <f t="shared" ca="1" si="93"/>
        <v>0</v>
      </c>
      <c r="BE1687" s="191" t="e">
        <f ca="1">(OFFSET(Pinlist!$E$1,BC1687,0)-$BN$16)*$BN$19</f>
        <v>#N/A</v>
      </c>
      <c r="BF1687" s="192" t="e">
        <f ca="1">(OFFSET(Pinlist!$F$1,BC1687,0)-$BO$16)*$BO$19</f>
        <v>#N/A</v>
      </c>
      <c r="BG1687" s="1098" t="str">
        <f ca="1">IF(LEFT(BD1687,2)="RF",OFFSET(Pinlist!$D$1,Chart!BC1687,0)&amp;"_"&amp;OFFSET(Pinlist!$G$1,Chart!BC1687,0),"")</f>
        <v/>
      </c>
      <c r="BH1687" s="1098"/>
      <c r="BI1687" s="178"/>
      <c r="BJ1687" s="178"/>
      <c r="BK1687" s="178"/>
      <c r="BL1687" s="178"/>
      <c r="BM1687" s="178"/>
      <c r="BN1687" s="178"/>
      <c r="BO1687" s="178"/>
      <c r="BP1687" s="178"/>
      <c r="BQ1687" s="196"/>
      <c r="BR1687" s="196"/>
      <c r="BS1687" s="196"/>
      <c r="BT1687" s="196"/>
      <c r="BU1687" s="196"/>
      <c r="BV1687" s="196"/>
      <c r="BW1687" s="178"/>
      <c r="BX1687" s="196"/>
      <c r="BY1687" s="196"/>
      <c r="BZ1687" s="196"/>
      <c r="CA1687" s="196"/>
      <c r="CB1687" s="178"/>
      <c r="CC1687" s="178"/>
      <c r="CD1687" s="202"/>
      <c r="CE1687" s="202"/>
      <c r="CF1687" s="178"/>
      <c r="CG1687" s="196"/>
      <c r="CH1687" s="178"/>
      <c r="CI1687" s="178"/>
      <c r="CJ1687" s="178"/>
      <c r="CK1687" s="178"/>
      <c r="CL1687" s="178"/>
      <c r="CM1687" s="178"/>
      <c r="CN1687" s="178"/>
      <c r="CO1687" s="178"/>
      <c r="CP1687" s="178"/>
      <c r="CQ1687" s="178"/>
      <c r="CR1687" s="178"/>
      <c r="CS1687" s="178"/>
      <c r="CT1687" s="178"/>
      <c r="CU1687" s="178"/>
      <c r="CV1687" s="178"/>
      <c r="CW1687" s="178"/>
      <c r="CX1687" s="178"/>
      <c r="CY1687" s="178"/>
      <c r="CZ1687" s="178"/>
      <c r="DA1687" s="150"/>
    </row>
    <row r="1688" spans="53:105" x14ac:dyDescent="0.2">
      <c r="BA1688" s="518">
        <f t="shared" ca="1" si="91"/>
        <v>61</v>
      </c>
      <c r="BB1688" s="174">
        <f t="shared" ca="1" si="92"/>
        <v>1625</v>
      </c>
      <c r="BC1688" s="525" t="e">
        <f ca="1">MATCH(BD1688,OFFSET(Pinlist!$A$2,BC1687*(BA1688=BA1687),0,$BM$23,1),0)+BC1687*(BA1688=BA1687)</f>
        <v>#N/A</v>
      </c>
      <c r="BD1688" s="167">
        <f t="shared" ca="1" si="93"/>
        <v>0</v>
      </c>
      <c r="BE1688" s="191" t="e">
        <f ca="1">(OFFSET(Pinlist!$E$1,BC1688,0)-$BN$16)*$BN$19</f>
        <v>#N/A</v>
      </c>
      <c r="BF1688" s="192" t="e">
        <f ca="1">(OFFSET(Pinlist!$F$1,BC1688,0)-$BO$16)*$BO$19</f>
        <v>#N/A</v>
      </c>
      <c r="BG1688" s="1098" t="str">
        <f ca="1">IF(LEFT(BD1688,2)="RF",OFFSET(Pinlist!$D$1,Chart!BC1688,0)&amp;"_"&amp;OFFSET(Pinlist!$G$1,Chart!BC1688,0),"")</f>
        <v/>
      </c>
      <c r="BH1688" s="1098"/>
      <c r="BI1688" s="178"/>
      <c r="BJ1688" s="178"/>
      <c r="BK1688" s="178"/>
      <c r="BL1688" s="178"/>
      <c r="BM1688" s="178"/>
      <c r="BN1688" s="178"/>
      <c r="BO1688" s="178"/>
      <c r="BP1688" s="178"/>
      <c r="BQ1688" s="196"/>
      <c r="BR1688" s="196"/>
      <c r="BS1688" s="196"/>
      <c r="BT1688" s="196"/>
      <c r="BU1688" s="196"/>
      <c r="BV1688" s="196"/>
      <c r="BW1688" s="178"/>
      <c r="BX1688" s="196"/>
      <c r="BY1688" s="196"/>
      <c r="BZ1688" s="196"/>
      <c r="CA1688" s="196"/>
      <c r="CB1688" s="178"/>
      <c r="CC1688" s="178"/>
      <c r="CD1688" s="202"/>
      <c r="CE1688" s="202"/>
      <c r="CF1688" s="178"/>
      <c r="CG1688" s="196"/>
      <c r="CH1688" s="178"/>
      <c r="CI1688" s="178"/>
      <c r="CJ1688" s="178"/>
      <c r="CK1688" s="178"/>
      <c r="CL1688" s="178"/>
      <c r="CM1688" s="178"/>
      <c r="CN1688" s="178"/>
      <c r="CO1688" s="178"/>
      <c r="CP1688" s="178"/>
      <c r="CQ1688" s="178"/>
      <c r="CR1688" s="178"/>
      <c r="CS1688" s="178"/>
      <c r="CT1688" s="178"/>
      <c r="CU1688" s="178"/>
      <c r="CV1688" s="178"/>
      <c r="CW1688" s="178"/>
      <c r="CX1688" s="178"/>
      <c r="CY1688" s="178"/>
      <c r="CZ1688" s="178"/>
      <c r="DA1688" s="150"/>
    </row>
    <row r="1689" spans="53:105" x14ac:dyDescent="0.2">
      <c r="BA1689" s="518">
        <f t="shared" ca="1" si="91"/>
        <v>61</v>
      </c>
      <c r="BB1689" s="174">
        <f t="shared" ca="1" si="92"/>
        <v>1626</v>
      </c>
      <c r="BC1689" s="525" t="e">
        <f ca="1">MATCH(BD1689,OFFSET(Pinlist!$A$2,BC1688*(BA1689=BA1688),0,$BM$23,1),0)+BC1688*(BA1689=BA1688)</f>
        <v>#N/A</v>
      </c>
      <c r="BD1689" s="167">
        <f t="shared" ca="1" si="93"/>
        <v>0</v>
      </c>
      <c r="BE1689" s="191" t="e">
        <f ca="1">(OFFSET(Pinlist!$E$1,BC1689,0)-$BN$16)*$BN$19</f>
        <v>#N/A</v>
      </c>
      <c r="BF1689" s="192" t="e">
        <f ca="1">(OFFSET(Pinlist!$F$1,BC1689,0)-$BO$16)*$BO$19</f>
        <v>#N/A</v>
      </c>
      <c r="BG1689" s="1098" t="str">
        <f ca="1">IF(LEFT(BD1689,2)="RF",OFFSET(Pinlist!$D$1,Chart!BC1689,0)&amp;"_"&amp;OFFSET(Pinlist!$G$1,Chart!BC1689,0),"")</f>
        <v/>
      </c>
      <c r="BH1689" s="1098"/>
      <c r="BI1689" s="178"/>
      <c r="BJ1689" s="178"/>
      <c r="BK1689" s="178"/>
      <c r="BL1689" s="178"/>
      <c r="BM1689" s="178"/>
      <c r="BN1689" s="178"/>
      <c r="BO1689" s="178"/>
      <c r="BP1689" s="178"/>
      <c r="BQ1689" s="196"/>
      <c r="BR1689" s="196"/>
      <c r="BS1689" s="196"/>
      <c r="BT1689" s="196"/>
      <c r="BU1689" s="196"/>
      <c r="BV1689" s="196"/>
      <c r="BW1689" s="178"/>
      <c r="BX1689" s="196"/>
      <c r="BY1689" s="196"/>
      <c r="BZ1689" s="196"/>
      <c r="CA1689" s="196"/>
      <c r="CB1689" s="178"/>
      <c r="CC1689" s="178"/>
      <c r="CD1689" s="202"/>
      <c r="CE1689" s="202"/>
      <c r="CF1689" s="178"/>
      <c r="CG1689" s="196"/>
      <c r="CH1689" s="178"/>
      <c r="CI1689" s="178"/>
      <c r="CJ1689" s="178"/>
      <c r="CK1689" s="178"/>
      <c r="CL1689" s="178"/>
      <c r="CM1689" s="178"/>
      <c r="CN1689" s="178"/>
      <c r="CO1689" s="178"/>
      <c r="CP1689" s="178"/>
      <c r="CQ1689" s="178"/>
      <c r="CR1689" s="178"/>
      <c r="CS1689" s="178"/>
      <c r="CT1689" s="178"/>
      <c r="CU1689" s="178"/>
      <c r="CV1689" s="178"/>
      <c r="CW1689" s="178"/>
      <c r="CX1689" s="178"/>
      <c r="CY1689" s="178"/>
      <c r="CZ1689" s="178"/>
      <c r="DA1689" s="150"/>
    </row>
    <row r="1690" spans="53:105" x14ac:dyDescent="0.2">
      <c r="BA1690" s="518">
        <f t="shared" ca="1" si="91"/>
        <v>61</v>
      </c>
      <c r="BB1690" s="174">
        <f t="shared" ca="1" si="92"/>
        <v>1627</v>
      </c>
      <c r="BC1690" s="525" t="e">
        <f ca="1">MATCH(BD1690,OFFSET(Pinlist!$A$2,BC1689*(BA1690=BA1689),0,$BM$23,1),0)+BC1689*(BA1690=BA1689)</f>
        <v>#N/A</v>
      </c>
      <c r="BD1690" s="167">
        <f t="shared" ca="1" si="93"/>
        <v>0</v>
      </c>
      <c r="BE1690" s="191" t="e">
        <f ca="1">(OFFSET(Pinlist!$E$1,BC1690,0)-$BN$16)*$BN$19</f>
        <v>#N/A</v>
      </c>
      <c r="BF1690" s="192" t="e">
        <f ca="1">(OFFSET(Pinlist!$F$1,BC1690,0)-$BO$16)*$BO$19</f>
        <v>#N/A</v>
      </c>
      <c r="BG1690" s="1098" t="str">
        <f ca="1">IF(LEFT(BD1690,2)="RF",OFFSET(Pinlist!$D$1,Chart!BC1690,0)&amp;"_"&amp;OFFSET(Pinlist!$G$1,Chart!BC1690,0),"")</f>
        <v/>
      </c>
      <c r="BH1690" s="1098"/>
      <c r="BI1690" s="178"/>
      <c r="BJ1690" s="178"/>
      <c r="BK1690" s="178"/>
      <c r="BL1690" s="178"/>
      <c r="BM1690" s="178"/>
      <c r="BN1690" s="178"/>
      <c r="BO1690" s="178"/>
      <c r="BP1690" s="178"/>
      <c r="BQ1690" s="196"/>
      <c r="BR1690" s="196"/>
      <c r="BS1690" s="196"/>
      <c r="BT1690" s="196"/>
      <c r="BU1690" s="196"/>
      <c r="BV1690" s="196"/>
      <c r="BW1690" s="178"/>
      <c r="BX1690" s="196"/>
      <c r="BY1690" s="196"/>
      <c r="BZ1690" s="196"/>
      <c r="CA1690" s="196"/>
      <c r="CB1690" s="178"/>
      <c r="CC1690" s="178"/>
      <c r="CD1690" s="202"/>
      <c r="CE1690" s="202"/>
      <c r="CF1690" s="178"/>
      <c r="CG1690" s="196"/>
      <c r="CH1690" s="178"/>
      <c r="CI1690" s="178"/>
      <c r="CJ1690" s="178"/>
      <c r="CK1690" s="178"/>
      <c r="CL1690" s="178"/>
      <c r="CM1690" s="178"/>
      <c r="CN1690" s="178"/>
      <c r="CO1690" s="178"/>
      <c r="CP1690" s="178"/>
      <c r="CQ1690" s="178"/>
      <c r="CR1690" s="178"/>
      <c r="CS1690" s="178"/>
      <c r="CT1690" s="178"/>
      <c r="CU1690" s="178"/>
      <c r="CV1690" s="178"/>
      <c r="CW1690" s="178"/>
      <c r="CX1690" s="178"/>
      <c r="CY1690" s="178"/>
      <c r="CZ1690" s="178"/>
      <c r="DA1690" s="150"/>
    </row>
    <row r="1691" spans="53:105" x14ac:dyDescent="0.2">
      <c r="BA1691" s="518">
        <f t="shared" ca="1" si="91"/>
        <v>61</v>
      </c>
      <c r="BB1691" s="174">
        <f t="shared" ca="1" si="92"/>
        <v>1628</v>
      </c>
      <c r="BC1691" s="525" t="e">
        <f ca="1">MATCH(BD1691,OFFSET(Pinlist!$A$2,BC1690*(BA1691=BA1690),0,$BM$23,1),0)+BC1690*(BA1691=BA1690)</f>
        <v>#N/A</v>
      </c>
      <c r="BD1691" s="167">
        <f t="shared" ca="1" si="93"/>
        <v>0</v>
      </c>
      <c r="BE1691" s="191" t="e">
        <f ca="1">(OFFSET(Pinlist!$E$1,BC1691,0)-$BN$16)*$BN$19</f>
        <v>#N/A</v>
      </c>
      <c r="BF1691" s="192" t="e">
        <f ca="1">(OFFSET(Pinlist!$F$1,BC1691,0)-$BO$16)*$BO$19</f>
        <v>#N/A</v>
      </c>
      <c r="BG1691" s="1098" t="str">
        <f ca="1">IF(LEFT(BD1691,2)="RF",OFFSET(Pinlist!$D$1,Chart!BC1691,0)&amp;"_"&amp;OFFSET(Pinlist!$G$1,Chart!BC1691,0),"")</f>
        <v/>
      </c>
      <c r="BH1691" s="1098"/>
      <c r="BI1691" s="178"/>
      <c r="BJ1691" s="178"/>
      <c r="BK1691" s="178"/>
      <c r="BL1691" s="178"/>
      <c r="BM1691" s="178"/>
      <c r="BN1691" s="178"/>
      <c r="BO1691" s="178"/>
      <c r="BP1691" s="178"/>
      <c r="BQ1691" s="196"/>
      <c r="BR1691" s="196"/>
      <c r="BS1691" s="196"/>
      <c r="BT1691" s="196"/>
      <c r="BU1691" s="196"/>
      <c r="BV1691" s="196"/>
      <c r="BW1691" s="178"/>
      <c r="BX1691" s="196"/>
      <c r="BY1691" s="196"/>
      <c r="BZ1691" s="196"/>
      <c r="CA1691" s="196"/>
      <c r="CB1691" s="178"/>
      <c r="CC1691" s="178"/>
      <c r="CD1691" s="202"/>
      <c r="CE1691" s="202"/>
      <c r="CF1691" s="178"/>
      <c r="CG1691" s="196"/>
      <c r="CH1691" s="178"/>
      <c r="CI1691" s="178"/>
      <c r="CJ1691" s="178"/>
      <c r="CK1691" s="178"/>
      <c r="CL1691" s="178"/>
      <c r="CM1691" s="178"/>
      <c r="CN1691" s="178"/>
      <c r="CO1691" s="178"/>
      <c r="CP1691" s="178"/>
      <c r="CQ1691" s="178"/>
      <c r="CR1691" s="178"/>
      <c r="CS1691" s="178"/>
      <c r="CT1691" s="178"/>
      <c r="CU1691" s="178"/>
      <c r="CV1691" s="178"/>
      <c r="CW1691" s="178"/>
      <c r="CX1691" s="178"/>
      <c r="CY1691" s="178"/>
      <c r="CZ1691" s="178"/>
      <c r="DA1691" s="150"/>
    </row>
    <row r="1692" spans="53:105" x14ac:dyDescent="0.2">
      <c r="BA1692" s="518">
        <f t="shared" ca="1" si="91"/>
        <v>61</v>
      </c>
      <c r="BB1692" s="174">
        <f t="shared" ca="1" si="92"/>
        <v>1629</v>
      </c>
      <c r="BC1692" s="525" t="e">
        <f ca="1">MATCH(BD1692,OFFSET(Pinlist!$A$2,BC1691*(BA1692=BA1691),0,$BM$23,1),0)+BC1691*(BA1692=BA1691)</f>
        <v>#N/A</v>
      </c>
      <c r="BD1692" s="167">
        <f t="shared" ca="1" si="93"/>
        <v>0</v>
      </c>
      <c r="BE1692" s="191" t="e">
        <f ca="1">(OFFSET(Pinlist!$E$1,BC1692,0)-$BN$16)*$BN$19</f>
        <v>#N/A</v>
      </c>
      <c r="BF1692" s="192" t="e">
        <f ca="1">(OFFSET(Pinlist!$F$1,BC1692,0)-$BO$16)*$BO$19</f>
        <v>#N/A</v>
      </c>
      <c r="BG1692" s="1098" t="str">
        <f ca="1">IF(LEFT(BD1692,2)="RF",OFFSET(Pinlist!$D$1,Chart!BC1692,0)&amp;"_"&amp;OFFSET(Pinlist!$G$1,Chart!BC1692,0),"")</f>
        <v/>
      </c>
      <c r="BH1692" s="1098"/>
      <c r="BI1692" s="178"/>
      <c r="BJ1692" s="178"/>
      <c r="BK1692" s="178"/>
      <c r="BL1692" s="178"/>
      <c r="BM1692" s="178"/>
      <c r="BN1692" s="178"/>
      <c r="BO1692" s="178"/>
      <c r="BP1692" s="178"/>
      <c r="BQ1692" s="196"/>
      <c r="BR1692" s="196"/>
      <c r="BS1692" s="196"/>
      <c r="BT1692" s="196"/>
      <c r="BU1692" s="196"/>
      <c r="BV1692" s="196"/>
      <c r="BW1692" s="178"/>
      <c r="BX1692" s="196"/>
      <c r="BY1692" s="196"/>
      <c r="BZ1692" s="196"/>
      <c r="CA1692" s="196"/>
      <c r="CB1692" s="178"/>
      <c r="CC1692" s="178"/>
      <c r="CD1692" s="202"/>
      <c r="CE1692" s="202"/>
      <c r="CF1692" s="178"/>
      <c r="CG1692" s="196"/>
      <c r="CH1692" s="178"/>
      <c r="CI1692" s="178"/>
      <c r="CJ1692" s="178"/>
      <c r="CK1692" s="178"/>
      <c r="CL1692" s="178"/>
      <c r="CM1692" s="178"/>
      <c r="CN1692" s="178"/>
      <c r="CO1692" s="178"/>
      <c r="CP1692" s="178"/>
      <c r="CQ1692" s="178"/>
      <c r="CR1692" s="178"/>
      <c r="CS1692" s="178"/>
      <c r="CT1692" s="178"/>
      <c r="CU1692" s="178"/>
      <c r="CV1692" s="178"/>
      <c r="CW1692" s="178"/>
      <c r="CX1692" s="178"/>
      <c r="CY1692" s="178"/>
      <c r="CZ1692" s="178"/>
      <c r="DA1692" s="150"/>
    </row>
    <row r="1693" spans="53:105" x14ac:dyDescent="0.2">
      <c r="BA1693" s="518">
        <f t="shared" ca="1" si="91"/>
        <v>61</v>
      </c>
      <c r="BB1693" s="174">
        <f t="shared" ca="1" si="92"/>
        <v>1630</v>
      </c>
      <c r="BC1693" s="525" t="e">
        <f ca="1">MATCH(BD1693,OFFSET(Pinlist!$A$2,BC1692*(BA1693=BA1692),0,$BM$23,1),0)+BC1692*(BA1693=BA1692)</f>
        <v>#N/A</v>
      </c>
      <c r="BD1693" s="167">
        <f t="shared" ca="1" si="93"/>
        <v>0</v>
      </c>
      <c r="BE1693" s="191" t="e">
        <f ca="1">(OFFSET(Pinlist!$E$1,BC1693,0)-$BN$16)*$BN$19</f>
        <v>#N/A</v>
      </c>
      <c r="BF1693" s="192" t="e">
        <f ca="1">(OFFSET(Pinlist!$F$1,BC1693,0)-$BO$16)*$BO$19</f>
        <v>#N/A</v>
      </c>
      <c r="BG1693" s="1098" t="str">
        <f ca="1">IF(LEFT(BD1693,2)="RF",OFFSET(Pinlist!$D$1,Chart!BC1693,0)&amp;"_"&amp;OFFSET(Pinlist!$G$1,Chart!BC1693,0),"")</f>
        <v/>
      </c>
      <c r="BH1693" s="1098"/>
      <c r="BI1693" s="178"/>
      <c r="BJ1693" s="178"/>
      <c r="BK1693" s="178"/>
      <c r="BL1693" s="178"/>
      <c r="BM1693" s="178"/>
      <c r="BN1693" s="178"/>
      <c r="BO1693" s="178"/>
      <c r="BP1693" s="178"/>
      <c r="BQ1693" s="196"/>
      <c r="BR1693" s="196"/>
      <c r="BS1693" s="196"/>
      <c r="BT1693" s="196"/>
      <c r="BU1693" s="196"/>
      <c r="BV1693" s="196"/>
      <c r="BW1693" s="178"/>
      <c r="BX1693" s="196"/>
      <c r="BY1693" s="196"/>
      <c r="BZ1693" s="196"/>
      <c r="CA1693" s="196"/>
      <c r="CB1693" s="178"/>
      <c r="CC1693" s="178"/>
      <c r="CD1693" s="202"/>
      <c r="CE1693" s="202"/>
      <c r="CF1693" s="178"/>
      <c r="CG1693" s="196"/>
      <c r="CH1693" s="178"/>
      <c r="CI1693" s="178"/>
      <c r="CJ1693" s="178"/>
      <c r="CK1693" s="178"/>
      <c r="CL1693" s="178"/>
      <c r="CM1693" s="178"/>
      <c r="CN1693" s="178"/>
      <c r="CO1693" s="178"/>
      <c r="CP1693" s="178"/>
      <c r="CQ1693" s="178"/>
      <c r="CR1693" s="178"/>
      <c r="CS1693" s="178"/>
      <c r="CT1693" s="178"/>
      <c r="CU1693" s="178"/>
      <c r="CV1693" s="178"/>
      <c r="CW1693" s="178"/>
      <c r="CX1693" s="178"/>
      <c r="CY1693" s="178"/>
      <c r="CZ1693" s="178"/>
      <c r="DA1693" s="150"/>
    </row>
    <row r="1694" spans="53:105" x14ac:dyDescent="0.2">
      <c r="BA1694" s="518">
        <f t="shared" ca="1" si="91"/>
        <v>61</v>
      </c>
      <c r="BB1694" s="174">
        <f t="shared" ca="1" si="92"/>
        <v>1631</v>
      </c>
      <c r="BC1694" s="525" t="e">
        <f ca="1">MATCH(BD1694,OFFSET(Pinlist!$A$2,BC1693*(BA1694=BA1693),0,$BM$23,1),0)+BC1693*(BA1694=BA1693)</f>
        <v>#N/A</v>
      </c>
      <c r="BD1694" s="167">
        <f t="shared" ca="1" si="93"/>
        <v>0</v>
      </c>
      <c r="BE1694" s="191" t="e">
        <f ca="1">(OFFSET(Pinlist!$E$1,BC1694,0)-$BN$16)*$BN$19</f>
        <v>#N/A</v>
      </c>
      <c r="BF1694" s="192" t="e">
        <f ca="1">(OFFSET(Pinlist!$F$1,BC1694,0)-$BO$16)*$BO$19</f>
        <v>#N/A</v>
      </c>
      <c r="BG1694" s="1098" t="str">
        <f ca="1">IF(LEFT(BD1694,2)="RF",OFFSET(Pinlist!$D$1,Chart!BC1694,0)&amp;"_"&amp;OFFSET(Pinlist!$G$1,Chart!BC1694,0),"")</f>
        <v/>
      </c>
      <c r="BH1694" s="1098"/>
      <c r="BI1694" s="178"/>
      <c r="BJ1694" s="178"/>
      <c r="BK1694" s="178"/>
      <c r="BL1694" s="178"/>
      <c r="BM1694" s="178"/>
      <c r="BN1694" s="178"/>
      <c r="BO1694" s="178"/>
      <c r="BP1694" s="178"/>
      <c r="BQ1694" s="196"/>
      <c r="BR1694" s="196"/>
      <c r="BS1694" s="196"/>
      <c r="BT1694" s="196"/>
      <c r="BU1694" s="196"/>
      <c r="BV1694" s="196"/>
      <c r="BW1694" s="178"/>
      <c r="BX1694" s="196"/>
      <c r="BY1694" s="196"/>
      <c r="BZ1694" s="196"/>
      <c r="CA1694" s="196"/>
      <c r="CB1694" s="178"/>
      <c r="CC1694" s="178"/>
      <c r="CD1694" s="202"/>
      <c r="CE1694" s="202"/>
      <c r="CF1694" s="178"/>
      <c r="CG1694" s="196"/>
      <c r="CH1694" s="178"/>
      <c r="CI1694" s="178"/>
      <c r="CJ1694" s="178"/>
      <c r="CK1694" s="178"/>
      <c r="CL1694" s="178"/>
      <c r="CM1694" s="178"/>
      <c r="CN1694" s="178"/>
      <c r="CO1694" s="178"/>
      <c r="CP1694" s="178"/>
      <c r="CQ1694" s="178"/>
      <c r="CR1694" s="178"/>
      <c r="CS1694" s="178"/>
      <c r="CT1694" s="178"/>
      <c r="CU1694" s="178"/>
      <c r="CV1694" s="178"/>
      <c r="CW1694" s="178"/>
      <c r="CX1694" s="178"/>
      <c r="CY1694" s="178"/>
      <c r="CZ1694" s="178"/>
      <c r="DA1694" s="150"/>
    </row>
    <row r="1695" spans="53:105" x14ac:dyDescent="0.2">
      <c r="BA1695" s="518">
        <f t="shared" ca="1" si="91"/>
        <v>61</v>
      </c>
      <c r="BB1695" s="174">
        <f t="shared" ca="1" si="92"/>
        <v>1632</v>
      </c>
      <c r="BC1695" s="525" t="e">
        <f ca="1">MATCH(BD1695,OFFSET(Pinlist!$A$2,BC1694*(BA1695=BA1694),0,$BM$23,1),0)+BC1694*(BA1695=BA1694)</f>
        <v>#N/A</v>
      </c>
      <c r="BD1695" s="167">
        <f t="shared" ca="1" si="93"/>
        <v>0</v>
      </c>
      <c r="BE1695" s="191" t="e">
        <f ca="1">(OFFSET(Pinlist!$E$1,BC1695,0)-$BN$16)*$BN$19</f>
        <v>#N/A</v>
      </c>
      <c r="BF1695" s="192" t="e">
        <f ca="1">(OFFSET(Pinlist!$F$1,BC1695,0)-$BO$16)*$BO$19</f>
        <v>#N/A</v>
      </c>
      <c r="BG1695" s="1098" t="str">
        <f ca="1">IF(LEFT(BD1695,2)="RF",OFFSET(Pinlist!$D$1,Chart!BC1695,0)&amp;"_"&amp;OFFSET(Pinlist!$G$1,Chart!BC1695,0),"")</f>
        <v/>
      </c>
      <c r="BH1695" s="1098"/>
      <c r="BI1695" s="178"/>
      <c r="BJ1695" s="178"/>
      <c r="BK1695" s="178"/>
      <c r="BL1695" s="178"/>
      <c r="BM1695" s="178"/>
      <c r="BN1695" s="178"/>
      <c r="BO1695" s="178"/>
      <c r="BP1695" s="178"/>
      <c r="BQ1695" s="196"/>
      <c r="BR1695" s="196"/>
      <c r="BS1695" s="196"/>
      <c r="BT1695" s="196"/>
      <c r="BU1695" s="196"/>
      <c r="BV1695" s="196"/>
      <c r="BW1695" s="178"/>
      <c r="BX1695" s="196"/>
      <c r="BY1695" s="196"/>
      <c r="BZ1695" s="196"/>
      <c r="CA1695" s="196"/>
      <c r="CB1695" s="178"/>
      <c r="CC1695" s="178"/>
      <c r="CD1695" s="202"/>
      <c r="CE1695" s="202"/>
      <c r="CF1695" s="178"/>
      <c r="CG1695" s="196"/>
      <c r="CH1695" s="178"/>
      <c r="CI1695" s="178"/>
      <c r="CJ1695" s="178"/>
      <c r="CK1695" s="178"/>
      <c r="CL1695" s="178"/>
      <c r="CM1695" s="178"/>
      <c r="CN1695" s="178"/>
      <c r="CO1695" s="178"/>
      <c r="CP1695" s="178"/>
      <c r="CQ1695" s="178"/>
      <c r="CR1695" s="178"/>
      <c r="CS1695" s="178"/>
      <c r="CT1695" s="178"/>
      <c r="CU1695" s="178"/>
      <c r="CV1695" s="178"/>
      <c r="CW1695" s="178"/>
      <c r="CX1695" s="178"/>
      <c r="CY1695" s="178"/>
      <c r="CZ1695" s="178"/>
      <c r="DA1695" s="150"/>
    </row>
    <row r="1696" spans="53:105" x14ac:dyDescent="0.2">
      <c r="BA1696" s="518">
        <f t="shared" ca="1" si="91"/>
        <v>61</v>
      </c>
      <c r="BB1696" s="174">
        <f t="shared" ca="1" si="92"/>
        <v>1633</v>
      </c>
      <c r="BC1696" s="525" t="e">
        <f ca="1">MATCH(BD1696,OFFSET(Pinlist!$A$2,BC1695*(BA1696=BA1695),0,$BM$23,1),0)+BC1695*(BA1696=BA1695)</f>
        <v>#N/A</v>
      </c>
      <c r="BD1696" s="167">
        <f t="shared" ca="1" si="93"/>
        <v>0</v>
      </c>
      <c r="BE1696" s="191" t="e">
        <f ca="1">(OFFSET(Pinlist!$E$1,BC1696,0)-$BN$16)*$BN$19</f>
        <v>#N/A</v>
      </c>
      <c r="BF1696" s="192" t="e">
        <f ca="1">(OFFSET(Pinlist!$F$1,BC1696,0)-$BO$16)*$BO$19</f>
        <v>#N/A</v>
      </c>
      <c r="BG1696" s="1098" t="str">
        <f ca="1">IF(LEFT(BD1696,2)="RF",OFFSET(Pinlist!$D$1,Chart!BC1696,0)&amp;"_"&amp;OFFSET(Pinlist!$G$1,Chart!BC1696,0),"")</f>
        <v/>
      </c>
      <c r="BH1696" s="1098"/>
      <c r="BI1696" s="178"/>
      <c r="BJ1696" s="178"/>
      <c r="BK1696" s="178"/>
      <c r="BL1696" s="178"/>
      <c r="BM1696" s="178"/>
      <c r="BN1696" s="178"/>
      <c r="BO1696" s="178"/>
      <c r="BP1696" s="178"/>
      <c r="BQ1696" s="196"/>
      <c r="BR1696" s="196"/>
      <c r="BS1696" s="196"/>
      <c r="BT1696" s="196"/>
      <c r="BU1696" s="196"/>
      <c r="BV1696" s="196"/>
      <c r="BW1696" s="178"/>
      <c r="BX1696" s="196"/>
      <c r="BY1696" s="196"/>
      <c r="BZ1696" s="196"/>
      <c r="CA1696" s="196"/>
      <c r="CB1696" s="178"/>
      <c r="CC1696" s="178"/>
      <c r="CD1696" s="202"/>
      <c r="CE1696" s="202"/>
      <c r="CF1696" s="178"/>
      <c r="CG1696" s="196"/>
      <c r="CH1696" s="178"/>
      <c r="CI1696" s="178"/>
      <c r="CJ1696" s="178"/>
      <c r="CK1696" s="178"/>
      <c r="CL1696" s="178"/>
      <c r="CM1696" s="178"/>
      <c r="CN1696" s="178"/>
      <c r="CO1696" s="178"/>
      <c r="CP1696" s="178"/>
      <c r="CQ1696" s="178"/>
      <c r="CR1696" s="178"/>
      <c r="CS1696" s="178"/>
      <c r="CT1696" s="178"/>
      <c r="CU1696" s="178"/>
      <c r="CV1696" s="178"/>
      <c r="CW1696" s="178"/>
      <c r="CX1696" s="178"/>
      <c r="CY1696" s="178"/>
      <c r="CZ1696" s="178"/>
      <c r="DA1696" s="150"/>
    </row>
    <row r="1697" spans="53:105" x14ac:dyDescent="0.2">
      <c r="BA1697" s="518">
        <f t="shared" ca="1" si="91"/>
        <v>61</v>
      </c>
      <c r="BB1697" s="174">
        <f t="shared" ca="1" si="92"/>
        <v>1634</v>
      </c>
      <c r="BC1697" s="525" t="e">
        <f ca="1">MATCH(BD1697,OFFSET(Pinlist!$A$2,BC1696*(BA1697=BA1696),0,$BM$23,1),0)+BC1696*(BA1697=BA1696)</f>
        <v>#N/A</v>
      </c>
      <c r="BD1697" s="167">
        <f t="shared" ca="1" si="93"/>
        <v>0</v>
      </c>
      <c r="BE1697" s="191" t="e">
        <f ca="1">(OFFSET(Pinlist!$E$1,BC1697,0)-$BN$16)*$BN$19</f>
        <v>#N/A</v>
      </c>
      <c r="BF1697" s="192" t="e">
        <f ca="1">(OFFSET(Pinlist!$F$1,BC1697,0)-$BO$16)*$BO$19</f>
        <v>#N/A</v>
      </c>
      <c r="BG1697" s="1098" t="str">
        <f ca="1">IF(LEFT(BD1697,2)="RF",OFFSET(Pinlist!$D$1,Chart!BC1697,0)&amp;"_"&amp;OFFSET(Pinlist!$G$1,Chart!BC1697,0),"")</f>
        <v/>
      </c>
      <c r="BH1697" s="1098"/>
      <c r="BI1697" s="178"/>
      <c r="BJ1697" s="178"/>
      <c r="BK1697" s="178"/>
      <c r="BL1697" s="178"/>
      <c r="BM1697" s="178"/>
      <c r="BN1697" s="178"/>
      <c r="BO1697" s="178"/>
      <c r="BP1697" s="178"/>
      <c r="BQ1697" s="196"/>
      <c r="BR1697" s="196"/>
      <c r="BS1697" s="196"/>
      <c r="BT1697" s="196"/>
      <c r="BU1697" s="196"/>
      <c r="BV1697" s="196"/>
      <c r="BW1697" s="178"/>
      <c r="BX1697" s="196"/>
      <c r="BY1697" s="196"/>
      <c r="BZ1697" s="196"/>
      <c r="CA1697" s="196"/>
      <c r="CB1697" s="178"/>
      <c r="CC1697" s="178"/>
      <c r="CD1697" s="202"/>
      <c r="CE1697" s="202"/>
      <c r="CF1697" s="178"/>
      <c r="CG1697" s="196"/>
      <c r="CH1697" s="178"/>
      <c r="CI1697" s="178"/>
      <c r="CJ1697" s="178"/>
      <c r="CK1697" s="178"/>
      <c r="CL1697" s="178"/>
      <c r="CM1697" s="178"/>
      <c r="CN1697" s="178"/>
      <c r="CO1697" s="178"/>
      <c r="CP1697" s="178"/>
      <c r="CQ1697" s="178"/>
      <c r="CR1697" s="178"/>
      <c r="CS1697" s="178"/>
      <c r="CT1697" s="178"/>
      <c r="CU1697" s="178"/>
      <c r="CV1697" s="178"/>
      <c r="CW1697" s="178"/>
      <c r="CX1697" s="178"/>
      <c r="CY1697" s="178"/>
      <c r="CZ1697" s="178"/>
      <c r="DA1697" s="150"/>
    </row>
    <row r="1698" spans="53:105" x14ac:dyDescent="0.2">
      <c r="BA1698" s="518">
        <f t="shared" ca="1" si="91"/>
        <v>61</v>
      </c>
      <c r="BB1698" s="174">
        <f t="shared" ca="1" si="92"/>
        <v>1635</v>
      </c>
      <c r="BC1698" s="525" t="e">
        <f ca="1">MATCH(BD1698,OFFSET(Pinlist!$A$2,BC1697*(BA1698=BA1697),0,$BM$23,1),0)+BC1697*(BA1698=BA1697)</f>
        <v>#N/A</v>
      </c>
      <c r="BD1698" s="167">
        <f t="shared" ca="1" si="93"/>
        <v>0</v>
      </c>
      <c r="BE1698" s="191" t="e">
        <f ca="1">(OFFSET(Pinlist!$E$1,BC1698,0)-$BN$16)*$BN$19</f>
        <v>#N/A</v>
      </c>
      <c r="BF1698" s="192" t="e">
        <f ca="1">(OFFSET(Pinlist!$F$1,BC1698,0)-$BO$16)*$BO$19</f>
        <v>#N/A</v>
      </c>
      <c r="BG1698" s="1098" t="str">
        <f ca="1">IF(LEFT(BD1698,2)="RF",OFFSET(Pinlist!$D$1,Chart!BC1698,0)&amp;"_"&amp;OFFSET(Pinlist!$G$1,Chart!BC1698,0),"")</f>
        <v/>
      </c>
      <c r="BH1698" s="1098"/>
      <c r="BI1698" s="178"/>
      <c r="BJ1698" s="178"/>
      <c r="BK1698" s="178"/>
      <c r="BL1698" s="178"/>
      <c r="BM1698" s="178"/>
      <c r="BN1698" s="178"/>
      <c r="BO1698" s="178"/>
      <c r="BP1698" s="178"/>
      <c r="BQ1698" s="196"/>
      <c r="BR1698" s="196"/>
      <c r="BS1698" s="196"/>
      <c r="BT1698" s="196"/>
      <c r="BU1698" s="196"/>
      <c r="BV1698" s="196"/>
      <c r="BW1698" s="178"/>
      <c r="BX1698" s="196"/>
      <c r="BY1698" s="196"/>
      <c r="BZ1698" s="196"/>
      <c r="CA1698" s="196"/>
      <c r="CB1698" s="178"/>
      <c r="CC1698" s="178"/>
      <c r="CD1698" s="202"/>
      <c r="CE1698" s="202"/>
      <c r="CF1698" s="178"/>
      <c r="CG1698" s="196"/>
      <c r="CH1698" s="178"/>
      <c r="CI1698" s="178"/>
      <c r="CJ1698" s="178"/>
      <c r="CK1698" s="178"/>
      <c r="CL1698" s="178"/>
      <c r="CM1698" s="178"/>
      <c r="CN1698" s="178"/>
      <c r="CO1698" s="178"/>
      <c r="CP1698" s="178"/>
      <c r="CQ1698" s="178"/>
      <c r="CR1698" s="178"/>
      <c r="CS1698" s="178"/>
      <c r="CT1698" s="178"/>
      <c r="CU1698" s="178"/>
      <c r="CV1698" s="178"/>
      <c r="CW1698" s="178"/>
      <c r="CX1698" s="178"/>
      <c r="CY1698" s="178"/>
      <c r="CZ1698" s="178"/>
      <c r="DA1698" s="150"/>
    </row>
    <row r="1699" spans="53:105" x14ac:dyDescent="0.2">
      <c r="BA1699" s="518">
        <f t="shared" ca="1" si="91"/>
        <v>61</v>
      </c>
      <c r="BB1699" s="174">
        <f t="shared" ca="1" si="92"/>
        <v>1636</v>
      </c>
      <c r="BC1699" s="525" t="e">
        <f ca="1">MATCH(BD1699,OFFSET(Pinlist!$A$2,BC1698*(BA1699=BA1698),0,$BM$23,1),0)+BC1698*(BA1699=BA1698)</f>
        <v>#N/A</v>
      </c>
      <c r="BD1699" s="167">
        <f t="shared" ca="1" si="93"/>
        <v>0</v>
      </c>
      <c r="BE1699" s="191" t="e">
        <f ca="1">(OFFSET(Pinlist!$E$1,BC1699,0)-$BN$16)*$BN$19</f>
        <v>#N/A</v>
      </c>
      <c r="BF1699" s="192" t="e">
        <f ca="1">(OFFSET(Pinlist!$F$1,BC1699,0)-$BO$16)*$BO$19</f>
        <v>#N/A</v>
      </c>
      <c r="BG1699" s="1098" t="str">
        <f ca="1">IF(LEFT(BD1699,2)="RF",OFFSET(Pinlist!$D$1,Chart!BC1699,0)&amp;"_"&amp;OFFSET(Pinlist!$G$1,Chart!BC1699,0),"")</f>
        <v/>
      </c>
      <c r="BH1699" s="1098"/>
      <c r="BI1699" s="178"/>
      <c r="BJ1699" s="178"/>
      <c r="BK1699" s="178"/>
      <c r="BL1699" s="178"/>
      <c r="BM1699" s="178"/>
      <c r="BN1699" s="178"/>
      <c r="BO1699" s="178"/>
      <c r="BP1699" s="178"/>
      <c r="BQ1699" s="196"/>
      <c r="BR1699" s="196"/>
      <c r="BS1699" s="196"/>
      <c r="BT1699" s="196"/>
      <c r="BU1699" s="196"/>
      <c r="BV1699" s="196"/>
      <c r="BW1699" s="178"/>
      <c r="BX1699" s="196"/>
      <c r="BY1699" s="196"/>
      <c r="BZ1699" s="196"/>
      <c r="CA1699" s="196"/>
      <c r="CB1699" s="178"/>
      <c r="CC1699" s="178"/>
      <c r="CD1699" s="202"/>
      <c r="CE1699" s="202"/>
      <c r="CF1699" s="178"/>
      <c r="CG1699" s="196"/>
      <c r="CH1699" s="178"/>
      <c r="CI1699" s="178"/>
      <c r="CJ1699" s="178"/>
      <c r="CK1699" s="178"/>
      <c r="CL1699" s="178"/>
      <c r="CM1699" s="178"/>
      <c r="CN1699" s="178"/>
      <c r="CO1699" s="178"/>
      <c r="CP1699" s="178"/>
      <c r="CQ1699" s="178"/>
      <c r="CR1699" s="178"/>
      <c r="CS1699" s="178"/>
      <c r="CT1699" s="178"/>
      <c r="CU1699" s="178"/>
      <c r="CV1699" s="178"/>
      <c r="CW1699" s="178"/>
      <c r="CX1699" s="178"/>
      <c r="CY1699" s="178"/>
      <c r="CZ1699" s="178"/>
      <c r="DA1699" s="150"/>
    </row>
    <row r="1700" spans="53:105" x14ac:dyDescent="0.2">
      <c r="BA1700" s="518">
        <f t="shared" ca="1" si="91"/>
        <v>61</v>
      </c>
      <c r="BB1700" s="174">
        <f t="shared" ca="1" si="92"/>
        <v>1637</v>
      </c>
      <c r="BC1700" s="525" t="e">
        <f ca="1">MATCH(BD1700,OFFSET(Pinlist!$A$2,BC1699*(BA1700=BA1699),0,$BM$23,1),0)+BC1699*(BA1700=BA1699)</f>
        <v>#N/A</v>
      </c>
      <c r="BD1700" s="167">
        <f t="shared" ca="1" si="93"/>
        <v>0</v>
      </c>
      <c r="BE1700" s="191" t="e">
        <f ca="1">(OFFSET(Pinlist!$E$1,BC1700,0)-$BN$16)*$BN$19</f>
        <v>#N/A</v>
      </c>
      <c r="BF1700" s="192" t="e">
        <f ca="1">(OFFSET(Pinlist!$F$1,BC1700,0)-$BO$16)*$BO$19</f>
        <v>#N/A</v>
      </c>
      <c r="BG1700" s="1098" t="str">
        <f ca="1">IF(LEFT(BD1700,2)="RF",OFFSET(Pinlist!$D$1,Chart!BC1700,0)&amp;"_"&amp;OFFSET(Pinlist!$G$1,Chart!BC1700,0),"")</f>
        <v/>
      </c>
      <c r="BH1700" s="1098"/>
      <c r="BI1700" s="178"/>
      <c r="BJ1700" s="178"/>
      <c r="BK1700" s="178"/>
      <c r="BL1700" s="178"/>
      <c r="BM1700" s="178"/>
      <c r="BN1700" s="178"/>
      <c r="BO1700" s="178"/>
      <c r="BP1700" s="178"/>
      <c r="BQ1700" s="196"/>
      <c r="BR1700" s="196"/>
      <c r="BS1700" s="196"/>
      <c r="BT1700" s="196"/>
      <c r="BU1700" s="196"/>
      <c r="BV1700" s="196"/>
      <c r="BW1700" s="178"/>
      <c r="BX1700" s="196"/>
      <c r="BY1700" s="196"/>
      <c r="BZ1700" s="196"/>
      <c r="CA1700" s="196"/>
      <c r="CB1700" s="178"/>
      <c r="CC1700" s="178"/>
      <c r="CD1700" s="202"/>
      <c r="CE1700" s="202"/>
      <c r="CF1700" s="178"/>
      <c r="CG1700" s="196"/>
      <c r="CH1700" s="178"/>
      <c r="CI1700" s="178"/>
      <c r="CJ1700" s="178"/>
      <c r="CK1700" s="178"/>
      <c r="CL1700" s="178"/>
      <c r="CM1700" s="178"/>
      <c r="CN1700" s="178"/>
      <c r="CO1700" s="178"/>
      <c r="CP1700" s="178"/>
      <c r="CQ1700" s="178"/>
      <c r="CR1700" s="178"/>
      <c r="CS1700" s="178"/>
      <c r="CT1700" s="178"/>
      <c r="CU1700" s="178"/>
      <c r="CV1700" s="178"/>
      <c r="CW1700" s="178"/>
      <c r="CX1700" s="178"/>
      <c r="CY1700" s="178"/>
      <c r="CZ1700" s="178"/>
      <c r="DA1700" s="150"/>
    </row>
    <row r="1701" spans="53:105" x14ac:dyDescent="0.2">
      <c r="BA1701" s="518">
        <f t="shared" ca="1" si="91"/>
        <v>61</v>
      </c>
      <c r="BB1701" s="174">
        <f t="shared" ca="1" si="92"/>
        <v>1638</v>
      </c>
      <c r="BC1701" s="525" t="e">
        <f ca="1">MATCH(BD1701,OFFSET(Pinlist!$A$2,BC1700*(BA1701=BA1700),0,$BM$23,1),0)+BC1700*(BA1701=BA1700)</f>
        <v>#N/A</v>
      </c>
      <c r="BD1701" s="167">
        <f t="shared" ca="1" si="93"/>
        <v>0</v>
      </c>
      <c r="BE1701" s="191" t="e">
        <f ca="1">(OFFSET(Pinlist!$E$1,BC1701,0)-$BN$16)*$BN$19</f>
        <v>#N/A</v>
      </c>
      <c r="BF1701" s="192" t="e">
        <f ca="1">(OFFSET(Pinlist!$F$1,BC1701,0)-$BO$16)*$BO$19</f>
        <v>#N/A</v>
      </c>
      <c r="BG1701" s="1098" t="str">
        <f ca="1">IF(LEFT(BD1701,2)="RF",OFFSET(Pinlist!$D$1,Chart!BC1701,0)&amp;"_"&amp;OFFSET(Pinlist!$G$1,Chart!BC1701,0),"")</f>
        <v/>
      </c>
      <c r="BH1701" s="1098"/>
      <c r="BI1701" s="178"/>
      <c r="BJ1701" s="178"/>
      <c r="BK1701" s="178"/>
      <c r="BL1701" s="178"/>
      <c r="BM1701" s="178"/>
      <c r="BN1701" s="178"/>
      <c r="BO1701" s="178"/>
      <c r="BP1701" s="178"/>
      <c r="BQ1701" s="196"/>
      <c r="BR1701" s="196"/>
      <c r="BS1701" s="196"/>
      <c r="BT1701" s="196"/>
      <c r="BU1701" s="196"/>
      <c r="BV1701" s="196"/>
      <c r="BW1701" s="178"/>
      <c r="BX1701" s="196"/>
      <c r="BY1701" s="196"/>
      <c r="BZ1701" s="196"/>
      <c r="CA1701" s="196"/>
      <c r="CB1701" s="178"/>
      <c r="CC1701" s="178"/>
      <c r="CD1701" s="202"/>
      <c r="CE1701" s="202"/>
      <c r="CF1701" s="178"/>
      <c r="CG1701" s="196"/>
      <c r="CH1701" s="178"/>
      <c r="CI1701" s="178"/>
      <c r="CJ1701" s="178"/>
      <c r="CK1701" s="178"/>
      <c r="CL1701" s="178"/>
      <c r="CM1701" s="178"/>
      <c r="CN1701" s="178"/>
      <c r="CO1701" s="178"/>
      <c r="CP1701" s="178"/>
      <c r="CQ1701" s="178"/>
      <c r="CR1701" s="178"/>
      <c r="CS1701" s="178"/>
      <c r="CT1701" s="178"/>
      <c r="CU1701" s="178"/>
      <c r="CV1701" s="178"/>
      <c r="CW1701" s="178"/>
      <c r="CX1701" s="178"/>
      <c r="CY1701" s="178"/>
      <c r="CZ1701" s="178"/>
      <c r="DA1701" s="150"/>
    </row>
    <row r="1702" spans="53:105" x14ac:dyDescent="0.2">
      <c r="BA1702" s="518">
        <f t="shared" ca="1" si="91"/>
        <v>61</v>
      </c>
      <c r="BB1702" s="174">
        <f t="shared" ca="1" si="92"/>
        <v>1639</v>
      </c>
      <c r="BC1702" s="525" t="e">
        <f ca="1">MATCH(BD1702,OFFSET(Pinlist!$A$2,BC1701*(BA1702=BA1701),0,$BM$23,1),0)+BC1701*(BA1702=BA1701)</f>
        <v>#N/A</v>
      </c>
      <c r="BD1702" s="167">
        <f t="shared" ca="1" si="93"/>
        <v>0</v>
      </c>
      <c r="BE1702" s="191" t="e">
        <f ca="1">(OFFSET(Pinlist!$E$1,BC1702,0)-$BN$16)*$BN$19</f>
        <v>#N/A</v>
      </c>
      <c r="BF1702" s="192" t="e">
        <f ca="1">(OFFSET(Pinlist!$F$1,BC1702,0)-$BO$16)*$BO$19</f>
        <v>#N/A</v>
      </c>
      <c r="BG1702" s="1098" t="str">
        <f ca="1">IF(LEFT(BD1702,2)="RF",OFFSET(Pinlist!$D$1,Chart!BC1702,0)&amp;"_"&amp;OFFSET(Pinlist!$G$1,Chart!BC1702,0),"")</f>
        <v/>
      </c>
      <c r="BH1702" s="1098"/>
      <c r="BI1702" s="178"/>
      <c r="BJ1702" s="178"/>
      <c r="BK1702" s="178"/>
      <c r="BL1702" s="178"/>
      <c r="BM1702" s="178"/>
      <c r="BN1702" s="178"/>
      <c r="BO1702" s="178"/>
      <c r="BP1702" s="178"/>
      <c r="BQ1702" s="196"/>
      <c r="BR1702" s="196"/>
      <c r="BS1702" s="196"/>
      <c r="BT1702" s="196"/>
      <c r="BU1702" s="196"/>
      <c r="BV1702" s="196"/>
      <c r="BW1702" s="178"/>
      <c r="BX1702" s="196"/>
      <c r="BY1702" s="196"/>
      <c r="BZ1702" s="196"/>
      <c r="CA1702" s="196"/>
      <c r="CB1702" s="178"/>
      <c r="CC1702" s="178"/>
      <c r="CD1702" s="202"/>
      <c r="CE1702" s="202"/>
      <c r="CF1702" s="178"/>
      <c r="CG1702" s="196"/>
      <c r="CH1702" s="178"/>
      <c r="CI1702" s="178"/>
      <c r="CJ1702" s="178"/>
      <c r="CK1702" s="178"/>
      <c r="CL1702" s="178"/>
      <c r="CM1702" s="178"/>
      <c r="CN1702" s="178"/>
      <c r="CO1702" s="178"/>
      <c r="CP1702" s="178"/>
      <c r="CQ1702" s="178"/>
      <c r="CR1702" s="178"/>
      <c r="CS1702" s="178"/>
      <c r="CT1702" s="178"/>
      <c r="CU1702" s="178"/>
      <c r="CV1702" s="178"/>
      <c r="CW1702" s="178"/>
      <c r="CX1702" s="178"/>
      <c r="CY1702" s="178"/>
      <c r="CZ1702" s="178"/>
      <c r="DA1702" s="150"/>
    </row>
    <row r="1703" spans="53:105" x14ac:dyDescent="0.2">
      <c r="BA1703" s="518">
        <f t="shared" ca="1" si="91"/>
        <v>61</v>
      </c>
      <c r="BB1703" s="174">
        <f t="shared" ca="1" si="92"/>
        <v>1640</v>
      </c>
      <c r="BC1703" s="525" t="e">
        <f ca="1">MATCH(BD1703,OFFSET(Pinlist!$A$2,BC1702*(BA1703=BA1702),0,$BM$23,1),0)+BC1702*(BA1703=BA1702)</f>
        <v>#N/A</v>
      </c>
      <c r="BD1703" s="167">
        <f t="shared" ca="1" si="93"/>
        <v>0</v>
      </c>
      <c r="BE1703" s="191" t="e">
        <f ca="1">(OFFSET(Pinlist!$E$1,BC1703,0)-$BN$16)*$BN$19</f>
        <v>#N/A</v>
      </c>
      <c r="BF1703" s="192" t="e">
        <f ca="1">(OFFSET(Pinlist!$F$1,BC1703,0)-$BO$16)*$BO$19</f>
        <v>#N/A</v>
      </c>
      <c r="BG1703" s="1098" t="str">
        <f ca="1">IF(LEFT(BD1703,2)="RF",OFFSET(Pinlist!$D$1,Chart!BC1703,0)&amp;"_"&amp;OFFSET(Pinlist!$G$1,Chart!BC1703,0),"")</f>
        <v/>
      </c>
      <c r="BH1703" s="1098"/>
      <c r="BI1703" s="178"/>
      <c r="BJ1703" s="178"/>
      <c r="BK1703" s="178"/>
      <c r="BL1703" s="178"/>
      <c r="BM1703" s="178"/>
      <c r="BN1703" s="178"/>
      <c r="BO1703" s="178"/>
      <c r="BP1703" s="178"/>
      <c r="BQ1703" s="196"/>
      <c r="BR1703" s="196"/>
      <c r="BS1703" s="196"/>
      <c r="BT1703" s="196"/>
      <c r="BU1703" s="196"/>
      <c r="BV1703" s="196"/>
      <c r="BW1703" s="178"/>
      <c r="BX1703" s="196"/>
      <c r="BY1703" s="196"/>
      <c r="BZ1703" s="196"/>
      <c r="CA1703" s="196"/>
      <c r="CB1703" s="178"/>
      <c r="CC1703" s="178"/>
      <c r="CD1703" s="202"/>
      <c r="CE1703" s="202"/>
      <c r="CF1703" s="178"/>
      <c r="CG1703" s="196"/>
      <c r="CH1703" s="178"/>
      <c r="CI1703" s="178"/>
      <c r="CJ1703" s="178"/>
      <c r="CK1703" s="178"/>
      <c r="CL1703" s="178"/>
      <c r="CM1703" s="178"/>
      <c r="CN1703" s="178"/>
      <c r="CO1703" s="178"/>
      <c r="CP1703" s="178"/>
      <c r="CQ1703" s="178"/>
      <c r="CR1703" s="178"/>
      <c r="CS1703" s="178"/>
      <c r="CT1703" s="178"/>
      <c r="CU1703" s="178"/>
      <c r="CV1703" s="178"/>
      <c r="CW1703" s="178"/>
      <c r="CX1703" s="178"/>
      <c r="CY1703" s="178"/>
      <c r="CZ1703" s="178"/>
      <c r="DA1703" s="150"/>
    </row>
    <row r="1704" spans="53:105" x14ac:dyDescent="0.2">
      <c r="BA1704" s="518">
        <f t="shared" ca="1" si="91"/>
        <v>61</v>
      </c>
      <c r="BB1704" s="174">
        <f t="shared" ca="1" si="92"/>
        <v>1641</v>
      </c>
      <c r="BC1704" s="525" t="e">
        <f ca="1">MATCH(BD1704,OFFSET(Pinlist!$A$2,BC1703*(BA1704=BA1703),0,$BM$23,1),0)+BC1703*(BA1704=BA1703)</f>
        <v>#N/A</v>
      </c>
      <c r="BD1704" s="167">
        <f t="shared" ca="1" si="93"/>
        <v>0</v>
      </c>
      <c r="BE1704" s="191" t="e">
        <f ca="1">(OFFSET(Pinlist!$E$1,BC1704,0)-$BN$16)*$BN$19</f>
        <v>#N/A</v>
      </c>
      <c r="BF1704" s="192" t="e">
        <f ca="1">(OFFSET(Pinlist!$F$1,BC1704,0)-$BO$16)*$BO$19</f>
        <v>#N/A</v>
      </c>
      <c r="BG1704" s="1098" t="str">
        <f ca="1">IF(LEFT(BD1704,2)="RF",OFFSET(Pinlist!$D$1,Chart!BC1704,0)&amp;"_"&amp;OFFSET(Pinlist!$G$1,Chart!BC1704,0),"")</f>
        <v/>
      </c>
      <c r="BH1704" s="1098"/>
      <c r="BI1704" s="178"/>
      <c r="BJ1704" s="178"/>
      <c r="BK1704" s="178"/>
      <c r="BL1704" s="178"/>
      <c r="BM1704" s="178"/>
      <c r="BN1704" s="178"/>
      <c r="BO1704" s="178"/>
      <c r="BP1704" s="178"/>
      <c r="BQ1704" s="196"/>
      <c r="BR1704" s="196"/>
      <c r="BS1704" s="196"/>
      <c r="BT1704" s="196"/>
      <c r="BU1704" s="196"/>
      <c r="BV1704" s="196"/>
      <c r="BW1704" s="178"/>
      <c r="BX1704" s="196"/>
      <c r="BY1704" s="196"/>
      <c r="BZ1704" s="196"/>
      <c r="CA1704" s="196"/>
      <c r="CB1704" s="178"/>
      <c r="CC1704" s="178"/>
      <c r="CD1704" s="202"/>
      <c r="CE1704" s="202"/>
      <c r="CF1704" s="178"/>
      <c r="CG1704" s="196"/>
      <c r="CH1704" s="178"/>
      <c r="CI1704" s="178"/>
      <c r="CJ1704" s="178"/>
      <c r="CK1704" s="178"/>
      <c r="CL1704" s="178"/>
      <c r="CM1704" s="178"/>
      <c r="CN1704" s="178"/>
      <c r="CO1704" s="178"/>
      <c r="CP1704" s="178"/>
      <c r="CQ1704" s="178"/>
      <c r="CR1704" s="178"/>
      <c r="CS1704" s="178"/>
      <c r="CT1704" s="178"/>
      <c r="CU1704" s="178"/>
      <c r="CV1704" s="178"/>
      <c r="CW1704" s="178"/>
      <c r="CX1704" s="178"/>
      <c r="CY1704" s="178"/>
      <c r="CZ1704" s="178"/>
      <c r="DA1704" s="150"/>
    </row>
    <row r="1705" spans="53:105" x14ac:dyDescent="0.2">
      <c r="BA1705" s="518">
        <f t="shared" ca="1" si="91"/>
        <v>61</v>
      </c>
      <c r="BB1705" s="174">
        <f t="shared" ca="1" si="92"/>
        <v>1642</v>
      </c>
      <c r="BC1705" s="525" t="e">
        <f ca="1">MATCH(BD1705,OFFSET(Pinlist!$A$2,BC1704*(BA1705=BA1704),0,$BM$23,1),0)+BC1704*(BA1705=BA1704)</f>
        <v>#N/A</v>
      </c>
      <c r="BD1705" s="167">
        <f t="shared" ca="1" si="93"/>
        <v>0</v>
      </c>
      <c r="BE1705" s="191" t="e">
        <f ca="1">(OFFSET(Pinlist!$E$1,BC1705,0)-$BN$16)*$BN$19</f>
        <v>#N/A</v>
      </c>
      <c r="BF1705" s="192" t="e">
        <f ca="1">(OFFSET(Pinlist!$F$1,BC1705,0)-$BO$16)*$BO$19</f>
        <v>#N/A</v>
      </c>
      <c r="BG1705" s="1098" t="str">
        <f ca="1">IF(LEFT(BD1705,2)="RF",OFFSET(Pinlist!$D$1,Chart!BC1705,0)&amp;"_"&amp;OFFSET(Pinlist!$G$1,Chart!BC1705,0),"")</f>
        <v/>
      </c>
      <c r="BH1705" s="1098"/>
      <c r="BI1705" s="178"/>
      <c r="BJ1705" s="178"/>
      <c r="BK1705" s="178"/>
      <c r="BL1705" s="178"/>
      <c r="BM1705" s="178"/>
      <c r="BN1705" s="178"/>
      <c r="BO1705" s="178"/>
      <c r="BP1705" s="178"/>
      <c r="BQ1705" s="196"/>
      <c r="BR1705" s="196"/>
      <c r="BS1705" s="196"/>
      <c r="BT1705" s="196"/>
      <c r="BU1705" s="196"/>
      <c r="BV1705" s="196"/>
      <c r="BW1705" s="178"/>
      <c r="BX1705" s="196"/>
      <c r="BY1705" s="196"/>
      <c r="BZ1705" s="196"/>
      <c r="CA1705" s="196"/>
      <c r="CB1705" s="178"/>
      <c r="CC1705" s="178"/>
      <c r="CD1705" s="202"/>
      <c r="CE1705" s="202"/>
      <c r="CF1705" s="178"/>
      <c r="CG1705" s="196"/>
      <c r="CH1705" s="178"/>
      <c r="CI1705" s="178"/>
      <c r="CJ1705" s="178"/>
      <c r="CK1705" s="178"/>
      <c r="CL1705" s="178"/>
      <c r="CM1705" s="178"/>
      <c r="CN1705" s="178"/>
      <c r="CO1705" s="178"/>
      <c r="CP1705" s="178"/>
      <c r="CQ1705" s="178"/>
      <c r="CR1705" s="178"/>
      <c r="CS1705" s="178"/>
      <c r="CT1705" s="178"/>
      <c r="CU1705" s="178"/>
      <c r="CV1705" s="178"/>
      <c r="CW1705" s="178"/>
      <c r="CX1705" s="178"/>
      <c r="CY1705" s="178"/>
      <c r="CZ1705" s="178"/>
      <c r="DA1705" s="150"/>
    </row>
    <row r="1706" spans="53:105" x14ac:dyDescent="0.2">
      <c r="BA1706" s="518">
        <f t="shared" ca="1" si="91"/>
        <v>61</v>
      </c>
      <c r="BB1706" s="174">
        <f t="shared" ca="1" si="92"/>
        <v>1643</v>
      </c>
      <c r="BC1706" s="525" t="e">
        <f ca="1">MATCH(BD1706,OFFSET(Pinlist!$A$2,BC1705*(BA1706=BA1705),0,$BM$23,1),0)+BC1705*(BA1706=BA1705)</f>
        <v>#N/A</v>
      </c>
      <c r="BD1706" s="167">
        <f t="shared" ca="1" si="93"/>
        <v>0</v>
      </c>
      <c r="BE1706" s="191" t="e">
        <f ca="1">(OFFSET(Pinlist!$E$1,BC1706,0)-$BN$16)*$BN$19</f>
        <v>#N/A</v>
      </c>
      <c r="BF1706" s="192" t="e">
        <f ca="1">(OFFSET(Pinlist!$F$1,BC1706,0)-$BO$16)*$BO$19</f>
        <v>#N/A</v>
      </c>
      <c r="BG1706" s="1098" t="str">
        <f ca="1">IF(LEFT(BD1706,2)="RF",OFFSET(Pinlist!$D$1,Chart!BC1706,0)&amp;"_"&amp;OFFSET(Pinlist!$G$1,Chart!BC1706,0),"")</f>
        <v/>
      </c>
      <c r="BH1706" s="1098"/>
      <c r="BI1706" s="178"/>
      <c r="BJ1706" s="178"/>
      <c r="BK1706" s="178"/>
      <c r="BL1706" s="178"/>
      <c r="BM1706" s="178"/>
      <c r="BN1706" s="178"/>
      <c r="BO1706" s="178"/>
      <c r="BP1706" s="178"/>
      <c r="BQ1706" s="196"/>
      <c r="BR1706" s="196"/>
      <c r="BS1706" s="196"/>
      <c r="BT1706" s="196"/>
      <c r="BU1706" s="196"/>
      <c r="BV1706" s="196"/>
      <c r="BW1706" s="178"/>
      <c r="BX1706" s="196"/>
      <c r="BY1706" s="196"/>
      <c r="BZ1706" s="196"/>
      <c r="CA1706" s="196"/>
      <c r="CB1706" s="178"/>
      <c r="CC1706" s="178"/>
      <c r="CD1706" s="202"/>
      <c r="CE1706" s="202"/>
      <c r="CF1706" s="178"/>
      <c r="CG1706" s="196"/>
      <c r="CH1706" s="178"/>
      <c r="CI1706" s="178"/>
      <c r="CJ1706" s="178"/>
      <c r="CK1706" s="178"/>
      <c r="CL1706" s="178"/>
      <c r="CM1706" s="178"/>
      <c r="CN1706" s="178"/>
      <c r="CO1706" s="178"/>
      <c r="CP1706" s="178"/>
      <c r="CQ1706" s="178"/>
      <c r="CR1706" s="178"/>
      <c r="CS1706" s="178"/>
      <c r="CT1706" s="178"/>
      <c r="CU1706" s="178"/>
      <c r="CV1706" s="178"/>
      <c r="CW1706" s="178"/>
      <c r="CX1706" s="178"/>
      <c r="CY1706" s="178"/>
      <c r="CZ1706" s="178"/>
      <c r="DA1706" s="150"/>
    </row>
    <row r="1707" spans="53:105" x14ac:dyDescent="0.2">
      <c r="BA1707" s="518">
        <f t="shared" ca="1" si="91"/>
        <v>61</v>
      </c>
      <c r="BB1707" s="174">
        <f t="shared" ca="1" si="92"/>
        <v>1644</v>
      </c>
      <c r="BC1707" s="525" t="e">
        <f ca="1">MATCH(BD1707,OFFSET(Pinlist!$A$2,BC1706*(BA1707=BA1706),0,$BM$23,1),0)+BC1706*(BA1707=BA1706)</f>
        <v>#N/A</v>
      </c>
      <c r="BD1707" s="167">
        <f t="shared" ca="1" si="93"/>
        <v>0</v>
      </c>
      <c r="BE1707" s="191" t="e">
        <f ca="1">(OFFSET(Pinlist!$E$1,BC1707,0)-$BN$16)*$BN$19</f>
        <v>#N/A</v>
      </c>
      <c r="BF1707" s="192" t="e">
        <f ca="1">(OFFSET(Pinlist!$F$1,BC1707,0)-$BO$16)*$BO$19</f>
        <v>#N/A</v>
      </c>
      <c r="BG1707" s="1098" t="str">
        <f ca="1">IF(LEFT(BD1707,2)="RF",OFFSET(Pinlist!$D$1,Chart!BC1707,0)&amp;"_"&amp;OFFSET(Pinlist!$G$1,Chart!BC1707,0),"")</f>
        <v/>
      </c>
      <c r="BH1707" s="1098"/>
      <c r="BI1707" s="178"/>
      <c r="BJ1707" s="178"/>
      <c r="BK1707" s="178"/>
      <c r="BL1707" s="178"/>
      <c r="BM1707" s="178"/>
      <c r="BN1707" s="178"/>
      <c r="BO1707" s="178"/>
      <c r="BP1707" s="178"/>
      <c r="BQ1707" s="196"/>
      <c r="BR1707" s="196"/>
      <c r="BS1707" s="196"/>
      <c r="BT1707" s="196"/>
      <c r="BU1707" s="196"/>
      <c r="BV1707" s="196"/>
      <c r="BW1707" s="178"/>
      <c r="BX1707" s="196"/>
      <c r="BY1707" s="196"/>
      <c r="BZ1707" s="196"/>
      <c r="CA1707" s="196"/>
      <c r="CB1707" s="178"/>
      <c r="CC1707" s="178"/>
      <c r="CD1707" s="202"/>
      <c r="CE1707" s="202"/>
      <c r="CF1707" s="178"/>
      <c r="CG1707" s="196"/>
      <c r="CH1707" s="178"/>
      <c r="CI1707" s="178"/>
      <c r="CJ1707" s="178"/>
      <c r="CK1707" s="178"/>
      <c r="CL1707" s="178"/>
      <c r="CM1707" s="178"/>
      <c r="CN1707" s="178"/>
      <c r="CO1707" s="178"/>
      <c r="CP1707" s="178"/>
      <c r="CQ1707" s="178"/>
      <c r="CR1707" s="178"/>
      <c r="CS1707" s="178"/>
      <c r="CT1707" s="178"/>
      <c r="CU1707" s="178"/>
      <c r="CV1707" s="178"/>
      <c r="CW1707" s="178"/>
      <c r="CX1707" s="178"/>
      <c r="CY1707" s="178"/>
      <c r="CZ1707" s="178"/>
      <c r="DA1707" s="150"/>
    </row>
    <row r="1708" spans="53:105" x14ac:dyDescent="0.2">
      <c r="BA1708" s="518">
        <f t="shared" ca="1" si="91"/>
        <v>61</v>
      </c>
      <c r="BB1708" s="174">
        <f t="shared" ca="1" si="92"/>
        <v>1645</v>
      </c>
      <c r="BC1708" s="525" t="e">
        <f ca="1">MATCH(BD1708,OFFSET(Pinlist!$A$2,BC1707*(BA1708=BA1707),0,$BM$23,1),0)+BC1707*(BA1708=BA1707)</f>
        <v>#N/A</v>
      </c>
      <c r="BD1708" s="167">
        <f t="shared" ca="1" si="93"/>
        <v>0</v>
      </c>
      <c r="BE1708" s="191" t="e">
        <f ca="1">(OFFSET(Pinlist!$E$1,BC1708,0)-$BN$16)*$BN$19</f>
        <v>#N/A</v>
      </c>
      <c r="BF1708" s="192" t="e">
        <f ca="1">(OFFSET(Pinlist!$F$1,BC1708,0)-$BO$16)*$BO$19</f>
        <v>#N/A</v>
      </c>
      <c r="BG1708" s="1098" t="str">
        <f ca="1">IF(LEFT(BD1708,2)="RF",OFFSET(Pinlist!$D$1,Chart!BC1708,0)&amp;"_"&amp;OFFSET(Pinlist!$G$1,Chart!BC1708,0),"")</f>
        <v/>
      </c>
      <c r="BH1708" s="1098"/>
      <c r="BI1708" s="178"/>
      <c r="BJ1708" s="178"/>
      <c r="BK1708" s="178"/>
      <c r="BL1708" s="178"/>
      <c r="BM1708" s="178"/>
      <c r="BN1708" s="178"/>
      <c r="BO1708" s="178"/>
      <c r="BP1708" s="178"/>
      <c r="BQ1708" s="196"/>
      <c r="BR1708" s="196"/>
      <c r="BS1708" s="196"/>
      <c r="BT1708" s="196"/>
      <c r="BU1708" s="196"/>
      <c r="BV1708" s="196"/>
      <c r="BW1708" s="178"/>
      <c r="BX1708" s="196"/>
      <c r="BY1708" s="196"/>
      <c r="BZ1708" s="196"/>
      <c r="CA1708" s="196"/>
      <c r="CB1708" s="178"/>
      <c r="CC1708" s="178"/>
      <c r="CD1708" s="202"/>
      <c r="CE1708" s="202"/>
      <c r="CF1708" s="178"/>
      <c r="CG1708" s="196"/>
      <c r="CH1708" s="178"/>
      <c r="CI1708" s="178"/>
      <c r="CJ1708" s="178"/>
      <c r="CK1708" s="178"/>
      <c r="CL1708" s="178"/>
      <c r="CM1708" s="178"/>
      <c r="CN1708" s="178"/>
      <c r="CO1708" s="178"/>
      <c r="CP1708" s="178"/>
      <c r="CQ1708" s="178"/>
      <c r="CR1708" s="178"/>
      <c r="CS1708" s="178"/>
      <c r="CT1708" s="178"/>
      <c r="CU1708" s="178"/>
      <c r="CV1708" s="178"/>
      <c r="CW1708" s="178"/>
      <c r="CX1708" s="178"/>
      <c r="CY1708" s="178"/>
      <c r="CZ1708" s="178"/>
      <c r="DA1708" s="150"/>
    </row>
    <row r="1709" spans="53:105" x14ac:dyDescent="0.2">
      <c r="BA1709" s="518">
        <f t="shared" ca="1" si="91"/>
        <v>61</v>
      </c>
      <c r="BB1709" s="174">
        <f t="shared" ca="1" si="92"/>
        <v>1646</v>
      </c>
      <c r="BC1709" s="525" t="e">
        <f ca="1">MATCH(BD1709,OFFSET(Pinlist!$A$2,BC1708*(BA1709=BA1708),0,$BM$23,1),0)+BC1708*(BA1709=BA1708)</f>
        <v>#N/A</v>
      </c>
      <c r="BD1709" s="167">
        <f t="shared" ca="1" si="93"/>
        <v>0</v>
      </c>
      <c r="BE1709" s="191" t="e">
        <f ca="1">(OFFSET(Pinlist!$E$1,BC1709,0)-$BN$16)*$BN$19</f>
        <v>#N/A</v>
      </c>
      <c r="BF1709" s="192" t="e">
        <f ca="1">(OFFSET(Pinlist!$F$1,BC1709,0)-$BO$16)*$BO$19</f>
        <v>#N/A</v>
      </c>
      <c r="BG1709" s="1098" t="str">
        <f ca="1">IF(LEFT(BD1709,2)="RF",OFFSET(Pinlist!$D$1,Chart!BC1709,0)&amp;"_"&amp;OFFSET(Pinlist!$G$1,Chart!BC1709,0),"")</f>
        <v/>
      </c>
      <c r="BH1709" s="1098"/>
      <c r="BI1709" s="178"/>
      <c r="BJ1709" s="178"/>
      <c r="BK1709" s="178"/>
      <c r="BL1709" s="178"/>
      <c r="BM1709" s="178"/>
      <c r="BN1709" s="178"/>
      <c r="BO1709" s="178"/>
      <c r="BP1709" s="178"/>
      <c r="BQ1709" s="196"/>
      <c r="BR1709" s="196"/>
      <c r="BS1709" s="196"/>
      <c r="BT1709" s="196"/>
      <c r="BU1709" s="196"/>
      <c r="BV1709" s="196"/>
      <c r="BW1709" s="178"/>
      <c r="BX1709" s="196"/>
      <c r="BY1709" s="196"/>
      <c r="BZ1709" s="196"/>
      <c r="CA1709" s="196"/>
      <c r="CB1709" s="178"/>
      <c r="CC1709" s="178"/>
      <c r="CD1709" s="202"/>
      <c r="CE1709" s="202"/>
      <c r="CF1709" s="178"/>
      <c r="CG1709" s="196"/>
      <c r="CH1709" s="178"/>
      <c r="CI1709" s="178"/>
      <c r="CJ1709" s="178"/>
      <c r="CK1709" s="178"/>
      <c r="CL1709" s="178"/>
      <c r="CM1709" s="178"/>
      <c r="CN1709" s="178"/>
      <c r="CO1709" s="178"/>
      <c r="CP1709" s="178"/>
      <c r="CQ1709" s="178"/>
      <c r="CR1709" s="178"/>
      <c r="CS1709" s="178"/>
      <c r="CT1709" s="178"/>
      <c r="CU1709" s="178"/>
      <c r="CV1709" s="178"/>
      <c r="CW1709" s="178"/>
      <c r="CX1709" s="178"/>
      <c r="CY1709" s="178"/>
      <c r="CZ1709" s="178"/>
      <c r="DA1709" s="150"/>
    </row>
    <row r="1710" spans="53:105" x14ac:dyDescent="0.2">
      <c r="BA1710" s="518">
        <f t="shared" ca="1" si="91"/>
        <v>61</v>
      </c>
      <c r="BB1710" s="174">
        <f t="shared" ca="1" si="92"/>
        <v>1647</v>
      </c>
      <c r="BC1710" s="525" t="e">
        <f ca="1">MATCH(BD1710,OFFSET(Pinlist!$A$2,BC1709*(BA1710=BA1709),0,$BM$23,1),0)+BC1709*(BA1710=BA1709)</f>
        <v>#N/A</v>
      </c>
      <c r="BD1710" s="167">
        <f t="shared" ca="1" si="93"/>
        <v>0</v>
      </c>
      <c r="BE1710" s="191" t="e">
        <f ca="1">(OFFSET(Pinlist!$E$1,BC1710,0)-$BN$16)*$BN$19</f>
        <v>#N/A</v>
      </c>
      <c r="BF1710" s="192" t="e">
        <f ca="1">(OFFSET(Pinlist!$F$1,BC1710,0)-$BO$16)*$BO$19</f>
        <v>#N/A</v>
      </c>
      <c r="BG1710" s="1098" t="str">
        <f ca="1">IF(LEFT(BD1710,2)="RF",OFFSET(Pinlist!$D$1,Chart!BC1710,0)&amp;"_"&amp;OFFSET(Pinlist!$G$1,Chart!BC1710,0),"")</f>
        <v/>
      </c>
      <c r="BH1710" s="1098"/>
      <c r="BI1710" s="178"/>
      <c r="BJ1710" s="178"/>
      <c r="BK1710" s="178"/>
      <c r="BL1710" s="178"/>
      <c r="BM1710" s="178"/>
      <c r="BN1710" s="178"/>
      <c r="BO1710" s="178"/>
      <c r="BP1710" s="178"/>
      <c r="BQ1710" s="196"/>
      <c r="BR1710" s="196"/>
      <c r="BS1710" s="196"/>
      <c r="BT1710" s="196"/>
      <c r="BU1710" s="196"/>
      <c r="BV1710" s="196"/>
      <c r="BW1710" s="178"/>
      <c r="BX1710" s="196"/>
      <c r="BY1710" s="196"/>
      <c r="BZ1710" s="196"/>
      <c r="CA1710" s="196"/>
      <c r="CB1710" s="178"/>
      <c r="CC1710" s="178"/>
      <c r="CD1710" s="202"/>
      <c r="CE1710" s="202"/>
      <c r="CF1710" s="178"/>
      <c r="CG1710" s="196"/>
      <c r="CH1710" s="178"/>
      <c r="CI1710" s="178"/>
      <c r="CJ1710" s="178"/>
      <c r="CK1710" s="178"/>
      <c r="CL1710" s="178"/>
      <c r="CM1710" s="178"/>
      <c r="CN1710" s="178"/>
      <c r="CO1710" s="178"/>
      <c r="CP1710" s="178"/>
      <c r="CQ1710" s="178"/>
      <c r="CR1710" s="178"/>
      <c r="CS1710" s="178"/>
      <c r="CT1710" s="178"/>
      <c r="CU1710" s="178"/>
      <c r="CV1710" s="178"/>
      <c r="CW1710" s="178"/>
      <c r="CX1710" s="178"/>
      <c r="CY1710" s="178"/>
      <c r="CZ1710" s="178"/>
      <c r="DA1710" s="150"/>
    </row>
    <row r="1711" spans="53:105" x14ac:dyDescent="0.2">
      <c r="BA1711" s="518">
        <f t="shared" ca="1" si="91"/>
        <v>61</v>
      </c>
      <c r="BB1711" s="174">
        <f t="shared" ca="1" si="92"/>
        <v>1648</v>
      </c>
      <c r="BC1711" s="525" t="e">
        <f ca="1">MATCH(BD1711,OFFSET(Pinlist!$A$2,BC1710*(BA1711=BA1710),0,$BM$23,1),0)+BC1710*(BA1711=BA1710)</f>
        <v>#N/A</v>
      </c>
      <c r="BD1711" s="167">
        <f t="shared" ca="1" si="93"/>
        <v>0</v>
      </c>
      <c r="BE1711" s="191" t="e">
        <f ca="1">(OFFSET(Pinlist!$E$1,BC1711,0)-$BN$16)*$BN$19</f>
        <v>#N/A</v>
      </c>
      <c r="BF1711" s="192" t="e">
        <f ca="1">(OFFSET(Pinlist!$F$1,BC1711,0)-$BO$16)*$BO$19</f>
        <v>#N/A</v>
      </c>
      <c r="BG1711" s="1098" t="str">
        <f ca="1">IF(LEFT(BD1711,2)="RF",OFFSET(Pinlist!$D$1,Chart!BC1711,0)&amp;"_"&amp;OFFSET(Pinlist!$G$1,Chart!BC1711,0),"")</f>
        <v/>
      </c>
      <c r="BH1711" s="1098"/>
      <c r="BI1711" s="178"/>
      <c r="BJ1711" s="178"/>
      <c r="BK1711" s="178"/>
      <c r="BL1711" s="178"/>
      <c r="BM1711" s="178"/>
      <c r="BN1711" s="178"/>
      <c r="BO1711" s="178"/>
      <c r="BP1711" s="178"/>
      <c r="BQ1711" s="196"/>
      <c r="BR1711" s="196"/>
      <c r="BS1711" s="196"/>
      <c r="BT1711" s="196"/>
      <c r="BU1711" s="196"/>
      <c r="BV1711" s="196"/>
      <c r="BW1711" s="178"/>
      <c r="BX1711" s="196"/>
      <c r="BY1711" s="196"/>
      <c r="BZ1711" s="196"/>
      <c r="CA1711" s="196"/>
      <c r="CB1711" s="178"/>
      <c r="CC1711" s="178"/>
      <c r="CD1711" s="202"/>
      <c r="CE1711" s="202"/>
      <c r="CF1711" s="178"/>
      <c r="CG1711" s="196"/>
      <c r="CH1711" s="178"/>
      <c r="CI1711" s="178"/>
      <c r="CJ1711" s="178"/>
      <c r="CK1711" s="178"/>
      <c r="CL1711" s="178"/>
      <c r="CM1711" s="178"/>
      <c r="CN1711" s="178"/>
      <c r="CO1711" s="178"/>
      <c r="CP1711" s="178"/>
      <c r="CQ1711" s="178"/>
      <c r="CR1711" s="178"/>
      <c r="CS1711" s="178"/>
      <c r="CT1711" s="178"/>
      <c r="CU1711" s="178"/>
      <c r="CV1711" s="178"/>
      <c r="CW1711" s="178"/>
      <c r="CX1711" s="178"/>
      <c r="CY1711" s="178"/>
      <c r="CZ1711" s="178"/>
      <c r="DA1711" s="150"/>
    </row>
    <row r="1712" spans="53:105" x14ac:dyDescent="0.2">
      <c r="BA1712" s="518">
        <f t="shared" ca="1" si="91"/>
        <v>61</v>
      </c>
      <c r="BB1712" s="174">
        <f t="shared" ca="1" si="92"/>
        <v>1649</v>
      </c>
      <c r="BC1712" s="525" t="e">
        <f ca="1">MATCH(BD1712,OFFSET(Pinlist!$A$2,BC1711*(BA1712=BA1711),0,$BM$23,1),0)+BC1711*(BA1712=BA1711)</f>
        <v>#N/A</v>
      </c>
      <c r="BD1712" s="167">
        <f t="shared" ca="1" si="93"/>
        <v>0</v>
      </c>
      <c r="BE1712" s="191" t="e">
        <f ca="1">(OFFSET(Pinlist!$E$1,BC1712,0)-$BN$16)*$BN$19</f>
        <v>#N/A</v>
      </c>
      <c r="BF1712" s="192" t="e">
        <f ca="1">(OFFSET(Pinlist!$F$1,BC1712,0)-$BO$16)*$BO$19</f>
        <v>#N/A</v>
      </c>
      <c r="BG1712" s="1098" t="str">
        <f ca="1">IF(LEFT(BD1712,2)="RF",OFFSET(Pinlist!$D$1,Chart!BC1712,0)&amp;"_"&amp;OFFSET(Pinlist!$G$1,Chart!BC1712,0),"")</f>
        <v/>
      </c>
      <c r="BH1712" s="1098"/>
      <c r="BI1712" s="178"/>
      <c r="BJ1712" s="178"/>
      <c r="BK1712" s="178"/>
      <c r="BL1712" s="178"/>
      <c r="BM1712" s="178"/>
      <c r="BN1712" s="178"/>
      <c r="BO1712" s="178"/>
      <c r="BP1712" s="178"/>
      <c r="BQ1712" s="196"/>
      <c r="BR1712" s="196"/>
      <c r="BS1712" s="196"/>
      <c r="BT1712" s="196"/>
      <c r="BU1712" s="196"/>
      <c r="BV1712" s="196"/>
      <c r="BW1712" s="178"/>
      <c r="BX1712" s="196"/>
      <c r="BY1712" s="196"/>
      <c r="BZ1712" s="196"/>
      <c r="CA1712" s="196"/>
      <c r="CB1712" s="178"/>
      <c r="CC1712" s="178"/>
      <c r="CD1712" s="202"/>
      <c r="CE1712" s="202"/>
      <c r="CF1712" s="178"/>
      <c r="CG1712" s="196"/>
      <c r="CH1712" s="178"/>
      <c r="CI1712" s="178"/>
      <c r="CJ1712" s="178"/>
      <c r="CK1712" s="178"/>
      <c r="CL1712" s="178"/>
      <c r="CM1712" s="178"/>
      <c r="CN1712" s="178"/>
      <c r="CO1712" s="178"/>
      <c r="CP1712" s="178"/>
      <c r="CQ1712" s="178"/>
      <c r="CR1712" s="178"/>
      <c r="CS1712" s="178"/>
      <c r="CT1712" s="178"/>
      <c r="CU1712" s="178"/>
      <c r="CV1712" s="178"/>
      <c r="CW1712" s="178"/>
      <c r="CX1712" s="178"/>
      <c r="CY1712" s="178"/>
      <c r="CZ1712" s="178"/>
      <c r="DA1712" s="150"/>
    </row>
    <row r="1713" spans="53:105" x14ac:dyDescent="0.2">
      <c r="BA1713" s="518">
        <f t="shared" ca="1" si="91"/>
        <v>61</v>
      </c>
      <c r="BB1713" s="174">
        <f t="shared" ca="1" si="92"/>
        <v>1650</v>
      </c>
      <c r="BC1713" s="525" t="e">
        <f ca="1">MATCH(BD1713,OFFSET(Pinlist!$A$2,BC1712*(BA1713=BA1712),0,$BM$23,1),0)+BC1712*(BA1713=BA1712)</f>
        <v>#N/A</v>
      </c>
      <c r="BD1713" s="167">
        <f t="shared" ca="1" si="93"/>
        <v>0</v>
      </c>
      <c r="BE1713" s="191" t="e">
        <f ca="1">(OFFSET(Pinlist!$E$1,BC1713,0)-$BN$16)*$BN$19</f>
        <v>#N/A</v>
      </c>
      <c r="BF1713" s="192" t="e">
        <f ca="1">(OFFSET(Pinlist!$F$1,BC1713,0)-$BO$16)*$BO$19</f>
        <v>#N/A</v>
      </c>
      <c r="BG1713" s="1098" t="str">
        <f ca="1">IF(LEFT(BD1713,2)="RF",OFFSET(Pinlist!$D$1,Chart!BC1713,0)&amp;"_"&amp;OFFSET(Pinlist!$G$1,Chart!BC1713,0),"")</f>
        <v/>
      </c>
      <c r="BH1713" s="1098"/>
      <c r="BI1713" s="178"/>
      <c r="BJ1713" s="178"/>
      <c r="BK1713" s="178"/>
      <c r="BL1713" s="178"/>
      <c r="BM1713" s="178"/>
      <c r="BN1713" s="178"/>
      <c r="BO1713" s="178"/>
      <c r="BP1713" s="178"/>
      <c r="BQ1713" s="196"/>
      <c r="BR1713" s="196"/>
      <c r="BS1713" s="196"/>
      <c r="BT1713" s="196"/>
      <c r="BU1713" s="196"/>
      <c r="BV1713" s="196"/>
      <c r="BW1713" s="178"/>
      <c r="BX1713" s="196"/>
      <c r="BY1713" s="196"/>
      <c r="BZ1713" s="196"/>
      <c r="CA1713" s="196"/>
      <c r="CB1713" s="178"/>
      <c r="CC1713" s="178"/>
      <c r="CD1713" s="202"/>
      <c r="CE1713" s="202"/>
      <c r="CF1713" s="178"/>
      <c r="CG1713" s="196"/>
      <c r="CH1713" s="178"/>
      <c r="CI1713" s="178"/>
      <c r="CJ1713" s="178"/>
      <c r="CK1713" s="178"/>
      <c r="CL1713" s="178"/>
      <c r="CM1713" s="178"/>
      <c r="CN1713" s="178"/>
      <c r="CO1713" s="178"/>
      <c r="CP1713" s="178"/>
      <c r="CQ1713" s="178"/>
      <c r="CR1713" s="178"/>
      <c r="CS1713" s="178"/>
      <c r="CT1713" s="178"/>
      <c r="CU1713" s="178"/>
      <c r="CV1713" s="178"/>
      <c r="CW1713" s="178"/>
      <c r="CX1713" s="178"/>
      <c r="CY1713" s="178"/>
      <c r="CZ1713" s="178"/>
      <c r="DA1713" s="150"/>
    </row>
    <row r="1714" spans="53:105" x14ac:dyDescent="0.2">
      <c r="BA1714" s="518">
        <f t="shared" ca="1" si="91"/>
        <v>61</v>
      </c>
      <c r="BB1714" s="174">
        <f t="shared" ca="1" si="92"/>
        <v>1651</v>
      </c>
      <c r="BC1714" s="525" t="e">
        <f ca="1">MATCH(BD1714,OFFSET(Pinlist!$A$2,BC1713*(BA1714=BA1713),0,$BM$23,1),0)+BC1713*(BA1714=BA1713)</f>
        <v>#N/A</v>
      </c>
      <c r="BD1714" s="167">
        <f t="shared" ca="1" si="93"/>
        <v>0</v>
      </c>
      <c r="BE1714" s="191" t="e">
        <f ca="1">(OFFSET(Pinlist!$E$1,BC1714,0)-$BN$16)*$BN$19</f>
        <v>#N/A</v>
      </c>
      <c r="BF1714" s="192" t="e">
        <f ca="1">(OFFSET(Pinlist!$F$1,BC1714,0)-$BO$16)*$BO$19</f>
        <v>#N/A</v>
      </c>
      <c r="BG1714" s="1098" t="str">
        <f ca="1">IF(LEFT(BD1714,2)="RF",OFFSET(Pinlist!$D$1,Chart!BC1714,0)&amp;"_"&amp;OFFSET(Pinlist!$G$1,Chart!BC1714,0),"")</f>
        <v/>
      </c>
      <c r="BH1714" s="1098"/>
      <c r="BI1714" s="178"/>
      <c r="BJ1714" s="178"/>
      <c r="BK1714" s="178"/>
      <c r="BL1714" s="178"/>
      <c r="BM1714" s="178"/>
      <c r="BN1714" s="178"/>
      <c r="BO1714" s="178"/>
      <c r="BP1714" s="178"/>
      <c r="BQ1714" s="196"/>
      <c r="BR1714" s="196"/>
      <c r="BS1714" s="196"/>
      <c r="BT1714" s="196"/>
      <c r="BU1714" s="196"/>
      <c r="BV1714" s="196"/>
      <c r="BW1714" s="178"/>
      <c r="BX1714" s="196"/>
      <c r="BY1714" s="196"/>
      <c r="BZ1714" s="196"/>
      <c r="CA1714" s="196"/>
      <c r="CB1714" s="178"/>
      <c r="CC1714" s="178"/>
      <c r="CD1714" s="202"/>
      <c r="CE1714" s="202"/>
      <c r="CF1714" s="178"/>
      <c r="CG1714" s="196"/>
      <c r="CH1714" s="178"/>
      <c r="CI1714" s="178"/>
      <c r="CJ1714" s="178"/>
      <c r="CK1714" s="178"/>
      <c r="CL1714" s="178"/>
      <c r="CM1714" s="178"/>
      <c r="CN1714" s="178"/>
      <c r="CO1714" s="178"/>
      <c r="CP1714" s="178"/>
      <c r="CQ1714" s="178"/>
      <c r="CR1714" s="178"/>
      <c r="CS1714" s="178"/>
      <c r="CT1714" s="178"/>
      <c r="CU1714" s="178"/>
      <c r="CV1714" s="178"/>
      <c r="CW1714" s="178"/>
      <c r="CX1714" s="178"/>
      <c r="CY1714" s="178"/>
      <c r="CZ1714" s="178"/>
      <c r="DA1714" s="150"/>
    </row>
    <row r="1715" spans="53:105" x14ac:dyDescent="0.2">
      <c r="BA1715" s="518">
        <f t="shared" ca="1" si="91"/>
        <v>61</v>
      </c>
      <c r="BB1715" s="174">
        <f t="shared" ca="1" si="92"/>
        <v>1652</v>
      </c>
      <c r="BC1715" s="525" t="e">
        <f ca="1">MATCH(BD1715,OFFSET(Pinlist!$A$2,BC1714*(BA1715=BA1714),0,$BM$23,1),0)+BC1714*(BA1715=BA1714)</f>
        <v>#N/A</v>
      </c>
      <c r="BD1715" s="167">
        <f t="shared" ca="1" si="93"/>
        <v>0</v>
      </c>
      <c r="BE1715" s="191" t="e">
        <f ca="1">(OFFSET(Pinlist!$E$1,BC1715,0)-$BN$16)*$BN$19</f>
        <v>#N/A</v>
      </c>
      <c r="BF1715" s="192" t="e">
        <f ca="1">(OFFSET(Pinlist!$F$1,BC1715,0)-$BO$16)*$BO$19</f>
        <v>#N/A</v>
      </c>
      <c r="BG1715" s="1098" t="str">
        <f ca="1">IF(LEFT(BD1715,2)="RF",OFFSET(Pinlist!$D$1,Chart!BC1715,0)&amp;"_"&amp;OFFSET(Pinlist!$G$1,Chart!BC1715,0),"")</f>
        <v/>
      </c>
      <c r="BH1715" s="1098"/>
      <c r="BI1715" s="178"/>
      <c r="BJ1715" s="178"/>
      <c r="BK1715" s="178"/>
      <c r="BL1715" s="178"/>
      <c r="BM1715" s="178"/>
      <c r="BN1715" s="178"/>
      <c r="BO1715" s="178"/>
      <c r="BP1715" s="178"/>
      <c r="BQ1715" s="196"/>
      <c r="BR1715" s="196"/>
      <c r="BS1715" s="196"/>
      <c r="BT1715" s="196"/>
      <c r="BU1715" s="196"/>
      <c r="BV1715" s="196"/>
      <c r="BW1715" s="178"/>
      <c r="BX1715" s="196"/>
      <c r="BY1715" s="196"/>
      <c r="BZ1715" s="196"/>
      <c r="CA1715" s="196"/>
      <c r="CB1715" s="178"/>
      <c r="CC1715" s="178"/>
      <c r="CD1715" s="202"/>
      <c r="CE1715" s="202"/>
      <c r="CF1715" s="178"/>
      <c r="CG1715" s="196"/>
      <c r="CH1715" s="178"/>
      <c r="CI1715" s="178"/>
      <c r="CJ1715" s="178"/>
      <c r="CK1715" s="178"/>
      <c r="CL1715" s="178"/>
      <c r="CM1715" s="178"/>
      <c r="CN1715" s="178"/>
      <c r="CO1715" s="178"/>
      <c r="CP1715" s="178"/>
      <c r="CQ1715" s="178"/>
      <c r="CR1715" s="178"/>
      <c r="CS1715" s="178"/>
      <c r="CT1715" s="178"/>
      <c r="CU1715" s="178"/>
      <c r="CV1715" s="178"/>
      <c r="CW1715" s="178"/>
      <c r="CX1715" s="178"/>
      <c r="CY1715" s="178"/>
      <c r="CZ1715" s="178"/>
      <c r="DA1715" s="150"/>
    </row>
    <row r="1716" spans="53:105" x14ac:dyDescent="0.2">
      <c r="BA1716" s="518">
        <f t="shared" ca="1" si="91"/>
        <v>61</v>
      </c>
      <c r="BB1716" s="174">
        <f t="shared" ca="1" si="92"/>
        <v>1653</v>
      </c>
      <c r="BC1716" s="525" t="e">
        <f ca="1">MATCH(BD1716,OFFSET(Pinlist!$A$2,BC1715*(BA1716=BA1715),0,$BM$23,1),0)+BC1715*(BA1716=BA1715)</f>
        <v>#N/A</v>
      </c>
      <c r="BD1716" s="167">
        <f t="shared" ca="1" si="93"/>
        <v>0</v>
      </c>
      <c r="BE1716" s="191" t="e">
        <f ca="1">(OFFSET(Pinlist!$E$1,BC1716,0)-$BN$16)*$BN$19</f>
        <v>#N/A</v>
      </c>
      <c r="BF1716" s="192" t="e">
        <f ca="1">(OFFSET(Pinlist!$F$1,BC1716,0)-$BO$16)*$BO$19</f>
        <v>#N/A</v>
      </c>
      <c r="BG1716" s="1098" t="str">
        <f ca="1">IF(LEFT(BD1716,2)="RF",OFFSET(Pinlist!$D$1,Chart!BC1716,0)&amp;"_"&amp;OFFSET(Pinlist!$G$1,Chart!BC1716,0),"")</f>
        <v/>
      </c>
      <c r="BH1716" s="1098"/>
      <c r="BI1716" s="178"/>
      <c r="BJ1716" s="178"/>
      <c r="BK1716" s="178"/>
      <c r="BL1716" s="178"/>
      <c r="BM1716" s="178"/>
      <c r="BN1716" s="178"/>
      <c r="BO1716" s="178"/>
      <c r="BP1716" s="178"/>
      <c r="BQ1716" s="196"/>
      <c r="BR1716" s="196"/>
      <c r="BS1716" s="196"/>
      <c r="BT1716" s="196"/>
      <c r="BU1716" s="196"/>
      <c r="BV1716" s="196"/>
      <c r="BW1716" s="178"/>
      <c r="BX1716" s="196"/>
      <c r="BY1716" s="196"/>
      <c r="BZ1716" s="196"/>
      <c r="CA1716" s="196"/>
      <c r="CB1716" s="178"/>
      <c r="CC1716" s="178"/>
      <c r="CD1716" s="202"/>
      <c r="CE1716" s="202"/>
      <c r="CF1716" s="178"/>
      <c r="CG1716" s="196"/>
      <c r="CH1716" s="178"/>
      <c r="CI1716" s="178"/>
      <c r="CJ1716" s="178"/>
      <c r="CK1716" s="178"/>
      <c r="CL1716" s="178"/>
      <c r="CM1716" s="178"/>
      <c r="CN1716" s="178"/>
      <c r="CO1716" s="178"/>
      <c r="CP1716" s="178"/>
      <c r="CQ1716" s="178"/>
      <c r="CR1716" s="178"/>
      <c r="CS1716" s="178"/>
      <c r="CT1716" s="178"/>
      <c r="CU1716" s="178"/>
      <c r="CV1716" s="178"/>
      <c r="CW1716" s="178"/>
      <c r="CX1716" s="178"/>
      <c r="CY1716" s="178"/>
      <c r="CZ1716" s="178"/>
      <c r="DA1716" s="150"/>
    </row>
    <row r="1717" spans="53:105" x14ac:dyDescent="0.2">
      <c r="BA1717" s="518">
        <f t="shared" ca="1" si="91"/>
        <v>61</v>
      </c>
      <c r="BB1717" s="174">
        <f t="shared" ca="1" si="92"/>
        <v>1654</v>
      </c>
      <c r="BC1717" s="525" t="e">
        <f ca="1">MATCH(BD1717,OFFSET(Pinlist!$A$2,BC1716*(BA1717=BA1716),0,$BM$23,1),0)+BC1716*(BA1717=BA1716)</f>
        <v>#N/A</v>
      </c>
      <c r="BD1717" s="167">
        <f t="shared" ca="1" si="93"/>
        <v>0</v>
      </c>
      <c r="BE1717" s="191" t="e">
        <f ca="1">(OFFSET(Pinlist!$E$1,BC1717,0)-$BN$16)*$BN$19</f>
        <v>#N/A</v>
      </c>
      <c r="BF1717" s="192" t="e">
        <f ca="1">(OFFSET(Pinlist!$F$1,BC1717,0)-$BO$16)*$BO$19</f>
        <v>#N/A</v>
      </c>
      <c r="BG1717" s="1098" t="str">
        <f ca="1">IF(LEFT(BD1717,2)="RF",OFFSET(Pinlist!$D$1,Chart!BC1717,0)&amp;"_"&amp;OFFSET(Pinlist!$G$1,Chart!BC1717,0),"")</f>
        <v/>
      </c>
      <c r="BH1717" s="1098"/>
      <c r="BI1717" s="178"/>
      <c r="BJ1717" s="178"/>
      <c r="BK1717" s="178"/>
      <c r="BL1717" s="178"/>
      <c r="BM1717" s="178"/>
      <c r="BN1717" s="178"/>
      <c r="BO1717" s="178"/>
      <c r="BP1717" s="178"/>
      <c r="BQ1717" s="196"/>
      <c r="BR1717" s="196"/>
      <c r="BS1717" s="196"/>
      <c r="BT1717" s="196"/>
      <c r="BU1717" s="196"/>
      <c r="BV1717" s="196"/>
      <c r="BW1717" s="178"/>
      <c r="BX1717" s="196"/>
      <c r="BY1717" s="196"/>
      <c r="BZ1717" s="196"/>
      <c r="CA1717" s="196"/>
      <c r="CB1717" s="178"/>
      <c r="CC1717" s="178"/>
      <c r="CD1717" s="202"/>
      <c r="CE1717" s="202"/>
      <c r="CF1717" s="178"/>
      <c r="CG1717" s="196"/>
      <c r="CH1717" s="178"/>
      <c r="CI1717" s="178"/>
      <c r="CJ1717" s="178"/>
      <c r="CK1717" s="178"/>
      <c r="CL1717" s="178"/>
      <c r="CM1717" s="178"/>
      <c r="CN1717" s="178"/>
      <c r="CO1717" s="178"/>
      <c r="CP1717" s="178"/>
      <c r="CQ1717" s="178"/>
      <c r="CR1717" s="178"/>
      <c r="CS1717" s="178"/>
      <c r="CT1717" s="178"/>
      <c r="CU1717" s="178"/>
      <c r="CV1717" s="178"/>
      <c r="CW1717" s="178"/>
      <c r="CX1717" s="178"/>
      <c r="CY1717" s="178"/>
      <c r="CZ1717" s="178"/>
      <c r="DA1717" s="150"/>
    </row>
    <row r="1718" spans="53:105" x14ac:dyDescent="0.2">
      <c r="BA1718" s="518">
        <f t="shared" ca="1" si="91"/>
        <v>61</v>
      </c>
      <c r="BB1718" s="174">
        <f t="shared" ca="1" si="92"/>
        <v>1655</v>
      </c>
      <c r="BC1718" s="525" t="e">
        <f ca="1">MATCH(BD1718,OFFSET(Pinlist!$A$2,BC1717*(BA1718=BA1717),0,$BM$23,1),0)+BC1717*(BA1718=BA1717)</f>
        <v>#N/A</v>
      </c>
      <c r="BD1718" s="167">
        <f t="shared" ca="1" si="93"/>
        <v>0</v>
      </c>
      <c r="BE1718" s="191" t="e">
        <f ca="1">(OFFSET(Pinlist!$E$1,BC1718,0)-$BN$16)*$BN$19</f>
        <v>#N/A</v>
      </c>
      <c r="BF1718" s="192" t="e">
        <f ca="1">(OFFSET(Pinlist!$F$1,BC1718,0)-$BO$16)*$BO$19</f>
        <v>#N/A</v>
      </c>
      <c r="BG1718" s="1098" t="str">
        <f ca="1">IF(LEFT(BD1718,2)="RF",OFFSET(Pinlist!$D$1,Chart!BC1718,0)&amp;"_"&amp;OFFSET(Pinlist!$G$1,Chart!BC1718,0),"")</f>
        <v/>
      </c>
      <c r="BH1718" s="1098"/>
      <c r="BI1718" s="178"/>
      <c r="BJ1718" s="178"/>
      <c r="BK1718" s="178"/>
      <c r="BL1718" s="178"/>
      <c r="BM1718" s="178"/>
      <c r="BN1718" s="178"/>
      <c r="BO1718" s="178"/>
      <c r="BP1718" s="178"/>
      <c r="BQ1718" s="196"/>
      <c r="BR1718" s="196"/>
      <c r="BS1718" s="196"/>
      <c r="BT1718" s="196"/>
      <c r="BU1718" s="196"/>
      <c r="BV1718" s="196"/>
      <c r="BW1718" s="178"/>
      <c r="BX1718" s="196"/>
      <c r="BY1718" s="196"/>
      <c r="BZ1718" s="196"/>
      <c r="CA1718" s="196"/>
      <c r="CB1718" s="178"/>
      <c r="CC1718" s="178"/>
      <c r="CD1718" s="202"/>
      <c r="CE1718" s="202"/>
      <c r="CF1718" s="178"/>
      <c r="CG1718" s="196"/>
      <c r="CH1718" s="178"/>
      <c r="CI1718" s="178"/>
      <c r="CJ1718" s="178"/>
      <c r="CK1718" s="178"/>
      <c r="CL1718" s="178"/>
      <c r="CM1718" s="178"/>
      <c r="CN1718" s="178"/>
      <c r="CO1718" s="178"/>
      <c r="CP1718" s="178"/>
      <c r="CQ1718" s="178"/>
      <c r="CR1718" s="178"/>
      <c r="CS1718" s="178"/>
      <c r="CT1718" s="178"/>
      <c r="CU1718" s="178"/>
      <c r="CV1718" s="178"/>
      <c r="CW1718" s="178"/>
      <c r="CX1718" s="178"/>
      <c r="CY1718" s="178"/>
      <c r="CZ1718" s="178"/>
      <c r="DA1718" s="150"/>
    </row>
    <row r="1719" spans="53:105" x14ac:dyDescent="0.2">
      <c r="BA1719" s="518">
        <f t="shared" ca="1" si="91"/>
        <v>61</v>
      </c>
      <c r="BB1719" s="174">
        <f t="shared" ca="1" si="92"/>
        <v>1656</v>
      </c>
      <c r="BC1719" s="525" t="e">
        <f ca="1">MATCH(BD1719,OFFSET(Pinlist!$A$2,BC1718*(BA1719=BA1718),0,$BM$23,1),0)+BC1718*(BA1719=BA1718)</f>
        <v>#N/A</v>
      </c>
      <c r="BD1719" s="167">
        <f t="shared" ca="1" si="93"/>
        <v>0</v>
      </c>
      <c r="BE1719" s="191" t="e">
        <f ca="1">(OFFSET(Pinlist!$E$1,BC1719,0)-$BN$16)*$BN$19</f>
        <v>#N/A</v>
      </c>
      <c r="BF1719" s="192" t="e">
        <f ca="1">(OFFSET(Pinlist!$F$1,BC1719,0)-$BO$16)*$BO$19</f>
        <v>#N/A</v>
      </c>
      <c r="BG1719" s="1098" t="str">
        <f ca="1">IF(LEFT(BD1719,2)="RF",OFFSET(Pinlist!$D$1,Chart!BC1719,0)&amp;"_"&amp;OFFSET(Pinlist!$G$1,Chart!BC1719,0),"")</f>
        <v/>
      </c>
      <c r="BH1719" s="1098"/>
      <c r="BI1719" s="178"/>
      <c r="BJ1719" s="178"/>
      <c r="BK1719" s="178"/>
      <c r="BL1719" s="178"/>
      <c r="BM1719" s="178"/>
      <c r="BN1719" s="178"/>
      <c r="BO1719" s="178"/>
      <c r="BP1719" s="178"/>
      <c r="BQ1719" s="196"/>
      <c r="BR1719" s="196"/>
      <c r="BS1719" s="196"/>
      <c r="BT1719" s="196"/>
      <c r="BU1719" s="196"/>
      <c r="BV1719" s="196"/>
      <c r="BW1719" s="178"/>
      <c r="BX1719" s="196"/>
      <c r="BY1719" s="196"/>
      <c r="BZ1719" s="196"/>
      <c r="CA1719" s="196"/>
      <c r="CB1719" s="178"/>
      <c r="CC1719" s="178"/>
      <c r="CD1719" s="202"/>
      <c r="CE1719" s="202"/>
      <c r="CF1719" s="178"/>
      <c r="CG1719" s="196"/>
      <c r="CH1719" s="178"/>
      <c r="CI1719" s="178"/>
      <c r="CJ1719" s="178"/>
      <c r="CK1719" s="178"/>
      <c r="CL1719" s="178"/>
      <c r="CM1719" s="178"/>
      <c r="CN1719" s="178"/>
      <c r="CO1719" s="178"/>
      <c r="CP1719" s="178"/>
      <c r="CQ1719" s="178"/>
      <c r="CR1719" s="178"/>
      <c r="CS1719" s="178"/>
      <c r="CT1719" s="178"/>
      <c r="CU1719" s="178"/>
      <c r="CV1719" s="178"/>
      <c r="CW1719" s="178"/>
      <c r="CX1719" s="178"/>
      <c r="CY1719" s="178"/>
      <c r="CZ1719" s="178"/>
      <c r="DA1719" s="150"/>
    </row>
    <row r="1720" spans="53:105" x14ac:dyDescent="0.2">
      <c r="BA1720" s="518">
        <f t="shared" ca="1" si="91"/>
        <v>61</v>
      </c>
      <c r="BB1720" s="174">
        <f t="shared" ca="1" si="92"/>
        <v>1657</v>
      </c>
      <c r="BC1720" s="525" t="e">
        <f ca="1">MATCH(BD1720,OFFSET(Pinlist!$A$2,BC1719*(BA1720=BA1719),0,$BM$23,1),0)+BC1719*(BA1720=BA1719)</f>
        <v>#N/A</v>
      </c>
      <c r="BD1720" s="167">
        <f t="shared" ca="1" si="93"/>
        <v>0</v>
      </c>
      <c r="BE1720" s="191" t="e">
        <f ca="1">(OFFSET(Pinlist!$E$1,BC1720,0)-$BN$16)*$BN$19</f>
        <v>#N/A</v>
      </c>
      <c r="BF1720" s="192" t="e">
        <f ca="1">(OFFSET(Pinlist!$F$1,BC1720,0)-$BO$16)*$BO$19</f>
        <v>#N/A</v>
      </c>
      <c r="BG1720" s="1098" t="str">
        <f ca="1">IF(LEFT(BD1720,2)="RF",OFFSET(Pinlist!$D$1,Chart!BC1720,0)&amp;"_"&amp;OFFSET(Pinlist!$G$1,Chart!BC1720,0),"")</f>
        <v/>
      </c>
      <c r="BH1720" s="1098"/>
      <c r="BI1720" s="178"/>
      <c r="BJ1720" s="178"/>
      <c r="BK1720" s="178"/>
      <c r="BL1720" s="178"/>
      <c r="BM1720" s="178"/>
      <c r="BN1720" s="178"/>
      <c r="BO1720" s="178"/>
      <c r="BP1720" s="178"/>
      <c r="BQ1720" s="196"/>
      <c r="BR1720" s="196"/>
      <c r="BS1720" s="196"/>
      <c r="BT1720" s="196"/>
      <c r="BU1720" s="196"/>
      <c r="BV1720" s="196"/>
      <c r="BW1720" s="178"/>
      <c r="BX1720" s="196"/>
      <c r="BY1720" s="196"/>
      <c r="BZ1720" s="196"/>
      <c r="CA1720" s="196"/>
      <c r="CB1720" s="178"/>
      <c r="CC1720" s="178"/>
      <c r="CD1720" s="202"/>
      <c r="CE1720" s="202"/>
      <c r="CF1720" s="178"/>
      <c r="CG1720" s="196"/>
      <c r="CH1720" s="178"/>
      <c r="CI1720" s="178"/>
      <c r="CJ1720" s="178"/>
      <c r="CK1720" s="178"/>
      <c r="CL1720" s="178"/>
      <c r="CM1720" s="178"/>
      <c r="CN1720" s="178"/>
      <c r="CO1720" s="178"/>
      <c r="CP1720" s="178"/>
      <c r="CQ1720" s="178"/>
      <c r="CR1720" s="178"/>
      <c r="CS1720" s="178"/>
      <c r="CT1720" s="178"/>
      <c r="CU1720" s="178"/>
      <c r="CV1720" s="178"/>
      <c r="CW1720" s="178"/>
      <c r="CX1720" s="178"/>
      <c r="CY1720" s="178"/>
      <c r="CZ1720" s="178"/>
      <c r="DA1720" s="150"/>
    </row>
    <row r="1721" spans="53:105" x14ac:dyDescent="0.2">
      <c r="BA1721" s="518">
        <f t="shared" ca="1" si="91"/>
        <v>61</v>
      </c>
      <c r="BB1721" s="174">
        <f t="shared" ca="1" si="92"/>
        <v>1658</v>
      </c>
      <c r="BC1721" s="525" t="e">
        <f ca="1">MATCH(BD1721,OFFSET(Pinlist!$A$2,BC1720*(BA1721=BA1720),0,$BM$23,1),0)+BC1720*(BA1721=BA1720)</f>
        <v>#N/A</v>
      </c>
      <c r="BD1721" s="167">
        <f t="shared" ca="1" si="93"/>
        <v>0</v>
      </c>
      <c r="BE1721" s="191" t="e">
        <f ca="1">(OFFSET(Pinlist!$E$1,BC1721,0)-$BN$16)*$BN$19</f>
        <v>#N/A</v>
      </c>
      <c r="BF1721" s="192" t="e">
        <f ca="1">(OFFSET(Pinlist!$F$1,BC1721,0)-$BO$16)*$BO$19</f>
        <v>#N/A</v>
      </c>
      <c r="BG1721" s="1098" t="str">
        <f ca="1">IF(LEFT(BD1721,2)="RF",OFFSET(Pinlist!$D$1,Chart!BC1721,0)&amp;"_"&amp;OFFSET(Pinlist!$G$1,Chart!BC1721,0),"")</f>
        <v/>
      </c>
      <c r="BH1721" s="1098"/>
      <c r="BI1721" s="178"/>
      <c r="BJ1721" s="178"/>
      <c r="BK1721" s="178"/>
      <c r="BL1721" s="178"/>
      <c r="BM1721" s="178"/>
      <c r="BN1721" s="178"/>
      <c r="BO1721" s="178"/>
      <c r="BP1721" s="178"/>
      <c r="BQ1721" s="196"/>
      <c r="BR1721" s="196"/>
      <c r="BS1721" s="196"/>
      <c r="BT1721" s="196"/>
      <c r="BU1721" s="196"/>
      <c r="BV1721" s="196"/>
      <c r="BW1721" s="178"/>
      <c r="BX1721" s="196"/>
      <c r="BY1721" s="196"/>
      <c r="BZ1721" s="196"/>
      <c r="CA1721" s="196"/>
      <c r="CB1721" s="178"/>
      <c r="CC1721" s="178"/>
      <c r="CD1721" s="202"/>
      <c r="CE1721" s="202"/>
      <c r="CF1721" s="178"/>
      <c r="CG1721" s="196"/>
      <c r="CH1721" s="178"/>
      <c r="CI1721" s="178"/>
      <c r="CJ1721" s="178"/>
      <c r="CK1721" s="178"/>
      <c r="CL1721" s="178"/>
      <c r="CM1721" s="178"/>
      <c r="CN1721" s="178"/>
      <c r="CO1721" s="178"/>
      <c r="CP1721" s="178"/>
      <c r="CQ1721" s="178"/>
      <c r="CR1721" s="178"/>
      <c r="CS1721" s="178"/>
      <c r="CT1721" s="178"/>
      <c r="CU1721" s="178"/>
      <c r="CV1721" s="178"/>
      <c r="CW1721" s="178"/>
      <c r="CX1721" s="178"/>
      <c r="CY1721" s="178"/>
      <c r="CZ1721" s="178"/>
      <c r="DA1721" s="150"/>
    </row>
    <row r="1722" spans="53:105" x14ac:dyDescent="0.2">
      <c r="BA1722" s="518">
        <f t="shared" ca="1" si="91"/>
        <v>61</v>
      </c>
      <c r="BB1722" s="174">
        <f t="shared" ca="1" si="92"/>
        <v>1659</v>
      </c>
      <c r="BC1722" s="525" t="e">
        <f ca="1">MATCH(BD1722,OFFSET(Pinlist!$A$2,BC1721*(BA1722=BA1721),0,$BM$23,1),0)+BC1721*(BA1722=BA1721)</f>
        <v>#N/A</v>
      </c>
      <c r="BD1722" s="167">
        <f t="shared" ca="1" si="93"/>
        <v>0</v>
      </c>
      <c r="BE1722" s="191" t="e">
        <f ca="1">(OFFSET(Pinlist!$E$1,BC1722,0)-$BN$16)*$BN$19</f>
        <v>#N/A</v>
      </c>
      <c r="BF1722" s="192" t="e">
        <f ca="1">(OFFSET(Pinlist!$F$1,BC1722,0)-$BO$16)*$BO$19</f>
        <v>#N/A</v>
      </c>
      <c r="BG1722" s="1098" t="str">
        <f ca="1">IF(LEFT(BD1722,2)="RF",OFFSET(Pinlist!$D$1,Chart!BC1722,0)&amp;"_"&amp;OFFSET(Pinlist!$G$1,Chart!BC1722,0),"")</f>
        <v/>
      </c>
      <c r="BH1722" s="1098"/>
      <c r="BI1722" s="178"/>
      <c r="BJ1722" s="178"/>
      <c r="BK1722" s="178"/>
      <c r="BL1722" s="178"/>
      <c r="BM1722" s="178"/>
      <c r="BN1722" s="178"/>
      <c r="BO1722" s="178"/>
      <c r="BP1722" s="178"/>
      <c r="BQ1722" s="196"/>
      <c r="BR1722" s="196"/>
      <c r="BS1722" s="196"/>
      <c r="BT1722" s="196"/>
      <c r="BU1722" s="196"/>
      <c r="BV1722" s="196"/>
      <c r="BW1722" s="178"/>
      <c r="BX1722" s="196"/>
      <c r="BY1722" s="196"/>
      <c r="BZ1722" s="196"/>
      <c r="CA1722" s="196"/>
      <c r="CB1722" s="178"/>
      <c r="CC1722" s="178"/>
      <c r="CD1722" s="202"/>
      <c r="CE1722" s="202"/>
      <c r="CF1722" s="178"/>
      <c r="CG1722" s="196"/>
      <c r="CH1722" s="178"/>
      <c r="CI1722" s="178"/>
      <c r="CJ1722" s="178"/>
      <c r="CK1722" s="178"/>
      <c r="CL1722" s="178"/>
      <c r="CM1722" s="178"/>
      <c r="CN1722" s="178"/>
      <c r="CO1722" s="178"/>
      <c r="CP1722" s="178"/>
      <c r="CQ1722" s="178"/>
      <c r="CR1722" s="178"/>
      <c r="CS1722" s="178"/>
      <c r="CT1722" s="178"/>
      <c r="CU1722" s="178"/>
      <c r="CV1722" s="178"/>
      <c r="CW1722" s="178"/>
      <c r="CX1722" s="178"/>
      <c r="CY1722" s="178"/>
      <c r="CZ1722" s="178"/>
      <c r="DA1722" s="150"/>
    </row>
    <row r="1723" spans="53:105" x14ac:dyDescent="0.2">
      <c r="BA1723" s="518">
        <f t="shared" ca="1" si="91"/>
        <v>61</v>
      </c>
      <c r="BB1723" s="174">
        <f t="shared" ca="1" si="92"/>
        <v>1660</v>
      </c>
      <c r="BC1723" s="525" t="e">
        <f ca="1">MATCH(BD1723,OFFSET(Pinlist!$A$2,BC1722*(BA1723=BA1722),0,$BM$23,1),0)+BC1722*(BA1723=BA1722)</f>
        <v>#N/A</v>
      </c>
      <c r="BD1723" s="167">
        <f t="shared" ca="1" si="93"/>
        <v>0</v>
      </c>
      <c r="BE1723" s="191" t="e">
        <f ca="1">(OFFSET(Pinlist!$E$1,BC1723,0)-$BN$16)*$BN$19</f>
        <v>#N/A</v>
      </c>
      <c r="BF1723" s="192" t="e">
        <f ca="1">(OFFSET(Pinlist!$F$1,BC1723,0)-$BO$16)*$BO$19</f>
        <v>#N/A</v>
      </c>
      <c r="BG1723" s="1098" t="str">
        <f ca="1">IF(LEFT(BD1723,2)="RF",OFFSET(Pinlist!$D$1,Chart!BC1723,0)&amp;"_"&amp;OFFSET(Pinlist!$G$1,Chart!BC1723,0),"")</f>
        <v/>
      </c>
      <c r="BH1723" s="1098"/>
      <c r="BI1723" s="178"/>
      <c r="BJ1723" s="178"/>
      <c r="BK1723" s="178"/>
      <c r="BL1723" s="178"/>
      <c r="BM1723" s="178"/>
      <c r="BN1723" s="178"/>
      <c r="BO1723" s="178"/>
      <c r="BP1723" s="178"/>
      <c r="BQ1723" s="196"/>
      <c r="BR1723" s="196"/>
      <c r="BS1723" s="196"/>
      <c r="BT1723" s="196"/>
      <c r="BU1723" s="196"/>
      <c r="BV1723" s="196"/>
      <c r="BW1723" s="178"/>
      <c r="BX1723" s="196"/>
      <c r="BY1723" s="196"/>
      <c r="BZ1723" s="196"/>
      <c r="CA1723" s="196"/>
      <c r="CB1723" s="178"/>
      <c r="CC1723" s="178"/>
      <c r="CD1723" s="202"/>
      <c r="CE1723" s="202"/>
      <c r="CF1723" s="178"/>
      <c r="CG1723" s="196"/>
      <c r="CH1723" s="178"/>
      <c r="CI1723" s="178"/>
      <c r="CJ1723" s="178"/>
      <c r="CK1723" s="178"/>
      <c r="CL1723" s="178"/>
      <c r="CM1723" s="178"/>
      <c r="CN1723" s="178"/>
      <c r="CO1723" s="178"/>
      <c r="CP1723" s="178"/>
      <c r="CQ1723" s="178"/>
      <c r="CR1723" s="178"/>
      <c r="CS1723" s="178"/>
      <c r="CT1723" s="178"/>
      <c r="CU1723" s="178"/>
      <c r="CV1723" s="178"/>
      <c r="CW1723" s="178"/>
      <c r="CX1723" s="178"/>
      <c r="CY1723" s="178"/>
      <c r="CZ1723" s="178"/>
      <c r="DA1723" s="150"/>
    </row>
    <row r="1724" spans="53:105" x14ac:dyDescent="0.2">
      <c r="BA1724" s="518">
        <f t="shared" ca="1" si="91"/>
        <v>61</v>
      </c>
      <c r="BB1724" s="174">
        <f t="shared" ca="1" si="92"/>
        <v>1661</v>
      </c>
      <c r="BC1724" s="525" t="e">
        <f ca="1">MATCH(BD1724,OFFSET(Pinlist!$A$2,BC1723*(BA1724=BA1723),0,$BM$23,1),0)+BC1723*(BA1724=BA1723)</f>
        <v>#N/A</v>
      </c>
      <c r="BD1724" s="167">
        <f t="shared" ca="1" si="93"/>
        <v>0</v>
      </c>
      <c r="BE1724" s="191" t="e">
        <f ca="1">(OFFSET(Pinlist!$E$1,BC1724,0)-$BN$16)*$BN$19</f>
        <v>#N/A</v>
      </c>
      <c r="BF1724" s="192" t="e">
        <f ca="1">(OFFSET(Pinlist!$F$1,BC1724,0)-$BO$16)*$BO$19</f>
        <v>#N/A</v>
      </c>
      <c r="BG1724" s="1098" t="str">
        <f ca="1">IF(LEFT(BD1724,2)="RF",OFFSET(Pinlist!$D$1,Chart!BC1724,0)&amp;"_"&amp;OFFSET(Pinlist!$G$1,Chart!BC1724,0),"")</f>
        <v/>
      </c>
      <c r="BH1724" s="1098"/>
      <c r="BI1724" s="178"/>
      <c r="BJ1724" s="178"/>
      <c r="BK1724" s="178"/>
      <c r="BL1724" s="178"/>
      <c r="BM1724" s="178"/>
      <c r="BN1724" s="178"/>
      <c r="BO1724" s="178"/>
      <c r="BP1724" s="178"/>
      <c r="BQ1724" s="196"/>
      <c r="BR1724" s="196"/>
      <c r="BS1724" s="196"/>
      <c r="BT1724" s="196"/>
      <c r="BU1724" s="196"/>
      <c r="BV1724" s="196"/>
      <c r="BW1724" s="178"/>
      <c r="BX1724" s="196"/>
      <c r="BY1724" s="196"/>
      <c r="BZ1724" s="196"/>
      <c r="CA1724" s="196"/>
      <c r="CB1724" s="178"/>
      <c r="CC1724" s="178"/>
      <c r="CD1724" s="202"/>
      <c r="CE1724" s="202"/>
      <c r="CF1724" s="178"/>
      <c r="CG1724" s="196"/>
      <c r="CH1724" s="178"/>
      <c r="CI1724" s="178"/>
      <c r="CJ1724" s="178"/>
      <c r="CK1724" s="178"/>
      <c r="CL1724" s="178"/>
      <c r="CM1724" s="178"/>
      <c r="CN1724" s="178"/>
      <c r="CO1724" s="178"/>
      <c r="CP1724" s="178"/>
      <c r="CQ1724" s="178"/>
      <c r="CR1724" s="178"/>
      <c r="CS1724" s="178"/>
      <c r="CT1724" s="178"/>
      <c r="CU1724" s="178"/>
      <c r="CV1724" s="178"/>
      <c r="CW1724" s="178"/>
      <c r="CX1724" s="178"/>
      <c r="CY1724" s="178"/>
      <c r="CZ1724" s="178"/>
      <c r="DA1724" s="150"/>
    </row>
    <row r="1725" spans="53:105" x14ac:dyDescent="0.2">
      <c r="BA1725" s="518">
        <f t="shared" ca="1" si="91"/>
        <v>61</v>
      </c>
      <c r="BB1725" s="174">
        <f t="shared" ca="1" si="92"/>
        <v>1662</v>
      </c>
      <c r="BC1725" s="525" t="e">
        <f ca="1">MATCH(BD1725,OFFSET(Pinlist!$A$2,BC1724*(BA1725=BA1724),0,$BM$23,1),0)+BC1724*(BA1725=BA1724)</f>
        <v>#N/A</v>
      </c>
      <c r="BD1725" s="167">
        <f t="shared" ca="1" si="93"/>
        <v>0</v>
      </c>
      <c r="BE1725" s="191" t="e">
        <f ca="1">(OFFSET(Pinlist!$E$1,BC1725,0)-$BN$16)*$BN$19</f>
        <v>#N/A</v>
      </c>
      <c r="BF1725" s="192" t="e">
        <f ca="1">(OFFSET(Pinlist!$F$1,BC1725,0)-$BO$16)*$BO$19</f>
        <v>#N/A</v>
      </c>
      <c r="BG1725" s="1098" t="str">
        <f ca="1">IF(LEFT(BD1725,2)="RF",OFFSET(Pinlist!$D$1,Chart!BC1725,0)&amp;"_"&amp;OFFSET(Pinlist!$G$1,Chart!BC1725,0),"")</f>
        <v/>
      </c>
      <c r="BH1725" s="1098"/>
      <c r="BI1725" s="178"/>
      <c r="BJ1725" s="178"/>
      <c r="BK1725" s="178"/>
      <c r="BL1725" s="178"/>
      <c r="BM1725" s="178"/>
      <c r="BN1725" s="178"/>
      <c r="BO1725" s="178"/>
      <c r="BP1725" s="178"/>
      <c r="BQ1725" s="196"/>
      <c r="BR1725" s="196"/>
      <c r="BS1725" s="196"/>
      <c r="BT1725" s="196"/>
      <c r="BU1725" s="196"/>
      <c r="BV1725" s="196"/>
      <c r="BW1725" s="178"/>
      <c r="BX1725" s="196"/>
      <c r="BY1725" s="196"/>
      <c r="BZ1725" s="196"/>
      <c r="CA1725" s="196"/>
      <c r="CB1725" s="178"/>
      <c r="CC1725" s="178"/>
      <c r="CD1725" s="202"/>
      <c r="CE1725" s="202"/>
      <c r="CF1725" s="178"/>
      <c r="CG1725" s="196"/>
      <c r="CH1725" s="178"/>
      <c r="CI1725" s="178"/>
      <c r="CJ1725" s="178"/>
      <c r="CK1725" s="178"/>
      <c r="CL1725" s="178"/>
      <c r="CM1725" s="178"/>
      <c r="CN1725" s="178"/>
      <c r="CO1725" s="178"/>
      <c r="CP1725" s="178"/>
      <c r="CQ1725" s="178"/>
      <c r="CR1725" s="178"/>
      <c r="CS1725" s="178"/>
      <c r="CT1725" s="178"/>
      <c r="CU1725" s="178"/>
      <c r="CV1725" s="178"/>
      <c r="CW1725" s="178"/>
      <c r="CX1725" s="178"/>
      <c r="CY1725" s="178"/>
      <c r="CZ1725" s="178"/>
      <c r="DA1725" s="150"/>
    </row>
    <row r="1726" spans="53:105" x14ac:dyDescent="0.2">
      <c r="BA1726" s="518">
        <f t="shared" ca="1" si="91"/>
        <v>61</v>
      </c>
      <c r="BB1726" s="174">
        <f t="shared" ca="1" si="92"/>
        <v>1663</v>
      </c>
      <c r="BC1726" s="525" t="e">
        <f ca="1">MATCH(BD1726,OFFSET(Pinlist!$A$2,BC1725*(BA1726=BA1725),0,$BM$23,1),0)+BC1725*(BA1726=BA1725)</f>
        <v>#N/A</v>
      </c>
      <c r="BD1726" s="167">
        <f t="shared" ca="1" si="93"/>
        <v>0</v>
      </c>
      <c r="BE1726" s="191" t="e">
        <f ca="1">(OFFSET(Pinlist!$E$1,BC1726,0)-$BN$16)*$BN$19</f>
        <v>#N/A</v>
      </c>
      <c r="BF1726" s="192" t="e">
        <f ca="1">(OFFSET(Pinlist!$F$1,BC1726,0)-$BO$16)*$BO$19</f>
        <v>#N/A</v>
      </c>
      <c r="BG1726" s="1098" t="str">
        <f ca="1">IF(LEFT(BD1726,2)="RF",OFFSET(Pinlist!$D$1,Chart!BC1726,0)&amp;"_"&amp;OFFSET(Pinlist!$G$1,Chart!BC1726,0),"")</f>
        <v/>
      </c>
      <c r="BH1726" s="1098"/>
      <c r="BI1726" s="178"/>
      <c r="BJ1726" s="178"/>
      <c r="BK1726" s="178"/>
      <c r="BL1726" s="178"/>
      <c r="BM1726" s="178"/>
      <c r="BN1726" s="178"/>
      <c r="BO1726" s="178"/>
      <c r="BP1726" s="178"/>
      <c r="BQ1726" s="196"/>
      <c r="BR1726" s="196"/>
      <c r="BS1726" s="196"/>
      <c r="BT1726" s="196"/>
      <c r="BU1726" s="196"/>
      <c r="BV1726" s="196"/>
      <c r="BW1726" s="178"/>
      <c r="BX1726" s="196"/>
      <c r="BY1726" s="196"/>
      <c r="BZ1726" s="196"/>
      <c r="CA1726" s="196"/>
      <c r="CB1726" s="178"/>
      <c r="CC1726" s="178"/>
      <c r="CD1726" s="202"/>
      <c r="CE1726" s="202"/>
      <c r="CF1726" s="178"/>
      <c r="CG1726" s="196"/>
      <c r="CH1726" s="178"/>
      <c r="CI1726" s="178"/>
      <c r="CJ1726" s="178"/>
      <c r="CK1726" s="178"/>
      <c r="CL1726" s="178"/>
      <c r="CM1726" s="178"/>
      <c r="CN1726" s="178"/>
      <c r="CO1726" s="178"/>
      <c r="CP1726" s="178"/>
      <c r="CQ1726" s="178"/>
      <c r="CR1726" s="178"/>
      <c r="CS1726" s="178"/>
      <c r="CT1726" s="178"/>
      <c r="CU1726" s="178"/>
      <c r="CV1726" s="178"/>
      <c r="CW1726" s="178"/>
      <c r="CX1726" s="178"/>
      <c r="CY1726" s="178"/>
      <c r="CZ1726" s="178"/>
      <c r="DA1726" s="150"/>
    </row>
    <row r="1727" spans="53:105" x14ac:dyDescent="0.2">
      <c r="BA1727" s="518">
        <f t="shared" ca="1" si="91"/>
        <v>61</v>
      </c>
      <c r="BB1727" s="174">
        <f t="shared" ca="1" si="92"/>
        <v>1664</v>
      </c>
      <c r="BC1727" s="525" t="e">
        <f ca="1">MATCH(BD1727,OFFSET(Pinlist!$A$2,BC1726*(BA1727=BA1726),0,$BM$23,1),0)+BC1726*(BA1727=BA1726)</f>
        <v>#N/A</v>
      </c>
      <c r="BD1727" s="167">
        <f t="shared" ca="1" si="93"/>
        <v>0</v>
      </c>
      <c r="BE1727" s="191" t="e">
        <f ca="1">(OFFSET(Pinlist!$E$1,BC1727,0)-$BN$16)*$BN$19</f>
        <v>#N/A</v>
      </c>
      <c r="BF1727" s="192" t="e">
        <f ca="1">(OFFSET(Pinlist!$F$1,BC1727,0)-$BO$16)*$BO$19</f>
        <v>#N/A</v>
      </c>
      <c r="BG1727" s="1098" t="str">
        <f ca="1">IF(LEFT(BD1727,2)="RF",OFFSET(Pinlist!$D$1,Chart!BC1727,0)&amp;"_"&amp;OFFSET(Pinlist!$G$1,Chart!BC1727,0),"")</f>
        <v/>
      </c>
      <c r="BH1727" s="1098"/>
      <c r="BI1727" s="178"/>
      <c r="BJ1727" s="178"/>
      <c r="BK1727" s="178"/>
      <c r="BL1727" s="178"/>
      <c r="BM1727" s="178"/>
      <c r="BN1727" s="178"/>
      <c r="BO1727" s="178"/>
      <c r="BP1727" s="178"/>
      <c r="BQ1727" s="196"/>
      <c r="BR1727" s="196"/>
      <c r="BS1727" s="196"/>
      <c r="BT1727" s="196"/>
      <c r="BU1727" s="196"/>
      <c r="BV1727" s="196"/>
      <c r="BW1727" s="178"/>
      <c r="BX1727" s="196"/>
      <c r="BY1727" s="196"/>
      <c r="BZ1727" s="196"/>
      <c r="CA1727" s="196"/>
      <c r="CB1727" s="178"/>
      <c r="CC1727" s="178"/>
      <c r="CD1727" s="202"/>
      <c r="CE1727" s="202"/>
      <c r="CF1727" s="178"/>
      <c r="CG1727" s="196"/>
      <c r="CH1727" s="178"/>
      <c r="CI1727" s="178"/>
      <c r="CJ1727" s="178"/>
      <c r="CK1727" s="178"/>
      <c r="CL1727" s="178"/>
      <c r="CM1727" s="178"/>
      <c r="CN1727" s="178"/>
      <c r="CO1727" s="178"/>
      <c r="CP1727" s="178"/>
      <c r="CQ1727" s="178"/>
      <c r="CR1727" s="178"/>
      <c r="CS1727" s="178"/>
      <c r="CT1727" s="178"/>
      <c r="CU1727" s="178"/>
      <c r="CV1727" s="178"/>
      <c r="CW1727" s="178"/>
      <c r="CX1727" s="178"/>
      <c r="CY1727" s="178"/>
      <c r="CZ1727" s="178"/>
      <c r="DA1727" s="150"/>
    </row>
    <row r="1728" spans="53:105" x14ac:dyDescent="0.2">
      <c r="BA1728" s="518">
        <f t="shared" ca="1" si="91"/>
        <v>61</v>
      </c>
      <c r="BB1728" s="174">
        <f t="shared" ca="1" si="92"/>
        <v>1665</v>
      </c>
      <c r="BC1728" s="525" t="e">
        <f ca="1">MATCH(BD1728,OFFSET(Pinlist!$A$2,BC1727*(BA1728=BA1727),0,$BM$23,1),0)+BC1727*(BA1728=BA1727)</f>
        <v>#N/A</v>
      </c>
      <c r="BD1728" s="167">
        <f t="shared" ca="1" si="93"/>
        <v>0</v>
      </c>
      <c r="BE1728" s="191" t="e">
        <f ca="1">(OFFSET(Pinlist!$E$1,BC1728,0)-$BN$16)*$BN$19</f>
        <v>#N/A</v>
      </c>
      <c r="BF1728" s="192" t="e">
        <f ca="1">(OFFSET(Pinlist!$F$1,BC1728,0)-$BO$16)*$BO$19</f>
        <v>#N/A</v>
      </c>
      <c r="BG1728" s="1098" t="str">
        <f ca="1">IF(LEFT(BD1728,2)="RF",OFFSET(Pinlist!$D$1,Chart!BC1728,0)&amp;"_"&amp;OFFSET(Pinlist!$G$1,Chart!BC1728,0),"")</f>
        <v/>
      </c>
      <c r="BH1728" s="1098"/>
      <c r="BI1728" s="178"/>
      <c r="BJ1728" s="178"/>
      <c r="BK1728" s="178"/>
      <c r="BL1728" s="178"/>
      <c r="BM1728" s="178"/>
      <c r="BN1728" s="178"/>
      <c r="BO1728" s="178"/>
      <c r="BP1728" s="178"/>
      <c r="BQ1728" s="196"/>
      <c r="BR1728" s="196"/>
      <c r="BS1728" s="196"/>
      <c r="BT1728" s="196"/>
      <c r="BU1728" s="196"/>
      <c r="BV1728" s="196"/>
      <c r="BW1728" s="178"/>
      <c r="BX1728" s="196"/>
      <c r="BY1728" s="196"/>
      <c r="BZ1728" s="196"/>
      <c r="CA1728" s="196"/>
      <c r="CB1728" s="178"/>
      <c r="CC1728" s="178"/>
      <c r="CD1728" s="202"/>
      <c r="CE1728" s="202"/>
      <c r="CF1728" s="178"/>
      <c r="CG1728" s="196"/>
      <c r="CH1728" s="178"/>
      <c r="CI1728" s="178"/>
      <c r="CJ1728" s="178"/>
      <c r="CK1728" s="178"/>
      <c r="CL1728" s="178"/>
      <c r="CM1728" s="178"/>
      <c r="CN1728" s="178"/>
      <c r="CO1728" s="178"/>
      <c r="CP1728" s="178"/>
      <c r="CQ1728" s="178"/>
      <c r="CR1728" s="178"/>
      <c r="CS1728" s="178"/>
      <c r="CT1728" s="178"/>
      <c r="CU1728" s="178"/>
      <c r="CV1728" s="178"/>
      <c r="CW1728" s="178"/>
      <c r="CX1728" s="178"/>
      <c r="CY1728" s="178"/>
      <c r="CZ1728" s="178"/>
      <c r="DA1728" s="150"/>
    </row>
    <row r="1729" spans="53:105" x14ac:dyDescent="0.2">
      <c r="BA1729" s="518">
        <f t="shared" ca="1" si="91"/>
        <v>61</v>
      </c>
      <c r="BB1729" s="174">
        <f t="shared" ca="1" si="92"/>
        <v>1666</v>
      </c>
      <c r="BC1729" s="525" t="e">
        <f ca="1">MATCH(BD1729,OFFSET(Pinlist!$A$2,BC1728*(BA1729=BA1728),0,$BM$23,1),0)+BC1728*(BA1729=BA1728)</f>
        <v>#N/A</v>
      </c>
      <c r="BD1729" s="167">
        <f t="shared" ca="1" si="93"/>
        <v>0</v>
      </c>
      <c r="BE1729" s="191" t="e">
        <f ca="1">(OFFSET(Pinlist!$E$1,BC1729,0)-$BN$16)*$BN$19</f>
        <v>#N/A</v>
      </c>
      <c r="BF1729" s="192" t="e">
        <f ca="1">(OFFSET(Pinlist!$F$1,BC1729,0)-$BO$16)*$BO$19</f>
        <v>#N/A</v>
      </c>
      <c r="BG1729" s="1098" t="str">
        <f ca="1">IF(LEFT(BD1729,2)="RF",OFFSET(Pinlist!$D$1,Chart!BC1729,0)&amp;"_"&amp;OFFSET(Pinlist!$G$1,Chart!BC1729,0),"")</f>
        <v/>
      </c>
      <c r="BH1729" s="1098"/>
      <c r="BI1729" s="178"/>
      <c r="BJ1729" s="178"/>
      <c r="BK1729" s="178"/>
      <c r="BL1729" s="178"/>
      <c r="BM1729" s="178"/>
      <c r="BN1729" s="178"/>
      <c r="BO1729" s="178"/>
      <c r="BP1729" s="178"/>
      <c r="BQ1729" s="196"/>
      <c r="BR1729" s="196"/>
      <c r="BS1729" s="196"/>
      <c r="BT1729" s="196"/>
      <c r="BU1729" s="196"/>
      <c r="BV1729" s="196"/>
      <c r="BW1729" s="178"/>
      <c r="BX1729" s="196"/>
      <c r="BY1729" s="196"/>
      <c r="BZ1729" s="196"/>
      <c r="CA1729" s="196"/>
      <c r="CB1729" s="178"/>
      <c r="CC1729" s="178"/>
      <c r="CD1729" s="202"/>
      <c r="CE1729" s="202"/>
      <c r="CF1729" s="178"/>
      <c r="CG1729" s="196"/>
      <c r="CH1729" s="178"/>
      <c r="CI1729" s="178"/>
      <c r="CJ1729" s="178"/>
      <c r="CK1729" s="178"/>
      <c r="CL1729" s="178"/>
      <c r="CM1729" s="178"/>
      <c r="CN1729" s="178"/>
      <c r="CO1729" s="178"/>
      <c r="CP1729" s="178"/>
      <c r="CQ1729" s="178"/>
      <c r="CR1729" s="178"/>
      <c r="CS1729" s="178"/>
      <c r="CT1729" s="178"/>
      <c r="CU1729" s="178"/>
      <c r="CV1729" s="178"/>
      <c r="CW1729" s="178"/>
      <c r="CX1729" s="178"/>
      <c r="CY1729" s="178"/>
      <c r="CZ1729" s="178"/>
      <c r="DA1729" s="150"/>
    </row>
    <row r="1730" spans="53:105" x14ac:dyDescent="0.2">
      <c r="BA1730" s="518">
        <f t="shared" ca="1" si="91"/>
        <v>61</v>
      </c>
      <c r="BB1730" s="174">
        <f t="shared" ca="1" si="92"/>
        <v>1667</v>
      </c>
      <c r="BC1730" s="525" t="e">
        <f ca="1">MATCH(BD1730,OFFSET(Pinlist!$A$2,BC1729*(BA1730=BA1729),0,$BM$23,1),0)+BC1729*(BA1730=BA1729)</f>
        <v>#N/A</v>
      </c>
      <c r="BD1730" s="167">
        <f t="shared" ca="1" si="93"/>
        <v>0</v>
      </c>
      <c r="BE1730" s="191" t="e">
        <f ca="1">(OFFSET(Pinlist!$E$1,BC1730,0)-$BN$16)*$BN$19</f>
        <v>#N/A</v>
      </c>
      <c r="BF1730" s="192" t="e">
        <f ca="1">(OFFSET(Pinlist!$F$1,BC1730,0)-$BO$16)*$BO$19</f>
        <v>#N/A</v>
      </c>
      <c r="BG1730" s="1098" t="str">
        <f ca="1">IF(LEFT(BD1730,2)="RF",OFFSET(Pinlist!$D$1,Chart!BC1730,0)&amp;"_"&amp;OFFSET(Pinlist!$G$1,Chart!BC1730,0),"")</f>
        <v/>
      </c>
      <c r="BH1730" s="1098"/>
      <c r="BI1730" s="178"/>
      <c r="BJ1730" s="178"/>
      <c r="BK1730" s="178"/>
      <c r="BL1730" s="178"/>
      <c r="BM1730" s="178"/>
      <c r="BN1730" s="178"/>
      <c r="BO1730" s="178"/>
      <c r="BP1730" s="178"/>
      <c r="BQ1730" s="196"/>
      <c r="BR1730" s="196"/>
      <c r="BS1730" s="196"/>
      <c r="BT1730" s="196"/>
      <c r="BU1730" s="196"/>
      <c r="BV1730" s="196"/>
      <c r="BW1730" s="178"/>
      <c r="BX1730" s="196"/>
      <c r="BY1730" s="196"/>
      <c r="BZ1730" s="196"/>
      <c r="CA1730" s="196"/>
      <c r="CB1730" s="178"/>
      <c r="CC1730" s="178"/>
      <c r="CD1730" s="202"/>
      <c r="CE1730" s="202"/>
      <c r="CF1730" s="178"/>
      <c r="CG1730" s="196"/>
      <c r="CH1730" s="178"/>
      <c r="CI1730" s="178"/>
      <c r="CJ1730" s="178"/>
      <c r="CK1730" s="178"/>
      <c r="CL1730" s="178"/>
      <c r="CM1730" s="178"/>
      <c r="CN1730" s="178"/>
      <c r="CO1730" s="178"/>
      <c r="CP1730" s="178"/>
      <c r="CQ1730" s="178"/>
      <c r="CR1730" s="178"/>
      <c r="CS1730" s="178"/>
      <c r="CT1730" s="178"/>
      <c r="CU1730" s="178"/>
      <c r="CV1730" s="178"/>
      <c r="CW1730" s="178"/>
      <c r="CX1730" s="178"/>
      <c r="CY1730" s="178"/>
      <c r="CZ1730" s="178"/>
      <c r="DA1730" s="150"/>
    </row>
    <row r="1731" spans="53:105" x14ac:dyDescent="0.2">
      <c r="BA1731" s="518">
        <f t="shared" ca="1" si="91"/>
        <v>61</v>
      </c>
      <c r="BB1731" s="174">
        <f t="shared" ca="1" si="92"/>
        <v>1668</v>
      </c>
      <c r="BC1731" s="525" t="e">
        <f ca="1">MATCH(BD1731,OFFSET(Pinlist!$A$2,BC1730*(BA1731=BA1730),0,$BM$23,1),0)+BC1730*(BA1731=BA1730)</f>
        <v>#N/A</v>
      </c>
      <c r="BD1731" s="167">
        <f t="shared" ca="1" si="93"/>
        <v>0</v>
      </c>
      <c r="BE1731" s="191" t="e">
        <f ca="1">(OFFSET(Pinlist!$E$1,BC1731,0)-$BN$16)*$BN$19</f>
        <v>#N/A</v>
      </c>
      <c r="BF1731" s="192" t="e">
        <f ca="1">(OFFSET(Pinlist!$F$1,BC1731,0)-$BO$16)*$BO$19</f>
        <v>#N/A</v>
      </c>
      <c r="BG1731" s="1098" t="str">
        <f ca="1">IF(LEFT(BD1731,2)="RF",OFFSET(Pinlist!$D$1,Chart!BC1731,0)&amp;"_"&amp;OFFSET(Pinlist!$G$1,Chart!BC1731,0),"")</f>
        <v/>
      </c>
      <c r="BH1731" s="1098"/>
      <c r="BI1731" s="178"/>
      <c r="BJ1731" s="178"/>
      <c r="BK1731" s="178"/>
      <c r="BL1731" s="178"/>
      <c r="BM1731" s="178"/>
      <c r="BN1731" s="178"/>
      <c r="BO1731" s="178"/>
      <c r="BP1731" s="178"/>
      <c r="BQ1731" s="196"/>
      <c r="BR1731" s="196"/>
      <c r="BS1731" s="196"/>
      <c r="BT1731" s="196"/>
      <c r="BU1731" s="196"/>
      <c r="BV1731" s="196"/>
      <c r="BW1731" s="178"/>
      <c r="BX1731" s="196"/>
      <c r="BY1731" s="196"/>
      <c r="BZ1731" s="196"/>
      <c r="CA1731" s="196"/>
      <c r="CB1731" s="178"/>
      <c r="CC1731" s="178"/>
      <c r="CD1731" s="202"/>
      <c r="CE1731" s="202"/>
      <c r="CF1731" s="178"/>
      <c r="CG1731" s="196"/>
      <c r="CH1731" s="178"/>
      <c r="CI1731" s="178"/>
      <c r="CJ1731" s="178"/>
      <c r="CK1731" s="178"/>
      <c r="CL1731" s="178"/>
      <c r="CM1731" s="178"/>
      <c r="CN1731" s="178"/>
      <c r="CO1731" s="178"/>
      <c r="CP1731" s="178"/>
      <c r="CQ1731" s="178"/>
      <c r="CR1731" s="178"/>
      <c r="CS1731" s="178"/>
      <c r="CT1731" s="178"/>
      <c r="CU1731" s="178"/>
      <c r="CV1731" s="178"/>
      <c r="CW1731" s="178"/>
      <c r="CX1731" s="178"/>
      <c r="CY1731" s="178"/>
      <c r="CZ1731" s="178"/>
      <c r="DA1731" s="150"/>
    </row>
    <row r="1732" spans="53:105" x14ac:dyDescent="0.2">
      <c r="BA1732" s="518">
        <f t="shared" ref="BA1732:BA1795" ca="1" si="94">BA1731+(BB1731=OFFSET($BZ$3,BA1731,0))</f>
        <v>61</v>
      </c>
      <c r="BB1732" s="174">
        <f t="shared" ref="BB1732:BB1795" ca="1" si="95">IF(BA1732=BA1731,BB1731+1,1)</f>
        <v>1669</v>
      </c>
      <c r="BC1732" s="525" t="e">
        <f ca="1">MATCH(BD1732,OFFSET(Pinlist!$A$2,BC1731*(BA1732=BA1731),0,$BM$23,1),0)+BC1731*(BA1732=BA1731)</f>
        <v>#N/A</v>
      </c>
      <c r="BD1732" s="167">
        <f t="shared" ref="BD1732:BD1795" ca="1" si="96">OFFSET($BY$3,BA1732,0)</f>
        <v>0</v>
      </c>
      <c r="BE1732" s="191" t="e">
        <f ca="1">(OFFSET(Pinlist!$E$1,BC1732,0)-$BN$16)*$BN$19</f>
        <v>#N/A</v>
      </c>
      <c r="BF1732" s="192" t="e">
        <f ca="1">(OFFSET(Pinlist!$F$1,BC1732,0)-$BO$16)*$BO$19</f>
        <v>#N/A</v>
      </c>
      <c r="BG1732" s="1098" t="str">
        <f ca="1">IF(LEFT(BD1732,2)="RF",OFFSET(Pinlist!$D$1,Chart!BC1732,0)&amp;"_"&amp;OFFSET(Pinlist!$G$1,Chart!BC1732,0),"")</f>
        <v/>
      </c>
      <c r="BH1732" s="1098"/>
      <c r="BI1732" s="178"/>
      <c r="BJ1732" s="178"/>
      <c r="BK1732" s="178"/>
      <c r="BL1732" s="178"/>
      <c r="BM1732" s="178"/>
      <c r="BN1732" s="178"/>
      <c r="BO1732" s="178"/>
      <c r="BP1732" s="178"/>
      <c r="BQ1732" s="196"/>
      <c r="BR1732" s="196"/>
      <c r="BS1732" s="196"/>
      <c r="BT1732" s="196"/>
      <c r="BU1732" s="196"/>
      <c r="BV1732" s="196"/>
      <c r="BW1732" s="178"/>
      <c r="BX1732" s="196"/>
      <c r="BY1732" s="196"/>
      <c r="BZ1732" s="196"/>
      <c r="CA1732" s="196"/>
      <c r="CB1732" s="178"/>
      <c r="CC1732" s="178"/>
      <c r="CD1732" s="202"/>
      <c r="CE1732" s="202"/>
      <c r="CF1732" s="178"/>
      <c r="CG1732" s="196"/>
      <c r="CH1732" s="178"/>
      <c r="CI1732" s="178"/>
      <c r="CJ1732" s="178"/>
      <c r="CK1732" s="178"/>
      <c r="CL1732" s="178"/>
      <c r="CM1732" s="178"/>
      <c r="CN1732" s="178"/>
      <c r="CO1732" s="178"/>
      <c r="CP1732" s="178"/>
      <c r="CQ1732" s="178"/>
      <c r="CR1732" s="178"/>
      <c r="CS1732" s="178"/>
      <c r="CT1732" s="178"/>
      <c r="CU1732" s="178"/>
      <c r="CV1732" s="178"/>
      <c r="CW1732" s="178"/>
      <c r="CX1732" s="178"/>
      <c r="CY1732" s="178"/>
      <c r="CZ1732" s="178"/>
      <c r="DA1732" s="150"/>
    </row>
    <row r="1733" spans="53:105" x14ac:dyDescent="0.2">
      <c r="BA1733" s="518">
        <f t="shared" ca="1" si="94"/>
        <v>61</v>
      </c>
      <c r="BB1733" s="174">
        <f t="shared" ca="1" si="95"/>
        <v>1670</v>
      </c>
      <c r="BC1733" s="525" t="e">
        <f ca="1">MATCH(BD1733,OFFSET(Pinlist!$A$2,BC1732*(BA1733=BA1732),0,$BM$23,1),0)+BC1732*(BA1733=BA1732)</f>
        <v>#N/A</v>
      </c>
      <c r="BD1733" s="167">
        <f t="shared" ca="1" si="96"/>
        <v>0</v>
      </c>
      <c r="BE1733" s="191" t="e">
        <f ca="1">(OFFSET(Pinlist!$E$1,BC1733,0)-$BN$16)*$BN$19</f>
        <v>#N/A</v>
      </c>
      <c r="BF1733" s="192" t="e">
        <f ca="1">(OFFSET(Pinlist!$F$1,BC1733,0)-$BO$16)*$BO$19</f>
        <v>#N/A</v>
      </c>
      <c r="BG1733" s="1098" t="str">
        <f ca="1">IF(LEFT(BD1733,2)="RF",OFFSET(Pinlist!$D$1,Chart!BC1733,0)&amp;"_"&amp;OFFSET(Pinlist!$G$1,Chart!BC1733,0),"")</f>
        <v/>
      </c>
      <c r="BH1733" s="1098"/>
      <c r="BI1733" s="178"/>
      <c r="BJ1733" s="178"/>
      <c r="BK1733" s="178"/>
      <c r="BL1733" s="178"/>
      <c r="BM1733" s="178"/>
      <c r="BN1733" s="178"/>
      <c r="BO1733" s="178"/>
      <c r="BP1733" s="178"/>
      <c r="BQ1733" s="196"/>
      <c r="BR1733" s="196"/>
      <c r="BS1733" s="196"/>
      <c r="BT1733" s="196"/>
      <c r="BU1733" s="196"/>
      <c r="BV1733" s="196"/>
      <c r="BW1733" s="178"/>
      <c r="BX1733" s="196"/>
      <c r="BY1733" s="196"/>
      <c r="BZ1733" s="196"/>
      <c r="CA1733" s="196"/>
      <c r="CB1733" s="178"/>
      <c r="CC1733" s="178"/>
      <c r="CD1733" s="202"/>
      <c r="CE1733" s="202"/>
      <c r="CF1733" s="178"/>
      <c r="CG1733" s="196"/>
      <c r="CH1733" s="178"/>
      <c r="CI1733" s="178"/>
      <c r="CJ1733" s="178"/>
      <c r="CK1733" s="178"/>
      <c r="CL1733" s="178"/>
      <c r="CM1733" s="178"/>
      <c r="CN1733" s="178"/>
      <c r="CO1733" s="178"/>
      <c r="CP1733" s="178"/>
      <c r="CQ1733" s="178"/>
      <c r="CR1733" s="178"/>
      <c r="CS1733" s="178"/>
      <c r="CT1733" s="178"/>
      <c r="CU1733" s="178"/>
      <c r="CV1733" s="178"/>
      <c r="CW1733" s="178"/>
      <c r="CX1733" s="178"/>
      <c r="CY1733" s="178"/>
      <c r="CZ1733" s="178"/>
      <c r="DA1733" s="150"/>
    </row>
    <row r="1734" spans="53:105" x14ac:dyDescent="0.2">
      <c r="BA1734" s="518">
        <f t="shared" ca="1" si="94"/>
        <v>61</v>
      </c>
      <c r="BB1734" s="174">
        <f t="shared" ca="1" si="95"/>
        <v>1671</v>
      </c>
      <c r="BC1734" s="525" t="e">
        <f ca="1">MATCH(BD1734,OFFSET(Pinlist!$A$2,BC1733*(BA1734=BA1733),0,$BM$23,1),0)+BC1733*(BA1734=BA1733)</f>
        <v>#N/A</v>
      </c>
      <c r="BD1734" s="167">
        <f t="shared" ca="1" si="96"/>
        <v>0</v>
      </c>
      <c r="BE1734" s="191" t="e">
        <f ca="1">(OFFSET(Pinlist!$E$1,BC1734,0)-$BN$16)*$BN$19</f>
        <v>#N/A</v>
      </c>
      <c r="BF1734" s="192" t="e">
        <f ca="1">(OFFSET(Pinlist!$F$1,BC1734,0)-$BO$16)*$BO$19</f>
        <v>#N/A</v>
      </c>
      <c r="BG1734" s="1098" t="str">
        <f ca="1">IF(LEFT(BD1734,2)="RF",OFFSET(Pinlist!$D$1,Chart!BC1734,0)&amp;"_"&amp;OFFSET(Pinlist!$G$1,Chart!BC1734,0),"")</f>
        <v/>
      </c>
      <c r="BH1734" s="1098"/>
      <c r="BI1734" s="178"/>
      <c r="BJ1734" s="178"/>
      <c r="BK1734" s="178"/>
      <c r="BL1734" s="178"/>
      <c r="BM1734" s="178"/>
      <c r="BN1734" s="178"/>
      <c r="BO1734" s="178"/>
      <c r="BP1734" s="178"/>
      <c r="BQ1734" s="196"/>
      <c r="BR1734" s="196"/>
      <c r="BS1734" s="196"/>
      <c r="BT1734" s="196"/>
      <c r="BU1734" s="196"/>
      <c r="BV1734" s="196"/>
      <c r="BW1734" s="178"/>
      <c r="BX1734" s="196"/>
      <c r="BY1734" s="196"/>
      <c r="BZ1734" s="196"/>
      <c r="CA1734" s="196"/>
      <c r="CB1734" s="178"/>
      <c r="CC1734" s="178"/>
      <c r="CD1734" s="202"/>
      <c r="CE1734" s="202"/>
      <c r="CF1734" s="178"/>
      <c r="CG1734" s="196"/>
      <c r="CH1734" s="178"/>
      <c r="CI1734" s="178"/>
      <c r="CJ1734" s="178"/>
      <c r="CK1734" s="178"/>
      <c r="CL1734" s="178"/>
      <c r="CM1734" s="178"/>
      <c r="CN1734" s="178"/>
      <c r="CO1734" s="178"/>
      <c r="CP1734" s="178"/>
      <c r="CQ1734" s="178"/>
      <c r="CR1734" s="178"/>
      <c r="CS1734" s="178"/>
      <c r="CT1734" s="178"/>
      <c r="CU1734" s="178"/>
      <c r="CV1734" s="178"/>
      <c r="CW1734" s="178"/>
      <c r="CX1734" s="178"/>
      <c r="CY1734" s="178"/>
      <c r="CZ1734" s="178"/>
      <c r="DA1734" s="150"/>
    </row>
    <row r="1735" spans="53:105" x14ac:dyDescent="0.2">
      <c r="BA1735" s="518">
        <f t="shared" ca="1" si="94"/>
        <v>61</v>
      </c>
      <c r="BB1735" s="174">
        <f t="shared" ca="1" si="95"/>
        <v>1672</v>
      </c>
      <c r="BC1735" s="525" t="e">
        <f ca="1">MATCH(BD1735,OFFSET(Pinlist!$A$2,BC1734*(BA1735=BA1734),0,$BM$23,1),0)+BC1734*(BA1735=BA1734)</f>
        <v>#N/A</v>
      </c>
      <c r="BD1735" s="167">
        <f t="shared" ca="1" si="96"/>
        <v>0</v>
      </c>
      <c r="BE1735" s="191" t="e">
        <f ca="1">(OFFSET(Pinlist!$E$1,BC1735,0)-$BN$16)*$BN$19</f>
        <v>#N/A</v>
      </c>
      <c r="BF1735" s="192" t="e">
        <f ca="1">(OFFSET(Pinlist!$F$1,BC1735,0)-$BO$16)*$BO$19</f>
        <v>#N/A</v>
      </c>
      <c r="BG1735" s="1098" t="str">
        <f ca="1">IF(LEFT(BD1735,2)="RF",OFFSET(Pinlist!$D$1,Chart!BC1735,0)&amp;"_"&amp;OFFSET(Pinlist!$G$1,Chart!BC1735,0),"")</f>
        <v/>
      </c>
      <c r="BH1735" s="1098"/>
      <c r="BI1735" s="178"/>
      <c r="BJ1735" s="178"/>
      <c r="BK1735" s="178"/>
      <c r="BL1735" s="178"/>
      <c r="BM1735" s="178"/>
      <c r="BN1735" s="178"/>
      <c r="BO1735" s="178"/>
      <c r="BP1735" s="178"/>
      <c r="BQ1735" s="196"/>
      <c r="BR1735" s="196"/>
      <c r="BS1735" s="196"/>
      <c r="BT1735" s="196"/>
      <c r="BU1735" s="196"/>
      <c r="BV1735" s="196"/>
      <c r="BW1735" s="178"/>
      <c r="BX1735" s="196"/>
      <c r="BY1735" s="196"/>
      <c r="BZ1735" s="196"/>
      <c r="CA1735" s="196"/>
      <c r="CB1735" s="178"/>
      <c r="CC1735" s="178"/>
      <c r="CD1735" s="202"/>
      <c r="CE1735" s="202"/>
      <c r="CF1735" s="178"/>
      <c r="CG1735" s="196"/>
      <c r="CH1735" s="178"/>
      <c r="CI1735" s="178"/>
      <c r="CJ1735" s="178"/>
      <c r="CK1735" s="178"/>
      <c r="CL1735" s="178"/>
      <c r="CM1735" s="178"/>
      <c r="CN1735" s="178"/>
      <c r="CO1735" s="178"/>
      <c r="CP1735" s="178"/>
      <c r="CQ1735" s="178"/>
      <c r="CR1735" s="178"/>
      <c r="CS1735" s="178"/>
      <c r="CT1735" s="178"/>
      <c r="CU1735" s="178"/>
      <c r="CV1735" s="178"/>
      <c r="CW1735" s="178"/>
      <c r="CX1735" s="178"/>
      <c r="CY1735" s="178"/>
      <c r="CZ1735" s="178"/>
      <c r="DA1735" s="150"/>
    </row>
    <row r="1736" spans="53:105" x14ac:dyDescent="0.2">
      <c r="BA1736" s="518">
        <f t="shared" ca="1" si="94"/>
        <v>61</v>
      </c>
      <c r="BB1736" s="174">
        <f t="shared" ca="1" si="95"/>
        <v>1673</v>
      </c>
      <c r="BC1736" s="525" t="e">
        <f ca="1">MATCH(BD1736,OFFSET(Pinlist!$A$2,BC1735*(BA1736=BA1735),0,$BM$23,1),0)+BC1735*(BA1736=BA1735)</f>
        <v>#N/A</v>
      </c>
      <c r="BD1736" s="167">
        <f t="shared" ca="1" si="96"/>
        <v>0</v>
      </c>
      <c r="BE1736" s="191" t="e">
        <f ca="1">(OFFSET(Pinlist!$E$1,BC1736,0)-$BN$16)*$BN$19</f>
        <v>#N/A</v>
      </c>
      <c r="BF1736" s="192" t="e">
        <f ca="1">(OFFSET(Pinlist!$F$1,BC1736,0)-$BO$16)*$BO$19</f>
        <v>#N/A</v>
      </c>
      <c r="BG1736" s="1098" t="str">
        <f ca="1">IF(LEFT(BD1736,2)="RF",OFFSET(Pinlist!$D$1,Chart!BC1736,0)&amp;"_"&amp;OFFSET(Pinlist!$G$1,Chart!BC1736,0),"")</f>
        <v/>
      </c>
      <c r="BH1736" s="1098"/>
      <c r="BI1736" s="178"/>
      <c r="BJ1736" s="178"/>
      <c r="BK1736" s="178"/>
      <c r="BL1736" s="178"/>
      <c r="BM1736" s="178"/>
      <c r="BN1736" s="178"/>
      <c r="BO1736" s="178"/>
      <c r="BP1736" s="178"/>
      <c r="BQ1736" s="196"/>
      <c r="BR1736" s="196"/>
      <c r="BS1736" s="196"/>
      <c r="BT1736" s="196"/>
      <c r="BU1736" s="196"/>
      <c r="BV1736" s="196"/>
      <c r="BW1736" s="178"/>
      <c r="BX1736" s="196"/>
      <c r="BY1736" s="196"/>
      <c r="BZ1736" s="196"/>
      <c r="CA1736" s="196"/>
      <c r="CB1736" s="178"/>
      <c r="CC1736" s="178"/>
      <c r="CD1736" s="202"/>
      <c r="CE1736" s="202"/>
      <c r="CF1736" s="178"/>
      <c r="CG1736" s="196"/>
      <c r="CH1736" s="178"/>
      <c r="CI1736" s="178"/>
      <c r="CJ1736" s="178"/>
      <c r="CK1736" s="178"/>
      <c r="CL1736" s="178"/>
      <c r="CM1736" s="178"/>
      <c r="CN1736" s="178"/>
      <c r="CO1736" s="178"/>
      <c r="CP1736" s="178"/>
      <c r="CQ1736" s="178"/>
      <c r="CR1736" s="178"/>
      <c r="CS1736" s="178"/>
      <c r="CT1736" s="178"/>
      <c r="CU1736" s="178"/>
      <c r="CV1736" s="178"/>
      <c r="CW1736" s="178"/>
      <c r="CX1736" s="178"/>
      <c r="CY1736" s="178"/>
      <c r="CZ1736" s="178"/>
      <c r="DA1736" s="150"/>
    </row>
    <row r="1737" spans="53:105" x14ac:dyDescent="0.2">
      <c r="BA1737" s="518">
        <f t="shared" ca="1" si="94"/>
        <v>61</v>
      </c>
      <c r="BB1737" s="174">
        <f t="shared" ca="1" si="95"/>
        <v>1674</v>
      </c>
      <c r="BC1737" s="525" t="e">
        <f ca="1">MATCH(BD1737,OFFSET(Pinlist!$A$2,BC1736*(BA1737=BA1736),0,$BM$23,1),0)+BC1736*(BA1737=BA1736)</f>
        <v>#N/A</v>
      </c>
      <c r="BD1737" s="167">
        <f t="shared" ca="1" si="96"/>
        <v>0</v>
      </c>
      <c r="BE1737" s="191" t="e">
        <f ca="1">(OFFSET(Pinlist!$E$1,BC1737,0)-$BN$16)*$BN$19</f>
        <v>#N/A</v>
      </c>
      <c r="BF1737" s="192" t="e">
        <f ca="1">(OFFSET(Pinlist!$F$1,BC1737,0)-$BO$16)*$BO$19</f>
        <v>#N/A</v>
      </c>
      <c r="BG1737" s="1098" t="str">
        <f ca="1">IF(LEFT(BD1737,2)="RF",OFFSET(Pinlist!$D$1,Chart!BC1737,0)&amp;"_"&amp;OFFSET(Pinlist!$G$1,Chart!BC1737,0),"")</f>
        <v/>
      </c>
      <c r="BH1737" s="1098"/>
      <c r="BI1737" s="178"/>
      <c r="BJ1737" s="178"/>
      <c r="BK1737" s="178"/>
      <c r="BL1737" s="178"/>
      <c r="BM1737" s="178"/>
      <c r="BN1737" s="178"/>
      <c r="BO1737" s="178"/>
      <c r="BP1737" s="178"/>
      <c r="BQ1737" s="196"/>
      <c r="BR1737" s="196"/>
      <c r="BS1737" s="196"/>
      <c r="BT1737" s="196"/>
      <c r="BU1737" s="196"/>
      <c r="BV1737" s="196"/>
      <c r="BW1737" s="178"/>
      <c r="BX1737" s="196"/>
      <c r="BY1737" s="196"/>
      <c r="BZ1737" s="196"/>
      <c r="CA1737" s="196"/>
      <c r="CB1737" s="178"/>
      <c r="CC1737" s="178"/>
      <c r="CD1737" s="202"/>
      <c r="CE1737" s="202"/>
      <c r="CF1737" s="178"/>
      <c r="CG1737" s="196"/>
      <c r="CH1737" s="178"/>
      <c r="CI1737" s="178"/>
      <c r="CJ1737" s="178"/>
      <c r="CK1737" s="178"/>
      <c r="CL1737" s="178"/>
      <c r="CM1737" s="178"/>
      <c r="CN1737" s="178"/>
      <c r="CO1737" s="178"/>
      <c r="CP1737" s="178"/>
      <c r="CQ1737" s="178"/>
      <c r="CR1737" s="178"/>
      <c r="CS1737" s="178"/>
      <c r="CT1737" s="178"/>
      <c r="CU1737" s="178"/>
      <c r="CV1737" s="178"/>
      <c r="CW1737" s="178"/>
      <c r="CX1737" s="178"/>
      <c r="CY1737" s="178"/>
      <c r="CZ1737" s="178"/>
      <c r="DA1737" s="150"/>
    </row>
    <row r="1738" spans="53:105" x14ac:dyDescent="0.2">
      <c r="BA1738" s="518">
        <f t="shared" ca="1" si="94"/>
        <v>61</v>
      </c>
      <c r="BB1738" s="174">
        <f t="shared" ca="1" si="95"/>
        <v>1675</v>
      </c>
      <c r="BC1738" s="525" t="e">
        <f ca="1">MATCH(BD1738,OFFSET(Pinlist!$A$2,BC1737*(BA1738=BA1737),0,$BM$23,1),0)+BC1737*(BA1738=BA1737)</f>
        <v>#N/A</v>
      </c>
      <c r="BD1738" s="167">
        <f t="shared" ca="1" si="96"/>
        <v>0</v>
      </c>
      <c r="BE1738" s="191" t="e">
        <f ca="1">(OFFSET(Pinlist!$E$1,BC1738,0)-$BN$16)*$BN$19</f>
        <v>#N/A</v>
      </c>
      <c r="BF1738" s="192" t="e">
        <f ca="1">(OFFSET(Pinlist!$F$1,BC1738,0)-$BO$16)*$BO$19</f>
        <v>#N/A</v>
      </c>
      <c r="BG1738" s="1098" t="str">
        <f ca="1">IF(LEFT(BD1738,2)="RF",OFFSET(Pinlist!$D$1,Chart!BC1738,0)&amp;"_"&amp;OFFSET(Pinlist!$G$1,Chart!BC1738,0),"")</f>
        <v/>
      </c>
      <c r="BH1738" s="1098"/>
      <c r="BI1738" s="178"/>
      <c r="BJ1738" s="178"/>
      <c r="BK1738" s="178"/>
      <c r="BL1738" s="178"/>
      <c r="BM1738" s="178"/>
      <c r="BN1738" s="178"/>
      <c r="BO1738" s="178"/>
      <c r="BP1738" s="178"/>
      <c r="BQ1738" s="196"/>
      <c r="BR1738" s="196"/>
      <c r="BS1738" s="196"/>
      <c r="BT1738" s="196"/>
      <c r="BU1738" s="196"/>
      <c r="BV1738" s="196"/>
      <c r="BW1738" s="178"/>
      <c r="BX1738" s="196"/>
      <c r="BY1738" s="196"/>
      <c r="BZ1738" s="196"/>
      <c r="CA1738" s="196"/>
      <c r="CB1738" s="178"/>
      <c r="CC1738" s="178"/>
      <c r="CD1738" s="202"/>
      <c r="CE1738" s="202"/>
      <c r="CF1738" s="178"/>
      <c r="CG1738" s="196"/>
      <c r="CH1738" s="178"/>
      <c r="CI1738" s="178"/>
      <c r="CJ1738" s="178"/>
      <c r="CK1738" s="178"/>
      <c r="CL1738" s="178"/>
      <c r="CM1738" s="178"/>
      <c r="CN1738" s="178"/>
      <c r="CO1738" s="178"/>
      <c r="CP1738" s="178"/>
      <c r="CQ1738" s="178"/>
      <c r="CR1738" s="178"/>
      <c r="CS1738" s="178"/>
      <c r="CT1738" s="178"/>
      <c r="CU1738" s="178"/>
      <c r="CV1738" s="178"/>
      <c r="CW1738" s="178"/>
      <c r="CX1738" s="178"/>
      <c r="CY1738" s="178"/>
      <c r="CZ1738" s="178"/>
      <c r="DA1738" s="150"/>
    </row>
    <row r="1739" spans="53:105" x14ac:dyDescent="0.2">
      <c r="BA1739" s="518">
        <f t="shared" ca="1" si="94"/>
        <v>61</v>
      </c>
      <c r="BB1739" s="174">
        <f t="shared" ca="1" si="95"/>
        <v>1676</v>
      </c>
      <c r="BC1739" s="525" t="e">
        <f ca="1">MATCH(BD1739,OFFSET(Pinlist!$A$2,BC1738*(BA1739=BA1738),0,$BM$23,1),0)+BC1738*(BA1739=BA1738)</f>
        <v>#N/A</v>
      </c>
      <c r="BD1739" s="167">
        <f t="shared" ca="1" si="96"/>
        <v>0</v>
      </c>
      <c r="BE1739" s="191" t="e">
        <f ca="1">(OFFSET(Pinlist!$E$1,BC1739,0)-$BN$16)*$BN$19</f>
        <v>#N/A</v>
      </c>
      <c r="BF1739" s="192" t="e">
        <f ca="1">(OFFSET(Pinlist!$F$1,BC1739,0)-$BO$16)*$BO$19</f>
        <v>#N/A</v>
      </c>
      <c r="BG1739" s="1098" t="str">
        <f ca="1">IF(LEFT(BD1739,2)="RF",OFFSET(Pinlist!$D$1,Chart!BC1739,0)&amp;"_"&amp;OFFSET(Pinlist!$G$1,Chart!BC1739,0),"")</f>
        <v/>
      </c>
      <c r="BH1739" s="1098"/>
      <c r="BI1739" s="178"/>
      <c r="BJ1739" s="178"/>
      <c r="BK1739" s="178"/>
      <c r="BL1739" s="178"/>
      <c r="BM1739" s="178"/>
      <c r="BN1739" s="178"/>
      <c r="BO1739" s="178"/>
      <c r="BP1739" s="178"/>
      <c r="BQ1739" s="196"/>
      <c r="BR1739" s="196"/>
      <c r="BS1739" s="196"/>
      <c r="BT1739" s="196"/>
      <c r="BU1739" s="196"/>
      <c r="BV1739" s="196"/>
      <c r="BW1739" s="178"/>
      <c r="BX1739" s="196"/>
      <c r="BY1739" s="196"/>
      <c r="BZ1739" s="196"/>
      <c r="CA1739" s="196"/>
      <c r="CB1739" s="178"/>
      <c r="CC1739" s="178"/>
      <c r="CD1739" s="202"/>
      <c r="CE1739" s="202"/>
      <c r="CF1739" s="178"/>
      <c r="CG1739" s="196"/>
      <c r="CH1739" s="178"/>
      <c r="CI1739" s="178"/>
      <c r="CJ1739" s="178"/>
      <c r="CK1739" s="178"/>
      <c r="CL1739" s="178"/>
      <c r="CM1739" s="178"/>
      <c r="CN1739" s="178"/>
      <c r="CO1739" s="178"/>
      <c r="CP1739" s="178"/>
      <c r="CQ1739" s="178"/>
      <c r="CR1739" s="178"/>
      <c r="CS1739" s="178"/>
      <c r="CT1739" s="178"/>
      <c r="CU1739" s="178"/>
      <c r="CV1739" s="178"/>
      <c r="CW1739" s="178"/>
      <c r="CX1739" s="178"/>
      <c r="CY1739" s="178"/>
      <c r="CZ1739" s="178"/>
      <c r="DA1739" s="150"/>
    </row>
    <row r="1740" spans="53:105" x14ac:dyDescent="0.2">
      <c r="BA1740" s="518">
        <f t="shared" ca="1" si="94"/>
        <v>61</v>
      </c>
      <c r="BB1740" s="174">
        <f t="shared" ca="1" si="95"/>
        <v>1677</v>
      </c>
      <c r="BC1740" s="525" t="e">
        <f ca="1">MATCH(BD1740,OFFSET(Pinlist!$A$2,BC1739*(BA1740=BA1739),0,$BM$23,1),0)+BC1739*(BA1740=BA1739)</f>
        <v>#N/A</v>
      </c>
      <c r="BD1740" s="167">
        <f t="shared" ca="1" si="96"/>
        <v>0</v>
      </c>
      <c r="BE1740" s="191" t="e">
        <f ca="1">(OFFSET(Pinlist!$E$1,BC1740,0)-$BN$16)*$BN$19</f>
        <v>#N/A</v>
      </c>
      <c r="BF1740" s="192" t="e">
        <f ca="1">(OFFSET(Pinlist!$F$1,BC1740,0)-$BO$16)*$BO$19</f>
        <v>#N/A</v>
      </c>
      <c r="BG1740" s="1098" t="str">
        <f ca="1">IF(LEFT(BD1740,2)="RF",OFFSET(Pinlist!$D$1,Chart!BC1740,0)&amp;"_"&amp;OFFSET(Pinlist!$G$1,Chart!BC1740,0),"")</f>
        <v/>
      </c>
      <c r="BH1740" s="1098"/>
      <c r="BI1740" s="178"/>
      <c r="BJ1740" s="178"/>
      <c r="BK1740" s="178"/>
      <c r="BL1740" s="178"/>
      <c r="BM1740" s="178"/>
      <c r="BN1740" s="178"/>
      <c r="BO1740" s="178"/>
      <c r="BP1740" s="178"/>
      <c r="BQ1740" s="196"/>
      <c r="BR1740" s="196"/>
      <c r="BS1740" s="196"/>
      <c r="BT1740" s="196"/>
      <c r="BU1740" s="196"/>
      <c r="BV1740" s="196"/>
      <c r="BW1740" s="178"/>
      <c r="BX1740" s="196"/>
      <c r="BY1740" s="196"/>
      <c r="BZ1740" s="196"/>
      <c r="CA1740" s="196"/>
      <c r="CB1740" s="178"/>
      <c r="CC1740" s="178"/>
      <c r="CD1740" s="202"/>
      <c r="CE1740" s="202"/>
      <c r="CF1740" s="178"/>
      <c r="CG1740" s="196"/>
      <c r="CH1740" s="178"/>
      <c r="CI1740" s="178"/>
      <c r="CJ1740" s="178"/>
      <c r="CK1740" s="178"/>
      <c r="CL1740" s="178"/>
      <c r="CM1740" s="178"/>
      <c r="CN1740" s="178"/>
      <c r="CO1740" s="178"/>
      <c r="CP1740" s="178"/>
      <c r="CQ1740" s="178"/>
      <c r="CR1740" s="178"/>
      <c r="CS1740" s="178"/>
      <c r="CT1740" s="178"/>
      <c r="CU1740" s="178"/>
      <c r="CV1740" s="178"/>
      <c r="CW1740" s="178"/>
      <c r="CX1740" s="178"/>
      <c r="CY1740" s="178"/>
      <c r="CZ1740" s="178"/>
      <c r="DA1740" s="150"/>
    </row>
    <row r="1741" spans="53:105" x14ac:dyDescent="0.2">
      <c r="BA1741" s="518">
        <f t="shared" ca="1" si="94"/>
        <v>61</v>
      </c>
      <c r="BB1741" s="174">
        <f t="shared" ca="1" si="95"/>
        <v>1678</v>
      </c>
      <c r="BC1741" s="525" t="e">
        <f ca="1">MATCH(BD1741,OFFSET(Pinlist!$A$2,BC1740*(BA1741=BA1740),0,$BM$23,1),0)+BC1740*(BA1741=BA1740)</f>
        <v>#N/A</v>
      </c>
      <c r="BD1741" s="167">
        <f t="shared" ca="1" si="96"/>
        <v>0</v>
      </c>
      <c r="BE1741" s="191" t="e">
        <f ca="1">(OFFSET(Pinlist!$E$1,BC1741,0)-$BN$16)*$BN$19</f>
        <v>#N/A</v>
      </c>
      <c r="BF1741" s="192" t="e">
        <f ca="1">(OFFSET(Pinlist!$F$1,BC1741,0)-$BO$16)*$BO$19</f>
        <v>#N/A</v>
      </c>
      <c r="BG1741" s="1098" t="str">
        <f ca="1">IF(LEFT(BD1741,2)="RF",OFFSET(Pinlist!$D$1,Chart!BC1741,0)&amp;"_"&amp;OFFSET(Pinlist!$G$1,Chart!BC1741,0),"")</f>
        <v/>
      </c>
      <c r="BH1741" s="1098"/>
      <c r="BI1741" s="178"/>
      <c r="BJ1741" s="178"/>
      <c r="BK1741" s="178"/>
      <c r="BL1741" s="178"/>
      <c r="BM1741" s="178"/>
      <c r="BN1741" s="178"/>
      <c r="BO1741" s="178"/>
      <c r="BP1741" s="178"/>
      <c r="BQ1741" s="196"/>
      <c r="BR1741" s="196"/>
      <c r="BS1741" s="196"/>
      <c r="BT1741" s="196"/>
      <c r="BU1741" s="196"/>
      <c r="BV1741" s="196"/>
      <c r="BW1741" s="178"/>
      <c r="BX1741" s="196"/>
      <c r="BY1741" s="196"/>
      <c r="BZ1741" s="196"/>
      <c r="CA1741" s="196"/>
      <c r="CB1741" s="178"/>
      <c r="CC1741" s="178"/>
      <c r="CD1741" s="202"/>
      <c r="CE1741" s="202"/>
      <c r="CF1741" s="178"/>
      <c r="CG1741" s="196"/>
      <c r="CH1741" s="178"/>
      <c r="CI1741" s="178"/>
      <c r="CJ1741" s="178"/>
      <c r="CK1741" s="178"/>
      <c r="CL1741" s="178"/>
      <c r="CM1741" s="178"/>
      <c r="CN1741" s="178"/>
      <c r="CO1741" s="178"/>
      <c r="CP1741" s="178"/>
      <c r="CQ1741" s="178"/>
      <c r="CR1741" s="178"/>
      <c r="CS1741" s="178"/>
      <c r="CT1741" s="178"/>
      <c r="CU1741" s="178"/>
      <c r="CV1741" s="178"/>
      <c r="CW1741" s="178"/>
      <c r="CX1741" s="178"/>
      <c r="CY1741" s="178"/>
      <c r="CZ1741" s="178"/>
      <c r="DA1741" s="150"/>
    </row>
    <row r="1742" spans="53:105" x14ac:dyDescent="0.2">
      <c r="BA1742" s="518">
        <f t="shared" ca="1" si="94"/>
        <v>61</v>
      </c>
      <c r="BB1742" s="174">
        <f t="shared" ca="1" si="95"/>
        <v>1679</v>
      </c>
      <c r="BC1742" s="525" t="e">
        <f ca="1">MATCH(BD1742,OFFSET(Pinlist!$A$2,BC1741*(BA1742=BA1741),0,$BM$23,1),0)+BC1741*(BA1742=BA1741)</f>
        <v>#N/A</v>
      </c>
      <c r="BD1742" s="167">
        <f t="shared" ca="1" si="96"/>
        <v>0</v>
      </c>
      <c r="BE1742" s="191" t="e">
        <f ca="1">(OFFSET(Pinlist!$E$1,BC1742,0)-$BN$16)*$BN$19</f>
        <v>#N/A</v>
      </c>
      <c r="BF1742" s="192" t="e">
        <f ca="1">(OFFSET(Pinlist!$F$1,BC1742,0)-$BO$16)*$BO$19</f>
        <v>#N/A</v>
      </c>
      <c r="BG1742" s="1098" t="str">
        <f ca="1">IF(LEFT(BD1742,2)="RF",OFFSET(Pinlist!$D$1,Chart!BC1742,0)&amp;"_"&amp;OFFSET(Pinlist!$G$1,Chart!BC1742,0),"")</f>
        <v/>
      </c>
      <c r="BH1742" s="1098"/>
      <c r="BI1742" s="178"/>
      <c r="BJ1742" s="178"/>
      <c r="BK1742" s="178"/>
      <c r="BL1742" s="178"/>
      <c r="BM1742" s="178"/>
      <c r="BN1742" s="178"/>
      <c r="BO1742" s="178"/>
      <c r="BP1742" s="178"/>
      <c r="BQ1742" s="196"/>
      <c r="BR1742" s="196"/>
      <c r="BS1742" s="196"/>
      <c r="BT1742" s="196"/>
      <c r="BU1742" s="196"/>
      <c r="BV1742" s="196"/>
      <c r="BW1742" s="178"/>
      <c r="BX1742" s="196"/>
      <c r="BY1742" s="196"/>
      <c r="BZ1742" s="196"/>
      <c r="CA1742" s="196"/>
      <c r="CB1742" s="178"/>
      <c r="CC1742" s="178"/>
      <c r="CD1742" s="202"/>
      <c r="CE1742" s="202"/>
      <c r="CF1742" s="178"/>
      <c r="CG1742" s="196"/>
      <c r="CH1742" s="178"/>
      <c r="CI1742" s="178"/>
      <c r="CJ1742" s="178"/>
      <c r="CK1742" s="178"/>
      <c r="CL1742" s="178"/>
      <c r="CM1742" s="178"/>
      <c r="CN1742" s="178"/>
      <c r="CO1742" s="178"/>
      <c r="CP1742" s="178"/>
      <c r="CQ1742" s="178"/>
      <c r="CR1742" s="178"/>
      <c r="CS1742" s="178"/>
      <c r="CT1742" s="178"/>
      <c r="CU1742" s="178"/>
      <c r="CV1742" s="178"/>
      <c r="CW1742" s="178"/>
      <c r="CX1742" s="178"/>
      <c r="CY1742" s="178"/>
      <c r="CZ1742" s="178"/>
      <c r="DA1742" s="150"/>
    </row>
    <row r="1743" spans="53:105" x14ac:dyDescent="0.2">
      <c r="BA1743" s="518">
        <f t="shared" ca="1" si="94"/>
        <v>61</v>
      </c>
      <c r="BB1743" s="174">
        <f t="shared" ca="1" si="95"/>
        <v>1680</v>
      </c>
      <c r="BC1743" s="525" t="e">
        <f ca="1">MATCH(BD1743,OFFSET(Pinlist!$A$2,BC1742*(BA1743=BA1742),0,$BM$23,1),0)+BC1742*(BA1743=BA1742)</f>
        <v>#N/A</v>
      </c>
      <c r="BD1743" s="167">
        <f t="shared" ca="1" si="96"/>
        <v>0</v>
      </c>
      <c r="BE1743" s="191" t="e">
        <f ca="1">(OFFSET(Pinlist!$E$1,BC1743,0)-$BN$16)*$BN$19</f>
        <v>#N/A</v>
      </c>
      <c r="BF1743" s="192" t="e">
        <f ca="1">(OFFSET(Pinlist!$F$1,BC1743,0)-$BO$16)*$BO$19</f>
        <v>#N/A</v>
      </c>
      <c r="BG1743" s="1098" t="str">
        <f ca="1">IF(LEFT(BD1743,2)="RF",OFFSET(Pinlist!$D$1,Chart!BC1743,0)&amp;"_"&amp;OFFSET(Pinlist!$G$1,Chart!BC1743,0),"")</f>
        <v/>
      </c>
      <c r="BH1743" s="1098"/>
      <c r="BI1743" s="178"/>
      <c r="BJ1743" s="178"/>
      <c r="BK1743" s="178"/>
      <c r="BL1743" s="178"/>
      <c r="BM1743" s="178"/>
      <c r="BN1743" s="178"/>
      <c r="BO1743" s="178"/>
      <c r="BP1743" s="178"/>
      <c r="BQ1743" s="196"/>
      <c r="BR1743" s="196"/>
      <c r="BS1743" s="196"/>
      <c r="BT1743" s="196"/>
      <c r="BU1743" s="196"/>
      <c r="BV1743" s="196"/>
      <c r="BW1743" s="178"/>
      <c r="BX1743" s="196"/>
      <c r="BY1743" s="196"/>
      <c r="BZ1743" s="196"/>
      <c r="CA1743" s="196"/>
      <c r="CB1743" s="178"/>
      <c r="CC1743" s="178"/>
      <c r="CD1743" s="202"/>
      <c r="CE1743" s="202"/>
      <c r="CF1743" s="178"/>
      <c r="CG1743" s="196"/>
      <c r="CH1743" s="178"/>
      <c r="CI1743" s="178"/>
      <c r="CJ1743" s="178"/>
      <c r="CK1743" s="178"/>
      <c r="CL1743" s="178"/>
      <c r="CM1743" s="178"/>
      <c r="CN1743" s="178"/>
      <c r="CO1743" s="178"/>
      <c r="CP1743" s="178"/>
      <c r="CQ1743" s="178"/>
      <c r="CR1743" s="178"/>
      <c r="CS1743" s="178"/>
      <c r="CT1743" s="178"/>
      <c r="CU1743" s="178"/>
      <c r="CV1743" s="178"/>
      <c r="CW1743" s="178"/>
      <c r="CX1743" s="178"/>
      <c r="CY1743" s="178"/>
      <c r="CZ1743" s="178"/>
      <c r="DA1743" s="150"/>
    </row>
    <row r="1744" spans="53:105" x14ac:dyDescent="0.2">
      <c r="BA1744" s="518">
        <f t="shared" ca="1" si="94"/>
        <v>61</v>
      </c>
      <c r="BB1744" s="174">
        <f t="shared" ca="1" si="95"/>
        <v>1681</v>
      </c>
      <c r="BC1744" s="525" t="e">
        <f ca="1">MATCH(BD1744,OFFSET(Pinlist!$A$2,BC1743*(BA1744=BA1743),0,$BM$23,1),0)+BC1743*(BA1744=BA1743)</f>
        <v>#N/A</v>
      </c>
      <c r="BD1744" s="167">
        <f t="shared" ca="1" si="96"/>
        <v>0</v>
      </c>
      <c r="BE1744" s="191" t="e">
        <f ca="1">(OFFSET(Pinlist!$E$1,BC1744,0)-$BN$16)*$BN$19</f>
        <v>#N/A</v>
      </c>
      <c r="BF1744" s="192" t="e">
        <f ca="1">(OFFSET(Pinlist!$F$1,BC1744,0)-$BO$16)*$BO$19</f>
        <v>#N/A</v>
      </c>
      <c r="BG1744" s="1098" t="str">
        <f ca="1">IF(LEFT(BD1744,2)="RF",OFFSET(Pinlist!$D$1,Chart!BC1744,0)&amp;"_"&amp;OFFSET(Pinlist!$G$1,Chart!BC1744,0),"")</f>
        <v/>
      </c>
      <c r="BH1744" s="1098"/>
      <c r="BI1744" s="178"/>
      <c r="BJ1744" s="178"/>
      <c r="BK1744" s="178"/>
      <c r="BL1744" s="178"/>
      <c r="BM1744" s="178"/>
      <c r="BN1744" s="178"/>
      <c r="BO1744" s="178"/>
      <c r="BP1744" s="178"/>
      <c r="BQ1744" s="196"/>
      <c r="BR1744" s="196"/>
      <c r="BS1744" s="196"/>
      <c r="BT1744" s="196"/>
      <c r="BU1744" s="196"/>
      <c r="BV1744" s="196"/>
      <c r="BW1744" s="178"/>
      <c r="BX1744" s="196"/>
      <c r="BY1744" s="196"/>
      <c r="BZ1744" s="196"/>
      <c r="CA1744" s="196"/>
      <c r="CB1744" s="178"/>
      <c r="CC1744" s="178"/>
      <c r="CD1744" s="202"/>
      <c r="CE1744" s="202"/>
      <c r="CF1744" s="178"/>
      <c r="CG1744" s="196"/>
      <c r="CH1744" s="178"/>
      <c r="CI1744" s="178"/>
      <c r="CJ1744" s="178"/>
      <c r="CK1744" s="178"/>
      <c r="CL1744" s="178"/>
      <c r="CM1744" s="178"/>
      <c r="CN1744" s="178"/>
      <c r="CO1744" s="178"/>
      <c r="CP1744" s="178"/>
      <c r="CQ1744" s="178"/>
      <c r="CR1744" s="178"/>
      <c r="CS1744" s="178"/>
      <c r="CT1744" s="178"/>
      <c r="CU1744" s="178"/>
      <c r="CV1744" s="178"/>
      <c r="CW1744" s="178"/>
      <c r="CX1744" s="178"/>
      <c r="CY1744" s="178"/>
      <c r="CZ1744" s="178"/>
      <c r="DA1744" s="150"/>
    </row>
    <row r="1745" spans="53:105" x14ac:dyDescent="0.2">
      <c r="BA1745" s="518">
        <f t="shared" ca="1" si="94"/>
        <v>61</v>
      </c>
      <c r="BB1745" s="174">
        <f t="shared" ca="1" si="95"/>
        <v>1682</v>
      </c>
      <c r="BC1745" s="525" t="e">
        <f ca="1">MATCH(BD1745,OFFSET(Pinlist!$A$2,BC1744*(BA1745=BA1744),0,$BM$23,1),0)+BC1744*(BA1745=BA1744)</f>
        <v>#N/A</v>
      </c>
      <c r="BD1745" s="167">
        <f t="shared" ca="1" si="96"/>
        <v>0</v>
      </c>
      <c r="BE1745" s="191" t="e">
        <f ca="1">(OFFSET(Pinlist!$E$1,BC1745,0)-$BN$16)*$BN$19</f>
        <v>#N/A</v>
      </c>
      <c r="BF1745" s="192" t="e">
        <f ca="1">(OFFSET(Pinlist!$F$1,BC1745,0)-$BO$16)*$BO$19</f>
        <v>#N/A</v>
      </c>
      <c r="BG1745" s="1098" t="str">
        <f ca="1">IF(LEFT(BD1745,2)="RF",OFFSET(Pinlist!$D$1,Chart!BC1745,0)&amp;"_"&amp;OFFSET(Pinlist!$G$1,Chart!BC1745,0),"")</f>
        <v/>
      </c>
      <c r="BH1745" s="1098"/>
      <c r="BI1745" s="178"/>
      <c r="BJ1745" s="178"/>
      <c r="BK1745" s="178"/>
      <c r="BL1745" s="178"/>
      <c r="BM1745" s="178"/>
      <c r="BN1745" s="178"/>
      <c r="BO1745" s="178"/>
      <c r="BP1745" s="178"/>
      <c r="BQ1745" s="196"/>
      <c r="BR1745" s="196"/>
      <c r="BS1745" s="196"/>
      <c r="BT1745" s="196"/>
      <c r="BU1745" s="196"/>
      <c r="BV1745" s="196"/>
      <c r="BW1745" s="178"/>
      <c r="BX1745" s="196"/>
      <c r="BY1745" s="196"/>
      <c r="BZ1745" s="196"/>
      <c r="CA1745" s="196"/>
      <c r="CB1745" s="178"/>
      <c r="CC1745" s="178"/>
      <c r="CD1745" s="202"/>
      <c r="CE1745" s="202"/>
      <c r="CF1745" s="178"/>
      <c r="CG1745" s="196"/>
      <c r="CH1745" s="178"/>
      <c r="CI1745" s="178"/>
      <c r="CJ1745" s="178"/>
      <c r="CK1745" s="178"/>
      <c r="CL1745" s="178"/>
      <c r="CM1745" s="178"/>
      <c r="CN1745" s="178"/>
      <c r="CO1745" s="178"/>
      <c r="CP1745" s="178"/>
      <c r="CQ1745" s="178"/>
      <c r="CR1745" s="178"/>
      <c r="CS1745" s="178"/>
      <c r="CT1745" s="178"/>
      <c r="CU1745" s="178"/>
      <c r="CV1745" s="178"/>
      <c r="CW1745" s="178"/>
      <c r="CX1745" s="178"/>
      <c r="CY1745" s="178"/>
      <c r="CZ1745" s="178"/>
      <c r="DA1745" s="150"/>
    </row>
    <row r="1746" spans="53:105" x14ac:dyDescent="0.2">
      <c r="BA1746" s="518">
        <f t="shared" ca="1" si="94"/>
        <v>61</v>
      </c>
      <c r="BB1746" s="174">
        <f t="shared" ca="1" si="95"/>
        <v>1683</v>
      </c>
      <c r="BC1746" s="525" t="e">
        <f ca="1">MATCH(BD1746,OFFSET(Pinlist!$A$2,BC1745*(BA1746=BA1745),0,$BM$23,1),0)+BC1745*(BA1746=BA1745)</f>
        <v>#N/A</v>
      </c>
      <c r="BD1746" s="167">
        <f t="shared" ca="1" si="96"/>
        <v>0</v>
      </c>
      <c r="BE1746" s="191" t="e">
        <f ca="1">(OFFSET(Pinlist!$E$1,BC1746,0)-$BN$16)*$BN$19</f>
        <v>#N/A</v>
      </c>
      <c r="BF1746" s="192" t="e">
        <f ca="1">(OFFSET(Pinlist!$F$1,BC1746,0)-$BO$16)*$BO$19</f>
        <v>#N/A</v>
      </c>
      <c r="BG1746" s="1098" t="str">
        <f ca="1">IF(LEFT(BD1746,2)="RF",OFFSET(Pinlist!$D$1,Chart!BC1746,0)&amp;"_"&amp;OFFSET(Pinlist!$G$1,Chart!BC1746,0),"")</f>
        <v/>
      </c>
      <c r="BH1746" s="1098"/>
      <c r="BI1746" s="178"/>
      <c r="BJ1746" s="178"/>
      <c r="BK1746" s="178"/>
      <c r="BL1746" s="178"/>
      <c r="BM1746" s="178"/>
      <c r="BN1746" s="178"/>
      <c r="BO1746" s="178"/>
      <c r="BP1746" s="178"/>
      <c r="BQ1746" s="196"/>
      <c r="BR1746" s="196"/>
      <c r="BS1746" s="196"/>
      <c r="BT1746" s="196"/>
      <c r="BU1746" s="196"/>
      <c r="BV1746" s="196"/>
      <c r="BW1746" s="178"/>
      <c r="BX1746" s="196"/>
      <c r="BY1746" s="196"/>
      <c r="BZ1746" s="196"/>
      <c r="CA1746" s="196"/>
      <c r="CB1746" s="178"/>
      <c r="CC1746" s="178"/>
      <c r="CD1746" s="202"/>
      <c r="CE1746" s="202"/>
      <c r="CF1746" s="178"/>
      <c r="CG1746" s="196"/>
      <c r="CH1746" s="178"/>
      <c r="CI1746" s="178"/>
      <c r="CJ1746" s="178"/>
      <c r="CK1746" s="178"/>
      <c r="CL1746" s="178"/>
      <c r="CM1746" s="178"/>
      <c r="CN1746" s="178"/>
      <c r="CO1746" s="178"/>
      <c r="CP1746" s="178"/>
      <c r="CQ1746" s="178"/>
      <c r="CR1746" s="178"/>
      <c r="CS1746" s="178"/>
      <c r="CT1746" s="178"/>
      <c r="CU1746" s="178"/>
      <c r="CV1746" s="178"/>
      <c r="CW1746" s="178"/>
      <c r="CX1746" s="178"/>
      <c r="CY1746" s="178"/>
      <c r="CZ1746" s="178"/>
      <c r="DA1746" s="150"/>
    </row>
    <row r="1747" spans="53:105" x14ac:dyDescent="0.2">
      <c r="BA1747" s="518">
        <f t="shared" ca="1" si="94"/>
        <v>61</v>
      </c>
      <c r="BB1747" s="174">
        <f t="shared" ca="1" si="95"/>
        <v>1684</v>
      </c>
      <c r="BC1747" s="525" t="e">
        <f ca="1">MATCH(BD1747,OFFSET(Pinlist!$A$2,BC1746*(BA1747=BA1746),0,$BM$23,1),0)+BC1746*(BA1747=BA1746)</f>
        <v>#N/A</v>
      </c>
      <c r="BD1747" s="167">
        <f t="shared" ca="1" si="96"/>
        <v>0</v>
      </c>
      <c r="BE1747" s="191" t="e">
        <f ca="1">(OFFSET(Pinlist!$E$1,BC1747,0)-$BN$16)*$BN$19</f>
        <v>#N/A</v>
      </c>
      <c r="BF1747" s="192" t="e">
        <f ca="1">(OFFSET(Pinlist!$F$1,BC1747,0)-$BO$16)*$BO$19</f>
        <v>#N/A</v>
      </c>
      <c r="BG1747" s="1098" t="str">
        <f ca="1">IF(LEFT(BD1747,2)="RF",OFFSET(Pinlist!$D$1,Chart!BC1747,0)&amp;"_"&amp;OFFSET(Pinlist!$G$1,Chart!BC1747,0),"")</f>
        <v/>
      </c>
      <c r="BH1747" s="1098"/>
      <c r="BI1747" s="178"/>
      <c r="BJ1747" s="178"/>
      <c r="BK1747" s="178"/>
      <c r="BL1747" s="178"/>
      <c r="BM1747" s="178"/>
      <c r="BN1747" s="178"/>
      <c r="BO1747" s="178"/>
      <c r="BP1747" s="178"/>
      <c r="BQ1747" s="196"/>
      <c r="BR1747" s="196"/>
      <c r="BS1747" s="196"/>
      <c r="BT1747" s="196"/>
      <c r="BU1747" s="196"/>
      <c r="BV1747" s="196"/>
      <c r="BW1747" s="178"/>
      <c r="BX1747" s="196"/>
      <c r="BY1747" s="196"/>
      <c r="BZ1747" s="196"/>
      <c r="CA1747" s="196"/>
      <c r="CB1747" s="178"/>
      <c r="CC1747" s="178"/>
      <c r="CD1747" s="202"/>
      <c r="CE1747" s="202"/>
      <c r="CF1747" s="178"/>
      <c r="CG1747" s="196"/>
      <c r="CH1747" s="178"/>
      <c r="CI1747" s="178"/>
      <c r="CJ1747" s="178"/>
      <c r="CK1747" s="178"/>
      <c r="CL1747" s="178"/>
      <c r="CM1747" s="178"/>
      <c r="CN1747" s="178"/>
      <c r="CO1747" s="178"/>
      <c r="CP1747" s="178"/>
      <c r="CQ1747" s="178"/>
      <c r="CR1747" s="178"/>
      <c r="CS1747" s="178"/>
      <c r="CT1747" s="178"/>
      <c r="CU1747" s="178"/>
      <c r="CV1747" s="178"/>
      <c r="CW1747" s="178"/>
      <c r="CX1747" s="178"/>
      <c r="CY1747" s="178"/>
      <c r="CZ1747" s="178"/>
      <c r="DA1747" s="150"/>
    </row>
    <row r="1748" spans="53:105" x14ac:dyDescent="0.2">
      <c r="BA1748" s="518">
        <f t="shared" ca="1" si="94"/>
        <v>61</v>
      </c>
      <c r="BB1748" s="174">
        <f t="shared" ca="1" si="95"/>
        <v>1685</v>
      </c>
      <c r="BC1748" s="525" t="e">
        <f ca="1">MATCH(BD1748,OFFSET(Pinlist!$A$2,BC1747*(BA1748=BA1747),0,$BM$23,1),0)+BC1747*(BA1748=BA1747)</f>
        <v>#N/A</v>
      </c>
      <c r="BD1748" s="167">
        <f t="shared" ca="1" si="96"/>
        <v>0</v>
      </c>
      <c r="BE1748" s="191" t="e">
        <f ca="1">(OFFSET(Pinlist!$E$1,BC1748,0)-$BN$16)*$BN$19</f>
        <v>#N/A</v>
      </c>
      <c r="BF1748" s="192" t="e">
        <f ca="1">(OFFSET(Pinlist!$F$1,BC1748,0)-$BO$16)*$BO$19</f>
        <v>#N/A</v>
      </c>
      <c r="BG1748" s="1098" t="str">
        <f ca="1">IF(LEFT(BD1748,2)="RF",OFFSET(Pinlist!$D$1,Chart!BC1748,0)&amp;"_"&amp;OFFSET(Pinlist!$G$1,Chart!BC1748,0),"")</f>
        <v/>
      </c>
      <c r="BH1748" s="1098"/>
      <c r="BI1748" s="178"/>
      <c r="BJ1748" s="178"/>
      <c r="BK1748" s="178"/>
      <c r="BL1748" s="178"/>
      <c r="BM1748" s="178"/>
      <c r="BN1748" s="178"/>
      <c r="BO1748" s="178"/>
      <c r="BP1748" s="178"/>
      <c r="BQ1748" s="196"/>
      <c r="BR1748" s="196"/>
      <c r="BS1748" s="196"/>
      <c r="BT1748" s="196"/>
      <c r="BU1748" s="196"/>
      <c r="BV1748" s="196"/>
      <c r="BW1748" s="178"/>
      <c r="BX1748" s="196"/>
      <c r="BY1748" s="196"/>
      <c r="BZ1748" s="196"/>
      <c r="CA1748" s="196"/>
      <c r="CB1748" s="178"/>
      <c r="CC1748" s="178"/>
      <c r="CD1748" s="202"/>
      <c r="CE1748" s="202"/>
      <c r="CF1748" s="178"/>
      <c r="CG1748" s="196"/>
      <c r="CH1748" s="178"/>
      <c r="CI1748" s="178"/>
      <c r="CJ1748" s="178"/>
      <c r="CK1748" s="178"/>
      <c r="CL1748" s="178"/>
      <c r="CM1748" s="178"/>
      <c r="CN1748" s="178"/>
      <c r="CO1748" s="178"/>
      <c r="CP1748" s="178"/>
      <c r="CQ1748" s="178"/>
      <c r="CR1748" s="178"/>
      <c r="CS1748" s="178"/>
      <c r="CT1748" s="178"/>
      <c r="CU1748" s="178"/>
      <c r="CV1748" s="178"/>
      <c r="CW1748" s="178"/>
      <c r="CX1748" s="178"/>
      <c r="CY1748" s="178"/>
      <c r="CZ1748" s="178"/>
      <c r="DA1748" s="150"/>
    </row>
    <row r="1749" spans="53:105" x14ac:dyDescent="0.2">
      <c r="BA1749" s="518">
        <f t="shared" ca="1" si="94"/>
        <v>61</v>
      </c>
      <c r="BB1749" s="174">
        <f t="shared" ca="1" si="95"/>
        <v>1686</v>
      </c>
      <c r="BC1749" s="525" t="e">
        <f ca="1">MATCH(BD1749,OFFSET(Pinlist!$A$2,BC1748*(BA1749=BA1748),0,$BM$23,1),0)+BC1748*(BA1749=BA1748)</f>
        <v>#N/A</v>
      </c>
      <c r="BD1749" s="167">
        <f t="shared" ca="1" si="96"/>
        <v>0</v>
      </c>
      <c r="BE1749" s="191" t="e">
        <f ca="1">(OFFSET(Pinlist!$E$1,BC1749,0)-$BN$16)*$BN$19</f>
        <v>#N/A</v>
      </c>
      <c r="BF1749" s="192" t="e">
        <f ca="1">(OFFSET(Pinlist!$F$1,BC1749,0)-$BO$16)*$BO$19</f>
        <v>#N/A</v>
      </c>
      <c r="BG1749" s="1098" t="str">
        <f ca="1">IF(LEFT(BD1749,2)="RF",OFFSET(Pinlist!$D$1,Chart!BC1749,0)&amp;"_"&amp;OFFSET(Pinlist!$G$1,Chart!BC1749,0),"")</f>
        <v/>
      </c>
      <c r="BH1749" s="1098"/>
      <c r="BI1749" s="178"/>
      <c r="BJ1749" s="178"/>
      <c r="BK1749" s="178"/>
      <c r="BL1749" s="178"/>
      <c r="BM1749" s="178"/>
      <c r="BN1749" s="178"/>
      <c r="BO1749" s="178"/>
      <c r="BP1749" s="178"/>
      <c r="BQ1749" s="196"/>
      <c r="BR1749" s="196"/>
      <c r="BS1749" s="196"/>
      <c r="BT1749" s="196"/>
      <c r="BU1749" s="196"/>
      <c r="BV1749" s="196"/>
      <c r="BW1749" s="178"/>
      <c r="BX1749" s="196"/>
      <c r="BY1749" s="196"/>
      <c r="BZ1749" s="196"/>
      <c r="CA1749" s="196"/>
      <c r="CB1749" s="178"/>
      <c r="CC1749" s="178"/>
      <c r="CD1749" s="202"/>
      <c r="CE1749" s="202"/>
      <c r="CF1749" s="178"/>
      <c r="CG1749" s="196"/>
      <c r="CH1749" s="178"/>
      <c r="CI1749" s="178"/>
      <c r="CJ1749" s="178"/>
      <c r="CK1749" s="178"/>
      <c r="CL1749" s="178"/>
      <c r="CM1749" s="178"/>
      <c r="CN1749" s="178"/>
      <c r="CO1749" s="178"/>
      <c r="CP1749" s="178"/>
      <c r="CQ1749" s="178"/>
      <c r="CR1749" s="178"/>
      <c r="CS1749" s="178"/>
      <c r="CT1749" s="178"/>
      <c r="CU1749" s="178"/>
      <c r="CV1749" s="178"/>
      <c r="CW1749" s="178"/>
      <c r="CX1749" s="178"/>
      <c r="CY1749" s="178"/>
      <c r="CZ1749" s="178"/>
      <c r="DA1749" s="150"/>
    </row>
    <row r="1750" spans="53:105" x14ac:dyDescent="0.2">
      <c r="BA1750" s="518">
        <f t="shared" ca="1" si="94"/>
        <v>61</v>
      </c>
      <c r="BB1750" s="174">
        <f t="shared" ca="1" si="95"/>
        <v>1687</v>
      </c>
      <c r="BC1750" s="525" t="e">
        <f ca="1">MATCH(BD1750,OFFSET(Pinlist!$A$2,BC1749*(BA1750=BA1749),0,$BM$23,1),0)+BC1749*(BA1750=BA1749)</f>
        <v>#N/A</v>
      </c>
      <c r="BD1750" s="167">
        <f t="shared" ca="1" si="96"/>
        <v>0</v>
      </c>
      <c r="BE1750" s="191" t="e">
        <f ca="1">(OFFSET(Pinlist!$E$1,BC1750,0)-$BN$16)*$BN$19</f>
        <v>#N/A</v>
      </c>
      <c r="BF1750" s="192" t="e">
        <f ca="1">(OFFSET(Pinlist!$F$1,BC1750,0)-$BO$16)*$BO$19</f>
        <v>#N/A</v>
      </c>
      <c r="BG1750" s="1098" t="str">
        <f ca="1">IF(LEFT(BD1750,2)="RF",OFFSET(Pinlist!$D$1,Chart!BC1750,0)&amp;"_"&amp;OFFSET(Pinlist!$G$1,Chart!BC1750,0),"")</f>
        <v/>
      </c>
      <c r="BH1750" s="1098"/>
      <c r="BI1750" s="178"/>
      <c r="BJ1750" s="178"/>
      <c r="BK1750" s="178"/>
      <c r="BL1750" s="178"/>
      <c r="BM1750" s="178"/>
      <c r="BN1750" s="178"/>
      <c r="BO1750" s="178"/>
      <c r="BP1750" s="178"/>
      <c r="BQ1750" s="196"/>
      <c r="BR1750" s="196"/>
      <c r="BS1750" s="196"/>
      <c r="BT1750" s="196"/>
      <c r="BU1750" s="196"/>
      <c r="BV1750" s="196"/>
      <c r="BW1750" s="178"/>
      <c r="BX1750" s="196"/>
      <c r="BY1750" s="196"/>
      <c r="BZ1750" s="196"/>
      <c r="CA1750" s="196"/>
      <c r="CB1750" s="178"/>
      <c r="CC1750" s="178"/>
      <c r="CD1750" s="202"/>
      <c r="CE1750" s="202"/>
      <c r="CF1750" s="178"/>
      <c r="CG1750" s="196"/>
      <c r="CH1750" s="178"/>
      <c r="CI1750" s="178"/>
      <c r="CJ1750" s="178"/>
      <c r="CK1750" s="178"/>
      <c r="CL1750" s="178"/>
      <c r="CM1750" s="178"/>
      <c r="CN1750" s="178"/>
      <c r="CO1750" s="178"/>
      <c r="CP1750" s="178"/>
      <c r="CQ1750" s="178"/>
      <c r="CR1750" s="178"/>
      <c r="CS1750" s="178"/>
      <c r="CT1750" s="178"/>
      <c r="CU1750" s="178"/>
      <c r="CV1750" s="178"/>
      <c r="CW1750" s="178"/>
      <c r="CX1750" s="178"/>
      <c r="CY1750" s="178"/>
      <c r="CZ1750" s="178"/>
      <c r="DA1750" s="150"/>
    </row>
    <row r="1751" spans="53:105" x14ac:dyDescent="0.2">
      <c r="BA1751" s="518">
        <f t="shared" ca="1" si="94"/>
        <v>61</v>
      </c>
      <c r="BB1751" s="174">
        <f t="shared" ca="1" si="95"/>
        <v>1688</v>
      </c>
      <c r="BC1751" s="525" t="e">
        <f ca="1">MATCH(BD1751,OFFSET(Pinlist!$A$2,BC1750*(BA1751=BA1750),0,$BM$23,1),0)+BC1750*(BA1751=BA1750)</f>
        <v>#N/A</v>
      </c>
      <c r="BD1751" s="167">
        <f t="shared" ca="1" si="96"/>
        <v>0</v>
      </c>
      <c r="BE1751" s="191" t="e">
        <f ca="1">(OFFSET(Pinlist!$E$1,BC1751,0)-$BN$16)*$BN$19</f>
        <v>#N/A</v>
      </c>
      <c r="BF1751" s="192" t="e">
        <f ca="1">(OFFSET(Pinlist!$F$1,BC1751,0)-$BO$16)*$BO$19</f>
        <v>#N/A</v>
      </c>
      <c r="BG1751" s="1098" t="str">
        <f ca="1">IF(LEFT(BD1751,2)="RF",OFFSET(Pinlist!$D$1,Chart!BC1751,0)&amp;"_"&amp;OFFSET(Pinlist!$G$1,Chart!BC1751,0),"")</f>
        <v/>
      </c>
      <c r="BH1751" s="1098"/>
      <c r="BI1751" s="178"/>
      <c r="BJ1751" s="178"/>
      <c r="BK1751" s="178"/>
      <c r="BL1751" s="178"/>
      <c r="BM1751" s="178"/>
      <c r="BN1751" s="178"/>
      <c r="BO1751" s="178"/>
      <c r="BP1751" s="178"/>
      <c r="BQ1751" s="196"/>
      <c r="BR1751" s="196"/>
      <c r="BS1751" s="196"/>
      <c r="BT1751" s="196"/>
      <c r="BU1751" s="196"/>
      <c r="BV1751" s="196"/>
      <c r="BW1751" s="178"/>
      <c r="BX1751" s="196"/>
      <c r="BY1751" s="196"/>
      <c r="BZ1751" s="196"/>
      <c r="CA1751" s="196"/>
      <c r="CB1751" s="178"/>
      <c r="CC1751" s="178"/>
      <c r="CD1751" s="202"/>
      <c r="CE1751" s="202"/>
      <c r="CF1751" s="178"/>
      <c r="CG1751" s="196"/>
      <c r="CH1751" s="178"/>
      <c r="CI1751" s="178"/>
      <c r="CJ1751" s="178"/>
      <c r="CK1751" s="178"/>
      <c r="CL1751" s="178"/>
      <c r="CM1751" s="178"/>
      <c r="CN1751" s="178"/>
      <c r="CO1751" s="178"/>
      <c r="CP1751" s="178"/>
      <c r="CQ1751" s="178"/>
      <c r="CR1751" s="178"/>
      <c r="CS1751" s="178"/>
      <c r="CT1751" s="178"/>
      <c r="CU1751" s="178"/>
      <c r="CV1751" s="178"/>
      <c r="CW1751" s="178"/>
      <c r="CX1751" s="178"/>
      <c r="CY1751" s="178"/>
      <c r="CZ1751" s="178"/>
      <c r="DA1751" s="150"/>
    </row>
    <row r="1752" spans="53:105" x14ac:dyDescent="0.2">
      <c r="BA1752" s="518">
        <f t="shared" ca="1" si="94"/>
        <v>61</v>
      </c>
      <c r="BB1752" s="174">
        <f t="shared" ca="1" si="95"/>
        <v>1689</v>
      </c>
      <c r="BC1752" s="525" t="e">
        <f ca="1">MATCH(BD1752,OFFSET(Pinlist!$A$2,BC1751*(BA1752=BA1751),0,$BM$23,1),0)+BC1751*(BA1752=BA1751)</f>
        <v>#N/A</v>
      </c>
      <c r="BD1752" s="167">
        <f t="shared" ca="1" si="96"/>
        <v>0</v>
      </c>
      <c r="BE1752" s="191" t="e">
        <f ca="1">(OFFSET(Pinlist!$E$1,BC1752,0)-$BN$16)*$BN$19</f>
        <v>#N/A</v>
      </c>
      <c r="BF1752" s="192" t="e">
        <f ca="1">(OFFSET(Pinlist!$F$1,BC1752,0)-$BO$16)*$BO$19</f>
        <v>#N/A</v>
      </c>
      <c r="BG1752" s="1098" t="str">
        <f ca="1">IF(LEFT(BD1752,2)="RF",OFFSET(Pinlist!$D$1,Chart!BC1752,0)&amp;"_"&amp;OFFSET(Pinlist!$G$1,Chart!BC1752,0),"")</f>
        <v/>
      </c>
      <c r="BH1752" s="1098"/>
      <c r="BI1752" s="178"/>
      <c r="BJ1752" s="178"/>
      <c r="BK1752" s="178"/>
      <c r="BL1752" s="178"/>
      <c r="BM1752" s="178"/>
      <c r="BN1752" s="178"/>
      <c r="BO1752" s="178"/>
      <c r="BP1752" s="178"/>
      <c r="BQ1752" s="196"/>
      <c r="BR1752" s="196"/>
      <c r="BS1752" s="196"/>
      <c r="BT1752" s="196"/>
      <c r="BU1752" s="196"/>
      <c r="BV1752" s="196"/>
      <c r="BW1752" s="178"/>
      <c r="BX1752" s="196"/>
      <c r="BY1752" s="196"/>
      <c r="BZ1752" s="196"/>
      <c r="CA1752" s="196"/>
      <c r="CB1752" s="178"/>
      <c r="CC1752" s="178"/>
      <c r="CD1752" s="202"/>
      <c r="CE1752" s="202"/>
      <c r="CF1752" s="178"/>
      <c r="CG1752" s="196"/>
      <c r="CH1752" s="178"/>
      <c r="CI1752" s="178"/>
      <c r="CJ1752" s="178"/>
      <c r="CK1752" s="178"/>
      <c r="CL1752" s="178"/>
      <c r="CM1752" s="178"/>
      <c r="CN1752" s="178"/>
      <c r="CO1752" s="178"/>
      <c r="CP1752" s="178"/>
      <c r="CQ1752" s="178"/>
      <c r="CR1752" s="178"/>
      <c r="CS1752" s="178"/>
      <c r="CT1752" s="178"/>
      <c r="CU1752" s="178"/>
      <c r="CV1752" s="178"/>
      <c r="CW1752" s="178"/>
      <c r="CX1752" s="178"/>
      <c r="CY1752" s="178"/>
      <c r="CZ1752" s="178"/>
      <c r="DA1752" s="150"/>
    </row>
    <row r="1753" spans="53:105" x14ac:dyDescent="0.2">
      <c r="BA1753" s="518">
        <f t="shared" ca="1" si="94"/>
        <v>61</v>
      </c>
      <c r="BB1753" s="174">
        <f t="shared" ca="1" si="95"/>
        <v>1690</v>
      </c>
      <c r="BC1753" s="525" t="e">
        <f ca="1">MATCH(BD1753,OFFSET(Pinlist!$A$2,BC1752*(BA1753=BA1752),0,$BM$23,1),0)+BC1752*(BA1753=BA1752)</f>
        <v>#N/A</v>
      </c>
      <c r="BD1753" s="167">
        <f t="shared" ca="1" si="96"/>
        <v>0</v>
      </c>
      <c r="BE1753" s="191" t="e">
        <f ca="1">(OFFSET(Pinlist!$E$1,BC1753,0)-$BN$16)*$BN$19</f>
        <v>#N/A</v>
      </c>
      <c r="BF1753" s="192" t="e">
        <f ca="1">(OFFSET(Pinlist!$F$1,BC1753,0)-$BO$16)*$BO$19</f>
        <v>#N/A</v>
      </c>
      <c r="BG1753" s="1098" t="str">
        <f ca="1">IF(LEFT(BD1753,2)="RF",OFFSET(Pinlist!$D$1,Chart!BC1753,0)&amp;"_"&amp;OFFSET(Pinlist!$G$1,Chart!BC1753,0),"")</f>
        <v/>
      </c>
      <c r="BH1753" s="1098"/>
      <c r="BI1753" s="178"/>
      <c r="BJ1753" s="178"/>
      <c r="BK1753" s="178"/>
      <c r="BL1753" s="178"/>
      <c r="BM1753" s="178"/>
      <c r="BN1753" s="178"/>
      <c r="BO1753" s="178"/>
      <c r="BP1753" s="178"/>
      <c r="BQ1753" s="196"/>
      <c r="BR1753" s="196"/>
      <c r="BS1753" s="196"/>
      <c r="BT1753" s="196"/>
      <c r="BU1753" s="196"/>
      <c r="BV1753" s="196"/>
      <c r="BW1753" s="178"/>
      <c r="BX1753" s="196"/>
      <c r="BY1753" s="196"/>
      <c r="BZ1753" s="196"/>
      <c r="CA1753" s="196"/>
      <c r="CB1753" s="178"/>
      <c r="CC1753" s="178"/>
      <c r="CD1753" s="202"/>
      <c r="CE1753" s="202"/>
      <c r="CF1753" s="178"/>
      <c r="CG1753" s="196"/>
      <c r="CH1753" s="178"/>
      <c r="CI1753" s="178"/>
      <c r="CJ1753" s="178"/>
      <c r="CK1753" s="178"/>
      <c r="CL1753" s="178"/>
      <c r="CM1753" s="178"/>
      <c r="CN1753" s="178"/>
      <c r="CO1753" s="178"/>
      <c r="CP1753" s="178"/>
      <c r="CQ1753" s="178"/>
      <c r="CR1753" s="178"/>
      <c r="CS1753" s="178"/>
      <c r="CT1753" s="178"/>
      <c r="CU1753" s="178"/>
      <c r="CV1753" s="178"/>
      <c r="CW1753" s="178"/>
      <c r="CX1753" s="178"/>
      <c r="CY1753" s="178"/>
      <c r="CZ1753" s="178"/>
      <c r="DA1753" s="150"/>
    </row>
    <row r="1754" spans="53:105" x14ac:dyDescent="0.2">
      <c r="BA1754" s="518">
        <f t="shared" ca="1" si="94"/>
        <v>61</v>
      </c>
      <c r="BB1754" s="174">
        <f t="shared" ca="1" si="95"/>
        <v>1691</v>
      </c>
      <c r="BC1754" s="525" t="e">
        <f ca="1">MATCH(BD1754,OFFSET(Pinlist!$A$2,BC1753*(BA1754=BA1753),0,$BM$23,1),0)+BC1753*(BA1754=BA1753)</f>
        <v>#N/A</v>
      </c>
      <c r="BD1754" s="167">
        <f t="shared" ca="1" si="96"/>
        <v>0</v>
      </c>
      <c r="BE1754" s="191" t="e">
        <f ca="1">(OFFSET(Pinlist!$E$1,BC1754,0)-$BN$16)*$BN$19</f>
        <v>#N/A</v>
      </c>
      <c r="BF1754" s="192" t="e">
        <f ca="1">(OFFSET(Pinlist!$F$1,BC1754,0)-$BO$16)*$BO$19</f>
        <v>#N/A</v>
      </c>
      <c r="BG1754" s="1098" t="str">
        <f ca="1">IF(LEFT(BD1754,2)="RF",OFFSET(Pinlist!$D$1,Chart!BC1754,0)&amp;"_"&amp;OFFSET(Pinlist!$G$1,Chart!BC1754,0),"")</f>
        <v/>
      </c>
      <c r="BH1754" s="1098"/>
      <c r="BI1754" s="178"/>
      <c r="BJ1754" s="178"/>
      <c r="BK1754" s="178"/>
      <c r="BL1754" s="178"/>
      <c r="BM1754" s="178"/>
      <c r="BN1754" s="178"/>
      <c r="BO1754" s="178"/>
      <c r="BP1754" s="178"/>
      <c r="BQ1754" s="196"/>
      <c r="BR1754" s="196"/>
      <c r="BS1754" s="196"/>
      <c r="BT1754" s="196"/>
      <c r="BU1754" s="196"/>
      <c r="BV1754" s="196"/>
      <c r="BW1754" s="178"/>
      <c r="BX1754" s="196"/>
      <c r="BY1754" s="196"/>
      <c r="BZ1754" s="196"/>
      <c r="CA1754" s="196"/>
      <c r="CB1754" s="178"/>
      <c r="CC1754" s="178"/>
      <c r="CD1754" s="202"/>
      <c r="CE1754" s="202"/>
      <c r="CF1754" s="178"/>
      <c r="CG1754" s="196"/>
      <c r="CH1754" s="178"/>
      <c r="CI1754" s="178"/>
      <c r="CJ1754" s="178"/>
      <c r="CK1754" s="178"/>
      <c r="CL1754" s="178"/>
      <c r="CM1754" s="178"/>
      <c r="CN1754" s="178"/>
      <c r="CO1754" s="178"/>
      <c r="CP1754" s="178"/>
      <c r="CQ1754" s="178"/>
      <c r="CR1754" s="178"/>
      <c r="CS1754" s="178"/>
      <c r="CT1754" s="178"/>
      <c r="CU1754" s="178"/>
      <c r="CV1754" s="178"/>
      <c r="CW1754" s="178"/>
      <c r="CX1754" s="178"/>
      <c r="CY1754" s="178"/>
      <c r="CZ1754" s="178"/>
      <c r="DA1754" s="150"/>
    </row>
    <row r="1755" spans="53:105" x14ac:dyDescent="0.2">
      <c r="BA1755" s="518">
        <f t="shared" ca="1" si="94"/>
        <v>61</v>
      </c>
      <c r="BB1755" s="174">
        <f t="shared" ca="1" si="95"/>
        <v>1692</v>
      </c>
      <c r="BC1755" s="525" t="e">
        <f ca="1">MATCH(BD1755,OFFSET(Pinlist!$A$2,BC1754*(BA1755=BA1754),0,$BM$23,1),0)+BC1754*(BA1755=BA1754)</f>
        <v>#N/A</v>
      </c>
      <c r="BD1755" s="167">
        <f t="shared" ca="1" si="96"/>
        <v>0</v>
      </c>
      <c r="BE1755" s="191" t="e">
        <f ca="1">(OFFSET(Pinlist!$E$1,BC1755,0)-$BN$16)*$BN$19</f>
        <v>#N/A</v>
      </c>
      <c r="BF1755" s="192" t="e">
        <f ca="1">(OFFSET(Pinlist!$F$1,BC1755,0)-$BO$16)*$BO$19</f>
        <v>#N/A</v>
      </c>
      <c r="BG1755" s="1098" t="str">
        <f ca="1">IF(LEFT(BD1755,2)="RF",OFFSET(Pinlist!$D$1,Chart!BC1755,0)&amp;"_"&amp;OFFSET(Pinlist!$G$1,Chart!BC1755,0),"")</f>
        <v/>
      </c>
      <c r="BH1755" s="1098"/>
      <c r="BI1755" s="178"/>
      <c r="BJ1755" s="178"/>
      <c r="BK1755" s="178"/>
      <c r="BL1755" s="178"/>
      <c r="BM1755" s="178"/>
      <c r="BN1755" s="178"/>
      <c r="BO1755" s="178"/>
      <c r="BP1755" s="178"/>
      <c r="BQ1755" s="196"/>
      <c r="BR1755" s="196"/>
      <c r="BS1755" s="196"/>
      <c r="BT1755" s="196"/>
      <c r="BU1755" s="196"/>
      <c r="BV1755" s="196"/>
      <c r="BW1755" s="178"/>
      <c r="BX1755" s="196"/>
      <c r="BY1755" s="196"/>
      <c r="BZ1755" s="196"/>
      <c r="CA1755" s="196"/>
      <c r="CB1755" s="178"/>
      <c r="CC1755" s="178"/>
      <c r="CD1755" s="202"/>
      <c r="CE1755" s="202"/>
      <c r="CF1755" s="178"/>
      <c r="CG1755" s="196"/>
      <c r="CH1755" s="178"/>
      <c r="CI1755" s="178"/>
      <c r="CJ1755" s="178"/>
      <c r="CK1755" s="178"/>
      <c r="CL1755" s="178"/>
      <c r="CM1755" s="178"/>
      <c r="CN1755" s="178"/>
      <c r="CO1755" s="178"/>
      <c r="CP1755" s="178"/>
      <c r="CQ1755" s="178"/>
      <c r="CR1755" s="178"/>
      <c r="CS1755" s="178"/>
      <c r="CT1755" s="178"/>
      <c r="CU1755" s="178"/>
      <c r="CV1755" s="178"/>
      <c r="CW1755" s="178"/>
      <c r="CX1755" s="178"/>
      <c r="CY1755" s="178"/>
      <c r="CZ1755" s="178"/>
      <c r="DA1755" s="150"/>
    </row>
    <row r="1756" spans="53:105" x14ac:dyDescent="0.2">
      <c r="BA1756" s="518">
        <f t="shared" ca="1" si="94"/>
        <v>61</v>
      </c>
      <c r="BB1756" s="174">
        <f t="shared" ca="1" si="95"/>
        <v>1693</v>
      </c>
      <c r="BC1756" s="525" t="e">
        <f ca="1">MATCH(BD1756,OFFSET(Pinlist!$A$2,BC1755*(BA1756=BA1755),0,$BM$23,1),0)+BC1755*(BA1756=BA1755)</f>
        <v>#N/A</v>
      </c>
      <c r="BD1756" s="167">
        <f t="shared" ca="1" si="96"/>
        <v>0</v>
      </c>
      <c r="BE1756" s="191" t="e">
        <f ca="1">(OFFSET(Pinlist!$E$1,BC1756,0)-$BN$16)*$BN$19</f>
        <v>#N/A</v>
      </c>
      <c r="BF1756" s="192" t="e">
        <f ca="1">(OFFSET(Pinlist!$F$1,BC1756,0)-$BO$16)*$BO$19</f>
        <v>#N/A</v>
      </c>
      <c r="BG1756" s="1098" t="str">
        <f ca="1">IF(LEFT(BD1756,2)="RF",OFFSET(Pinlist!$D$1,Chart!BC1756,0)&amp;"_"&amp;OFFSET(Pinlist!$G$1,Chart!BC1756,0),"")</f>
        <v/>
      </c>
      <c r="BH1756" s="1098"/>
      <c r="BI1756" s="178"/>
      <c r="BJ1756" s="178"/>
      <c r="BK1756" s="178"/>
      <c r="BL1756" s="178"/>
      <c r="BM1756" s="178"/>
      <c r="BN1756" s="178"/>
      <c r="BO1756" s="178"/>
      <c r="BP1756" s="178"/>
      <c r="BQ1756" s="196"/>
      <c r="BR1756" s="196"/>
      <c r="BS1756" s="196"/>
      <c r="BT1756" s="196"/>
      <c r="BU1756" s="196"/>
      <c r="BV1756" s="196"/>
      <c r="BW1756" s="178"/>
      <c r="BX1756" s="196"/>
      <c r="BY1756" s="196"/>
      <c r="BZ1756" s="196"/>
      <c r="CA1756" s="196"/>
      <c r="CB1756" s="178"/>
      <c r="CC1756" s="178"/>
      <c r="CD1756" s="202"/>
      <c r="CE1756" s="202"/>
      <c r="CF1756" s="178"/>
      <c r="CG1756" s="196"/>
      <c r="CH1756" s="178"/>
      <c r="CI1756" s="178"/>
      <c r="CJ1756" s="178"/>
      <c r="CK1756" s="178"/>
      <c r="CL1756" s="178"/>
      <c r="CM1756" s="178"/>
      <c r="CN1756" s="178"/>
      <c r="CO1756" s="178"/>
      <c r="CP1756" s="178"/>
      <c r="CQ1756" s="178"/>
      <c r="CR1756" s="178"/>
      <c r="CS1756" s="178"/>
      <c r="CT1756" s="178"/>
      <c r="CU1756" s="178"/>
      <c r="CV1756" s="178"/>
      <c r="CW1756" s="178"/>
      <c r="CX1756" s="178"/>
      <c r="CY1756" s="178"/>
      <c r="CZ1756" s="178"/>
      <c r="DA1756" s="150"/>
    </row>
    <row r="1757" spans="53:105" x14ac:dyDescent="0.2">
      <c r="BA1757" s="518">
        <f t="shared" ca="1" si="94"/>
        <v>61</v>
      </c>
      <c r="BB1757" s="174">
        <f t="shared" ca="1" si="95"/>
        <v>1694</v>
      </c>
      <c r="BC1757" s="525" t="e">
        <f ca="1">MATCH(BD1757,OFFSET(Pinlist!$A$2,BC1756*(BA1757=BA1756),0,$BM$23,1),0)+BC1756*(BA1757=BA1756)</f>
        <v>#N/A</v>
      </c>
      <c r="BD1757" s="167">
        <f t="shared" ca="1" si="96"/>
        <v>0</v>
      </c>
      <c r="BE1757" s="191" t="e">
        <f ca="1">(OFFSET(Pinlist!$E$1,BC1757,0)-$BN$16)*$BN$19</f>
        <v>#N/A</v>
      </c>
      <c r="BF1757" s="192" t="e">
        <f ca="1">(OFFSET(Pinlist!$F$1,BC1757,0)-$BO$16)*$BO$19</f>
        <v>#N/A</v>
      </c>
      <c r="BG1757" s="1098" t="str">
        <f ca="1">IF(LEFT(BD1757,2)="RF",OFFSET(Pinlist!$D$1,Chart!BC1757,0)&amp;"_"&amp;OFFSET(Pinlist!$G$1,Chart!BC1757,0),"")</f>
        <v/>
      </c>
      <c r="BH1757" s="1098"/>
      <c r="BI1757" s="178"/>
      <c r="BJ1757" s="178"/>
      <c r="BK1757" s="178"/>
      <c r="BL1757" s="178"/>
      <c r="BM1757" s="178"/>
      <c r="BN1757" s="178"/>
      <c r="BO1757" s="178"/>
      <c r="BP1757" s="178"/>
      <c r="BQ1757" s="196"/>
      <c r="BR1757" s="196"/>
      <c r="BS1757" s="196"/>
      <c r="BT1757" s="196"/>
      <c r="BU1757" s="196"/>
      <c r="BV1757" s="196"/>
      <c r="BW1757" s="178"/>
      <c r="BX1757" s="196"/>
      <c r="BY1757" s="196"/>
      <c r="BZ1757" s="196"/>
      <c r="CA1757" s="196"/>
      <c r="CB1757" s="178"/>
      <c r="CC1757" s="178"/>
      <c r="CD1757" s="202"/>
      <c r="CE1757" s="202"/>
      <c r="CF1757" s="178"/>
      <c r="CG1757" s="196"/>
      <c r="CH1757" s="178"/>
      <c r="CI1757" s="178"/>
      <c r="CJ1757" s="178"/>
      <c r="CK1757" s="178"/>
      <c r="CL1757" s="178"/>
      <c r="CM1757" s="178"/>
      <c r="CN1757" s="178"/>
      <c r="CO1757" s="178"/>
      <c r="CP1757" s="178"/>
      <c r="CQ1757" s="178"/>
      <c r="CR1757" s="178"/>
      <c r="CS1757" s="178"/>
      <c r="CT1757" s="178"/>
      <c r="CU1757" s="178"/>
      <c r="CV1757" s="178"/>
      <c r="CW1757" s="178"/>
      <c r="CX1757" s="178"/>
      <c r="CY1757" s="178"/>
      <c r="CZ1757" s="178"/>
      <c r="DA1757" s="150"/>
    </row>
    <row r="1758" spans="53:105" x14ac:dyDescent="0.2">
      <c r="BA1758" s="518">
        <f t="shared" ca="1" si="94"/>
        <v>61</v>
      </c>
      <c r="BB1758" s="174">
        <f t="shared" ca="1" si="95"/>
        <v>1695</v>
      </c>
      <c r="BC1758" s="525" t="e">
        <f ca="1">MATCH(BD1758,OFFSET(Pinlist!$A$2,BC1757*(BA1758=BA1757),0,$BM$23,1),0)+BC1757*(BA1758=BA1757)</f>
        <v>#N/A</v>
      </c>
      <c r="BD1758" s="167">
        <f t="shared" ca="1" si="96"/>
        <v>0</v>
      </c>
      <c r="BE1758" s="191" t="e">
        <f ca="1">(OFFSET(Pinlist!$E$1,BC1758,0)-$BN$16)*$BN$19</f>
        <v>#N/A</v>
      </c>
      <c r="BF1758" s="192" t="e">
        <f ca="1">(OFFSET(Pinlist!$F$1,BC1758,0)-$BO$16)*$BO$19</f>
        <v>#N/A</v>
      </c>
      <c r="BG1758" s="1098" t="str">
        <f ca="1">IF(LEFT(BD1758,2)="RF",OFFSET(Pinlist!$D$1,Chart!BC1758,0)&amp;"_"&amp;OFFSET(Pinlist!$G$1,Chart!BC1758,0),"")</f>
        <v/>
      </c>
      <c r="BH1758" s="1098"/>
      <c r="BI1758" s="178"/>
      <c r="BJ1758" s="178"/>
      <c r="BK1758" s="178"/>
      <c r="BL1758" s="178"/>
      <c r="BM1758" s="178"/>
      <c r="BN1758" s="178"/>
      <c r="BO1758" s="178"/>
      <c r="BP1758" s="178"/>
      <c r="BQ1758" s="196"/>
      <c r="BR1758" s="196"/>
      <c r="BS1758" s="196"/>
      <c r="BT1758" s="196"/>
      <c r="BU1758" s="196"/>
      <c r="BV1758" s="196"/>
      <c r="BW1758" s="178"/>
      <c r="BX1758" s="196"/>
      <c r="BY1758" s="196"/>
      <c r="BZ1758" s="196"/>
      <c r="CA1758" s="196"/>
      <c r="CB1758" s="178"/>
      <c r="CC1758" s="178"/>
      <c r="CD1758" s="202"/>
      <c r="CE1758" s="202"/>
      <c r="CF1758" s="178"/>
      <c r="CG1758" s="196"/>
      <c r="CH1758" s="178"/>
      <c r="CI1758" s="178"/>
      <c r="CJ1758" s="178"/>
      <c r="CK1758" s="178"/>
      <c r="CL1758" s="178"/>
      <c r="CM1758" s="178"/>
      <c r="CN1758" s="178"/>
      <c r="CO1758" s="178"/>
      <c r="CP1758" s="178"/>
      <c r="CQ1758" s="178"/>
      <c r="CR1758" s="178"/>
      <c r="CS1758" s="178"/>
      <c r="CT1758" s="178"/>
      <c r="CU1758" s="178"/>
      <c r="CV1758" s="178"/>
      <c r="CW1758" s="178"/>
      <c r="CX1758" s="178"/>
      <c r="CY1758" s="178"/>
      <c r="CZ1758" s="178"/>
      <c r="DA1758" s="150"/>
    </row>
    <row r="1759" spans="53:105" x14ac:dyDescent="0.2">
      <c r="BA1759" s="518">
        <f t="shared" ca="1" si="94"/>
        <v>61</v>
      </c>
      <c r="BB1759" s="174">
        <f t="shared" ca="1" si="95"/>
        <v>1696</v>
      </c>
      <c r="BC1759" s="525" t="e">
        <f ca="1">MATCH(BD1759,OFFSET(Pinlist!$A$2,BC1758*(BA1759=BA1758),0,$BM$23,1),0)+BC1758*(BA1759=BA1758)</f>
        <v>#N/A</v>
      </c>
      <c r="BD1759" s="167">
        <f t="shared" ca="1" si="96"/>
        <v>0</v>
      </c>
      <c r="BE1759" s="191" t="e">
        <f ca="1">(OFFSET(Pinlist!$E$1,BC1759,0)-$BN$16)*$BN$19</f>
        <v>#N/A</v>
      </c>
      <c r="BF1759" s="192" t="e">
        <f ca="1">(OFFSET(Pinlist!$F$1,BC1759,0)-$BO$16)*$BO$19</f>
        <v>#N/A</v>
      </c>
      <c r="BG1759" s="1098" t="str">
        <f ca="1">IF(LEFT(BD1759,2)="RF",OFFSET(Pinlist!$D$1,Chart!BC1759,0)&amp;"_"&amp;OFFSET(Pinlist!$G$1,Chart!BC1759,0),"")</f>
        <v/>
      </c>
      <c r="BH1759" s="1098"/>
      <c r="BI1759" s="178"/>
      <c r="BJ1759" s="178"/>
      <c r="BK1759" s="178"/>
      <c r="BL1759" s="178"/>
      <c r="BM1759" s="178"/>
      <c r="BN1759" s="178"/>
      <c r="BO1759" s="178"/>
      <c r="BP1759" s="178"/>
      <c r="BQ1759" s="196"/>
      <c r="BR1759" s="196"/>
      <c r="BS1759" s="196"/>
      <c r="BT1759" s="196"/>
      <c r="BU1759" s="196"/>
      <c r="BV1759" s="196"/>
      <c r="BW1759" s="178"/>
      <c r="BX1759" s="196"/>
      <c r="BY1759" s="196"/>
      <c r="BZ1759" s="196"/>
      <c r="CA1759" s="196"/>
      <c r="CB1759" s="178"/>
      <c r="CC1759" s="178"/>
      <c r="CD1759" s="202"/>
      <c r="CE1759" s="202"/>
      <c r="CF1759" s="178"/>
      <c r="CG1759" s="196"/>
      <c r="CH1759" s="178"/>
      <c r="CI1759" s="178"/>
      <c r="CJ1759" s="178"/>
      <c r="CK1759" s="178"/>
      <c r="CL1759" s="178"/>
      <c r="CM1759" s="178"/>
      <c r="CN1759" s="178"/>
      <c r="CO1759" s="178"/>
      <c r="CP1759" s="178"/>
      <c r="CQ1759" s="178"/>
      <c r="CR1759" s="178"/>
      <c r="CS1759" s="178"/>
      <c r="CT1759" s="178"/>
      <c r="CU1759" s="178"/>
      <c r="CV1759" s="178"/>
      <c r="CW1759" s="178"/>
      <c r="CX1759" s="178"/>
      <c r="CY1759" s="178"/>
      <c r="CZ1759" s="178"/>
      <c r="DA1759" s="150"/>
    </row>
    <row r="1760" spans="53:105" x14ac:dyDescent="0.2">
      <c r="BA1760" s="518">
        <f t="shared" ca="1" si="94"/>
        <v>61</v>
      </c>
      <c r="BB1760" s="174">
        <f t="shared" ca="1" si="95"/>
        <v>1697</v>
      </c>
      <c r="BC1760" s="525" t="e">
        <f ca="1">MATCH(BD1760,OFFSET(Pinlist!$A$2,BC1759*(BA1760=BA1759),0,$BM$23,1),0)+BC1759*(BA1760=BA1759)</f>
        <v>#N/A</v>
      </c>
      <c r="BD1760" s="167">
        <f t="shared" ca="1" si="96"/>
        <v>0</v>
      </c>
      <c r="BE1760" s="191" t="e">
        <f ca="1">(OFFSET(Pinlist!$E$1,BC1760,0)-$BN$16)*$BN$19</f>
        <v>#N/A</v>
      </c>
      <c r="BF1760" s="192" t="e">
        <f ca="1">(OFFSET(Pinlist!$F$1,BC1760,0)-$BO$16)*$BO$19</f>
        <v>#N/A</v>
      </c>
      <c r="BG1760" s="1098" t="str">
        <f ca="1">IF(LEFT(BD1760,2)="RF",OFFSET(Pinlist!$D$1,Chart!BC1760,0)&amp;"_"&amp;OFFSET(Pinlist!$G$1,Chart!BC1760,0),"")</f>
        <v/>
      </c>
      <c r="BH1760" s="1098"/>
      <c r="BI1760" s="178"/>
      <c r="BJ1760" s="178"/>
      <c r="BK1760" s="178"/>
      <c r="BL1760" s="178"/>
      <c r="BM1760" s="178"/>
      <c r="BN1760" s="178"/>
      <c r="BO1760" s="178"/>
      <c r="BP1760" s="178"/>
      <c r="BQ1760" s="196"/>
      <c r="BR1760" s="196"/>
      <c r="BS1760" s="196"/>
      <c r="BT1760" s="196"/>
      <c r="BU1760" s="196"/>
      <c r="BV1760" s="196"/>
      <c r="BW1760" s="178"/>
      <c r="BX1760" s="196"/>
      <c r="BY1760" s="196"/>
      <c r="BZ1760" s="196"/>
      <c r="CA1760" s="196"/>
      <c r="CB1760" s="178"/>
      <c r="CC1760" s="178"/>
      <c r="CD1760" s="202"/>
      <c r="CE1760" s="202"/>
      <c r="CF1760" s="178"/>
      <c r="CG1760" s="196"/>
      <c r="CH1760" s="178"/>
      <c r="CI1760" s="178"/>
      <c r="CJ1760" s="178"/>
      <c r="CK1760" s="178"/>
      <c r="CL1760" s="178"/>
      <c r="CM1760" s="178"/>
      <c r="CN1760" s="178"/>
      <c r="CO1760" s="178"/>
      <c r="CP1760" s="178"/>
      <c r="CQ1760" s="178"/>
      <c r="CR1760" s="178"/>
      <c r="CS1760" s="178"/>
      <c r="CT1760" s="178"/>
      <c r="CU1760" s="178"/>
      <c r="CV1760" s="178"/>
      <c r="CW1760" s="178"/>
      <c r="CX1760" s="178"/>
      <c r="CY1760" s="178"/>
      <c r="CZ1760" s="178"/>
      <c r="DA1760" s="150"/>
    </row>
    <row r="1761" spans="53:105" x14ac:dyDescent="0.2">
      <c r="BA1761" s="518">
        <f t="shared" ca="1" si="94"/>
        <v>61</v>
      </c>
      <c r="BB1761" s="174">
        <f t="shared" ca="1" si="95"/>
        <v>1698</v>
      </c>
      <c r="BC1761" s="525" t="e">
        <f ca="1">MATCH(BD1761,OFFSET(Pinlist!$A$2,BC1760*(BA1761=BA1760),0,$BM$23,1),0)+BC1760*(BA1761=BA1760)</f>
        <v>#N/A</v>
      </c>
      <c r="BD1761" s="167">
        <f t="shared" ca="1" si="96"/>
        <v>0</v>
      </c>
      <c r="BE1761" s="191" t="e">
        <f ca="1">(OFFSET(Pinlist!$E$1,BC1761,0)-$BN$16)*$BN$19</f>
        <v>#N/A</v>
      </c>
      <c r="BF1761" s="192" t="e">
        <f ca="1">(OFFSET(Pinlist!$F$1,BC1761,0)-$BO$16)*$BO$19</f>
        <v>#N/A</v>
      </c>
      <c r="BG1761" s="1098" t="str">
        <f ca="1">IF(LEFT(BD1761,2)="RF",OFFSET(Pinlist!$D$1,Chart!BC1761,0)&amp;"_"&amp;OFFSET(Pinlist!$G$1,Chart!BC1761,0),"")</f>
        <v/>
      </c>
      <c r="BH1761" s="1098"/>
      <c r="BI1761" s="178"/>
      <c r="BJ1761" s="178"/>
      <c r="BK1761" s="178"/>
      <c r="BL1761" s="178"/>
      <c r="BM1761" s="178"/>
      <c r="BN1761" s="178"/>
      <c r="BO1761" s="178"/>
      <c r="BP1761" s="178"/>
      <c r="BQ1761" s="196"/>
      <c r="BR1761" s="196"/>
      <c r="BS1761" s="196"/>
      <c r="BT1761" s="196"/>
      <c r="BU1761" s="196"/>
      <c r="BV1761" s="196"/>
      <c r="BW1761" s="178"/>
      <c r="BX1761" s="196"/>
      <c r="BY1761" s="196"/>
      <c r="BZ1761" s="196"/>
      <c r="CA1761" s="196"/>
      <c r="CB1761" s="178"/>
      <c r="CC1761" s="178"/>
      <c r="CD1761" s="202"/>
      <c r="CE1761" s="202"/>
      <c r="CF1761" s="178"/>
      <c r="CG1761" s="196"/>
      <c r="CH1761" s="178"/>
      <c r="CI1761" s="178"/>
      <c r="CJ1761" s="178"/>
      <c r="CK1761" s="178"/>
      <c r="CL1761" s="178"/>
      <c r="CM1761" s="178"/>
      <c r="CN1761" s="178"/>
      <c r="CO1761" s="178"/>
      <c r="CP1761" s="178"/>
      <c r="CQ1761" s="178"/>
      <c r="CR1761" s="178"/>
      <c r="CS1761" s="178"/>
      <c r="CT1761" s="178"/>
      <c r="CU1761" s="178"/>
      <c r="CV1761" s="178"/>
      <c r="CW1761" s="178"/>
      <c r="CX1761" s="178"/>
      <c r="CY1761" s="178"/>
      <c r="CZ1761" s="178"/>
      <c r="DA1761" s="150"/>
    </row>
    <row r="1762" spans="53:105" x14ac:dyDescent="0.2">
      <c r="BA1762" s="518">
        <f t="shared" ca="1" si="94"/>
        <v>61</v>
      </c>
      <c r="BB1762" s="174">
        <f t="shared" ca="1" si="95"/>
        <v>1699</v>
      </c>
      <c r="BC1762" s="525" t="e">
        <f ca="1">MATCH(BD1762,OFFSET(Pinlist!$A$2,BC1761*(BA1762=BA1761),0,$BM$23,1),0)+BC1761*(BA1762=BA1761)</f>
        <v>#N/A</v>
      </c>
      <c r="BD1762" s="167">
        <f t="shared" ca="1" si="96"/>
        <v>0</v>
      </c>
      <c r="BE1762" s="191" t="e">
        <f ca="1">(OFFSET(Pinlist!$E$1,BC1762,0)-$BN$16)*$BN$19</f>
        <v>#N/A</v>
      </c>
      <c r="BF1762" s="192" t="e">
        <f ca="1">(OFFSET(Pinlist!$F$1,BC1762,0)-$BO$16)*$BO$19</f>
        <v>#N/A</v>
      </c>
      <c r="BG1762" s="1098" t="str">
        <f ca="1">IF(LEFT(BD1762,2)="RF",OFFSET(Pinlist!$D$1,Chart!BC1762,0)&amp;"_"&amp;OFFSET(Pinlist!$G$1,Chart!BC1762,0),"")</f>
        <v/>
      </c>
      <c r="BH1762" s="1098"/>
      <c r="BI1762" s="178"/>
      <c r="BJ1762" s="178"/>
      <c r="BK1762" s="178"/>
      <c r="BL1762" s="178"/>
      <c r="BM1762" s="178"/>
      <c r="BN1762" s="178"/>
      <c r="BO1762" s="178"/>
      <c r="BP1762" s="178"/>
      <c r="BQ1762" s="196"/>
      <c r="BR1762" s="196"/>
      <c r="BS1762" s="196"/>
      <c r="BT1762" s="196"/>
      <c r="BU1762" s="196"/>
      <c r="BV1762" s="196"/>
      <c r="BW1762" s="178"/>
      <c r="BX1762" s="196"/>
      <c r="BY1762" s="196"/>
      <c r="BZ1762" s="196"/>
      <c r="CA1762" s="196"/>
      <c r="CB1762" s="178"/>
      <c r="CC1762" s="178"/>
      <c r="CD1762" s="202"/>
      <c r="CE1762" s="202"/>
      <c r="CF1762" s="178"/>
      <c r="CG1762" s="196"/>
      <c r="CH1762" s="178"/>
      <c r="CI1762" s="178"/>
      <c r="CJ1762" s="178"/>
      <c r="CK1762" s="178"/>
      <c r="CL1762" s="178"/>
      <c r="CM1762" s="178"/>
      <c r="CN1762" s="178"/>
      <c r="CO1762" s="178"/>
      <c r="CP1762" s="178"/>
      <c r="CQ1762" s="178"/>
      <c r="CR1762" s="178"/>
      <c r="CS1762" s="178"/>
      <c r="CT1762" s="178"/>
      <c r="CU1762" s="178"/>
      <c r="CV1762" s="178"/>
      <c r="CW1762" s="178"/>
      <c r="CX1762" s="178"/>
      <c r="CY1762" s="178"/>
      <c r="CZ1762" s="178"/>
      <c r="DA1762" s="150"/>
    </row>
    <row r="1763" spans="53:105" x14ac:dyDescent="0.2">
      <c r="BA1763" s="518">
        <f t="shared" ca="1" si="94"/>
        <v>61</v>
      </c>
      <c r="BB1763" s="174">
        <f t="shared" ca="1" si="95"/>
        <v>1700</v>
      </c>
      <c r="BC1763" s="525" t="e">
        <f ca="1">MATCH(BD1763,OFFSET(Pinlist!$A$2,BC1762*(BA1763=BA1762),0,$BM$23,1),0)+BC1762*(BA1763=BA1762)</f>
        <v>#N/A</v>
      </c>
      <c r="BD1763" s="167">
        <f t="shared" ca="1" si="96"/>
        <v>0</v>
      </c>
      <c r="BE1763" s="191" t="e">
        <f ca="1">(OFFSET(Pinlist!$E$1,BC1763,0)-$BN$16)*$BN$19</f>
        <v>#N/A</v>
      </c>
      <c r="BF1763" s="192" t="e">
        <f ca="1">(OFFSET(Pinlist!$F$1,BC1763,0)-$BO$16)*$BO$19</f>
        <v>#N/A</v>
      </c>
      <c r="BG1763" s="1098" t="str">
        <f ca="1">IF(LEFT(BD1763,2)="RF",OFFSET(Pinlist!$D$1,Chart!BC1763,0)&amp;"_"&amp;OFFSET(Pinlist!$G$1,Chart!BC1763,0),"")</f>
        <v/>
      </c>
      <c r="BH1763" s="1098"/>
      <c r="BI1763" s="178"/>
      <c r="BJ1763" s="178"/>
      <c r="BK1763" s="178"/>
      <c r="BL1763" s="178"/>
      <c r="BM1763" s="178"/>
      <c r="BN1763" s="178"/>
      <c r="BO1763" s="178"/>
      <c r="BP1763" s="178"/>
      <c r="BQ1763" s="196"/>
      <c r="BR1763" s="196"/>
      <c r="BS1763" s="196"/>
      <c r="BT1763" s="196"/>
      <c r="BU1763" s="196"/>
      <c r="BV1763" s="196"/>
      <c r="BW1763" s="178"/>
      <c r="BX1763" s="196"/>
      <c r="BY1763" s="196"/>
      <c r="BZ1763" s="196"/>
      <c r="CA1763" s="196"/>
      <c r="CB1763" s="178"/>
      <c r="CC1763" s="178"/>
      <c r="CD1763" s="202"/>
      <c r="CE1763" s="202"/>
      <c r="CF1763" s="178"/>
      <c r="CG1763" s="196"/>
      <c r="CH1763" s="178"/>
      <c r="CI1763" s="178"/>
      <c r="CJ1763" s="178"/>
      <c r="CK1763" s="178"/>
      <c r="CL1763" s="178"/>
      <c r="CM1763" s="178"/>
      <c r="CN1763" s="178"/>
      <c r="CO1763" s="178"/>
      <c r="CP1763" s="178"/>
      <c r="CQ1763" s="178"/>
      <c r="CR1763" s="178"/>
      <c r="CS1763" s="178"/>
      <c r="CT1763" s="178"/>
      <c r="CU1763" s="178"/>
      <c r="CV1763" s="178"/>
      <c r="CW1763" s="178"/>
      <c r="CX1763" s="178"/>
      <c r="CY1763" s="178"/>
      <c r="CZ1763" s="178"/>
      <c r="DA1763" s="150"/>
    </row>
    <row r="1764" spans="53:105" x14ac:dyDescent="0.2">
      <c r="BA1764" s="518">
        <f t="shared" ca="1" si="94"/>
        <v>61</v>
      </c>
      <c r="BB1764" s="174">
        <f t="shared" ca="1" si="95"/>
        <v>1701</v>
      </c>
      <c r="BC1764" s="525" t="e">
        <f ca="1">MATCH(BD1764,OFFSET(Pinlist!$A$2,BC1763*(BA1764=BA1763),0,$BM$23,1),0)+BC1763*(BA1764=BA1763)</f>
        <v>#N/A</v>
      </c>
      <c r="BD1764" s="167">
        <f t="shared" ca="1" si="96"/>
        <v>0</v>
      </c>
      <c r="BE1764" s="191" t="e">
        <f ca="1">(OFFSET(Pinlist!$E$1,BC1764,0)-$BN$16)*$BN$19</f>
        <v>#N/A</v>
      </c>
      <c r="BF1764" s="192" t="e">
        <f ca="1">(OFFSET(Pinlist!$F$1,BC1764,0)-$BO$16)*$BO$19</f>
        <v>#N/A</v>
      </c>
      <c r="BG1764" s="1098" t="str">
        <f ca="1">IF(LEFT(BD1764,2)="RF",OFFSET(Pinlist!$D$1,Chart!BC1764,0)&amp;"_"&amp;OFFSET(Pinlist!$G$1,Chart!BC1764,0),"")</f>
        <v/>
      </c>
      <c r="BH1764" s="1098"/>
      <c r="BI1764" s="178"/>
      <c r="BJ1764" s="178"/>
      <c r="BK1764" s="178"/>
      <c r="BL1764" s="178"/>
      <c r="BM1764" s="178"/>
      <c r="BN1764" s="178"/>
      <c r="BO1764" s="178"/>
      <c r="BP1764" s="178"/>
      <c r="BQ1764" s="196"/>
      <c r="BR1764" s="196"/>
      <c r="BS1764" s="196"/>
      <c r="BT1764" s="196"/>
      <c r="BU1764" s="196"/>
      <c r="BV1764" s="196"/>
      <c r="BW1764" s="178"/>
      <c r="BX1764" s="196"/>
      <c r="BY1764" s="196"/>
      <c r="BZ1764" s="196"/>
      <c r="CA1764" s="196"/>
      <c r="CB1764" s="178"/>
      <c r="CC1764" s="178"/>
      <c r="CD1764" s="202"/>
      <c r="CE1764" s="202"/>
      <c r="CF1764" s="178"/>
      <c r="CG1764" s="196"/>
      <c r="CH1764" s="178"/>
      <c r="CI1764" s="178"/>
      <c r="CJ1764" s="178"/>
      <c r="CK1764" s="178"/>
      <c r="CL1764" s="178"/>
      <c r="CM1764" s="178"/>
      <c r="CN1764" s="178"/>
      <c r="CO1764" s="178"/>
      <c r="CP1764" s="178"/>
      <c r="CQ1764" s="178"/>
      <c r="CR1764" s="178"/>
      <c r="CS1764" s="178"/>
      <c r="CT1764" s="178"/>
      <c r="CU1764" s="178"/>
      <c r="CV1764" s="178"/>
      <c r="CW1764" s="178"/>
      <c r="CX1764" s="178"/>
      <c r="CY1764" s="178"/>
      <c r="CZ1764" s="178"/>
      <c r="DA1764" s="150"/>
    </row>
    <row r="1765" spans="53:105" x14ac:dyDescent="0.2">
      <c r="BA1765" s="518">
        <f t="shared" ca="1" si="94"/>
        <v>61</v>
      </c>
      <c r="BB1765" s="174">
        <f t="shared" ca="1" si="95"/>
        <v>1702</v>
      </c>
      <c r="BC1765" s="525" t="e">
        <f ca="1">MATCH(BD1765,OFFSET(Pinlist!$A$2,BC1764*(BA1765=BA1764),0,$BM$23,1),0)+BC1764*(BA1765=BA1764)</f>
        <v>#N/A</v>
      </c>
      <c r="BD1765" s="167">
        <f t="shared" ca="1" si="96"/>
        <v>0</v>
      </c>
      <c r="BE1765" s="191" t="e">
        <f ca="1">(OFFSET(Pinlist!$E$1,BC1765,0)-$BN$16)*$BN$19</f>
        <v>#N/A</v>
      </c>
      <c r="BF1765" s="192" t="e">
        <f ca="1">(OFFSET(Pinlist!$F$1,BC1765,0)-$BO$16)*$BO$19</f>
        <v>#N/A</v>
      </c>
      <c r="BG1765" s="1098" t="str">
        <f ca="1">IF(LEFT(BD1765,2)="RF",OFFSET(Pinlist!$D$1,Chart!BC1765,0)&amp;"_"&amp;OFFSET(Pinlist!$G$1,Chart!BC1765,0),"")</f>
        <v/>
      </c>
      <c r="BH1765" s="1098"/>
      <c r="BI1765" s="178"/>
      <c r="BJ1765" s="178"/>
      <c r="BK1765" s="178"/>
      <c r="BL1765" s="178"/>
      <c r="BM1765" s="178"/>
      <c r="BN1765" s="178"/>
      <c r="BO1765" s="178"/>
      <c r="BP1765" s="178"/>
      <c r="BQ1765" s="196"/>
      <c r="BR1765" s="196"/>
      <c r="BS1765" s="196"/>
      <c r="BT1765" s="196"/>
      <c r="BU1765" s="196"/>
      <c r="BV1765" s="196"/>
      <c r="BW1765" s="178"/>
      <c r="BX1765" s="196"/>
      <c r="BY1765" s="196"/>
      <c r="BZ1765" s="196"/>
      <c r="CA1765" s="196"/>
      <c r="CB1765" s="178"/>
      <c r="CC1765" s="178"/>
      <c r="CD1765" s="202"/>
      <c r="CE1765" s="202"/>
      <c r="CF1765" s="178"/>
      <c r="CG1765" s="196"/>
      <c r="CH1765" s="178"/>
      <c r="CI1765" s="178"/>
      <c r="CJ1765" s="178"/>
      <c r="CK1765" s="178"/>
      <c r="CL1765" s="178"/>
      <c r="CM1765" s="178"/>
      <c r="CN1765" s="178"/>
      <c r="CO1765" s="178"/>
      <c r="CP1765" s="178"/>
      <c r="CQ1765" s="178"/>
      <c r="CR1765" s="178"/>
      <c r="CS1765" s="178"/>
      <c r="CT1765" s="178"/>
      <c r="CU1765" s="178"/>
      <c r="CV1765" s="178"/>
      <c r="CW1765" s="178"/>
      <c r="CX1765" s="178"/>
      <c r="CY1765" s="178"/>
      <c r="CZ1765" s="178"/>
      <c r="DA1765" s="150"/>
    </row>
    <row r="1766" spans="53:105" x14ac:dyDescent="0.2">
      <c r="BA1766" s="518">
        <f t="shared" ca="1" si="94"/>
        <v>61</v>
      </c>
      <c r="BB1766" s="174">
        <f t="shared" ca="1" si="95"/>
        <v>1703</v>
      </c>
      <c r="BC1766" s="525" t="e">
        <f ca="1">MATCH(BD1766,OFFSET(Pinlist!$A$2,BC1765*(BA1766=BA1765),0,$BM$23,1),0)+BC1765*(BA1766=BA1765)</f>
        <v>#N/A</v>
      </c>
      <c r="BD1766" s="167">
        <f t="shared" ca="1" si="96"/>
        <v>0</v>
      </c>
      <c r="BE1766" s="191" t="e">
        <f ca="1">(OFFSET(Pinlist!$E$1,BC1766,0)-$BN$16)*$BN$19</f>
        <v>#N/A</v>
      </c>
      <c r="BF1766" s="192" t="e">
        <f ca="1">(OFFSET(Pinlist!$F$1,BC1766,0)-$BO$16)*$BO$19</f>
        <v>#N/A</v>
      </c>
      <c r="BG1766" s="1098" t="str">
        <f ca="1">IF(LEFT(BD1766,2)="RF",OFFSET(Pinlist!$D$1,Chart!BC1766,0)&amp;"_"&amp;OFFSET(Pinlist!$G$1,Chart!BC1766,0),"")</f>
        <v/>
      </c>
      <c r="BH1766" s="1098"/>
      <c r="BI1766" s="178"/>
      <c r="BJ1766" s="178"/>
      <c r="BK1766" s="178"/>
      <c r="BL1766" s="178"/>
      <c r="BM1766" s="178"/>
      <c r="BN1766" s="178"/>
      <c r="BO1766" s="178"/>
      <c r="BP1766" s="178"/>
      <c r="BQ1766" s="196"/>
      <c r="BR1766" s="196"/>
      <c r="BS1766" s="196"/>
      <c r="BT1766" s="196"/>
      <c r="BU1766" s="196"/>
      <c r="BV1766" s="196"/>
      <c r="BW1766" s="178"/>
      <c r="BX1766" s="196"/>
      <c r="BY1766" s="196"/>
      <c r="BZ1766" s="196"/>
      <c r="CA1766" s="196"/>
      <c r="CB1766" s="178"/>
      <c r="CC1766" s="178"/>
      <c r="CD1766" s="202"/>
      <c r="CE1766" s="202"/>
      <c r="CF1766" s="178"/>
      <c r="CG1766" s="196"/>
      <c r="CH1766" s="178"/>
      <c r="CI1766" s="178"/>
      <c r="CJ1766" s="178"/>
      <c r="CK1766" s="178"/>
      <c r="CL1766" s="178"/>
      <c r="CM1766" s="178"/>
      <c r="CN1766" s="178"/>
      <c r="CO1766" s="178"/>
      <c r="CP1766" s="178"/>
      <c r="CQ1766" s="178"/>
      <c r="CR1766" s="178"/>
      <c r="CS1766" s="178"/>
      <c r="CT1766" s="178"/>
      <c r="CU1766" s="178"/>
      <c r="CV1766" s="178"/>
      <c r="CW1766" s="178"/>
      <c r="CX1766" s="178"/>
      <c r="CY1766" s="178"/>
      <c r="CZ1766" s="178"/>
      <c r="DA1766" s="150"/>
    </row>
    <row r="1767" spans="53:105" x14ac:dyDescent="0.2">
      <c r="BA1767" s="518">
        <f t="shared" ca="1" si="94"/>
        <v>61</v>
      </c>
      <c r="BB1767" s="174">
        <f t="shared" ca="1" si="95"/>
        <v>1704</v>
      </c>
      <c r="BC1767" s="525" t="e">
        <f ca="1">MATCH(BD1767,OFFSET(Pinlist!$A$2,BC1766*(BA1767=BA1766),0,$BM$23,1),0)+BC1766*(BA1767=BA1766)</f>
        <v>#N/A</v>
      </c>
      <c r="BD1767" s="167">
        <f t="shared" ca="1" si="96"/>
        <v>0</v>
      </c>
      <c r="BE1767" s="191" t="e">
        <f ca="1">(OFFSET(Pinlist!$E$1,BC1767,0)-$BN$16)*$BN$19</f>
        <v>#N/A</v>
      </c>
      <c r="BF1767" s="192" t="e">
        <f ca="1">(OFFSET(Pinlist!$F$1,BC1767,0)-$BO$16)*$BO$19</f>
        <v>#N/A</v>
      </c>
      <c r="BG1767" s="1098" t="str">
        <f ca="1">IF(LEFT(BD1767,2)="RF",OFFSET(Pinlist!$D$1,Chart!BC1767,0)&amp;"_"&amp;OFFSET(Pinlist!$G$1,Chart!BC1767,0),"")</f>
        <v/>
      </c>
      <c r="BH1767" s="1098"/>
      <c r="BI1767" s="178"/>
      <c r="BJ1767" s="178"/>
      <c r="BK1767" s="178"/>
      <c r="BL1767" s="178"/>
      <c r="BM1767" s="178"/>
      <c r="BN1767" s="178"/>
      <c r="BO1767" s="178"/>
      <c r="BP1767" s="178"/>
      <c r="BQ1767" s="196"/>
      <c r="BR1767" s="196"/>
      <c r="BS1767" s="196"/>
      <c r="BT1767" s="196"/>
      <c r="BU1767" s="196"/>
      <c r="BV1767" s="196"/>
      <c r="BW1767" s="178"/>
      <c r="BX1767" s="196"/>
      <c r="BY1767" s="196"/>
      <c r="BZ1767" s="196"/>
      <c r="CA1767" s="196"/>
      <c r="CB1767" s="178"/>
      <c r="CC1767" s="178"/>
      <c r="CD1767" s="202"/>
      <c r="CE1767" s="202"/>
      <c r="CF1767" s="178"/>
      <c r="CG1767" s="196"/>
      <c r="CH1767" s="178"/>
      <c r="CI1767" s="178"/>
      <c r="CJ1767" s="178"/>
      <c r="CK1767" s="178"/>
      <c r="CL1767" s="178"/>
      <c r="CM1767" s="178"/>
      <c r="CN1767" s="178"/>
      <c r="CO1767" s="178"/>
      <c r="CP1767" s="178"/>
      <c r="CQ1767" s="178"/>
      <c r="CR1767" s="178"/>
      <c r="CS1767" s="178"/>
      <c r="CT1767" s="178"/>
      <c r="CU1767" s="178"/>
      <c r="CV1767" s="178"/>
      <c r="CW1767" s="178"/>
      <c r="CX1767" s="178"/>
      <c r="CY1767" s="178"/>
      <c r="CZ1767" s="178"/>
      <c r="DA1767" s="150"/>
    </row>
    <row r="1768" spans="53:105" x14ac:dyDescent="0.2">
      <c r="BA1768" s="518">
        <f t="shared" ca="1" si="94"/>
        <v>61</v>
      </c>
      <c r="BB1768" s="174">
        <f t="shared" ca="1" si="95"/>
        <v>1705</v>
      </c>
      <c r="BC1768" s="525" t="e">
        <f ca="1">MATCH(BD1768,OFFSET(Pinlist!$A$2,BC1767*(BA1768=BA1767),0,$BM$23,1),0)+BC1767*(BA1768=BA1767)</f>
        <v>#N/A</v>
      </c>
      <c r="BD1768" s="167">
        <f t="shared" ca="1" si="96"/>
        <v>0</v>
      </c>
      <c r="BE1768" s="191" t="e">
        <f ca="1">(OFFSET(Pinlist!$E$1,BC1768,0)-$BN$16)*$BN$19</f>
        <v>#N/A</v>
      </c>
      <c r="BF1768" s="192" t="e">
        <f ca="1">(OFFSET(Pinlist!$F$1,BC1768,0)-$BO$16)*$BO$19</f>
        <v>#N/A</v>
      </c>
      <c r="BG1768" s="1098" t="str">
        <f ca="1">IF(LEFT(BD1768,2)="RF",OFFSET(Pinlist!$D$1,Chart!BC1768,0)&amp;"_"&amp;OFFSET(Pinlist!$G$1,Chart!BC1768,0),"")</f>
        <v/>
      </c>
      <c r="BH1768" s="1098"/>
      <c r="BI1768" s="178"/>
      <c r="BJ1768" s="178"/>
      <c r="BK1768" s="178"/>
      <c r="BL1768" s="178"/>
      <c r="BM1768" s="178"/>
      <c r="BN1768" s="178"/>
      <c r="BO1768" s="178"/>
      <c r="BP1768" s="178"/>
      <c r="BQ1768" s="196"/>
      <c r="BR1768" s="196"/>
      <c r="BS1768" s="196"/>
      <c r="BT1768" s="196"/>
      <c r="BU1768" s="196"/>
      <c r="BV1768" s="196"/>
      <c r="BW1768" s="178"/>
      <c r="BX1768" s="196"/>
      <c r="BY1768" s="196"/>
      <c r="BZ1768" s="196"/>
      <c r="CA1768" s="196"/>
      <c r="CB1768" s="178"/>
      <c r="CC1768" s="178"/>
      <c r="CD1768" s="202"/>
      <c r="CE1768" s="202"/>
      <c r="CF1768" s="178"/>
      <c r="CG1768" s="196"/>
      <c r="CH1768" s="178"/>
      <c r="CI1768" s="178"/>
      <c r="CJ1768" s="178"/>
      <c r="CK1768" s="178"/>
      <c r="CL1768" s="178"/>
      <c r="CM1768" s="178"/>
      <c r="CN1768" s="178"/>
      <c r="CO1768" s="178"/>
      <c r="CP1768" s="178"/>
      <c r="CQ1768" s="178"/>
      <c r="CR1768" s="178"/>
      <c r="CS1768" s="178"/>
      <c r="CT1768" s="178"/>
      <c r="CU1768" s="178"/>
      <c r="CV1768" s="178"/>
      <c r="CW1768" s="178"/>
      <c r="CX1768" s="178"/>
      <c r="CY1768" s="178"/>
      <c r="CZ1768" s="178"/>
      <c r="DA1768" s="150"/>
    </row>
    <row r="1769" spans="53:105" x14ac:dyDescent="0.2">
      <c r="BA1769" s="518">
        <f t="shared" ca="1" si="94"/>
        <v>61</v>
      </c>
      <c r="BB1769" s="174">
        <f t="shared" ca="1" si="95"/>
        <v>1706</v>
      </c>
      <c r="BC1769" s="525" t="e">
        <f ca="1">MATCH(BD1769,OFFSET(Pinlist!$A$2,BC1768*(BA1769=BA1768),0,$BM$23,1),0)+BC1768*(BA1769=BA1768)</f>
        <v>#N/A</v>
      </c>
      <c r="BD1769" s="167">
        <f t="shared" ca="1" si="96"/>
        <v>0</v>
      </c>
      <c r="BE1769" s="191" t="e">
        <f ca="1">(OFFSET(Pinlist!$E$1,BC1769,0)-$BN$16)*$BN$19</f>
        <v>#N/A</v>
      </c>
      <c r="BF1769" s="192" t="e">
        <f ca="1">(OFFSET(Pinlist!$F$1,BC1769,0)-$BO$16)*$BO$19</f>
        <v>#N/A</v>
      </c>
      <c r="BG1769" s="1098" t="str">
        <f ca="1">IF(LEFT(BD1769,2)="RF",OFFSET(Pinlist!$D$1,Chart!BC1769,0)&amp;"_"&amp;OFFSET(Pinlist!$G$1,Chart!BC1769,0),"")</f>
        <v/>
      </c>
      <c r="BH1769" s="1098"/>
      <c r="BI1769" s="178"/>
      <c r="BJ1769" s="178"/>
      <c r="BK1769" s="178"/>
      <c r="BL1769" s="178"/>
      <c r="BM1769" s="178"/>
      <c r="BN1769" s="178"/>
      <c r="BO1769" s="178"/>
      <c r="BP1769" s="178"/>
      <c r="BQ1769" s="196"/>
      <c r="BR1769" s="196"/>
      <c r="BS1769" s="196"/>
      <c r="BT1769" s="196"/>
      <c r="BU1769" s="196"/>
      <c r="BV1769" s="196"/>
      <c r="BW1769" s="178"/>
      <c r="BX1769" s="196"/>
      <c r="BY1769" s="196"/>
      <c r="BZ1769" s="196"/>
      <c r="CA1769" s="196"/>
      <c r="CB1769" s="178"/>
      <c r="CC1769" s="178"/>
      <c r="CD1769" s="202"/>
      <c r="CE1769" s="202"/>
      <c r="CF1769" s="178"/>
      <c r="CG1769" s="196"/>
      <c r="CH1769" s="178"/>
      <c r="CI1769" s="178"/>
      <c r="CJ1769" s="178"/>
      <c r="CK1769" s="178"/>
      <c r="CL1769" s="178"/>
      <c r="CM1769" s="178"/>
      <c r="CN1769" s="178"/>
      <c r="CO1769" s="178"/>
      <c r="CP1769" s="178"/>
      <c r="CQ1769" s="178"/>
      <c r="CR1769" s="178"/>
      <c r="CS1769" s="178"/>
      <c r="CT1769" s="178"/>
      <c r="CU1769" s="178"/>
      <c r="CV1769" s="178"/>
      <c r="CW1769" s="178"/>
      <c r="CX1769" s="178"/>
      <c r="CY1769" s="178"/>
      <c r="CZ1769" s="178"/>
      <c r="DA1769" s="150"/>
    </row>
    <row r="1770" spans="53:105" x14ac:dyDescent="0.2">
      <c r="BA1770" s="518">
        <f t="shared" ca="1" si="94"/>
        <v>61</v>
      </c>
      <c r="BB1770" s="174">
        <f t="shared" ca="1" si="95"/>
        <v>1707</v>
      </c>
      <c r="BC1770" s="525" t="e">
        <f ca="1">MATCH(BD1770,OFFSET(Pinlist!$A$2,BC1769*(BA1770=BA1769),0,$BM$23,1),0)+BC1769*(BA1770=BA1769)</f>
        <v>#N/A</v>
      </c>
      <c r="BD1770" s="167">
        <f t="shared" ca="1" si="96"/>
        <v>0</v>
      </c>
      <c r="BE1770" s="191" t="e">
        <f ca="1">(OFFSET(Pinlist!$E$1,BC1770,0)-$BN$16)*$BN$19</f>
        <v>#N/A</v>
      </c>
      <c r="BF1770" s="192" t="e">
        <f ca="1">(OFFSET(Pinlist!$F$1,BC1770,0)-$BO$16)*$BO$19</f>
        <v>#N/A</v>
      </c>
      <c r="BG1770" s="1098" t="str">
        <f ca="1">IF(LEFT(BD1770,2)="RF",OFFSET(Pinlist!$D$1,Chart!BC1770,0)&amp;"_"&amp;OFFSET(Pinlist!$G$1,Chart!BC1770,0),"")</f>
        <v/>
      </c>
      <c r="BH1770" s="1098"/>
      <c r="BI1770" s="178"/>
      <c r="BJ1770" s="178"/>
      <c r="BK1770" s="178"/>
      <c r="BL1770" s="178"/>
      <c r="BM1770" s="178"/>
      <c r="BN1770" s="178"/>
      <c r="BO1770" s="178"/>
      <c r="BP1770" s="178"/>
      <c r="BQ1770" s="196"/>
      <c r="BR1770" s="196"/>
      <c r="BS1770" s="196"/>
      <c r="BT1770" s="196"/>
      <c r="BU1770" s="196"/>
      <c r="BV1770" s="196"/>
      <c r="BW1770" s="178"/>
      <c r="BX1770" s="196"/>
      <c r="BY1770" s="196"/>
      <c r="BZ1770" s="196"/>
      <c r="CA1770" s="196"/>
      <c r="CB1770" s="178"/>
      <c r="CC1770" s="178"/>
      <c r="CD1770" s="202"/>
      <c r="CE1770" s="202"/>
      <c r="CF1770" s="178"/>
      <c r="CG1770" s="196"/>
      <c r="CH1770" s="178"/>
      <c r="CI1770" s="178"/>
      <c r="CJ1770" s="178"/>
      <c r="CK1770" s="178"/>
      <c r="CL1770" s="178"/>
      <c r="CM1770" s="178"/>
      <c r="CN1770" s="178"/>
      <c r="CO1770" s="178"/>
      <c r="CP1770" s="178"/>
      <c r="CQ1770" s="178"/>
      <c r="CR1770" s="178"/>
      <c r="CS1770" s="178"/>
      <c r="CT1770" s="178"/>
      <c r="CU1770" s="178"/>
      <c r="CV1770" s="178"/>
      <c r="CW1770" s="178"/>
      <c r="CX1770" s="178"/>
      <c r="CY1770" s="178"/>
      <c r="CZ1770" s="178"/>
      <c r="DA1770" s="150"/>
    </row>
    <row r="1771" spans="53:105" x14ac:dyDescent="0.2">
      <c r="BA1771" s="518">
        <f t="shared" ca="1" si="94"/>
        <v>61</v>
      </c>
      <c r="BB1771" s="174">
        <f t="shared" ca="1" si="95"/>
        <v>1708</v>
      </c>
      <c r="BC1771" s="525" t="e">
        <f ca="1">MATCH(BD1771,OFFSET(Pinlist!$A$2,BC1770*(BA1771=BA1770),0,$BM$23,1),0)+BC1770*(BA1771=BA1770)</f>
        <v>#N/A</v>
      </c>
      <c r="BD1771" s="167">
        <f t="shared" ca="1" si="96"/>
        <v>0</v>
      </c>
      <c r="BE1771" s="191" t="e">
        <f ca="1">(OFFSET(Pinlist!$E$1,BC1771,0)-$BN$16)*$BN$19</f>
        <v>#N/A</v>
      </c>
      <c r="BF1771" s="192" t="e">
        <f ca="1">(OFFSET(Pinlist!$F$1,BC1771,0)-$BO$16)*$BO$19</f>
        <v>#N/A</v>
      </c>
      <c r="BG1771" s="1098" t="str">
        <f ca="1">IF(LEFT(BD1771,2)="RF",OFFSET(Pinlist!$D$1,Chart!BC1771,0)&amp;"_"&amp;OFFSET(Pinlist!$G$1,Chart!BC1771,0),"")</f>
        <v/>
      </c>
      <c r="BH1771" s="1098"/>
      <c r="BI1771" s="178"/>
      <c r="BJ1771" s="178"/>
      <c r="BK1771" s="178"/>
      <c r="BL1771" s="178"/>
      <c r="BM1771" s="178"/>
      <c r="BN1771" s="178"/>
      <c r="BO1771" s="178"/>
      <c r="BP1771" s="178"/>
      <c r="BQ1771" s="196"/>
      <c r="BR1771" s="196"/>
      <c r="BS1771" s="196"/>
      <c r="BT1771" s="196"/>
      <c r="BU1771" s="196"/>
      <c r="BV1771" s="196"/>
      <c r="BW1771" s="178"/>
      <c r="BX1771" s="196"/>
      <c r="BY1771" s="196"/>
      <c r="BZ1771" s="196"/>
      <c r="CA1771" s="196"/>
      <c r="CB1771" s="178"/>
      <c r="CC1771" s="178"/>
      <c r="CD1771" s="202"/>
      <c r="CE1771" s="202"/>
      <c r="CF1771" s="178"/>
      <c r="CG1771" s="196"/>
      <c r="CH1771" s="178"/>
      <c r="CI1771" s="178"/>
      <c r="CJ1771" s="178"/>
      <c r="CK1771" s="178"/>
      <c r="CL1771" s="178"/>
      <c r="CM1771" s="178"/>
      <c r="CN1771" s="178"/>
      <c r="CO1771" s="178"/>
      <c r="CP1771" s="178"/>
      <c r="CQ1771" s="178"/>
      <c r="CR1771" s="178"/>
      <c r="CS1771" s="178"/>
      <c r="CT1771" s="178"/>
      <c r="CU1771" s="178"/>
      <c r="CV1771" s="178"/>
      <c r="CW1771" s="178"/>
      <c r="CX1771" s="178"/>
      <c r="CY1771" s="178"/>
      <c r="CZ1771" s="178"/>
      <c r="DA1771" s="150"/>
    </row>
    <row r="1772" spans="53:105" x14ac:dyDescent="0.2">
      <c r="BA1772" s="518">
        <f t="shared" ca="1" si="94"/>
        <v>61</v>
      </c>
      <c r="BB1772" s="174">
        <f t="shared" ca="1" si="95"/>
        <v>1709</v>
      </c>
      <c r="BC1772" s="525" t="e">
        <f ca="1">MATCH(BD1772,OFFSET(Pinlist!$A$2,BC1771*(BA1772=BA1771),0,$BM$23,1),0)+BC1771*(BA1772=BA1771)</f>
        <v>#N/A</v>
      </c>
      <c r="BD1772" s="167">
        <f t="shared" ca="1" si="96"/>
        <v>0</v>
      </c>
      <c r="BE1772" s="191" t="e">
        <f ca="1">(OFFSET(Pinlist!$E$1,BC1772,0)-$BN$16)*$BN$19</f>
        <v>#N/A</v>
      </c>
      <c r="BF1772" s="192" t="e">
        <f ca="1">(OFFSET(Pinlist!$F$1,BC1772,0)-$BO$16)*$BO$19</f>
        <v>#N/A</v>
      </c>
      <c r="BG1772" s="1098" t="str">
        <f ca="1">IF(LEFT(BD1772,2)="RF",OFFSET(Pinlist!$D$1,Chart!BC1772,0)&amp;"_"&amp;OFFSET(Pinlist!$G$1,Chart!BC1772,0),"")</f>
        <v/>
      </c>
      <c r="BH1772" s="1098"/>
      <c r="BI1772" s="178"/>
      <c r="BJ1772" s="178"/>
      <c r="BK1772" s="178"/>
      <c r="BL1772" s="178"/>
      <c r="BM1772" s="178"/>
      <c r="BN1772" s="178"/>
      <c r="BO1772" s="178"/>
      <c r="BP1772" s="178"/>
      <c r="BQ1772" s="196"/>
      <c r="BR1772" s="196"/>
      <c r="BS1772" s="196"/>
      <c r="BT1772" s="196"/>
      <c r="BU1772" s="196"/>
      <c r="BV1772" s="196"/>
      <c r="BW1772" s="178"/>
      <c r="BX1772" s="196"/>
      <c r="BY1772" s="196"/>
      <c r="BZ1772" s="196"/>
      <c r="CA1772" s="196"/>
      <c r="CB1772" s="178"/>
      <c r="CC1772" s="178"/>
      <c r="CD1772" s="202"/>
      <c r="CE1772" s="202"/>
      <c r="CF1772" s="178"/>
      <c r="CG1772" s="196"/>
      <c r="CH1772" s="178"/>
      <c r="CI1772" s="178"/>
      <c r="CJ1772" s="178"/>
      <c r="CK1772" s="178"/>
      <c r="CL1772" s="178"/>
      <c r="CM1772" s="178"/>
      <c r="CN1772" s="178"/>
      <c r="CO1772" s="178"/>
      <c r="CP1772" s="178"/>
      <c r="CQ1772" s="178"/>
      <c r="CR1772" s="178"/>
      <c r="CS1772" s="178"/>
      <c r="CT1772" s="178"/>
      <c r="CU1772" s="178"/>
      <c r="CV1772" s="178"/>
      <c r="CW1772" s="178"/>
      <c r="CX1772" s="178"/>
      <c r="CY1772" s="178"/>
      <c r="CZ1772" s="178"/>
      <c r="DA1772" s="150"/>
    </row>
    <row r="1773" spans="53:105" x14ac:dyDescent="0.2">
      <c r="BA1773" s="518">
        <f t="shared" ca="1" si="94"/>
        <v>61</v>
      </c>
      <c r="BB1773" s="174">
        <f t="shared" ca="1" si="95"/>
        <v>1710</v>
      </c>
      <c r="BC1773" s="525" t="e">
        <f ca="1">MATCH(BD1773,OFFSET(Pinlist!$A$2,BC1772*(BA1773=BA1772),0,$BM$23,1),0)+BC1772*(BA1773=BA1772)</f>
        <v>#N/A</v>
      </c>
      <c r="BD1773" s="167">
        <f t="shared" ca="1" si="96"/>
        <v>0</v>
      </c>
      <c r="BE1773" s="191" t="e">
        <f ca="1">(OFFSET(Pinlist!$E$1,BC1773,0)-$BN$16)*$BN$19</f>
        <v>#N/A</v>
      </c>
      <c r="BF1773" s="192" t="e">
        <f ca="1">(OFFSET(Pinlist!$F$1,BC1773,0)-$BO$16)*$BO$19</f>
        <v>#N/A</v>
      </c>
      <c r="BG1773" s="1098" t="str">
        <f ca="1">IF(LEFT(BD1773,2)="RF",OFFSET(Pinlist!$D$1,Chart!BC1773,0)&amp;"_"&amp;OFFSET(Pinlist!$G$1,Chart!BC1773,0),"")</f>
        <v/>
      </c>
      <c r="BH1773" s="1098"/>
      <c r="BI1773" s="178"/>
      <c r="BJ1773" s="178"/>
      <c r="BK1773" s="178"/>
      <c r="BL1773" s="178"/>
      <c r="BM1773" s="178"/>
      <c r="BN1773" s="178"/>
      <c r="BO1773" s="178"/>
      <c r="BP1773" s="178"/>
      <c r="BQ1773" s="196"/>
      <c r="BR1773" s="196"/>
      <c r="BS1773" s="196"/>
      <c r="BT1773" s="196"/>
      <c r="BU1773" s="196"/>
      <c r="BV1773" s="196"/>
      <c r="BW1773" s="178"/>
      <c r="BX1773" s="196"/>
      <c r="BY1773" s="196"/>
      <c r="BZ1773" s="196"/>
      <c r="CA1773" s="196"/>
      <c r="CB1773" s="178"/>
      <c r="CC1773" s="178"/>
      <c r="CD1773" s="202"/>
      <c r="CE1773" s="202"/>
      <c r="CF1773" s="178"/>
      <c r="CG1773" s="196"/>
      <c r="CH1773" s="178"/>
      <c r="CI1773" s="178"/>
      <c r="CJ1773" s="178"/>
      <c r="CK1773" s="178"/>
      <c r="CL1773" s="178"/>
      <c r="CM1773" s="178"/>
      <c r="CN1773" s="178"/>
      <c r="CO1773" s="178"/>
      <c r="CP1773" s="178"/>
      <c r="CQ1773" s="178"/>
      <c r="CR1773" s="178"/>
      <c r="CS1773" s="178"/>
      <c r="CT1773" s="178"/>
      <c r="CU1773" s="178"/>
      <c r="CV1773" s="178"/>
      <c r="CW1773" s="178"/>
      <c r="CX1773" s="178"/>
      <c r="CY1773" s="178"/>
      <c r="CZ1773" s="178"/>
      <c r="DA1773" s="150"/>
    </row>
    <row r="1774" spans="53:105" x14ac:dyDescent="0.2">
      <c r="BA1774" s="518">
        <f t="shared" ca="1" si="94"/>
        <v>61</v>
      </c>
      <c r="BB1774" s="174">
        <f t="shared" ca="1" si="95"/>
        <v>1711</v>
      </c>
      <c r="BC1774" s="525" t="e">
        <f ca="1">MATCH(BD1774,OFFSET(Pinlist!$A$2,BC1773*(BA1774=BA1773),0,$BM$23,1),0)+BC1773*(BA1774=BA1773)</f>
        <v>#N/A</v>
      </c>
      <c r="BD1774" s="167">
        <f t="shared" ca="1" si="96"/>
        <v>0</v>
      </c>
      <c r="BE1774" s="191" t="e">
        <f ca="1">(OFFSET(Pinlist!$E$1,BC1774,0)-$BN$16)*$BN$19</f>
        <v>#N/A</v>
      </c>
      <c r="BF1774" s="192" t="e">
        <f ca="1">(OFFSET(Pinlist!$F$1,BC1774,0)-$BO$16)*$BO$19</f>
        <v>#N/A</v>
      </c>
      <c r="BG1774" s="1098" t="str">
        <f ca="1">IF(LEFT(BD1774,2)="RF",OFFSET(Pinlist!$D$1,Chart!BC1774,0)&amp;"_"&amp;OFFSET(Pinlist!$G$1,Chart!BC1774,0),"")</f>
        <v/>
      </c>
      <c r="BH1774" s="1098"/>
      <c r="BI1774" s="178"/>
      <c r="BJ1774" s="178"/>
      <c r="BK1774" s="178"/>
      <c r="BL1774" s="178"/>
      <c r="BM1774" s="178"/>
      <c r="BN1774" s="178"/>
      <c r="BO1774" s="178"/>
      <c r="BP1774" s="178"/>
      <c r="BQ1774" s="196"/>
      <c r="BR1774" s="196"/>
      <c r="BS1774" s="196"/>
      <c r="BT1774" s="196"/>
      <c r="BU1774" s="196"/>
      <c r="BV1774" s="196"/>
      <c r="BW1774" s="178"/>
      <c r="BX1774" s="196"/>
      <c r="BY1774" s="196"/>
      <c r="BZ1774" s="196"/>
      <c r="CA1774" s="196"/>
      <c r="CB1774" s="178"/>
      <c r="CC1774" s="178"/>
      <c r="CD1774" s="202"/>
      <c r="CE1774" s="202"/>
      <c r="CF1774" s="178"/>
      <c r="CG1774" s="196"/>
      <c r="CH1774" s="178"/>
      <c r="CI1774" s="178"/>
      <c r="CJ1774" s="178"/>
      <c r="CK1774" s="178"/>
      <c r="CL1774" s="178"/>
      <c r="CM1774" s="178"/>
      <c r="CN1774" s="178"/>
      <c r="CO1774" s="178"/>
      <c r="CP1774" s="178"/>
      <c r="CQ1774" s="178"/>
      <c r="CR1774" s="178"/>
      <c r="CS1774" s="178"/>
      <c r="CT1774" s="178"/>
      <c r="CU1774" s="178"/>
      <c r="CV1774" s="178"/>
      <c r="CW1774" s="178"/>
      <c r="CX1774" s="178"/>
      <c r="CY1774" s="178"/>
      <c r="CZ1774" s="178"/>
      <c r="DA1774" s="150"/>
    </row>
    <row r="1775" spans="53:105" x14ac:dyDescent="0.2">
      <c r="BA1775" s="518">
        <f t="shared" ca="1" si="94"/>
        <v>61</v>
      </c>
      <c r="BB1775" s="174">
        <f t="shared" ca="1" si="95"/>
        <v>1712</v>
      </c>
      <c r="BC1775" s="525" t="e">
        <f ca="1">MATCH(BD1775,OFFSET(Pinlist!$A$2,BC1774*(BA1775=BA1774),0,$BM$23,1),0)+BC1774*(BA1775=BA1774)</f>
        <v>#N/A</v>
      </c>
      <c r="BD1775" s="167">
        <f t="shared" ca="1" si="96"/>
        <v>0</v>
      </c>
      <c r="BE1775" s="191" t="e">
        <f ca="1">(OFFSET(Pinlist!$E$1,BC1775,0)-$BN$16)*$BN$19</f>
        <v>#N/A</v>
      </c>
      <c r="BF1775" s="192" t="e">
        <f ca="1">(OFFSET(Pinlist!$F$1,BC1775,0)-$BO$16)*$BO$19</f>
        <v>#N/A</v>
      </c>
      <c r="BG1775" s="1098" t="str">
        <f ca="1">IF(LEFT(BD1775,2)="RF",OFFSET(Pinlist!$D$1,Chart!BC1775,0)&amp;"_"&amp;OFFSET(Pinlist!$G$1,Chart!BC1775,0),"")</f>
        <v/>
      </c>
      <c r="BH1775" s="1098"/>
      <c r="BI1775" s="178"/>
      <c r="BJ1775" s="178"/>
      <c r="BK1775" s="178"/>
      <c r="BL1775" s="178"/>
      <c r="BM1775" s="178"/>
      <c r="BN1775" s="178"/>
      <c r="BO1775" s="178"/>
      <c r="BP1775" s="178"/>
      <c r="BQ1775" s="196"/>
      <c r="BR1775" s="196"/>
      <c r="BS1775" s="196"/>
      <c r="BT1775" s="196"/>
      <c r="BU1775" s="196"/>
      <c r="BV1775" s="196"/>
      <c r="BW1775" s="178"/>
      <c r="BX1775" s="196"/>
      <c r="BY1775" s="196"/>
      <c r="BZ1775" s="196"/>
      <c r="CA1775" s="196"/>
      <c r="CB1775" s="178"/>
      <c r="CC1775" s="178"/>
      <c r="CD1775" s="202"/>
      <c r="CE1775" s="202"/>
      <c r="CF1775" s="178"/>
      <c r="CG1775" s="196"/>
      <c r="CH1775" s="178"/>
      <c r="CI1775" s="178"/>
      <c r="CJ1775" s="178"/>
      <c r="CK1775" s="178"/>
      <c r="CL1775" s="178"/>
      <c r="CM1775" s="178"/>
      <c r="CN1775" s="178"/>
      <c r="CO1775" s="178"/>
      <c r="CP1775" s="178"/>
      <c r="CQ1775" s="178"/>
      <c r="CR1775" s="178"/>
      <c r="CS1775" s="178"/>
      <c r="CT1775" s="178"/>
      <c r="CU1775" s="178"/>
      <c r="CV1775" s="178"/>
      <c r="CW1775" s="178"/>
      <c r="CX1775" s="178"/>
      <c r="CY1775" s="178"/>
      <c r="CZ1775" s="178"/>
      <c r="DA1775" s="150"/>
    </row>
    <row r="1776" spans="53:105" x14ac:dyDescent="0.2">
      <c r="BA1776" s="518">
        <f t="shared" ca="1" si="94"/>
        <v>61</v>
      </c>
      <c r="BB1776" s="174">
        <f t="shared" ca="1" si="95"/>
        <v>1713</v>
      </c>
      <c r="BC1776" s="525" t="e">
        <f ca="1">MATCH(BD1776,OFFSET(Pinlist!$A$2,BC1775*(BA1776=BA1775),0,$BM$23,1),0)+BC1775*(BA1776=BA1775)</f>
        <v>#N/A</v>
      </c>
      <c r="BD1776" s="167">
        <f t="shared" ca="1" si="96"/>
        <v>0</v>
      </c>
      <c r="BE1776" s="191" t="e">
        <f ca="1">(OFFSET(Pinlist!$E$1,BC1776,0)-$BN$16)*$BN$19</f>
        <v>#N/A</v>
      </c>
      <c r="BF1776" s="192" t="e">
        <f ca="1">(OFFSET(Pinlist!$F$1,BC1776,0)-$BO$16)*$BO$19</f>
        <v>#N/A</v>
      </c>
      <c r="BG1776" s="1098" t="str">
        <f ca="1">IF(LEFT(BD1776,2)="RF",OFFSET(Pinlist!$D$1,Chart!BC1776,0)&amp;"_"&amp;OFFSET(Pinlist!$G$1,Chart!BC1776,0),"")</f>
        <v/>
      </c>
      <c r="BH1776" s="1098"/>
      <c r="BI1776" s="178"/>
      <c r="BJ1776" s="178"/>
      <c r="BK1776" s="178"/>
      <c r="BL1776" s="178"/>
      <c r="BM1776" s="178"/>
      <c r="BN1776" s="178"/>
      <c r="BO1776" s="178"/>
      <c r="BP1776" s="178"/>
      <c r="BQ1776" s="196"/>
      <c r="BR1776" s="196"/>
      <c r="BS1776" s="196"/>
      <c r="BT1776" s="196"/>
      <c r="BU1776" s="196"/>
      <c r="BV1776" s="196"/>
      <c r="BW1776" s="178"/>
      <c r="BX1776" s="196"/>
      <c r="BY1776" s="196"/>
      <c r="BZ1776" s="196"/>
      <c r="CA1776" s="196"/>
      <c r="CB1776" s="178"/>
      <c r="CC1776" s="178"/>
      <c r="CD1776" s="202"/>
      <c r="CE1776" s="202"/>
      <c r="CF1776" s="178"/>
      <c r="CG1776" s="196"/>
      <c r="CH1776" s="178"/>
      <c r="CI1776" s="178"/>
      <c r="CJ1776" s="178"/>
      <c r="CK1776" s="178"/>
      <c r="CL1776" s="178"/>
      <c r="CM1776" s="178"/>
      <c r="CN1776" s="178"/>
      <c r="CO1776" s="178"/>
      <c r="CP1776" s="178"/>
      <c r="CQ1776" s="178"/>
      <c r="CR1776" s="178"/>
      <c r="CS1776" s="178"/>
      <c r="CT1776" s="178"/>
      <c r="CU1776" s="178"/>
      <c r="CV1776" s="178"/>
      <c r="CW1776" s="178"/>
      <c r="CX1776" s="178"/>
      <c r="CY1776" s="178"/>
      <c r="CZ1776" s="178"/>
      <c r="DA1776" s="150"/>
    </row>
    <row r="1777" spans="53:105" x14ac:dyDescent="0.2">
      <c r="BA1777" s="518">
        <f t="shared" ca="1" si="94"/>
        <v>61</v>
      </c>
      <c r="BB1777" s="174">
        <f t="shared" ca="1" si="95"/>
        <v>1714</v>
      </c>
      <c r="BC1777" s="525" t="e">
        <f ca="1">MATCH(BD1777,OFFSET(Pinlist!$A$2,BC1776*(BA1777=BA1776),0,$BM$23,1),0)+BC1776*(BA1777=BA1776)</f>
        <v>#N/A</v>
      </c>
      <c r="BD1777" s="167">
        <f t="shared" ca="1" si="96"/>
        <v>0</v>
      </c>
      <c r="BE1777" s="191" t="e">
        <f ca="1">(OFFSET(Pinlist!$E$1,BC1777,0)-$BN$16)*$BN$19</f>
        <v>#N/A</v>
      </c>
      <c r="BF1777" s="192" t="e">
        <f ca="1">(OFFSET(Pinlist!$F$1,BC1777,0)-$BO$16)*$BO$19</f>
        <v>#N/A</v>
      </c>
      <c r="BG1777" s="1098" t="str">
        <f ca="1">IF(LEFT(BD1777,2)="RF",OFFSET(Pinlist!$D$1,Chart!BC1777,0)&amp;"_"&amp;OFFSET(Pinlist!$G$1,Chart!BC1777,0),"")</f>
        <v/>
      </c>
      <c r="BH1777" s="1098"/>
      <c r="BI1777" s="178"/>
      <c r="BJ1777" s="178"/>
      <c r="BK1777" s="178"/>
      <c r="BL1777" s="178"/>
      <c r="BM1777" s="178"/>
      <c r="BN1777" s="178"/>
      <c r="BO1777" s="178"/>
      <c r="BP1777" s="178"/>
      <c r="BQ1777" s="196"/>
      <c r="BR1777" s="196"/>
      <c r="BS1777" s="196"/>
      <c r="BT1777" s="196"/>
      <c r="BU1777" s="196"/>
      <c r="BV1777" s="196"/>
      <c r="BW1777" s="178"/>
      <c r="BX1777" s="196"/>
      <c r="BY1777" s="196"/>
      <c r="BZ1777" s="196"/>
      <c r="CA1777" s="196"/>
      <c r="CB1777" s="178"/>
      <c r="CC1777" s="178"/>
      <c r="CD1777" s="202"/>
      <c r="CE1777" s="202"/>
      <c r="CF1777" s="178"/>
      <c r="CG1777" s="196"/>
      <c r="CH1777" s="178"/>
      <c r="CI1777" s="178"/>
      <c r="CJ1777" s="178"/>
      <c r="CK1777" s="178"/>
      <c r="CL1777" s="178"/>
      <c r="CM1777" s="178"/>
      <c r="CN1777" s="178"/>
      <c r="CO1777" s="178"/>
      <c r="CP1777" s="178"/>
      <c r="CQ1777" s="178"/>
      <c r="CR1777" s="178"/>
      <c r="CS1777" s="178"/>
      <c r="CT1777" s="178"/>
      <c r="CU1777" s="178"/>
      <c r="CV1777" s="178"/>
      <c r="CW1777" s="178"/>
      <c r="CX1777" s="178"/>
      <c r="CY1777" s="178"/>
      <c r="CZ1777" s="178"/>
      <c r="DA1777" s="150"/>
    </row>
    <row r="1778" spans="53:105" x14ac:dyDescent="0.2">
      <c r="BA1778" s="518">
        <f t="shared" ca="1" si="94"/>
        <v>61</v>
      </c>
      <c r="BB1778" s="174">
        <f t="shared" ca="1" si="95"/>
        <v>1715</v>
      </c>
      <c r="BC1778" s="525" t="e">
        <f ca="1">MATCH(BD1778,OFFSET(Pinlist!$A$2,BC1777*(BA1778=BA1777),0,$BM$23,1),0)+BC1777*(BA1778=BA1777)</f>
        <v>#N/A</v>
      </c>
      <c r="BD1778" s="167">
        <f t="shared" ca="1" si="96"/>
        <v>0</v>
      </c>
      <c r="BE1778" s="191" t="e">
        <f ca="1">(OFFSET(Pinlist!$E$1,BC1778,0)-$BN$16)*$BN$19</f>
        <v>#N/A</v>
      </c>
      <c r="BF1778" s="192" t="e">
        <f ca="1">(OFFSET(Pinlist!$F$1,BC1778,0)-$BO$16)*$BO$19</f>
        <v>#N/A</v>
      </c>
      <c r="BG1778" s="1098" t="str">
        <f ca="1">IF(LEFT(BD1778,2)="RF",OFFSET(Pinlist!$D$1,Chart!BC1778,0)&amp;"_"&amp;OFFSET(Pinlist!$G$1,Chart!BC1778,0),"")</f>
        <v/>
      </c>
      <c r="BH1778" s="1098"/>
      <c r="BI1778" s="178"/>
      <c r="BJ1778" s="178"/>
      <c r="BK1778" s="178"/>
      <c r="BL1778" s="178"/>
      <c r="BM1778" s="178"/>
      <c r="BN1778" s="178"/>
      <c r="BO1778" s="178"/>
      <c r="BP1778" s="178"/>
      <c r="BQ1778" s="196"/>
      <c r="BR1778" s="196"/>
      <c r="BS1778" s="196"/>
      <c r="BT1778" s="196"/>
      <c r="BU1778" s="196"/>
      <c r="BV1778" s="196"/>
      <c r="BW1778" s="178"/>
      <c r="BX1778" s="196"/>
      <c r="BY1778" s="196"/>
      <c r="BZ1778" s="196"/>
      <c r="CA1778" s="196"/>
      <c r="CB1778" s="178"/>
      <c r="CC1778" s="178"/>
      <c r="CD1778" s="202"/>
      <c r="CE1778" s="202"/>
      <c r="CF1778" s="178"/>
      <c r="CG1778" s="196"/>
      <c r="CH1778" s="178"/>
      <c r="CI1778" s="178"/>
      <c r="CJ1778" s="178"/>
      <c r="CK1778" s="178"/>
      <c r="CL1778" s="178"/>
      <c r="CM1778" s="178"/>
      <c r="CN1778" s="178"/>
      <c r="CO1778" s="178"/>
      <c r="CP1778" s="178"/>
      <c r="CQ1778" s="178"/>
      <c r="CR1778" s="178"/>
      <c r="CS1778" s="178"/>
      <c r="CT1778" s="178"/>
      <c r="CU1778" s="178"/>
      <c r="CV1778" s="178"/>
      <c r="CW1778" s="178"/>
      <c r="CX1778" s="178"/>
      <c r="CY1778" s="178"/>
      <c r="CZ1778" s="178"/>
      <c r="DA1778" s="150"/>
    </row>
    <row r="1779" spans="53:105" x14ac:dyDescent="0.2">
      <c r="BA1779" s="518">
        <f t="shared" ca="1" si="94"/>
        <v>61</v>
      </c>
      <c r="BB1779" s="174">
        <f t="shared" ca="1" si="95"/>
        <v>1716</v>
      </c>
      <c r="BC1779" s="525" t="e">
        <f ca="1">MATCH(BD1779,OFFSET(Pinlist!$A$2,BC1778*(BA1779=BA1778),0,$BM$23,1),0)+BC1778*(BA1779=BA1778)</f>
        <v>#N/A</v>
      </c>
      <c r="BD1779" s="167">
        <f t="shared" ca="1" si="96"/>
        <v>0</v>
      </c>
      <c r="BE1779" s="191" t="e">
        <f ca="1">(OFFSET(Pinlist!$E$1,BC1779,0)-$BN$16)*$BN$19</f>
        <v>#N/A</v>
      </c>
      <c r="BF1779" s="192" t="e">
        <f ca="1">(OFFSET(Pinlist!$F$1,BC1779,0)-$BO$16)*$BO$19</f>
        <v>#N/A</v>
      </c>
      <c r="BG1779" s="1098" t="str">
        <f ca="1">IF(LEFT(BD1779,2)="RF",OFFSET(Pinlist!$D$1,Chart!BC1779,0)&amp;"_"&amp;OFFSET(Pinlist!$G$1,Chart!BC1779,0),"")</f>
        <v/>
      </c>
      <c r="BH1779" s="1098"/>
      <c r="BI1779" s="178"/>
      <c r="BJ1779" s="178"/>
      <c r="BK1779" s="178"/>
      <c r="BL1779" s="178"/>
      <c r="BM1779" s="178"/>
      <c r="BN1779" s="178"/>
      <c r="BO1779" s="178"/>
      <c r="BP1779" s="178"/>
      <c r="BQ1779" s="196"/>
      <c r="BR1779" s="196"/>
      <c r="BS1779" s="196"/>
      <c r="BT1779" s="196"/>
      <c r="BU1779" s="196"/>
      <c r="BV1779" s="196"/>
      <c r="BW1779" s="178"/>
      <c r="BX1779" s="196"/>
      <c r="BY1779" s="196"/>
      <c r="BZ1779" s="196"/>
      <c r="CA1779" s="196"/>
      <c r="CB1779" s="178"/>
      <c r="CC1779" s="178"/>
      <c r="CD1779" s="202"/>
      <c r="CE1779" s="202"/>
      <c r="CF1779" s="178"/>
      <c r="CG1779" s="196"/>
      <c r="CH1779" s="178"/>
      <c r="CI1779" s="178"/>
      <c r="CJ1779" s="178"/>
      <c r="CK1779" s="178"/>
      <c r="CL1779" s="178"/>
      <c r="CM1779" s="178"/>
      <c r="CN1779" s="178"/>
      <c r="CO1779" s="178"/>
      <c r="CP1779" s="178"/>
      <c r="CQ1779" s="178"/>
      <c r="CR1779" s="178"/>
      <c r="CS1779" s="178"/>
      <c r="CT1779" s="178"/>
      <c r="CU1779" s="178"/>
      <c r="CV1779" s="178"/>
      <c r="CW1779" s="178"/>
      <c r="CX1779" s="178"/>
      <c r="CY1779" s="178"/>
      <c r="CZ1779" s="178"/>
      <c r="DA1779" s="150"/>
    </row>
    <row r="1780" spans="53:105" x14ac:dyDescent="0.2">
      <c r="BA1780" s="518">
        <f t="shared" ca="1" si="94"/>
        <v>61</v>
      </c>
      <c r="BB1780" s="174">
        <f t="shared" ca="1" si="95"/>
        <v>1717</v>
      </c>
      <c r="BC1780" s="525" t="e">
        <f ca="1">MATCH(BD1780,OFFSET(Pinlist!$A$2,BC1779*(BA1780=BA1779),0,$BM$23,1),0)+BC1779*(BA1780=BA1779)</f>
        <v>#N/A</v>
      </c>
      <c r="BD1780" s="167">
        <f t="shared" ca="1" si="96"/>
        <v>0</v>
      </c>
      <c r="BE1780" s="191" t="e">
        <f ca="1">(OFFSET(Pinlist!$E$1,BC1780,0)-$BN$16)*$BN$19</f>
        <v>#N/A</v>
      </c>
      <c r="BF1780" s="192" t="e">
        <f ca="1">(OFFSET(Pinlist!$F$1,BC1780,0)-$BO$16)*$BO$19</f>
        <v>#N/A</v>
      </c>
      <c r="BG1780" s="1098" t="str">
        <f ca="1">IF(LEFT(BD1780,2)="RF",OFFSET(Pinlist!$D$1,Chart!BC1780,0)&amp;"_"&amp;OFFSET(Pinlist!$G$1,Chart!BC1780,0),"")</f>
        <v/>
      </c>
      <c r="BH1780" s="1098"/>
      <c r="BI1780" s="178"/>
      <c r="BJ1780" s="178"/>
      <c r="BK1780" s="178"/>
      <c r="BL1780" s="178"/>
      <c r="BM1780" s="178"/>
      <c r="BN1780" s="178"/>
      <c r="BO1780" s="178"/>
      <c r="BP1780" s="178"/>
      <c r="BQ1780" s="196"/>
      <c r="BR1780" s="196"/>
      <c r="BS1780" s="196"/>
      <c r="BT1780" s="196"/>
      <c r="BU1780" s="196"/>
      <c r="BV1780" s="196"/>
      <c r="BW1780" s="178"/>
      <c r="BX1780" s="196"/>
      <c r="BY1780" s="196"/>
      <c r="BZ1780" s="196"/>
      <c r="CA1780" s="196"/>
      <c r="CB1780" s="178"/>
      <c r="CC1780" s="178"/>
      <c r="CD1780" s="202"/>
      <c r="CE1780" s="202"/>
      <c r="CF1780" s="178"/>
      <c r="CG1780" s="196"/>
      <c r="CH1780" s="178"/>
      <c r="CI1780" s="178"/>
      <c r="CJ1780" s="178"/>
      <c r="CK1780" s="178"/>
      <c r="CL1780" s="178"/>
      <c r="CM1780" s="178"/>
      <c r="CN1780" s="178"/>
      <c r="CO1780" s="178"/>
      <c r="CP1780" s="178"/>
      <c r="CQ1780" s="178"/>
      <c r="CR1780" s="178"/>
      <c r="CS1780" s="178"/>
      <c r="CT1780" s="178"/>
      <c r="CU1780" s="178"/>
      <c r="CV1780" s="178"/>
      <c r="CW1780" s="178"/>
      <c r="CX1780" s="178"/>
      <c r="CY1780" s="178"/>
      <c r="CZ1780" s="178"/>
      <c r="DA1780" s="150"/>
    </row>
    <row r="1781" spans="53:105" x14ac:dyDescent="0.2">
      <c r="BA1781" s="518">
        <f t="shared" ca="1" si="94"/>
        <v>61</v>
      </c>
      <c r="BB1781" s="174">
        <f t="shared" ca="1" si="95"/>
        <v>1718</v>
      </c>
      <c r="BC1781" s="525" t="e">
        <f ca="1">MATCH(BD1781,OFFSET(Pinlist!$A$2,BC1780*(BA1781=BA1780),0,$BM$23,1),0)+BC1780*(BA1781=BA1780)</f>
        <v>#N/A</v>
      </c>
      <c r="BD1781" s="167">
        <f t="shared" ca="1" si="96"/>
        <v>0</v>
      </c>
      <c r="BE1781" s="191" t="e">
        <f ca="1">(OFFSET(Pinlist!$E$1,BC1781,0)-$BN$16)*$BN$19</f>
        <v>#N/A</v>
      </c>
      <c r="BF1781" s="192" t="e">
        <f ca="1">(OFFSET(Pinlist!$F$1,BC1781,0)-$BO$16)*$BO$19</f>
        <v>#N/A</v>
      </c>
      <c r="BG1781" s="1098" t="str">
        <f ca="1">IF(LEFT(BD1781,2)="RF",OFFSET(Pinlist!$D$1,Chart!BC1781,0)&amp;"_"&amp;OFFSET(Pinlist!$G$1,Chart!BC1781,0),"")</f>
        <v/>
      </c>
      <c r="BH1781" s="1098"/>
      <c r="BI1781" s="178"/>
      <c r="BJ1781" s="178"/>
      <c r="BK1781" s="178"/>
      <c r="BL1781" s="178"/>
      <c r="BM1781" s="178"/>
      <c r="BN1781" s="178"/>
      <c r="BO1781" s="178"/>
      <c r="BP1781" s="178"/>
      <c r="BQ1781" s="196"/>
      <c r="BR1781" s="196"/>
      <c r="BS1781" s="196"/>
      <c r="BT1781" s="196"/>
      <c r="BU1781" s="196"/>
      <c r="BV1781" s="196"/>
      <c r="BW1781" s="178"/>
      <c r="BX1781" s="196"/>
      <c r="BY1781" s="196"/>
      <c r="BZ1781" s="196"/>
      <c r="CA1781" s="196"/>
      <c r="CB1781" s="178"/>
      <c r="CC1781" s="178"/>
      <c r="CD1781" s="202"/>
      <c r="CE1781" s="202"/>
      <c r="CF1781" s="178"/>
      <c r="CG1781" s="196"/>
      <c r="CH1781" s="178"/>
      <c r="CI1781" s="178"/>
      <c r="CJ1781" s="178"/>
      <c r="CK1781" s="178"/>
      <c r="CL1781" s="178"/>
      <c r="CM1781" s="178"/>
      <c r="CN1781" s="178"/>
      <c r="CO1781" s="178"/>
      <c r="CP1781" s="178"/>
      <c r="CQ1781" s="178"/>
      <c r="CR1781" s="178"/>
      <c r="CS1781" s="178"/>
      <c r="CT1781" s="178"/>
      <c r="CU1781" s="178"/>
      <c r="CV1781" s="178"/>
      <c r="CW1781" s="178"/>
      <c r="CX1781" s="178"/>
      <c r="CY1781" s="178"/>
      <c r="CZ1781" s="178"/>
      <c r="DA1781" s="150"/>
    </row>
    <row r="1782" spans="53:105" x14ac:dyDescent="0.2">
      <c r="BA1782" s="518">
        <f t="shared" ca="1" si="94"/>
        <v>61</v>
      </c>
      <c r="BB1782" s="174">
        <f t="shared" ca="1" si="95"/>
        <v>1719</v>
      </c>
      <c r="BC1782" s="525" t="e">
        <f ca="1">MATCH(BD1782,OFFSET(Pinlist!$A$2,BC1781*(BA1782=BA1781),0,$BM$23,1),0)+BC1781*(BA1782=BA1781)</f>
        <v>#N/A</v>
      </c>
      <c r="BD1782" s="167">
        <f t="shared" ca="1" si="96"/>
        <v>0</v>
      </c>
      <c r="BE1782" s="191" t="e">
        <f ca="1">(OFFSET(Pinlist!$E$1,BC1782,0)-$BN$16)*$BN$19</f>
        <v>#N/A</v>
      </c>
      <c r="BF1782" s="192" t="e">
        <f ca="1">(OFFSET(Pinlist!$F$1,BC1782,0)-$BO$16)*$BO$19</f>
        <v>#N/A</v>
      </c>
      <c r="BG1782" s="1098" t="str">
        <f ca="1">IF(LEFT(BD1782,2)="RF",OFFSET(Pinlist!$D$1,Chart!BC1782,0)&amp;"_"&amp;OFFSET(Pinlist!$G$1,Chart!BC1782,0),"")</f>
        <v/>
      </c>
      <c r="BH1782" s="1098"/>
      <c r="BI1782" s="178"/>
      <c r="BJ1782" s="178"/>
      <c r="BK1782" s="178"/>
      <c r="BL1782" s="178"/>
      <c r="BM1782" s="178"/>
      <c r="BN1782" s="178"/>
      <c r="BO1782" s="178"/>
      <c r="BP1782" s="178"/>
      <c r="BQ1782" s="196"/>
      <c r="BR1782" s="196"/>
      <c r="BS1782" s="196"/>
      <c r="BT1782" s="196"/>
      <c r="BU1782" s="196"/>
      <c r="BV1782" s="196"/>
      <c r="BW1782" s="178"/>
      <c r="BX1782" s="196"/>
      <c r="BY1782" s="196"/>
      <c r="BZ1782" s="196"/>
      <c r="CA1782" s="196"/>
      <c r="CB1782" s="178"/>
      <c r="CC1782" s="178"/>
      <c r="CD1782" s="202"/>
      <c r="CE1782" s="202"/>
      <c r="CF1782" s="178"/>
      <c r="CG1782" s="196"/>
      <c r="CH1782" s="178"/>
      <c r="CI1782" s="178"/>
      <c r="CJ1782" s="178"/>
      <c r="CK1782" s="178"/>
      <c r="CL1782" s="178"/>
      <c r="CM1782" s="178"/>
      <c r="CN1782" s="178"/>
      <c r="CO1782" s="178"/>
      <c r="CP1782" s="178"/>
      <c r="CQ1782" s="178"/>
      <c r="CR1782" s="178"/>
      <c r="CS1782" s="178"/>
      <c r="CT1782" s="178"/>
      <c r="CU1782" s="178"/>
      <c r="CV1782" s="178"/>
      <c r="CW1782" s="178"/>
      <c r="CX1782" s="178"/>
      <c r="CY1782" s="178"/>
      <c r="CZ1782" s="178"/>
      <c r="DA1782" s="150"/>
    </row>
    <row r="1783" spans="53:105" x14ac:dyDescent="0.2">
      <c r="BA1783" s="518">
        <f t="shared" ca="1" si="94"/>
        <v>61</v>
      </c>
      <c r="BB1783" s="174">
        <f t="shared" ca="1" si="95"/>
        <v>1720</v>
      </c>
      <c r="BC1783" s="525" t="e">
        <f ca="1">MATCH(BD1783,OFFSET(Pinlist!$A$2,BC1782*(BA1783=BA1782),0,$BM$23,1),0)+BC1782*(BA1783=BA1782)</f>
        <v>#N/A</v>
      </c>
      <c r="BD1783" s="167">
        <f t="shared" ca="1" si="96"/>
        <v>0</v>
      </c>
      <c r="BE1783" s="191" t="e">
        <f ca="1">(OFFSET(Pinlist!$E$1,BC1783,0)-$BN$16)*$BN$19</f>
        <v>#N/A</v>
      </c>
      <c r="BF1783" s="192" t="e">
        <f ca="1">(OFFSET(Pinlist!$F$1,BC1783,0)-$BO$16)*$BO$19</f>
        <v>#N/A</v>
      </c>
      <c r="BG1783" s="1098" t="str">
        <f ca="1">IF(LEFT(BD1783,2)="RF",OFFSET(Pinlist!$D$1,Chart!BC1783,0)&amp;"_"&amp;OFFSET(Pinlist!$G$1,Chart!BC1783,0),"")</f>
        <v/>
      </c>
      <c r="BH1783" s="1098"/>
      <c r="BI1783" s="178"/>
      <c r="BJ1783" s="178"/>
      <c r="BK1783" s="178"/>
      <c r="BL1783" s="178"/>
      <c r="BM1783" s="178"/>
      <c r="BN1783" s="178"/>
      <c r="BO1783" s="178"/>
      <c r="BP1783" s="178"/>
      <c r="BQ1783" s="196"/>
      <c r="BR1783" s="196"/>
      <c r="BS1783" s="196"/>
      <c r="BT1783" s="196"/>
      <c r="BU1783" s="196"/>
      <c r="BV1783" s="196"/>
      <c r="BW1783" s="178"/>
      <c r="BX1783" s="196"/>
      <c r="BY1783" s="196"/>
      <c r="BZ1783" s="196"/>
      <c r="CA1783" s="196"/>
      <c r="CB1783" s="178"/>
      <c r="CC1783" s="178"/>
      <c r="CD1783" s="202"/>
      <c r="CE1783" s="202"/>
      <c r="CF1783" s="178"/>
      <c r="CG1783" s="196"/>
      <c r="CH1783" s="178"/>
      <c r="CI1783" s="178"/>
      <c r="CJ1783" s="178"/>
      <c r="CK1783" s="178"/>
      <c r="CL1783" s="178"/>
      <c r="CM1783" s="178"/>
      <c r="CN1783" s="178"/>
      <c r="CO1783" s="178"/>
      <c r="CP1783" s="178"/>
      <c r="CQ1783" s="178"/>
      <c r="CR1783" s="178"/>
      <c r="CS1783" s="178"/>
      <c r="CT1783" s="178"/>
      <c r="CU1783" s="178"/>
      <c r="CV1783" s="178"/>
      <c r="CW1783" s="178"/>
      <c r="CX1783" s="178"/>
      <c r="CY1783" s="178"/>
      <c r="CZ1783" s="178"/>
      <c r="DA1783" s="150"/>
    </row>
    <row r="1784" spans="53:105" x14ac:dyDescent="0.2">
      <c r="BA1784" s="518">
        <f t="shared" ca="1" si="94"/>
        <v>61</v>
      </c>
      <c r="BB1784" s="174">
        <f t="shared" ca="1" si="95"/>
        <v>1721</v>
      </c>
      <c r="BC1784" s="525" t="e">
        <f ca="1">MATCH(BD1784,OFFSET(Pinlist!$A$2,BC1783*(BA1784=BA1783),0,$BM$23,1),0)+BC1783*(BA1784=BA1783)</f>
        <v>#N/A</v>
      </c>
      <c r="BD1784" s="167">
        <f t="shared" ca="1" si="96"/>
        <v>0</v>
      </c>
      <c r="BE1784" s="191" t="e">
        <f ca="1">(OFFSET(Pinlist!$E$1,BC1784,0)-$BN$16)*$BN$19</f>
        <v>#N/A</v>
      </c>
      <c r="BF1784" s="192" t="e">
        <f ca="1">(OFFSET(Pinlist!$F$1,BC1784,0)-$BO$16)*$BO$19</f>
        <v>#N/A</v>
      </c>
      <c r="BG1784" s="1098" t="str">
        <f ca="1">IF(LEFT(BD1784,2)="RF",OFFSET(Pinlist!$D$1,Chart!BC1784,0)&amp;"_"&amp;OFFSET(Pinlist!$G$1,Chart!BC1784,0),"")</f>
        <v/>
      </c>
      <c r="BH1784" s="1098"/>
      <c r="BI1784" s="178"/>
      <c r="BJ1784" s="178"/>
      <c r="BK1784" s="178"/>
      <c r="BL1784" s="178"/>
      <c r="BM1784" s="178"/>
      <c r="BN1784" s="178"/>
      <c r="BO1784" s="178"/>
      <c r="BP1784" s="178"/>
      <c r="BQ1784" s="196"/>
      <c r="BR1784" s="196"/>
      <c r="BS1784" s="196"/>
      <c r="BT1784" s="196"/>
      <c r="BU1784" s="196"/>
      <c r="BV1784" s="196"/>
      <c r="BW1784" s="178"/>
      <c r="BX1784" s="196"/>
      <c r="BY1784" s="196"/>
      <c r="BZ1784" s="196"/>
      <c r="CA1784" s="196"/>
      <c r="CB1784" s="178"/>
      <c r="CC1784" s="178"/>
      <c r="CD1784" s="202"/>
      <c r="CE1784" s="202"/>
      <c r="CF1784" s="178"/>
      <c r="CG1784" s="196"/>
      <c r="CH1784" s="178"/>
      <c r="CI1784" s="178"/>
      <c r="CJ1784" s="178"/>
      <c r="CK1784" s="178"/>
      <c r="CL1784" s="178"/>
      <c r="CM1784" s="178"/>
      <c r="CN1784" s="178"/>
      <c r="CO1784" s="178"/>
      <c r="CP1784" s="178"/>
      <c r="CQ1784" s="178"/>
      <c r="CR1784" s="178"/>
      <c r="CS1784" s="178"/>
      <c r="CT1784" s="178"/>
      <c r="CU1784" s="178"/>
      <c r="CV1784" s="178"/>
      <c r="CW1784" s="178"/>
      <c r="CX1784" s="178"/>
      <c r="CY1784" s="178"/>
      <c r="CZ1784" s="178"/>
      <c r="DA1784" s="150"/>
    </row>
    <row r="1785" spans="53:105" x14ac:dyDescent="0.2">
      <c r="BA1785" s="518">
        <f t="shared" ca="1" si="94"/>
        <v>61</v>
      </c>
      <c r="BB1785" s="174">
        <f t="shared" ca="1" si="95"/>
        <v>1722</v>
      </c>
      <c r="BC1785" s="525" t="e">
        <f ca="1">MATCH(BD1785,OFFSET(Pinlist!$A$2,BC1784*(BA1785=BA1784),0,$BM$23,1),0)+BC1784*(BA1785=BA1784)</f>
        <v>#N/A</v>
      </c>
      <c r="BD1785" s="167">
        <f t="shared" ca="1" si="96"/>
        <v>0</v>
      </c>
      <c r="BE1785" s="191" t="e">
        <f ca="1">(OFFSET(Pinlist!$E$1,BC1785,0)-$BN$16)*$BN$19</f>
        <v>#N/A</v>
      </c>
      <c r="BF1785" s="192" t="e">
        <f ca="1">(OFFSET(Pinlist!$F$1,BC1785,0)-$BO$16)*$BO$19</f>
        <v>#N/A</v>
      </c>
      <c r="BG1785" s="1098" t="str">
        <f ca="1">IF(LEFT(BD1785,2)="RF",OFFSET(Pinlist!$D$1,Chart!BC1785,0)&amp;"_"&amp;OFFSET(Pinlist!$G$1,Chart!BC1785,0),"")</f>
        <v/>
      </c>
      <c r="BH1785" s="1098"/>
      <c r="BI1785" s="178"/>
      <c r="BJ1785" s="178"/>
      <c r="BK1785" s="178"/>
      <c r="BL1785" s="178"/>
      <c r="BM1785" s="178"/>
      <c r="BN1785" s="178"/>
      <c r="BO1785" s="178"/>
      <c r="BP1785" s="178"/>
      <c r="BQ1785" s="196"/>
      <c r="BR1785" s="196"/>
      <c r="BS1785" s="196"/>
      <c r="BT1785" s="196"/>
      <c r="BU1785" s="196"/>
      <c r="BV1785" s="196"/>
      <c r="BW1785" s="178"/>
      <c r="BX1785" s="196"/>
      <c r="BY1785" s="196"/>
      <c r="BZ1785" s="196"/>
      <c r="CA1785" s="196"/>
      <c r="CB1785" s="178"/>
      <c r="CC1785" s="178"/>
      <c r="CD1785" s="202"/>
      <c r="CE1785" s="202"/>
      <c r="CF1785" s="178"/>
      <c r="CG1785" s="196"/>
      <c r="CH1785" s="178"/>
      <c r="CI1785" s="178"/>
      <c r="CJ1785" s="178"/>
      <c r="CK1785" s="178"/>
      <c r="CL1785" s="178"/>
      <c r="CM1785" s="178"/>
      <c r="CN1785" s="178"/>
      <c r="CO1785" s="178"/>
      <c r="CP1785" s="178"/>
      <c r="CQ1785" s="178"/>
      <c r="CR1785" s="178"/>
      <c r="CS1785" s="178"/>
      <c r="CT1785" s="178"/>
      <c r="CU1785" s="178"/>
      <c r="CV1785" s="178"/>
      <c r="CW1785" s="178"/>
      <c r="CX1785" s="178"/>
      <c r="CY1785" s="178"/>
      <c r="CZ1785" s="178"/>
      <c r="DA1785" s="150"/>
    </row>
    <row r="1786" spans="53:105" x14ac:dyDescent="0.2">
      <c r="BA1786" s="518">
        <f t="shared" ca="1" si="94"/>
        <v>61</v>
      </c>
      <c r="BB1786" s="174">
        <f t="shared" ca="1" si="95"/>
        <v>1723</v>
      </c>
      <c r="BC1786" s="525" t="e">
        <f ca="1">MATCH(BD1786,OFFSET(Pinlist!$A$2,BC1785*(BA1786=BA1785),0,$BM$23,1),0)+BC1785*(BA1786=BA1785)</f>
        <v>#N/A</v>
      </c>
      <c r="BD1786" s="167">
        <f t="shared" ca="1" si="96"/>
        <v>0</v>
      </c>
      <c r="BE1786" s="191" t="e">
        <f ca="1">(OFFSET(Pinlist!$E$1,BC1786,0)-$BN$16)*$BN$19</f>
        <v>#N/A</v>
      </c>
      <c r="BF1786" s="192" t="e">
        <f ca="1">(OFFSET(Pinlist!$F$1,BC1786,0)-$BO$16)*$BO$19</f>
        <v>#N/A</v>
      </c>
      <c r="BG1786" s="1098" t="str">
        <f ca="1">IF(LEFT(BD1786,2)="RF",OFFSET(Pinlist!$D$1,Chart!BC1786,0)&amp;"_"&amp;OFFSET(Pinlist!$G$1,Chart!BC1786,0),"")</f>
        <v/>
      </c>
      <c r="BH1786" s="1098"/>
      <c r="BI1786" s="178"/>
      <c r="BJ1786" s="178"/>
      <c r="BK1786" s="178"/>
      <c r="BL1786" s="178"/>
      <c r="BM1786" s="178"/>
      <c r="BN1786" s="178"/>
      <c r="BO1786" s="178"/>
      <c r="BP1786" s="178"/>
      <c r="BQ1786" s="196"/>
      <c r="BR1786" s="196"/>
      <c r="BS1786" s="196"/>
      <c r="BT1786" s="196"/>
      <c r="BU1786" s="196"/>
      <c r="BV1786" s="196"/>
      <c r="BW1786" s="178"/>
      <c r="BX1786" s="196"/>
      <c r="BY1786" s="196"/>
      <c r="BZ1786" s="196"/>
      <c r="CA1786" s="196"/>
      <c r="CB1786" s="178"/>
      <c r="CC1786" s="178"/>
      <c r="CD1786" s="202"/>
      <c r="CE1786" s="202"/>
      <c r="CF1786" s="178"/>
      <c r="CG1786" s="196"/>
      <c r="CH1786" s="178"/>
      <c r="CI1786" s="178"/>
      <c r="CJ1786" s="178"/>
      <c r="CK1786" s="178"/>
      <c r="CL1786" s="178"/>
      <c r="CM1786" s="178"/>
      <c r="CN1786" s="178"/>
      <c r="CO1786" s="178"/>
      <c r="CP1786" s="178"/>
      <c r="CQ1786" s="178"/>
      <c r="CR1786" s="178"/>
      <c r="CS1786" s="178"/>
      <c r="CT1786" s="178"/>
      <c r="CU1786" s="178"/>
      <c r="CV1786" s="178"/>
      <c r="CW1786" s="178"/>
      <c r="CX1786" s="178"/>
      <c r="CY1786" s="178"/>
      <c r="CZ1786" s="178"/>
      <c r="DA1786" s="150"/>
    </row>
    <row r="1787" spans="53:105" x14ac:dyDescent="0.2">
      <c r="BA1787" s="518">
        <f t="shared" ca="1" si="94"/>
        <v>61</v>
      </c>
      <c r="BB1787" s="174">
        <f t="shared" ca="1" si="95"/>
        <v>1724</v>
      </c>
      <c r="BC1787" s="525" t="e">
        <f ca="1">MATCH(BD1787,OFFSET(Pinlist!$A$2,BC1786*(BA1787=BA1786),0,$BM$23,1),0)+BC1786*(BA1787=BA1786)</f>
        <v>#N/A</v>
      </c>
      <c r="BD1787" s="167">
        <f t="shared" ca="1" si="96"/>
        <v>0</v>
      </c>
      <c r="BE1787" s="191" t="e">
        <f ca="1">(OFFSET(Pinlist!$E$1,BC1787,0)-$BN$16)*$BN$19</f>
        <v>#N/A</v>
      </c>
      <c r="BF1787" s="192" t="e">
        <f ca="1">(OFFSET(Pinlist!$F$1,BC1787,0)-$BO$16)*$BO$19</f>
        <v>#N/A</v>
      </c>
      <c r="BG1787" s="1098" t="str">
        <f ca="1">IF(LEFT(BD1787,2)="RF",OFFSET(Pinlist!$D$1,Chart!BC1787,0)&amp;"_"&amp;OFFSET(Pinlist!$G$1,Chart!BC1787,0),"")</f>
        <v/>
      </c>
      <c r="BH1787" s="1098"/>
      <c r="BI1787" s="178"/>
      <c r="BJ1787" s="178"/>
      <c r="BK1787" s="178"/>
      <c r="BL1787" s="178"/>
      <c r="BM1787" s="178"/>
      <c r="BN1787" s="178"/>
      <c r="BO1787" s="178"/>
      <c r="BP1787" s="178"/>
      <c r="BQ1787" s="196"/>
      <c r="BR1787" s="196"/>
      <c r="BS1787" s="196"/>
      <c r="BT1787" s="196"/>
      <c r="BU1787" s="196"/>
      <c r="BV1787" s="196"/>
      <c r="BW1787" s="178"/>
      <c r="BX1787" s="196"/>
      <c r="BY1787" s="196"/>
      <c r="BZ1787" s="196"/>
      <c r="CA1787" s="196"/>
      <c r="CB1787" s="178"/>
      <c r="CC1787" s="178"/>
      <c r="CD1787" s="202"/>
      <c r="CE1787" s="202"/>
      <c r="CF1787" s="178"/>
      <c r="CG1787" s="196"/>
      <c r="CH1787" s="178"/>
      <c r="CI1787" s="178"/>
      <c r="CJ1787" s="178"/>
      <c r="CK1787" s="178"/>
      <c r="CL1787" s="178"/>
      <c r="CM1787" s="178"/>
      <c r="CN1787" s="178"/>
      <c r="CO1787" s="178"/>
      <c r="CP1787" s="178"/>
      <c r="CQ1787" s="178"/>
      <c r="CR1787" s="178"/>
      <c r="CS1787" s="178"/>
      <c r="CT1787" s="178"/>
      <c r="CU1787" s="178"/>
      <c r="CV1787" s="178"/>
      <c r="CW1787" s="178"/>
      <c r="CX1787" s="178"/>
      <c r="CY1787" s="178"/>
      <c r="CZ1787" s="178"/>
      <c r="DA1787" s="150"/>
    </row>
    <row r="1788" spans="53:105" x14ac:dyDescent="0.2">
      <c r="BA1788" s="518">
        <f t="shared" ca="1" si="94"/>
        <v>61</v>
      </c>
      <c r="BB1788" s="174">
        <f t="shared" ca="1" si="95"/>
        <v>1725</v>
      </c>
      <c r="BC1788" s="525" t="e">
        <f ca="1">MATCH(BD1788,OFFSET(Pinlist!$A$2,BC1787*(BA1788=BA1787),0,$BM$23,1),0)+BC1787*(BA1788=BA1787)</f>
        <v>#N/A</v>
      </c>
      <c r="BD1788" s="167">
        <f t="shared" ca="1" si="96"/>
        <v>0</v>
      </c>
      <c r="BE1788" s="191" t="e">
        <f ca="1">(OFFSET(Pinlist!$E$1,BC1788,0)-$BN$16)*$BN$19</f>
        <v>#N/A</v>
      </c>
      <c r="BF1788" s="192" t="e">
        <f ca="1">(OFFSET(Pinlist!$F$1,BC1788,0)-$BO$16)*$BO$19</f>
        <v>#N/A</v>
      </c>
      <c r="BG1788" s="1098" t="str">
        <f ca="1">IF(LEFT(BD1788,2)="RF",OFFSET(Pinlist!$D$1,Chart!BC1788,0)&amp;"_"&amp;OFFSET(Pinlist!$G$1,Chart!BC1788,0),"")</f>
        <v/>
      </c>
      <c r="BH1788" s="1098"/>
      <c r="BI1788" s="178"/>
      <c r="BJ1788" s="178"/>
      <c r="BK1788" s="178"/>
      <c r="BL1788" s="178"/>
      <c r="BM1788" s="178"/>
      <c r="BN1788" s="178"/>
      <c r="BO1788" s="178"/>
      <c r="BP1788" s="178"/>
      <c r="BQ1788" s="196"/>
      <c r="BR1788" s="196"/>
      <c r="BS1788" s="196"/>
      <c r="BT1788" s="196"/>
      <c r="BU1788" s="196"/>
      <c r="BV1788" s="196"/>
      <c r="BW1788" s="178"/>
      <c r="BX1788" s="196"/>
      <c r="BY1788" s="196"/>
      <c r="BZ1788" s="196"/>
      <c r="CA1788" s="196"/>
      <c r="CB1788" s="178"/>
      <c r="CC1788" s="178"/>
      <c r="CD1788" s="202"/>
      <c r="CE1788" s="202"/>
      <c r="CF1788" s="178"/>
      <c r="CG1788" s="196"/>
      <c r="CH1788" s="178"/>
      <c r="CI1788" s="178"/>
      <c r="CJ1788" s="178"/>
      <c r="CK1788" s="178"/>
      <c r="CL1788" s="178"/>
      <c r="CM1788" s="178"/>
      <c r="CN1788" s="178"/>
      <c r="CO1788" s="178"/>
      <c r="CP1788" s="178"/>
      <c r="CQ1788" s="178"/>
      <c r="CR1788" s="178"/>
      <c r="CS1788" s="178"/>
      <c r="CT1788" s="178"/>
      <c r="CU1788" s="178"/>
      <c r="CV1788" s="178"/>
      <c r="CW1788" s="178"/>
      <c r="CX1788" s="178"/>
      <c r="CY1788" s="178"/>
      <c r="CZ1788" s="178"/>
      <c r="DA1788" s="150"/>
    </row>
    <row r="1789" spans="53:105" x14ac:dyDescent="0.2">
      <c r="BA1789" s="518">
        <f t="shared" ca="1" si="94"/>
        <v>61</v>
      </c>
      <c r="BB1789" s="174">
        <f t="shared" ca="1" si="95"/>
        <v>1726</v>
      </c>
      <c r="BC1789" s="525" t="e">
        <f ca="1">MATCH(BD1789,OFFSET(Pinlist!$A$2,BC1788*(BA1789=BA1788),0,$BM$23,1),0)+BC1788*(BA1789=BA1788)</f>
        <v>#N/A</v>
      </c>
      <c r="BD1789" s="167">
        <f t="shared" ca="1" si="96"/>
        <v>0</v>
      </c>
      <c r="BE1789" s="191" t="e">
        <f ca="1">(OFFSET(Pinlist!$E$1,BC1789,0)-$BN$16)*$BN$19</f>
        <v>#N/A</v>
      </c>
      <c r="BF1789" s="192" t="e">
        <f ca="1">(OFFSET(Pinlist!$F$1,BC1789,0)-$BO$16)*$BO$19</f>
        <v>#N/A</v>
      </c>
      <c r="BG1789" s="1098" t="str">
        <f ca="1">IF(LEFT(BD1789,2)="RF",OFFSET(Pinlist!$D$1,Chart!BC1789,0)&amp;"_"&amp;OFFSET(Pinlist!$G$1,Chart!BC1789,0),"")</f>
        <v/>
      </c>
      <c r="BH1789" s="1098"/>
      <c r="BI1789" s="178"/>
      <c r="BJ1789" s="178"/>
      <c r="BK1789" s="178"/>
      <c r="BL1789" s="178"/>
      <c r="BM1789" s="178"/>
      <c r="BN1789" s="178"/>
      <c r="BO1789" s="178"/>
      <c r="BP1789" s="178"/>
      <c r="BQ1789" s="196"/>
      <c r="BR1789" s="196"/>
      <c r="BS1789" s="196"/>
      <c r="BT1789" s="196"/>
      <c r="BU1789" s="196"/>
      <c r="BV1789" s="196"/>
      <c r="BW1789" s="178"/>
      <c r="BX1789" s="196"/>
      <c r="BY1789" s="196"/>
      <c r="BZ1789" s="196"/>
      <c r="CA1789" s="196"/>
      <c r="CB1789" s="178"/>
      <c r="CC1789" s="178"/>
      <c r="CD1789" s="202"/>
      <c r="CE1789" s="202"/>
      <c r="CF1789" s="178"/>
      <c r="CG1789" s="196"/>
      <c r="CH1789" s="178"/>
      <c r="CI1789" s="178"/>
      <c r="CJ1789" s="178"/>
      <c r="CK1789" s="178"/>
      <c r="CL1789" s="178"/>
      <c r="CM1789" s="178"/>
      <c r="CN1789" s="178"/>
      <c r="CO1789" s="178"/>
      <c r="CP1789" s="178"/>
      <c r="CQ1789" s="178"/>
      <c r="CR1789" s="178"/>
      <c r="CS1789" s="178"/>
      <c r="CT1789" s="178"/>
      <c r="CU1789" s="178"/>
      <c r="CV1789" s="178"/>
      <c r="CW1789" s="178"/>
      <c r="CX1789" s="178"/>
      <c r="CY1789" s="178"/>
      <c r="CZ1789" s="178"/>
      <c r="DA1789" s="150"/>
    </row>
    <row r="1790" spans="53:105" x14ac:dyDescent="0.2">
      <c r="BA1790" s="518">
        <f t="shared" ca="1" si="94"/>
        <v>61</v>
      </c>
      <c r="BB1790" s="174">
        <f t="shared" ca="1" si="95"/>
        <v>1727</v>
      </c>
      <c r="BC1790" s="525" t="e">
        <f ca="1">MATCH(BD1790,OFFSET(Pinlist!$A$2,BC1789*(BA1790=BA1789),0,$BM$23,1),0)+BC1789*(BA1790=BA1789)</f>
        <v>#N/A</v>
      </c>
      <c r="BD1790" s="167">
        <f t="shared" ca="1" si="96"/>
        <v>0</v>
      </c>
      <c r="BE1790" s="191" t="e">
        <f ca="1">(OFFSET(Pinlist!$E$1,BC1790,0)-$BN$16)*$BN$19</f>
        <v>#N/A</v>
      </c>
      <c r="BF1790" s="192" t="e">
        <f ca="1">(OFFSET(Pinlist!$F$1,BC1790,0)-$BO$16)*$BO$19</f>
        <v>#N/A</v>
      </c>
      <c r="BG1790" s="1098" t="str">
        <f ca="1">IF(LEFT(BD1790,2)="RF",OFFSET(Pinlist!$D$1,Chart!BC1790,0)&amp;"_"&amp;OFFSET(Pinlist!$G$1,Chart!BC1790,0),"")</f>
        <v/>
      </c>
      <c r="BH1790" s="1098"/>
      <c r="BI1790" s="178"/>
      <c r="BJ1790" s="178"/>
      <c r="BK1790" s="178"/>
      <c r="BL1790" s="178"/>
      <c r="BM1790" s="178"/>
      <c r="BN1790" s="178"/>
      <c r="BO1790" s="178"/>
      <c r="BP1790" s="178"/>
      <c r="BQ1790" s="196"/>
      <c r="BR1790" s="196"/>
      <c r="BS1790" s="196"/>
      <c r="BT1790" s="196"/>
      <c r="BU1790" s="196"/>
      <c r="BV1790" s="196"/>
      <c r="BW1790" s="178"/>
      <c r="BX1790" s="196"/>
      <c r="BY1790" s="196"/>
      <c r="BZ1790" s="196"/>
      <c r="CA1790" s="196"/>
      <c r="CB1790" s="178"/>
      <c r="CC1790" s="178"/>
      <c r="CD1790" s="202"/>
      <c r="CE1790" s="202"/>
      <c r="CF1790" s="178"/>
      <c r="CG1790" s="196"/>
      <c r="CH1790" s="178"/>
      <c r="CI1790" s="178"/>
      <c r="CJ1790" s="178"/>
      <c r="CK1790" s="178"/>
      <c r="CL1790" s="178"/>
      <c r="CM1790" s="178"/>
      <c r="CN1790" s="178"/>
      <c r="CO1790" s="178"/>
      <c r="CP1790" s="178"/>
      <c r="CQ1790" s="178"/>
      <c r="CR1790" s="178"/>
      <c r="CS1790" s="178"/>
      <c r="CT1790" s="178"/>
      <c r="CU1790" s="178"/>
      <c r="CV1790" s="178"/>
      <c r="CW1790" s="178"/>
      <c r="CX1790" s="178"/>
      <c r="CY1790" s="178"/>
      <c r="CZ1790" s="178"/>
      <c r="DA1790" s="150"/>
    </row>
    <row r="1791" spans="53:105" x14ac:dyDescent="0.2">
      <c r="BA1791" s="518">
        <f t="shared" ca="1" si="94"/>
        <v>61</v>
      </c>
      <c r="BB1791" s="174">
        <f t="shared" ca="1" si="95"/>
        <v>1728</v>
      </c>
      <c r="BC1791" s="525" t="e">
        <f ca="1">MATCH(BD1791,OFFSET(Pinlist!$A$2,BC1790*(BA1791=BA1790),0,$BM$23,1),0)+BC1790*(BA1791=BA1790)</f>
        <v>#N/A</v>
      </c>
      <c r="BD1791" s="167">
        <f t="shared" ca="1" si="96"/>
        <v>0</v>
      </c>
      <c r="BE1791" s="191" t="e">
        <f ca="1">(OFFSET(Pinlist!$E$1,BC1791,0)-$BN$16)*$BN$19</f>
        <v>#N/A</v>
      </c>
      <c r="BF1791" s="192" t="e">
        <f ca="1">(OFFSET(Pinlist!$F$1,BC1791,0)-$BO$16)*$BO$19</f>
        <v>#N/A</v>
      </c>
      <c r="BG1791" s="1098" t="str">
        <f ca="1">IF(LEFT(BD1791,2)="RF",OFFSET(Pinlist!$D$1,Chart!BC1791,0)&amp;"_"&amp;OFFSET(Pinlist!$G$1,Chart!BC1791,0),"")</f>
        <v/>
      </c>
      <c r="BH1791" s="1098"/>
      <c r="BI1791" s="178"/>
      <c r="BJ1791" s="178"/>
      <c r="BK1791" s="178"/>
      <c r="BL1791" s="178"/>
      <c r="BM1791" s="178"/>
      <c r="BN1791" s="178"/>
      <c r="BO1791" s="178"/>
      <c r="BP1791" s="178"/>
      <c r="BQ1791" s="196"/>
      <c r="BR1791" s="196"/>
      <c r="BS1791" s="196"/>
      <c r="BT1791" s="196"/>
      <c r="BU1791" s="196"/>
      <c r="BV1791" s="196"/>
      <c r="BW1791" s="178"/>
      <c r="BX1791" s="196"/>
      <c r="BY1791" s="196"/>
      <c r="BZ1791" s="196"/>
      <c r="CA1791" s="196"/>
      <c r="CB1791" s="178"/>
      <c r="CC1791" s="178"/>
      <c r="CD1791" s="202"/>
      <c r="CE1791" s="202"/>
      <c r="CF1791" s="178"/>
      <c r="CG1791" s="196"/>
      <c r="CH1791" s="178"/>
      <c r="CI1791" s="178"/>
      <c r="CJ1791" s="178"/>
      <c r="CK1791" s="178"/>
      <c r="CL1791" s="178"/>
      <c r="CM1791" s="178"/>
      <c r="CN1791" s="178"/>
      <c r="CO1791" s="178"/>
      <c r="CP1791" s="178"/>
      <c r="CQ1791" s="178"/>
      <c r="CR1791" s="178"/>
      <c r="CS1791" s="178"/>
      <c r="CT1791" s="178"/>
      <c r="CU1791" s="178"/>
      <c r="CV1791" s="178"/>
      <c r="CW1791" s="178"/>
      <c r="CX1791" s="178"/>
      <c r="CY1791" s="178"/>
      <c r="CZ1791" s="178"/>
      <c r="DA1791" s="150"/>
    </row>
    <row r="1792" spans="53:105" x14ac:dyDescent="0.2">
      <c r="BA1792" s="518">
        <f t="shared" ca="1" si="94"/>
        <v>61</v>
      </c>
      <c r="BB1792" s="174">
        <f t="shared" ca="1" si="95"/>
        <v>1729</v>
      </c>
      <c r="BC1792" s="525" t="e">
        <f ca="1">MATCH(BD1792,OFFSET(Pinlist!$A$2,BC1791*(BA1792=BA1791),0,$BM$23,1),0)+BC1791*(BA1792=BA1791)</f>
        <v>#N/A</v>
      </c>
      <c r="BD1792" s="167">
        <f t="shared" ca="1" si="96"/>
        <v>0</v>
      </c>
      <c r="BE1792" s="191" t="e">
        <f ca="1">(OFFSET(Pinlist!$E$1,BC1792,0)-$BN$16)*$BN$19</f>
        <v>#N/A</v>
      </c>
      <c r="BF1792" s="192" t="e">
        <f ca="1">(OFFSET(Pinlist!$F$1,BC1792,0)-$BO$16)*$BO$19</f>
        <v>#N/A</v>
      </c>
      <c r="BG1792" s="1098" t="str">
        <f ca="1">IF(LEFT(BD1792,2)="RF",OFFSET(Pinlist!$D$1,Chart!BC1792,0)&amp;"_"&amp;OFFSET(Pinlist!$G$1,Chart!BC1792,0),"")</f>
        <v/>
      </c>
      <c r="BH1792" s="1098"/>
      <c r="BI1792" s="178"/>
      <c r="BJ1792" s="178"/>
      <c r="BK1792" s="178"/>
      <c r="BL1792" s="178"/>
      <c r="BM1792" s="178"/>
      <c r="BN1792" s="178"/>
      <c r="BO1792" s="178"/>
      <c r="BP1792" s="178"/>
      <c r="BQ1792" s="196"/>
      <c r="BR1792" s="196"/>
      <c r="BS1792" s="196"/>
      <c r="BT1792" s="196"/>
      <c r="BU1792" s="196"/>
      <c r="BV1792" s="196"/>
      <c r="BW1792" s="178"/>
      <c r="BX1792" s="196"/>
      <c r="BY1792" s="196"/>
      <c r="BZ1792" s="196"/>
      <c r="CA1792" s="196"/>
      <c r="CB1792" s="178"/>
      <c r="CC1792" s="178"/>
      <c r="CD1792" s="202"/>
      <c r="CE1792" s="202"/>
      <c r="CF1792" s="178"/>
      <c r="CG1792" s="196"/>
      <c r="CH1792" s="178"/>
      <c r="CI1792" s="178"/>
      <c r="CJ1792" s="178"/>
      <c r="CK1792" s="178"/>
      <c r="CL1792" s="178"/>
      <c r="CM1792" s="178"/>
      <c r="CN1792" s="178"/>
      <c r="CO1792" s="178"/>
      <c r="CP1792" s="178"/>
      <c r="CQ1792" s="178"/>
      <c r="CR1792" s="178"/>
      <c r="CS1792" s="178"/>
      <c r="CT1792" s="178"/>
      <c r="CU1792" s="178"/>
      <c r="CV1792" s="178"/>
      <c r="CW1792" s="178"/>
      <c r="CX1792" s="178"/>
      <c r="CY1792" s="178"/>
      <c r="CZ1792" s="178"/>
      <c r="DA1792" s="150"/>
    </row>
    <row r="1793" spans="53:105" x14ac:dyDescent="0.2">
      <c r="BA1793" s="518">
        <f t="shared" ca="1" si="94"/>
        <v>61</v>
      </c>
      <c r="BB1793" s="174">
        <f t="shared" ca="1" si="95"/>
        <v>1730</v>
      </c>
      <c r="BC1793" s="525" t="e">
        <f ca="1">MATCH(BD1793,OFFSET(Pinlist!$A$2,BC1792*(BA1793=BA1792),0,$BM$23,1),0)+BC1792*(BA1793=BA1792)</f>
        <v>#N/A</v>
      </c>
      <c r="BD1793" s="167">
        <f t="shared" ca="1" si="96"/>
        <v>0</v>
      </c>
      <c r="BE1793" s="191" t="e">
        <f ca="1">(OFFSET(Pinlist!$E$1,BC1793,0)-$BN$16)*$BN$19</f>
        <v>#N/A</v>
      </c>
      <c r="BF1793" s="192" t="e">
        <f ca="1">(OFFSET(Pinlist!$F$1,BC1793,0)-$BO$16)*$BO$19</f>
        <v>#N/A</v>
      </c>
      <c r="BG1793" s="1098" t="str">
        <f ca="1">IF(LEFT(BD1793,2)="RF",OFFSET(Pinlist!$D$1,Chart!BC1793,0)&amp;"_"&amp;OFFSET(Pinlist!$G$1,Chart!BC1793,0),"")</f>
        <v/>
      </c>
      <c r="BH1793" s="1098"/>
      <c r="BI1793" s="178"/>
      <c r="BJ1793" s="178"/>
      <c r="BK1793" s="178"/>
      <c r="BL1793" s="178"/>
      <c r="BM1793" s="178"/>
      <c r="BN1793" s="178"/>
      <c r="BO1793" s="178"/>
      <c r="BP1793" s="178"/>
      <c r="BQ1793" s="196"/>
      <c r="BR1793" s="196"/>
      <c r="BS1793" s="196"/>
      <c r="BT1793" s="196"/>
      <c r="BU1793" s="196"/>
      <c r="BV1793" s="196"/>
      <c r="BW1793" s="178"/>
      <c r="BX1793" s="196"/>
      <c r="BY1793" s="196"/>
      <c r="BZ1793" s="196"/>
      <c r="CA1793" s="196"/>
      <c r="CB1793" s="178"/>
      <c r="CC1793" s="178"/>
      <c r="CD1793" s="202"/>
      <c r="CE1793" s="202"/>
      <c r="CF1793" s="178"/>
      <c r="CG1793" s="196"/>
      <c r="CH1793" s="178"/>
      <c r="CI1793" s="178"/>
      <c r="CJ1793" s="178"/>
      <c r="CK1793" s="178"/>
      <c r="CL1793" s="178"/>
      <c r="CM1793" s="178"/>
      <c r="CN1793" s="178"/>
      <c r="CO1793" s="178"/>
      <c r="CP1793" s="178"/>
      <c r="CQ1793" s="178"/>
      <c r="CR1793" s="178"/>
      <c r="CS1793" s="178"/>
      <c r="CT1793" s="178"/>
      <c r="CU1793" s="178"/>
      <c r="CV1793" s="178"/>
      <c r="CW1793" s="178"/>
      <c r="CX1793" s="178"/>
      <c r="CY1793" s="178"/>
      <c r="CZ1793" s="178"/>
      <c r="DA1793" s="150"/>
    </row>
    <row r="1794" spans="53:105" x14ac:dyDescent="0.2">
      <c r="BA1794" s="518">
        <f t="shared" ca="1" si="94"/>
        <v>61</v>
      </c>
      <c r="BB1794" s="174">
        <f t="shared" ca="1" si="95"/>
        <v>1731</v>
      </c>
      <c r="BC1794" s="525" t="e">
        <f ca="1">MATCH(BD1794,OFFSET(Pinlist!$A$2,BC1793*(BA1794=BA1793),0,$BM$23,1),0)+BC1793*(BA1794=BA1793)</f>
        <v>#N/A</v>
      </c>
      <c r="BD1794" s="167">
        <f t="shared" ca="1" si="96"/>
        <v>0</v>
      </c>
      <c r="BE1794" s="191" t="e">
        <f ca="1">(OFFSET(Pinlist!$E$1,BC1794,0)-$BN$16)*$BN$19</f>
        <v>#N/A</v>
      </c>
      <c r="BF1794" s="192" t="e">
        <f ca="1">(OFFSET(Pinlist!$F$1,BC1794,0)-$BO$16)*$BO$19</f>
        <v>#N/A</v>
      </c>
      <c r="BG1794" s="1098" t="str">
        <f ca="1">IF(LEFT(BD1794,2)="RF",OFFSET(Pinlist!$D$1,Chart!BC1794,0)&amp;"_"&amp;OFFSET(Pinlist!$G$1,Chart!BC1794,0),"")</f>
        <v/>
      </c>
      <c r="BH1794" s="1098"/>
      <c r="BI1794" s="178"/>
      <c r="BJ1794" s="178"/>
      <c r="BK1794" s="178"/>
      <c r="BL1794" s="178"/>
      <c r="BM1794" s="178"/>
      <c r="BN1794" s="178"/>
      <c r="BO1794" s="178"/>
      <c r="BP1794" s="178"/>
      <c r="BQ1794" s="196"/>
      <c r="BR1794" s="196"/>
      <c r="BS1794" s="196"/>
      <c r="BT1794" s="196"/>
      <c r="BU1794" s="196"/>
      <c r="BV1794" s="196"/>
      <c r="BW1794" s="178"/>
      <c r="BX1794" s="196"/>
      <c r="BY1794" s="196"/>
      <c r="BZ1794" s="196"/>
      <c r="CA1794" s="196"/>
      <c r="CB1794" s="178"/>
      <c r="CC1794" s="178"/>
      <c r="CD1794" s="202"/>
      <c r="CE1794" s="202"/>
      <c r="CF1794" s="178"/>
      <c r="CG1794" s="196"/>
      <c r="CH1794" s="178"/>
      <c r="CI1794" s="178"/>
      <c r="CJ1794" s="178"/>
      <c r="CK1794" s="178"/>
      <c r="CL1794" s="178"/>
      <c r="CM1794" s="178"/>
      <c r="CN1794" s="178"/>
      <c r="CO1794" s="178"/>
      <c r="CP1794" s="178"/>
      <c r="CQ1794" s="178"/>
      <c r="CR1794" s="178"/>
      <c r="CS1794" s="178"/>
      <c r="CT1794" s="178"/>
      <c r="CU1794" s="178"/>
      <c r="CV1794" s="178"/>
      <c r="CW1794" s="178"/>
      <c r="CX1794" s="178"/>
      <c r="CY1794" s="178"/>
      <c r="CZ1794" s="178"/>
      <c r="DA1794" s="150"/>
    </row>
    <row r="1795" spans="53:105" x14ac:dyDescent="0.2">
      <c r="BA1795" s="518">
        <f t="shared" ca="1" si="94"/>
        <v>61</v>
      </c>
      <c r="BB1795" s="174">
        <f t="shared" ca="1" si="95"/>
        <v>1732</v>
      </c>
      <c r="BC1795" s="525" t="e">
        <f ca="1">MATCH(BD1795,OFFSET(Pinlist!$A$2,BC1794*(BA1795=BA1794),0,$BM$23,1),0)+BC1794*(BA1795=BA1794)</f>
        <v>#N/A</v>
      </c>
      <c r="BD1795" s="167">
        <f t="shared" ca="1" si="96"/>
        <v>0</v>
      </c>
      <c r="BE1795" s="191" t="e">
        <f ca="1">(OFFSET(Pinlist!$E$1,BC1795,0)-$BN$16)*$BN$19</f>
        <v>#N/A</v>
      </c>
      <c r="BF1795" s="192" t="e">
        <f ca="1">(OFFSET(Pinlist!$F$1,BC1795,0)-$BO$16)*$BO$19</f>
        <v>#N/A</v>
      </c>
      <c r="BG1795" s="1098" t="str">
        <f ca="1">IF(LEFT(BD1795,2)="RF",OFFSET(Pinlist!$D$1,Chart!BC1795,0)&amp;"_"&amp;OFFSET(Pinlist!$G$1,Chart!BC1795,0),"")</f>
        <v/>
      </c>
      <c r="BH1795" s="1098"/>
      <c r="BI1795" s="178"/>
      <c r="BJ1795" s="178"/>
      <c r="BK1795" s="178"/>
      <c r="BL1795" s="178"/>
      <c r="BM1795" s="178"/>
      <c r="BN1795" s="178"/>
      <c r="BO1795" s="178"/>
      <c r="BP1795" s="178"/>
      <c r="BQ1795" s="196"/>
      <c r="BR1795" s="196"/>
      <c r="BS1795" s="196"/>
      <c r="BT1795" s="196"/>
      <c r="BU1795" s="196"/>
      <c r="BV1795" s="196"/>
      <c r="BW1795" s="178"/>
      <c r="BX1795" s="196"/>
      <c r="BY1795" s="196"/>
      <c r="BZ1795" s="196"/>
      <c r="CA1795" s="196"/>
      <c r="CB1795" s="178"/>
      <c r="CC1795" s="178"/>
      <c r="CD1795" s="202"/>
      <c r="CE1795" s="202"/>
      <c r="CF1795" s="178"/>
      <c r="CG1795" s="196"/>
      <c r="CH1795" s="178"/>
      <c r="CI1795" s="178"/>
      <c r="CJ1795" s="178"/>
      <c r="CK1795" s="178"/>
      <c r="CL1795" s="178"/>
      <c r="CM1795" s="178"/>
      <c r="CN1795" s="178"/>
      <c r="CO1795" s="178"/>
      <c r="CP1795" s="178"/>
      <c r="CQ1795" s="178"/>
      <c r="CR1795" s="178"/>
      <c r="CS1795" s="178"/>
      <c r="CT1795" s="178"/>
      <c r="CU1795" s="178"/>
      <c r="CV1795" s="178"/>
      <c r="CW1795" s="178"/>
      <c r="CX1795" s="178"/>
      <c r="CY1795" s="178"/>
      <c r="CZ1795" s="178"/>
      <c r="DA1795" s="150"/>
    </row>
    <row r="1796" spans="53:105" x14ac:dyDescent="0.2">
      <c r="BA1796" s="518">
        <f t="shared" ref="BA1796:BA1859" ca="1" si="97">BA1795+(BB1795=OFFSET($BZ$3,BA1795,0))</f>
        <v>61</v>
      </c>
      <c r="BB1796" s="174">
        <f t="shared" ref="BB1796:BB1859" ca="1" si="98">IF(BA1796=BA1795,BB1795+1,1)</f>
        <v>1733</v>
      </c>
      <c r="BC1796" s="525" t="e">
        <f ca="1">MATCH(BD1796,OFFSET(Pinlist!$A$2,BC1795*(BA1796=BA1795),0,$BM$23,1),0)+BC1795*(BA1796=BA1795)</f>
        <v>#N/A</v>
      </c>
      <c r="BD1796" s="167">
        <f t="shared" ref="BD1796:BD1859" ca="1" si="99">OFFSET($BY$3,BA1796,0)</f>
        <v>0</v>
      </c>
      <c r="BE1796" s="191" t="e">
        <f ca="1">(OFFSET(Pinlist!$E$1,BC1796,0)-$BN$16)*$BN$19</f>
        <v>#N/A</v>
      </c>
      <c r="BF1796" s="192" t="e">
        <f ca="1">(OFFSET(Pinlist!$F$1,BC1796,0)-$BO$16)*$BO$19</f>
        <v>#N/A</v>
      </c>
      <c r="BG1796" s="1098" t="str">
        <f ca="1">IF(LEFT(BD1796,2)="RF",OFFSET(Pinlist!$D$1,Chart!BC1796,0)&amp;"_"&amp;OFFSET(Pinlist!$G$1,Chart!BC1796,0),"")</f>
        <v/>
      </c>
      <c r="BH1796" s="1098"/>
      <c r="BI1796" s="178"/>
      <c r="BJ1796" s="178"/>
      <c r="BK1796" s="178"/>
      <c r="BL1796" s="178"/>
      <c r="BM1796" s="178"/>
      <c r="BN1796" s="178"/>
      <c r="BO1796" s="178"/>
      <c r="BP1796" s="178"/>
      <c r="BQ1796" s="196"/>
      <c r="BR1796" s="196"/>
      <c r="BS1796" s="196"/>
      <c r="BT1796" s="196"/>
      <c r="BU1796" s="196"/>
      <c r="BV1796" s="196"/>
      <c r="BW1796" s="178"/>
      <c r="BX1796" s="196"/>
      <c r="BY1796" s="196"/>
      <c r="BZ1796" s="196"/>
      <c r="CA1796" s="196"/>
      <c r="CB1796" s="178"/>
      <c r="CC1796" s="178"/>
      <c r="CD1796" s="202"/>
      <c r="CE1796" s="202"/>
      <c r="CF1796" s="178"/>
      <c r="CG1796" s="196"/>
      <c r="CH1796" s="178"/>
      <c r="CI1796" s="178"/>
      <c r="CJ1796" s="178"/>
      <c r="CK1796" s="178"/>
      <c r="CL1796" s="178"/>
      <c r="CM1796" s="178"/>
      <c r="CN1796" s="178"/>
      <c r="CO1796" s="178"/>
      <c r="CP1796" s="178"/>
      <c r="CQ1796" s="178"/>
      <c r="CR1796" s="178"/>
      <c r="CS1796" s="178"/>
      <c r="CT1796" s="178"/>
      <c r="CU1796" s="178"/>
      <c r="CV1796" s="178"/>
      <c r="CW1796" s="178"/>
      <c r="CX1796" s="178"/>
      <c r="CY1796" s="178"/>
      <c r="CZ1796" s="178"/>
      <c r="DA1796" s="150"/>
    </row>
    <row r="1797" spans="53:105" x14ac:dyDescent="0.2">
      <c r="BA1797" s="518">
        <f t="shared" ca="1" si="97"/>
        <v>61</v>
      </c>
      <c r="BB1797" s="174">
        <f t="shared" ca="1" si="98"/>
        <v>1734</v>
      </c>
      <c r="BC1797" s="525" t="e">
        <f ca="1">MATCH(BD1797,OFFSET(Pinlist!$A$2,BC1796*(BA1797=BA1796),0,$BM$23,1),0)+BC1796*(BA1797=BA1796)</f>
        <v>#N/A</v>
      </c>
      <c r="BD1797" s="167">
        <f t="shared" ca="1" si="99"/>
        <v>0</v>
      </c>
      <c r="BE1797" s="191" t="e">
        <f ca="1">(OFFSET(Pinlist!$E$1,BC1797,0)-$BN$16)*$BN$19</f>
        <v>#N/A</v>
      </c>
      <c r="BF1797" s="192" t="e">
        <f ca="1">(OFFSET(Pinlist!$F$1,BC1797,0)-$BO$16)*$BO$19</f>
        <v>#N/A</v>
      </c>
      <c r="BG1797" s="1098" t="str">
        <f ca="1">IF(LEFT(BD1797,2)="RF",OFFSET(Pinlist!$D$1,Chart!BC1797,0)&amp;"_"&amp;OFFSET(Pinlist!$G$1,Chart!BC1797,0),"")</f>
        <v/>
      </c>
      <c r="BH1797" s="1098"/>
      <c r="BI1797" s="178"/>
      <c r="BJ1797" s="178"/>
      <c r="BK1797" s="178"/>
      <c r="BL1797" s="178"/>
      <c r="BM1797" s="178"/>
      <c r="BN1797" s="178"/>
      <c r="BO1797" s="178"/>
      <c r="BP1797" s="178"/>
      <c r="BQ1797" s="196"/>
      <c r="BR1797" s="196"/>
      <c r="BS1797" s="196"/>
      <c r="BT1797" s="196"/>
      <c r="BU1797" s="196"/>
      <c r="BV1797" s="196"/>
      <c r="BW1797" s="178"/>
      <c r="BX1797" s="196"/>
      <c r="BY1797" s="196"/>
      <c r="BZ1797" s="196"/>
      <c r="CA1797" s="196"/>
      <c r="CB1797" s="178"/>
      <c r="CC1797" s="178"/>
      <c r="CD1797" s="202"/>
      <c r="CE1797" s="202"/>
      <c r="CF1797" s="178"/>
      <c r="CG1797" s="196"/>
      <c r="CH1797" s="178"/>
      <c r="CI1797" s="178"/>
      <c r="CJ1797" s="178"/>
      <c r="CK1797" s="178"/>
      <c r="CL1797" s="178"/>
      <c r="CM1797" s="178"/>
      <c r="CN1797" s="178"/>
      <c r="CO1797" s="178"/>
      <c r="CP1797" s="178"/>
      <c r="CQ1797" s="178"/>
      <c r="CR1797" s="178"/>
      <c r="CS1797" s="178"/>
      <c r="CT1797" s="178"/>
      <c r="CU1797" s="178"/>
      <c r="CV1797" s="178"/>
      <c r="CW1797" s="178"/>
      <c r="CX1797" s="178"/>
      <c r="CY1797" s="178"/>
      <c r="CZ1797" s="178"/>
      <c r="DA1797" s="150"/>
    </row>
    <row r="1798" spans="53:105" x14ac:dyDescent="0.2">
      <c r="BA1798" s="518">
        <f t="shared" ca="1" si="97"/>
        <v>61</v>
      </c>
      <c r="BB1798" s="174">
        <f t="shared" ca="1" si="98"/>
        <v>1735</v>
      </c>
      <c r="BC1798" s="525" t="e">
        <f ca="1">MATCH(BD1798,OFFSET(Pinlist!$A$2,BC1797*(BA1798=BA1797),0,$BM$23,1),0)+BC1797*(BA1798=BA1797)</f>
        <v>#N/A</v>
      </c>
      <c r="BD1798" s="167">
        <f t="shared" ca="1" si="99"/>
        <v>0</v>
      </c>
      <c r="BE1798" s="191" t="e">
        <f ca="1">(OFFSET(Pinlist!$E$1,BC1798,0)-$BN$16)*$BN$19</f>
        <v>#N/A</v>
      </c>
      <c r="BF1798" s="192" t="e">
        <f ca="1">(OFFSET(Pinlist!$F$1,BC1798,0)-$BO$16)*$BO$19</f>
        <v>#N/A</v>
      </c>
      <c r="BG1798" s="1098" t="str">
        <f ca="1">IF(LEFT(BD1798,2)="RF",OFFSET(Pinlist!$D$1,Chart!BC1798,0)&amp;"_"&amp;OFFSET(Pinlist!$G$1,Chart!BC1798,0),"")</f>
        <v/>
      </c>
      <c r="BH1798" s="1098"/>
      <c r="BI1798" s="178"/>
      <c r="BJ1798" s="178"/>
      <c r="BK1798" s="178"/>
      <c r="BL1798" s="178"/>
      <c r="BM1798" s="178"/>
      <c r="BN1798" s="178"/>
      <c r="BO1798" s="178"/>
      <c r="BP1798" s="178"/>
      <c r="BQ1798" s="196"/>
      <c r="BR1798" s="196"/>
      <c r="BS1798" s="196"/>
      <c r="BT1798" s="196"/>
      <c r="BU1798" s="196"/>
      <c r="BV1798" s="196"/>
      <c r="BW1798" s="178"/>
      <c r="BX1798" s="196"/>
      <c r="BY1798" s="196"/>
      <c r="BZ1798" s="196"/>
      <c r="CA1798" s="196"/>
      <c r="CB1798" s="178"/>
      <c r="CC1798" s="178"/>
      <c r="CD1798" s="202"/>
      <c r="CE1798" s="202"/>
      <c r="CF1798" s="178"/>
      <c r="CG1798" s="196"/>
      <c r="CH1798" s="178"/>
      <c r="CI1798" s="178"/>
      <c r="CJ1798" s="178"/>
      <c r="CK1798" s="178"/>
      <c r="CL1798" s="178"/>
      <c r="CM1798" s="178"/>
      <c r="CN1798" s="178"/>
      <c r="CO1798" s="178"/>
      <c r="CP1798" s="178"/>
      <c r="CQ1798" s="178"/>
      <c r="CR1798" s="178"/>
      <c r="CS1798" s="178"/>
      <c r="CT1798" s="178"/>
      <c r="CU1798" s="178"/>
      <c r="CV1798" s="178"/>
      <c r="CW1798" s="178"/>
      <c r="CX1798" s="178"/>
      <c r="CY1798" s="178"/>
      <c r="CZ1798" s="178"/>
      <c r="DA1798" s="150"/>
    </row>
    <row r="1799" spans="53:105" x14ac:dyDescent="0.2">
      <c r="BA1799" s="518">
        <f t="shared" ca="1" si="97"/>
        <v>61</v>
      </c>
      <c r="BB1799" s="174">
        <f t="shared" ca="1" si="98"/>
        <v>1736</v>
      </c>
      <c r="BC1799" s="525" t="e">
        <f ca="1">MATCH(BD1799,OFFSET(Pinlist!$A$2,BC1798*(BA1799=BA1798),0,$BM$23,1),0)+BC1798*(BA1799=BA1798)</f>
        <v>#N/A</v>
      </c>
      <c r="BD1799" s="167">
        <f t="shared" ca="1" si="99"/>
        <v>0</v>
      </c>
      <c r="BE1799" s="191" t="e">
        <f ca="1">(OFFSET(Pinlist!$E$1,BC1799,0)-$BN$16)*$BN$19</f>
        <v>#N/A</v>
      </c>
      <c r="BF1799" s="192" t="e">
        <f ca="1">(OFFSET(Pinlist!$F$1,BC1799,0)-$BO$16)*$BO$19</f>
        <v>#N/A</v>
      </c>
      <c r="BG1799" s="1098" t="str">
        <f ca="1">IF(LEFT(BD1799,2)="RF",OFFSET(Pinlist!$D$1,Chart!BC1799,0)&amp;"_"&amp;OFFSET(Pinlist!$G$1,Chart!BC1799,0),"")</f>
        <v/>
      </c>
      <c r="BH1799" s="1098"/>
      <c r="BI1799" s="178"/>
      <c r="BJ1799" s="178"/>
      <c r="BK1799" s="178"/>
      <c r="BL1799" s="178"/>
      <c r="BM1799" s="178"/>
      <c r="BN1799" s="178"/>
      <c r="BO1799" s="178"/>
      <c r="BP1799" s="178"/>
      <c r="BQ1799" s="196"/>
      <c r="BR1799" s="196"/>
      <c r="BS1799" s="196"/>
      <c r="BT1799" s="196"/>
      <c r="BU1799" s="196"/>
      <c r="BV1799" s="196"/>
      <c r="BW1799" s="178"/>
      <c r="BX1799" s="196"/>
      <c r="BY1799" s="196"/>
      <c r="BZ1799" s="196"/>
      <c r="CA1799" s="196"/>
      <c r="CB1799" s="178"/>
      <c r="CC1799" s="178"/>
      <c r="CD1799" s="202"/>
      <c r="CE1799" s="202"/>
      <c r="CF1799" s="178"/>
      <c r="CG1799" s="196"/>
      <c r="CH1799" s="178"/>
      <c r="CI1799" s="178"/>
      <c r="CJ1799" s="178"/>
      <c r="CK1799" s="178"/>
      <c r="CL1799" s="178"/>
      <c r="CM1799" s="178"/>
      <c r="CN1799" s="178"/>
      <c r="CO1799" s="178"/>
      <c r="CP1799" s="178"/>
      <c r="CQ1799" s="178"/>
      <c r="CR1799" s="178"/>
      <c r="CS1799" s="178"/>
      <c r="CT1799" s="178"/>
      <c r="CU1799" s="178"/>
      <c r="CV1799" s="178"/>
      <c r="CW1799" s="178"/>
      <c r="CX1799" s="178"/>
      <c r="CY1799" s="178"/>
      <c r="CZ1799" s="178"/>
      <c r="DA1799" s="150"/>
    </row>
    <row r="1800" spans="53:105" x14ac:dyDescent="0.2">
      <c r="BA1800" s="518">
        <f t="shared" ca="1" si="97"/>
        <v>61</v>
      </c>
      <c r="BB1800" s="174">
        <f t="shared" ca="1" si="98"/>
        <v>1737</v>
      </c>
      <c r="BC1800" s="525" t="e">
        <f ca="1">MATCH(BD1800,OFFSET(Pinlist!$A$2,BC1799*(BA1800=BA1799),0,$BM$23,1),0)+BC1799*(BA1800=BA1799)</f>
        <v>#N/A</v>
      </c>
      <c r="BD1800" s="167">
        <f t="shared" ca="1" si="99"/>
        <v>0</v>
      </c>
      <c r="BE1800" s="191" t="e">
        <f ca="1">(OFFSET(Pinlist!$E$1,BC1800,0)-$BN$16)*$BN$19</f>
        <v>#N/A</v>
      </c>
      <c r="BF1800" s="192" t="e">
        <f ca="1">(OFFSET(Pinlist!$F$1,BC1800,0)-$BO$16)*$BO$19</f>
        <v>#N/A</v>
      </c>
      <c r="BG1800" s="1098" t="str">
        <f ca="1">IF(LEFT(BD1800,2)="RF",OFFSET(Pinlist!$D$1,Chart!BC1800,0)&amp;"_"&amp;OFFSET(Pinlist!$G$1,Chart!BC1800,0),"")</f>
        <v/>
      </c>
      <c r="BH1800" s="1098"/>
      <c r="BI1800" s="178"/>
      <c r="BJ1800" s="178"/>
      <c r="BK1800" s="178"/>
      <c r="BL1800" s="178"/>
      <c r="BM1800" s="178"/>
      <c r="BN1800" s="178"/>
      <c r="BO1800" s="178"/>
      <c r="BP1800" s="178"/>
      <c r="BQ1800" s="196"/>
      <c r="BR1800" s="196"/>
      <c r="BS1800" s="196"/>
      <c r="BT1800" s="196"/>
      <c r="BU1800" s="196"/>
      <c r="BV1800" s="196"/>
      <c r="BW1800" s="178"/>
      <c r="BX1800" s="196"/>
      <c r="BY1800" s="196"/>
      <c r="BZ1800" s="196"/>
      <c r="CA1800" s="196"/>
      <c r="CB1800" s="178"/>
      <c r="CC1800" s="178"/>
      <c r="CD1800" s="202"/>
      <c r="CE1800" s="202"/>
      <c r="CF1800" s="178"/>
      <c r="CG1800" s="196"/>
      <c r="CH1800" s="178"/>
      <c r="CI1800" s="178"/>
      <c r="CJ1800" s="178"/>
      <c r="CK1800" s="178"/>
      <c r="CL1800" s="178"/>
      <c r="CM1800" s="178"/>
      <c r="CN1800" s="178"/>
      <c r="CO1800" s="178"/>
      <c r="CP1800" s="178"/>
      <c r="CQ1800" s="178"/>
      <c r="CR1800" s="178"/>
      <c r="CS1800" s="178"/>
      <c r="CT1800" s="178"/>
      <c r="CU1800" s="178"/>
      <c r="CV1800" s="178"/>
      <c r="CW1800" s="178"/>
      <c r="CX1800" s="178"/>
      <c r="CY1800" s="178"/>
      <c r="CZ1800" s="178"/>
      <c r="DA1800" s="150"/>
    </row>
    <row r="1801" spans="53:105" x14ac:dyDescent="0.2">
      <c r="BA1801" s="518">
        <f t="shared" ca="1" si="97"/>
        <v>61</v>
      </c>
      <c r="BB1801" s="174">
        <f t="shared" ca="1" si="98"/>
        <v>1738</v>
      </c>
      <c r="BC1801" s="525" t="e">
        <f ca="1">MATCH(BD1801,OFFSET(Pinlist!$A$2,BC1800*(BA1801=BA1800),0,$BM$23,1),0)+BC1800*(BA1801=BA1800)</f>
        <v>#N/A</v>
      </c>
      <c r="BD1801" s="167">
        <f t="shared" ca="1" si="99"/>
        <v>0</v>
      </c>
      <c r="BE1801" s="191" t="e">
        <f ca="1">(OFFSET(Pinlist!$E$1,BC1801,0)-$BN$16)*$BN$19</f>
        <v>#N/A</v>
      </c>
      <c r="BF1801" s="192" t="e">
        <f ca="1">(OFFSET(Pinlist!$F$1,BC1801,0)-$BO$16)*$BO$19</f>
        <v>#N/A</v>
      </c>
      <c r="BG1801" s="1098" t="str">
        <f ca="1">IF(LEFT(BD1801,2)="RF",OFFSET(Pinlist!$D$1,Chart!BC1801,0)&amp;"_"&amp;OFFSET(Pinlist!$G$1,Chart!BC1801,0),"")</f>
        <v/>
      </c>
      <c r="BH1801" s="1098"/>
      <c r="BI1801" s="178"/>
      <c r="BJ1801" s="178"/>
      <c r="BK1801" s="178"/>
      <c r="BL1801" s="178"/>
      <c r="BM1801" s="178"/>
      <c r="BN1801" s="178"/>
      <c r="BO1801" s="178"/>
      <c r="BP1801" s="178"/>
      <c r="BQ1801" s="196"/>
      <c r="BR1801" s="196"/>
      <c r="BS1801" s="196"/>
      <c r="BT1801" s="196"/>
      <c r="BU1801" s="196"/>
      <c r="BV1801" s="196"/>
      <c r="BW1801" s="178"/>
      <c r="BX1801" s="196"/>
      <c r="BY1801" s="196"/>
      <c r="BZ1801" s="196"/>
      <c r="CA1801" s="196"/>
      <c r="CB1801" s="178"/>
      <c r="CC1801" s="178"/>
      <c r="CD1801" s="202"/>
      <c r="CE1801" s="202"/>
      <c r="CF1801" s="178"/>
      <c r="CG1801" s="196"/>
      <c r="CH1801" s="178"/>
      <c r="CI1801" s="178"/>
      <c r="CJ1801" s="178"/>
      <c r="CK1801" s="178"/>
      <c r="CL1801" s="178"/>
      <c r="CM1801" s="178"/>
      <c r="CN1801" s="178"/>
      <c r="CO1801" s="178"/>
      <c r="CP1801" s="178"/>
      <c r="CQ1801" s="178"/>
      <c r="CR1801" s="178"/>
      <c r="CS1801" s="178"/>
      <c r="CT1801" s="178"/>
      <c r="CU1801" s="178"/>
      <c r="CV1801" s="178"/>
      <c r="CW1801" s="178"/>
      <c r="CX1801" s="178"/>
      <c r="CY1801" s="178"/>
      <c r="CZ1801" s="178"/>
      <c r="DA1801" s="150"/>
    </row>
    <row r="1802" spans="53:105" x14ac:dyDescent="0.2">
      <c r="BA1802" s="518">
        <f t="shared" ca="1" si="97"/>
        <v>61</v>
      </c>
      <c r="BB1802" s="174">
        <f t="shared" ca="1" si="98"/>
        <v>1739</v>
      </c>
      <c r="BC1802" s="525" t="e">
        <f ca="1">MATCH(BD1802,OFFSET(Pinlist!$A$2,BC1801*(BA1802=BA1801),0,$BM$23,1),0)+BC1801*(BA1802=BA1801)</f>
        <v>#N/A</v>
      </c>
      <c r="BD1802" s="167">
        <f t="shared" ca="1" si="99"/>
        <v>0</v>
      </c>
      <c r="BE1802" s="191" t="e">
        <f ca="1">(OFFSET(Pinlist!$E$1,BC1802,0)-$BN$16)*$BN$19</f>
        <v>#N/A</v>
      </c>
      <c r="BF1802" s="192" t="e">
        <f ca="1">(OFFSET(Pinlist!$F$1,BC1802,0)-$BO$16)*$BO$19</f>
        <v>#N/A</v>
      </c>
      <c r="BG1802" s="1098" t="str">
        <f ca="1">IF(LEFT(BD1802,2)="RF",OFFSET(Pinlist!$D$1,Chart!BC1802,0)&amp;"_"&amp;OFFSET(Pinlist!$G$1,Chart!BC1802,0),"")</f>
        <v/>
      </c>
      <c r="BH1802" s="1098"/>
      <c r="BI1802" s="178"/>
      <c r="BJ1802" s="178"/>
      <c r="BK1802" s="178"/>
      <c r="BL1802" s="178"/>
      <c r="BM1802" s="178"/>
      <c r="BN1802" s="178"/>
      <c r="BO1802" s="178"/>
      <c r="BP1802" s="178"/>
      <c r="BQ1802" s="196"/>
      <c r="BR1802" s="196"/>
      <c r="BS1802" s="196"/>
      <c r="BT1802" s="196"/>
      <c r="BU1802" s="196"/>
      <c r="BV1802" s="196"/>
      <c r="BW1802" s="178"/>
      <c r="BX1802" s="196"/>
      <c r="BY1802" s="196"/>
      <c r="BZ1802" s="196"/>
      <c r="CA1802" s="196"/>
      <c r="CB1802" s="178"/>
      <c r="CC1802" s="178"/>
      <c r="CD1802" s="202"/>
      <c r="CE1802" s="202"/>
      <c r="CF1802" s="178"/>
      <c r="CG1802" s="196"/>
      <c r="CH1802" s="178"/>
      <c r="CI1802" s="178"/>
      <c r="CJ1802" s="178"/>
      <c r="CK1802" s="178"/>
      <c r="CL1802" s="178"/>
      <c r="CM1802" s="178"/>
      <c r="CN1802" s="178"/>
      <c r="CO1802" s="178"/>
      <c r="CP1802" s="178"/>
      <c r="CQ1802" s="178"/>
      <c r="CR1802" s="178"/>
      <c r="CS1802" s="178"/>
      <c r="CT1802" s="178"/>
      <c r="CU1802" s="178"/>
      <c r="CV1802" s="178"/>
      <c r="CW1802" s="178"/>
      <c r="CX1802" s="178"/>
      <c r="CY1802" s="178"/>
      <c r="CZ1802" s="178"/>
      <c r="DA1802" s="150"/>
    </row>
    <row r="1803" spans="53:105" x14ac:dyDescent="0.2">
      <c r="BA1803" s="518">
        <f t="shared" ca="1" si="97"/>
        <v>61</v>
      </c>
      <c r="BB1803" s="174">
        <f t="shared" ca="1" si="98"/>
        <v>1740</v>
      </c>
      <c r="BC1803" s="525" t="e">
        <f ca="1">MATCH(BD1803,OFFSET(Pinlist!$A$2,BC1802*(BA1803=BA1802),0,$BM$23,1),0)+BC1802*(BA1803=BA1802)</f>
        <v>#N/A</v>
      </c>
      <c r="BD1803" s="167">
        <f t="shared" ca="1" si="99"/>
        <v>0</v>
      </c>
      <c r="BE1803" s="191" t="e">
        <f ca="1">(OFFSET(Pinlist!$E$1,BC1803,0)-$BN$16)*$BN$19</f>
        <v>#N/A</v>
      </c>
      <c r="BF1803" s="192" t="e">
        <f ca="1">(OFFSET(Pinlist!$F$1,BC1803,0)-$BO$16)*$BO$19</f>
        <v>#N/A</v>
      </c>
      <c r="BG1803" s="1098" t="str">
        <f ca="1">IF(LEFT(BD1803,2)="RF",OFFSET(Pinlist!$D$1,Chart!BC1803,0)&amp;"_"&amp;OFFSET(Pinlist!$G$1,Chart!BC1803,0),"")</f>
        <v/>
      </c>
      <c r="BH1803" s="1098"/>
      <c r="BI1803" s="178"/>
      <c r="BJ1803" s="178"/>
      <c r="BK1803" s="178"/>
      <c r="BL1803" s="178"/>
      <c r="BM1803" s="178"/>
      <c r="BN1803" s="178"/>
      <c r="BO1803" s="178"/>
      <c r="BP1803" s="178"/>
      <c r="BQ1803" s="196"/>
      <c r="BR1803" s="196"/>
      <c r="BS1803" s="196"/>
      <c r="BT1803" s="196"/>
      <c r="BU1803" s="196"/>
      <c r="BV1803" s="196"/>
      <c r="BW1803" s="178"/>
      <c r="BX1803" s="196"/>
      <c r="BY1803" s="196"/>
      <c r="BZ1803" s="196"/>
      <c r="CA1803" s="196"/>
      <c r="CB1803" s="178"/>
      <c r="CC1803" s="178"/>
      <c r="CD1803" s="202"/>
      <c r="CE1803" s="202"/>
      <c r="CF1803" s="178"/>
      <c r="CG1803" s="196"/>
      <c r="CH1803" s="178"/>
      <c r="CI1803" s="178"/>
      <c r="CJ1803" s="178"/>
      <c r="CK1803" s="178"/>
      <c r="CL1803" s="178"/>
      <c r="CM1803" s="178"/>
      <c r="CN1803" s="178"/>
      <c r="CO1803" s="178"/>
      <c r="CP1803" s="178"/>
      <c r="CQ1803" s="178"/>
      <c r="CR1803" s="178"/>
      <c r="CS1803" s="178"/>
      <c r="CT1803" s="178"/>
      <c r="CU1803" s="178"/>
      <c r="CV1803" s="178"/>
      <c r="CW1803" s="178"/>
      <c r="CX1803" s="178"/>
      <c r="CY1803" s="178"/>
      <c r="CZ1803" s="178"/>
      <c r="DA1803" s="150"/>
    </row>
    <row r="1804" spans="53:105" x14ac:dyDescent="0.2">
      <c r="BA1804" s="518">
        <f t="shared" ca="1" si="97"/>
        <v>61</v>
      </c>
      <c r="BB1804" s="174">
        <f t="shared" ca="1" si="98"/>
        <v>1741</v>
      </c>
      <c r="BC1804" s="525" t="e">
        <f ca="1">MATCH(BD1804,OFFSET(Pinlist!$A$2,BC1803*(BA1804=BA1803),0,$BM$23,1),0)+BC1803*(BA1804=BA1803)</f>
        <v>#N/A</v>
      </c>
      <c r="BD1804" s="167">
        <f t="shared" ca="1" si="99"/>
        <v>0</v>
      </c>
      <c r="BE1804" s="191" t="e">
        <f ca="1">(OFFSET(Pinlist!$E$1,BC1804,0)-$BN$16)*$BN$19</f>
        <v>#N/A</v>
      </c>
      <c r="BF1804" s="192" t="e">
        <f ca="1">(OFFSET(Pinlist!$F$1,BC1804,0)-$BO$16)*$BO$19</f>
        <v>#N/A</v>
      </c>
      <c r="BG1804" s="1098" t="str">
        <f ca="1">IF(LEFT(BD1804,2)="RF",OFFSET(Pinlist!$D$1,Chart!BC1804,0)&amp;"_"&amp;OFFSET(Pinlist!$G$1,Chart!BC1804,0),"")</f>
        <v/>
      </c>
      <c r="BH1804" s="1098"/>
      <c r="BI1804" s="178"/>
      <c r="BJ1804" s="178"/>
      <c r="BK1804" s="178"/>
      <c r="BL1804" s="178"/>
      <c r="BM1804" s="178"/>
      <c r="BN1804" s="178"/>
      <c r="BO1804" s="178"/>
      <c r="BP1804" s="178"/>
      <c r="BQ1804" s="196"/>
      <c r="BR1804" s="196"/>
      <c r="BS1804" s="196"/>
      <c r="BT1804" s="196"/>
      <c r="BU1804" s="196"/>
      <c r="BV1804" s="196"/>
      <c r="BW1804" s="178"/>
      <c r="BX1804" s="196"/>
      <c r="BY1804" s="196"/>
      <c r="BZ1804" s="196"/>
      <c r="CA1804" s="196"/>
      <c r="CB1804" s="178"/>
      <c r="CC1804" s="178"/>
      <c r="CD1804" s="202"/>
      <c r="CE1804" s="202"/>
      <c r="CF1804" s="178"/>
      <c r="CG1804" s="196"/>
      <c r="CH1804" s="178"/>
      <c r="CI1804" s="178"/>
      <c r="CJ1804" s="178"/>
      <c r="CK1804" s="178"/>
      <c r="CL1804" s="178"/>
      <c r="CM1804" s="178"/>
      <c r="CN1804" s="178"/>
      <c r="CO1804" s="178"/>
      <c r="CP1804" s="178"/>
      <c r="CQ1804" s="178"/>
      <c r="CR1804" s="178"/>
      <c r="CS1804" s="178"/>
      <c r="CT1804" s="178"/>
      <c r="CU1804" s="178"/>
      <c r="CV1804" s="178"/>
      <c r="CW1804" s="178"/>
      <c r="CX1804" s="178"/>
      <c r="CY1804" s="178"/>
      <c r="CZ1804" s="178"/>
      <c r="DA1804" s="150"/>
    </row>
    <row r="1805" spans="53:105" x14ac:dyDescent="0.2">
      <c r="BA1805" s="518">
        <f t="shared" ca="1" si="97"/>
        <v>61</v>
      </c>
      <c r="BB1805" s="174">
        <f t="shared" ca="1" si="98"/>
        <v>1742</v>
      </c>
      <c r="BC1805" s="525" t="e">
        <f ca="1">MATCH(BD1805,OFFSET(Pinlist!$A$2,BC1804*(BA1805=BA1804),0,$BM$23,1),0)+BC1804*(BA1805=BA1804)</f>
        <v>#N/A</v>
      </c>
      <c r="BD1805" s="167">
        <f t="shared" ca="1" si="99"/>
        <v>0</v>
      </c>
      <c r="BE1805" s="191" t="e">
        <f ca="1">(OFFSET(Pinlist!$E$1,BC1805,0)-$BN$16)*$BN$19</f>
        <v>#N/A</v>
      </c>
      <c r="BF1805" s="192" t="e">
        <f ca="1">(OFFSET(Pinlist!$F$1,BC1805,0)-$BO$16)*$BO$19</f>
        <v>#N/A</v>
      </c>
      <c r="BG1805" s="1098" t="str">
        <f ca="1">IF(LEFT(BD1805,2)="RF",OFFSET(Pinlist!$D$1,Chart!BC1805,0)&amp;"_"&amp;OFFSET(Pinlist!$G$1,Chart!BC1805,0),"")</f>
        <v/>
      </c>
      <c r="BH1805" s="1098"/>
      <c r="BI1805" s="178"/>
      <c r="BJ1805" s="178"/>
      <c r="BK1805" s="178"/>
      <c r="BL1805" s="178"/>
      <c r="BM1805" s="178"/>
      <c r="BN1805" s="178"/>
      <c r="BO1805" s="178"/>
      <c r="BP1805" s="178"/>
      <c r="BQ1805" s="196"/>
      <c r="BR1805" s="196"/>
      <c r="BS1805" s="196"/>
      <c r="BT1805" s="196"/>
      <c r="BU1805" s="196"/>
      <c r="BV1805" s="196"/>
      <c r="BW1805" s="178"/>
      <c r="BX1805" s="196"/>
      <c r="BY1805" s="196"/>
      <c r="BZ1805" s="196"/>
      <c r="CA1805" s="196"/>
      <c r="CB1805" s="178"/>
      <c r="CC1805" s="178"/>
      <c r="CD1805" s="202"/>
      <c r="CE1805" s="202"/>
      <c r="CF1805" s="178"/>
      <c r="CG1805" s="196"/>
      <c r="CH1805" s="178"/>
      <c r="CI1805" s="178"/>
      <c r="CJ1805" s="178"/>
      <c r="CK1805" s="178"/>
      <c r="CL1805" s="178"/>
      <c r="CM1805" s="178"/>
      <c r="CN1805" s="178"/>
      <c r="CO1805" s="178"/>
      <c r="CP1805" s="178"/>
      <c r="CQ1805" s="178"/>
      <c r="CR1805" s="178"/>
      <c r="CS1805" s="178"/>
      <c r="CT1805" s="178"/>
      <c r="CU1805" s="178"/>
      <c r="CV1805" s="178"/>
      <c r="CW1805" s="178"/>
      <c r="CX1805" s="178"/>
      <c r="CY1805" s="178"/>
      <c r="CZ1805" s="178"/>
      <c r="DA1805" s="150"/>
    </row>
    <row r="1806" spans="53:105" x14ac:dyDescent="0.2">
      <c r="BA1806" s="518">
        <f t="shared" ca="1" si="97"/>
        <v>61</v>
      </c>
      <c r="BB1806" s="174">
        <f t="shared" ca="1" si="98"/>
        <v>1743</v>
      </c>
      <c r="BC1806" s="525" t="e">
        <f ca="1">MATCH(BD1806,OFFSET(Pinlist!$A$2,BC1805*(BA1806=BA1805),0,$BM$23,1),0)+BC1805*(BA1806=BA1805)</f>
        <v>#N/A</v>
      </c>
      <c r="BD1806" s="167">
        <f t="shared" ca="1" si="99"/>
        <v>0</v>
      </c>
      <c r="BE1806" s="191" t="e">
        <f ca="1">(OFFSET(Pinlist!$E$1,BC1806,0)-$BN$16)*$BN$19</f>
        <v>#N/A</v>
      </c>
      <c r="BF1806" s="192" t="e">
        <f ca="1">(OFFSET(Pinlist!$F$1,BC1806,0)-$BO$16)*$BO$19</f>
        <v>#N/A</v>
      </c>
      <c r="BG1806" s="1098" t="str">
        <f ca="1">IF(LEFT(BD1806,2)="RF",OFFSET(Pinlist!$D$1,Chart!BC1806,0)&amp;"_"&amp;OFFSET(Pinlist!$G$1,Chart!BC1806,0),"")</f>
        <v/>
      </c>
      <c r="BH1806" s="1098"/>
      <c r="BI1806" s="178"/>
      <c r="BJ1806" s="178"/>
      <c r="BK1806" s="178"/>
      <c r="BL1806" s="178"/>
      <c r="BM1806" s="178"/>
      <c r="BN1806" s="178"/>
      <c r="BO1806" s="178"/>
      <c r="BP1806" s="178"/>
      <c r="BQ1806" s="196"/>
      <c r="BR1806" s="196"/>
      <c r="BS1806" s="196"/>
      <c r="BT1806" s="196"/>
      <c r="BU1806" s="196"/>
      <c r="BV1806" s="196"/>
      <c r="BW1806" s="178"/>
      <c r="BX1806" s="196"/>
      <c r="BY1806" s="196"/>
      <c r="BZ1806" s="196"/>
      <c r="CA1806" s="196"/>
      <c r="CB1806" s="178"/>
      <c r="CC1806" s="178"/>
      <c r="CD1806" s="202"/>
      <c r="CE1806" s="202"/>
      <c r="CF1806" s="178"/>
      <c r="CG1806" s="196"/>
      <c r="CH1806" s="178"/>
      <c r="CI1806" s="178"/>
      <c r="CJ1806" s="178"/>
      <c r="CK1806" s="178"/>
      <c r="CL1806" s="178"/>
      <c r="CM1806" s="178"/>
      <c r="CN1806" s="178"/>
      <c r="CO1806" s="178"/>
      <c r="CP1806" s="178"/>
      <c r="CQ1806" s="178"/>
      <c r="CR1806" s="178"/>
      <c r="CS1806" s="178"/>
      <c r="CT1806" s="178"/>
      <c r="CU1806" s="178"/>
      <c r="CV1806" s="178"/>
      <c r="CW1806" s="178"/>
      <c r="CX1806" s="178"/>
      <c r="CY1806" s="178"/>
      <c r="CZ1806" s="178"/>
      <c r="DA1806" s="150"/>
    </row>
    <row r="1807" spans="53:105" x14ac:dyDescent="0.2">
      <c r="BA1807" s="518">
        <f t="shared" ca="1" si="97"/>
        <v>61</v>
      </c>
      <c r="BB1807" s="174">
        <f t="shared" ca="1" si="98"/>
        <v>1744</v>
      </c>
      <c r="BC1807" s="525" t="e">
        <f ca="1">MATCH(BD1807,OFFSET(Pinlist!$A$2,BC1806*(BA1807=BA1806),0,$BM$23,1),0)+BC1806*(BA1807=BA1806)</f>
        <v>#N/A</v>
      </c>
      <c r="BD1807" s="167">
        <f t="shared" ca="1" si="99"/>
        <v>0</v>
      </c>
      <c r="BE1807" s="191" t="e">
        <f ca="1">(OFFSET(Pinlist!$E$1,BC1807,0)-$BN$16)*$BN$19</f>
        <v>#N/A</v>
      </c>
      <c r="BF1807" s="192" t="e">
        <f ca="1">(OFFSET(Pinlist!$F$1,BC1807,0)-$BO$16)*$BO$19</f>
        <v>#N/A</v>
      </c>
      <c r="BG1807" s="1098" t="str">
        <f ca="1">IF(LEFT(BD1807,2)="RF",OFFSET(Pinlist!$D$1,Chart!BC1807,0)&amp;"_"&amp;OFFSET(Pinlist!$G$1,Chart!BC1807,0),"")</f>
        <v/>
      </c>
      <c r="BH1807" s="1098"/>
      <c r="BI1807" s="178"/>
      <c r="BJ1807" s="178"/>
      <c r="BK1807" s="178"/>
      <c r="BL1807" s="178"/>
      <c r="BM1807" s="178"/>
      <c r="BN1807" s="178"/>
      <c r="BO1807" s="178"/>
      <c r="BP1807" s="178"/>
      <c r="BQ1807" s="196"/>
      <c r="BR1807" s="196"/>
      <c r="BS1807" s="196"/>
      <c r="BT1807" s="196"/>
      <c r="BU1807" s="196"/>
      <c r="BV1807" s="196"/>
      <c r="BW1807" s="178"/>
      <c r="BX1807" s="196"/>
      <c r="BY1807" s="196"/>
      <c r="BZ1807" s="196"/>
      <c r="CA1807" s="196"/>
      <c r="CB1807" s="178"/>
      <c r="CC1807" s="178"/>
      <c r="CD1807" s="202"/>
      <c r="CE1807" s="202"/>
      <c r="CF1807" s="178"/>
      <c r="CG1807" s="196"/>
      <c r="CH1807" s="178"/>
      <c r="CI1807" s="178"/>
      <c r="CJ1807" s="178"/>
      <c r="CK1807" s="178"/>
      <c r="CL1807" s="178"/>
      <c r="CM1807" s="178"/>
      <c r="CN1807" s="178"/>
      <c r="CO1807" s="178"/>
      <c r="CP1807" s="178"/>
      <c r="CQ1807" s="178"/>
      <c r="CR1807" s="178"/>
      <c r="CS1807" s="178"/>
      <c r="CT1807" s="178"/>
      <c r="CU1807" s="178"/>
      <c r="CV1807" s="178"/>
      <c r="CW1807" s="178"/>
      <c r="CX1807" s="178"/>
      <c r="CY1807" s="178"/>
      <c r="CZ1807" s="178"/>
      <c r="DA1807" s="150"/>
    </row>
    <row r="1808" spans="53:105" x14ac:dyDescent="0.2">
      <c r="BA1808" s="518">
        <f t="shared" ca="1" si="97"/>
        <v>61</v>
      </c>
      <c r="BB1808" s="174">
        <f t="shared" ca="1" si="98"/>
        <v>1745</v>
      </c>
      <c r="BC1808" s="525" t="e">
        <f ca="1">MATCH(BD1808,OFFSET(Pinlist!$A$2,BC1807*(BA1808=BA1807),0,$BM$23,1),0)+BC1807*(BA1808=BA1807)</f>
        <v>#N/A</v>
      </c>
      <c r="BD1808" s="167">
        <f t="shared" ca="1" si="99"/>
        <v>0</v>
      </c>
      <c r="BE1808" s="191" t="e">
        <f ca="1">(OFFSET(Pinlist!$E$1,BC1808,0)-$BN$16)*$BN$19</f>
        <v>#N/A</v>
      </c>
      <c r="BF1808" s="192" t="e">
        <f ca="1">(OFFSET(Pinlist!$F$1,BC1808,0)-$BO$16)*$BO$19</f>
        <v>#N/A</v>
      </c>
      <c r="BG1808" s="1098" t="str">
        <f ca="1">IF(LEFT(BD1808,2)="RF",OFFSET(Pinlist!$D$1,Chart!BC1808,0)&amp;"_"&amp;OFFSET(Pinlist!$G$1,Chart!BC1808,0),"")</f>
        <v/>
      </c>
      <c r="BH1808" s="1098"/>
      <c r="BI1808" s="178"/>
      <c r="BJ1808" s="178"/>
      <c r="BK1808" s="178"/>
      <c r="BL1808" s="178"/>
      <c r="BM1808" s="178"/>
      <c r="BN1808" s="178"/>
      <c r="BO1808" s="178"/>
      <c r="BP1808" s="178"/>
      <c r="BQ1808" s="196"/>
      <c r="BR1808" s="196"/>
      <c r="BS1808" s="196"/>
      <c r="BT1808" s="196"/>
      <c r="BU1808" s="196"/>
      <c r="BV1808" s="196"/>
      <c r="BW1808" s="178"/>
      <c r="BX1808" s="196"/>
      <c r="BY1808" s="196"/>
      <c r="BZ1808" s="196"/>
      <c r="CA1808" s="196"/>
      <c r="CB1808" s="178"/>
      <c r="CC1808" s="178"/>
      <c r="CD1808" s="202"/>
      <c r="CE1808" s="202"/>
      <c r="CF1808" s="178"/>
      <c r="CG1808" s="196"/>
      <c r="CH1808" s="178"/>
      <c r="CI1808" s="178"/>
      <c r="CJ1808" s="178"/>
      <c r="CK1808" s="178"/>
      <c r="CL1808" s="178"/>
      <c r="CM1808" s="178"/>
      <c r="CN1808" s="178"/>
      <c r="CO1808" s="178"/>
      <c r="CP1808" s="178"/>
      <c r="CQ1808" s="178"/>
      <c r="CR1808" s="178"/>
      <c r="CS1808" s="178"/>
      <c r="CT1808" s="178"/>
      <c r="CU1808" s="178"/>
      <c r="CV1808" s="178"/>
      <c r="CW1808" s="178"/>
      <c r="CX1808" s="178"/>
      <c r="CY1808" s="178"/>
      <c r="CZ1808" s="178"/>
      <c r="DA1808" s="150"/>
    </row>
    <row r="1809" spans="53:105" x14ac:dyDescent="0.2">
      <c r="BA1809" s="518">
        <f t="shared" ca="1" si="97"/>
        <v>61</v>
      </c>
      <c r="BB1809" s="174">
        <f t="shared" ca="1" si="98"/>
        <v>1746</v>
      </c>
      <c r="BC1809" s="525" t="e">
        <f ca="1">MATCH(BD1809,OFFSET(Pinlist!$A$2,BC1808*(BA1809=BA1808),0,$BM$23,1),0)+BC1808*(BA1809=BA1808)</f>
        <v>#N/A</v>
      </c>
      <c r="BD1809" s="167">
        <f t="shared" ca="1" si="99"/>
        <v>0</v>
      </c>
      <c r="BE1809" s="191" t="e">
        <f ca="1">(OFFSET(Pinlist!$E$1,BC1809,0)-$BN$16)*$BN$19</f>
        <v>#N/A</v>
      </c>
      <c r="BF1809" s="192" t="e">
        <f ca="1">(OFFSET(Pinlist!$F$1,BC1809,0)-$BO$16)*$BO$19</f>
        <v>#N/A</v>
      </c>
      <c r="BG1809" s="1098" t="str">
        <f ca="1">IF(LEFT(BD1809,2)="RF",OFFSET(Pinlist!$D$1,Chart!BC1809,0)&amp;"_"&amp;OFFSET(Pinlist!$G$1,Chart!BC1809,0),"")</f>
        <v/>
      </c>
      <c r="BH1809" s="1098"/>
      <c r="BI1809" s="178"/>
      <c r="BJ1809" s="178"/>
      <c r="BK1809" s="178"/>
      <c r="BL1809" s="178"/>
      <c r="BM1809" s="178"/>
      <c r="BN1809" s="178"/>
      <c r="BO1809" s="178"/>
      <c r="BP1809" s="178"/>
      <c r="BQ1809" s="196"/>
      <c r="BR1809" s="196"/>
      <c r="BS1809" s="196"/>
      <c r="BT1809" s="196"/>
      <c r="BU1809" s="196"/>
      <c r="BV1809" s="196"/>
      <c r="BW1809" s="178"/>
      <c r="BX1809" s="196"/>
      <c r="BY1809" s="196"/>
      <c r="BZ1809" s="196"/>
      <c r="CA1809" s="196"/>
      <c r="CB1809" s="178"/>
      <c r="CC1809" s="178"/>
      <c r="CD1809" s="202"/>
      <c r="CE1809" s="202"/>
      <c r="CF1809" s="178"/>
      <c r="CG1809" s="196"/>
      <c r="CH1809" s="178"/>
      <c r="CI1809" s="178"/>
      <c r="CJ1809" s="178"/>
      <c r="CK1809" s="178"/>
      <c r="CL1809" s="178"/>
      <c r="CM1809" s="178"/>
      <c r="CN1809" s="178"/>
      <c r="CO1809" s="178"/>
      <c r="CP1809" s="178"/>
      <c r="CQ1809" s="178"/>
      <c r="CR1809" s="178"/>
      <c r="CS1809" s="178"/>
      <c r="CT1809" s="178"/>
      <c r="CU1809" s="178"/>
      <c r="CV1809" s="178"/>
      <c r="CW1809" s="178"/>
      <c r="CX1809" s="178"/>
      <c r="CY1809" s="178"/>
      <c r="CZ1809" s="178"/>
      <c r="DA1809" s="150"/>
    </row>
    <row r="1810" spans="53:105" x14ac:dyDescent="0.2">
      <c r="BA1810" s="518">
        <f t="shared" ca="1" si="97"/>
        <v>61</v>
      </c>
      <c r="BB1810" s="174">
        <f t="shared" ca="1" si="98"/>
        <v>1747</v>
      </c>
      <c r="BC1810" s="525" t="e">
        <f ca="1">MATCH(BD1810,OFFSET(Pinlist!$A$2,BC1809*(BA1810=BA1809),0,$BM$23,1),0)+BC1809*(BA1810=BA1809)</f>
        <v>#N/A</v>
      </c>
      <c r="BD1810" s="167">
        <f t="shared" ca="1" si="99"/>
        <v>0</v>
      </c>
      <c r="BE1810" s="191" t="e">
        <f ca="1">(OFFSET(Pinlist!$E$1,BC1810,0)-$BN$16)*$BN$19</f>
        <v>#N/A</v>
      </c>
      <c r="BF1810" s="192" t="e">
        <f ca="1">(OFFSET(Pinlist!$F$1,BC1810,0)-$BO$16)*$BO$19</f>
        <v>#N/A</v>
      </c>
      <c r="BG1810" s="1098" t="str">
        <f ca="1">IF(LEFT(BD1810,2)="RF",OFFSET(Pinlist!$D$1,Chart!BC1810,0)&amp;"_"&amp;OFFSET(Pinlist!$G$1,Chart!BC1810,0),"")</f>
        <v/>
      </c>
      <c r="BH1810" s="1098"/>
      <c r="BI1810" s="178"/>
      <c r="BJ1810" s="178"/>
      <c r="BK1810" s="178"/>
      <c r="BL1810" s="178"/>
      <c r="BM1810" s="178"/>
      <c r="BN1810" s="178"/>
      <c r="BO1810" s="178"/>
      <c r="BP1810" s="178"/>
      <c r="BQ1810" s="196"/>
      <c r="BR1810" s="196"/>
      <c r="BS1810" s="196"/>
      <c r="BT1810" s="196"/>
      <c r="BU1810" s="196"/>
      <c r="BV1810" s="196"/>
      <c r="BW1810" s="178"/>
      <c r="BX1810" s="196"/>
      <c r="BY1810" s="196"/>
      <c r="BZ1810" s="196"/>
      <c r="CA1810" s="196"/>
      <c r="CB1810" s="178"/>
      <c r="CC1810" s="178"/>
      <c r="CD1810" s="202"/>
      <c r="CE1810" s="202"/>
      <c r="CF1810" s="178"/>
      <c r="CG1810" s="196"/>
      <c r="CH1810" s="178"/>
      <c r="CI1810" s="178"/>
      <c r="CJ1810" s="178"/>
      <c r="CK1810" s="178"/>
      <c r="CL1810" s="178"/>
      <c r="CM1810" s="178"/>
      <c r="CN1810" s="178"/>
      <c r="CO1810" s="178"/>
      <c r="CP1810" s="178"/>
      <c r="CQ1810" s="178"/>
      <c r="CR1810" s="178"/>
      <c r="CS1810" s="178"/>
      <c r="CT1810" s="178"/>
      <c r="CU1810" s="178"/>
      <c r="CV1810" s="178"/>
      <c r="CW1810" s="178"/>
      <c r="CX1810" s="178"/>
      <c r="CY1810" s="178"/>
      <c r="CZ1810" s="178"/>
      <c r="DA1810" s="150"/>
    </row>
    <row r="1811" spans="53:105" x14ac:dyDescent="0.2">
      <c r="BA1811" s="518">
        <f t="shared" ca="1" si="97"/>
        <v>61</v>
      </c>
      <c r="BB1811" s="174">
        <f t="shared" ca="1" si="98"/>
        <v>1748</v>
      </c>
      <c r="BC1811" s="525" t="e">
        <f ca="1">MATCH(BD1811,OFFSET(Pinlist!$A$2,BC1810*(BA1811=BA1810),0,$BM$23,1),0)+BC1810*(BA1811=BA1810)</f>
        <v>#N/A</v>
      </c>
      <c r="BD1811" s="167">
        <f t="shared" ca="1" si="99"/>
        <v>0</v>
      </c>
      <c r="BE1811" s="191" t="e">
        <f ca="1">(OFFSET(Pinlist!$E$1,BC1811,0)-$BN$16)*$BN$19</f>
        <v>#N/A</v>
      </c>
      <c r="BF1811" s="192" t="e">
        <f ca="1">(OFFSET(Pinlist!$F$1,BC1811,0)-$BO$16)*$BO$19</f>
        <v>#N/A</v>
      </c>
      <c r="BG1811" s="1098" t="str">
        <f ca="1">IF(LEFT(BD1811,2)="RF",OFFSET(Pinlist!$D$1,Chart!BC1811,0)&amp;"_"&amp;OFFSET(Pinlist!$G$1,Chart!BC1811,0),"")</f>
        <v/>
      </c>
      <c r="BH1811" s="1098"/>
      <c r="BI1811" s="178"/>
      <c r="BJ1811" s="178"/>
      <c r="BK1811" s="178"/>
      <c r="BL1811" s="178"/>
      <c r="BM1811" s="178"/>
      <c r="BN1811" s="178"/>
      <c r="BO1811" s="178"/>
      <c r="BP1811" s="178"/>
      <c r="BQ1811" s="196"/>
      <c r="BR1811" s="196"/>
      <c r="BS1811" s="196"/>
      <c r="BT1811" s="196"/>
      <c r="BU1811" s="196"/>
      <c r="BV1811" s="196"/>
      <c r="BW1811" s="178"/>
      <c r="BX1811" s="196"/>
      <c r="BY1811" s="196"/>
      <c r="BZ1811" s="196"/>
      <c r="CA1811" s="196"/>
      <c r="CB1811" s="178"/>
      <c r="CC1811" s="178"/>
      <c r="CD1811" s="202"/>
      <c r="CE1811" s="202"/>
      <c r="CF1811" s="178"/>
      <c r="CG1811" s="196"/>
      <c r="CH1811" s="178"/>
      <c r="CI1811" s="178"/>
      <c r="CJ1811" s="178"/>
      <c r="CK1811" s="178"/>
      <c r="CL1811" s="178"/>
      <c r="CM1811" s="178"/>
      <c r="CN1811" s="178"/>
      <c r="CO1811" s="178"/>
      <c r="CP1811" s="178"/>
      <c r="CQ1811" s="178"/>
      <c r="CR1811" s="178"/>
      <c r="CS1811" s="178"/>
      <c r="CT1811" s="178"/>
      <c r="CU1811" s="178"/>
      <c r="CV1811" s="178"/>
      <c r="CW1811" s="178"/>
      <c r="CX1811" s="178"/>
      <c r="CY1811" s="178"/>
      <c r="CZ1811" s="178"/>
      <c r="DA1811" s="150"/>
    </row>
    <row r="1812" spans="53:105" x14ac:dyDescent="0.2">
      <c r="BA1812" s="518">
        <f t="shared" ca="1" si="97"/>
        <v>61</v>
      </c>
      <c r="BB1812" s="174">
        <f t="shared" ca="1" si="98"/>
        <v>1749</v>
      </c>
      <c r="BC1812" s="525" t="e">
        <f ca="1">MATCH(BD1812,OFFSET(Pinlist!$A$2,BC1811*(BA1812=BA1811),0,$BM$23,1),0)+BC1811*(BA1812=BA1811)</f>
        <v>#N/A</v>
      </c>
      <c r="BD1812" s="167">
        <f t="shared" ca="1" si="99"/>
        <v>0</v>
      </c>
      <c r="BE1812" s="191" t="e">
        <f ca="1">(OFFSET(Pinlist!$E$1,BC1812,0)-$BN$16)*$BN$19</f>
        <v>#N/A</v>
      </c>
      <c r="BF1812" s="192" t="e">
        <f ca="1">(OFFSET(Pinlist!$F$1,BC1812,0)-$BO$16)*$BO$19</f>
        <v>#N/A</v>
      </c>
      <c r="BG1812" s="1098" t="str">
        <f ca="1">IF(LEFT(BD1812,2)="RF",OFFSET(Pinlist!$D$1,Chart!BC1812,0)&amp;"_"&amp;OFFSET(Pinlist!$G$1,Chart!BC1812,0),"")</f>
        <v/>
      </c>
      <c r="BH1812" s="1098"/>
      <c r="BI1812" s="178"/>
      <c r="BJ1812" s="178"/>
      <c r="BK1812" s="178"/>
      <c r="BL1812" s="178"/>
      <c r="BM1812" s="178"/>
      <c r="BN1812" s="178"/>
      <c r="BO1812" s="178"/>
      <c r="BP1812" s="178"/>
      <c r="BQ1812" s="196"/>
      <c r="BR1812" s="196"/>
      <c r="BS1812" s="196"/>
      <c r="BT1812" s="196"/>
      <c r="BU1812" s="196"/>
      <c r="BV1812" s="196"/>
      <c r="BW1812" s="178"/>
      <c r="BX1812" s="196"/>
      <c r="BY1812" s="196"/>
      <c r="BZ1812" s="196"/>
      <c r="CA1812" s="196"/>
      <c r="CB1812" s="178"/>
      <c r="CC1812" s="178"/>
      <c r="CD1812" s="202"/>
      <c r="CE1812" s="202"/>
      <c r="CF1812" s="178"/>
      <c r="CG1812" s="196"/>
      <c r="CH1812" s="178"/>
      <c r="CI1812" s="178"/>
      <c r="CJ1812" s="178"/>
      <c r="CK1812" s="178"/>
      <c r="CL1812" s="178"/>
      <c r="CM1812" s="178"/>
      <c r="CN1812" s="178"/>
      <c r="CO1812" s="178"/>
      <c r="CP1812" s="178"/>
      <c r="CQ1812" s="178"/>
      <c r="CR1812" s="178"/>
      <c r="CS1812" s="178"/>
      <c r="CT1812" s="178"/>
      <c r="CU1812" s="178"/>
      <c r="CV1812" s="178"/>
      <c r="CW1812" s="178"/>
      <c r="CX1812" s="178"/>
      <c r="CY1812" s="178"/>
      <c r="CZ1812" s="178"/>
      <c r="DA1812" s="150"/>
    </row>
    <row r="1813" spans="53:105" x14ac:dyDescent="0.2">
      <c r="BA1813" s="518">
        <f t="shared" ca="1" si="97"/>
        <v>61</v>
      </c>
      <c r="BB1813" s="174">
        <f t="shared" ca="1" si="98"/>
        <v>1750</v>
      </c>
      <c r="BC1813" s="525" t="e">
        <f ca="1">MATCH(BD1813,OFFSET(Pinlist!$A$2,BC1812*(BA1813=BA1812),0,$BM$23,1),0)+BC1812*(BA1813=BA1812)</f>
        <v>#N/A</v>
      </c>
      <c r="BD1813" s="167">
        <f t="shared" ca="1" si="99"/>
        <v>0</v>
      </c>
      <c r="BE1813" s="191" t="e">
        <f ca="1">(OFFSET(Pinlist!$E$1,BC1813,0)-$BN$16)*$BN$19</f>
        <v>#N/A</v>
      </c>
      <c r="BF1813" s="192" t="e">
        <f ca="1">(OFFSET(Pinlist!$F$1,BC1813,0)-$BO$16)*$BO$19</f>
        <v>#N/A</v>
      </c>
      <c r="BG1813" s="1098" t="str">
        <f ca="1">IF(LEFT(BD1813,2)="RF",OFFSET(Pinlist!$D$1,Chart!BC1813,0)&amp;"_"&amp;OFFSET(Pinlist!$G$1,Chart!BC1813,0),"")</f>
        <v/>
      </c>
      <c r="BH1813" s="1098"/>
      <c r="BI1813" s="178"/>
      <c r="BJ1813" s="178"/>
      <c r="BK1813" s="178"/>
      <c r="BL1813" s="178"/>
      <c r="BM1813" s="178"/>
      <c r="BN1813" s="178"/>
      <c r="BO1813" s="178"/>
      <c r="BP1813" s="178"/>
      <c r="BQ1813" s="196"/>
      <c r="BR1813" s="196"/>
      <c r="BS1813" s="196"/>
      <c r="BT1813" s="196"/>
      <c r="BU1813" s="196"/>
      <c r="BV1813" s="196"/>
      <c r="BW1813" s="178"/>
      <c r="BX1813" s="196"/>
      <c r="BY1813" s="196"/>
      <c r="BZ1813" s="196"/>
      <c r="CA1813" s="196"/>
      <c r="CB1813" s="178"/>
      <c r="CC1813" s="178"/>
      <c r="CD1813" s="202"/>
      <c r="CE1813" s="202"/>
      <c r="CF1813" s="178"/>
      <c r="CG1813" s="196"/>
      <c r="CH1813" s="178"/>
      <c r="CI1813" s="178"/>
      <c r="CJ1813" s="178"/>
      <c r="CK1813" s="178"/>
      <c r="CL1813" s="178"/>
      <c r="CM1813" s="178"/>
      <c r="CN1813" s="178"/>
      <c r="CO1813" s="178"/>
      <c r="CP1813" s="178"/>
      <c r="CQ1813" s="178"/>
      <c r="CR1813" s="178"/>
      <c r="CS1813" s="178"/>
      <c r="CT1813" s="178"/>
      <c r="CU1813" s="178"/>
      <c r="CV1813" s="178"/>
      <c r="CW1813" s="178"/>
      <c r="CX1813" s="178"/>
      <c r="CY1813" s="178"/>
      <c r="CZ1813" s="178"/>
      <c r="DA1813" s="150"/>
    </row>
    <row r="1814" spans="53:105" x14ac:dyDescent="0.2">
      <c r="BA1814" s="518">
        <f t="shared" ca="1" si="97"/>
        <v>61</v>
      </c>
      <c r="BB1814" s="174">
        <f t="shared" ca="1" si="98"/>
        <v>1751</v>
      </c>
      <c r="BC1814" s="525" t="e">
        <f ca="1">MATCH(BD1814,OFFSET(Pinlist!$A$2,BC1813*(BA1814=BA1813),0,$BM$23,1),0)+BC1813*(BA1814=BA1813)</f>
        <v>#N/A</v>
      </c>
      <c r="BD1814" s="167">
        <f t="shared" ca="1" si="99"/>
        <v>0</v>
      </c>
      <c r="BE1814" s="191" t="e">
        <f ca="1">(OFFSET(Pinlist!$E$1,BC1814,0)-$BN$16)*$BN$19</f>
        <v>#N/A</v>
      </c>
      <c r="BF1814" s="192" t="e">
        <f ca="1">(OFFSET(Pinlist!$F$1,BC1814,0)-$BO$16)*$BO$19</f>
        <v>#N/A</v>
      </c>
      <c r="BG1814" s="1098" t="str">
        <f ca="1">IF(LEFT(BD1814,2)="RF",OFFSET(Pinlist!$D$1,Chart!BC1814,0)&amp;"_"&amp;OFFSET(Pinlist!$G$1,Chart!BC1814,0),"")</f>
        <v/>
      </c>
      <c r="BH1814" s="1098"/>
      <c r="BI1814" s="178"/>
      <c r="BJ1814" s="178"/>
      <c r="BK1814" s="178"/>
      <c r="BL1814" s="178"/>
      <c r="BM1814" s="178"/>
      <c r="BN1814" s="178"/>
      <c r="BO1814" s="178"/>
      <c r="BP1814" s="178"/>
      <c r="BQ1814" s="196"/>
      <c r="BR1814" s="196"/>
      <c r="BS1814" s="196"/>
      <c r="BT1814" s="196"/>
      <c r="BU1814" s="196"/>
      <c r="BV1814" s="196"/>
      <c r="BW1814" s="178"/>
      <c r="BX1814" s="196"/>
      <c r="BY1814" s="196"/>
      <c r="BZ1814" s="196"/>
      <c r="CA1814" s="196"/>
      <c r="CB1814" s="178"/>
      <c r="CC1814" s="178"/>
      <c r="CD1814" s="202"/>
      <c r="CE1814" s="202"/>
      <c r="CF1814" s="178"/>
      <c r="CG1814" s="196"/>
      <c r="CH1814" s="178"/>
      <c r="CI1814" s="178"/>
      <c r="CJ1814" s="178"/>
      <c r="CK1814" s="178"/>
      <c r="CL1814" s="178"/>
      <c r="CM1814" s="178"/>
      <c r="CN1814" s="178"/>
      <c r="CO1814" s="178"/>
      <c r="CP1814" s="178"/>
      <c r="CQ1814" s="178"/>
      <c r="CR1814" s="178"/>
      <c r="CS1814" s="178"/>
      <c r="CT1814" s="178"/>
      <c r="CU1814" s="178"/>
      <c r="CV1814" s="178"/>
      <c r="CW1814" s="178"/>
      <c r="CX1814" s="178"/>
      <c r="CY1814" s="178"/>
      <c r="CZ1814" s="178"/>
      <c r="DA1814" s="150"/>
    </row>
    <row r="1815" spans="53:105" x14ac:dyDescent="0.2">
      <c r="BA1815" s="518">
        <f t="shared" ca="1" si="97"/>
        <v>61</v>
      </c>
      <c r="BB1815" s="174">
        <f t="shared" ca="1" si="98"/>
        <v>1752</v>
      </c>
      <c r="BC1815" s="525" t="e">
        <f ca="1">MATCH(BD1815,OFFSET(Pinlist!$A$2,BC1814*(BA1815=BA1814),0,$BM$23,1),0)+BC1814*(BA1815=BA1814)</f>
        <v>#N/A</v>
      </c>
      <c r="BD1815" s="167">
        <f t="shared" ca="1" si="99"/>
        <v>0</v>
      </c>
      <c r="BE1815" s="191" t="e">
        <f ca="1">(OFFSET(Pinlist!$E$1,BC1815,0)-$BN$16)*$BN$19</f>
        <v>#N/A</v>
      </c>
      <c r="BF1815" s="192" t="e">
        <f ca="1">(OFFSET(Pinlist!$F$1,BC1815,0)-$BO$16)*$BO$19</f>
        <v>#N/A</v>
      </c>
      <c r="BG1815" s="1098" t="str">
        <f ca="1">IF(LEFT(BD1815,2)="RF",OFFSET(Pinlist!$D$1,Chart!BC1815,0)&amp;"_"&amp;OFFSET(Pinlist!$G$1,Chart!BC1815,0),"")</f>
        <v/>
      </c>
      <c r="BH1815" s="1098"/>
      <c r="BI1815" s="178"/>
      <c r="BJ1815" s="178"/>
      <c r="BK1815" s="178"/>
      <c r="BL1815" s="178"/>
      <c r="BM1815" s="178"/>
      <c r="BN1815" s="178"/>
      <c r="BO1815" s="178"/>
      <c r="BP1815" s="178"/>
      <c r="BQ1815" s="196"/>
      <c r="BR1815" s="196"/>
      <c r="BS1815" s="196"/>
      <c r="BT1815" s="196"/>
      <c r="BU1815" s="196"/>
      <c r="BV1815" s="196"/>
      <c r="BW1815" s="178"/>
      <c r="BX1815" s="196"/>
      <c r="BY1815" s="196"/>
      <c r="BZ1815" s="196"/>
      <c r="CA1815" s="196"/>
      <c r="CB1815" s="178"/>
      <c r="CC1815" s="178"/>
      <c r="CD1815" s="202"/>
      <c r="CE1815" s="202"/>
      <c r="CF1815" s="178"/>
      <c r="CG1815" s="196"/>
      <c r="CH1815" s="178"/>
      <c r="CI1815" s="178"/>
      <c r="CJ1815" s="178"/>
      <c r="CK1815" s="178"/>
      <c r="CL1815" s="178"/>
      <c r="CM1815" s="178"/>
      <c r="CN1815" s="178"/>
      <c r="CO1815" s="178"/>
      <c r="CP1815" s="178"/>
      <c r="CQ1815" s="178"/>
      <c r="CR1815" s="178"/>
      <c r="CS1815" s="178"/>
      <c r="CT1815" s="178"/>
      <c r="CU1815" s="178"/>
      <c r="CV1815" s="178"/>
      <c r="CW1815" s="178"/>
      <c r="CX1815" s="178"/>
      <c r="CY1815" s="178"/>
      <c r="CZ1815" s="178"/>
      <c r="DA1815" s="150"/>
    </row>
    <row r="1816" spans="53:105" x14ac:dyDescent="0.2">
      <c r="BA1816" s="518">
        <f t="shared" ca="1" si="97"/>
        <v>61</v>
      </c>
      <c r="BB1816" s="174">
        <f t="shared" ca="1" si="98"/>
        <v>1753</v>
      </c>
      <c r="BC1816" s="525" t="e">
        <f ca="1">MATCH(BD1816,OFFSET(Pinlist!$A$2,BC1815*(BA1816=BA1815),0,$BM$23,1),0)+BC1815*(BA1816=BA1815)</f>
        <v>#N/A</v>
      </c>
      <c r="BD1816" s="167">
        <f t="shared" ca="1" si="99"/>
        <v>0</v>
      </c>
      <c r="BE1816" s="191" t="e">
        <f ca="1">(OFFSET(Pinlist!$E$1,BC1816,0)-$BN$16)*$BN$19</f>
        <v>#N/A</v>
      </c>
      <c r="BF1816" s="192" t="e">
        <f ca="1">(OFFSET(Pinlist!$F$1,BC1816,0)-$BO$16)*$BO$19</f>
        <v>#N/A</v>
      </c>
      <c r="BG1816" s="1098" t="str">
        <f ca="1">IF(LEFT(BD1816,2)="RF",OFFSET(Pinlist!$D$1,Chart!BC1816,0)&amp;"_"&amp;OFFSET(Pinlist!$G$1,Chart!BC1816,0),"")</f>
        <v/>
      </c>
      <c r="BH1816" s="1098"/>
      <c r="BI1816" s="178"/>
      <c r="BJ1816" s="178"/>
      <c r="BK1816" s="178"/>
      <c r="BL1816" s="178"/>
      <c r="BM1816" s="178"/>
      <c r="BN1816" s="178"/>
      <c r="BO1816" s="178"/>
      <c r="BP1816" s="178"/>
      <c r="BQ1816" s="196"/>
      <c r="BR1816" s="196"/>
      <c r="BS1816" s="196"/>
      <c r="BT1816" s="196"/>
      <c r="BU1816" s="196"/>
      <c r="BV1816" s="196"/>
      <c r="BW1816" s="178"/>
      <c r="BX1816" s="196"/>
      <c r="BY1816" s="196"/>
      <c r="BZ1816" s="196"/>
      <c r="CA1816" s="196"/>
      <c r="CB1816" s="178"/>
      <c r="CC1816" s="178"/>
      <c r="CD1816" s="202"/>
      <c r="CE1816" s="202"/>
      <c r="CF1816" s="178"/>
      <c r="CG1816" s="196"/>
      <c r="CH1816" s="178"/>
      <c r="CI1816" s="178"/>
      <c r="CJ1816" s="178"/>
      <c r="CK1816" s="178"/>
      <c r="CL1816" s="178"/>
      <c r="CM1816" s="178"/>
      <c r="CN1816" s="178"/>
      <c r="CO1816" s="178"/>
      <c r="CP1816" s="178"/>
      <c r="CQ1816" s="178"/>
      <c r="CR1816" s="178"/>
      <c r="CS1816" s="178"/>
      <c r="CT1816" s="178"/>
      <c r="CU1816" s="178"/>
      <c r="CV1816" s="178"/>
      <c r="CW1816" s="178"/>
      <c r="CX1816" s="178"/>
      <c r="CY1816" s="178"/>
      <c r="CZ1816" s="178"/>
      <c r="DA1816" s="150"/>
    </row>
    <row r="1817" spans="53:105" x14ac:dyDescent="0.2">
      <c r="BA1817" s="518">
        <f t="shared" ca="1" si="97"/>
        <v>61</v>
      </c>
      <c r="BB1817" s="174">
        <f t="shared" ca="1" si="98"/>
        <v>1754</v>
      </c>
      <c r="BC1817" s="525" t="e">
        <f ca="1">MATCH(BD1817,OFFSET(Pinlist!$A$2,BC1816*(BA1817=BA1816),0,$BM$23,1),0)+BC1816*(BA1817=BA1816)</f>
        <v>#N/A</v>
      </c>
      <c r="BD1817" s="167">
        <f t="shared" ca="1" si="99"/>
        <v>0</v>
      </c>
      <c r="BE1817" s="191" t="e">
        <f ca="1">(OFFSET(Pinlist!$E$1,BC1817,0)-$BN$16)*$BN$19</f>
        <v>#N/A</v>
      </c>
      <c r="BF1817" s="192" t="e">
        <f ca="1">(OFFSET(Pinlist!$F$1,BC1817,0)-$BO$16)*$BO$19</f>
        <v>#N/A</v>
      </c>
      <c r="BG1817" s="1098" t="str">
        <f ca="1">IF(LEFT(BD1817,2)="RF",OFFSET(Pinlist!$D$1,Chart!BC1817,0)&amp;"_"&amp;OFFSET(Pinlist!$G$1,Chart!BC1817,0),"")</f>
        <v/>
      </c>
      <c r="BH1817" s="1098"/>
      <c r="BI1817" s="178"/>
      <c r="BJ1817" s="178"/>
      <c r="BK1817" s="178"/>
      <c r="BL1817" s="178"/>
      <c r="BM1817" s="178"/>
      <c r="BN1817" s="178"/>
      <c r="BO1817" s="178"/>
      <c r="BP1817" s="178"/>
      <c r="BQ1817" s="196"/>
      <c r="BR1817" s="196"/>
      <c r="BS1817" s="196"/>
      <c r="BT1817" s="196"/>
      <c r="BU1817" s="196"/>
      <c r="BV1817" s="196"/>
      <c r="BW1817" s="178"/>
      <c r="BX1817" s="196"/>
      <c r="BY1817" s="196"/>
      <c r="BZ1817" s="196"/>
      <c r="CA1817" s="196"/>
      <c r="CB1817" s="178"/>
      <c r="CC1817" s="178"/>
      <c r="CD1817" s="202"/>
      <c r="CE1817" s="202"/>
      <c r="CF1817" s="178"/>
      <c r="CG1817" s="196"/>
      <c r="CH1817" s="178"/>
      <c r="CI1817" s="178"/>
      <c r="CJ1817" s="178"/>
      <c r="CK1817" s="178"/>
      <c r="CL1817" s="178"/>
      <c r="CM1817" s="178"/>
      <c r="CN1817" s="178"/>
      <c r="CO1817" s="178"/>
      <c r="CP1817" s="178"/>
      <c r="CQ1817" s="178"/>
      <c r="CR1817" s="178"/>
      <c r="CS1817" s="178"/>
      <c r="CT1817" s="178"/>
      <c r="CU1817" s="178"/>
      <c r="CV1817" s="178"/>
      <c r="CW1817" s="178"/>
      <c r="CX1817" s="178"/>
      <c r="CY1817" s="178"/>
      <c r="CZ1817" s="178"/>
      <c r="DA1817" s="150"/>
    </row>
    <row r="1818" spans="53:105" x14ac:dyDescent="0.2">
      <c r="BA1818" s="518">
        <f t="shared" ca="1" si="97"/>
        <v>61</v>
      </c>
      <c r="BB1818" s="174">
        <f t="shared" ca="1" si="98"/>
        <v>1755</v>
      </c>
      <c r="BC1818" s="525" t="e">
        <f ca="1">MATCH(BD1818,OFFSET(Pinlist!$A$2,BC1817*(BA1818=BA1817),0,$BM$23,1),0)+BC1817*(BA1818=BA1817)</f>
        <v>#N/A</v>
      </c>
      <c r="BD1818" s="167">
        <f t="shared" ca="1" si="99"/>
        <v>0</v>
      </c>
      <c r="BE1818" s="191" t="e">
        <f ca="1">(OFFSET(Pinlist!$E$1,BC1818,0)-$BN$16)*$BN$19</f>
        <v>#N/A</v>
      </c>
      <c r="BF1818" s="192" t="e">
        <f ca="1">(OFFSET(Pinlist!$F$1,BC1818,0)-$BO$16)*$BO$19</f>
        <v>#N/A</v>
      </c>
      <c r="BG1818" s="1098" t="str">
        <f ca="1">IF(LEFT(BD1818,2)="RF",OFFSET(Pinlist!$D$1,Chart!BC1818,0)&amp;"_"&amp;OFFSET(Pinlist!$G$1,Chart!BC1818,0),"")</f>
        <v/>
      </c>
      <c r="BH1818" s="1098"/>
      <c r="BI1818" s="178"/>
      <c r="BJ1818" s="178"/>
      <c r="BK1818" s="178"/>
      <c r="BL1818" s="178"/>
      <c r="BM1818" s="178"/>
      <c r="BN1818" s="178"/>
      <c r="BO1818" s="178"/>
      <c r="BP1818" s="178"/>
      <c r="BQ1818" s="196"/>
      <c r="BR1818" s="196"/>
      <c r="BS1818" s="196"/>
      <c r="BT1818" s="196"/>
      <c r="BU1818" s="196"/>
      <c r="BV1818" s="196"/>
      <c r="BW1818" s="178"/>
      <c r="BX1818" s="196"/>
      <c r="BY1818" s="196"/>
      <c r="BZ1818" s="196"/>
      <c r="CA1818" s="196"/>
      <c r="CB1818" s="178"/>
      <c r="CC1818" s="178"/>
      <c r="CD1818" s="202"/>
      <c r="CE1818" s="202"/>
      <c r="CF1818" s="178"/>
      <c r="CG1818" s="196"/>
      <c r="CH1818" s="178"/>
      <c r="CI1818" s="178"/>
      <c r="CJ1818" s="178"/>
      <c r="CK1818" s="178"/>
      <c r="CL1818" s="178"/>
      <c r="CM1818" s="178"/>
      <c r="CN1818" s="178"/>
      <c r="CO1818" s="178"/>
      <c r="CP1818" s="178"/>
      <c r="CQ1818" s="178"/>
      <c r="CR1818" s="178"/>
      <c r="CS1818" s="178"/>
      <c r="CT1818" s="178"/>
      <c r="CU1818" s="178"/>
      <c r="CV1818" s="178"/>
      <c r="CW1818" s="178"/>
      <c r="CX1818" s="178"/>
      <c r="CY1818" s="178"/>
      <c r="CZ1818" s="178"/>
      <c r="DA1818" s="150"/>
    </row>
    <row r="1819" spans="53:105" x14ac:dyDescent="0.2">
      <c r="BA1819" s="518">
        <f t="shared" ca="1" si="97"/>
        <v>61</v>
      </c>
      <c r="BB1819" s="174">
        <f t="shared" ca="1" si="98"/>
        <v>1756</v>
      </c>
      <c r="BC1819" s="525" t="e">
        <f ca="1">MATCH(BD1819,OFFSET(Pinlist!$A$2,BC1818*(BA1819=BA1818),0,$BM$23,1),0)+BC1818*(BA1819=BA1818)</f>
        <v>#N/A</v>
      </c>
      <c r="BD1819" s="167">
        <f t="shared" ca="1" si="99"/>
        <v>0</v>
      </c>
      <c r="BE1819" s="191" t="e">
        <f ca="1">(OFFSET(Pinlist!$E$1,BC1819,0)-$BN$16)*$BN$19</f>
        <v>#N/A</v>
      </c>
      <c r="BF1819" s="192" t="e">
        <f ca="1">(OFFSET(Pinlist!$F$1,BC1819,0)-$BO$16)*$BO$19</f>
        <v>#N/A</v>
      </c>
      <c r="BG1819" s="1098" t="str">
        <f ca="1">IF(LEFT(BD1819,2)="RF",OFFSET(Pinlist!$D$1,Chart!BC1819,0)&amp;"_"&amp;OFFSET(Pinlist!$G$1,Chart!BC1819,0),"")</f>
        <v/>
      </c>
      <c r="BH1819" s="1098"/>
      <c r="BI1819" s="178"/>
      <c r="BJ1819" s="178"/>
      <c r="BK1819" s="178"/>
      <c r="BL1819" s="178"/>
      <c r="BM1819" s="178"/>
      <c r="BN1819" s="178"/>
      <c r="BO1819" s="178"/>
      <c r="BP1819" s="178"/>
      <c r="BQ1819" s="196"/>
      <c r="BR1819" s="196"/>
      <c r="BS1819" s="196"/>
      <c r="BT1819" s="196"/>
      <c r="BU1819" s="196"/>
      <c r="BV1819" s="196"/>
      <c r="BW1819" s="178"/>
      <c r="BX1819" s="196"/>
      <c r="BY1819" s="196"/>
      <c r="BZ1819" s="196"/>
      <c r="CA1819" s="196"/>
      <c r="CB1819" s="178"/>
      <c r="CC1819" s="178"/>
      <c r="CD1819" s="202"/>
      <c r="CE1819" s="202"/>
      <c r="CF1819" s="178"/>
      <c r="CG1819" s="196"/>
      <c r="CH1819" s="178"/>
      <c r="CI1819" s="178"/>
      <c r="CJ1819" s="178"/>
      <c r="CK1819" s="178"/>
      <c r="CL1819" s="178"/>
      <c r="CM1819" s="178"/>
      <c r="CN1819" s="178"/>
      <c r="CO1819" s="178"/>
      <c r="CP1819" s="178"/>
      <c r="CQ1819" s="178"/>
      <c r="CR1819" s="178"/>
      <c r="CS1819" s="178"/>
      <c r="CT1819" s="178"/>
      <c r="CU1819" s="178"/>
      <c r="CV1819" s="178"/>
      <c r="CW1819" s="178"/>
      <c r="CX1819" s="178"/>
      <c r="CY1819" s="178"/>
      <c r="CZ1819" s="178"/>
      <c r="DA1819" s="150"/>
    </row>
    <row r="1820" spans="53:105" x14ac:dyDescent="0.2">
      <c r="BA1820" s="518">
        <f t="shared" ca="1" si="97"/>
        <v>61</v>
      </c>
      <c r="BB1820" s="174">
        <f t="shared" ca="1" si="98"/>
        <v>1757</v>
      </c>
      <c r="BC1820" s="525" t="e">
        <f ca="1">MATCH(BD1820,OFFSET(Pinlist!$A$2,BC1819*(BA1820=BA1819),0,$BM$23,1),0)+BC1819*(BA1820=BA1819)</f>
        <v>#N/A</v>
      </c>
      <c r="BD1820" s="167">
        <f t="shared" ca="1" si="99"/>
        <v>0</v>
      </c>
      <c r="BE1820" s="191" t="e">
        <f ca="1">(OFFSET(Pinlist!$E$1,BC1820,0)-$BN$16)*$BN$19</f>
        <v>#N/A</v>
      </c>
      <c r="BF1820" s="192" t="e">
        <f ca="1">(OFFSET(Pinlist!$F$1,BC1820,0)-$BO$16)*$BO$19</f>
        <v>#N/A</v>
      </c>
      <c r="BG1820" s="1098" t="str">
        <f ca="1">IF(LEFT(BD1820,2)="RF",OFFSET(Pinlist!$D$1,Chart!BC1820,0)&amp;"_"&amp;OFFSET(Pinlist!$G$1,Chart!BC1820,0),"")</f>
        <v/>
      </c>
      <c r="BH1820" s="1098"/>
      <c r="BI1820" s="178"/>
      <c r="BJ1820" s="178"/>
      <c r="BK1820" s="178"/>
      <c r="BL1820" s="178"/>
      <c r="BM1820" s="178"/>
      <c r="BN1820" s="178"/>
      <c r="BO1820" s="178"/>
      <c r="BP1820" s="178"/>
      <c r="BQ1820" s="196"/>
      <c r="BR1820" s="196"/>
      <c r="BS1820" s="196"/>
      <c r="BT1820" s="196"/>
      <c r="BU1820" s="196"/>
      <c r="BV1820" s="196"/>
      <c r="BW1820" s="178"/>
      <c r="BX1820" s="196"/>
      <c r="BY1820" s="196"/>
      <c r="BZ1820" s="196"/>
      <c r="CA1820" s="196"/>
      <c r="CB1820" s="178"/>
      <c r="CC1820" s="178"/>
      <c r="CD1820" s="202"/>
      <c r="CE1820" s="202"/>
      <c r="CF1820" s="178"/>
      <c r="CG1820" s="196"/>
      <c r="CH1820" s="178"/>
      <c r="CI1820" s="178"/>
      <c r="CJ1820" s="178"/>
      <c r="CK1820" s="178"/>
      <c r="CL1820" s="178"/>
      <c r="CM1820" s="178"/>
      <c r="CN1820" s="178"/>
      <c r="CO1820" s="178"/>
      <c r="CP1820" s="178"/>
      <c r="CQ1820" s="178"/>
      <c r="CR1820" s="178"/>
      <c r="CS1820" s="178"/>
      <c r="CT1820" s="178"/>
      <c r="CU1820" s="178"/>
      <c r="CV1820" s="178"/>
      <c r="CW1820" s="178"/>
      <c r="CX1820" s="178"/>
      <c r="CY1820" s="178"/>
      <c r="CZ1820" s="178"/>
      <c r="DA1820" s="150"/>
    </row>
    <row r="1821" spans="53:105" x14ac:dyDescent="0.2">
      <c r="BA1821" s="518">
        <f t="shared" ca="1" si="97"/>
        <v>61</v>
      </c>
      <c r="BB1821" s="174">
        <f t="shared" ca="1" si="98"/>
        <v>1758</v>
      </c>
      <c r="BC1821" s="525" t="e">
        <f ca="1">MATCH(BD1821,OFFSET(Pinlist!$A$2,BC1820*(BA1821=BA1820),0,$BM$23,1),0)+BC1820*(BA1821=BA1820)</f>
        <v>#N/A</v>
      </c>
      <c r="BD1821" s="167">
        <f t="shared" ca="1" si="99"/>
        <v>0</v>
      </c>
      <c r="BE1821" s="191" t="e">
        <f ca="1">(OFFSET(Pinlist!$E$1,BC1821,0)-$BN$16)*$BN$19</f>
        <v>#N/A</v>
      </c>
      <c r="BF1821" s="192" t="e">
        <f ca="1">(OFFSET(Pinlist!$F$1,BC1821,0)-$BO$16)*$BO$19</f>
        <v>#N/A</v>
      </c>
      <c r="BG1821" s="1098" t="str">
        <f ca="1">IF(LEFT(BD1821,2)="RF",OFFSET(Pinlist!$D$1,Chart!BC1821,0)&amp;"_"&amp;OFFSET(Pinlist!$G$1,Chart!BC1821,0),"")</f>
        <v/>
      </c>
      <c r="BH1821" s="1098"/>
      <c r="BI1821" s="178"/>
      <c r="BJ1821" s="178"/>
      <c r="BK1821" s="178"/>
      <c r="BL1821" s="178"/>
      <c r="BM1821" s="178"/>
      <c r="BN1821" s="178"/>
      <c r="BO1821" s="178"/>
      <c r="BP1821" s="178"/>
      <c r="BQ1821" s="196"/>
      <c r="BR1821" s="196"/>
      <c r="BS1821" s="196"/>
      <c r="BT1821" s="196"/>
      <c r="BU1821" s="196"/>
      <c r="BV1821" s="196"/>
      <c r="BW1821" s="178"/>
      <c r="BX1821" s="196"/>
      <c r="BY1821" s="196"/>
      <c r="BZ1821" s="196"/>
      <c r="CA1821" s="196"/>
      <c r="CB1821" s="178"/>
      <c r="CC1821" s="178"/>
      <c r="CD1821" s="202"/>
      <c r="CE1821" s="202"/>
      <c r="CF1821" s="178"/>
      <c r="CG1821" s="196"/>
      <c r="CH1821" s="178"/>
      <c r="CI1821" s="178"/>
      <c r="CJ1821" s="178"/>
      <c r="CK1821" s="178"/>
      <c r="CL1821" s="178"/>
      <c r="CM1821" s="178"/>
      <c r="CN1821" s="178"/>
      <c r="CO1821" s="178"/>
      <c r="CP1821" s="178"/>
      <c r="CQ1821" s="178"/>
      <c r="CR1821" s="178"/>
      <c r="CS1821" s="178"/>
      <c r="CT1821" s="178"/>
      <c r="CU1821" s="178"/>
      <c r="CV1821" s="178"/>
      <c r="CW1821" s="178"/>
      <c r="CX1821" s="178"/>
      <c r="CY1821" s="178"/>
      <c r="CZ1821" s="178"/>
      <c r="DA1821" s="150"/>
    </row>
    <row r="1822" spans="53:105" x14ac:dyDescent="0.2">
      <c r="BA1822" s="518">
        <f t="shared" ca="1" si="97"/>
        <v>61</v>
      </c>
      <c r="BB1822" s="174">
        <f t="shared" ca="1" si="98"/>
        <v>1759</v>
      </c>
      <c r="BC1822" s="525" t="e">
        <f ca="1">MATCH(BD1822,OFFSET(Pinlist!$A$2,BC1821*(BA1822=BA1821),0,$BM$23,1),0)+BC1821*(BA1822=BA1821)</f>
        <v>#N/A</v>
      </c>
      <c r="BD1822" s="167">
        <f t="shared" ca="1" si="99"/>
        <v>0</v>
      </c>
      <c r="BE1822" s="191" t="e">
        <f ca="1">(OFFSET(Pinlist!$E$1,BC1822,0)-$BN$16)*$BN$19</f>
        <v>#N/A</v>
      </c>
      <c r="BF1822" s="192" t="e">
        <f ca="1">(OFFSET(Pinlist!$F$1,BC1822,0)-$BO$16)*$BO$19</f>
        <v>#N/A</v>
      </c>
      <c r="BG1822" s="1098" t="str">
        <f ca="1">IF(LEFT(BD1822,2)="RF",OFFSET(Pinlist!$D$1,Chart!BC1822,0)&amp;"_"&amp;OFFSET(Pinlist!$G$1,Chart!BC1822,0),"")</f>
        <v/>
      </c>
      <c r="BH1822" s="1098"/>
      <c r="BI1822" s="178"/>
      <c r="BJ1822" s="178"/>
      <c r="BK1822" s="178"/>
      <c r="BL1822" s="178"/>
      <c r="BM1822" s="178"/>
      <c r="BN1822" s="178"/>
      <c r="BO1822" s="178"/>
      <c r="BP1822" s="178"/>
      <c r="BQ1822" s="196"/>
      <c r="BR1822" s="196"/>
      <c r="BS1822" s="196"/>
      <c r="BT1822" s="196"/>
      <c r="BU1822" s="196"/>
      <c r="BV1822" s="196"/>
      <c r="BW1822" s="178"/>
      <c r="BX1822" s="196"/>
      <c r="BY1822" s="196"/>
      <c r="BZ1822" s="196"/>
      <c r="CA1822" s="196"/>
      <c r="CB1822" s="178"/>
      <c r="CC1822" s="178"/>
      <c r="CD1822" s="202"/>
      <c r="CE1822" s="202"/>
      <c r="CF1822" s="178"/>
      <c r="CG1822" s="196"/>
      <c r="CH1822" s="178"/>
      <c r="CI1822" s="178"/>
      <c r="CJ1822" s="178"/>
      <c r="CK1822" s="178"/>
      <c r="CL1822" s="178"/>
      <c r="CM1822" s="178"/>
      <c r="CN1822" s="178"/>
      <c r="CO1822" s="178"/>
      <c r="CP1822" s="178"/>
      <c r="CQ1822" s="178"/>
      <c r="CR1822" s="178"/>
      <c r="CS1822" s="178"/>
      <c r="CT1822" s="178"/>
      <c r="CU1822" s="178"/>
      <c r="CV1822" s="178"/>
      <c r="CW1822" s="178"/>
      <c r="CX1822" s="178"/>
      <c r="CY1822" s="178"/>
      <c r="CZ1822" s="178"/>
      <c r="DA1822" s="150"/>
    </row>
    <row r="1823" spans="53:105" x14ac:dyDescent="0.2">
      <c r="BA1823" s="518">
        <f t="shared" ca="1" si="97"/>
        <v>61</v>
      </c>
      <c r="BB1823" s="174">
        <f t="shared" ca="1" si="98"/>
        <v>1760</v>
      </c>
      <c r="BC1823" s="525" t="e">
        <f ca="1">MATCH(BD1823,OFFSET(Pinlist!$A$2,BC1822*(BA1823=BA1822),0,$BM$23,1),0)+BC1822*(BA1823=BA1822)</f>
        <v>#N/A</v>
      </c>
      <c r="BD1823" s="167">
        <f t="shared" ca="1" si="99"/>
        <v>0</v>
      </c>
      <c r="BE1823" s="191" t="e">
        <f ca="1">(OFFSET(Pinlist!$E$1,BC1823,0)-$BN$16)*$BN$19</f>
        <v>#N/A</v>
      </c>
      <c r="BF1823" s="192" t="e">
        <f ca="1">(OFFSET(Pinlist!$F$1,BC1823,0)-$BO$16)*$BO$19</f>
        <v>#N/A</v>
      </c>
      <c r="BG1823" s="1098" t="str">
        <f ca="1">IF(LEFT(BD1823,2)="RF",OFFSET(Pinlist!$D$1,Chart!BC1823,0)&amp;"_"&amp;OFFSET(Pinlist!$G$1,Chart!BC1823,0),"")</f>
        <v/>
      </c>
      <c r="BH1823" s="1098"/>
      <c r="BI1823" s="178"/>
      <c r="BJ1823" s="178"/>
      <c r="BK1823" s="178"/>
      <c r="BL1823" s="178"/>
      <c r="BM1823" s="178"/>
      <c r="BN1823" s="178"/>
      <c r="BO1823" s="178"/>
      <c r="BP1823" s="178"/>
      <c r="BQ1823" s="196"/>
      <c r="BR1823" s="196"/>
      <c r="BS1823" s="196"/>
      <c r="BT1823" s="196"/>
      <c r="BU1823" s="196"/>
      <c r="BV1823" s="196"/>
      <c r="BW1823" s="178"/>
      <c r="BX1823" s="196"/>
      <c r="BY1823" s="196"/>
      <c r="BZ1823" s="196"/>
      <c r="CA1823" s="196"/>
      <c r="CB1823" s="178"/>
      <c r="CC1823" s="178"/>
      <c r="CD1823" s="202"/>
      <c r="CE1823" s="202"/>
      <c r="CF1823" s="178"/>
      <c r="CG1823" s="196"/>
      <c r="CH1823" s="178"/>
      <c r="CI1823" s="178"/>
      <c r="CJ1823" s="178"/>
      <c r="CK1823" s="178"/>
      <c r="CL1823" s="178"/>
      <c r="CM1823" s="178"/>
      <c r="CN1823" s="178"/>
      <c r="CO1823" s="178"/>
      <c r="CP1823" s="178"/>
      <c r="CQ1823" s="178"/>
      <c r="CR1823" s="178"/>
      <c r="CS1823" s="178"/>
      <c r="CT1823" s="178"/>
      <c r="CU1823" s="178"/>
      <c r="CV1823" s="178"/>
      <c r="CW1823" s="178"/>
      <c r="CX1823" s="178"/>
      <c r="CY1823" s="178"/>
      <c r="CZ1823" s="178"/>
      <c r="DA1823" s="150"/>
    </row>
    <row r="1824" spans="53:105" x14ac:dyDescent="0.2">
      <c r="BA1824" s="518">
        <f t="shared" ca="1" si="97"/>
        <v>61</v>
      </c>
      <c r="BB1824" s="174">
        <f t="shared" ca="1" si="98"/>
        <v>1761</v>
      </c>
      <c r="BC1824" s="525" t="e">
        <f ca="1">MATCH(BD1824,OFFSET(Pinlist!$A$2,BC1823*(BA1824=BA1823),0,$BM$23,1),0)+BC1823*(BA1824=BA1823)</f>
        <v>#N/A</v>
      </c>
      <c r="BD1824" s="167">
        <f t="shared" ca="1" si="99"/>
        <v>0</v>
      </c>
      <c r="BE1824" s="191" t="e">
        <f ca="1">(OFFSET(Pinlist!$E$1,BC1824,0)-$BN$16)*$BN$19</f>
        <v>#N/A</v>
      </c>
      <c r="BF1824" s="192" t="e">
        <f ca="1">(OFFSET(Pinlist!$F$1,BC1824,0)-$BO$16)*$BO$19</f>
        <v>#N/A</v>
      </c>
      <c r="BG1824" s="1098" t="str">
        <f ca="1">IF(LEFT(BD1824,2)="RF",OFFSET(Pinlist!$D$1,Chart!BC1824,0)&amp;"_"&amp;OFFSET(Pinlist!$G$1,Chart!BC1824,0),"")</f>
        <v/>
      </c>
      <c r="BH1824" s="1098"/>
      <c r="BI1824" s="178"/>
      <c r="BJ1824" s="178"/>
      <c r="BK1824" s="178"/>
      <c r="BL1824" s="178"/>
      <c r="BM1824" s="178"/>
      <c r="BN1824" s="178"/>
      <c r="BO1824" s="178"/>
      <c r="BP1824" s="178"/>
      <c r="BQ1824" s="196"/>
      <c r="BR1824" s="196"/>
      <c r="BS1824" s="196"/>
      <c r="BT1824" s="196"/>
      <c r="BU1824" s="196"/>
      <c r="BV1824" s="196"/>
      <c r="BW1824" s="178"/>
      <c r="BX1824" s="196"/>
      <c r="BY1824" s="196"/>
      <c r="BZ1824" s="196"/>
      <c r="CA1824" s="196"/>
      <c r="CB1824" s="178"/>
      <c r="CC1824" s="178"/>
      <c r="CD1824" s="202"/>
      <c r="CE1824" s="202"/>
      <c r="CF1824" s="178"/>
      <c r="CG1824" s="196"/>
      <c r="CH1824" s="178"/>
      <c r="CI1824" s="178"/>
      <c r="CJ1824" s="178"/>
      <c r="CK1824" s="178"/>
      <c r="CL1824" s="178"/>
      <c r="CM1824" s="178"/>
      <c r="CN1824" s="178"/>
      <c r="CO1824" s="178"/>
      <c r="CP1824" s="178"/>
      <c r="CQ1824" s="178"/>
      <c r="CR1824" s="178"/>
      <c r="CS1824" s="178"/>
      <c r="CT1824" s="178"/>
      <c r="CU1824" s="178"/>
      <c r="CV1824" s="178"/>
      <c r="CW1824" s="178"/>
      <c r="CX1824" s="178"/>
      <c r="CY1824" s="178"/>
      <c r="CZ1824" s="178"/>
      <c r="DA1824" s="150"/>
    </row>
    <row r="1825" spans="53:105" x14ac:dyDescent="0.2">
      <c r="BA1825" s="518">
        <f t="shared" ca="1" si="97"/>
        <v>61</v>
      </c>
      <c r="BB1825" s="174">
        <f t="shared" ca="1" si="98"/>
        <v>1762</v>
      </c>
      <c r="BC1825" s="525" t="e">
        <f ca="1">MATCH(BD1825,OFFSET(Pinlist!$A$2,BC1824*(BA1825=BA1824),0,$BM$23,1),0)+BC1824*(BA1825=BA1824)</f>
        <v>#N/A</v>
      </c>
      <c r="BD1825" s="167">
        <f t="shared" ca="1" si="99"/>
        <v>0</v>
      </c>
      <c r="BE1825" s="191" t="e">
        <f ca="1">(OFFSET(Pinlist!$E$1,BC1825,0)-$BN$16)*$BN$19</f>
        <v>#N/A</v>
      </c>
      <c r="BF1825" s="192" t="e">
        <f ca="1">(OFFSET(Pinlist!$F$1,BC1825,0)-$BO$16)*$BO$19</f>
        <v>#N/A</v>
      </c>
      <c r="BG1825" s="1098" t="str">
        <f ca="1">IF(LEFT(BD1825,2)="RF",OFFSET(Pinlist!$D$1,Chart!BC1825,0)&amp;"_"&amp;OFFSET(Pinlist!$G$1,Chart!BC1825,0),"")</f>
        <v/>
      </c>
      <c r="BH1825" s="1098"/>
      <c r="BI1825" s="178"/>
      <c r="BJ1825" s="178"/>
      <c r="BK1825" s="178"/>
      <c r="BL1825" s="178"/>
      <c r="BM1825" s="178"/>
      <c r="BN1825" s="178"/>
      <c r="BO1825" s="178"/>
      <c r="BP1825" s="178"/>
      <c r="BQ1825" s="196"/>
      <c r="BR1825" s="196"/>
      <c r="BS1825" s="196"/>
      <c r="BT1825" s="196"/>
      <c r="BU1825" s="196"/>
      <c r="BV1825" s="196"/>
      <c r="BW1825" s="178"/>
      <c r="BX1825" s="196"/>
      <c r="BY1825" s="196"/>
      <c r="BZ1825" s="196"/>
      <c r="CA1825" s="196"/>
      <c r="CB1825" s="178"/>
      <c r="CC1825" s="178"/>
      <c r="CD1825" s="202"/>
      <c r="CE1825" s="202"/>
      <c r="CF1825" s="178"/>
      <c r="CG1825" s="196"/>
      <c r="CH1825" s="178"/>
      <c r="CI1825" s="178"/>
      <c r="CJ1825" s="178"/>
      <c r="CK1825" s="178"/>
      <c r="CL1825" s="178"/>
      <c r="CM1825" s="178"/>
      <c r="CN1825" s="178"/>
      <c r="CO1825" s="178"/>
      <c r="CP1825" s="178"/>
      <c r="CQ1825" s="178"/>
      <c r="CR1825" s="178"/>
      <c r="CS1825" s="178"/>
      <c r="CT1825" s="178"/>
      <c r="CU1825" s="178"/>
      <c r="CV1825" s="178"/>
      <c r="CW1825" s="178"/>
      <c r="CX1825" s="178"/>
      <c r="CY1825" s="178"/>
      <c r="CZ1825" s="178"/>
      <c r="DA1825" s="150"/>
    </row>
    <row r="1826" spans="53:105" x14ac:dyDescent="0.2">
      <c r="BA1826" s="518">
        <f t="shared" ca="1" si="97"/>
        <v>61</v>
      </c>
      <c r="BB1826" s="174">
        <f t="shared" ca="1" si="98"/>
        <v>1763</v>
      </c>
      <c r="BC1826" s="525" t="e">
        <f ca="1">MATCH(BD1826,OFFSET(Pinlist!$A$2,BC1825*(BA1826=BA1825),0,$BM$23,1),0)+BC1825*(BA1826=BA1825)</f>
        <v>#N/A</v>
      </c>
      <c r="BD1826" s="167">
        <f t="shared" ca="1" si="99"/>
        <v>0</v>
      </c>
      <c r="BE1826" s="191" t="e">
        <f ca="1">(OFFSET(Pinlist!$E$1,BC1826,0)-$BN$16)*$BN$19</f>
        <v>#N/A</v>
      </c>
      <c r="BF1826" s="192" t="e">
        <f ca="1">(OFFSET(Pinlist!$F$1,BC1826,0)-$BO$16)*$BO$19</f>
        <v>#N/A</v>
      </c>
      <c r="BG1826" s="1098" t="str">
        <f ca="1">IF(LEFT(BD1826,2)="RF",OFFSET(Pinlist!$D$1,Chart!BC1826,0)&amp;"_"&amp;OFFSET(Pinlist!$G$1,Chart!BC1826,0),"")</f>
        <v/>
      </c>
      <c r="BH1826" s="1098"/>
      <c r="BI1826" s="178"/>
      <c r="BJ1826" s="178"/>
      <c r="BK1826" s="178"/>
      <c r="BL1826" s="178"/>
      <c r="BM1826" s="178"/>
      <c r="BN1826" s="178"/>
      <c r="BO1826" s="178"/>
      <c r="BP1826" s="178"/>
      <c r="BQ1826" s="196"/>
      <c r="BR1826" s="196"/>
      <c r="BS1826" s="196"/>
      <c r="BT1826" s="196"/>
      <c r="BU1826" s="196"/>
      <c r="BV1826" s="196"/>
      <c r="BW1826" s="178"/>
      <c r="BX1826" s="196"/>
      <c r="BY1826" s="196"/>
      <c r="BZ1826" s="196"/>
      <c r="CA1826" s="196"/>
      <c r="CB1826" s="178"/>
      <c r="CC1826" s="178"/>
      <c r="CD1826" s="202"/>
      <c r="CE1826" s="202"/>
      <c r="CF1826" s="178"/>
      <c r="CG1826" s="196"/>
      <c r="CH1826" s="178"/>
      <c r="CI1826" s="178"/>
      <c r="CJ1826" s="178"/>
      <c r="CK1826" s="178"/>
      <c r="CL1826" s="178"/>
      <c r="CM1826" s="178"/>
      <c r="CN1826" s="178"/>
      <c r="CO1826" s="178"/>
      <c r="CP1826" s="178"/>
      <c r="CQ1826" s="178"/>
      <c r="CR1826" s="178"/>
      <c r="CS1826" s="178"/>
      <c r="CT1826" s="178"/>
      <c r="CU1826" s="178"/>
      <c r="CV1826" s="178"/>
      <c r="CW1826" s="178"/>
      <c r="CX1826" s="178"/>
      <c r="CY1826" s="178"/>
      <c r="CZ1826" s="178"/>
      <c r="DA1826" s="150"/>
    </row>
    <row r="1827" spans="53:105" x14ac:dyDescent="0.2">
      <c r="BA1827" s="518">
        <f t="shared" ca="1" si="97"/>
        <v>61</v>
      </c>
      <c r="BB1827" s="174">
        <f t="shared" ca="1" si="98"/>
        <v>1764</v>
      </c>
      <c r="BC1827" s="525" t="e">
        <f ca="1">MATCH(BD1827,OFFSET(Pinlist!$A$2,BC1826*(BA1827=BA1826),0,$BM$23,1),0)+BC1826*(BA1827=BA1826)</f>
        <v>#N/A</v>
      </c>
      <c r="BD1827" s="167">
        <f t="shared" ca="1" si="99"/>
        <v>0</v>
      </c>
      <c r="BE1827" s="191" t="e">
        <f ca="1">(OFFSET(Pinlist!$E$1,BC1827,0)-$BN$16)*$BN$19</f>
        <v>#N/A</v>
      </c>
      <c r="BF1827" s="192" t="e">
        <f ca="1">(OFFSET(Pinlist!$F$1,BC1827,0)-$BO$16)*$BO$19</f>
        <v>#N/A</v>
      </c>
      <c r="BG1827" s="1098" t="str">
        <f ca="1">IF(LEFT(BD1827,2)="RF",OFFSET(Pinlist!$D$1,Chart!BC1827,0)&amp;"_"&amp;OFFSET(Pinlist!$G$1,Chart!BC1827,0),"")</f>
        <v/>
      </c>
      <c r="BH1827" s="1098"/>
      <c r="BI1827" s="178"/>
      <c r="BJ1827" s="178"/>
      <c r="BK1827" s="178"/>
      <c r="BL1827" s="178"/>
      <c r="BM1827" s="178"/>
      <c r="BN1827" s="178"/>
      <c r="BO1827" s="178"/>
      <c r="BP1827" s="178"/>
      <c r="BQ1827" s="196"/>
      <c r="BR1827" s="196"/>
      <c r="BS1827" s="196"/>
      <c r="BT1827" s="196"/>
      <c r="BU1827" s="196"/>
      <c r="BV1827" s="196"/>
      <c r="BW1827" s="178"/>
      <c r="BX1827" s="196"/>
      <c r="BY1827" s="196"/>
      <c r="BZ1827" s="196"/>
      <c r="CA1827" s="196"/>
      <c r="CB1827" s="178"/>
      <c r="CC1827" s="178"/>
      <c r="CD1827" s="202"/>
      <c r="CE1827" s="202"/>
      <c r="CF1827" s="178"/>
      <c r="CG1827" s="196"/>
      <c r="CH1827" s="178"/>
      <c r="CI1827" s="178"/>
      <c r="CJ1827" s="178"/>
      <c r="CK1827" s="178"/>
      <c r="CL1827" s="178"/>
      <c r="CM1827" s="178"/>
      <c r="CN1827" s="178"/>
      <c r="CO1827" s="178"/>
      <c r="CP1827" s="178"/>
      <c r="CQ1827" s="178"/>
      <c r="CR1827" s="178"/>
      <c r="CS1827" s="178"/>
      <c r="CT1827" s="178"/>
      <c r="CU1827" s="178"/>
      <c r="CV1827" s="178"/>
      <c r="CW1827" s="178"/>
      <c r="CX1827" s="178"/>
      <c r="CY1827" s="178"/>
      <c r="CZ1827" s="178"/>
      <c r="DA1827" s="150"/>
    </row>
    <row r="1828" spans="53:105" x14ac:dyDescent="0.2">
      <c r="BA1828" s="518">
        <f t="shared" ca="1" si="97"/>
        <v>61</v>
      </c>
      <c r="BB1828" s="174">
        <f t="shared" ca="1" si="98"/>
        <v>1765</v>
      </c>
      <c r="BC1828" s="525" t="e">
        <f ca="1">MATCH(BD1828,OFFSET(Pinlist!$A$2,BC1827*(BA1828=BA1827),0,$BM$23,1),0)+BC1827*(BA1828=BA1827)</f>
        <v>#N/A</v>
      </c>
      <c r="BD1828" s="167">
        <f t="shared" ca="1" si="99"/>
        <v>0</v>
      </c>
      <c r="BE1828" s="191" t="e">
        <f ca="1">(OFFSET(Pinlist!$E$1,BC1828,0)-$BN$16)*$BN$19</f>
        <v>#N/A</v>
      </c>
      <c r="BF1828" s="192" t="e">
        <f ca="1">(OFFSET(Pinlist!$F$1,BC1828,0)-$BO$16)*$BO$19</f>
        <v>#N/A</v>
      </c>
      <c r="BG1828" s="1098" t="str">
        <f ca="1">IF(LEFT(BD1828,2)="RF",OFFSET(Pinlist!$D$1,Chart!BC1828,0)&amp;"_"&amp;OFFSET(Pinlist!$G$1,Chart!BC1828,0),"")</f>
        <v/>
      </c>
      <c r="BH1828" s="1098"/>
      <c r="BI1828" s="178"/>
      <c r="BJ1828" s="178"/>
      <c r="BK1828" s="178"/>
      <c r="BL1828" s="178"/>
      <c r="BM1828" s="178"/>
      <c r="BN1828" s="178"/>
      <c r="BO1828" s="178"/>
      <c r="BP1828" s="178"/>
      <c r="BQ1828" s="196"/>
      <c r="BR1828" s="196"/>
      <c r="BS1828" s="196"/>
      <c r="BT1828" s="196"/>
      <c r="BU1828" s="196"/>
      <c r="BV1828" s="196"/>
      <c r="BW1828" s="178"/>
      <c r="BX1828" s="196"/>
      <c r="BY1828" s="196"/>
      <c r="BZ1828" s="196"/>
      <c r="CA1828" s="196"/>
      <c r="CB1828" s="178"/>
      <c r="CC1828" s="178"/>
      <c r="CD1828" s="202"/>
      <c r="CE1828" s="202"/>
      <c r="CF1828" s="178"/>
      <c r="CG1828" s="196"/>
      <c r="CH1828" s="178"/>
      <c r="CI1828" s="178"/>
      <c r="CJ1828" s="178"/>
      <c r="CK1828" s="178"/>
      <c r="CL1828" s="178"/>
      <c r="CM1828" s="178"/>
      <c r="CN1828" s="178"/>
      <c r="CO1828" s="178"/>
      <c r="CP1828" s="178"/>
      <c r="CQ1828" s="178"/>
      <c r="CR1828" s="178"/>
      <c r="CS1828" s="178"/>
      <c r="CT1828" s="178"/>
      <c r="CU1828" s="178"/>
      <c r="CV1828" s="178"/>
      <c r="CW1828" s="178"/>
      <c r="CX1828" s="178"/>
      <c r="CY1828" s="178"/>
      <c r="CZ1828" s="178"/>
      <c r="DA1828" s="150"/>
    </row>
    <row r="1829" spans="53:105" x14ac:dyDescent="0.2">
      <c r="BA1829" s="518">
        <f t="shared" ca="1" si="97"/>
        <v>61</v>
      </c>
      <c r="BB1829" s="174">
        <f t="shared" ca="1" si="98"/>
        <v>1766</v>
      </c>
      <c r="BC1829" s="525" t="e">
        <f ca="1">MATCH(BD1829,OFFSET(Pinlist!$A$2,BC1828*(BA1829=BA1828),0,$BM$23,1),0)+BC1828*(BA1829=BA1828)</f>
        <v>#N/A</v>
      </c>
      <c r="BD1829" s="167">
        <f t="shared" ca="1" si="99"/>
        <v>0</v>
      </c>
      <c r="BE1829" s="191" t="e">
        <f ca="1">(OFFSET(Pinlist!$E$1,BC1829,0)-$BN$16)*$BN$19</f>
        <v>#N/A</v>
      </c>
      <c r="BF1829" s="192" t="e">
        <f ca="1">(OFFSET(Pinlist!$F$1,BC1829,0)-$BO$16)*$BO$19</f>
        <v>#N/A</v>
      </c>
      <c r="BG1829" s="1098" t="str">
        <f ca="1">IF(LEFT(BD1829,2)="RF",OFFSET(Pinlist!$D$1,Chart!BC1829,0)&amp;"_"&amp;OFFSET(Pinlist!$G$1,Chart!BC1829,0),"")</f>
        <v/>
      </c>
      <c r="BH1829" s="1098"/>
      <c r="BI1829" s="178"/>
      <c r="BJ1829" s="178"/>
      <c r="BK1829" s="178"/>
      <c r="BL1829" s="178"/>
      <c r="BM1829" s="178"/>
      <c r="BN1829" s="178"/>
      <c r="BO1829" s="178"/>
      <c r="BP1829" s="178"/>
      <c r="BQ1829" s="196"/>
      <c r="BR1829" s="196"/>
      <c r="BS1829" s="196"/>
      <c r="BT1829" s="196"/>
      <c r="BU1829" s="196"/>
      <c r="BV1829" s="196"/>
      <c r="BW1829" s="178"/>
      <c r="BX1829" s="196"/>
      <c r="BY1829" s="196"/>
      <c r="BZ1829" s="196"/>
      <c r="CA1829" s="196"/>
      <c r="CB1829" s="178"/>
      <c r="CC1829" s="178"/>
      <c r="CD1829" s="202"/>
      <c r="CE1829" s="202"/>
      <c r="CF1829" s="178"/>
      <c r="CG1829" s="196"/>
      <c r="CH1829" s="178"/>
      <c r="CI1829" s="178"/>
      <c r="CJ1829" s="178"/>
      <c r="CK1829" s="178"/>
      <c r="CL1829" s="178"/>
      <c r="CM1829" s="178"/>
      <c r="CN1829" s="178"/>
      <c r="CO1829" s="178"/>
      <c r="CP1829" s="178"/>
      <c r="CQ1829" s="178"/>
      <c r="CR1829" s="178"/>
      <c r="CS1829" s="178"/>
      <c r="CT1829" s="178"/>
      <c r="CU1829" s="178"/>
      <c r="CV1829" s="178"/>
      <c r="CW1829" s="178"/>
      <c r="CX1829" s="178"/>
      <c r="CY1829" s="178"/>
      <c r="CZ1829" s="178"/>
      <c r="DA1829" s="150"/>
    </row>
    <row r="1830" spans="53:105" x14ac:dyDescent="0.2">
      <c r="BA1830" s="518">
        <f t="shared" ca="1" si="97"/>
        <v>61</v>
      </c>
      <c r="BB1830" s="174">
        <f t="shared" ca="1" si="98"/>
        <v>1767</v>
      </c>
      <c r="BC1830" s="525" t="e">
        <f ca="1">MATCH(BD1830,OFFSET(Pinlist!$A$2,BC1829*(BA1830=BA1829),0,$BM$23,1),0)+BC1829*(BA1830=BA1829)</f>
        <v>#N/A</v>
      </c>
      <c r="BD1830" s="167">
        <f t="shared" ca="1" si="99"/>
        <v>0</v>
      </c>
      <c r="BE1830" s="191" t="e">
        <f ca="1">(OFFSET(Pinlist!$E$1,BC1830,0)-$BN$16)*$BN$19</f>
        <v>#N/A</v>
      </c>
      <c r="BF1830" s="192" t="e">
        <f ca="1">(OFFSET(Pinlist!$F$1,BC1830,0)-$BO$16)*$BO$19</f>
        <v>#N/A</v>
      </c>
      <c r="BG1830" s="1098" t="str">
        <f ca="1">IF(LEFT(BD1830,2)="RF",OFFSET(Pinlist!$D$1,Chart!BC1830,0)&amp;"_"&amp;OFFSET(Pinlist!$G$1,Chart!BC1830,0),"")</f>
        <v/>
      </c>
      <c r="BH1830" s="1098"/>
      <c r="BI1830" s="178"/>
      <c r="BJ1830" s="178"/>
      <c r="BK1830" s="178"/>
      <c r="BL1830" s="178"/>
      <c r="BM1830" s="178"/>
      <c r="BN1830" s="178"/>
      <c r="BO1830" s="178"/>
      <c r="BP1830" s="178"/>
      <c r="BQ1830" s="196"/>
      <c r="BR1830" s="196"/>
      <c r="BS1830" s="196"/>
      <c r="BT1830" s="196"/>
      <c r="BU1830" s="196"/>
      <c r="BV1830" s="196"/>
      <c r="BW1830" s="178"/>
      <c r="BX1830" s="196"/>
      <c r="BY1830" s="196"/>
      <c r="BZ1830" s="196"/>
      <c r="CA1830" s="196"/>
      <c r="CB1830" s="178"/>
      <c r="CC1830" s="178"/>
      <c r="CD1830" s="202"/>
      <c r="CE1830" s="202"/>
      <c r="CF1830" s="178"/>
      <c r="CG1830" s="196"/>
      <c r="CH1830" s="178"/>
      <c r="CI1830" s="178"/>
      <c r="CJ1830" s="178"/>
      <c r="CK1830" s="178"/>
      <c r="CL1830" s="178"/>
      <c r="CM1830" s="178"/>
      <c r="CN1830" s="178"/>
      <c r="CO1830" s="178"/>
      <c r="CP1830" s="178"/>
      <c r="CQ1830" s="178"/>
      <c r="CR1830" s="178"/>
      <c r="CS1830" s="178"/>
      <c r="CT1830" s="178"/>
      <c r="CU1830" s="178"/>
      <c r="CV1830" s="178"/>
      <c r="CW1830" s="178"/>
      <c r="CX1830" s="178"/>
      <c r="CY1830" s="178"/>
      <c r="CZ1830" s="178"/>
      <c r="DA1830" s="150"/>
    </row>
    <row r="1831" spans="53:105" x14ac:dyDescent="0.2">
      <c r="BA1831" s="518">
        <f t="shared" ca="1" si="97"/>
        <v>61</v>
      </c>
      <c r="BB1831" s="174">
        <f t="shared" ca="1" si="98"/>
        <v>1768</v>
      </c>
      <c r="BC1831" s="525" t="e">
        <f ca="1">MATCH(BD1831,OFFSET(Pinlist!$A$2,BC1830*(BA1831=BA1830),0,$BM$23,1),0)+BC1830*(BA1831=BA1830)</f>
        <v>#N/A</v>
      </c>
      <c r="BD1831" s="167">
        <f t="shared" ca="1" si="99"/>
        <v>0</v>
      </c>
      <c r="BE1831" s="191" t="e">
        <f ca="1">(OFFSET(Pinlist!$E$1,BC1831,0)-$BN$16)*$BN$19</f>
        <v>#N/A</v>
      </c>
      <c r="BF1831" s="192" t="e">
        <f ca="1">(OFFSET(Pinlist!$F$1,BC1831,0)-$BO$16)*$BO$19</f>
        <v>#N/A</v>
      </c>
      <c r="BG1831" s="1098" t="str">
        <f ca="1">IF(LEFT(BD1831,2)="RF",OFFSET(Pinlist!$D$1,Chart!BC1831,0)&amp;"_"&amp;OFFSET(Pinlist!$G$1,Chart!BC1831,0),"")</f>
        <v/>
      </c>
      <c r="BH1831" s="1098"/>
      <c r="BI1831" s="178"/>
      <c r="BJ1831" s="178"/>
      <c r="BK1831" s="178"/>
      <c r="BL1831" s="178"/>
      <c r="BM1831" s="178"/>
      <c r="BN1831" s="178"/>
      <c r="BO1831" s="178"/>
      <c r="BP1831" s="178"/>
      <c r="BQ1831" s="196"/>
      <c r="BR1831" s="196"/>
      <c r="BS1831" s="196"/>
      <c r="BT1831" s="196"/>
      <c r="BU1831" s="196"/>
      <c r="BV1831" s="196"/>
      <c r="BW1831" s="178"/>
      <c r="BX1831" s="196"/>
      <c r="BY1831" s="196"/>
      <c r="BZ1831" s="196"/>
      <c r="CA1831" s="196"/>
      <c r="CB1831" s="178"/>
      <c r="CC1831" s="178"/>
      <c r="CD1831" s="202"/>
      <c r="CE1831" s="202"/>
      <c r="CF1831" s="178"/>
      <c r="CG1831" s="196"/>
      <c r="CH1831" s="178"/>
      <c r="CI1831" s="178"/>
      <c r="CJ1831" s="178"/>
      <c r="CK1831" s="178"/>
      <c r="CL1831" s="178"/>
      <c r="CM1831" s="178"/>
      <c r="CN1831" s="178"/>
      <c r="CO1831" s="178"/>
      <c r="CP1831" s="178"/>
      <c r="CQ1831" s="178"/>
      <c r="CR1831" s="178"/>
      <c r="CS1831" s="178"/>
      <c r="CT1831" s="178"/>
      <c r="CU1831" s="178"/>
      <c r="CV1831" s="178"/>
      <c r="CW1831" s="178"/>
      <c r="CX1831" s="178"/>
      <c r="CY1831" s="178"/>
      <c r="CZ1831" s="178"/>
      <c r="DA1831" s="150"/>
    </row>
    <row r="1832" spans="53:105" x14ac:dyDescent="0.2">
      <c r="BA1832" s="518">
        <f t="shared" ca="1" si="97"/>
        <v>61</v>
      </c>
      <c r="BB1832" s="174">
        <f t="shared" ca="1" si="98"/>
        <v>1769</v>
      </c>
      <c r="BC1832" s="525" t="e">
        <f ca="1">MATCH(BD1832,OFFSET(Pinlist!$A$2,BC1831*(BA1832=BA1831),0,$BM$23,1),0)+BC1831*(BA1832=BA1831)</f>
        <v>#N/A</v>
      </c>
      <c r="BD1832" s="167">
        <f t="shared" ca="1" si="99"/>
        <v>0</v>
      </c>
      <c r="BE1832" s="191" t="e">
        <f ca="1">(OFFSET(Pinlist!$E$1,BC1832,0)-$BN$16)*$BN$19</f>
        <v>#N/A</v>
      </c>
      <c r="BF1832" s="192" t="e">
        <f ca="1">(OFFSET(Pinlist!$F$1,BC1832,0)-$BO$16)*$BO$19</f>
        <v>#N/A</v>
      </c>
      <c r="BG1832" s="1098" t="str">
        <f ca="1">IF(LEFT(BD1832,2)="RF",OFFSET(Pinlist!$D$1,Chart!BC1832,0)&amp;"_"&amp;OFFSET(Pinlist!$G$1,Chart!BC1832,0),"")</f>
        <v/>
      </c>
      <c r="BH1832" s="1098"/>
      <c r="BI1832" s="178"/>
      <c r="BJ1832" s="178"/>
      <c r="BK1832" s="178"/>
      <c r="BL1832" s="178"/>
      <c r="BM1832" s="178"/>
      <c r="BN1832" s="178"/>
      <c r="BO1832" s="178"/>
      <c r="BP1832" s="178"/>
      <c r="BQ1832" s="196"/>
      <c r="BR1832" s="196"/>
      <c r="BS1832" s="196"/>
      <c r="BT1832" s="196"/>
      <c r="BU1832" s="196"/>
      <c r="BV1832" s="196"/>
      <c r="BW1832" s="178"/>
      <c r="BX1832" s="196"/>
      <c r="BY1832" s="196"/>
      <c r="BZ1832" s="196"/>
      <c r="CA1832" s="196"/>
      <c r="CB1832" s="178"/>
      <c r="CC1832" s="178"/>
      <c r="CD1832" s="202"/>
      <c r="CE1832" s="202"/>
      <c r="CF1832" s="178"/>
      <c r="CG1832" s="196"/>
      <c r="CH1832" s="178"/>
      <c r="CI1832" s="178"/>
      <c r="CJ1832" s="178"/>
      <c r="CK1832" s="178"/>
      <c r="CL1832" s="178"/>
      <c r="CM1832" s="178"/>
      <c r="CN1832" s="178"/>
      <c r="CO1832" s="178"/>
      <c r="CP1832" s="178"/>
      <c r="CQ1832" s="178"/>
      <c r="CR1832" s="178"/>
      <c r="CS1832" s="178"/>
      <c r="CT1832" s="178"/>
      <c r="CU1832" s="178"/>
      <c r="CV1832" s="178"/>
      <c r="CW1832" s="178"/>
      <c r="CX1832" s="178"/>
      <c r="CY1832" s="178"/>
      <c r="CZ1832" s="178"/>
      <c r="DA1832" s="150"/>
    </row>
    <row r="1833" spans="53:105" x14ac:dyDescent="0.2">
      <c r="BA1833" s="518">
        <f t="shared" ca="1" si="97"/>
        <v>61</v>
      </c>
      <c r="BB1833" s="174">
        <f t="shared" ca="1" si="98"/>
        <v>1770</v>
      </c>
      <c r="BC1833" s="525" t="e">
        <f ca="1">MATCH(BD1833,OFFSET(Pinlist!$A$2,BC1832*(BA1833=BA1832),0,$BM$23,1),0)+BC1832*(BA1833=BA1832)</f>
        <v>#N/A</v>
      </c>
      <c r="BD1833" s="167">
        <f t="shared" ca="1" si="99"/>
        <v>0</v>
      </c>
      <c r="BE1833" s="191" t="e">
        <f ca="1">(OFFSET(Pinlist!$E$1,BC1833,0)-$BN$16)*$BN$19</f>
        <v>#N/A</v>
      </c>
      <c r="BF1833" s="192" t="e">
        <f ca="1">(OFFSET(Pinlist!$F$1,BC1833,0)-$BO$16)*$BO$19</f>
        <v>#N/A</v>
      </c>
      <c r="BG1833" s="1098" t="str">
        <f ca="1">IF(LEFT(BD1833,2)="RF",OFFSET(Pinlist!$D$1,Chart!BC1833,0)&amp;"_"&amp;OFFSET(Pinlist!$G$1,Chart!BC1833,0),"")</f>
        <v/>
      </c>
      <c r="BH1833" s="1098"/>
      <c r="BI1833" s="178"/>
      <c r="BJ1833" s="178"/>
      <c r="BK1833" s="178"/>
      <c r="BL1833" s="178"/>
      <c r="BM1833" s="178"/>
      <c r="BN1833" s="178"/>
      <c r="BO1833" s="178"/>
      <c r="BP1833" s="178"/>
      <c r="BQ1833" s="196"/>
      <c r="BR1833" s="196"/>
      <c r="BS1833" s="196"/>
      <c r="BT1833" s="196"/>
      <c r="BU1833" s="196"/>
      <c r="BV1833" s="196"/>
      <c r="BW1833" s="178"/>
      <c r="BX1833" s="196"/>
      <c r="BY1833" s="196"/>
      <c r="BZ1833" s="196"/>
      <c r="CA1833" s="196"/>
      <c r="CB1833" s="178"/>
      <c r="CC1833" s="178"/>
      <c r="CD1833" s="202"/>
      <c r="CE1833" s="202"/>
      <c r="CF1833" s="178"/>
      <c r="CG1833" s="196"/>
      <c r="CH1833" s="178"/>
      <c r="CI1833" s="178"/>
      <c r="CJ1833" s="178"/>
      <c r="CK1833" s="178"/>
      <c r="CL1833" s="178"/>
      <c r="CM1833" s="178"/>
      <c r="CN1833" s="178"/>
      <c r="CO1833" s="178"/>
      <c r="CP1833" s="178"/>
      <c r="CQ1833" s="178"/>
      <c r="CR1833" s="178"/>
      <c r="CS1833" s="178"/>
      <c r="CT1833" s="178"/>
      <c r="CU1833" s="178"/>
      <c r="CV1833" s="178"/>
      <c r="CW1833" s="178"/>
      <c r="CX1833" s="178"/>
      <c r="CY1833" s="178"/>
      <c r="CZ1833" s="178"/>
      <c r="DA1833" s="150"/>
    </row>
    <row r="1834" spans="53:105" x14ac:dyDescent="0.2">
      <c r="BA1834" s="518">
        <f t="shared" ca="1" si="97"/>
        <v>61</v>
      </c>
      <c r="BB1834" s="174">
        <f t="shared" ca="1" si="98"/>
        <v>1771</v>
      </c>
      <c r="BC1834" s="525" t="e">
        <f ca="1">MATCH(BD1834,OFFSET(Pinlist!$A$2,BC1833*(BA1834=BA1833),0,$BM$23,1),0)+BC1833*(BA1834=BA1833)</f>
        <v>#N/A</v>
      </c>
      <c r="BD1834" s="167">
        <f t="shared" ca="1" si="99"/>
        <v>0</v>
      </c>
      <c r="BE1834" s="191" t="e">
        <f ca="1">(OFFSET(Pinlist!$E$1,BC1834,0)-$BN$16)*$BN$19</f>
        <v>#N/A</v>
      </c>
      <c r="BF1834" s="192" t="e">
        <f ca="1">(OFFSET(Pinlist!$F$1,BC1834,0)-$BO$16)*$BO$19</f>
        <v>#N/A</v>
      </c>
      <c r="BG1834" s="1098" t="str">
        <f ca="1">IF(LEFT(BD1834,2)="RF",OFFSET(Pinlist!$D$1,Chart!BC1834,0)&amp;"_"&amp;OFFSET(Pinlist!$G$1,Chart!BC1834,0),"")</f>
        <v/>
      </c>
      <c r="BH1834" s="1098"/>
      <c r="BI1834" s="178"/>
      <c r="BJ1834" s="178"/>
      <c r="BK1834" s="178"/>
      <c r="BL1834" s="178"/>
      <c r="BM1834" s="178"/>
      <c r="BN1834" s="178"/>
      <c r="BO1834" s="178"/>
      <c r="BP1834" s="178"/>
      <c r="BQ1834" s="196"/>
      <c r="BR1834" s="196"/>
      <c r="BS1834" s="196"/>
      <c r="BT1834" s="196"/>
      <c r="BU1834" s="196"/>
      <c r="BV1834" s="196"/>
      <c r="BW1834" s="178"/>
      <c r="BX1834" s="196"/>
      <c r="BY1834" s="196"/>
      <c r="BZ1834" s="196"/>
      <c r="CA1834" s="196"/>
      <c r="CB1834" s="178"/>
      <c r="CC1834" s="178"/>
      <c r="CD1834" s="202"/>
      <c r="CE1834" s="202"/>
      <c r="CF1834" s="178"/>
      <c r="CG1834" s="196"/>
      <c r="CH1834" s="178"/>
      <c r="CI1834" s="178"/>
      <c r="CJ1834" s="178"/>
      <c r="CK1834" s="178"/>
      <c r="CL1834" s="178"/>
      <c r="CM1834" s="178"/>
      <c r="CN1834" s="178"/>
      <c r="CO1834" s="178"/>
      <c r="CP1834" s="178"/>
      <c r="CQ1834" s="178"/>
      <c r="CR1834" s="178"/>
      <c r="CS1834" s="178"/>
      <c r="CT1834" s="178"/>
      <c r="CU1834" s="178"/>
      <c r="CV1834" s="178"/>
      <c r="CW1834" s="178"/>
      <c r="CX1834" s="178"/>
      <c r="CY1834" s="178"/>
      <c r="CZ1834" s="178"/>
      <c r="DA1834" s="150"/>
    </row>
    <row r="1835" spans="53:105" x14ac:dyDescent="0.2">
      <c r="BA1835" s="518">
        <f t="shared" ca="1" si="97"/>
        <v>61</v>
      </c>
      <c r="BB1835" s="174">
        <f t="shared" ca="1" si="98"/>
        <v>1772</v>
      </c>
      <c r="BC1835" s="525" t="e">
        <f ca="1">MATCH(BD1835,OFFSET(Pinlist!$A$2,BC1834*(BA1835=BA1834),0,$BM$23,1),0)+BC1834*(BA1835=BA1834)</f>
        <v>#N/A</v>
      </c>
      <c r="BD1835" s="167">
        <f t="shared" ca="1" si="99"/>
        <v>0</v>
      </c>
      <c r="BE1835" s="191" t="e">
        <f ca="1">(OFFSET(Pinlist!$E$1,BC1835,0)-$BN$16)*$BN$19</f>
        <v>#N/A</v>
      </c>
      <c r="BF1835" s="192" t="e">
        <f ca="1">(OFFSET(Pinlist!$F$1,BC1835,0)-$BO$16)*$BO$19</f>
        <v>#N/A</v>
      </c>
      <c r="BG1835" s="1098" t="str">
        <f ca="1">IF(LEFT(BD1835,2)="RF",OFFSET(Pinlist!$D$1,Chart!BC1835,0)&amp;"_"&amp;OFFSET(Pinlist!$G$1,Chart!BC1835,0),"")</f>
        <v/>
      </c>
      <c r="BH1835" s="1098"/>
      <c r="BI1835" s="178"/>
      <c r="BJ1835" s="178"/>
      <c r="BK1835" s="178"/>
      <c r="BL1835" s="178"/>
      <c r="BM1835" s="178"/>
      <c r="BN1835" s="178"/>
      <c r="BO1835" s="178"/>
      <c r="BP1835" s="178"/>
      <c r="BQ1835" s="196"/>
      <c r="BR1835" s="196"/>
      <c r="BS1835" s="196"/>
      <c r="BT1835" s="196"/>
      <c r="BU1835" s="196"/>
      <c r="BV1835" s="196"/>
      <c r="BW1835" s="178"/>
      <c r="BX1835" s="196"/>
      <c r="BY1835" s="196"/>
      <c r="BZ1835" s="196"/>
      <c r="CA1835" s="196"/>
      <c r="CB1835" s="178"/>
      <c r="CC1835" s="178"/>
      <c r="CD1835" s="202"/>
      <c r="CE1835" s="202"/>
      <c r="CF1835" s="178"/>
      <c r="CG1835" s="196"/>
      <c r="CH1835" s="178"/>
      <c r="CI1835" s="178"/>
      <c r="CJ1835" s="178"/>
      <c r="CK1835" s="178"/>
      <c r="CL1835" s="178"/>
      <c r="CM1835" s="178"/>
      <c r="CN1835" s="178"/>
      <c r="CO1835" s="178"/>
      <c r="CP1835" s="178"/>
      <c r="CQ1835" s="178"/>
      <c r="CR1835" s="178"/>
      <c r="CS1835" s="178"/>
      <c r="CT1835" s="178"/>
      <c r="CU1835" s="178"/>
      <c r="CV1835" s="178"/>
      <c r="CW1835" s="178"/>
      <c r="CX1835" s="178"/>
      <c r="CY1835" s="178"/>
      <c r="CZ1835" s="178"/>
      <c r="DA1835" s="150"/>
    </row>
    <row r="1836" spans="53:105" x14ac:dyDescent="0.2">
      <c r="BA1836" s="518">
        <f t="shared" ca="1" si="97"/>
        <v>61</v>
      </c>
      <c r="BB1836" s="174">
        <f t="shared" ca="1" si="98"/>
        <v>1773</v>
      </c>
      <c r="BC1836" s="525" t="e">
        <f ca="1">MATCH(BD1836,OFFSET(Pinlist!$A$2,BC1835*(BA1836=BA1835),0,$BM$23,1),0)+BC1835*(BA1836=BA1835)</f>
        <v>#N/A</v>
      </c>
      <c r="BD1836" s="167">
        <f t="shared" ca="1" si="99"/>
        <v>0</v>
      </c>
      <c r="BE1836" s="191" t="e">
        <f ca="1">(OFFSET(Pinlist!$E$1,BC1836,0)-$BN$16)*$BN$19</f>
        <v>#N/A</v>
      </c>
      <c r="BF1836" s="192" t="e">
        <f ca="1">(OFFSET(Pinlist!$F$1,BC1836,0)-$BO$16)*$BO$19</f>
        <v>#N/A</v>
      </c>
      <c r="BG1836" s="1098" t="str">
        <f ca="1">IF(LEFT(BD1836,2)="RF",OFFSET(Pinlist!$D$1,Chart!BC1836,0)&amp;"_"&amp;OFFSET(Pinlist!$G$1,Chart!BC1836,0),"")</f>
        <v/>
      </c>
      <c r="BH1836" s="1098"/>
      <c r="BI1836" s="178"/>
      <c r="BJ1836" s="178"/>
      <c r="BK1836" s="178"/>
      <c r="BL1836" s="178"/>
      <c r="BM1836" s="178"/>
      <c r="BN1836" s="178"/>
      <c r="BO1836" s="178"/>
      <c r="BP1836" s="178"/>
      <c r="BQ1836" s="196"/>
      <c r="BR1836" s="196"/>
      <c r="BS1836" s="196"/>
      <c r="BT1836" s="196"/>
      <c r="BU1836" s="196"/>
      <c r="BV1836" s="196"/>
      <c r="BW1836" s="178"/>
      <c r="BX1836" s="196"/>
      <c r="BY1836" s="196"/>
      <c r="BZ1836" s="196"/>
      <c r="CA1836" s="196"/>
      <c r="CB1836" s="178"/>
      <c r="CC1836" s="178"/>
      <c r="CD1836" s="202"/>
      <c r="CE1836" s="202"/>
      <c r="CF1836" s="178"/>
      <c r="CG1836" s="196"/>
      <c r="CH1836" s="178"/>
      <c r="CI1836" s="178"/>
      <c r="CJ1836" s="178"/>
      <c r="CK1836" s="178"/>
      <c r="CL1836" s="178"/>
      <c r="CM1836" s="178"/>
      <c r="CN1836" s="178"/>
      <c r="CO1836" s="178"/>
      <c r="CP1836" s="178"/>
      <c r="CQ1836" s="178"/>
      <c r="CR1836" s="178"/>
      <c r="CS1836" s="178"/>
      <c r="CT1836" s="178"/>
      <c r="CU1836" s="178"/>
      <c r="CV1836" s="178"/>
      <c r="CW1836" s="178"/>
      <c r="CX1836" s="178"/>
      <c r="CY1836" s="178"/>
      <c r="CZ1836" s="178"/>
      <c r="DA1836" s="150"/>
    </row>
    <row r="1837" spans="53:105" x14ac:dyDescent="0.2">
      <c r="BA1837" s="518">
        <f t="shared" ca="1" si="97"/>
        <v>61</v>
      </c>
      <c r="BB1837" s="174">
        <f t="shared" ca="1" si="98"/>
        <v>1774</v>
      </c>
      <c r="BC1837" s="525" t="e">
        <f ca="1">MATCH(BD1837,OFFSET(Pinlist!$A$2,BC1836*(BA1837=BA1836),0,$BM$23,1),0)+BC1836*(BA1837=BA1836)</f>
        <v>#N/A</v>
      </c>
      <c r="BD1837" s="167">
        <f t="shared" ca="1" si="99"/>
        <v>0</v>
      </c>
      <c r="BE1837" s="191" t="e">
        <f ca="1">(OFFSET(Pinlist!$E$1,BC1837,0)-$BN$16)*$BN$19</f>
        <v>#N/A</v>
      </c>
      <c r="BF1837" s="192" t="e">
        <f ca="1">(OFFSET(Pinlist!$F$1,BC1837,0)-$BO$16)*$BO$19</f>
        <v>#N/A</v>
      </c>
      <c r="BG1837" s="1098" t="str">
        <f ca="1">IF(LEFT(BD1837,2)="RF",OFFSET(Pinlist!$D$1,Chart!BC1837,0)&amp;"_"&amp;OFFSET(Pinlist!$G$1,Chart!BC1837,0),"")</f>
        <v/>
      </c>
      <c r="BH1837" s="1098"/>
      <c r="BI1837" s="178"/>
      <c r="BJ1837" s="178"/>
      <c r="BK1837" s="178"/>
      <c r="BL1837" s="178"/>
      <c r="BM1837" s="178"/>
      <c r="BN1837" s="178"/>
      <c r="BO1837" s="178"/>
      <c r="BP1837" s="178"/>
      <c r="BQ1837" s="196"/>
      <c r="BR1837" s="196"/>
      <c r="BS1837" s="196"/>
      <c r="BT1837" s="196"/>
      <c r="BU1837" s="196"/>
      <c r="BV1837" s="196"/>
      <c r="BW1837" s="178"/>
      <c r="BX1837" s="196"/>
      <c r="BY1837" s="196"/>
      <c r="BZ1837" s="196"/>
      <c r="CA1837" s="196"/>
      <c r="CB1837" s="178"/>
      <c r="CC1837" s="178"/>
      <c r="CD1837" s="202"/>
      <c r="CE1837" s="202"/>
      <c r="CF1837" s="178"/>
      <c r="CG1837" s="196"/>
      <c r="CH1837" s="178"/>
      <c r="CI1837" s="178"/>
      <c r="CJ1837" s="178"/>
      <c r="CK1837" s="178"/>
      <c r="CL1837" s="178"/>
      <c r="CM1837" s="178"/>
      <c r="CN1837" s="178"/>
      <c r="CO1837" s="178"/>
      <c r="CP1837" s="178"/>
      <c r="CQ1837" s="178"/>
      <c r="CR1837" s="178"/>
      <c r="CS1837" s="178"/>
      <c r="CT1837" s="178"/>
      <c r="CU1837" s="178"/>
      <c r="CV1837" s="178"/>
      <c r="CW1837" s="178"/>
      <c r="CX1837" s="178"/>
      <c r="CY1837" s="178"/>
      <c r="CZ1837" s="178"/>
      <c r="DA1837" s="150"/>
    </row>
    <row r="1838" spans="53:105" x14ac:dyDescent="0.2">
      <c r="BA1838" s="518">
        <f t="shared" ca="1" si="97"/>
        <v>61</v>
      </c>
      <c r="BB1838" s="174">
        <f t="shared" ca="1" si="98"/>
        <v>1775</v>
      </c>
      <c r="BC1838" s="525" t="e">
        <f ca="1">MATCH(BD1838,OFFSET(Pinlist!$A$2,BC1837*(BA1838=BA1837),0,$BM$23,1),0)+BC1837*(BA1838=BA1837)</f>
        <v>#N/A</v>
      </c>
      <c r="BD1838" s="167">
        <f t="shared" ca="1" si="99"/>
        <v>0</v>
      </c>
      <c r="BE1838" s="191" t="e">
        <f ca="1">(OFFSET(Pinlist!$E$1,BC1838,0)-$BN$16)*$BN$19</f>
        <v>#N/A</v>
      </c>
      <c r="BF1838" s="192" t="e">
        <f ca="1">(OFFSET(Pinlist!$F$1,BC1838,0)-$BO$16)*$BO$19</f>
        <v>#N/A</v>
      </c>
      <c r="BG1838" s="1098" t="str">
        <f ca="1">IF(LEFT(BD1838,2)="RF",OFFSET(Pinlist!$D$1,Chart!BC1838,0)&amp;"_"&amp;OFFSET(Pinlist!$G$1,Chart!BC1838,0),"")</f>
        <v/>
      </c>
      <c r="BH1838" s="1098"/>
      <c r="BI1838" s="178"/>
      <c r="BJ1838" s="178"/>
      <c r="BK1838" s="178"/>
      <c r="BL1838" s="178"/>
      <c r="BM1838" s="178"/>
      <c r="BN1838" s="178"/>
      <c r="BO1838" s="178"/>
      <c r="BP1838" s="178"/>
      <c r="BQ1838" s="196"/>
      <c r="BR1838" s="196"/>
      <c r="BS1838" s="196"/>
      <c r="BT1838" s="196"/>
      <c r="BU1838" s="196"/>
      <c r="BV1838" s="196"/>
      <c r="BW1838" s="178"/>
      <c r="BX1838" s="196"/>
      <c r="BY1838" s="196"/>
      <c r="BZ1838" s="196"/>
      <c r="CA1838" s="196"/>
      <c r="CB1838" s="178"/>
      <c r="CC1838" s="178"/>
      <c r="CD1838" s="202"/>
      <c r="CE1838" s="202"/>
      <c r="CF1838" s="178"/>
      <c r="CG1838" s="196"/>
      <c r="CH1838" s="178"/>
      <c r="CI1838" s="178"/>
      <c r="CJ1838" s="178"/>
      <c r="CK1838" s="178"/>
      <c r="CL1838" s="178"/>
      <c r="CM1838" s="178"/>
      <c r="CN1838" s="178"/>
      <c r="CO1838" s="178"/>
      <c r="CP1838" s="178"/>
      <c r="CQ1838" s="178"/>
      <c r="CR1838" s="178"/>
      <c r="CS1838" s="178"/>
      <c r="CT1838" s="178"/>
      <c r="CU1838" s="178"/>
      <c r="CV1838" s="178"/>
      <c r="CW1838" s="178"/>
      <c r="CX1838" s="178"/>
      <c r="CY1838" s="178"/>
      <c r="CZ1838" s="178"/>
      <c r="DA1838" s="150"/>
    </row>
    <row r="1839" spans="53:105" x14ac:dyDescent="0.2">
      <c r="BA1839" s="518">
        <f t="shared" ca="1" si="97"/>
        <v>61</v>
      </c>
      <c r="BB1839" s="174">
        <f t="shared" ca="1" si="98"/>
        <v>1776</v>
      </c>
      <c r="BC1839" s="525" t="e">
        <f ca="1">MATCH(BD1839,OFFSET(Pinlist!$A$2,BC1838*(BA1839=BA1838),0,$BM$23,1),0)+BC1838*(BA1839=BA1838)</f>
        <v>#N/A</v>
      </c>
      <c r="BD1839" s="167">
        <f t="shared" ca="1" si="99"/>
        <v>0</v>
      </c>
      <c r="BE1839" s="191" t="e">
        <f ca="1">(OFFSET(Pinlist!$E$1,BC1839,0)-$BN$16)*$BN$19</f>
        <v>#N/A</v>
      </c>
      <c r="BF1839" s="192" t="e">
        <f ca="1">(OFFSET(Pinlist!$F$1,BC1839,0)-$BO$16)*$BO$19</f>
        <v>#N/A</v>
      </c>
      <c r="BG1839" s="1098" t="str">
        <f ca="1">IF(LEFT(BD1839,2)="RF",OFFSET(Pinlist!$D$1,Chart!BC1839,0)&amp;"_"&amp;OFFSET(Pinlist!$G$1,Chart!BC1839,0),"")</f>
        <v/>
      </c>
      <c r="BH1839" s="1098"/>
      <c r="BI1839" s="178"/>
      <c r="BJ1839" s="178"/>
      <c r="BK1839" s="178"/>
      <c r="BL1839" s="178"/>
      <c r="BM1839" s="178"/>
      <c r="BN1839" s="178"/>
      <c r="BO1839" s="178"/>
      <c r="BP1839" s="178"/>
      <c r="BQ1839" s="196"/>
      <c r="BR1839" s="196"/>
      <c r="BS1839" s="196"/>
      <c r="BT1839" s="196"/>
      <c r="BU1839" s="196"/>
      <c r="BV1839" s="196"/>
      <c r="BW1839" s="178"/>
      <c r="BX1839" s="196"/>
      <c r="BY1839" s="196"/>
      <c r="BZ1839" s="196"/>
      <c r="CA1839" s="196"/>
      <c r="CB1839" s="178"/>
      <c r="CC1839" s="178"/>
      <c r="CD1839" s="202"/>
      <c r="CE1839" s="202"/>
      <c r="CF1839" s="178"/>
      <c r="CG1839" s="196"/>
      <c r="CH1839" s="178"/>
      <c r="CI1839" s="178"/>
      <c r="CJ1839" s="178"/>
      <c r="CK1839" s="178"/>
      <c r="CL1839" s="178"/>
      <c r="CM1839" s="178"/>
      <c r="CN1839" s="178"/>
      <c r="CO1839" s="178"/>
      <c r="CP1839" s="178"/>
      <c r="CQ1839" s="178"/>
      <c r="CR1839" s="178"/>
      <c r="CS1839" s="178"/>
      <c r="CT1839" s="178"/>
      <c r="CU1839" s="178"/>
      <c r="CV1839" s="178"/>
      <c r="CW1839" s="178"/>
      <c r="CX1839" s="178"/>
      <c r="CY1839" s="178"/>
      <c r="CZ1839" s="178"/>
      <c r="DA1839" s="150"/>
    </row>
    <row r="1840" spans="53:105" x14ac:dyDescent="0.2">
      <c r="BA1840" s="518">
        <f t="shared" ca="1" si="97"/>
        <v>61</v>
      </c>
      <c r="BB1840" s="174">
        <f t="shared" ca="1" si="98"/>
        <v>1777</v>
      </c>
      <c r="BC1840" s="525" t="e">
        <f ca="1">MATCH(BD1840,OFFSET(Pinlist!$A$2,BC1839*(BA1840=BA1839),0,$BM$23,1),0)+BC1839*(BA1840=BA1839)</f>
        <v>#N/A</v>
      </c>
      <c r="BD1840" s="167">
        <f t="shared" ca="1" si="99"/>
        <v>0</v>
      </c>
      <c r="BE1840" s="191" t="e">
        <f ca="1">(OFFSET(Pinlist!$E$1,BC1840,0)-$BN$16)*$BN$19</f>
        <v>#N/A</v>
      </c>
      <c r="BF1840" s="192" t="e">
        <f ca="1">(OFFSET(Pinlist!$F$1,BC1840,0)-$BO$16)*$BO$19</f>
        <v>#N/A</v>
      </c>
      <c r="BG1840" s="1098" t="str">
        <f ca="1">IF(LEFT(BD1840,2)="RF",OFFSET(Pinlist!$D$1,Chart!BC1840,0)&amp;"_"&amp;OFFSET(Pinlist!$G$1,Chart!BC1840,0),"")</f>
        <v/>
      </c>
      <c r="BH1840" s="1098"/>
      <c r="BI1840" s="178"/>
      <c r="BJ1840" s="178"/>
      <c r="BK1840" s="178"/>
      <c r="BL1840" s="178"/>
      <c r="BM1840" s="178"/>
      <c r="BN1840" s="178"/>
      <c r="BO1840" s="178"/>
      <c r="BP1840" s="178"/>
      <c r="BQ1840" s="196"/>
      <c r="BR1840" s="196"/>
      <c r="BS1840" s="196"/>
      <c r="BT1840" s="196"/>
      <c r="BU1840" s="196"/>
      <c r="BV1840" s="196"/>
      <c r="BW1840" s="178"/>
      <c r="BX1840" s="196"/>
      <c r="BY1840" s="196"/>
      <c r="BZ1840" s="196"/>
      <c r="CA1840" s="196"/>
      <c r="CB1840" s="178"/>
      <c r="CC1840" s="178"/>
      <c r="CD1840" s="202"/>
      <c r="CE1840" s="202"/>
      <c r="CF1840" s="178"/>
      <c r="CG1840" s="196"/>
      <c r="CH1840" s="178"/>
      <c r="CI1840" s="178"/>
      <c r="CJ1840" s="178"/>
      <c r="CK1840" s="178"/>
      <c r="CL1840" s="178"/>
      <c r="CM1840" s="178"/>
      <c r="CN1840" s="178"/>
      <c r="CO1840" s="178"/>
      <c r="CP1840" s="178"/>
      <c r="CQ1840" s="178"/>
      <c r="CR1840" s="178"/>
      <c r="CS1840" s="178"/>
      <c r="CT1840" s="178"/>
      <c r="CU1840" s="178"/>
      <c r="CV1840" s="178"/>
      <c r="CW1840" s="178"/>
      <c r="CX1840" s="178"/>
      <c r="CY1840" s="178"/>
      <c r="CZ1840" s="178"/>
      <c r="DA1840" s="150"/>
    </row>
    <row r="1841" spans="53:105" x14ac:dyDescent="0.2">
      <c r="BA1841" s="518">
        <f t="shared" ca="1" si="97"/>
        <v>61</v>
      </c>
      <c r="BB1841" s="174">
        <f t="shared" ca="1" si="98"/>
        <v>1778</v>
      </c>
      <c r="BC1841" s="525" t="e">
        <f ca="1">MATCH(BD1841,OFFSET(Pinlist!$A$2,BC1840*(BA1841=BA1840),0,$BM$23,1),0)+BC1840*(BA1841=BA1840)</f>
        <v>#N/A</v>
      </c>
      <c r="BD1841" s="167">
        <f t="shared" ca="1" si="99"/>
        <v>0</v>
      </c>
      <c r="BE1841" s="191" t="e">
        <f ca="1">(OFFSET(Pinlist!$E$1,BC1841,0)-$BN$16)*$BN$19</f>
        <v>#N/A</v>
      </c>
      <c r="BF1841" s="192" t="e">
        <f ca="1">(OFFSET(Pinlist!$F$1,BC1841,0)-$BO$16)*$BO$19</f>
        <v>#N/A</v>
      </c>
      <c r="BG1841" s="1098" t="str">
        <f ca="1">IF(LEFT(BD1841,2)="RF",OFFSET(Pinlist!$D$1,Chart!BC1841,0)&amp;"_"&amp;OFFSET(Pinlist!$G$1,Chart!BC1841,0),"")</f>
        <v/>
      </c>
      <c r="BH1841" s="1098"/>
      <c r="BI1841" s="178"/>
      <c r="BJ1841" s="178"/>
      <c r="BK1841" s="178"/>
      <c r="BL1841" s="178"/>
      <c r="BM1841" s="178"/>
      <c r="BN1841" s="178"/>
      <c r="BO1841" s="178"/>
      <c r="BP1841" s="178"/>
      <c r="BQ1841" s="196"/>
      <c r="BR1841" s="196"/>
      <c r="BS1841" s="196"/>
      <c r="BT1841" s="196"/>
      <c r="BU1841" s="196"/>
      <c r="BV1841" s="196"/>
      <c r="BW1841" s="178"/>
      <c r="BX1841" s="196"/>
      <c r="BY1841" s="196"/>
      <c r="BZ1841" s="196"/>
      <c r="CA1841" s="196"/>
      <c r="CB1841" s="178"/>
      <c r="CC1841" s="178"/>
      <c r="CD1841" s="202"/>
      <c r="CE1841" s="202"/>
      <c r="CF1841" s="178"/>
      <c r="CG1841" s="196"/>
      <c r="CH1841" s="178"/>
      <c r="CI1841" s="178"/>
      <c r="CJ1841" s="178"/>
      <c r="CK1841" s="178"/>
      <c r="CL1841" s="178"/>
      <c r="CM1841" s="178"/>
      <c r="CN1841" s="178"/>
      <c r="CO1841" s="178"/>
      <c r="CP1841" s="178"/>
      <c r="CQ1841" s="178"/>
      <c r="CR1841" s="178"/>
      <c r="CS1841" s="178"/>
      <c r="CT1841" s="178"/>
      <c r="CU1841" s="178"/>
      <c r="CV1841" s="178"/>
      <c r="CW1841" s="178"/>
      <c r="CX1841" s="178"/>
      <c r="CY1841" s="178"/>
      <c r="CZ1841" s="178"/>
      <c r="DA1841" s="150"/>
    </row>
    <row r="1842" spans="53:105" x14ac:dyDescent="0.2">
      <c r="BA1842" s="518">
        <f t="shared" ca="1" si="97"/>
        <v>61</v>
      </c>
      <c r="BB1842" s="174">
        <f t="shared" ca="1" si="98"/>
        <v>1779</v>
      </c>
      <c r="BC1842" s="525" t="e">
        <f ca="1">MATCH(BD1842,OFFSET(Pinlist!$A$2,BC1841*(BA1842=BA1841),0,$BM$23,1),0)+BC1841*(BA1842=BA1841)</f>
        <v>#N/A</v>
      </c>
      <c r="BD1842" s="167">
        <f t="shared" ca="1" si="99"/>
        <v>0</v>
      </c>
      <c r="BE1842" s="191" t="e">
        <f ca="1">(OFFSET(Pinlist!$E$1,BC1842,0)-$BN$16)*$BN$19</f>
        <v>#N/A</v>
      </c>
      <c r="BF1842" s="192" t="e">
        <f ca="1">(OFFSET(Pinlist!$F$1,BC1842,0)-$BO$16)*$BO$19</f>
        <v>#N/A</v>
      </c>
      <c r="BG1842" s="1098" t="str">
        <f ca="1">IF(LEFT(BD1842,2)="RF",OFFSET(Pinlist!$D$1,Chart!BC1842,0)&amp;"_"&amp;OFFSET(Pinlist!$G$1,Chart!BC1842,0),"")</f>
        <v/>
      </c>
      <c r="BH1842" s="1098"/>
      <c r="BI1842" s="178"/>
      <c r="BJ1842" s="178"/>
      <c r="BK1842" s="178"/>
      <c r="BL1842" s="178"/>
      <c r="BM1842" s="178"/>
      <c r="BN1842" s="178"/>
      <c r="BO1842" s="178"/>
      <c r="BP1842" s="178"/>
      <c r="BQ1842" s="196"/>
      <c r="BR1842" s="196"/>
      <c r="BS1842" s="196"/>
      <c r="BT1842" s="196"/>
      <c r="BU1842" s="196"/>
      <c r="BV1842" s="196"/>
      <c r="BW1842" s="178"/>
      <c r="BX1842" s="196"/>
      <c r="BY1842" s="196"/>
      <c r="BZ1842" s="196"/>
      <c r="CA1842" s="196"/>
      <c r="CB1842" s="178"/>
      <c r="CC1842" s="178"/>
      <c r="CD1842" s="202"/>
      <c r="CE1842" s="202"/>
      <c r="CF1842" s="178"/>
      <c r="CG1842" s="196"/>
      <c r="CH1842" s="178"/>
      <c r="CI1842" s="178"/>
      <c r="CJ1842" s="178"/>
      <c r="CK1842" s="178"/>
      <c r="CL1842" s="178"/>
      <c r="CM1842" s="178"/>
      <c r="CN1842" s="178"/>
      <c r="CO1842" s="178"/>
      <c r="CP1842" s="178"/>
      <c r="CQ1842" s="178"/>
      <c r="CR1842" s="178"/>
      <c r="CS1842" s="178"/>
      <c r="CT1842" s="178"/>
      <c r="CU1842" s="178"/>
      <c r="CV1842" s="178"/>
      <c r="CW1842" s="178"/>
      <c r="CX1842" s="178"/>
      <c r="CY1842" s="178"/>
      <c r="CZ1842" s="178"/>
      <c r="DA1842" s="150"/>
    </row>
    <row r="1843" spans="53:105" x14ac:dyDescent="0.2">
      <c r="BA1843" s="518">
        <f t="shared" ca="1" si="97"/>
        <v>61</v>
      </c>
      <c r="BB1843" s="174">
        <f t="shared" ca="1" si="98"/>
        <v>1780</v>
      </c>
      <c r="BC1843" s="525" t="e">
        <f ca="1">MATCH(BD1843,OFFSET(Pinlist!$A$2,BC1842*(BA1843=BA1842),0,$BM$23,1),0)+BC1842*(BA1843=BA1842)</f>
        <v>#N/A</v>
      </c>
      <c r="BD1843" s="167">
        <f t="shared" ca="1" si="99"/>
        <v>0</v>
      </c>
      <c r="BE1843" s="191" t="e">
        <f ca="1">(OFFSET(Pinlist!$E$1,BC1843,0)-$BN$16)*$BN$19</f>
        <v>#N/A</v>
      </c>
      <c r="BF1843" s="192" t="e">
        <f ca="1">(OFFSET(Pinlist!$F$1,BC1843,0)-$BO$16)*$BO$19</f>
        <v>#N/A</v>
      </c>
      <c r="BG1843" s="1098" t="str">
        <f ca="1">IF(LEFT(BD1843,2)="RF",OFFSET(Pinlist!$D$1,Chart!BC1843,0)&amp;"_"&amp;OFFSET(Pinlist!$G$1,Chart!BC1843,0),"")</f>
        <v/>
      </c>
      <c r="BH1843" s="1098"/>
      <c r="BI1843" s="178"/>
      <c r="BJ1843" s="178"/>
      <c r="BK1843" s="178"/>
      <c r="BL1843" s="178"/>
      <c r="BM1843" s="178"/>
      <c r="BN1843" s="178"/>
      <c r="BO1843" s="178"/>
      <c r="BP1843" s="178"/>
      <c r="BQ1843" s="196"/>
      <c r="BR1843" s="196"/>
      <c r="BS1843" s="196"/>
      <c r="BT1843" s="196"/>
      <c r="BU1843" s="196"/>
      <c r="BV1843" s="196"/>
      <c r="BW1843" s="178"/>
      <c r="BX1843" s="196"/>
      <c r="BY1843" s="196"/>
      <c r="BZ1843" s="196"/>
      <c r="CA1843" s="196"/>
      <c r="CB1843" s="178"/>
      <c r="CC1843" s="178"/>
      <c r="CD1843" s="202"/>
      <c r="CE1843" s="202"/>
      <c r="CF1843" s="178"/>
      <c r="CG1843" s="196"/>
      <c r="CH1843" s="178"/>
      <c r="CI1843" s="178"/>
      <c r="CJ1843" s="178"/>
      <c r="CK1843" s="178"/>
      <c r="CL1843" s="178"/>
      <c r="CM1843" s="178"/>
      <c r="CN1843" s="178"/>
      <c r="CO1843" s="178"/>
      <c r="CP1843" s="178"/>
      <c r="CQ1843" s="178"/>
      <c r="CR1843" s="178"/>
      <c r="CS1843" s="178"/>
      <c r="CT1843" s="178"/>
      <c r="CU1843" s="178"/>
      <c r="CV1843" s="178"/>
      <c r="CW1843" s="178"/>
      <c r="CX1843" s="178"/>
      <c r="CY1843" s="178"/>
      <c r="CZ1843" s="178"/>
      <c r="DA1843" s="150"/>
    </row>
    <row r="1844" spans="53:105" x14ac:dyDescent="0.2">
      <c r="BA1844" s="518">
        <f t="shared" ca="1" si="97"/>
        <v>61</v>
      </c>
      <c r="BB1844" s="174">
        <f t="shared" ca="1" si="98"/>
        <v>1781</v>
      </c>
      <c r="BC1844" s="525" t="e">
        <f ca="1">MATCH(BD1844,OFFSET(Pinlist!$A$2,BC1843*(BA1844=BA1843),0,$BM$23,1),0)+BC1843*(BA1844=BA1843)</f>
        <v>#N/A</v>
      </c>
      <c r="BD1844" s="167">
        <f t="shared" ca="1" si="99"/>
        <v>0</v>
      </c>
      <c r="BE1844" s="191" t="e">
        <f ca="1">(OFFSET(Pinlist!$E$1,BC1844,0)-$BN$16)*$BN$19</f>
        <v>#N/A</v>
      </c>
      <c r="BF1844" s="192" t="e">
        <f ca="1">(OFFSET(Pinlist!$F$1,BC1844,0)-$BO$16)*$BO$19</f>
        <v>#N/A</v>
      </c>
      <c r="BG1844" s="1098" t="str">
        <f ca="1">IF(LEFT(BD1844,2)="RF",OFFSET(Pinlist!$D$1,Chart!BC1844,0)&amp;"_"&amp;OFFSET(Pinlist!$G$1,Chart!BC1844,0),"")</f>
        <v/>
      </c>
      <c r="BH1844" s="1098"/>
      <c r="BI1844" s="178"/>
      <c r="BJ1844" s="178"/>
      <c r="BK1844" s="178"/>
      <c r="BL1844" s="178"/>
      <c r="BM1844" s="178"/>
      <c r="BN1844" s="178"/>
      <c r="BO1844" s="178"/>
      <c r="BP1844" s="178"/>
      <c r="BQ1844" s="196"/>
      <c r="BR1844" s="196"/>
      <c r="BS1844" s="196"/>
      <c r="BT1844" s="196"/>
      <c r="BU1844" s="196"/>
      <c r="BV1844" s="196"/>
      <c r="BW1844" s="178"/>
      <c r="BX1844" s="196"/>
      <c r="BY1844" s="196"/>
      <c r="BZ1844" s="196"/>
      <c r="CA1844" s="196"/>
      <c r="CB1844" s="178"/>
      <c r="CC1844" s="178"/>
      <c r="CD1844" s="202"/>
      <c r="CE1844" s="202"/>
      <c r="CF1844" s="178"/>
      <c r="CG1844" s="196"/>
      <c r="CH1844" s="178"/>
      <c r="CI1844" s="178"/>
      <c r="CJ1844" s="178"/>
      <c r="CK1844" s="178"/>
      <c r="CL1844" s="178"/>
      <c r="CM1844" s="178"/>
      <c r="CN1844" s="178"/>
      <c r="CO1844" s="178"/>
      <c r="CP1844" s="178"/>
      <c r="CQ1844" s="178"/>
      <c r="CR1844" s="178"/>
      <c r="CS1844" s="178"/>
      <c r="CT1844" s="178"/>
      <c r="CU1844" s="178"/>
      <c r="CV1844" s="178"/>
      <c r="CW1844" s="178"/>
      <c r="CX1844" s="178"/>
      <c r="CY1844" s="178"/>
      <c r="CZ1844" s="178"/>
      <c r="DA1844" s="150"/>
    </row>
    <row r="1845" spans="53:105" x14ac:dyDescent="0.2">
      <c r="BA1845" s="518">
        <f t="shared" ca="1" si="97"/>
        <v>61</v>
      </c>
      <c r="BB1845" s="174">
        <f t="shared" ca="1" si="98"/>
        <v>1782</v>
      </c>
      <c r="BC1845" s="525" t="e">
        <f ca="1">MATCH(BD1845,OFFSET(Pinlist!$A$2,BC1844*(BA1845=BA1844),0,$BM$23,1),0)+BC1844*(BA1845=BA1844)</f>
        <v>#N/A</v>
      </c>
      <c r="BD1845" s="167">
        <f t="shared" ca="1" si="99"/>
        <v>0</v>
      </c>
      <c r="BE1845" s="191" t="e">
        <f ca="1">(OFFSET(Pinlist!$E$1,BC1845,0)-$BN$16)*$BN$19</f>
        <v>#N/A</v>
      </c>
      <c r="BF1845" s="192" t="e">
        <f ca="1">(OFFSET(Pinlist!$F$1,BC1845,0)-$BO$16)*$BO$19</f>
        <v>#N/A</v>
      </c>
      <c r="BG1845" s="1098" t="str">
        <f ca="1">IF(LEFT(BD1845,2)="RF",OFFSET(Pinlist!$D$1,Chart!BC1845,0)&amp;"_"&amp;OFFSET(Pinlist!$G$1,Chart!BC1845,0),"")</f>
        <v/>
      </c>
      <c r="BH1845" s="1098"/>
      <c r="BI1845" s="178"/>
      <c r="BJ1845" s="178"/>
      <c r="BK1845" s="178"/>
      <c r="BL1845" s="178"/>
      <c r="BM1845" s="178"/>
      <c r="BN1845" s="178"/>
      <c r="BO1845" s="178"/>
      <c r="BP1845" s="178"/>
      <c r="BQ1845" s="196"/>
      <c r="BR1845" s="196"/>
      <c r="BS1845" s="196"/>
      <c r="BT1845" s="196"/>
      <c r="BU1845" s="196"/>
      <c r="BV1845" s="196"/>
      <c r="BW1845" s="178"/>
      <c r="BX1845" s="196"/>
      <c r="BY1845" s="196"/>
      <c r="BZ1845" s="196"/>
      <c r="CA1845" s="196"/>
      <c r="CB1845" s="178"/>
      <c r="CC1845" s="178"/>
      <c r="CD1845" s="202"/>
      <c r="CE1845" s="202"/>
      <c r="CF1845" s="178"/>
      <c r="CG1845" s="196"/>
      <c r="CH1845" s="178"/>
      <c r="CI1845" s="178"/>
      <c r="CJ1845" s="178"/>
      <c r="CK1845" s="178"/>
      <c r="CL1845" s="178"/>
      <c r="CM1845" s="178"/>
      <c r="CN1845" s="178"/>
      <c r="CO1845" s="178"/>
      <c r="CP1845" s="178"/>
      <c r="CQ1845" s="178"/>
      <c r="CR1845" s="178"/>
      <c r="CS1845" s="178"/>
      <c r="CT1845" s="178"/>
      <c r="CU1845" s="178"/>
      <c r="CV1845" s="178"/>
      <c r="CW1845" s="178"/>
      <c r="CX1845" s="178"/>
      <c r="CY1845" s="178"/>
      <c r="CZ1845" s="178"/>
      <c r="DA1845" s="150"/>
    </row>
    <row r="1846" spans="53:105" x14ac:dyDescent="0.2">
      <c r="BA1846" s="518">
        <f t="shared" ca="1" si="97"/>
        <v>61</v>
      </c>
      <c r="BB1846" s="174">
        <f t="shared" ca="1" si="98"/>
        <v>1783</v>
      </c>
      <c r="BC1846" s="525" t="e">
        <f ca="1">MATCH(BD1846,OFFSET(Pinlist!$A$2,BC1845*(BA1846=BA1845),0,$BM$23,1),0)+BC1845*(BA1846=BA1845)</f>
        <v>#N/A</v>
      </c>
      <c r="BD1846" s="167">
        <f t="shared" ca="1" si="99"/>
        <v>0</v>
      </c>
      <c r="BE1846" s="191" t="e">
        <f ca="1">(OFFSET(Pinlist!$E$1,BC1846,0)-$BN$16)*$BN$19</f>
        <v>#N/A</v>
      </c>
      <c r="BF1846" s="192" t="e">
        <f ca="1">(OFFSET(Pinlist!$F$1,BC1846,0)-$BO$16)*$BO$19</f>
        <v>#N/A</v>
      </c>
      <c r="BG1846" s="1098" t="str">
        <f ca="1">IF(LEFT(BD1846,2)="RF",OFFSET(Pinlist!$D$1,Chart!BC1846,0)&amp;"_"&amp;OFFSET(Pinlist!$G$1,Chart!BC1846,0),"")</f>
        <v/>
      </c>
      <c r="BH1846" s="1098"/>
      <c r="BI1846" s="178"/>
      <c r="BJ1846" s="178"/>
      <c r="BK1846" s="178"/>
      <c r="BL1846" s="178"/>
      <c r="BM1846" s="178"/>
      <c r="BN1846" s="178"/>
      <c r="BO1846" s="178"/>
      <c r="BP1846" s="178"/>
      <c r="BQ1846" s="196"/>
      <c r="BR1846" s="196"/>
      <c r="BS1846" s="196"/>
      <c r="BT1846" s="196"/>
      <c r="BU1846" s="196"/>
      <c r="BV1846" s="196"/>
      <c r="BW1846" s="178"/>
      <c r="BX1846" s="196"/>
      <c r="BY1846" s="196"/>
      <c r="BZ1846" s="196"/>
      <c r="CA1846" s="196"/>
      <c r="CB1846" s="178"/>
      <c r="CC1846" s="178"/>
      <c r="CD1846" s="202"/>
      <c r="CE1846" s="202"/>
      <c r="CF1846" s="178"/>
      <c r="CG1846" s="196"/>
      <c r="CH1846" s="178"/>
      <c r="CI1846" s="178"/>
      <c r="CJ1846" s="178"/>
      <c r="CK1846" s="178"/>
      <c r="CL1846" s="178"/>
      <c r="CM1846" s="178"/>
      <c r="CN1846" s="178"/>
      <c r="CO1846" s="178"/>
      <c r="CP1846" s="178"/>
      <c r="CQ1846" s="178"/>
      <c r="CR1846" s="178"/>
      <c r="CS1846" s="178"/>
      <c r="CT1846" s="178"/>
      <c r="CU1846" s="178"/>
      <c r="CV1846" s="178"/>
      <c r="CW1846" s="178"/>
      <c r="CX1846" s="178"/>
      <c r="CY1846" s="178"/>
      <c r="CZ1846" s="178"/>
      <c r="DA1846" s="150"/>
    </row>
    <row r="1847" spans="53:105" x14ac:dyDescent="0.2">
      <c r="BA1847" s="518">
        <f t="shared" ca="1" si="97"/>
        <v>61</v>
      </c>
      <c r="BB1847" s="174">
        <f t="shared" ca="1" si="98"/>
        <v>1784</v>
      </c>
      <c r="BC1847" s="525" t="e">
        <f ca="1">MATCH(BD1847,OFFSET(Pinlist!$A$2,BC1846*(BA1847=BA1846),0,$BM$23,1),0)+BC1846*(BA1847=BA1846)</f>
        <v>#N/A</v>
      </c>
      <c r="BD1847" s="167">
        <f t="shared" ca="1" si="99"/>
        <v>0</v>
      </c>
      <c r="BE1847" s="191" t="e">
        <f ca="1">(OFFSET(Pinlist!$E$1,BC1847,0)-$BN$16)*$BN$19</f>
        <v>#N/A</v>
      </c>
      <c r="BF1847" s="192" t="e">
        <f ca="1">(OFFSET(Pinlist!$F$1,BC1847,0)-$BO$16)*$BO$19</f>
        <v>#N/A</v>
      </c>
      <c r="BG1847" s="1098" t="str">
        <f ca="1">IF(LEFT(BD1847,2)="RF",OFFSET(Pinlist!$D$1,Chart!BC1847,0)&amp;"_"&amp;OFFSET(Pinlist!$G$1,Chart!BC1847,0),"")</f>
        <v/>
      </c>
      <c r="BH1847" s="1098"/>
      <c r="BI1847" s="178"/>
      <c r="BJ1847" s="178"/>
      <c r="BK1847" s="178"/>
      <c r="BL1847" s="178"/>
      <c r="BM1847" s="178"/>
      <c r="BN1847" s="178"/>
      <c r="BO1847" s="178"/>
      <c r="BP1847" s="178"/>
      <c r="BQ1847" s="196"/>
      <c r="BR1847" s="196"/>
      <c r="BS1847" s="196"/>
      <c r="BT1847" s="196"/>
      <c r="BU1847" s="196"/>
      <c r="BV1847" s="196"/>
      <c r="BW1847" s="178"/>
      <c r="BX1847" s="196"/>
      <c r="BY1847" s="196"/>
      <c r="BZ1847" s="196"/>
      <c r="CA1847" s="196"/>
      <c r="CB1847" s="178"/>
      <c r="CC1847" s="178"/>
      <c r="CD1847" s="202"/>
      <c r="CE1847" s="202"/>
      <c r="CF1847" s="178"/>
      <c r="CG1847" s="196"/>
      <c r="CH1847" s="178"/>
      <c r="CI1847" s="178"/>
      <c r="CJ1847" s="178"/>
      <c r="CK1847" s="178"/>
      <c r="CL1847" s="178"/>
      <c r="CM1847" s="178"/>
      <c r="CN1847" s="178"/>
      <c r="CO1847" s="178"/>
      <c r="CP1847" s="178"/>
      <c r="CQ1847" s="178"/>
      <c r="CR1847" s="178"/>
      <c r="CS1847" s="178"/>
      <c r="CT1847" s="178"/>
      <c r="CU1847" s="178"/>
      <c r="CV1847" s="178"/>
      <c r="CW1847" s="178"/>
      <c r="CX1847" s="178"/>
      <c r="CY1847" s="178"/>
      <c r="CZ1847" s="178"/>
      <c r="DA1847" s="150"/>
    </row>
    <row r="1848" spans="53:105" x14ac:dyDescent="0.2">
      <c r="BA1848" s="518">
        <f t="shared" ca="1" si="97"/>
        <v>61</v>
      </c>
      <c r="BB1848" s="174">
        <f t="shared" ca="1" si="98"/>
        <v>1785</v>
      </c>
      <c r="BC1848" s="525" t="e">
        <f ca="1">MATCH(BD1848,OFFSET(Pinlist!$A$2,BC1847*(BA1848=BA1847),0,$BM$23,1),0)+BC1847*(BA1848=BA1847)</f>
        <v>#N/A</v>
      </c>
      <c r="BD1848" s="167">
        <f t="shared" ca="1" si="99"/>
        <v>0</v>
      </c>
      <c r="BE1848" s="191" t="e">
        <f ca="1">(OFFSET(Pinlist!$E$1,BC1848,0)-$BN$16)*$BN$19</f>
        <v>#N/A</v>
      </c>
      <c r="BF1848" s="192" t="e">
        <f ca="1">(OFFSET(Pinlist!$F$1,BC1848,0)-$BO$16)*$BO$19</f>
        <v>#N/A</v>
      </c>
      <c r="BG1848" s="1098" t="str">
        <f ca="1">IF(LEFT(BD1848,2)="RF",OFFSET(Pinlist!$D$1,Chart!BC1848,0)&amp;"_"&amp;OFFSET(Pinlist!$G$1,Chart!BC1848,0),"")</f>
        <v/>
      </c>
      <c r="BH1848" s="1098"/>
      <c r="BI1848" s="178"/>
      <c r="BJ1848" s="178"/>
      <c r="BK1848" s="178"/>
      <c r="BL1848" s="178"/>
      <c r="BM1848" s="178"/>
      <c r="BN1848" s="178"/>
      <c r="BO1848" s="178"/>
      <c r="BP1848" s="178"/>
      <c r="BQ1848" s="196"/>
      <c r="BR1848" s="196"/>
      <c r="BS1848" s="196"/>
      <c r="BT1848" s="196"/>
      <c r="BU1848" s="196"/>
      <c r="BV1848" s="196"/>
      <c r="BW1848" s="178"/>
      <c r="BX1848" s="196"/>
      <c r="BY1848" s="196"/>
      <c r="BZ1848" s="196"/>
      <c r="CA1848" s="196"/>
      <c r="CB1848" s="178"/>
      <c r="CC1848" s="178"/>
      <c r="CD1848" s="202"/>
      <c r="CE1848" s="202"/>
      <c r="CF1848" s="178"/>
      <c r="CG1848" s="196"/>
      <c r="CH1848" s="178"/>
      <c r="CI1848" s="178"/>
      <c r="CJ1848" s="178"/>
      <c r="CK1848" s="178"/>
      <c r="CL1848" s="178"/>
      <c r="CM1848" s="178"/>
      <c r="CN1848" s="178"/>
      <c r="CO1848" s="178"/>
      <c r="CP1848" s="178"/>
      <c r="CQ1848" s="178"/>
      <c r="CR1848" s="178"/>
      <c r="CS1848" s="178"/>
      <c r="CT1848" s="178"/>
      <c r="CU1848" s="178"/>
      <c r="CV1848" s="178"/>
      <c r="CW1848" s="178"/>
      <c r="CX1848" s="178"/>
      <c r="CY1848" s="178"/>
      <c r="CZ1848" s="178"/>
      <c r="DA1848" s="150"/>
    </row>
    <row r="1849" spans="53:105" x14ac:dyDescent="0.2">
      <c r="BA1849" s="518">
        <f t="shared" ca="1" si="97"/>
        <v>61</v>
      </c>
      <c r="BB1849" s="174">
        <f t="shared" ca="1" si="98"/>
        <v>1786</v>
      </c>
      <c r="BC1849" s="525" t="e">
        <f ca="1">MATCH(BD1849,OFFSET(Pinlist!$A$2,BC1848*(BA1849=BA1848),0,$BM$23,1),0)+BC1848*(BA1849=BA1848)</f>
        <v>#N/A</v>
      </c>
      <c r="BD1849" s="167">
        <f t="shared" ca="1" si="99"/>
        <v>0</v>
      </c>
      <c r="BE1849" s="191" t="e">
        <f ca="1">(OFFSET(Pinlist!$E$1,BC1849,0)-$BN$16)*$BN$19</f>
        <v>#N/A</v>
      </c>
      <c r="BF1849" s="192" t="e">
        <f ca="1">(OFFSET(Pinlist!$F$1,BC1849,0)-$BO$16)*$BO$19</f>
        <v>#N/A</v>
      </c>
      <c r="BG1849" s="1098" t="str">
        <f ca="1">IF(LEFT(BD1849,2)="RF",OFFSET(Pinlist!$D$1,Chart!BC1849,0)&amp;"_"&amp;OFFSET(Pinlist!$G$1,Chart!BC1849,0),"")</f>
        <v/>
      </c>
      <c r="BH1849" s="1098"/>
      <c r="BI1849" s="178"/>
      <c r="BJ1849" s="178"/>
      <c r="BK1849" s="178"/>
      <c r="BL1849" s="178"/>
      <c r="BM1849" s="178"/>
      <c r="BN1849" s="178"/>
      <c r="BO1849" s="178"/>
      <c r="BP1849" s="178"/>
      <c r="BQ1849" s="196"/>
      <c r="BR1849" s="196"/>
      <c r="BS1849" s="196"/>
      <c r="BT1849" s="196"/>
      <c r="BU1849" s="196"/>
      <c r="BV1849" s="196"/>
      <c r="BW1849" s="178"/>
      <c r="BX1849" s="196"/>
      <c r="BY1849" s="196"/>
      <c r="BZ1849" s="196"/>
      <c r="CA1849" s="196"/>
      <c r="CB1849" s="178"/>
      <c r="CC1849" s="178"/>
      <c r="CD1849" s="202"/>
      <c r="CE1849" s="202"/>
      <c r="CF1849" s="178"/>
      <c r="CG1849" s="196"/>
      <c r="CH1849" s="178"/>
      <c r="CI1849" s="178"/>
      <c r="CJ1849" s="178"/>
      <c r="CK1849" s="178"/>
      <c r="CL1849" s="178"/>
      <c r="CM1849" s="178"/>
      <c r="CN1849" s="178"/>
      <c r="CO1849" s="178"/>
      <c r="CP1849" s="178"/>
      <c r="CQ1849" s="178"/>
      <c r="CR1849" s="178"/>
      <c r="CS1849" s="178"/>
      <c r="CT1849" s="178"/>
      <c r="CU1849" s="178"/>
      <c r="CV1849" s="178"/>
      <c r="CW1849" s="178"/>
      <c r="CX1849" s="178"/>
      <c r="CY1849" s="178"/>
      <c r="CZ1849" s="178"/>
      <c r="DA1849" s="150"/>
    </row>
    <row r="1850" spans="53:105" x14ac:dyDescent="0.2">
      <c r="BA1850" s="518">
        <f t="shared" ca="1" si="97"/>
        <v>61</v>
      </c>
      <c r="BB1850" s="174">
        <f t="shared" ca="1" si="98"/>
        <v>1787</v>
      </c>
      <c r="BC1850" s="525" t="e">
        <f ca="1">MATCH(BD1850,OFFSET(Pinlist!$A$2,BC1849*(BA1850=BA1849),0,$BM$23,1),0)+BC1849*(BA1850=BA1849)</f>
        <v>#N/A</v>
      </c>
      <c r="BD1850" s="167">
        <f t="shared" ca="1" si="99"/>
        <v>0</v>
      </c>
      <c r="BE1850" s="191" t="e">
        <f ca="1">(OFFSET(Pinlist!$E$1,BC1850,0)-$BN$16)*$BN$19</f>
        <v>#N/A</v>
      </c>
      <c r="BF1850" s="192" t="e">
        <f ca="1">(OFFSET(Pinlist!$F$1,BC1850,0)-$BO$16)*$BO$19</f>
        <v>#N/A</v>
      </c>
      <c r="BG1850" s="1098" t="str">
        <f ca="1">IF(LEFT(BD1850,2)="RF",OFFSET(Pinlist!$D$1,Chart!BC1850,0)&amp;"_"&amp;OFFSET(Pinlist!$G$1,Chart!BC1850,0),"")</f>
        <v/>
      </c>
      <c r="BH1850" s="1098"/>
      <c r="BI1850" s="178"/>
      <c r="BJ1850" s="178"/>
      <c r="BK1850" s="178"/>
      <c r="BL1850" s="178"/>
      <c r="BM1850" s="178"/>
      <c r="BN1850" s="178"/>
      <c r="BO1850" s="178"/>
      <c r="BP1850" s="178"/>
      <c r="BQ1850" s="196"/>
      <c r="BR1850" s="196"/>
      <c r="BS1850" s="196"/>
      <c r="BT1850" s="196"/>
      <c r="BU1850" s="196"/>
      <c r="BV1850" s="196"/>
      <c r="BW1850" s="178"/>
      <c r="BX1850" s="196"/>
      <c r="BY1850" s="196"/>
      <c r="BZ1850" s="196"/>
      <c r="CA1850" s="196"/>
      <c r="CB1850" s="178"/>
      <c r="CC1850" s="178"/>
      <c r="CD1850" s="202"/>
      <c r="CE1850" s="202"/>
      <c r="CF1850" s="178"/>
      <c r="CG1850" s="196"/>
      <c r="CH1850" s="178"/>
      <c r="CI1850" s="178"/>
      <c r="CJ1850" s="178"/>
      <c r="CK1850" s="178"/>
      <c r="CL1850" s="178"/>
      <c r="CM1850" s="178"/>
      <c r="CN1850" s="178"/>
      <c r="CO1850" s="178"/>
      <c r="CP1850" s="178"/>
      <c r="CQ1850" s="178"/>
      <c r="CR1850" s="178"/>
      <c r="CS1850" s="178"/>
      <c r="CT1850" s="178"/>
      <c r="CU1850" s="178"/>
      <c r="CV1850" s="178"/>
      <c r="CW1850" s="178"/>
      <c r="CX1850" s="178"/>
      <c r="CY1850" s="178"/>
      <c r="CZ1850" s="178"/>
      <c r="DA1850" s="150"/>
    </row>
    <row r="1851" spans="53:105" x14ac:dyDescent="0.2">
      <c r="BA1851" s="518">
        <f t="shared" ca="1" si="97"/>
        <v>61</v>
      </c>
      <c r="BB1851" s="174">
        <f t="shared" ca="1" si="98"/>
        <v>1788</v>
      </c>
      <c r="BC1851" s="525" t="e">
        <f ca="1">MATCH(BD1851,OFFSET(Pinlist!$A$2,BC1850*(BA1851=BA1850),0,$BM$23,1),0)+BC1850*(BA1851=BA1850)</f>
        <v>#N/A</v>
      </c>
      <c r="BD1851" s="167">
        <f t="shared" ca="1" si="99"/>
        <v>0</v>
      </c>
      <c r="BE1851" s="191" t="e">
        <f ca="1">(OFFSET(Pinlist!$E$1,BC1851,0)-$BN$16)*$BN$19</f>
        <v>#N/A</v>
      </c>
      <c r="BF1851" s="192" t="e">
        <f ca="1">(OFFSET(Pinlist!$F$1,BC1851,0)-$BO$16)*$BO$19</f>
        <v>#N/A</v>
      </c>
      <c r="BG1851" s="1098" t="str">
        <f ca="1">IF(LEFT(BD1851,2)="RF",OFFSET(Pinlist!$D$1,Chart!BC1851,0)&amp;"_"&amp;OFFSET(Pinlist!$G$1,Chart!BC1851,0),"")</f>
        <v/>
      </c>
      <c r="BH1851" s="1098"/>
      <c r="BI1851" s="178"/>
      <c r="BJ1851" s="178"/>
      <c r="BK1851" s="178"/>
      <c r="BL1851" s="178"/>
      <c r="BM1851" s="178"/>
      <c r="BN1851" s="178"/>
      <c r="BO1851" s="178"/>
      <c r="BP1851" s="178"/>
      <c r="BQ1851" s="196"/>
      <c r="BR1851" s="196"/>
      <c r="BS1851" s="196"/>
      <c r="BT1851" s="196"/>
      <c r="BU1851" s="196"/>
      <c r="BV1851" s="196"/>
      <c r="BW1851" s="178"/>
      <c r="BX1851" s="196"/>
      <c r="BY1851" s="196"/>
      <c r="BZ1851" s="196"/>
      <c r="CA1851" s="196"/>
      <c r="CB1851" s="178"/>
      <c r="CC1851" s="178"/>
      <c r="CD1851" s="202"/>
      <c r="CE1851" s="202"/>
      <c r="CF1851" s="178"/>
      <c r="CG1851" s="196"/>
      <c r="CH1851" s="178"/>
      <c r="CI1851" s="178"/>
      <c r="CJ1851" s="178"/>
      <c r="CK1851" s="178"/>
      <c r="CL1851" s="178"/>
      <c r="CM1851" s="178"/>
      <c r="CN1851" s="178"/>
      <c r="CO1851" s="178"/>
      <c r="CP1851" s="178"/>
      <c r="CQ1851" s="178"/>
      <c r="CR1851" s="178"/>
      <c r="CS1851" s="178"/>
      <c r="CT1851" s="178"/>
      <c r="CU1851" s="178"/>
      <c r="CV1851" s="178"/>
      <c r="CW1851" s="178"/>
      <c r="CX1851" s="178"/>
      <c r="CY1851" s="178"/>
      <c r="CZ1851" s="178"/>
      <c r="DA1851" s="150"/>
    </row>
    <row r="1852" spans="53:105" x14ac:dyDescent="0.2">
      <c r="BA1852" s="518">
        <f t="shared" ca="1" si="97"/>
        <v>61</v>
      </c>
      <c r="BB1852" s="174">
        <f t="shared" ca="1" si="98"/>
        <v>1789</v>
      </c>
      <c r="BC1852" s="525" t="e">
        <f ca="1">MATCH(BD1852,OFFSET(Pinlist!$A$2,BC1851*(BA1852=BA1851),0,$BM$23,1),0)+BC1851*(BA1852=BA1851)</f>
        <v>#N/A</v>
      </c>
      <c r="BD1852" s="167">
        <f t="shared" ca="1" si="99"/>
        <v>0</v>
      </c>
      <c r="BE1852" s="191" t="e">
        <f ca="1">(OFFSET(Pinlist!$E$1,BC1852,0)-$BN$16)*$BN$19</f>
        <v>#N/A</v>
      </c>
      <c r="BF1852" s="192" t="e">
        <f ca="1">(OFFSET(Pinlist!$F$1,BC1852,0)-$BO$16)*$BO$19</f>
        <v>#N/A</v>
      </c>
      <c r="BG1852" s="1098" t="str">
        <f ca="1">IF(LEFT(BD1852,2)="RF",OFFSET(Pinlist!$D$1,Chart!BC1852,0)&amp;"_"&amp;OFFSET(Pinlist!$G$1,Chart!BC1852,0),"")</f>
        <v/>
      </c>
      <c r="BH1852" s="1098"/>
      <c r="BI1852" s="178"/>
      <c r="BJ1852" s="178"/>
      <c r="BK1852" s="178"/>
      <c r="BL1852" s="178"/>
      <c r="BM1852" s="178"/>
      <c r="BN1852" s="178"/>
      <c r="BO1852" s="178"/>
      <c r="BP1852" s="178"/>
      <c r="BQ1852" s="196"/>
      <c r="BR1852" s="196"/>
      <c r="BS1852" s="196"/>
      <c r="BT1852" s="196"/>
      <c r="BU1852" s="196"/>
      <c r="BV1852" s="196"/>
      <c r="BW1852" s="178"/>
      <c r="BX1852" s="196"/>
      <c r="BY1852" s="196"/>
      <c r="BZ1852" s="196"/>
      <c r="CA1852" s="196"/>
      <c r="CB1852" s="178"/>
      <c r="CC1852" s="178"/>
      <c r="CD1852" s="202"/>
      <c r="CE1852" s="202"/>
      <c r="CF1852" s="178"/>
      <c r="CG1852" s="196"/>
      <c r="CH1852" s="178"/>
      <c r="CI1852" s="178"/>
      <c r="CJ1852" s="178"/>
      <c r="CK1852" s="178"/>
      <c r="CL1852" s="178"/>
      <c r="CM1852" s="178"/>
      <c r="CN1852" s="178"/>
      <c r="CO1852" s="178"/>
      <c r="CP1852" s="178"/>
      <c r="CQ1852" s="178"/>
      <c r="CR1852" s="178"/>
      <c r="CS1852" s="178"/>
      <c r="CT1852" s="178"/>
      <c r="CU1852" s="178"/>
      <c r="CV1852" s="178"/>
      <c r="CW1852" s="178"/>
      <c r="CX1852" s="178"/>
      <c r="CY1852" s="178"/>
      <c r="CZ1852" s="178"/>
      <c r="DA1852" s="150"/>
    </row>
    <row r="1853" spans="53:105" x14ac:dyDescent="0.2">
      <c r="BA1853" s="518">
        <f t="shared" ca="1" si="97"/>
        <v>61</v>
      </c>
      <c r="BB1853" s="174">
        <f t="shared" ca="1" si="98"/>
        <v>1790</v>
      </c>
      <c r="BC1853" s="525" t="e">
        <f ca="1">MATCH(BD1853,OFFSET(Pinlist!$A$2,BC1852*(BA1853=BA1852),0,$BM$23,1),0)+BC1852*(BA1853=BA1852)</f>
        <v>#N/A</v>
      </c>
      <c r="BD1853" s="167">
        <f t="shared" ca="1" si="99"/>
        <v>0</v>
      </c>
      <c r="BE1853" s="191" t="e">
        <f ca="1">(OFFSET(Pinlist!$E$1,BC1853,0)-$BN$16)*$BN$19</f>
        <v>#N/A</v>
      </c>
      <c r="BF1853" s="192" t="e">
        <f ca="1">(OFFSET(Pinlist!$F$1,BC1853,0)-$BO$16)*$BO$19</f>
        <v>#N/A</v>
      </c>
      <c r="BG1853" s="1098" t="str">
        <f ca="1">IF(LEFT(BD1853,2)="RF",OFFSET(Pinlist!$D$1,Chart!BC1853,0)&amp;"_"&amp;OFFSET(Pinlist!$G$1,Chart!BC1853,0),"")</f>
        <v/>
      </c>
      <c r="BH1853" s="1098"/>
      <c r="BI1853" s="178"/>
      <c r="BJ1853" s="178"/>
      <c r="BK1853" s="178"/>
      <c r="BL1853" s="178"/>
      <c r="BM1853" s="178"/>
      <c r="BN1853" s="178"/>
      <c r="BO1853" s="178"/>
      <c r="BP1853" s="178"/>
      <c r="BQ1853" s="196"/>
      <c r="BR1853" s="196"/>
      <c r="BS1853" s="196"/>
      <c r="BT1853" s="196"/>
      <c r="BU1853" s="196"/>
      <c r="BV1853" s="196"/>
      <c r="BW1853" s="178"/>
      <c r="BX1853" s="196"/>
      <c r="BY1853" s="196"/>
      <c r="BZ1853" s="196"/>
      <c r="CA1853" s="196"/>
      <c r="CB1853" s="178"/>
      <c r="CC1853" s="178"/>
      <c r="CD1853" s="202"/>
      <c r="CE1853" s="202"/>
      <c r="CF1853" s="178"/>
      <c r="CG1853" s="196"/>
      <c r="CH1853" s="178"/>
      <c r="CI1853" s="178"/>
      <c r="CJ1853" s="178"/>
      <c r="CK1853" s="178"/>
      <c r="CL1853" s="178"/>
      <c r="CM1853" s="178"/>
      <c r="CN1853" s="178"/>
      <c r="CO1853" s="178"/>
      <c r="CP1853" s="178"/>
      <c r="CQ1853" s="178"/>
      <c r="CR1853" s="178"/>
      <c r="CS1853" s="178"/>
      <c r="CT1853" s="178"/>
      <c r="CU1853" s="178"/>
      <c r="CV1853" s="178"/>
      <c r="CW1853" s="178"/>
      <c r="CX1853" s="178"/>
      <c r="CY1853" s="178"/>
      <c r="CZ1853" s="178"/>
      <c r="DA1853" s="150"/>
    </row>
    <row r="1854" spans="53:105" x14ac:dyDescent="0.2">
      <c r="BA1854" s="518">
        <f t="shared" ca="1" si="97"/>
        <v>61</v>
      </c>
      <c r="BB1854" s="174">
        <f t="shared" ca="1" si="98"/>
        <v>1791</v>
      </c>
      <c r="BC1854" s="525" t="e">
        <f ca="1">MATCH(BD1854,OFFSET(Pinlist!$A$2,BC1853*(BA1854=BA1853),0,$BM$23,1),0)+BC1853*(BA1854=BA1853)</f>
        <v>#N/A</v>
      </c>
      <c r="BD1854" s="167">
        <f t="shared" ca="1" si="99"/>
        <v>0</v>
      </c>
      <c r="BE1854" s="191" t="e">
        <f ca="1">(OFFSET(Pinlist!$E$1,BC1854,0)-$BN$16)*$BN$19</f>
        <v>#N/A</v>
      </c>
      <c r="BF1854" s="192" t="e">
        <f ca="1">(OFFSET(Pinlist!$F$1,BC1854,0)-$BO$16)*$BO$19</f>
        <v>#N/A</v>
      </c>
      <c r="BG1854" s="1098" t="str">
        <f ca="1">IF(LEFT(BD1854,2)="RF",OFFSET(Pinlist!$D$1,Chart!BC1854,0)&amp;"_"&amp;OFFSET(Pinlist!$G$1,Chart!BC1854,0),"")</f>
        <v/>
      </c>
      <c r="BH1854" s="1098"/>
      <c r="BI1854" s="178"/>
      <c r="BJ1854" s="178"/>
      <c r="BK1854" s="178"/>
      <c r="BL1854" s="178"/>
      <c r="BM1854" s="178"/>
      <c r="BN1854" s="178"/>
      <c r="BO1854" s="178"/>
      <c r="BP1854" s="178"/>
      <c r="BQ1854" s="196"/>
      <c r="BR1854" s="196"/>
      <c r="BS1854" s="196"/>
      <c r="BT1854" s="196"/>
      <c r="BU1854" s="196"/>
      <c r="BV1854" s="196"/>
      <c r="BW1854" s="178"/>
      <c r="BX1854" s="196"/>
      <c r="BY1854" s="196"/>
      <c r="BZ1854" s="196"/>
      <c r="CA1854" s="196"/>
      <c r="CB1854" s="178"/>
      <c r="CC1854" s="178"/>
      <c r="CD1854" s="202"/>
      <c r="CE1854" s="202"/>
      <c r="CF1854" s="178"/>
      <c r="CG1854" s="196"/>
      <c r="CH1854" s="178"/>
      <c r="CI1854" s="178"/>
      <c r="CJ1854" s="178"/>
      <c r="CK1854" s="178"/>
      <c r="CL1854" s="178"/>
      <c r="CM1854" s="178"/>
      <c r="CN1854" s="178"/>
      <c r="CO1854" s="178"/>
      <c r="CP1854" s="178"/>
      <c r="CQ1854" s="178"/>
      <c r="CR1854" s="178"/>
      <c r="CS1854" s="178"/>
      <c r="CT1854" s="178"/>
      <c r="CU1854" s="178"/>
      <c r="CV1854" s="178"/>
      <c r="CW1854" s="178"/>
      <c r="CX1854" s="178"/>
      <c r="CY1854" s="178"/>
      <c r="CZ1854" s="178"/>
      <c r="DA1854" s="150"/>
    </row>
    <row r="1855" spans="53:105" x14ac:dyDescent="0.2">
      <c r="BA1855" s="518">
        <f t="shared" ca="1" si="97"/>
        <v>61</v>
      </c>
      <c r="BB1855" s="174">
        <f t="shared" ca="1" si="98"/>
        <v>1792</v>
      </c>
      <c r="BC1855" s="525" t="e">
        <f ca="1">MATCH(BD1855,OFFSET(Pinlist!$A$2,BC1854*(BA1855=BA1854),0,$BM$23,1),0)+BC1854*(BA1855=BA1854)</f>
        <v>#N/A</v>
      </c>
      <c r="BD1855" s="167">
        <f t="shared" ca="1" si="99"/>
        <v>0</v>
      </c>
      <c r="BE1855" s="191" t="e">
        <f ca="1">(OFFSET(Pinlist!$E$1,BC1855,0)-$BN$16)*$BN$19</f>
        <v>#N/A</v>
      </c>
      <c r="BF1855" s="192" t="e">
        <f ca="1">(OFFSET(Pinlist!$F$1,BC1855,0)-$BO$16)*$BO$19</f>
        <v>#N/A</v>
      </c>
      <c r="BG1855" s="1098" t="str">
        <f ca="1">IF(LEFT(BD1855,2)="RF",OFFSET(Pinlist!$D$1,Chart!BC1855,0)&amp;"_"&amp;OFFSET(Pinlist!$G$1,Chart!BC1855,0),"")</f>
        <v/>
      </c>
      <c r="BH1855" s="1098"/>
      <c r="BI1855" s="178"/>
      <c r="BJ1855" s="178"/>
      <c r="BK1855" s="178"/>
      <c r="BL1855" s="178"/>
      <c r="BM1855" s="178"/>
      <c r="BN1855" s="178"/>
      <c r="BO1855" s="178"/>
      <c r="BP1855" s="178"/>
      <c r="BQ1855" s="196"/>
      <c r="BR1855" s="196"/>
      <c r="BS1855" s="196"/>
      <c r="BT1855" s="196"/>
      <c r="BU1855" s="196"/>
      <c r="BV1855" s="196"/>
      <c r="BW1855" s="178"/>
      <c r="BX1855" s="196"/>
      <c r="BY1855" s="196"/>
      <c r="BZ1855" s="196"/>
      <c r="CA1855" s="196"/>
      <c r="CB1855" s="178"/>
      <c r="CC1855" s="178"/>
      <c r="CD1855" s="202"/>
      <c r="CE1855" s="202"/>
      <c r="CF1855" s="178"/>
      <c r="CG1855" s="196"/>
      <c r="CH1855" s="178"/>
      <c r="CI1855" s="178"/>
      <c r="CJ1855" s="178"/>
      <c r="CK1855" s="178"/>
      <c r="CL1855" s="178"/>
      <c r="CM1855" s="178"/>
      <c r="CN1855" s="178"/>
      <c r="CO1855" s="178"/>
      <c r="CP1855" s="178"/>
      <c r="CQ1855" s="178"/>
      <c r="CR1855" s="178"/>
      <c r="CS1855" s="178"/>
      <c r="CT1855" s="178"/>
      <c r="CU1855" s="178"/>
      <c r="CV1855" s="178"/>
      <c r="CW1855" s="178"/>
      <c r="CX1855" s="178"/>
      <c r="CY1855" s="178"/>
      <c r="CZ1855" s="178"/>
      <c r="DA1855" s="150"/>
    </row>
    <row r="1856" spans="53:105" x14ac:dyDescent="0.2">
      <c r="BA1856" s="518">
        <f t="shared" ca="1" si="97"/>
        <v>61</v>
      </c>
      <c r="BB1856" s="174">
        <f t="shared" ca="1" si="98"/>
        <v>1793</v>
      </c>
      <c r="BC1856" s="525" t="e">
        <f ca="1">MATCH(BD1856,OFFSET(Pinlist!$A$2,BC1855*(BA1856=BA1855),0,$BM$23,1),0)+BC1855*(BA1856=BA1855)</f>
        <v>#N/A</v>
      </c>
      <c r="BD1856" s="167">
        <f t="shared" ca="1" si="99"/>
        <v>0</v>
      </c>
      <c r="BE1856" s="191" t="e">
        <f ca="1">(OFFSET(Pinlist!$E$1,BC1856,0)-$BN$16)*$BN$19</f>
        <v>#N/A</v>
      </c>
      <c r="BF1856" s="192" t="e">
        <f ca="1">(OFFSET(Pinlist!$F$1,BC1856,0)-$BO$16)*$BO$19</f>
        <v>#N/A</v>
      </c>
      <c r="BG1856" s="1098" t="str">
        <f ca="1">IF(LEFT(BD1856,2)="RF",OFFSET(Pinlist!$D$1,Chart!BC1856,0)&amp;"_"&amp;OFFSET(Pinlist!$G$1,Chart!BC1856,0),"")</f>
        <v/>
      </c>
      <c r="BH1856" s="1098"/>
      <c r="BI1856" s="178"/>
      <c r="BJ1856" s="178"/>
      <c r="BK1856" s="178"/>
      <c r="BL1856" s="178"/>
      <c r="BM1856" s="178"/>
      <c r="BN1856" s="178"/>
      <c r="BO1856" s="178"/>
      <c r="BP1856" s="178"/>
      <c r="BQ1856" s="196"/>
      <c r="BR1856" s="196"/>
      <c r="BS1856" s="196"/>
      <c r="BT1856" s="196"/>
      <c r="BU1856" s="196"/>
      <c r="BV1856" s="196"/>
      <c r="BW1856" s="178"/>
      <c r="BX1856" s="196"/>
      <c r="BY1856" s="196"/>
      <c r="BZ1856" s="196"/>
      <c r="CA1856" s="196"/>
      <c r="CB1856" s="178"/>
      <c r="CC1856" s="178"/>
      <c r="CD1856" s="202"/>
      <c r="CE1856" s="202"/>
      <c r="CF1856" s="178"/>
      <c r="CG1856" s="196"/>
      <c r="CH1856" s="178"/>
      <c r="CI1856" s="178"/>
      <c r="CJ1856" s="178"/>
      <c r="CK1856" s="178"/>
      <c r="CL1856" s="178"/>
      <c r="CM1856" s="178"/>
      <c r="CN1856" s="178"/>
      <c r="CO1856" s="178"/>
      <c r="CP1856" s="178"/>
      <c r="CQ1856" s="178"/>
      <c r="CR1856" s="178"/>
      <c r="CS1856" s="178"/>
      <c r="CT1856" s="178"/>
      <c r="CU1856" s="178"/>
      <c r="CV1856" s="178"/>
      <c r="CW1856" s="178"/>
      <c r="CX1856" s="178"/>
      <c r="CY1856" s="178"/>
      <c r="CZ1856" s="178"/>
      <c r="DA1856" s="150"/>
    </row>
    <row r="1857" spans="53:105" x14ac:dyDescent="0.2">
      <c r="BA1857" s="518">
        <f t="shared" ca="1" si="97"/>
        <v>61</v>
      </c>
      <c r="BB1857" s="174">
        <f t="shared" ca="1" si="98"/>
        <v>1794</v>
      </c>
      <c r="BC1857" s="525" t="e">
        <f ca="1">MATCH(BD1857,OFFSET(Pinlist!$A$2,BC1856*(BA1857=BA1856),0,$BM$23,1),0)+BC1856*(BA1857=BA1856)</f>
        <v>#N/A</v>
      </c>
      <c r="BD1857" s="167">
        <f t="shared" ca="1" si="99"/>
        <v>0</v>
      </c>
      <c r="BE1857" s="191" t="e">
        <f ca="1">(OFFSET(Pinlist!$E$1,BC1857,0)-$BN$16)*$BN$19</f>
        <v>#N/A</v>
      </c>
      <c r="BF1857" s="192" t="e">
        <f ca="1">(OFFSET(Pinlist!$F$1,BC1857,0)-$BO$16)*$BO$19</f>
        <v>#N/A</v>
      </c>
      <c r="BG1857" s="1098" t="str">
        <f ca="1">IF(LEFT(BD1857,2)="RF",OFFSET(Pinlist!$D$1,Chart!BC1857,0)&amp;"_"&amp;OFFSET(Pinlist!$G$1,Chart!BC1857,0),"")</f>
        <v/>
      </c>
      <c r="BH1857" s="1098"/>
      <c r="BI1857" s="178"/>
      <c r="BJ1857" s="178"/>
      <c r="BK1857" s="178"/>
      <c r="BL1857" s="178"/>
      <c r="BM1857" s="178"/>
      <c r="BN1857" s="178"/>
      <c r="BO1857" s="178"/>
      <c r="BP1857" s="178"/>
      <c r="BQ1857" s="196"/>
      <c r="BR1857" s="196"/>
      <c r="BS1857" s="196"/>
      <c r="BT1857" s="196"/>
      <c r="BU1857" s="196"/>
      <c r="BV1857" s="196"/>
      <c r="BW1857" s="178"/>
      <c r="BX1857" s="196"/>
      <c r="BY1857" s="196"/>
      <c r="BZ1857" s="196"/>
      <c r="CA1857" s="196"/>
      <c r="CB1857" s="178"/>
      <c r="CC1857" s="178"/>
      <c r="CD1857" s="202"/>
      <c r="CE1857" s="202"/>
      <c r="CF1857" s="178"/>
      <c r="CG1857" s="196"/>
      <c r="CH1857" s="178"/>
      <c r="CI1857" s="178"/>
      <c r="CJ1857" s="178"/>
      <c r="CK1857" s="178"/>
      <c r="CL1857" s="178"/>
      <c r="CM1857" s="178"/>
      <c r="CN1857" s="178"/>
      <c r="CO1857" s="178"/>
      <c r="CP1857" s="178"/>
      <c r="CQ1857" s="178"/>
      <c r="CR1857" s="178"/>
      <c r="CS1857" s="178"/>
      <c r="CT1857" s="178"/>
      <c r="CU1857" s="178"/>
      <c r="CV1857" s="178"/>
      <c r="CW1857" s="178"/>
      <c r="CX1857" s="178"/>
      <c r="CY1857" s="178"/>
      <c r="CZ1857" s="178"/>
      <c r="DA1857" s="150"/>
    </row>
    <row r="1858" spans="53:105" x14ac:dyDescent="0.2">
      <c r="BA1858" s="518">
        <f t="shared" ca="1" si="97"/>
        <v>61</v>
      </c>
      <c r="BB1858" s="174">
        <f t="shared" ca="1" si="98"/>
        <v>1795</v>
      </c>
      <c r="BC1858" s="525" t="e">
        <f ca="1">MATCH(BD1858,OFFSET(Pinlist!$A$2,BC1857*(BA1858=BA1857),0,$BM$23,1),0)+BC1857*(BA1858=BA1857)</f>
        <v>#N/A</v>
      </c>
      <c r="BD1858" s="167">
        <f t="shared" ca="1" si="99"/>
        <v>0</v>
      </c>
      <c r="BE1858" s="191" t="e">
        <f ca="1">(OFFSET(Pinlist!$E$1,BC1858,0)-$BN$16)*$BN$19</f>
        <v>#N/A</v>
      </c>
      <c r="BF1858" s="192" t="e">
        <f ca="1">(OFFSET(Pinlist!$F$1,BC1858,0)-$BO$16)*$BO$19</f>
        <v>#N/A</v>
      </c>
      <c r="BG1858" s="1098" t="str">
        <f ca="1">IF(LEFT(BD1858,2)="RF",OFFSET(Pinlist!$D$1,Chart!BC1858,0)&amp;"_"&amp;OFFSET(Pinlist!$G$1,Chart!BC1858,0),"")</f>
        <v/>
      </c>
      <c r="BH1858" s="1098"/>
      <c r="BI1858" s="178"/>
      <c r="BJ1858" s="178"/>
      <c r="BK1858" s="178"/>
      <c r="BL1858" s="178"/>
      <c r="BM1858" s="178"/>
      <c r="BN1858" s="178"/>
      <c r="BO1858" s="178"/>
      <c r="BP1858" s="178"/>
      <c r="BQ1858" s="196"/>
      <c r="BR1858" s="196"/>
      <c r="BS1858" s="196"/>
      <c r="BT1858" s="196"/>
      <c r="BU1858" s="196"/>
      <c r="BV1858" s="196"/>
      <c r="BW1858" s="178"/>
      <c r="BX1858" s="196"/>
      <c r="BY1858" s="196"/>
      <c r="BZ1858" s="196"/>
      <c r="CA1858" s="196"/>
      <c r="CB1858" s="178"/>
      <c r="CC1858" s="178"/>
      <c r="CD1858" s="202"/>
      <c r="CE1858" s="202"/>
      <c r="CF1858" s="178"/>
      <c r="CG1858" s="196"/>
      <c r="CH1858" s="178"/>
      <c r="CI1858" s="178"/>
      <c r="CJ1858" s="178"/>
      <c r="CK1858" s="178"/>
      <c r="CL1858" s="178"/>
      <c r="CM1858" s="178"/>
      <c r="CN1858" s="178"/>
      <c r="CO1858" s="178"/>
      <c r="CP1858" s="178"/>
      <c r="CQ1858" s="178"/>
      <c r="CR1858" s="178"/>
      <c r="CS1858" s="178"/>
      <c r="CT1858" s="178"/>
      <c r="CU1858" s="178"/>
      <c r="CV1858" s="178"/>
      <c r="CW1858" s="178"/>
      <c r="CX1858" s="178"/>
      <c r="CY1858" s="178"/>
      <c r="CZ1858" s="178"/>
      <c r="DA1858" s="150"/>
    </row>
    <row r="1859" spans="53:105" x14ac:dyDescent="0.2">
      <c r="BA1859" s="518">
        <f t="shared" ca="1" si="97"/>
        <v>61</v>
      </c>
      <c r="BB1859" s="174">
        <f t="shared" ca="1" si="98"/>
        <v>1796</v>
      </c>
      <c r="BC1859" s="525" t="e">
        <f ca="1">MATCH(BD1859,OFFSET(Pinlist!$A$2,BC1858*(BA1859=BA1858),0,$BM$23,1),0)+BC1858*(BA1859=BA1858)</f>
        <v>#N/A</v>
      </c>
      <c r="BD1859" s="167">
        <f t="shared" ca="1" si="99"/>
        <v>0</v>
      </c>
      <c r="BE1859" s="191" t="e">
        <f ca="1">(OFFSET(Pinlist!$E$1,BC1859,0)-$BN$16)*$BN$19</f>
        <v>#N/A</v>
      </c>
      <c r="BF1859" s="192" t="e">
        <f ca="1">(OFFSET(Pinlist!$F$1,BC1859,0)-$BO$16)*$BO$19</f>
        <v>#N/A</v>
      </c>
      <c r="BG1859" s="1098" t="str">
        <f ca="1">IF(LEFT(BD1859,2)="RF",OFFSET(Pinlist!$D$1,Chart!BC1859,0)&amp;"_"&amp;OFFSET(Pinlist!$G$1,Chart!BC1859,0),"")</f>
        <v/>
      </c>
      <c r="BH1859" s="1098"/>
      <c r="BI1859" s="178"/>
      <c r="BJ1859" s="178"/>
      <c r="BK1859" s="178"/>
      <c r="BL1859" s="178"/>
      <c r="BM1859" s="178"/>
      <c r="BN1859" s="178"/>
      <c r="BO1859" s="178"/>
      <c r="BP1859" s="178"/>
      <c r="BQ1859" s="196"/>
      <c r="BR1859" s="196"/>
      <c r="BS1859" s="196"/>
      <c r="BT1859" s="196"/>
      <c r="BU1859" s="196"/>
      <c r="BV1859" s="196"/>
      <c r="BW1859" s="178"/>
      <c r="BX1859" s="196"/>
      <c r="BY1859" s="196"/>
      <c r="BZ1859" s="196"/>
      <c r="CA1859" s="196"/>
      <c r="CB1859" s="178"/>
      <c r="CC1859" s="178"/>
      <c r="CD1859" s="202"/>
      <c r="CE1859" s="202"/>
      <c r="CF1859" s="178"/>
      <c r="CG1859" s="196"/>
      <c r="CH1859" s="178"/>
      <c r="CI1859" s="178"/>
      <c r="CJ1859" s="178"/>
      <c r="CK1859" s="178"/>
      <c r="CL1859" s="178"/>
      <c r="CM1859" s="178"/>
      <c r="CN1859" s="178"/>
      <c r="CO1859" s="178"/>
      <c r="CP1859" s="178"/>
      <c r="CQ1859" s="178"/>
      <c r="CR1859" s="178"/>
      <c r="CS1859" s="178"/>
      <c r="CT1859" s="178"/>
      <c r="CU1859" s="178"/>
      <c r="CV1859" s="178"/>
      <c r="CW1859" s="178"/>
      <c r="CX1859" s="178"/>
      <c r="CY1859" s="178"/>
      <c r="CZ1859" s="178"/>
      <c r="DA1859" s="150"/>
    </row>
    <row r="1860" spans="53:105" x14ac:dyDescent="0.2">
      <c r="BA1860" s="518">
        <f t="shared" ref="BA1860:BA1923" ca="1" si="100">BA1859+(BB1859=OFFSET($BZ$3,BA1859,0))</f>
        <v>61</v>
      </c>
      <c r="BB1860" s="174">
        <f t="shared" ref="BB1860:BB1923" ca="1" si="101">IF(BA1860=BA1859,BB1859+1,1)</f>
        <v>1797</v>
      </c>
      <c r="BC1860" s="525" t="e">
        <f ca="1">MATCH(BD1860,OFFSET(Pinlist!$A$2,BC1859*(BA1860=BA1859),0,$BM$23,1),0)+BC1859*(BA1860=BA1859)</f>
        <v>#N/A</v>
      </c>
      <c r="BD1860" s="167">
        <f t="shared" ref="BD1860:BD1923" ca="1" si="102">OFFSET($BY$3,BA1860,0)</f>
        <v>0</v>
      </c>
      <c r="BE1860" s="191" t="e">
        <f ca="1">(OFFSET(Pinlist!$E$1,BC1860,0)-$BN$16)*$BN$19</f>
        <v>#N/A</v>
      </c>
      <c r="BF1860" s="192" t="e">
        <f ca="1">(OFFSET(Pinlist!$F$1,BC1860,0)-$BO$16)*$BO$19</f>
        <v>#N/A</v>
      </c>
      <c r="BG1860" s="1098" t="str">
        <f ca="1">IF(LEFT(BD1860,2)="RF",OFFSET(Pinlist!$D$1,Chart!BC1860,0)&amp;"_"&amp;OFFSET(Pinlist!$G$1,Chart!BC1860,0),"")</f>
        <v/>
      </c>
      <c r="BH1860" s="1098"/>
      <c r="BI1860" s="178"/>
      <c r="BJ1860" s="178"/>
      <c r="BK1860" s="178"/>
      <c r="BL1860" s="178"/>
      <c r="BM1860" s="178"/>
      <c r="BN1860" s="178"/>
      <c r="BO1860" s="178"/>
      <c r="BP1860" s="178"/>
      <c r="BQ1860" s="196"/>
      <c r="BR1860" s="196"/>
      <c r="BS1860" s="196"/>
      <c r="BT1860" s="196"/>
      <c r="BU1860" s="196"/>
      <c r="BV1860" s="196"/>
      <c r="BW1860" s="178"/>
      <c r="BX1860" s="196"/>
      <c r="BY1860" s="196"/>
      <c r="BZ1860" s="196"/>
      <c r="CA1860" s="196"/>
      <c r="CB1860" s="178"/>
      <c r="CC1860" s="178"/>
      <c r="CD1860" s="202"/>
      <c r="CE1860" s="202"/>
      <c r="CF1860" s="178"/>
      <c r="CG1860" s="196"/>
      <c r="CH1860" s="178"/>
      <c r="CI1860" s="178"/>
      <c r="CJ1860" s="178"/>
      <c r="CK1860" s="178"/>
      <c r="CL1860" s="178"/>
      <c r="CM1860" s="178"/>
      <c r="CN1860" s="178"/>
      <c r="CO1860" s="178"/>
      <c r="CP1860" s="178"/>
      <c r="CQ1860" s="178"/>
      <c r="CR1860" s="178"/>
      <c r="CS1860" s="178"/>
      <c r="CT1860" s="178"/>
      <c r="CU1860" s="178"/>
      <c r="CV1860" s="178"/>
      <c r="CW1860" s="178"/>
      <c r="CX1860" s="178"/>
      <c r="CY1860" s="178"/>
      <c r="CZ1860" s="178"/>
      <c r="DA1860" s="150"/>
    </row>
    <row r="1861" spans="53:105" x14ac:dyDescent="0.2">
      <c r="BA1861" s="518">
        <f t="shared" ca="1" si="100"/>
        <v>61</v>
      </c>
      <c r="BB1861" s="174">
        <f t="shared" ca="1" si="101"/>
        <v>1798</v>
      </c>
      <c r="BC1861" s="525" t="e">
        <f ca="1">MATCH(BD1861,OFFSET(Pinlist!$A$2,BC1860*(BA1861=BA1860),0,$BM$23,1),0)+BC1860*(BA1861=BA1860)</f>
        <v>#N/A</v>
      </c>
      <c r="BD1861" s="167">
        <f t="shared" ca="1" si="102"/>
        <v>0</v>
      </c>
      <c r="BE1861" s="191" t="e">
        <f ca="1">(OFFSET(Pinlist!$E$1,BC1861,0)-$BN$16)*$BN$19</f>
        <v>#N/A</v>
      </c>
      <c r="BF1861" s="192" t="e">
        <f ca="1">(OFFSET(Pinlist!$F$1,BC1861,0)-$BO$16)*$BO$19</f>
        <v>#N/A</v>
      </c>
      <c r="BG1861" s="1098" t="str">
        <f ca="1">IF(LEFT(BD1861,2)="RF",OFFSET(Pinlist!$D$1,Chart!BC1861,0)&amp;"_"&amp;OFFSET(Pinlist!$G$1,Chart!BC1861,0),"")</f>
        <v/>
      </c>
      <c r="BH1861" s="1098"/>
      <c r="BI1861" s="178"/>
      <c r="BJ1861" s="178"/>
      <c r="BK1861" s="178"/>
      <c r="BL1861" s="178"/>
      <c r="BM1861" s="178"/>
      <c r="BN1861" s="178"/>
      <c r="BO1861" s="178"/>
      <c r="BP1861" s="178"/>
      <c r="BQ1861" s="196"/>
      <c r="BR1861" s="196"/>
      <c r="BS1861" s="196"/>
      <c r="BT1861" s="196"/>
      <c r="BU1861" s="196"/>
      <c r="BV1861" s="196"/>
      <c r="BW1861" s="178"/>
      <c r="BX1861" s="196"/>
      <c r="BY1861" s="196"/>
      <c r="BZ1861" s="196"/>
      <c r="CA1861" s="196"/>
      <c r="CB1861" s="178"/>
      <c r="CC1861" s="178"/>
      <c r="CD1861" s="202"/>
      <c r="CE1861" s="202"/>
      <c r="CF1861" s="178"/>
      <c r="CG1861" s="196"/>
      <c r="CH1861" s="178"/>
      <c r="CI1861" s="178"/>
      <c r="CJ1861" s="178"/>
      <c r="CK1861" s="178"/>
      <c r="CL1861" s="178"/>
      <c r="CM1861" s="178"/>
      <c r="CN1861" s="178"/>
      <c r="CO1861" s="178"/>
      <c r="CP1861" s="178"/>
      <c r="CQ1861" s="178"/>
      <c r="CR1861" s="178"/>
      <c r="CS1861" s="178"/>
      <c r="CT1861" s="178"/>
      <c r="CU1861" s="178"/>
      <c r="CV1861" s="178"/>
      <c r="CW1861" s="178"/>
      <c r="CX1861" s="178"/>
      <c r="CY1861" s="178"/>
      <c r="CZ1861" s="178"/>
      <c r="DA1861" s="150"/>
    </row>
    <row r="1862" spans="53:105" x14ac:dyDescent="0.2">
      <c r="BA1862" s="518">
        <f t="shared" ca="1" si="100"/>
        <v>61</v>
      </c>
      <c r="BB1862" s="174">
        <f t="shared" ca="1" si="101"/>
        <v>1799</v>
      </c>
      <c r="BC1862" s="525" t="e">
        <f ca="1">MATCH(BD1862,OFFSET(Pinlist!$A$2,BC1861*(BA1862=BA1861),0,$BM$23,1),0)+BC1861*(BA1862=BA1861)</f>
        <v>#N/A</v>
      </c>
      <c r="BD1862" s="167">
        <f t="shared" ca="1" si="102"/>
        <v>0</v>
      </c>
      <c r="BE1862" s="191" t="e">
        <f ca="1">(OFFSET(Pinlist!$E$1,BC1862,0)-$BN$16)*$BN$19</f>
        <v>#N/A</v>
      </c>
      <c r="BF1862" s="192" t="e">
        <f ca="1">(OFFSET(Pinlist!$F$1,BC1862,0)-$BO$16)*$BO$19</f>
        <v>#N/A</v>
      </c>
      <c r="BG1862" s="1098" t="str">
        <f ca="1">IF(LEFT(BD1862,2)="RF",OFFSET(Pinlist!$D$1,Chart!BC1862,0)&amp;"_"&amp;OFFSET(Pinlist!$G$1,Chart!BC1862,0),"")</f>
        <v/>
      </c>
      <c r="BH1862" s="1098"/>
      <c r="BI1862" s="178"/>
      <c r="BJ1862" s="178"/>
      <c r="BK1862" s="178"/>
      <c r="BL1862" s="178"/>
      <c r="BM1862" s="178"/>
      <c r="BN1862" s="178"/>
      <c r="BO1862" s="178"/>
      <c r="BP1862" s="178"/>
      <c r="BQ1862" s="196"/>
      <c r="BR1862" s="196"/>
      <c r="BS1862" s="196"/>
      <c r="BT1862" s="196"/>
      <c r="BU1862" s="196"/>
      <c r="BV1862" s="196"/>
      <c r="BW1862" s="178"/>
      <c r="BX1862" s="196"/>
      <c r="BY1862" s="196"/>
      <c r="BZ1862" s="196"/>
      <c r="CA1862" s="196"/>
      <c r="CB1862" s="178"/>
      <c r="CC1862" s="178"/>
      <c r="CD1862" s="202"/>
      <c r="CE1862" s="202"/>
      <c r="CF1862" s="178"/>
      <c r="CG1862" s="196"/>
      <c r="CH1862" s="178"/>
      <c r="CI1862" s="178"/>
      <c r="CJ1862" s="178"/>
      <c r="CK1862" s="178"/>
      <c r="CL1862" s="178"/>
      <c r="CM1862" s="178"/>
      <c r="CN1862" s="178"/>
      <c r="CO1862" s="178"/>
      <c r="CP1862" s="178"/>
      <c r="CQ1862" s="178"/>
      <c r="CR1862" s="178"/>
      <c r="CS1862" s="178"/>
      <c r="CT1862" s="178"/>
      <c r="CU1862" s="178"/>
      <c r="CV1862" s="178"/>
      <c r="CW1862" s="178"/>
      <c r="CX1862" s="178"/>
      <c r="CY1862" s="178"/>
      <c r="CZ1862" s="178"/>
      <c r="DA1862" s="150"/>
    </row>
    <row r="1863" spans="53:105" x14ac:dyDescent="0.2">
      <c r="BA1863" s="518">
        <f t="shared" ca="1" si="100"/>
        <v>61</v>
      </c>
      <c r="BB1863" s="174">
        <f t="shared" ca="1" si="101"/>
        <v>1800</v>
      </c>
      <c r="BC1863" s="525" t="e">
        <f ca="1">MATCH(BD1863,OFFSET(Pinlist!$A$2,BC1862*(BA1863=BA1862),0,$BM$23,1),0)+BC1862*(BA1863=BA1862)</f>
        <v>#N/A</v>
      </c>
      <c r="BD1863" s="167">
        <f t="shared" ca="1" si="102"/>
        <v>0</v>
      </c>
      <c r="BE1863" s="191" t="e">
        <f ca="1">(OFFSET(Pinlist!$E$1,BC1863,0)-$BN$16)*$BN$19</f>
        <v>#N/A</v>
      </c>
      <c r="BF1863" s="192" t="e">
        <f ca="1">(OFFSET(Pinlist!$F$1,BC1863,0)-$BO$16)*$BO$19</f>
        <v>#N/A</v>
      </c>
      <c r="BG1863" s="1098" t="str">
        <f ca="1">IF(LEFT(BD1863,2)="RF",OFFSET(Pinlist!$D$1,Chart!BC1863,0)&amp;"_"&amp;OFFSET(Pinlist!$G$1,Chart!BC1863,0),"")</f>
        <v/>
      </c>
      <c r="BH1863" s="1098"/>
      <c r="BI1863" s="178"/>
      <c r="BJ1863" s="178"/>
      <c r="BK1863" s="178"/>
      <c r="BL1863" s="178"/>
      <c r="BM1863" s="178"/>
      <c r="BN1863" s="178"/>
      <c r="BO1863" s="178"/>
      <c r="BP1863" s="178"/>
      <c r="BQ1863" s="196"/>
      <c r="BR1863" s="196"/>
      <c r="BS1863" s="196"/>
      <c r="BT1863" s="196"/>
      <c r="BU1863" s="196"/>
      <c r="BV1863" s="196"/>
      <c r="BW1863" s="178"/>
      <c r="BX1863" s="196"/>
      <c r="BY1863" s="196"/>
      <c r="BZ1863" s="196"/>
      <c r="CA1863" s="196"/>
      <c r="CB1863" s="178"/>
      <c r="CC1863" s="178"/>
      <c r="CD1863" s="202"/>
      <c r="CE1863" s="202"/>
      <c r="CF1863" s="178"/>
      <c r="CG1863" s="196"/>
      <c r="CH1863" s="178"/>
      <c r="CI1863" s="178"/>
      <c r="CJ1863" s="178"/>
      <c r="CK1863" s="178"/>
      <c r="CL1863" s="178"/>
      <c r="CM1863" s="178"/>
      <c r="CN1863" s="178"/>
      <c r="CO1863" s="178"/>
      <c r="CP1863" s="178"/>
      <c r="CQ1863" s="178"/>
      <c r="CR1863" s="178"/>
      <c r="CS1863" s="178"/>
      <c r="CT1863" s="178"/>
      <c r="CU1863" s="178"/>
      <c r="CV1863" s="178"/>
      <c r="CW1863" s="178"/>
      <c r="CX1863" s="178"/>
      <c r="CY1863" s="178"/>
      <c r="CZ1863" s="178"/>
      <c r="DA1863" s="150"/>
    </row>
    <row r="1864" spans="53:105" x14ac:dyDescent="0.2">
      <c r="BA1864" s="518">
        <f t="shared" ca="1" si="100"/>
        <v>61</v>
      </c>
      <c r="BB1864" s="174">
        <f t="shared" ca="1" si="101"/>
        <v>1801</v>
      </c>
      <c r="BC1864" s="525" t="e">
        <f ca="1">MATCH(BD1864,OFFSET(Pinlist!$A$2,BC1863*(BA1864=BA1863),0,$BM$23,1),0)+BC1863*(BA1864=BA1863)</f>
        <v>#N/A</v>
      </c>
      <c r="BD1864" s="167">
        <f t="shared" ca="1" si="102"/>
        <v>0</v>
      </c>
      <c r="BE1864" s="191" t="e">
        <f ca="1">(OFFSET(Pinlist!$E$1,BC1864,0)-$BN$16)*$BN$19</f>
        <v>#N/A</v>
      </c>
      <c r="BF1864" s="192" t="e">
        <f ca="1">(OFFSET(Pinlist!$F$1,BC1864,0)-$BO$16)*$BO$19</f>
        <v>#N/A</v>
      </c>
      <c r="BG1864" s="1098" t="str">
        <f ca="1">IF(LEFT(BD1864,2)="RF",OFFSET(Pinlist!$D$1,Chart!BC1864,0)&amp;"_"&amp;OFFSET(Pinlist!$G$1,Chart!BC1864,0),"")</f>
        <v/>
      </c>
      <c r="BH1864" s="1098"/>
      <c r="BI1864" s="178"/>
      <c r="BJ1864" s="178"/>
      <c r="BK1864" s="178"/>
      <c r="BL1864" s="178"/>
      <c r="BM1864" s="178"/>
      <c r="BN1864" s="178"/>
      <c r="BO1864" s="178"/>
      <c r="BP1864" s="178"/>
      <c r="BQ1864" s="196"/>
      <c r="BR1864" s="196"/>
      <c r="BS1864" s="196"/>
      <c r="BT1864" s="196"/>
      <c r="BU1864" s="196"/>
      <c r="BV1864" s="196"/>
      <c r="BW1864" s="178"/>
      <c r="BX1864" s="196"/>
      <c r="BY1864" s="196"/>
      <c r="BZ1864" s="196"/>
      <c r="CA1864" s="196"/>
      <c r="CB1864" s="178"/>
      <c r="CC1864" s="178"/>
      <c r="CD1864" s="202"/>
      <c r="CE1864" s="202"/>
      <c r="CF1864" s="178"/>
      <c r="CG1864" s="196"/>
      <c r="CH1864" s="178"/>
      <c r="CI1864" s="178"/>
      <c r="CJ1864" s="178"/>
      <c r="CK1864" s="178"/>
      <c r="CL1864" s="178"/>
      <c r="CM1864" s="178"/>
      <c r="CN1864" s="178"/>
      <c r="CO1864" s="178"/>
      <c r="CP1864" s="178"/>
      <c r="CQ1864" s="178"/>
      <c r="CR1864" s="178"/>
      <c r="CS1864" s="178"/>
      <c r="CT1864" s="178"/>
      <c r="CU1864" s="178"/>
      <c r="CV1864" s="178"/>
      <c r="CW1864" s="178"/>
      <c r="CX1864" s="178"/>
      <c r="CY1864" s="178"/>
      <c r="CZ1864" s="178"/>
      <c r="DA1864" s="150"/>
    </row>
    <row r="1865" spans="53:105" x14ac:dyDescent="0.2">
      <c r="BA1865" s="518">
        <f t="shared" ca="1" si="100"/>
        <v>61</v>
      </c>
      <c r="BB1865" s="174">
        <f t="shared" ca="1" si="101"/>
        <v>1802</v>
      </c>
      <c r="BC1865" s="525" t="e">
        <f ca="1">MATCH(BD1865,OFFSET(Pinlist!$A$2,BC1864*(BA1865=BA1864),0,$BM$23,1),0)+BC1864*(BA1865=BA1864)</f>
        <v>#N/A</v>
      </c>
      <c r="BD1865" s="167">
        <f t="shared" ca="1" si="102"/>
        <v>0</v>
      </c>
      <c r="BE1865" s="191" t="e">
        <f ca="1">(OFFSET(Pinlist!$E$1,BC1865,0)-$BN$16)*$BN$19</f>
        <v>#N/A</v>
      </c>
      <c r="BF1865" s="192" t="e">
        <f ca="1">(OFFSET(Pinlist!$F$1,BC1865,0)-$BO$16)*$BO$19</f>
        <v>#N/A</v>
      </c>
      <c r="BG1865" s="1098" t="str">
        <f ca="1">IF(LEFT(BD1865,2)="RF",OFFSET(Pinlist!$D$1,Chart!BC1865,0)&amp;"_"&amp;OFFSET(Pinlist!$G$1,Chart!BC1865,0),"")</f>
        <v/>
      </c>
      <c r="BH1865" s="1098"/>
      <c r="BI1865" s="178"/>
      <c r="BJ1865" s="178"/>
      <c r="BK1865" s="178"/>
      <c r="BL1865" s="178"/>
      <c r="BM1865" s="178"/>
      <c r="BN1865" s="178"/>
      <c r="BO1865" s="178"/>
      <c r="BP1865" s="178"/>
      <c r="BQ1865" s="196"/>
      <c r="BR1865" s="196"/>
      <c r="BS1865" s="196"/>
      <c r="BT1865" s="196"/>
      <c r="BU1865" s="196"/>
      <c r="BV1865" s="196"/>
      <c r="BW1865" s="178"/>
      <c r="BX1865" s="196"/>
      <c r="BY1865" s="196"/>
      <c r="BZ1865" s="196"/>
      <c r="CA1865" s="196"/>
      <c r="CB1865" s="178"/>
      <c r="CC1865" s="178"/>
      <c r="CD1865" s="202"/>
      <c r="CE1865" s="202"/>
      <c r="CF1865" s="178"/>
      <c r="CG1865" s="196"/>
      <c r="CH1865" s="178"/>
      <c r="CI1865" s="178"/>
      <c r="CJ1865" s="178"/>
      <c r="CK1865" s="178"/>
      <c r="CL1865" s="178"/>
      <c r="CM1865" s="178"/>
      <c r="CN1865" s="178"/>
      <c r="CO1865" s="178"/>
      <c r="CP1865" s="178"/>
      <c r="CQ1865" s="178"/>
      <c r="CR1865" s="178"/>
      <c r="CS1865" s="178"/>
      <c r="CT1865" s="178"/>
      <c r="CU1865" s="178"/>
      <c r="CV1865" s="178"/>
      <c r="CW1865" s="178"/>
      <c r="CX1865" s="178"/>
      <c r="CY1865" s="178"/>
      <c r="CZ1865" s="178"/>
      <c r="DA1865" s="150"/>
    </row>
    <row r="1866" spans="53:105" x14ac:dyDescent="0.2">
      <c r="BA1866" s="518">
        <f t="shared" ca="1" si="100"/>
        <v>61</v>
      </c>
      <c r="BB1866" s="174">
        <f t="shared" ca="1" si="101"/>
        <v>1803</v>
      </c>
      <c r="BC1866" s="525" t="e">
        <f ca="1">MATCH(BD1866,OFFSET(Pinlist!$A$2,BC1865*(BA1866=BA1865),0,$BM$23,1),0)+BC1865*(BA1866=BA1865)</f>
        <v>#N/A</v>
      </c>
      <c r="BD1866" s="167">
        <f t="shared" ca="1" si="102"/>
        <v>0</v>
      </c>
      <c r="BE1866" s="191" t="e">
        <f ca="1">(OFFSET(Pinlist!$E$1,BC1866,0)-$BN$16)*$BN$19</f>
        <v>#N/A</v>
      </c>
      <c r="BF1866" s="192" t="e">
        <f ca="1">(OFFSET(Pinlist!$F$1,BC1866,0)-$BO$16)*$BO$19</f>
        <v>#N/A</v>
      </c>
      <c r="BG1866" s="1098" t="str">
        <f ca="1">IF(LEFT(BD1866,2)="RF",OFFSET(Pinlist!$D$1,Chart!BC1866,0)&amp;"_"&amp;OFFSET(Pinlist!$G$1,Chart!BC1866,0),"")</f>
        <v/>
      </c>
      <c r="BH1866" s="1098"/>
      <c r="BI1866" s="178"/>
      <c r="BJ1866" s="178"/>
      <c r="BK1866" s="178"/>
      <c r="BL1866" s="178"/>
      <c r="BM1866" s="178"/>
      <c r="BN1866" s="178"/>
      <c r="BO1866" s="178"/>
      <c r="BP1866" s="178"/>
      <c r="BQ1866" s="196"/>
      <c r="BR1866" s="196"/>
      <c r="BS1866" s="196"/>
      <c r="BT1866" s="196"/>
      <c r="BU1866" s="196"/>
      <c r="BV1866" s="196"/>
      <c r="BW1866" s="178"/>
      <c r="BX1866" s="196"/>
      <c r="BY1866" s="196"/>
      <c r="BZ1866" s="196"/>
      <c r="CA1866" s="196"/>
      <c r="CB1866" s="178"/>
      <c r="CC1866" s="178"/>
      <c r="CD1866" s="202"/>
      <c r="CE1866" s="202"/>
      <c r="CF1866" s="178"/>
      <c r="CG1866" s="196"/>
      <c r="CH1866" s="178"/>
      <c r="CI1866" s="178"/>
      <c r="CJ1866" s="178"/>
      <c r="CK1866" s="178"/>
      <c r="CL1866" s="178"/>
      <c r="CM1866" s="178"/>
      <c r="CN1866" s="178"/>
      <c r="CO1866" s="178"/>
      <c r="CP1866" s="178"/>
      <c r="CQ1866" s="178"/>
      <c r="CR1866" s="178"/>
      <c r="CS1866" s="178"/>
      <c r="CT1866" s="178"/>
      <c r="CU1866" s="178"/>
      <c r="CV1866" s="178"/>
      <c r="CW1866" s="178"/>
      <c r="CX1866" s="178"/>
      <c r="CY1866" s="178"/>
      <c r="CZ1866" s="178"/>
      <c r="DA1866" s="150"/>
    </row>
    <row r="1867" spans="53:105" x14ac:dyDescent="0.2">
      <c r="BA1867" s="518">
        <f t="shared" ca="1" si="100"/>
        <v>61</v>
      </c>
      <c r="BB1867" s="174">
        <f t="shared" ca="1" si="101"/>
        <v>1804</v>
      </c>
      <c r="BC1867" s="525" t="e">
        <f ca="1">MATCH(BD1867,OFFSET(Pinlist!$A$2,BC1866*(BA1867=BA1866),0,$BM$23,1),0)+BC1866*(BA1867=BA1866)</f>
        <v>#N/A</v>
      </c>
      <c r="BD1867" s="167">
        <f t="shared" ca="1" si="102"/>
        <v>0</v>
      </c>
      <c r="BE1867" s="191" t="e">
        <f ca="1">(OFFSET(Pinlist!$E$1,BC1867,0)-$BN$16)*$BN$19</f>
        <v>#N/A</v>
      </c>
      <c r="BF1867" s="192" t="e">
        <f ca="1">(OFFSET(Pinlist!$F$1,BC1867,0)-$BO$16)*$BO$19</f>
        <v>#N/A</v>
      </c>
      <c r="BG1867" s="1098" t="str">
        <f ca="1">IF(LEFT(BD1867,2)="RF",OFFSET(Pinlist!$D$1,Chart!BC1867,0)&amp;"_"&amp;OFFSET(Pinlist!$G$1,Chart!BC1867,0),"")</f>
        <v/>
      </c>
      <c r="BH1867" s="1098"/>
      <c r="BI1867" s="178"/>
      <c r="BJ1867" s="178"/>
      <c r="BK1867" s="178"/>
      <c r="BL1867" s="178"/>
      <c r="BM1867" s="178"/>
      <c r="BN1867" s="178"/>
      <c r="BO1867" s="178"/>
      <c r="BP1867" s="178"/>
      <c r="BQ1867" s="196"/>
      <c r="BR1867" s="196"/>
      <c r="BS1867" s="196"/>
      <c r="BT1867" s="196"/>
      <c r="BU1867" s="196"/>
      <c r="BV1867" s="196"/>
      <c r="BW1867" s="178"/>
      <c r="BX1867" s="196"/>
      <c r="BY1867" s="196"/>
      <c r="BZ1867" s="196"/>
      <c r="CA1867" s="196"/>
      <c r="CB1867" s="178"/>
      <c r="CC1867" s="178"/>
      <c r="CD1867" s="202"/>
      <c r="CE1867" s="202"/>
      <c r="CF1867" s="178"/>
      <c r="CG1867" s="196"/>
      <c r="CH1867" s="178"/>
      <c r="CI1867" s="178"/>
      <c r="CJ1867" s="178"/>
      <c r="CK1867" s="178"/>
      <c r="CL1867" s="178"/>
      <c r="CM1867" s="178"/>
      <c r="CN1867" s="178"/>
      <c r="CO1867" s="178"/>
      <c r="CP1867" s="178"/>
      <c r="CQ1867" s="178"/>
      <c r="CR1867" s="178"/>
      <c r="CS1867" s="178"/>
      <c r="CT1867" s="178"/>
      <c r="CU1867" s="178"/>
      <c r="CV1867" s="178"/>
      <c r="CW1867" s="178"/>
      <c r="CX1867" s="178"/>
      <c r="CY1867" s="178"/>
      <c r="CZ1867" s="178"/>
      <c r="DA1867" s="150"/>
    </row>
    <row r="1868" spans="53:105" x14ac:dyDescent="0.2">
      <c r="BA1868" s="518">
        <f t="shared" ca="1" si="100"/>
        <v>61</v>
      </c>
      <c r="BB1868" s="174">
        <f t="shared" ca="1" si="101"/>
        <v>1805</v>
      </c>
      <c r="BC1868" s="525" t="e">
        <f ca="1">MATCH(BD1868,OFFSET(Pinlist!$A$2,BC1867*(BA1868=BA1867),0,$BM$23,1),0)+BC1867*(BA1868=BA1867)</f>
        <v>#N/A</v>
      </c>
      <c r="BD1868" s="167">
        <f t="shared" ca="1" si="102"/>
        <v>0</v>
      </c>
      <c r="BE1868" s="191" t="e">
        <f ca="1">(OFFSET(Pinlist!$E$1,BC1868,0)-$BN$16)*$BN$19</f>
        <v>#N/A</v>
      </c>
      <c r="BF1868" s="192" t="e">
        <f ca="1">(OFFSET(Pinlist!$F$1,BC1868,0)-$BO$16)*$BO$19</f>
        <v>#N/A</v>
      </c>
      <c r="BG1868" s="1098" t="str">
        <f ca="1">IF(LEFT(BD1868,2)="RF",OFFSET(Pinlist!$D$1,Chart!BC1868,0)&amp;"_"&amp;OFFSET(Pinlist!$G$1,Chart!BC1868,0),"")</f>
        <v/>
      </c>
      <c r="BH1868" s="1098"/>
      <c r="BI1868" s="178"/>
      <c r="BJ1868" s="178"/>
      <c r="BK1868" s="178"/>
      <c r="BL1868" s="178"/>
      <c r="BM1868" s="178"/>
      <c r="BN1868" s="178"/>
      <c r="BO1868" s="178"/>
      <c r="BP1868" s="178"/>
      <c r="BQ1868" s="196"/>
      <c r="BR1868" s="196"/>
      <c r="BS1868" s="196"/>
      <c r="BT1868" s="196"/>
      <c r="BU1868" s="196"/>
      <c r="BV1868" s="196"/>
      <c r="BW1868" s="178"/>
      <c r="BX1868" s="196"/>
      <c r="BY1868" s="196"/>
      <c r="BZ1868" s="196"/>
      <c r="CA1868" s="196"/>
      <c r="CB1868" s="178"/>
      <c r="CC1868" s="178"/>
      <c r="CD1868" s="202"/>
      <c r="CE1868" s="202"/>
      <c r="CF1868" s="178"/>
      <c r="CG1868" s="196"/>
      <c r="CH1868" s="178"/>
      <c r="CI1868" s="178"/>
      <c r="CJ1868" s="178"/>
      <c r="CK1868" s="178"/>
      <c r="CL1868" s="178"/>
      <c r="CM1868" s="178"/>
      <c r="CN1868" s="178"/>
      <c r="CO1868" s="178"/>
      <c r="CP1868" s="178"/>
      <c r="CQ1868" s="178"/>
      <c r="CR1868" s="178"/>
      <c r="CS1868" s="178"/>
      <c r="CT1868" s="178"/>
      <c r="CU1868" s="178"/>
      <c r="CV1868" s="178"/>
      <c r="CW1868" s="178"/>
      <c r="CX1868" s="178"/>
      <c r="CY1868" s="178"/>
      <c r="CZ1868" s="178"/>
      <c r="DA1868" s="150"/>
    </row>
    <row r="1869" spans="53:105" x14ac:dyDescent="0.2">
      <c r="BA1869" s="518">
        <f t="shared" ca="1" si="100"/>
        <v>61</v>
      </c>
      <c r="BB1869" s="174">
        <f t="shared" ca="1" si="101"/>
        <v>1806</v>
      </c>
      <c r="BC1869" s="525" t="e">
        <f ca="1">MATCH(BD1869,OFFSET(Pinlist!$A$2,BC1868*(BA1869=BA1868),0,$BM$23,1),0)+BC1868*(BA1869=BA1868)</f>
        <v>#N/A</v>
      </c>
      <c r="BD1869" s="167">
        <f t="shared" ca="1" si="102"/>
        <v>0</v>
      </c>
      <c r="BE1869" s="191" t="e">
        <f ca="1">(OFFSET(Pinlist!$E$1,BC1869,0)-$BN$16)*$BN$19</f>
        <v>#N/A</v>
      </c>
      <c r="BF1869" s="192" t="e">
        <f ca="1">(OFFSET(Pinlist!$F$1,BC1869,0)-$BO$16)*$BO$19</f>
        <v>#N/A</v>
      </c>
      <c r="BG1869" s="1098" t="str">
        <f ca="1">IF(LEFT(BD1869,2)="RF",OFFSET(Pinlist!$D$1,Chart!BC1869,0)&amp;"_"&amp;OFFSET(Pinlist!$G$1,Chart!BC1869,0),"")</f>
        <v/>
      </c>
      <c r="BH1869" s="1098"/>
      <c r="BI1869" s="178"/>
      <c r="BJ1869" s="178"/>
      <c r="BK1869" s="178"/>
      <c r="BL1869" s="178"/>
      <c r="BM1869" s="178"/>
      <c r="BN1869" s="178"/>
      <c r="BO1869" s="178"/>
      <c r="BP1869" s="178"/>
      <c r="BQ1869" s="196"/>
      <c r="BR1869" s="196"/>
      <c r="BS1869" s="196"/>
      <c r="BT1869" s="196"/>
      <c r="BU1869" s="196"/>
      <c r="BV1869" s="196"/>
      <c r="BW1869" s="178"/>
      <c r="BX1869" s="196"/>
      <c r="BY1869" s="196"/>
      <c r="BZ1869" s="196"/>
      <c r="CA1869" s="196"/>
      <c r="CB1869" s="178"/>
      <c r="CC1869" s="178"/>
      <c r="CD1869" s="202"/>
      <c r="CE1869" s="202"/>
      <c r="CF1869" s="178"/>
      <c r="CG1869" s="196"/>
      <c r="CH1869" s="178"/>
      <c r="CI1869" s="178"/>
      <c r="CJ1869" s="178"/>
      <c r="CK1869" s="178"/>
      <c r="CL1869" s="178"/>
      <c r="CM1869" s="178"/>
      <c r="CN1869" s="178"/>
      <c r="CO1869" s="178"/>
      <c r="CP1869" s="178"/>
      <c r="CQ1869" s="178"/>
      <c r="CR1869" s="178"/>
      <c r="CS1869" s="178"/>
      <c r="CT1869" s="178"/>
      <c r="CU1869" s="178"/>
      <c r="CV1869" s="178"/>
      <c r="CW1869" s="178"/>
      <c r="CX1869" s="178"/>
      <c r="CY1869" s="178"/>
      <c r="CZ1869" s="178"/>
      <c r="DA1869" s="150"/>
    </row>
    <row r="1870" spans="53:105" x14ac:dyDescent="0.2">
      <c r="BA1870" s="518">
        <f t="shared" ca="1" si="100"/>
        <v>61</v>
      </c>
      <c r="BB1870" s="174">
        <f t="shared" ca="1" si="101"/>
        <v>1807</v>
      </c>
      <c r="BC1870" s="525" t="e">
        <f ca="1">MATCH(BD1870,OFFSET(Pinlist!$A$2,BC1869*(BA1870=BA1869),0,$BM$23,1),0)+BC1869*(BA1870=BA1869)</f>
        <v>#N/A</v>
      </c>
      <c r="BD1870" s="167">
        <f t="shared" ca="1" si="102"/>
        <v>0</v>
      </c>
      <c r="BE1870" s="191" t="e">
        <f ca="1">(OFFSET(Pinlist!$E$1,BC1870,0)-$BN$16)*$BN$19</f>
        <v>#N/A</v>
      </c>
      <c r="BF1870" s="192" t="e">
        <f ca="1">(OFFSET(Pinlist!$F$1,BC1870,0)-$BO$16)*$BO$19</f>
        <v>#N/A</v>
      </c>
      <c r="BG1870" s="1098" t="str">
        <f ca="1">IF(LEFT(BD1870,2)="RF",OFFSET(Pinlist!$D$1,Chart!BC1870,0)&amp;"_"&amp;OFFSET(Pinlist!$G$1,Chart!BC1870,0),"")</f>
        <v/>
      </c>
      <c r="BH1870" s="1098"/>
      <c r="BI1870" s="178"/>
      <c r="BJ1870" s="178"/>
      <c r="BK1870" s="178"/>
      <c r="BL1870" s="178"/>
      <c r="BM1870" s="178"/>
      <c r="BN1870" s="178"/>
      <c r="BO1870" s="178"/>
      <c r="BP1870" s="178"/>
      <c r="BQ1870" s="196"/>
      <c r="BR1870" s="196"/>
      <c r="BS1870" s="196"/>
      <c r="BT1870" s="196"/>
      <c r="BU1870" s="196"/>
      <c r="BV1870" s="196"/>
      <c r="BW1870" s="178"/>
      <c r="BX1870" s="196"/>
      <c r="BY1870" s="196"/>
      <c r="BZ1870" s="196"/>
      <c r="CA1870" s="196"/>
      <c r="CB1870" s="178"/>
      <c r="CC1870" s="178"/>
      <c r="CD1870" s="202"/>
      <c r="CE1870" s="202"/>
      <c r="CF1870" s="178"/>
      <c r="CG1870" s="196"/>
      <c r="CH1870" s="178"/>
      <c r="CI1870" s="178"/>
      <c r="CJ1870" s="178"/>
      <c r="CK1870" s="178"/>
      <c r="CL1870" s="178"/>
      <c r="CM1870" s="178"/>
      <c r="CN1870" s="178"/>
      <c r="CO1870" s="178"/>
      <c r="CP1870" s="178"/>
      <c r="CQ1870" s="178"/>
      <c r="CR1870" s="178"/>
      <c r="CS1870" s="178"/>
      <c r="CT1870" s="178"/>
      <c r="CU1870" s="178"/>
      <c r="CV1870" s="178"/>
      <c r="CW1870" s="178"/>
      <c r="CX1870" s="178"/>
      <c r="CY1870" s="178"/>
      <c r="CZ1870" s="178"/>
      <c r="DA1870" s="150"/>
    </row>
    <row r="1871" spans="53:105" x14ac:dyDescent="0.2">
      <c r="BA1871" s="518">
        <f t="shared" ca="1" si="100"/>
        <v>61</v>
      </c>
      <c r="BB1871" s="174">
        <f t="shared" ca="1" si="101"/>
        <v>1808</v>
      </c>
      <c r="BC1871" s="525" t="e">
        <f ca="1">MATCH(BD1871,OFFSET(Pinlist!$A$2,BC1870*(BA1871=BA1870),0,$BM$23,1),0)+BC1870*(BA1871=BA1870)</f>
        <v>#N/A</v>
      </c>
      <c r="BD1871" s="167">
        <f t="shared" ca="1" si="102"/>
        <v>0</v>
      </c>
      <c r="BE1871" s="191" t="e">
        <f ca="1">(OFFSET(Pinlist!$E$1,BC1871,0)-$BN$16)*$BN$19</f>
        <v>#N/A</v>
      </c>
      <c r="BF1871" s="192" t="e">
        <f ca="1">(OFFSET(Pinlist!$F$1,BC1871,0)-$BO$16)*$BO$19</f>
        <v>#N/A</v>
      </c>
      <c r="BG1871" s="1098" t="str">
        <f ca="1">IF(LEFT(BD1871,2)="RF",OFFSET(Pinlist!$D$1,Chart!BC1871,0)&amp;"_"&amp;OFFSET(Pinlist!$G$1,Chart!BC1871,0),"")</f>
        <v/>
      </c>
      <c r="BH1871" s="1098"/>
      <c r="BI1871" s="178"/>
      <c r="BJ1871" s="178"/>
      <c r="BK1871" s="178"/>
      <c r="BL1871" s="178"/>
      <c r="BM1871" s="178"/>
      <c r="BN1871" s="178"/>
      <c r="BO1871" s="178"/>
      <c r="BP1871" s="178"/>
      <c r="BQ1871" s="196"/>
      <c r="BR1871" s="196"/>
      <c r="BS1871" s="196"/>
      <c r="BT1871" s="196"/>
      <c r="BU1871" s="196"/>
      <c r="BV1871" s="196"/>
      <c r="BW1871" s="178"/>
      <c r="BX1871" s="196"/>
      <c r="BY1871" s="196"/>
      <c r="BZ1871" s="196"/>
      <c r="CA1871" s="196"/>
      <c r="CB1871" s="178"/>
      <c r="CC1871" s="178"/>
      <c r="CD1871" s="202"/>
      <c r="CE1871" s="202"/>
      <c r="CF1871" s="178"/>
      <c r="CG1871" s="196"/>
      <c r="CH1871" s="178"/>
      <c r="CI1871" s="178"/>
      <c r="CJ1871" s="178"/>
      <c r="CK1871" s="178"/>
      <c r="CL1871" s="178"/>
      <c r="CM1871" s="178"/>
      <c r="CN1871" s="178"/>
      <c r="CO1871" s="178"/>
      <c r="CP1871" s="178"/>
      <c r="CQ1871" s="178"/>
      <c r="CR1871" s="178"/>
      <c r="CS1871" s="178"/>
      <c r="CT1871" s="178"/>
      <c r="CU1871" s="178"/>
      <c r="CV1871" s="178"/>
      <c r="CW1871" s="178"/>
      <c r="CX1871" s="178"/>
      <c r="CY1871" s="178"/>
      <c r="CZ1871" s="178"/>
      <c r="DA1871" s="150"/>
    </row>
    <row r="1872" spans="53:105" x14ac:dyDescent="0.2">
      <c r="BA1872" s="518">
        <f t="shared" ca="1" si="100"/>
        <v>61</v>
      </c>
      <c r="BB1872" s="174">
        <f t="shared" ca="1" si="101"/>
        <v>1809</v>
      </c>
      <c r="BC1872" s="525" t="e">
        <f ca="1">MATCH(BD1872,OFFSET(Pinlist!$A$2,BC1871*(BA1872=BA1871),0,$BM$23,1),0)+BC1871*(BA1872=BA1871)</f>
        <v>#N/A</v>
      </c>
      <c r="BD1872" s="167">
        <f t="shared" ca="1" si="102"/>
        <v>0</v>
      </c>
      <c r="BE1872" s="191" t="e">
        <f ca="1">(OFFSET(Pinlist!$E$1,BC1872,0)-$BN$16)*$BN$19</f>
        <v>#N/A</v>
      </c>
      <c r="BF1872" s="192" t="e">
        <f ca="1">(OFFSET(Pinlist!$F$1,BC1872,0)-$BO$16)*$BO$19</f>
        <v>#N/A</v>
      </c>
      <c r="BG1872" s="1098" t="str">
        <f ca="1">IF(LEFT(BD1872,2)="RF",OFFSET(Pinlist!$D$1,Chart!BC1872,0)&amp;"_"&amp;OFFSET(Pinlist!$G$1,Chart!BC1872,0),"")</f>
        <v/>
      </c>
      <c r="BH1872" s="1098"/>
      <c r="BI1872" s="178"/>
      <c r="BJ1872" s="178"/>
      <c r="BK1872" s="178"/>
      <c r="BL1872" s="178"/>
      <c r="BM1872" s="178"/>
      <c r="BN1872" s="178"/>
      <c r="BO1872" s="178"/>
      <c r="BP1872" s="178"/>
      <c r="BQ1872" s="196"/>
      <c r="BR1872" s="196"/>
      <c r="BS1872" s="196"/>
      <c r="BT1872" s="196"/>
      <c r="BU1872" s="196"/>
      <c r="BV1872" s="196"/>
      <c r="BW1872" s="178"/>
      <c r="BX1872" s="196"/>
      <c r="BY1872" s="196"/>
      <c r="BZ1872" s="196"/>
      <c r="CA1872" s="196"/>
      <c r="CB1872" s="178"/>
      <c r="CC1872" s="178"/>
      <c r="CD1872" s="202"/>
      <c r="CE1872" s="202"/>
      <c r="CF1872" s="178"/>
      <c r="CG1872" s="196"/>
      <c r="CH1872" s="178"/>
      <c r="CI1872" s="178"/>
      <c r="CJ1872" s="178"/>
      <c r="CK1872" s="178"/>
      <c r="CL1872" s="178"/>
      <c r="CM1872" s="178"/>
      <c r="CN1872" s="178"/>
      <c r="CO1872" s="178"/>
      <c r="CP1872" s="178"/>
      <c r="CQ1872" s="178"/>
      <c r="CR1872" s="178"/>
      <c r="CS1872" s="178"/>
      <c r="CT1872" s="178"/>
      <c r="CU1872" s="178"/>
      <c r="CV1872" s="178"/>
      <c r="CW1872" s="178"/>
      <c r="CX1872" s="178"/>
      <c r="CY1872" s="178"/>
      <c r="CZ1872" s="178"/>
      <c r="DA1872" s="150"/>
    </row>
    <row r="1873" spans="53:105" x14ac:dyDescent="0.2">
      <c r="BA1873" s="518">
        <f t="shared" ca="1" si="100"/>
        <v>61</v>
      </c>
      <c r="BB1873" s="174">
        <f t="shared" ca="1" si="101"/>
        <v>1810</v>
      </c>
      <c r="BC1873" s="525" t="e">
        <f ca="1">MATCH(BD1873,OFFSET(Pinlist!$A$2,BC1872*(BA1873=BA1872),0,$BM$23,1),0)+BC1872*(BA1873=BA1872)</f>
        <v>#N/A</v>
      </c>
      <c r="BD1873" s="167">
        <f t="shared" ca="1" si="102"/>
        <v>0</v>
      </c>
      <c r="BE1873" s="191" t="e">
        <f ca="1">(OFFSET(Pinlist!$E$1,BC1873,0)-$BN$16)*$BN$19</f>
        <v>#N/A</v>
      </c>
      <c r="BF1873" s="192" t="e">
        <f ca="1">(OFFSET(Pinlist!$F$1,BC1873,0)-$BO$16)*$BO$19</f>
        <v>#N/A</v>
      </c>
      <c r="BG1873" s="1098" t="str">
        <f ca="1">IF(LEFT(BD1873,2)="RF",OFFSET(Pinlist!$D$1,Chart!BC1873,0)&amp;"_"&amp;OFFSET(Pinlist!$G$1,Chart!BC1873,0),"")</f>
        <v/>
      </c>
      <c r="BH1873" s="1098"/>
      <c r="BI1873" s="178"/>
      <c r="BJ1873" s="178"/>
      <c r="BK1873" s="178"/>
      <c r="BL1873" s="178"/>
      <c r="BM1873" s="178"/>
      <c r="BN1873" s="178"/>
      <c r="BO1873" s="178"/>
      <c r="BP1873" s="178"/>
      <c r="BQ1873" s="196"/>
      <c r="BR1873" s="196"/>
      <c r="BS1873" s="196"/>
      <c r="BT1873" s="196"/>
      <c r="BU1873" s="196"/>
      <c r="BV1873" s="196"/>
      <c r="BW1873" s="178"/>
      <c r="BX1873" s="196"/>
      <c r="BY1873" s="196"/>
      <c r="BZ1873" s="196"/>
      <c r="CA1873" s="196"/>
      <c r="CB1873" s="178"/>
      <c r="CC1873" s="178"/>
      <c r="CD1873" s="202"/>
      <c r="CE1873" s="202"/>
      <c r="CF1873" s="178"/>
      <c r="CG1873" s="196"/>
      <c r="CH1873" s="178"/>
      <c r="CI1873" s="178"/>
      <c r="CJ1873" s="178"/>
      <c r="CK1873" s="178"/>
      <c r="CL1873" s="178"/>
      <c r="CM1873" s="178"/>
      <c r="CN1873" s="178"/>
      <c r="CO1873" s="178"/>
      <c r="CP1873" s="178"/>
      <c r="CQ1873" s="178"/>
      <c r="CR1873" s="178"/>
      <c r="CS1873" s="178"/>
      <c r="CT1873" s="178"/>
      <c r="CU1873" s="178"/>
      <c r="CV1873" s="178"/>
      <c r="CW1873" s="178"/>
      <c r="CX1873" s="178"/>
      <c r="CY1873" s="178"/>
      <c r="CZ1873" s="178"/>
      <c r="DA1873" s="150"/>
    </row>
    <row r="1874" spans="53:105" x14ac:dyDescent="0.2">
      <c r="BA1874" s="518">
        <f t="shared" ca="1" si="100"/>
        <v>61</v>
      </c>
      <c r="BB1874" s="174">
        <f t="shared" ca="1" si="101"/>
        <v>1811</v>
      </c>
      <c r="BC1874" s="525" t="e">
        <f ca="1">MATCH(BD1874,OFFSET(Pinlist!$A$2,BC1873*(BA1874=BA1873),0,$BM$23,1),0)+BC1873*(BA1874=BA1873)</f>
        <v>#N/A</v>
      </c>
      <c r="BD1874" s="167">
        <f t="shared" ca="1" si="102"/>
        <v>0</v>
      </c>
      <c r="BE1874" s="191" t="e">
        <f ca="1">(OFFSET(Pinlist!$E$1,BC1874,0)-$BN$16)*$BN$19</f>
        <v>#N/A</v>
      </c>
      <c r="BF1874" s="192" t="e">
        <f ca="1">(OFFSET(Pinlist!$F$1,BC1874,0)-$BO$16)*$BO$19</f>
        <v>#N/A</v>
      </c>
      <c r="BG1874" s="1098" t="str">
        <f ca="1">IF(LEFT(BD1874,2)="RF",OFFSET(Pinlist!$D$1,Chart!BC1874,0)&amp;"_"&amp;OFFSET(Pinlist!$G$1,Chart!BC1874,0),"")</f>
        <v/>
      </c>
      <c r="BH1874" s="1098"/>
      <c r="BI1874" s="178"/>
      <c r="BJ1874" s="178"/>
      <c r="BK1874" s="178"/>
      <c r="BL1874" s="178"/>
      <c r="BM1874" s="178"/>
      <c r="BN1874" s="178"/>
      <c r="BO1874" s="178"/>
      <c r="BP1874" s="178"/>
      <c r="BQ1874" s="196"/>
      <c r="BR1874" s="196"/>
      <c r="BS1874" s="196"/>
      <c r="BT1874" s="196"/>
      <c r="BU1874" s="196"/>
      <c r="BV1874" s="196"/>
      <c r="BW1874" s="178"/>
      <c r="BX1874" s="196"/>
      <c r="BY1874" s="196"/>
      <c r="BZ1874" s="196"/>
      <c r="CA1874" s="196"/>
      <c r="CB1874" s="178"/>
      <c r="CC1874" s="178"/>
      <c r="CD1874" s="202"/>
      <c r="CE1874" s="202"/>
      <c r="CF1874" s="178"/>
      <c r="CG1874" s="196"/>
      <c r="CH1874" s="178"/>
      <c r="CI1874" s="178"/>
      <c r="CJ1874" s="178"/>
      <c r="CK1874" s="178"/>
      <c r="CL1874" s="178"/>
      <c r="CM1874" s="178"/>
      <c r="CN1874" s="178"/>
      <c r="CO1874" s="178"/>
      <c r="CP1874" s="178"/>
      <c r="CQ1874" s="178"/>
      <c r="CR1874" s="178"/>
      <c r="CS1874" s="178"/>
      <c r="CT1874" s="178"/>
      <c r="CU1874" s="178"/>
      <c r="CV1874" s="178"/>
      <c r="CW1874" s="178"/>
      <c r="CX1874" s="178"/>
      <c r="CY1874" s="178"/>
      <c r="CZ1874" s="178"/>
      <c r="DA1874" s="150"/>
    </row>
    <row r="1875" spans="53:105" x14ac:dyDescent="0.2">
      <c r="BA1875" s="518">
        <f t="shared" ca="1" si="100"/>
        <v>61</v>
      </c>
      <c r="BB1875" s="174">
        <f t="shared" ca="1" si="101"/>
        <v>1812</v>
      </c>
      <c r="BC1875" s="525" t="e">
        <f ca="1">MATCH(BD1875,OFFSET(Pinlist!$A$2,BC1874*(BA1875=BA1874),0,$BM$23,1),0)+BC1874*(BA1875=BA1874)</f>
        <v>#N/A</v>
      </c>
      <c r="BD1875" s="167">
        <f t="shared" ca="1" si="102"/>
        <v>0</v>
      </c>
      <c r="BE1875" s="191" t="e">
        <f ca="1">(OFFSET(Pinlist!$E$1,BC1875,0)-$BN$16)*$BN$19</f>
        <v>#N/A</v>
      </c>
      <c r="BF1875" s="192" t="e">
        <f ca="1">(OFFSET(Pinlist!$F$1,BC1875,0)-$BO$16)*$BO$19</f>
        <v>#N/A</v>
      </c>
      <c r="BG1875" s="1098" t="str">
        <f ca="1">IF(LEFT(BD1875,2)="RF",OFFSET(Pinlist!$D$1,Chart!BC1875,0)&amp;"_"&amp;OFFSET(Pinlist!$G$1,Chart!BC1875,0),"")</f>
        <v/>
      </c>
      <c r="BH1875" s="1098"/>
      <c r="BI1875" s="178"/>
      <c r="BJ1875" s="178"/>
      <c r="BK1875" s="178"/>
      <c r="BL1875" s="178"/>
      <c r="BM1875" s="178"/>
      <c r="BN1875" s="178"/>
      <c r="BO1875" s="178"/>
      <c r="BP1875" s="178"/>
      <c r="BQ1875" s="196"/>
      <c r="BR1875" s="196"/>
      <c r="BS1875" s="196"/>
      <c r="BT1875" s="196"/>
      <c r="BU1875" s="196"/>
      <c r="BV1875" s="196"/>
      <c r="BW1875" s="178"/>
      <c r="BX1875" s="196"/>
      <c r="BY1875" s="196"/>
      <c r="BZ1875" s="196"/>
      <c r="CA1875" s="196"/>
      <c r="CB1875" s="178"/>
      <c r="CC1875" s="178"/>
      <c r="CD1875" s="202"/>
      <c r="CE1875" s="202"/>
      <c r="CF1875" s="178"/>
      <c r="CG1875" s="196"/>
      <c r="CH1875" s="178"/>
      <c r="CI1875" s="178"/>
      <c r="CJ1875" s="178"/>
      <c r="CK1875" s="178"/>
      <c r="CL1875" s="178"/>
      <c r="CM1875" s="178"/>
      <c r="CN1875" s="178"/>
      <c r="CO1875" s="178"/>
      <c r="CP1875" s="178"/>
      <c r="CQ1875" s="178"/>
      <c r="CR1875" s="178"/>
      <c r="CS1875" s="178"/>
      <c r="CT1875" s="178"/>
      <c r="CU1875" s="178"/>
      <c r="CV1875" s="178"/>
      <c r="CW1875" s="178"/>
      <c r="CX1875" s="178"/>
      <c r="CY1875" s="178"/>
      <c r="CZ1875" s="178"/>
      <c r="DA1875" s="150"/>
    </row>
    <row r="1876" spans="53:105" x14ac:dyDescent="0.2">
      <c r="BA1876" s="518">
        <f t="shared" ca="1" si="100"/>
        <v>61</v>
      </c>
      <c r="BB1876" s="174">
        <f t="shared" ca="1" si="101"/>
        <v>1813</v>
      </c>
      <c r="BC1876" s="525" t="e">
        <f ca="1">MATCH(BD1876,OFFSET(Pinlist!$A$2,BC1875*(BA1876=BA1875),0,$BM$23,1),0)+BC1875*(BA1876=BA1875)</f>
        <v>#N/A</v>
      </c>
      <c r="BD1876" s="167">
        <f t="shared" ca="1" si="102"/>
        <v>0</v>
      </c>
      <c r="BE1876" s="191" t="e">
        <f ca="1">(OFFSET(Pinlist!$E$1,BC1876,0)-$BN$16)*$BN$19</f>
        <v>#N/A</v>
      </c>
      <c r="BF1876" s="192" t="e">
        <f ca="1">(OFFSET(Pinlist!$F$1,BC1876,0)-$BO$16)*$BO$19</f>
        <v>#N/A</v>
      </c>
      <c r="BG1876" s="1098" t="str">
        <f ca="1">IF(LEFT(BD1876,2)="RF",OFFSET(Pinlist!$D$1,Chart!BC1876,0)&amp;"_"&amp;OFFSET(Pinlist!$G$1,Chart!BC1876,0),"")</f>
        <v/>
      </c>
      <c r="BH1876" s="1098"/>
      <c r="BI1876" s="178"/>
      <c r="BJ1876" s="178"/>
      <c r="BK1876" s="178"/>
      <c r="BL1876" s="178"/>
      <c r="BM1876" s="178"/>
      <c r="BN1876" s="178"/>
      <c r="BO1876" s="178"/>
      <c r="BP1876" s="178"/>
      <c r="BQ1876" s="196"/>
      <c r="BR1876" s="196"/>
      <c r="BS1876" s="196"/>
      <c r="BT1876" s="196"/>
      <c r="BU1876" s="196"/>
      <c r="BV1876" s="196"/>
      <c r="BW1876" s="178"/>
      <c r="BX1876" s="196"/>
      <c r="BY1876" s="196"/>
      <c r="BZ1876" s="196"/>
      <c r="CA1876" s="196"/>
      <c r="CB1876" s="178"/>
      <c r="CC1876" s="178"/>
      <c r="CD1876" s="202"/>
      <c r="CE1876" s="202"/>
      <c r="CF1876" s="178"/>
      <c r="CG1876" s="196"/>
      <c r="CH1876" s="178"/>
      <c r="CI1876" s="178"/>
      <c r="CJ1876" s="178"/>
      <c r="CK1876" s="178"/>
      <c r="CL1876" s="178"/>
      <c r="CM1876" s="178"/>
      <c r="CN1876" s="178"/>
      <c r="CO1876" s="178"/>
      <c r="CP1876" s="178"/>
      <c r="CQ1876" s="178"/>
      <c r="CR1876" s="178"/>
      <c r="CS1876" s="178"/>
      <c r="CT1876" s="178"/>
      <c r="CU1876" s="178"/>
      <c r="CV1876" s="178"/>
      <c r="CW1876" s="178"/>
      <c r="CX1876" s="178"/>
      <c r="CY1876" s="178"/>
      <c r="CZ1876" s="178"/>
      <c r="DA1876" s="150"/>
    </row>
    <row r="1877" spans="53:105" x14ac:dyDescent="0.2">
      <c r="BA1877" s="518">
        <f t="shared" ca="1" si="100"/>
        <v>61</v>
      </c>
      <c r="BB1877" s="174">
        <f t="shared" ca="1" si="101"/>
        <v>1814</v>
      </c>
      <c r="BC1877" s="525" t="e">
        <f ca="1">MATCH(BD1877,OFFSET(Pinlist!$A$2,BC1876*(BA1877=BA1876),0,$BM$23,1),0)+BC1876*(BA1877=BA1876)</f>
        <v>#N/A</v>
      </c>
      <c r="BD1877" s="167">
        <f t="shared" ca="1" si="102"/>
        <v>0</v>
      </c>
      <c r="BE1877" s="191" t="e">
        <f ca="1">(OFFSET(Pinlist!$E$1,BC1877,0)-$BN$16)*$BN$19</f>
        <v>#N/A</v>
      </c>
      <c r="BF1877" s="192" t="e">
        <f ca="1">(OFFSET(Pinlist!$F$1,BC1877,0)-$BO$16)*$BO$19</f>
        <v>#N/A</v>
      </c>
      <c r="BG1877" s="1098" t="str">
        <f ca="1">IF(LEFT(BD1877,2)="RF",OFFSET(Pinlist!$D$1,Chart!BC1877,0)&amp;"_"&amp;OFFSET(Pinlist!$G$1,Chart!BC1877,0),"")</f>
        <v/>
      </c>
      <c r="BH1877" s="1098"/>
      <c r="BI1877" s="178"/>
      <c r="BJ1877" s="178"/>
      <c r="BK1877" s="178"/>
      <c r="BL1877" s="178"/>
      <c r="BM1877" s="178"/>
      <c r="BN1877" s="178"/>
      <c r="BO1877" s="178"/>
      <c r="BP1877" s="178"/>
      <c r="BQ1877" s="196"/>
      <c r="BR1877" s="196"/>
      <c r="BS1877" s="196"/>
      <c r="BT1877" s="196"/>
      <c r="BU1877" s="196"/>
      <c r="BV1877" s="196"/>
      <c r="BW1877" s="178"/>
      <c r="BX1877" s="196"/>
      <c r="BY1877" s="196"/>
      <c r="BZ1877" s="196"/>
      <c r="CA1877" s="196"/>
      <c r="CB1877" s="178"/>
      <c r="CC1877" s="178"/>
      <c r="CD1877" s="202"/>
      <c r="CE1877" s="202"/>
      <c r="CF1877" s="178"/>
      <c r="CG1877" s="196"/>
      <c r="CH1877" s="178"/>
      <c r="CI1877" s="178"/>
      <c r="CJ1877" s="178"/>
      <c r="CK1877" s="178"/>
      <c r="CL1877" s="178"/>
      <c r="CM1877" s="178"/>
      <c r="CN1877" s="178"/>
      <c r="CO1877" s="178"/>
      <c r="CP1877" s="178"/>
      <c r="CQ1877" s="178"/>
      <c r="CR1877" s="178"/>
      <c r="CS1877" s="178"/>
      <c r="CT1877" s="178"/>
      <c r="CU1877" s="178"/>
      <c r="CV1877" s="178"/>
      <c r="CW1877" s="178"/>
      <c r="CX1877" s="178"/>
      <c r="CY1877" s="178"/>
      <c r="CZ1877" s="178"/>
      <c r="DA1877" s="150"/>
    </row>
    <row r="1878" spans="53:105" x14ac:dyDescent="0.2">
      <c r="BA1878" s="518">
        <f t="shared" ca="1" si="100"/>
        <v>61</v>
      </c>
      <c r="BB1878" s="174">
        <f t="shared" ca="1" si="101"/>
        <v>1815</v>
      </c>
      <c r="BC1878" s="525" t="e">
        <f ca="1">MATCH(BD1878,OFFSET(Pinlist!$A$2,BC1877*(BA1878=BA1877),0,$BM$23,1),0)+BC1877*(BA1878=BA1877)</f>
        <v>#N/A</v>
      </c>
      <c r="BD1878" s="167">
        <f t="shared" ca="1" si="102"/>
        <v>0</v>
      </c>
      <c r="BE1878" s="191" t="e">
        <f ca="1">(OFFSET(Pinlist!$E$1,BC1878,0)-$BN$16)*$BN$19</f>
        <v>#N/A</v>
      </c>
      <c r="BF1878" s="192" t="e">
        <f ca="1">(OFFSET(Pinlist!$F$1,BC1878,0)-$BO$16)*$BO$19</f>
        <v>#N/A</v>
      </c>
      <c r="BG1878" s="1098" t="str">
        <f ca="1">IF(LEFT(BD1878,2)="RF",OFFSET(Pinlist!$D$1,Chart!BC1878,0)&amp;"_"&amp;OFFSET(Pinlist!$G$1,Chart!BC1878,0),"")</f>
        <v/>
      </c>
      <c r="BH1878" s="1098"/>
      <c r="BI1878" s="178"/>
      <c r="BJ1878" s="178"/>
      <c r="BK1878" s="178"/>
      <c r="BL1878" s="178"/>
      <c r="BM1878" s="178"/>
      <c r="BN1878" s="178"/>
      <c r="BO1878" s="178"/>
      <c r="BP1878" s="178"/>
      <c r="BQ1878" s="196"/>
      <c r="BR1878" s="196"/>
      <c r="BS1878" s="196"/>
      <c r="BT1878" s="196"/>
      <c r="BU1878" s="196"/>
      <c r="BV1878" s="196"/>
      <c r="BW1878" s="178"/>
      <c r="BX1878" s="196"/>
      <c r="BY1878" s="196"/>
      <c r="BZ1878" s="196"/>
      <c r="CA1878" s="196"/>
      <c r="CB1878" s="178"/>
      <c r="CC1878" s="178"/>
      <c r="CD1878" s="202"/>
      <c r="CE1878" s="202"/>
      <c r="CF1878" s="178"/>
      <c r="CG1878" s="196"/>
      <c r="CH1878" s="178"/>
      <c r="CI1878" s="178"/>
      <c r="CJ1878" s="178"/>
      <c r="CK1878" s="178"/>
      <c r="CL1878" s="178"/>
      <c r="CM1878" s="178"/>
      <c r="CN1878" s="178"/>
      <c r="CO1878" s="178"/>
      <c r="CP1878" s="178"/>
      <c r="CQ1878" s="178"/>
      <c r="CR1878" s="178"/>
      <c r="CS1878" s="178"/>
      <c r="CT1878" s="178"/>
      <c r="CU1878" s="178"/>
      <c r="CV1878" s="178"/>
      <c r="CW1878" s="178"/>
      <c r="CX1878" s="178"/>
      <c r="CY1878" s="178"/>
      <c r="CZ1878" s="178"/>
      <c r="DA1878" s="150"/>
    </row>
    <row r="1879" spans="53:105" x14ac:dyDescent="0.2">
      <c r="BA1879" s="518">
        <f t="shared" ca="1" si="100"/>
        <v>61</v>
      </c>
      <c r="BB1879" s="174">
        <f t="shared" ca="1" si="101"/>
        <v>1816</v>
      </c>
      <c r="BC1879" s="525" t="e">
        <f ca="1">MATCH(BD1879,OFFSET(Pinlist!$A$2,BC1878*(BA1879=BA1878),0,$BM$23,1),0)+BC1878*(BA1879=BA1878)</f>
        <v>#N/A</v>
      </c>
      <c r="BD1879" s="167">
        <f t="shared" ca="1" si="102"/>
        <v>0</v>
      </c>
      <c r="BE1879" s="191" t="e">
        <f ca="1">(OFFSET(Pinlist!$E$1,BC1879,0)-$BN$16)*$BN$19</f>
        <v>#N/A</v>
      </c>
      <c r="BF1879" s="192" t="e">
        <f ca="1">(OFFSET(Pinlist!$F$1,BC1879,0)-$BO$16)*$BO$19</f>
        <v>#N/A</v>
      </c>
      <c r="BG1879" s="1098" t="str">
        <f ca="1">IF(LEFT(BD1879,2)="RF",OFFSET(Pinlist!$D$1,Chart!BC1879,0)&amp;"_"&amp;OFFSET(Pinlist!$G$1,Chart!BC1879,0),"")</f>
        <v/>
      </c>
      <c r="BH1879" s="1098"/>
      <c r="BI1879" s="178"/>
      <c r="BJ1879" s="178"/>
      <c r="BK1879" s="178"/>
      <c r="BL1879" s="178"/>
      <c r="BM1879" s="178"/>
      <c r="BN1879" s="178"/>
      <c r="BO1879" s="178"/>
      <c r="BP1879" s="178"/>
      <c r="BQ1879" s="196"/>
      <c r="BR1879" s="196"/>
      <c r="BS1879" s="196"/>
      <c r="BT1879" s="196"/>
      <c r="BU1879" s="196"/>
      <c r="BV1879" s="196"/>
      <c r="BW1879" s="178"/>
      <c r="BX1879" s="196"/>
      <c r="BY1879" s="196"/>
      <c r="BZ1879" s="196"/>
      <c r="CA1879" s="196"/>
      <c r="CB1879" s="178"/>
      <c r="CC1879" s="178"/>
      <c r="CD1879" s="202"/>
      <c r="CE1879" s="202"/>
      <c r="CF1879" s="178"/>
      <c r="CG1879" s="196"/>
      <c r="CH1879" s="178"/>
      <c r="CI1879" s="178"/>
      <c r="CJ1879" s="178"/>
      <c r="CK1879" s="178"/>
      <c r="CL1879" s="178"/>
      <c r="CM1879" s="178"/>
      <c r="CN1879" s="178"/>
      <c r="CO1879" s="178"/>
      <c r="CP1879" s="178"/>
      <c r="CQ1879" s="178"/>
      <c r="CR1879" s="178"/>
      <c r="CS1879" s="178"/>
      <c r="CT1879" s="178"/>
      <c r="CU1879" s="178"/>
      <c r="CV1879" s="178"/>
      <c r="CW1879" s="178"/>
      <c r="CX1879" s="178"/>
      <c r="CY1879" s="178"/>
      <c r="CZ1879" s="178"/>
      <c r="DA1879" s="150"/>
    </row>
    <row r="1880" spans="53:105" x14ac:dyDescent="0.2">
      <c r="BA1880" s="518">
        <f t="shared" ca="1" si="100"/>
        <v>61</v>
      </c>
      <c r="BB1880" s="174">
        <f t="shared" ca="1" si="101"/>
        <v>1817</v>
      </c>
      <c r="BC1880" s="525" t="e">
        <f ca="1">MATCH(BD1880,OFFSET(Pinlist!$A$2,BC1879*(BA1880=BA1879),0,$BM$23,1),0)+BC1879*(BA1880=BA1879)</f>
        <v>#N/A</v>
      </c>
      <c r="BD1880" s="167">
        <f t="shared" ca="1" si="102"/>
        <v>0</v>
      </c>
      <c r="BE1880" s="191" t="e">
        <f ca="1">(OFFSET(Pinlist!$E$1,BC1880,0)-$BN$16)*$BN$19</f>
        <v>#N/A</v>
      </c>
      <c r="BF1880" s="192" t="e">
        <f ca="1">(OFFSET(Pinlist!$F$1,BC1880,0)-$BO$16)*$BO$19</f>
        <v>#N/A</v>
      </c>
      <c r="BG1880" s="1098" t="str">
        <f ca="1">IF(LEFT(BD1880,2)="RF",OFFSET(Pinlist!$D$1,Chart!BC1880,0)&amp;"_"&amp;OFFSET(Pinlist!$G$1,Chart!BC1880,0),"")</f>
        <v/>
      </c>
      <c r="BH1880" s="1098"/>
      <c r="BI1880" s="178"/>
      <c r="BJ1880" s="178"/>
      <c r="BK1880" s="178"/>
      <c r="BL1880" s="178"/>
      <c r="BM1880" s="178"/>
      <c r="BN1880" s="178"/>
      <c r="BO1880" s="178"/>
      <c r="BP1880" s="178"/>
      <c r="BQ1880" s="196"/>
      <c r="BR1880" s="196"/>
      <c r="BS1880" s="196"/>
      <c r="BT1880" s="196"/>
      <c r="BU1880" s="196"/>
      <c r="BV1880" s="196"/>
      <c r="BW1880" s="178"/>
      <c r="BX1880" s="196"/>
      <c r="BY1880" s="196"/>
      <c r="BZ1880" s="196"/>
      <c r="CA1880" s="196"/>
      <c r="CB1880" s="178"/>
      <c r="CC1880" s="178"/>
      <c r="CD1880" s="202"/>
      <c r="CE1880" s="202"/>
      <c r="CF1880" s="178"/>
      <c r="CG1880" s="196"/>
      <c r="CH1880" s="178"/>
      <c r="CI1880" s="178"/>
      <c r="CJ1880" s="178"/>
      <c r="CK1880" s="178"/>
      <c r="CL1880" s="178"/>
      <c r="CM1880" s="178"/>
      <c r="CN1880" s="178"/>
      <c r="CO1880" s="178"/>
      <c r="CP1880" s="178"/>
      <c r="CQ1880" s="178"/>
      <c r="CR1880" s="178"/>
      <c r="CS1880" s="178"/>
      <c r="CT1880" s="178"/>
      <c r="CU1880" s="178"/>
      <c r="CV1880" s="178"/>
      <c r="CW1880" s="178"/>
      <c r="CX1880" s="178"/>
      <c r="CY1880" s="178"/>
      <c r="CZ1880" s="178"/>
      <c r="DA1880" s="150"/>
    </row>
    <row r="1881" spans="53:105" x14ac:dyDescent="0.2">
      <c r="BA1881" s="518">
        <f t="shared" ca="1" si="100"/>
        <v>61</v>
      </c>
      <c r="BB1881" s="174">
        <f t="shared" ca="1" si="101"/>
        <v>1818</v>
      </c>
      <c r="BC1881" s="525" t="e">
        <f ca="1">MATCH(BD1881,OFFSET(Pinlist!$A$2,BC1880*(BA1881=BA1880),0,$BM$23,1),0)+BC1880*(BA1881=BA1880)</f>
        <v>#N/A</v>
      </c>
      <c r="BD1881" s="167">
        <f t="shared" ca="1" si="102"/>
        <v>0</v>
      </c>
      <c r="BE1881" s="191" t="e">
        <f ca="1">(OFFSET(Pinlist!$E$1,BC1881,0)-$BN$16)*$BN$19</f>
        <v>#N/A</v>
      </c>
      <c r="BF1881" s="192" t="e">
        <f ca="1">(OFFSET(Pinlist!$F$1,BC1881,0)-$BO$16)*$BO$19</f>
        <v>#N/A</v>
      </c>
      <c r="BG1881" s="1098" t="str">
        <f ca="1">IF(LEFT(BD1881,2)="RF",OFFSET(Pinlist!$D$1,Chart!BC1881,0)&amp;"_"&amp;OFFSET(Pinlist!$G$1,Chart!BC1881,0),"")</f>
        <v/>
      </c>
      <c r="BH1881" s="1098"/>
      <c r="BI1881" s="178"/>
      <c r="BJ1881" s="178"/>
      <c r="BK1881" s="178"/>
      <c r="BL1881" s="178"/>
      <c r="BM1881" s="178"/>
      <c r="BN1881" s="178"/>
      <c r="BO1881" s="178"/>
      <c r="BP1881" s="178"/>
      <c r="BQ1881" s="196"/>
      <c r="BR1881" s="196"/>
      <c r="BS1881" s="196"/>
      <c r="BT1881" s="196"/>
      <c r="BU1881" s="196"/>
      <c r="BV1881" s="196"/>
      <c r="BW1881" s="178"/>
      <c r="BX1881" s="196"/>
      <c r="BY1881" s="196"/>
      <c r="BZ1881" s="196"/>
      <c r="CA1881" s="196"/>
      <c r="CB1881" s="178"/>
      <c r="CC1881" s="178"/>
      <c r="CD1881" s="202"/>
      <c r="CE1881" s="202"/>
      <c r="CF1881" s="178"/>
      <c r="CG1881" s="196"/>
      <c r="CH1881" s="178"/>
      <c r="CI1881" s="178"/>
      <c r="CJ1881" s="178"/>
      <c r="CK1881" s="178"/>
      <c r="CL1881" s="178"/>
      <c r="CM1881" s="178"/>
      <c r="CN1881" s="178"/>
      <c r="CO1881" s="178"/>
      <c r="CP1881" s="178"/>
      <c r="CQ1881" s="178"/>
      <c r="CR1881" s="178"/>
      <c r="CS1881" s="178"/>
      <c r="CT1881" s="178"/>
      <c r="CU1881" s="178"/>
      <c r="CV1881" s="178"/>
      <c r="CW1881" s="178"/>
      <c r="CX1881" s="178"/>
      <c r="CY1881" s="178"/>
      <c r="CZ1881" s="178"/>
      <c r="DA1881" s="150"/>
    </row>
    <row r="1882" spans="53:105" x14ac:dyDescent="0.2">
      <c r="BA1882" s="518">
        <f t="shared" ca="1" si="100"/>
        <v>61</v>
      </c>
      <c r="BB1882" s="174">
        <f t="shared" ca="1" si="101"/>
        <v>1819</v>
      </c>
      <c r="BC1882" s="525" t="e">
        <f ca="1">MATCH(BD1882,OFFSET(Pinlist!$A$2,BC1881*(BA1882=BA1881),0,$BM$23,1),0)+BC1881*(BA1882=BA1881)</f>
        <v>#N/A</v>
      </c>
      <c r="BD1882" s="167">
        <f t="shared" ca="1" si="102"/>
        <v>0</v>
      </c>
      <c r="BE1882" s="191" t="e">
        <f ca="1">(OFFSET(Pinlist!$E$1,BC1882,0)-$BN$16)*$BN$19</f>
        <v>#N/A</v>
      </c>
      <c r="BF1882" s="192" t="e">
        <f ca="1">(OFFSET(Pinlist!$F$1,BC1882,0)-$BO$16)*$BO$19</f>
        <v>#N/A</v>
      </c>
      <c r="BG1882" s="1098" t="str">
        <f ca="1">IF(LEFT(BD1882,2)="RF",OFFSET(Pinlist!$D$1,Chart!BC1882,0)&amp;"_"&amp;OFFSET(Pinlist!$G$1,Chart!BC1882,0),"")</f>
        <v/>
      </c>
      <c r="BH1882" s="1098"/>
      <c r="BI1882" s="178"/>
      <c r="BJ1882" s="178"/>
      <c r="BK1882" s="178"/>
      <c r="BL1882" s="178"/>
      <c r="BM1882" s="178"/>
      <c r="BN1882" s="178"/>
      <c r="BO1882" s="178"/>
      <c r="BP1882" s="178"/>
      <c r="BQ1882" s="196"/>
      <c r="BR1882" s="196"/>
      <c r="BS1882" s="196"/>
      <c r="BT1882" s="196"/>
      <c r="BU1882" s="196"/>
      <c r="BV1882" s="196"/>
      <c r="BW1882" s="178"/>
      <c r="BX1882" s="196"/>
      <c r="BY1882" s="196"/>
      <c r="BZ1882" s="196"/>
      <c r="CA1882" s="196"/>
      <c r="CB1882" s="178"/>
      <c r="CC1882" s="178"/>
      <c r="CD1882" s="202"/>
      <c r="CE1882" s="202"/>
      <c r="CF1882" s="178"/>
      <c r="CG1882" s="196"/>
      <c r="CH1882" s="178"/>
      <c r="CI1882" s="178"/>
      <c r="CJ1882" s="178"/>
      <c r="CK1882" s="178"/>
      <c r="CL1882" s="178"/>
      <c r="CM1882" s="178"/>
      <c r="CN1882" s="178"/>
      <c r="CO1882" s="178"/>
      <c r="CP1882" s="178"/>
      <c r="CQ1882" s="178"/>
      <c r="CR1882" s="178"/>
      <c r="CS1882" s="178"/>
      <c r="CT1882" s="178"/>
      <c r="CU1882" s="178"/>
      <c r="CV1882" s="178"/>
      <c r="CW1882" s="178"/>
      <c r="CX1882" s="178"/>
      <c r="CY1882" s="178"/>
      <c r="CZ1882" s="178"/>
      <c r="DA1882" s="150"/>
    </row>
    <row r="1883" spans="53:105" x14ac:dyDescent="0.2">
      <c r="BA1883" s="518">
        <f t="shared" ca="1" si="100"/>
        <v>61</v>
      </c>
      <c r="BB1883" s="174">
        <f t="shared" ca="1" si="101"/>
        <v>1820</v>
      </c>
      <c r="BC1883" s="525" t="e">
        <f ca="1">MATCH(BD1883,OFFSET(Pinlist!$A$2,BC1882*(BA1883=BA1882),0,$BM$23,1),0)+BC1882*(BA1883=BA1882)</f>
        <v>#N/A</v>
      </c>
      <c r="BD1883" s="167">
        <f t="shared" ca="1" si="102"/>
        <v>0</v>
      </c>
      <c r="BE1883" s="191" t="e">
        <f ca="1">(OFFSET(Pinlist!$E$1,BC1883,0)-$BN$16)*$BN$19</f>
        <v>#N/A</v>
      </c>
      <c r="BF1883" s="192" t="e">
        <f ca="1">(OFFSET(Pinlist!$F$1,BC1883,0)-$BO$16)*$BO$19</f>
        <v>#N/A</v>
      </c>
      <c r="BG1883" s="1098" t="str">
        <f ca="1">IF(LEFT(BD1883,2)="RF",OFFSET(Pinlist!$D$1,Chart!BC1883,0)&amp;"_"&amp;OFFSET(Pinlist!$G$1,Chart!BC1883,0),"")</f>
        <v/>
      </c>
      <c r="BH1883" s="1098"/>
      <c r="BI1883" s="178"/>
      <c r="BJ1883" s="178"/>
      <c r="BK1883" s="178"/>
      <c r="BL1883" s="178"/>
      <c r="BM1883" s="178"/>
      <c r="BN1883" s="178"/>
      <c r="BO1883" s="178"/>
      <c r="BP1883" s="178"/>
      <c r="BQ1883" s="196"/>
      <c r="BR1883" s="196"/>
      <c r="BS1883" s="196"/>
      <c r="BT1883" s="196"/>
      <c r="BU1883" s="196"/>
      <c r="BV1883" s="196"/>
      <c r="BW1883" s="178"/>
      <c r="BX1883" s="196"/>
      <c r="BY1883" s="196"/>
      <c r="BZ1883" s="196"/>
      <c r="CA1883" s="196"/>
      <c r="CB1883" s="178"/>
      <c r="CC1883" s="178"/>
      <c r="CD1883" s="202"/>
      <c r="CE1883" s="202"/>
      <c r="CF1883" s="178"/>
      <c r="CG1883" s="196"/>
      <c r="CH1883" s="178"/>
      <c r="CI1883" s="178"/>
      <c r="CJ1883" s="178"/>
      <c r="CK1883" s="178"/>
      <c r="CL1883" s="178"/>
      <c r="CM1883" s="178"/>
      <c r="CN1883" s="178"/>
      <c r="CO1883" s="178"/>
      <c r="CP1883" s="178"/>
      <c r="CQ1883" s="178"/>
      <c r="CR1883" s="178"/>
      <c r="CS1883" s="178"/>
      <c r="CT1883" s="178"/>
      <c r="CU1883" s="178"/>
      <c r="CV1883" s="178"/>
      <c r="CW1883" s="178"/>
      <c r="CX1883" s="178"/>
      <c r="CY1883" s="178"/>
      <c r="CZ1883" s="178"/>
      <c r="DA1883" s="150"/>
    </row>
    <row r="1884" spans="53:105" x14ac:dyDescent="0.2">
      <c r="BA1884" s="518">
        <f t="shared" ca="1" si="100"/>
        <v>61</v>
      </c>
      <c r="BB1884" s="174">
        <f t="shared" ca="1" si="101"/>
        <v>1821</v>
      </c>
      <c r="BC1884" s="525" t="e">
        <f ca="1">MATCH(BD1884,OFFSET(Pinlist!$A$2,BC1883*(BA1884=BA1883),0,$BM$23,1),0)+BC1883*(BA1884=BA1883)</f>
        <v>#N/A</v>
      </c>
      <c r="BD1884" s="167">
        <f t="shared" ca="1" si="102"/>
        <v>0</v>
      </c>
      <c r="BE1884" s="191" t="e">
        <f ca="1">(OFFSET(Pinlist!$E$1,BC1884,0)-$BN$16)*$BN$19</f>
        <v>#N/A</v>
      </c>
      <c r="BF1884" s="192" t="e">
        <f ca="1">(OFFSET(Pinlist!$F$1,BC1884,0)-$BO$16)*$BO$19</f>
        <v>#N/A</v>
      </c>
      <c r="BG1884" s="1098" t="str">
        <f ca="1">IF(LEFT(BD1884,2)="RF",OFFSET(Pinlist!$D$1,Chart!BC1884,0)&amp;"_"&amp;OFFSET(Pinlist!$G$1,Chart!BC1884,0),"")</f>
        <v/>
      </c>
      <c r="BH1884" s="1098"/>
      <c r="BI1884" s="178"/>
      <c r="BJ1884" s="178"/>
      <c r="BK1884" s="178"/>
      <c r="BL1884" s="178"/>
      <c r="BM1884" s="178"/>
      <c r="BN1884" s="178"/>
      <c r="BO1884" s="178"/>
      <c r="BP1884" s="178"/>
      <c r="BQ1884" s="196"/>
      <c r="BR1884" s="196"/>
      <c r="BS1884" s="196"/>
      <c r="BT1884" s="196"/>
      <c r="BU1884" s="196"/>
      <c r="BV1884" s="196"/>
      <c r="BW1884" s="178"/>
      <c r="BX1884" s="196"/>
      <c r="BY1884" s="196"/>
      <c r="BZ1884" s="196"/>
      <c r="CA1884" s="196"/>
      <c r="CB1884" s="178"/>
      <c r="CC1884" s="178"/>
      <c r="CD1884" s="202"/>
      <c r="CE1884" s="202"/>
      <c r="CF1884" s="178"/>
      <c r="CG1884" s="196"/>
      <c r="CH1884" s="178"/>
      <c r="CI1884" s="178"/>
      <c r="CJ1884" s="178"/>
      <c r="CK1884" s="178"/>
      <c r="CL1884" s="178"/>
      <c r="CM1884" s="178"/>
      <c r="CN1884" s="178"/>
      <c r="CO1884" s="178"/>
      <c r="CP1884" s="178"/>
      <c r="CQ1884" s="178"/>
      <c r="CR1884" s="178"/>
      <c r="CS1884" s="178"/>
      <c r="CT1884" s="178"/>
      <c r="CU1884" s="178"/>
      <c r="CV1884" s="178"/>
      <c r="CW1884" s="178"/>
      <c r="CX1884" s="178"/>
      <c r="CY1884" s="178"/>
      <c r="CZ1884" s="178"/>
      <c r="DA1884" s="150"/>
    </row>
    <row r="1885" spans="53:105" x14ac:dyDescent="0.2">
      <c r="BA1885" s="518">
        <f t="shared" ca="1" si="100"/>
        <v>61</v>
      </c>
      <c r="BB1885" s="174">
        <f t="shared" ca="1" si="101"/>
        <v>1822</v>
      </c>
      <c r="BC1885" s="525" t="e">
        <f ca="1">MATCH(BD1885,OFFSET(Pinlist!$A$2,BC1884*(BA1885=BA1884),0,$BM$23,1),0)+BC1884*(BA1885=BA1884)</f>
        <v>#N/A</v>
      </c>
      <c r="BD1885" s="167">
        <f t="shared" ca="1" si="102"/>
        <v>0</v>
      </c>
      <c r="BE1885" s="191" t="e">
        <f ca="1">(OFFSET(Pinlist!$E$1,BC1885,0)-$BN$16)*$BN$19</f>
        <v>#N/A</v>
      </c>
      <c r="BF1885" s="192" t="e">
        <f ca="1">(OFFSET(Pinlist!$F$1,BC1885,0)-$BO$16)*$BO$19</f>
        <v>#N/A</v>
      </c>
      <c r="BG1885" s="1098" t="str">
        <f ca="1">IF(LEFT(BD1885,2)="RF",OFFSET(Pinlist!$D$1,Chart!BC1885,0)&amp;"_"&amp;OFFSET(Pinlist!$G$1,Chart!BC1885,0),"")</f>
        <v/>
      </c>
      <c r="BH1885" s="1098"/>
      <c r="BI1885" s="178"/>
      <c r="BJ1885" s="178"/>
      <c r="BK1885" s="178"/>
      <c r="BL1885" s="178"/>
      <c r="BM1885" s="178"/>
      <c r="BN1885" s="178"/>
      <c r="BO1885" s="178"/>
      <c r="BP1885" s="178"/>
      <c r="BQ1885" s="196"/>
      <c r="BR1885" s="196"/>
      <c r="BS1885" s="196"/>
      <c r="BT1885" s="196"/>
      <c r="BU1885" s="196"/>
      <c r="BV1885" s="196"/>
      <c r="BW1885" s="178"/>
      <c r="BX1885" s="196"/>
      <c r="BY1885" s="196"/>
      <c r="BZ1885" s="196"/>
      <c r="CA1885" s="196"/>
      <c r="CB1885" s="178"/>
      <c r="CC1885" s="178"/>
      <c r="CD1885" s="202"/>
      <c r="CE1885" s="202"/>
      <c r="CF1885" s="178"/>
      <c r="CG1885" s="196"/>
      <c r="CH1885" s="178"/>
      <c r="CI1885" s="178"/>
      <c r="CJ1885" s="178"/>
      <c r="CK1885" s="178"/>
      <c r="CL1885" s="178"/>
      <c r="CM1885" s="178"/>
      <c r="CN1885" s="178"/>
      <c r="CO1885" s="178"/>
      <c r="CP1885" s="178"/>
      <c r="CQ1885" s="178"/>
      <c r="CR1885" s="178"/>
      <c r="CS1885" s="178"/>
      <c r="CT1885" s="178"/>
      <c r="CU1885" s="178"/>
      <c r="CV1885" s="178"/>
      <c r="CW1885" s="178"/>
      <c r="CX1885" s="178"/>
      <c r="CY1885" s="178"/>
      <c r="CZ1885" s="178"/>
      <c r="DA1885" s="150"/>
    </row>
    <row r="1886" spans="53:105" x14ac:dyDescent="0.2">
      <c r="BA1886" s="518">
        <f t="shared" ca="1" si="100"/>
        <v>61</v>
      </c>
      <c r="BB1886" s="174">
        <f t="shared" ca="1" si="101"/>
        <v>1823</v>
      </c>
      <c r="BC1886" s="525" t="e">
        <f ca="1">MATCH(BD1886,OFFSET(Pinlist!$A$2,BC1885*(BA1886=BA1885),0,$BM$23,1),0)+BC1885*(BA1886=BA1885)</f>
        <v>#N/A</v>
      </c>
      <c r="BD1886" s="167">
        <f t="shared" ca="1" si="102"/>
        <v>0</v>
      </c>
      <c r="BE1886" s="191" t="e">
        <f ca="1">(OFFSET(Pinlist!$E$1,BC1886,0)-$BN$16)*$BN$19</f>
        <v>#N/A</v>
      </c>
      <c r="BF1886" s="192" t="e">
        <f ca="1">(OFFSET(Pinlist!$F$1,BC1886,0)-$BO$16)*$BO$19</f>
        <v>#N/A</v>
      </c>
      <c r="BG1886" s="1098" t="str">
        <f ca="1">IF(LEFT(BD1886,2)="RF",OFFSET(Pinlist!$D$1,Chart!BC1886,0)&amp;"_"&amp;OFFSET(Pinlist!$G$1,Chart!BC1886,0),"")</f>
        <v/>
      </c>
      <c r="BH1886" s="1098"/>
      <c r="BI1886" s="178"/>
      <c r="BJ1886" s="178"/>
      <c r="BK1886" s="178"/>
      <c r="BL1886" s="178"/>
      <c r="BM1886" s="178"/>
      <c r="BN1886" s="178"/>
      <c r="BO1886" s="178"/>
      <c r="BP1886" s="178"/>
      <c r="BQ1886" s="196"/>
      <c r="BR1886" s="196"/>
      <c r="BS1886" s="196"/>
      <c r="BT1886" s="196"/>
      <c r="BU1886" s="196"/>
      <c r="BV1886" s="196"/>
      <c r="BW1886" s="178"/>
      <c r="BX1886" s="196"/>
      <c r="BY1886" s="196"/>
      <c r="BZ1886" s="196"/>
      <c r="CA1886" s="196"/>
      <c r="CB1886" s="178"/>
      <c r="CC1886" s="178"/>
      <c r="CD1886" s="202"/>
      <c r="CE1886" s="202"/>
      <c r="CF1886" s="178"/>
      <c r="CG1886" s="196"/>
      <c r="CH1886" s="178"/>
      <c r="CI1886" s="178"/>
      <c r="CJ1886" s="178"/>
      <c r="CK1886" s="178"/>
      <c r="CL1886" s="178"/>
      <c r="CM1886" s="178"/>
      <c r="CN1886" s="178"/>
      <c r="CO1886" s="178"/>
      <c r="CP1886" s="178"/>
      <c r="CQ1886" s="178"/>
      <c r="CR1886" s="178"/>
      <c r="CS1886" s="178"/>
      <c r="CT1886" s="178"/>
      <c r="CU1886" s="178"/>
      <c r="CV1886" s="178"/>
      <c r="CW1886" s="178"/>
      <c r="CX1886" s="178"/>
      <c r="CY1886" s="178"/>
      <c r="CZ1886" s="178"/>
      <c r="DA1886" s="150"/>
    </row>
    <row r="1887" spans="53:105" x14ac:dyDescent="0.2">
      <c r="BA1887" s="518">
        <f t="shared" ca="1" si="100"/>
        <v>61</v>
      </c>
      <c r="BB1887" s="174">
        <f t="shared" ca="1" si="101"/>
        <v>1824</v>
      </c>
      <c r="BC1887" s="525" t="e">
        <f ca="1">MATCH(BD1887,OFFSET(Pinlist!$A$2,BC1886*(BA1887=BA1886),0,$BM$23,1),0)+BC1886*(BA1887=BA1886)</f>
        <v>#N/A</v>
      </c>
      <c r="BD1887" s="167">
        <f t="shared" ca="1" si="102"/>
        <v>0</v>
      </c>
      <c r="BE1887" s="191" t="e">
        <f ca="1">(OFFSET(Pinlist!$E$1,BC1887,0)-$BN$16)*$BN$19</f>
        <v>#N/A</v>
      </c>
      <c r="BF1887" s="192" t="e">
        <f ca="1">(OFFSET(Pinlist!$F$1,BC1887,0)-$BO$16)*$BO$19</f>
        <v>#N/A</v>
      </c>
      <c r="BG1887" s="1098" t="str">
        <f ca="1">IF(LEFT(BD1887,2)="RF",OFFSET(Pinlist!$D$1,Chart!BC1887,0)&amp;"_"&amp;OFFSET(Pinlist!$G$1,Chart!BC1887,0),"")</f>
        <v/>
      </c>
      <c r="BH1887" s="1098"/>
      <c r="BI1887" s="178"/>
      <c r="BJ1887" s="178"/>
      <c r="BK1887" s="178"/>
      <c r="BL1887" s="178"/>
      <c r="BM1887" s="178"/>
      <c r="BN1887" s="178"/>
      <c r="BO1887" s="178"/>
      <c r="BP1887" s="178"/>
      <c r="BQ1887" s="196"/>
      <c r="BR1887" s="196"/>
      <c r="BS1887" s="196"/>
      <c r="BT1887" s="196"/>
      <c r="BU1887" s="196"/>
      <c r="BV1887" s="196"/>
      <c r="BW1887" s="178"/>
      <c r="BX1887" s="196"/>
      <c r="BY1887" s="196"/>
      <c r="BZ1887" s="196"/>
      <c r="CA1887" s="196"/>
      <c r="CB1887" s="178"/>
      <c r="CC1887" s="178"/>
      <c r="CD1887" s="202"/>
      <c r="CE1887" s="202"/>
      <c r="CF1887" s="178"/>
      <c r="CG1887" s="196"/>
      <c r="CH1887" s="178"/>
      <c r="CI1887" s="178"/>
      <c r="CJ1887" s="178"/>
      <c r="CK1887" s="178"/>
      <c r="CL1887" s="178"/>
      <c r="CM1887" s="178"/>
      <c r="CN1887" s="178"/>
      <c r="CO1887" s="178"/>
      <c r="CP1887" s="178"/>
      <c r="CQ1887" s="178"/>
      <c r="CR1887" s="178"/>
      <c r="CS1887" s="178"/>
      <c r="CT1887" s="178"/>
      <c r="CU1887" s="178"/>
      <c r="CV1887" s="178"/>
      <c r="CW1887" s="178"/>
      <c r="CX1887" s="178"/>
      <c r="CY1887" s="178"/>
      <c r="CZ1887" s="178"/>
      <c r="DA1887" s="150"/>
    </row>
    <row r="1888" spans="53:105" x14ac:dyDescent="0.2">
      <c r="BA1888" s="518">
        <f t="shared" ca="1" si="100"/>
        <v>61</v>
      </c>
      <c r="BB1888" s="174">
        <f t="shared" ca="1" si="101"/>
        <v>1825</v>
      </c>
      <c r="BC1888" s="525" t="e">
        <f ca="1">MATCH(BD1888,OFFSET(Pinlist!$A$2,BC1887*(BA1888=BA1887),0,$BM$23,1),0)+BC1887*(BA1888=BA1887)</f>
        <v>#N/A</v>
      </c>
      <c r="BD1888" s="167">
        <f t="shared" ca="1" si="102"/>
        <v>0</v>
      </c>
      <c r="BE1888" s="191" t="e">
        <f ca="1">(OFFSET(Pinlist!$E$1,BC1888,0)-$BN$16)*$BN$19</f>
        <v>#N/A</v>
      </c>
      <c r="BF1888" s="192" t="e">
        <f ca="1">(OFFSET(Pinlist!$F$1,BC1888,0)-$BO$16)*$BO$19</f>
        <v>#N/A</v>
      </c>
      <c r="BG1888" s="1098" t="str">
        <f ca="1">IF(LEFT(BD1888,2)="RF",OFFSET(Pinlist!$D$1,Chart!BC1888,0)&amp;"_"&amp;OFFSET(Pinlist!$G$1,Chart!BC1888,0),"")</f>
        <v/>
      </c>
      <c r="BH1888" s="1098"/>
      <c r="BI1888" s="178"/>
      <c r="BJ1888" s="178"/>
      <c r="BK1888" s="178"/>
      <c r="BL1888" s="178"/>
      <c r="BM1888" s="178"/>
      <c r="BN1888" s="178"/>
      <c r="BO1888" s="178"/>
      <c r="BP1888" s="178"/>
      <c r="BQ1888" s="196"/>
      <c r="BR1888" s="196"/>
      <c r="BS1888" s="196"/>
      <c r="BT1888" s="196"/>
      <c r="BU1888" s="196"/>
      <c r="BV1888" s="196"/>
      <c r="BW1888" s="178"/>
      <c r="BX1888" s="196"/>
      <c r="BY1888" s="196"/>
      <c r="BZ1888" s="196"/>
      <c r="CA1888" s="196"/>
      <c r="CB1888" s="178"/>
      <c r="CC1888" s="178"/>
      <c r="CD1888" s="202"/>
      <c r="CE1888" s="202"/>
      <c r="CF1888" s="178"/>
      <c r="CG1888" s="196"/>
      <c r="CH1888" s="178"/>
      <c r="CI1888" s="178"/>
      <c r="CJ1888" s="178"/>
      <c r="CK1888" s="178"/>
      <c r="CL1888" s="178"/>
      <c r="CM1888" s="178"/>
      <c r="CN1888" s="178"/>
      <c r="CO1888" s="178"/>
      <c r="CP1888" s="178"/>
      <c r="CQ1888" s="178"/>
      <c r="CR1888" s="178"/>
      <c r="CS1888" s="178"/>
      <c r="CT1888" s="178"/>
      <c r="CU1888" s="178"/>
      <c r="CV1888" s="178"/>
      <c r="CW1888" s="178"/>
      <c r="CX1888" s="178"/>
      <c r="CY1888" s="178"/>
      <c r="CZ1888" s="178"/>
      <c r="DA1888" s="150"/>
    </row>
    <row r="1889" spans="53:105" x14ac:dyDescent="0.2">
      <c r="BA1889" s="518">
        <f t="shared" ca="1" si="100"/>
        <v>61</v>
      </c>
      <c r="BB1889" s="174">
        <f t="shared" ca="1" si="101"/>
        <v>1826</v>
      </c>
      <c r="BC1889" s="525" t="e">
        <f ca="1">MATCH(BD1889,OFFSET(Pinlist!$A$2,BC1888*(BA1889=BA1888),0,$BM$23,1),0)+BC1888*(BA1889=BA1888)</f>
        <v>#N/A</v>
      </c>
      <c r="BD1889" s="167">
        <f t="shared" ca="1" si="102"/>
        <v>0</v>
      </c>
      <c r="BE1889" s="191" t="e">
        <f ca="1">(OFFSET(Pinlist!$E$1,BC1889,0)-$BN$16)*$BN$19</f>
        <v>#N/A</v>
      </c>
      <c r="BF1889" s="192" t="e">
        <f ca="1">(OFFSET(Pinlist!$F$1,BC1889,0)-$BO$16)*$BO$19</f>
        <v>#N/A</v>
      </c>
      <c r="BG1889" s="1098" t="str">
        <f ca="1">IF(LEFT(BD1889,2)="RF",OFFSET(Pinlist!$D$1,Chart!BC1889,0)&amp;"_"&amp;OFFSET(Pinlist!$G$1,Chart!BC1889,0),"")</f>
        <v/>
      </c>
      <c r="BH1889" s="1098"/>
      <c r="BI1889" s="178"/>
      <c r="BJ1889" s="178"/>
      <c r="BK1889" s="178"/>
      <c r="BL1889" s="178"/>
      <c r="BM1889" s="178"/>
      <c r="BN1889" s="178"/>
      <c r="BO1889" s="178"/>
      <c r="BP1889" s="178"/>
      <c r="BQ1889" s="196"/>
      <c r="BR1889" s="196"/>
      <c r="BS1889" s="196"/>
      <c r="BT1889" s="196"/>
      <c r="BU1889" s="196"/>
      <c r="BV1889" s="196"/>
      <c r="BW1889" s="178"/>
      <c r="BX1889" s="196"/>
      <c r="BY1889" s="196"/>
      <c r="BZ1889" s="196"/>
      <c r="CA1889" s="196"/>
      <c r="CB1889" s="178"/>
      <c r="CC1889" s="178"/>
      <c r="CD1889" s="202"/>
      <c r="CE1889" s="202"/>
      <c r="CF1889" s="178"/>
      <c r="CG1889" s="196"/>
      <c r="CH1889" s="178"/>
      <c r="CI1889" s="178"/>
      <c r="CJ1889" s="178"/>
      <c r="CK1889" s="178"/>
      <c r="CL1889" s="178"/>
      <c r="CM1889" s="178"/>
      <c r="CN1889" s="178"/>
      <c r="CO1889" s="178"/>
      <c r="CP1889" s="178"/>
      <c r="CQ1889" s="178"/>
      <c r="CR1889" s="178"/>
      <c r="CS1889" s="178"/>
      <c r="CT1889" s="178"/>
      <c r="CU1889" s="178"/>
      <c r="CV1889" s="178"/>
      <c r="CW1889" s="178"/>
      <c r="CX1889" s="178"/>
      <c r="CY1889" s="178"/>
      <c r="CZ1889" s="178"/>
      <c r="DA1889" s="150"/>
    </row>
    <row r="1890" spans="53:105" x14ac:dyDescent="0.2">
      <c r="BA1890" s="518">
        <f t="shared" ca="1" si="100"/>
        <v>61</v>
      </c>
      <c r="BB1890" s="174">
        <f t="shared" ca="1" si="101"/>
        <v>1827</v>
      </c>
      <c r="BC1890" s="525" t="e">
        <f ca="1">MATCH(BD1890,OFFSET(Pinlist!$A$2,BC1889*(BA1890=BA1889),0,$BM$23,1),0)+BC1889*(BA1890=BA1889)</f>
        <v>#N/A</v>
      </c>
      <c r="BD1890" s="167">
        <f t="shared" ca="1" si="102"/>
        <v>0</v>
      </c>
      <c r="BE1890" s="191" t="e">
        <f ca="1">(OFFSET(Pinlist!$E$1,BC1890,0)-$BN$16)*$BN$19</f>
        <v>#N/A</v>
      </c>
      <c r="BF1890" s="192" t="e">
        <f ca="1">(OFFSET(Pinlist!$F$1,BC1890,0)-$BO$16)*$BO$19</f>
        <v>#N/A</v>
      </c>
      <c r="BG1890" s="1098" t="str">
        <f ca="1">IF(LEFT(BD1890,2)="RF",OFFSET(Pinlist!$D$1,Chart!BC1890,0)&amp;"_"&amp;OFFSET(Pinlist!$G$1,Chart!BC1890,0),"")</f>
        <v/>
      </c>
      <c r="BH1890" s="1098"/>
      <c r="BI1890" s="178"/>
      <c r="BJ1890" s="178"/>
      <c r="BK1890" s="178"/>
      <c r="BL1890" s="178"/>
      <c r="BM1890" s="178"/>
      <c r="BN1890" s="178"/>
      <c r="BO1890" s="178"/>
      <c r="BP1890" s="178"/>
      <c r="BQ1890" s="196"/>
      <c r="BR1890" s="196"/>
      <c r="BS1890" s="196"/>
      <c r="BT1890" s="196"/>
      <c r="BU1890" s="196"/>
      <c r="BV1890" s="196"/>
      <c r="BW1890" s="178"/>
      <c r="BX1890" s="196"/>
      <c r="BY1890" s="196"/>
      <c r="BZ1890" s="196"/>
      <c r="CA1890" s="196"/>
      <c r="CB1890" s="178"/>
      <c r="CC1890" s="178"/>
      <c r="CD1890" s="202"/>
      <c r="CE1890" s="202"/>
      <c r="CF1890" s="178"/>
      <c r="CG1890" s="196"/>
      <c r="CH1890" s="178"/>
      <c r="CI1890" s="178"/>
      <c r="CJ1890" s="178"/>
      <c r="CK1890" s="178"/>
      <c r="CL1890" s="178"/>
      <c r="CM1890" s="178"/>
      <c r="CN1890" s="178"/>
      <c r="CO1890" s="178"/>
      <c r="CP1890" s="178"/>
      <c r="CQ1890" s="178"/>
      <c r="CR1890" s="178"/>
      <c r="CS1890" s="178"/>
      <c r="CT1890" s="178"/>
      <c r="CU1890" s="178"/>
      <c r="CV1890" s="178"/>
      <c r="CW1890" s="178"/>
      <c r="CX1890" s="178"/>
      <c r="CY1890" s="178"/>
      <c r="CZ1890" s="178"/>
      <c r="DA1890" s="150"/>
    </row>
    <row r="1891" spans="53:105" x14ac:dyDescent="0.2">
      <c r="BA1891" s="518">
        <f t="shared" ca="1" si="100"/>
        <v>61</v>
      </c>
      <c r="BB1891" s="174">
        <f t="shared" ca="1" si="101"/>
        <v>1828</v>
      </c>
      <c r="BC1891" s="525" t="e">
        <f ca="1">MATCH(BD1891,OFFSET(Pinlist!$A$2,BC1890*(BA1891=BA1890),0,$BM$23,1),0)+BC1890*(BA1891=BA1890)</f>
        <v>#N/A</v>
      </c>
      <c r="BD1891" s="167">
        <f t="shared" ca="1" si="102"/>
        <v>0</v>
      </c>
      <c r="BE1891" s="191" t="e">
        <f ca="1">(OFFSET(Pinlist!$E$1,BC1891,0)-$BN$16)*$BN$19</f>
        <v>#N/A</v>
      </c>
      <c r="BF1891" s="192" t="e">
        <f ca="1">(OFFSET(Pinlist!$F$1,BC1891,0)-$BO$16)*$BO$19</f>
        <v>#N/A</v>
      </c>
      <c r="BG1891" s="1098" t="str">
        <f ca="1">IF(LEFT(BD1891,2)="RF",OFFSET(Pinlist!$D$1,Chart!BC1891,0)&amp;"_"&amp;OFFSET(Pinlist!$G$1,Chart!BC1891,0),"")</f>
        <v/>
      </c>
      <c r="BH1891" s="1098"/>
      <c r="BI1891" s="178"/>
      <c r="BJ1891" s="178"/>
      <c r="BK1891" s="178"/>
      <c r="BL1891" s="178"/>
      <c r="BM1891" s="178"/>
      <c r="BN1891" s="178"/>
      <c r="BO1891" s="178"/>
      <c r="BP1891" s="178"/>
      <c r="BQ1891" s="196"/>
      <c r="BR1891" s="196"/>
      <c r="BS1891" s="196"/>
      <c r="BT1891" s="196"/>
      <c r="BU1891" s="196"/>
      <c r="BV1891" s="196"/>
      <c r="BW1891" s="178"/>
      <c r="BX1891" s="196"/>
      <c r="BY1891" s="196"/>
      <c r="BZ1891" s="196"/>
      <c r="CA1891" s="196"/>
      <c r="CB1891" s="178"/>
      <c r="CC1891" s="178"/>
      <c r="CD1891" s="202"/>
      <c r="CE1891" s="202"/>
      <c r="CF1891" s="178"/>
      <c r="CG1891" s="196"/>
      <c r="CH1891" s="178"/>
      <c r="CI1891" s="178"/>
      <c r="CJ1891" s="178"/>
      <c r="CK1891" s="178"/>
      <c r="CL1891" s="178"/>
      <c r="CM1891" s="178"/>
      <c r="CN1891" s="178"/>
      <c r="CO1891" s="178"/>
      <c r="CP1891" s="178"/>
      <c r="CQ1891" s="178"/>
      <c r="CR1891" s="178"/>
      <c r="CS1891" s="178"/>
      <c r="CT1891" s="178"/>
      <c r="CU1891" s="178"/>
      <c r="CV1891" s="178"/>
      <c r="CW1891" s="178"/>
      <c r="CX1891" s="178"/>
      <c r="CY1891" s="178"/>
      <c r="CZ1891" s="178"/>
      <c r="DA1891" s="150"/>
    </row>
    <row r="1892" spans="53:105" x14ac:dyDescent="0.2">
      <c r="BA1892" s="518">
        <f t="shared" ca="1" si="100"/>
        <v>61</v>
      </c>
      <c r="BB1892" s="174">
        <f t="shared" ca="1" si="101"/>
        <v>1829</v>
      </c>
      <c r="BC1892" s="525" t="e">
        <f ca="1">MATCH(BD1892,OFFSET(Pinlist!$A$2,BC1891*(BA1892=BA1891),0,$BM$23,1),0)+BC1891*(BA1892=BA1891)</f>
        <v>#N/A</v>
      </c>
      <c r="BD1892" s="167">
        <f t="shared" ca="1" si="102"/>
        <v>0</v>
      </c>
      <c r="BE1892" s="191" t="e">
        <f ca="1">(OFFSET(Pinlist!$E$1,BC1892,0)-$BN$16)*$BN$19</f>
        <v>#N/A</v>
      </c>
      <c r="BF1892" s="192" t="e">
        <f ca="1">(OFFSET(Pinlist!$F$1,BC1892,0)-$BO$16)*$BO$19</f>
        <v>#N/A</v>
      </c>
      <c r="BG1892" s="1098" t="str">
        <f ca="1">IF(LEFT(BD1892,2)="RF",OFFSET(Pinlist!$D$1,Chart!BC1892,0)&amp;"_"&amp;OFFSET(Pinlist!$G$1,Chart!BC1892,0),"")</f>
        <v/>
      </c>
      <c r="BH1892" s="1098"/>
      <c r="BI1892" s="178"/>
      <c r="BJ1892" s="178"/>
      <c r="BK1892" s="178"/>
      <c r="BL1892" s="178"/>
      <c r="BM1892" s="178"/>
      <c r="BN1892" s="178"/>
      <c r="BO1892" s="178"/>
      <c r="BP1892" s="178"/>
      <c r="BQ1892" s="196"/>
      <c r="BR1892" s="196"/>
      <c r="BS1892" s="196"/>
      <c r="BT1892" s="196"/>
      <c r="BU1892" s="196"/>
      <c r="BV1892" s="196"/>
      <c r="BW1892" s="178"/>
      <c r="BX1892" s="196"/>
      <c r="BY1892" s="196"/>
      <c r="BZ1892" s="196"/>
      <c r="CA1892" s="196"/>
      <c r="CB1892" s="178"/>
      <c r="CC1892" s="178"/>
      <c r="CD1892" s="202"/>
      <c r="CE1892" s="202"/>
      <c r="CF1892" s="178"/>
      <c r="CG1892" s="196"/>
      <c r="CH1892" s="178"/>
      <c r="CI1892" s="178"/>
      <c r="CJ1892" s="178"/>
      <c r="CK1892" s="178"/>
      <c r="CL1892" s="178"/>
      <c r="CM1892" s="178"/>
      <c r="CN1892" s="178"/>
      <c r="CO1892" s="178"/>
      <c r="CP1892" s="178"/>
      <c r="CQ1892" s="178"/>
      <c r="CR1892" s="178"/>
      <c r="CS1892" s="178"/>
      <c r="CT1892" s="178"/>
      <c r="CU1892" s="178"/>
      <c r="CV1892" s="178"/>
      <c r="CW1892" s="178"/>
      <c r="CX1892" s="178"/>
      <c r="CY1892" s="178"/>
      <c r="CZ1892" s="178"/>
      <c r="DA1892" s="150"/>
    </row>
    <row r="1893" spans="53:105" x14ac:dyDescent="0.2">
      <c r="BA1893" s="518">
        <f t="shared" ca="1" si="100"/>
        <v>61</v>
      </c>
      <c r="BB1893" s="174">
        <f t="shared" ca="1" si="101"/>
        <v>1830</v>
      </c>
      <c r="BC1893" s="525" t="e">
        <f ca="1">MATCH(BD1893,OFFSET(Pinlist!$A$2,BC1892*(BA1893=BA1892),0,$BM$23,1),0)+BC1892*(BA1893=BA1892)</f>
        <v>#N/A</v>
      </c>
      <c r="BD1893" s="167">
        <f t="shared" ca="1" si="102"/>
        <v>0</v>
      </c>
      <c r="BE1893" s="191" t="e">
        <f ca="1">(OFFSET(Pinlist!$E$1,BC1893,0)-$BN$16)*$BN$19</f>
        <v>#N/A</v>
      </c>
      <c r="BF1893" s="192" t="e">
        <f ca="1">(OFFSET(Pinlist!$F$1,BC1893,0)-$BO$16)*$BO$19</f>
        <v>#N/A</v>
      </c>
      <c r="BG1893" s="1098" t="str">
        <f ca="1">IF(LEFT(BD1893,2)="RF",OFFSET(Pinlist!$D$1,Chart!BC1893,0)&amp;"_"&amp;OFFSET(Pinlist!$G$1,Chart!BC1893,0),"")</f>
        <v/>
      </c>
      <c r="BH1893" s="1098"/>
      <c r="BI1893" s="178"/>
      <c r="BJ1893" s="178"/>
      <c r="BK1893" s="178"/>
      <c r="BL1893" s="178"/>
      <c r="BM1893" s="178"/>
      <c r="BN1893" s="178"/>
      <c r="BO1893" s="178"/>
      <c r="BP1893" s="178"/>
      <c r="BQ1893" s="196"/>
      <c r="BR1893" s="196"/>
      <c r="BS1893" s="196"/>
      <c r="BT1893" s="196"/>
      <c r="BU1893" s="196"/>
      <c r="BV1893" s="196"/>
      <c r="BW1893" s="178"/>
      <c r="BX1893" s="196"/>
      <c r="BY1893" s="196"/>
      <c r="BZ1893" s="196"/>
      <c r="CA1893" s="196"/>
      <c r="CB1893" s="178"/>
      <c r="CC1893" s="178"/>
      <c r="CD1893" s="202"/>
      <c r="CE1893" s="202"/>
      <c r="CF1893" s="178"/>
      <c r="CG1893" s="196"/>
      <c r="CH1893" s="178"/>
      <c r="CI1893" s="178"/>
      <c r="CJ1893" s="178"/>
      <c r="CK1893" s="178"/>
      <c r="CL1893" s="178"/>
      <c r="CM1893" s="178"/>
      <c r="CN1893" s="178"/>
      <c r="CO1893" s="178"/>
      <c r="CP1893" s="178"/>
      <c r="CQ1893" s="178"/>
      <c r="CR1893" s="178"/>
      <c r="CS1893" s="178"/>
      <c r="CT1893" s="178"/>
      <c r="CU1893" s="178"/>
      <c r="CV1893" s="178"/>
      <c r="CW1893" s="178"/>
      <c r="CX1893" s="178"/>
      <c r="CY1893" s="178"/>
      <c r="CZ1893" s="178"/>
      <c r="DA1893" s="150"/>
    </row>
    <row r="1894" spans="53:105" x14ac:dyDescent="0.2">
      <c r="BA1894" s="518">
        <f t="shared" ca="1" si="100"/>
        <v>61</v>
      </c>
      <c r="BB1894" s="174">
        <f t="shared" ca="1" si="101"/>
        <v>1831</v>
      </c>
      <c r="BC1894" s="525" t="e">
        <f ca="1">MATCH(BD1894,OFFSET(Pinlist!$A$2,BC1893*(BA1894=BA1893),0,$BM$23,1),0)+BC1893*(BA1894=BA1893)</f>
        <v>#N/A</v>
      </c>
      <c r="BD1894" s="167">
        <f t="shared" ca="1" si="102"/>
        <v>0</v>
      </c>
      <c r="BE1894" s="191" t="e">
        <f ca="1">(OFFSET(Pinlist!$E$1,BC1894,0)-$BN$16)*$BN$19</f>
        <v>#N/A</v>
      </c>
      <c r="BF1894" s="192" t="e">
        <f ca="1">(OFFSET(Pinlist!$F$1,BC1894,0)-$BO$16)*$BO$19</f>
        <v>#N/A</v>
      </c>
      <c r="BG1894" s="1098" t="str">
        <f ca="1">IF(LEFT(BD1894,2)="RF",OFFSET(Pinlist!$D$1,Chart!BC1894,0)&amp;"_"&amp;OFFSET(Pinlist!$G$1,Chart!BC1894,0),"")</f>
        <v/>
      </c>
      <c r="BH1894" s="1098"/>
      <c r="BI1894" s="178"/>
      <c r="BJ1894" s="178"/>
      <c r="BK1894" s="178"/>
      <c r="BL1894" s="178"/>
      <c r="BM1894" s="178"/>
      <c r="BN1894" s="178"/>
      <c r="BO1894" s="178"/>
      <c r="BP1894" s="178"/>
      <c r="BQ1894" s="196"/>
      <c r="BR1894" s="196"/>
      <c r="BS1894" s="196"/>
      <c r="BT1894" s="196"/>
      <c r="BU1894" s="196"/>
      <c r="BV1894" s="196"/>
      <c r="BW1894" s="178"/>
      <c r="BX1894" s="196"/>
      <c r="BY1894" s="196"/>
      <c r="BZ1894" s="196"/>
      <c r="CA1894" s="196"/>
      <c r="CB1894" s="178"/>
      <c r="CC1894" s="178"/>
      <c r="CD1894" s="202"/>
      <c r="CE1894" s="202"/>
      <c r="CF1894" s="178"/>
      <c r="CG1894" s="196"/>
      <c r="CH1894" s="178"/>
      <c r="CI1894" s="178"/>
      <c r="CJ1894" s="178"/>
      <c r="CK1894" s="178"/>
      <c r="CL1894" s="178"/>
      <c r="CM1894" s="178"/>
      <c r="CN1894" s="178"/>
      <c r="CO1894" s="178"/>
      <c r="CP1894" s="178"/>
      <c r="CQ1894" s="178"/>
      <c r="CR1894" s="178"/>
      <c r="CS1894" s="178"/>
      <c r="CT1894" s="178"/>
      <c r="CU1894" s="178"/>
      <c r="CV1894" s="178"/>
      <c r="CW1894" s="178"/>
      <c r="CX1894" s="178"/>
      <c r="CY1894" s="178"/>
      <c r="CZ1894" s="178"/>
      <c r="DA1894" s="150"/>
    </row>
    <row r="1895" spans="53:105" x14ac:dyDescent="0.2">
      <c r="BA1895" s="518">
        <f t="shared" ca="1" si="100"/>
        <v>61</v>
      </c>
      <c r="BB1895" s="174">
        <f t="shared" ca="1" si="101"/>
        <v>1832</v>
      </c>
      <c r="BC1895" s="525" t="e">
        <f ca="1">MATCH(BD1895,OFFSET(Pinlist!$A$2,BC1894*(BA1895=BA1894),0,$BM$23,1),0)+BC1894*(BA1895=BA1894)</f>
        <v>#N/A</v>
      </c>
      <c r="BD1895" s="167">
        <f t="shared" ca="1" si="102"/>
        <v>0</v>
      </c>
      <c r="BE1895" s="191" t="e">
        <f ca="1">(OFFSET(Pinlist!$E$1,BC1895,0)-$BN$16)*$BN$19</f>
        <v>#N/A</v>
      </c>
      <c r="BF1895" s="192" t="e">
        <f ca="1">(OFFSET(Pinlist!$F$1,BC1895,0)-$BO$16)*$BO$19</f>
        <v>#N/A</v>
      </c>
      <c r="BG1895" s="1098" t="str">
        <f ca="1">IF(LEFT(BD1895,2)="RF",OFFSET(Pinlist!$D$1,Chart!BC1895,0)&amp;"_"&amp;OFFSET(Pinlist!$G$1,Chart!BC1895,0),"")</f>
        <v/>
      </c>
      <c r="BH1895" s="1098"/>
      <c r="BI1895" s="178"/>
      <c r="BJ1895" s="178"/>
      <c r="BK1895" s="178"/>
      <c r="BL1895" s="178"/>
      <c r="BM1895" s="178"/>
      <c r="BN1895" s="178"/>
      <c r="BO1895" s="178"/>
      <c r="BP1895" s="178"/>
      <c r="BQ1895" s="196"/>
      <c r="BR1895" s="196"/>
      <c r="BS1895" s="196"/>
      <c r="BT1895" s="196"/>
      <c r="BU1895" s="196"/>
      <c r="BV1895" s="196"/>
      <c r="BW1895" s="178"/>
      <c r="BX1895" s="196"/>
      <c r="BY1895" s="196"/>
      <c r="BZ1895" s="196"/>
      <c r="CA1895" s="196"/>
      <c r="CB1895" s="178"/>
      <c r="CC1895" s="178"/>
      <c r="CD1895" s="202"/>
      <c r="CE1895" s="202"/>
      <c r="CF1895" s="178"/>
      <c r="CG1895" s="196"/>
      <c r="CH1895" s="178"/>
      <c r="CI1895" s="178"/>
      <c r="CJ1895" s="178"/>
      <c r="CK1895" s="178"/>
      <c r="CL1895" s="178"/>
      <c r="CM1895" s="178"/>
      <c r="CN1895" s="178"/>
      <c r="CO1895" s="178"/>
      <c r="CP1895" s="178"/>
      <c r="CQ1895" s="178"/>
      <c r="CR1895" s="178"/>
      <c r="CS1895" s="178"/>
      <c r="CT1895" s="178"/>
      <c r="CU1895" s="178"/>
      <c r="CV1895" s="178"/>
      <c r="CW1895" s="178"/>
      <c r="CX1895" s="178"/>
      <c r="CY1895" s="178"/>
      <c r="CZ1895" s="178"/>
      <c r="DA1895" s="150"/>
    </row>
    <row r="1896" spans="53:105" x14ac:dyDescent="0.2">
      <c r="BA1896" s="518">
        <f t="shared" ca="1" si="100"/>
        <v>61</v>
      </c>
      <c r="BB1896" s="174">
        <f t="shared" ca="1" si="101"/>
        <v>1833</v>
      </c>
      <c r="BC1896" s="525" t="e">
        <f ca="1">MATCH(BD1896,OFFSET(Pinlist!$A$2,BC1895*(BA1896=BA1895),0,$BM$23,1),0)+BC1895*(BA1896=BA1895)</f>
        <v>#N/A</v>
      </c>
      <c r="BD1896" s="167">
        <f t="shared" ca="1" si="102"/>
        <v>0</v>
      </c>
      <c r="BE1896" s="191" t="e">
        <f ca="1">(OFFSET(Pinlist!$E$1,BC1896,0)-$BN$16)*$BN$19</f>
        <v>#N/A</v>
      </c>
      <c r="BF1896" s="192" t="e">
        <f ca="1">(OFFSET(Pinlist!$F$1,BC1896,0)-$BO$16)*$BO$19</f>
        <v>#N/A</v>
      </c>
      <c r="BG1896" s="1098" t="str">
        <f ca="1">IF(LEFT(BD1896,2)="RF",OFFSET(Pinlist!$D$1,Chart!BC1896,0)&amp;"_"&amp;OFFSET(Pinlist!$G$1,Chart!BC1896,0),"")</f>
        <v/>
      </c>
      <c r="BH1896" s="1098"/>
      <c r="BI1896" s="178"/>
      <c r="BJ1896" s="178"/>
      <c r="BK1896" s="178"/>
      <c r="BL1896" s="178"/>
      <c r="BM1896" s="178"/>
      <c r="BN1896" s="178"/>
      <c r="BO1896" s="178"/>
      <c r="BP1896" s="178"/>
      <c r="BQ1896" s="196"/>
      <c r="BR1896" s="196"/>
      <c r="BS1896" s="196"/>
      <c r="BT1896" s="196"/>
      <c r="BU1896" s="196"/>
      <c r="BV1896" s="196"/>
      <c r="BW1896" s="178"/>
      <c r="BX1896" s="196"/>
      <c r="BY1896" s="196"/>
      <c r="BZ1896" s="196"/>
      <c r="CA1896" s="196"/>
      <c r="CB1896" s="178"/>
      <c r="CC1896" s="178"/>
      <c r="CD1896" s="202"/>
      <c r="CE1896" s="202"/>
      <c r="CF1896" s="178"/>
      <c r="CG1896" s="196"/>
      <c r="CH1896" s="178"/>
      <c r="CI1896" s="178"/>
      <c r="CJ1896" s="178"/>
      <c r="CK1896" s="178"/>
      <c r="CL1896" s="178"/>
      <c r="CM1896" s="178"/>
      <c r="CN1896" s="178"/>
      <c r="CO1896" s="178"/>
      <c r="CP1896" s="178"/>
      <c r="CQ1896" s="178"/>
      <c r="CR1896" s="178"/>
      <c r="CS1896" s="178"/>
      <c r="CT1896" s="178"/>
      <c r="CU1896" s="178"/>
      <c r="CV1896" s="178"/>
      <c r="CW1896" s="178"/>
      <c r="CX1896" s="178"/>
      <c r="CY1896" s="178"/>
      <c r="CZ1896" s="178"/>
      <c r="DA1896" s="150"/>
    </row>
    <row r="1897" spans="53:105" x14ac:dyDescent="0.2">
      <c r="BA1897" s="518">
        <f t="shared" ca="1" si="100"/>
        <v>61</v>
      </c>
      <c r="BB1897" s="174">
        <f t="shared" ca="1" si="101"/>
        <v>1834</v>
      </c>
      <c r="BC1897" s="525" t="e">
        <f ca="1">MATCH(BD1897,OFFSET(Pinlist!$A$2,BC1896*(BA1897=BA1896),0,$BM$23,1),0)+BC1896*(BA1897=BA1896)</f>
        <v>#N/A</v>
      </c>
      <c r="BD1897" s="167">
        <f t="shared" ca="1" si="102"/>
        <v>0</v>
      </c>
      <c r="BE1897" s="191" t="e">
        <f ca="1">(OFFSET(Pinlist!$E$1,BC1897,0)-$BN$16)*$BN$19</f>
        <v>#N/A</v>
      </c>
      <c r="BF1897" s="192" t="e">
        <f ca="1">(OFFSET(Pinlist!$F$1,BC1897,0)-$BO$16)*$BO$19</f>
        <v>#N/A</v>
      </c>
      <c r="BG1897" s="1098" t="str">
        <f ca="1">IF(LEFT(BD1897,2)="RF",OFFSET(Pinlist!$D$1,Chart!BC1897,0)&amp;"_"&amp;OFFSET(Pinlist!$G$1,Chart!BC1897,0),"")</f>
        <v/>
      </c>
      <c r="BH1897" s="1098"/>
      <c r="BI1897" s="178"/>
      <c r="BJ1897" s="178"/>
      <c r="BK1897" s="178"/>
      <c r="BL1897" s="178"/>
      <c r="BM1897" s="178"/>
      <c r="BN1897" s="178"/>
      <c r="BO1897" s="178"/>
      <c r="BP1897" s="178"/>
      <c r="BQ1897" s="196"/>
      <c r="BR1897" s="196"/>
      <c r="BS1897" s="196"/>
      <c r="BT1897" s="196"/>
      <c r="BU1897" s="196"/>
      <c r="BV1897" s="196"/>
      <c r="BW1897" s="178"/>
      <c r="BX1897" s="196"/>
      <c r="BY1897" s="196"/>
      <c r="BZ1897" s="196"/>
      <c r="CA1897" s="196"/>
      <c r="CB1897" s="178"/>
      <c r="CC1897" s="178"/>
      <c r="CD1897" s="202"/>
      <c r="CE1897" s="202"/>
      <c r="CF1897" s="178"/>
      <c r="CG1897" s="196"/>
      <c r="CH1897" s="178"/>
      <c r="CI1897" s="178"/>
      <c r="CJ1897" s="178"/>
      <c r="CK1897" s="178"/>
      <c r="CL1897" s="178"/>
      <c r="CM1897" s="178"/>
      <c r="CN1897" s="178"/>
      <c r="CO1897" s="178"/>
      <c r="CP1897" s="178"/>
      <c r="CQ1897" s="178"/>
      <c r="CR1897" s="178"/>
      <c r="CS1897" s="178"/>
      <c r="CT1897" s="178"/>
      <c r="CU1897" s="178"/>
      <c r="CV1897" s="178"/>
      <c r="CW1897" s="178"/>
      <c r="CX1897" s="178"/>
      <c r="CY1897" s="178"/>
      <c r="CZ1897" s="178"/>
      <c r="DA1897" s="150"/>
    </row>
    <row r="1898" spans="53:105" x14ac:dyDescent="0.2">
      <c r="BA1898" s="518">
        <f t="shared" ca="1" si="100"/>
        <v>61</v>
      </c>
      <c r="BB1898" s="174">
        <f t="shared" ca="1" si="101"/>
        <v>1835</v>
      </c>
      <c r="BC1898" s="525" t="e">
        <f ca="1">MATCH(BD1898,OFFSET(Pinlist!$A$2,BC1897*(BA1898=BA1897),0,$BM$23,1),0)+BC1897*(BA1898=BA1897)</f>
        <v>#N/A</v>
      </c>
      <c r="BD1898" s="167">
        <f t="shared" ca="1" si="102"/>
        <v>0</v>
      </c>
      <c r="BE1898" s="191" t="e">
        <f ca="1">(OFFSET(Pinlist!$E$1,BC1898,0)-$BN$16)*$BN$19</f>
        <v>#N/A</v>
      </c>
      <c r="BF1898" s="192" t="e">
        <f ca="1">(OFFSET(Pinlist!$F$1,BC1898,0)-$BO$16)*$BO$19</f>
        <v>#N/A</v>
      </c>
      <c r="BG1898" s="1098" t="str">
        <f ca="1">IF(LEFT(BD1898,2)="RF",OFFSET(Pinlist!$D$1,Chart!BC1898,0)&amp;"_"&amp;OFFSET(Pinlist!$G$1,Chart!BC1898,0),"")</f>
        <v/>
      </c>
      <c r="BH1898" s="1098"/>
      <c r="BI1898" s="178"/>
      <c r="BJ1898" s="178"/>
      <c r="BK1898" s="178"/>
      <c r="BL1898" s="178"/>
      <c r="BM1898" s="178"/>
      <c r="BN1898" s="178"/>
      <c r="BO1898" s="178"/>
      <c r="BP1898" s="178"/>
      <c r="BQ1898" s="196"/>
      <c r="BR1898" s="196"/>
      <c r="BS1898" s="196"/>
      <c r="BT1898" s="196"/>
      <c r="BU1898" s="196"/>
      <c r="BV1898" s="196"/>
      <c r="BW1898" s="178"/>
      <c r="BX1898" s="196"/>
      <c r="BY1898" s="196"/>
      <c r="BZ1898" s="196"/>
      <c r="CA1898" s="196"/>
      <c r="CB1898" s="178"/>
      <c r="CC1898" s="178"/>
      <c r="CD1898" s="202"/>
      <c r="CE1898" s="202"/>
      <c r="CF1898" s="178"/>
      <c r="CG1898" s="196"/>
      <c r="CH1898" s="178"/>
      <c r="CI1898" s="178"/>
      <c r="CJ1898" s="178"/>
      <c r="CK1898" s="178"/>
      <c r="CL1898" s="178"/>
      <c r="CM1898" s="178"/>
      <c r="CN1898" s="178"/>
      <c r="CO1898" s="178"/>
      <c r="CP1898" s="178"/>
      <c r="CQ1898" s="178"/>
      <c r="CR1898" s="178"/>
      <c r="CS1898" s="178"/>
      <c r="CT1898" s="178"/>
      <c r="CU1898" s="178"/>
      <c r="CV1898" s="178"/>
      <c r="CW1898" s="178"/>
      <c r="CX1898" s="178"/>
      <c r="CY1898" s="178"/>
      <c r="CZ1898" s="178"/>
      <c r="DA1898" s="150"/>
    </row>
    <row r="1899" spans="53:105" x14ac:dyDescent="0.2">
      <c r="BA1899" s="518">
        <f t="shared" ca="1" si="100"/>
        <v>61</v>
      </c>
      <c r="BB1899" s="174">
        <f t="shared" ca="1" si="101"/>
        <v>1836</v>
      </c>
      <c r="BC1899" s="525" t="e">
        <f ca="1">MATCH(BD1899,OFFSET(Pinlist!$A$2,BC1898*(BA1899=BA1898),0,$BM$23,1),0)+BC1898*(BA1899=BA1898)</f>
        <v>#N/A</v>
      </c>
      <c r="BD1899" s="167">
        <f t="shared" ca="1" si="102"/>
        <v>0</v>
      </c>
      <c r="BE1899" s="191" t="e">
        <f ca="1">(OFFSET(Pinlist!$E$1,BC1899,0)-$BN$16)*$BN$19</f>
        <v>#N/A</v>
      </c>
      <c r="BF1899" s="192" t="e">
        <f ca="1">(OFFSET(Pinlist!$F$1,BC1899,0)-$BO$16)*$BO$19</f>
        <v>#N/A</v>
      </c>
      <c r="BG1899" s="1098" t="str">
        <f ca="1">IF(LEFT(BD1899,2)="RF",OFFSET(Pinlist!$D$1,Chart!BC1899,0)&amp;"_"&amp;OFFSET(Pinlist!$G$1,Chart!BC1899,0),"")</f>
        <v/>
      </c>
      <c r="BH1899" s="1098"/>
      <c r="BI1899" s="178"/>
      <c r="BJ1899" s="178"/>
      <c r="BK1899" s="178"/>
      <c r="BL1899" s="178"/>
      <c r="BM1899" s="178"/>
      <c r="BN1899" s="178"/>
      <c r="BO1899" s="178"/>
      <c r="BP1899" s="178"/>
      <c r="BQ1899" s="196"/>
      <c r="BR1899" s="196"/>
      <c r="BS1899" s="196"/>
      <c r="BT1899" s="196"/>
      <c r="BU1899" s="196"/>
      <c r="BV1899" s="196"/>
      <c r="BW1899" s="178"/>
      <c r="BX1899" s="196"/>
      <c r="BY1899" s="196"/>
      <c r="BZ1899" s="196"/>
      <c r="CA1899" s="196"/>
      <c r="CB1899" s="178"/>
      <c r="CC1899" s="178"/>
      <c r="CD1899" s="202"/>
      <c r="CE1899" s="202"/>
      <c r="CF1899" s="178"/>
      <c r="CG1899" s="196"/>
      <c r="CH1899" s="178"/>
      <c r="CI1899" s="178"/>
      <c r="CJ1899" s="178"/>
      <c r="CK1899" s="178"/>
      <c r="CL1899" s="178"/>
      <c r="CM1899" s="178"/>
      <c r="CN1899" s="178"/>
      <c r="CO1899" s="178"/>
      <c r="CP1899" s="178"/>
      <c r="CQ1899" s="178"/>
      <c r="CR1899" s="178"/>
      <c r="CS1899" s="178"/>
      <c r="CT1899" s="178"/>
      <c r="CU1899" s="178"/>
      <c r="CV1899" s="178"/>
      <c r="CW1899" s="178"/>
      <c r="CX1899" s="178"/>
      <c r="CY1899" s="178"/>
      <c r="CZ1899" s="178"/>
      <c r="DA1899" s="150"/>
    </row>
    <row r="1900" spans="53:105" x14ac:dyDescent="0.2">
      <c r="BA1900" s="518">
        <f t="shared" ca="1" si="100"/>
        <v>61</v>
      </c>
      <c r="BB1900" s="174">
        <f t="shared" ca="1" si="101"/>
        <v>1837</v>
      </c>
      <c r="BC1900" s="525" t="e">
        <f ca="1">MATCH(BD1900,OFFSET(Pinlist!$A$2,BC1899*(BA1900=BA1899),0,$BM$23,1),0)+BC1899*(BA1900=BA1899)</f>
        <v>#N/A</v>
      </c>
      <c r="BD1900" s="167">
        <f t="shared" ca="1" si="102"/>
        <v>0</v>
      </c>
      <c r="BE1900" s="191" t="e">
        <f ca="1">(OFFSET(Pinlist!$E$1,BC1900,0)-$BN$16)*$BN$19</f>
        <v>#N/A</v>
      </c>
      <c r="BF1900" s="192" t="e">
        <f ca="1">(OFFSET(Pinlist!$F$1,BC1900,0)-$BO$16)*$BO$19</f>
        <v>#N/A</v>
      </c>
      <c r="BG1900" s="1098" t="str">
        <f ca="1">IF(LEFT(BD1900,2)="RF",OFFSET(Pinlist!$D$1,Chart!BC1900,0)&amp;"_"&amp;OFFSET(Pinlist!$G$1,Chart!BC1900,0),"")</f>
        <v/>
      </c>
      <c r="BH1900" s="1098"/>
      <c r="BI1900" s="178"/>
      <c r="BJ1900" s="178"/>
      <c r="BK1900" s="178"/>
      <c r="BL1900" s="178"/>
      <c r="BM1900" s="178"/>
      <c r="BN1900" s="178"/>
      <c r="BO1900" s="178"/>
      <c r="BP1900" s="178"/>
      <c r="BQ1900" s="196"/>
      <c r="BR1900" s="196"/>
      <c r="BS1900" s="196"/>
      <c r="BT1900" s="196"/>
      <c r="BU1900" s="196"/>
      <c r="BV1900" s="196"/>
      <c r="BW1900" s="178"/>
      <c r="BX1900" s="196"/>
      <c r="BY1900" s="196"/>
      <c r="BZ1900" s="196"/>
      <c r="CA1900" s="196"/>
      <c r="CB1900" s="178"/>
      <c r="CC1900" s="178"/>
      <c r="CD1900" s="202"/>
      <c r="CE1900" s="202"/>
      <c r="CF1900" s="178"/>
      <c r="CG1900" s="196"/>
      <c r="CH1900" s="178"/>
      <c r="CI1900" s="178"/>
      <c r="CJ1900" s="178"/>
      <c r="CK1900" s="178"/>
      <c r="CL1900" s="178"/>
      <c r="CM1900" s="178"/>
      <c r="CN1900" s="178"/>
      <c r="CO1900" s="178"/>
      <c r="CP1900" s="178"/>
      <c r="CQ1900" s="178"/>
      <c r="CR1900" s="178"/>
      <c r="CS1900" s="178"/>
      <c r="CT1900" s="178"/>
      <c r="CU1900" s="178"/>
      <c r="CV1900" s="178"/>
      <c r="CW1900" s="178"/>
      <c r="CX1900" s="178"/>
      <c r="CY1900" s="178"/>
      <c r="CZ1900" s="178"/>
      <c r="DA1900" s="150"/>
    </row>
    <row r="1901" spans="53:105" x14ac:dyDescent="0.2">
      <c r="BA1901" s="518">
        <f t="shared" ca="1" si="100"/>
        <v>61</v>
      </c>
      <c r="BB1901" s="174">
        <f t="shared" ca="1" si="101"/>
        <v>1838</v>
      </c>
      <c r="BC1901" s="525" t="e">
        <f ca="1">MATCH(BD1901,OFFSET(Pinlist!$A$2,BC1900*(BA1901=BA1900),0,$BM$23,1),0)+BC1900*(BA1901=BA1900)</f>
        <v>#N/A</v>
      </c>
      <c r="BD1901" s="167">
        <f t="shared" ca="1" si="102"/>
        <v>0</v>
      </c>
      <c r="BE1901" s="191" t="e">
        <f ca="1">(OFFSET(Pinlist!$E$1,BC1901,0)-$BN$16)*$BN$19</f>
        <v>#N/A</v>
      </c>
      <c r="BF1901" s="192" t="e">
        <f ca="1">(OFFSET(Pinlist!$F$1,BC1901,0)-$BO$16)*$BO$19</f>
        <v>#N/A</v>
      </c>
      <c r="BG1901" s="1098" t="str">
        <f ca="1">IF(LEFT(BD1901,2)="RF",OFFSET(Pinlist!$D$1,Chart!BC1901,0)&amp;"_"&amp;OFFSET(Pinlist!$G$1,Chart!BC1901,0),"")</f>
        <v/>
      </c>
      <c r="BH1901" s="1098"/>
      <c r="BI1901" s="178"/>
      <c r="BJ1901" s="178"/>
      <c r="BK1901" s="178"/>
      <c r="BL1901" s="178"/>
      <c r="BM1901" s="178"/>
      <c r="BN1901" s="178"/>
      <c r="BO1901" s="178"/>
      <c r="BP1901" s="178"/>
      <c r="BQ1901" s="196"/>
      <c r="BR1901" s="196"/>
      <c r="BS1901" s="196"/>
      <c r="BT1901" s="196"/>
      <c r="BU1901" s="196"/>
      <c r="BV1901" s="196"/>
      <c r="BW1901" s="178"/>
      <c r="BX1901" s="196"/>
      <c r="BY1901" s="196"/>
      <c r="BZ1901" s="196"/>
      <c r="CA1901" s="196"/>
      <c r="CB1901" s="178"/>
      <c r="CC1901" s="178"/>
      <c r="CD1901" s="202"/>
      <c r="CE1901" s="202"/>
      <c r="CF1901" s="178"/>
      <c r="CG1901" s="196"/>
      <c r="CH1901" s="178"/>
      <c r="CI1901" s="178"/>
      <c r="CJ1901" s="178"/>
      <c r="CK1901" s="178"/>
      <c r="CL1901" s="178"/>
      <c r="CM1901" s="178"/>
      <c r="CN1901" s="178"/>
      <c r="CO1901" s="178"/>
      <c r="CP1901" s="178"/>
      <c r="CQ1901" s="178"/>
      <c r="CR1901" s="178"/>
      <c r="CS1901" s="178"/>
      <c r="CT1901" s="178"/>
      <c r="CU1901" s="178"/>
      <c r="CV1901" s="178"/>
      <c r="CW1901" s="178"/>
      <c r="CX1901" s="178"/>
      <c r="CY1901" s="178"/>
      <c r="CZ1901" s="178"/>
      <c r="DA1901" s="150"/>
    </row>
    <row r="1902" spans="53:105" x14ac:dyDescent="0.2">
      <c r="BA1902" s="518">
        <f t="shared" ca="1" si="100"/>
        <v>61</v>
      </c>
      <c r="BB1902" s="174">
        <f t="shared" ca="1" si="101"/>
        <v>1839</v>
      </c>
      <c r="BC1902" s="525" t="e">
        <f ca="1">MATCH(BD1902,OFFSET(Pinlist!$A$2,BC1901*(BA1902=BA1901),0,$BM$23,1),0)+BC1901*(BA1902=BA1901)</f>
        <v>#N/A</v>
      </c>
      <c r="BD1902" s="167">
        <f t="shared" ca="1" si="102"/>
        <v>0</v>
      </c>
      <c r="BE1902" s="191" t="e">
        <f ca="1">(OFFSET(Pinlist!$E$1,BC1902,0)-$BN$16)*$BN$19</f>
        <v>#N/A</v>
      </c>
      <c r="BF1902" s="192" t="e">
        <f ca="1">(OFFSET(Pinlist!$F$1,BC1902,0)-$BO$16)*$BO$19</f>
        <v>#N/A</v>
      </c>
      <c r="BG1902" s="1098" t="str">
        <f ca="1">IF(LEFT(BD1902,2)="RF",OFFSET(Pinlist!$D$1,Chart!BC1902,0)&amp;"_"&amp;OFFSET(Pinlist!$G$1,Chart!BC1902,0),"")</f>
        <v/>
      </c>
      <c r="BH1902" s="1098"/>
      <c r="BI1902" s="178"/>
      <c r="BJ1902" s="178"/>
      <c r="BK1902" s="178"/>
      <c r="BL1902" s="178"/>
      <c r="BM1902" s="178"/>
      <c r="BN1902" s="178"/>
      <c r="BO1902" s="178"/>
      <c r="BP1902" s="178"/>
      <c r="BQ1902" s="196"/>
      <c r="BR1902" s="196"/>
      <c r="BS1902" s="196"/>
      <c r="BT1902" s="196"/>
      <c r="BU1902" s="196"/>
      <c r="BV1902" s="196"/>
      <c r="BW1902" s="178"/>
      <c r="BX1902" s="196"/>
      <c r="BY1902" s="196"/>
      <c r="BZ1902" s="196"/>
      <c r="CA1902" s="196"/>
      <c r="CB1902" s="178"/>
      <c r="CC1902" s="178"/>
      <c r="CD1902" s="202"/>
      <c r="CE1902" s="202"/>
      <c r="CF1902" s="178"/>
      <c r="CG1902" s="196"/>
      <c r="CH1902" s="178"/>
      <c r="CI1902" s="178"/>
      <c r="CJ1902" s="178"/>
      <c r="CK1902" s="178"/>
      <c r="CL1902" s="178"/>
      <c r="CM1902" s="178"/>
      <c r="CN1902" s="178"/>
      <c r="CO1902" s="178"/>
      <c r="CP1902" s="178"/>
      <c r="CQ1902" s="178"/>
      <c r="CR1902" s="178"/>
      <c r="CS1902" s="178"/>
      <c r="CT1902" s="178"/>
      <c r="CU1902" s="178"/>
      <c r="CV1902" s="178"/>
      <c r="CW1902" s="178"/>
      <c r="CX1902" s="178"/>
      <c r="CY1902" s="178"/>
      <c r="CZ1902" s="178"/>
      <c r="DA1902" s="150"/>
    </row>
    <row r="1903" spans="53:105" x14ac:dyDescent="0.2">
      <c r="BA1903" s="518">
        <f t="shared" ca="1" si="100"/>
        <v>61</v>
      </c>
      <c r="BB1903" s="174">
        <f t="shared" ca="1" si="101"/>
        <v>1840</v>
      </c>
      <c r="BC1903" s="525" t="e">
        <f ca="1">MATCH(BD1903,OFFSET(Pinlist!$A$2,BC1902*(BA1903=BA1902),0,$BM$23,1),0)+BC1902*(BA1903=BA1902)</f>
        <v>#N/A</v>
      </c>
      <c r="BD1903" s="167">
        <f t="shared" ca="1" si="102"/>
        <v>0</v>
      </c>
      <c r="BE1903" s="191" t="e">
        <f ca="1">(OFFSET(Pinlist!$E$1,BC1903,0)-$BN$16)*$BN$19</f>
        <v>#N/A</v>
      </c>
      <c r="BF1903" s="192" t="e">
        <f ca="1">(OFFSET(Pinlist!$F$1,BC1903,0)-$BO$16)*$BO$19</f>
        <v>#N/A</v>
      </c>
      <c r="BG1903" s="1098" t="str">
        <f ca="1">IF(LEFT(BD1903,2)="RF",OFFSET(Pinlist!$D$1,Chart!BC1903,0)&amp;"_"&amp;OFFSET(Pinlist!$G$1,Chart!BC1903,0),"")</f>
        <v/>
      </c>
      <c r="BH1903" s="1098"/>
      <c r="BI1903" s="178"/>
      <c r="BJ1903" s="178"/>
      <c r="BK1903" s="178"/>
      <c r="BL1903" s="178"/>
      <c r="BM1903" s="178"/>
      <c r="BN1903" s="178"/>
      <c r="BO1903" s="178"/>
      <c r="BP1903" s="178"/>
      <c r="BQ1903" s="196"/>
      <c r="BR1903" s="196"/>
      <c r="BS1903" s="196"/>
      <c r="BT1903" s="196"/>
      <c r="BU1903" s="196"/>
      <c r="BV1903" s="196"/>
      <c r="BW1903" s="178"/>
      <c r="BX1903" s="196"/>
      <c r="BY1903" s="196"/>
      <c r="BZ1903" s="196"/>
      <c r="CA1903" s="196"/>
      <c r="CB1903" s="178"/>
      <c r="CC1903" s="178"/>
      <c r="CD1903" s="202"/>
      <c r="CE1903" s="202"/>
      <c r="CF1903" s="178"/>
      <c r="CG1903" s="196"/>
      <c r="CH1903" s="178"/>
      <c r="CI1903" s="178"/>
      <c r="CJ1903" s="178"/>
      <c r="CK1903" s="178"/>
      <c r="CL1903" s="178"/>
      <c r="CM1903" s="178"/>
      <c r="CN1903" s="178"/>
      <c r="CO1903" s="178"/>
      <c r="CP1903" s="178"/>
      <c r="CQ1903" s="178"/>
      <c r="CR1903" s="178"/>
      <c r="CS1903" s="178"/>
      <c r="CT1903" s="178"/>
      <c r="CU1903" s="178"/>
      <c r="CV1903" s="178"/>
      <c r="CW1903" s="178"/>
      <c r="CX1903" s="178"/>
      <c r="CY1903" s="178"/>
      <c r="CZ1903" s="178"/>
      <c r="DA1903" s="150"/>
    </row>
    <row r="1904" spans="53:105" x14ac:dyDescent="0.2">
      <c r="BA1904" s="518">
        <f t="shared" ca="1" si="100"/>
        <v>61</v>
      </c>
      <c r="BB1904" s="174">
        <f t="shared" ca="1" si="101"/>
        <v>1841</v>
      </c>
      <c r="BC1904" s="525" t="e">
        <f ca="1">MATCH(BD1904,OFFSET(Pinlist!$A$2,BC1903*(BA1904=BA1903),0,$BM$23,1),0)+BC1903*(BA1904=BA1903)</f>
        <v>#N/A</v>
      </c>
      <c r="BD1904" s="167">
        <f t="shared" ca="1" si="102"/>
        <v>0</v>
      </c>
      <c r="BE1904" s="191" t="e">
        <f ca="1">(OFFSET(Pinlist!$E$1,BC1904,0)-$BN$16)*$BN$19</f>
        <v>#N/A</v>
      </c>
      <c r="BF1904" s="192" t="e">
        <f ca="1">(OFFSET(Pinlist!$F$1,BC1904,0)-$BO$16)*$BO$19</f>
        <v>#N/A</v>
      </c>
      <c r="BG1904" s="1098" t="str">
        <f ca="1">IF(LEFT(BD1904,2)="RF",OFFSET(Pinlist!$D$1,Chart!BC1904,0)&amp;"_"&amp;OFFSET(Pinlist!$G$1,Chart!BC1904,0),"")</f>
        <v/>
      </c>
      <c r="BH1904" s="1098"/>
      <c r="BI1904" s="178"/>
      <c r="BJ1904" s="178"/>
      <c r="BK1904" s="178"/>
      <c r="BL1904" s="178"/>
      <c r="BM1904" s="178"/>
      <c r="BN1904" s="178"/>
      <c r="BO1904" s="178"/>
      <c r="BP1904" s="178"/>
      <c r="BQ1904" s="196"/>
      <c r="BR1904" s="196"/>
      <c r="BS1904" s="196"/>
      <c r="BT1904" s="196"/>
      <c r="BU1904" s="196"/>
      <c r="BV1904" s="196"/>
      <c r="BW1904" s="178"/>
      <c r="BX1904" s="196"/>
      <c r="BY1904" s="196"/>
      <c r="BZ1904" s="196"/>
      <c r="CA1904" s="196"/>
      <c r="CB1904" s="178"/>
      <c r="CC1904" s="178"/>
      <c r="CD1904" s="202"/>
      <c r="CE1904" s="202"/>
      <c r="CF1904" s="178"/>
      <c r="CG1904" s="196"/>
      <c r="CH1904" s="178"/>
      <c r="CI1904" s="178"/>
      <c r="CJ1904" s="178"/>
      <c r="CK1904" s="178"/>
      <c r="CL1904" s="178"/>
      <c r="CM1904" s="178"/>
      <c r="CN1904" s="178"/>
      <c r="CO1904" s="178"/>
      <c r="CP1904" s="178"/>
      <c r="CQ1904" s="178"/>
      <c r="CR1904" s="178"/>
      <c r="CS1904" s="178"/>
      <c r="CT1904" s="178"/>
      <c r="CU1904" s="178"/>
      <c r="CV1904" s="178"/>
      <c r="CW1904" s="178"/>
      <c r="CX1904" s="178"/>
      <c r="CY1904" s="178"/>
      <c r="CZ1904" s="178"/>
      <c r="DA1904" s="150"/>
    </row>
    <row r="1905" spans="53:105" x14ac:dyDescent="0.2">
      <c r="BA1905" s="518">
        <f t="shared" ca="1" si="100"/>
        <v>61</v>
      </c>
      <c r="BB1905" s="174">
        <f t="shared" ca="1" si="101"/>
        <v>1842</v>
      </c>
      <c r="BC1905" s="525" t="e">
        <f ca="1">MATCH(BD1905,OFFSET(Pinlist!$A$2,BC1904*(BA1905=BA1904),0,$BM$23,1),0)+BC1904*(BA1905=BA1904)</f>
        <v>#N/A</v>
      </c>
      <c r="BD1905" s="167">
        <f t="shared" ca="1" si="102"/>
        <v>0</v>
      </c>
      <c r="BE1905" s="191" t="e">
        <f ca="1">(OFFSET(Pinlist!$E$1,BC1905,0)-$BN$16)*$BN$19</f>
        <v>#N/A</v>
      </c>
      <c r="BF1905" s="192" t="e">
        <f ca="1">(OFFSET(Pinlist!$F$1,BC1905,0)-$BO$16)*$BO$19</f>
        <v>#N/A</v>
      </c>
      <c r="BG1905" s="1098" t="str">
        <f ca="1">IF(LEFT(BD1905,2)="RF",OFFSET(Pinlist!$D$1,Chart!BC1905,0)&amp;"_"&amp;OFFSET(Pinlist!$G$1,Chart!BC1905,0),"")</f>
        <v/>
      </c>
      <c r="BH1905" s="1098"/>
      <c r="BI1905" s="178"/>
      <c r="BJ1905" s="178"/>
      <c r="BK1905" s="178"/>
      <c r="BL1905" s="178"/>
      <c r="BM1905" s="178"/>
      <c r="BN1905" s="178"/>
      <c r="BO1905" s="178"/>
      <c r="BP1905" s="178"/>
      <c r="BQ1905" s="196"/>
      <c r="BR1905" s="196"/>
      <c r="BS1905" s="196"/>
      <c r="BT1905" s="196"/>
      <c r="BU1905" s="196"/>
      <c r="BV1905" s="196"/>
      <c r="BW1905" s="178"/>
      <c r="BX1905" s="196"/>
      <c r="BY1905" s="196"/>
      <c r="BZ1905" s="196"/>
      <c r="CA1905" s="196"/>
      <c r="CB1905" s="178"/>
      <c r="CC1905" s="178"/>
      <c r="CD1905" s="202"/>
      <c r="CE1905" s="202"/>
      <c r="CF1905" s="178"/>
      <c r="CG1905" s="196"/>
      <c r="CH1905" s="178"/>
      <c r="CI1905" s="178"/>
      <c r="CJ1905" s="178"/>
      <c r="CK1905" s="178"/>
      <c r="CL1905" s="178"/>
      <c r="CM1905" s="178"/>
      <c r="CN1905" s="178"/>
      <c r="CO1905" s="178"/>
      <c r="CP1905" s="178"/>
      <c r="CQ1905" s="178"/>
      <c r="CR1905" s="178"/>
      <c r="CS1905" s="178"/>
      <c r="CT1905" s="178"/>
      <c r="CU1905" s="178"/>
      <c r="CV1905" s="178"/>
      <c r="CW1905" s="178"/>
      <c r="CX1905" s="178"/>
      <c r="CY1905" s="178"/>
      <c r="CZ1905" s="178"/>
      <c r="DA1905" s="150"/>
    </row>
    <row r="1906" spans="53:105" x14ac:dyDescent="0.2">
      <c r="BA1906" s="518">
        <f t="shared" ca="1" si="100"/>
        <v>61</v>
      </c>
      <c r="BB1906" s="174">
        <f t="shared" ca="1" si="101"/>
        <v>1843</v>
      </c>
      <c r="BC1906" s="525" t="e">
        <f ca="1">MATCH(BD1906,OFFSET(Pinlist!$A$2,BC1905*(BA1906=BA1905),0,$BM$23,1),0)+BC1905*(BA1906=BA1905)</f>
        <v>#N/A</v>
      </c>
      <c r="BD1906" s="167">
        <f t="shared" ca="1" si="102"/>
        <v>0</v>
      </c>
      <c r="BE1906" s="191" t="e">
        <f ca="1">(OFFSET(Pinlist!$E$1,BC1906,0)-$BN$16)*$BN$19</f>
        <v>#N/A</v>
      </c>
      <c r="BF1906" s="192" t="e">
        <f ca="1">(OFFSET(Pinlist!$F$1,BC1906,0)-$BO$16)*$BO$19</f>
        <v>#N/A</v>
      </c>
      <c r="BG1906" s="1098" t="str">
        <f ca="1">IF(LEFT(BD1906,2)="RF",OFFSET(Pinlist!$D$1,Chart!BC1906,0)&amp;"_"&amp;OFFSET(Pinlist!$G$1,Chart!BC1906,0),"")</f>
        <v/>
      </c>
      <c r="BH1906" s="1098"/>
      <c r="BI1906" s="178"/>
      <c r="BJ1906" s="178"/>
      <c r="BK1906" s="178"/>
      <c r="BL1906" s="178"/>
      <c r="BM1906" s="178"/>
      <c r="BN1906" s="178"/>
      <c r="BO1906" s="178"/>
      <c r="BP1906" s="178"/>
      <c r="BQ1906" s="196"/>
      <c r="BR1906" s="196"/>
      <c r="BS1906" s="196"/>
      <c r="BT1906" s="196"/>
      <c r="BU1906" s="196"/>
      <c r="BV1906" s="196"/>
      <c r="BW1906" s="178"/>
      <c r="BX1906" s="196"/>
      <c r="BY1906" s="196"/>
      <c r="BZ1906" s="196"/>
      <c r="CA1906" s="196"/>
      <c r="CB1906" s="178"/>
      <c r="CC1906" s="178"/>
      <c r="CD1906" s="202"/>
      <c r="CE1906" s="202"/>
      <c r="CF1906" s="178"/>
      <c r="CG1906" s="196"/>
      <c r="CH1906" s="178"/>
      <c r="CI1906" s="178"/>
      <c r="CJ1906" s="178"/>
      <c r="CK1906" s="178"/>
      <c r="CL1906" s="178"/>
      <c r="CM1906" s="178"/>
      <c r="CN1906" s="178"/>
      <c r="CO1906" s="178"/>
      <c r="CP1906" s="178"/>
      <c r="CQ1906" s="178"/>
      <c r="CR1906" s="178"/>
      <c r="CS1906" s="178"/>
      <c r="CT1906" s="178"/>
      <c r="CU1906" s="178"/>
      <c r="CV1906" s="178"/>
      <c r="CW1906" s="178"/>
      <c r="CX1906" s="178"/>
      <c r="CY1906" s="178"/>
      <c r="CZ1906" s="178"/>
      <c r="DA1906" s="150"/>
    </row>
    <row r="1907" spans="53:105" x14ac:dyDescent="0.2">
      <c r="BA1907" s="518">
        <f t="shared" ca="1" si="100"/>
        <v>61</v>
      </c>
      <c r="BB1907" s="174">
        <f t="shared" ca="1" si="101"/>
        <v>1844</v>
      </c>
      <c r="BC1907" s="525" t="e">
        <f ca="1">MATCH(BD1907,OFFSET(Pinlist!$A$2,BC1906*(BA1907=BA1906),0,$BM$23,1),0)+BC1906*(BA1907=BA1906)</f>
        <v>#N/A</v>
      </c>
      <c r="BD1907" s="167">
        <f t="shared" ca="1" si="102"/>
        <v>0</v>
      </c>
      <c r="BE1907" s="191" t="e">
        <f ca="1">(OFFSET(Pinlist!$E$1,BC1907,0)-$BN$16)*$BN$19</f>
        <v>#N/A</v>
      </c>
      <c r="BF1907" s="192" t="e">
        <f ca="1">(OFFSET(Pinlist!$F$1,BC1907,0)-$BO$16)*$BO$19</f>
        <v>#N/A</v>
      </c>
      <c r="BG1907" s="1098" t="str">
        <f ca="1">IF(LEFT(BD1907,2)="RF",OFFSET(Pinlist!$D$1,Chart!BC1907,0)&amp;"_"&amp;OFFSET(Pinlist!$G$1,Chart!BC1907,0),"")</f>
        <v/>
      </c>
      <c r="BH1907" s="1098"/>
      <c r="BI1907" s="178"/>
      <c r="BJ1907" s="178"/>
      <c r="BK1907" s="178"/>
      <c r="BL1907" s="178"/>
      <c r="BM1907" s="178"/>
      <c r="BN1907" s="178"/>
      <c r="BO1907" s="178"/>
      <c r="BP1907" s="178"/>
      <c r="BQ1907" s="196"/>
      <c r="BR1907" s="196"/>
      <c r="BS1907" s="196"/>
      <c r="BT1907" s="196"/>
      <c r="BU1907" s="196"/>
      <c r="BV1907" s="196"/>
      <c r="BW1907" s="178"/>
      <c r="BX1907" s="196"/>
      <c r="BY1907" s="196"/>
      <c r="BZ1907" s="196"/>
      <c r="CA1907" s="196"/>
      <c r="CB1907" s="178"/>
      <c r="CC1907" s="178"/>
      <c r="CD1907" s="202"/>
      <c r="CE1907" s="202"/>
      <c r="CF1907" s="178"/>
      <c r="CG1907" s="196"/>
      <c r="CH1907" s="178"/>
      <c r="CI1907" s="178"/>
      <c r="CJ1907" s="178"/>
      <c r="CK1907" s="178"/>
      <c r="CL1907" s="178"/>
      <c r="CM1907" s="178"/>
      <c r="CN1907" s="178"/>
      <c r="CO1907" s="178"/>
      <c r="CP1907" s="178"/>
      <c r="CQ1907" s="178"/>
      <c r="CR1907" s="178"/>
      <c r="CS1907" s="178"/>
      <c r="CT1907" s="178"/>
      <c r="CU1907" s="178"/>
      <c r="CV1907" s="178"/>
      <c r="CW1907" s="178"/>
      <c r="CX1907" s="178"/>
      <c r="CY1907" s="178"/>
      <c r="CZ1907" s="178"/>
      <c r="DA1907" s="150"/>
    </row>
    <row r="1908" spans="53:105" x14ac:dyDescent="0.2">
      <c r="BA1908" s="518">
        <f t="shared" ca="1" si="100"/>
        <v>61</v>
      </c>
      <c r="BB1908" s="174">
        <f t="shared" ca="1" si="101"/>
        <v>1845</v>
      </c>
      <c r="BC1908" s="525" t="e">
        <f ca="1">MATCH(BD1908,OFFSET(Pinlist!$A$2,BC1907*(BA1908=BA1907),0,$BM$23,1),0)+BC1907*(BA1908=BA1907)</f>
        <v>#N/A</v>
      </c>
      <c r="BD1908" s="167">
        <f t="shared" ca="1" si="102"/>
        <v>0</v>
      </c>
      <c r="BE1908" s="191" t="e">
        <f ca="1">(OFFSET(Pinlist!$E$1,BC1908,0)-$BN$16)*$BN$19</f>
        <v>#N/A</v>
      </c>
      <c r="BF1908" s="192" t="e">
        <f ca="1">(OFFSET(Pinlist!$F$1,BC1908,0)-$BO$16)*$BO$19</f>
        <v>#N/A</v>
      </c>
      <c r="BG1908" s="1098" t="str">
        <f ca="1">IF(LEFT(BD1908,2)="RF",OFFSET(Pinlist!$D$1,Chart!BC1908,0)&amp;"_"&amp;OFFSET(Pinlist!$G$1,Chart!BC1908,0),"")</f>
        <v/>
      </c>
      <c r="BH1908" s="1098"/>
      <c r="BI1908" s="178"/>
      <c r="BJ1908" s="178"/>
      <c r="BK1908" s="178"/>
      <c r="BL1908" s="178"/>
      <c r="BM1908" s="178"/>
      <c r="BN1908" s="178"/>
      <c r="BO1908" s="178"/>
      <c r="BP1908" s="178"/>
      <c r="BQ1908" s="196"/>
      <c r="BR1908" s="196"/>
      <c r="BS1908" s="196"/>
      <c r="BT1908" s="196"/>
      <c r="BU1908" s="196"/>
      <c r="BV1908" s="196"/>
      <c r="BW1908" s="178"/>
      <c r="BX1908" s="196"/>
      <c r="BY1908" s="196"/>
      <c r="BZ1908" s="196"/>
      <c r="CA1908" s="196"/>
      <c r="CB1908" s="178"/>
      <c r="CC1908" s="178"/>
      <c r="CD1908" s="202"/>
      <c r="CE1908" s="202"/>
      <c r="CF1908" s="178"/>
      <c r="CG1908" s="196"/>
      <c r="CH1908" s="178"/>
      <c r="CI1908" s="178"/>
      <c r="CJ1908" s="178"/>
      <c r="CK1908" s="178"/>
      <c r="CL1908" s="178"/>
      <c r="CM1908" s="178"/>
      <c r="CN1908" s="178"/>
      <c r="CO1908" s="178"/>
      <c r="CP1908" s="178"/>
      <c r="CQ1908" s="178"/>
      <c r="CR1908" s="178"/>
      <c r="CS1908" s="178"/>
      <c r="CT1908" s="178"/>
      <c r="CU1908" s="178"/>
      <c r="CV1908" s="178"/>
      <c r="CW1908" s="178"/>
      <c r="CX1908" s="178"/>
      <c r="CY1908" s="178"/>
      <c r="CZ1908" s="178"/>
      <c r="DA1908" s="150"/>
    </row>
    <row r="1909" spans="53:105" x14ac:dyDescent="0.2">
      <c r="BA1909" s="518">
        <f t="shared" ca="1" si="100"/>
        <v>61</v>
      </c>
      <c r="BB1909" s="174">
        <f t="shared" ca="1" si="101"/>
        <v>1846</v>
      </c>
      <c r="BC1909" s="525" t="e">
        <f ca="1">MATCH(BD1909,OFFSET(Pinlist!$A$2,BC1908*(BA1909=BA1908),0,$BM$23,1),0)+BC1908*(BA1909=BA1908)</f>
        <v>#N/A</v>
      </c>
      <c r="BD1909" s="167">
        <f t="shared" ca="1" si="102"/>
        <v>0</v>
      </c>
      <c r="BE1909" s="191" t="e">
        <f ca="1">(OFFSET(Pinlist!$E$1,BC1909,0)-$BN$16)*$BN$19</f>
        <v>#N/A</v>
      </c>
      <c r="BF1909" s="192" t="e">
        <f ca="1">(OFFSET(Pinlist!$F$1,BC1909,0)-$BO$16)*$BO$19</f>
        <v>#N/A</v>
      </c>
      <c r="BG1909" s="1098" t="str">
        <f ca="1">IF(LEFT(BD1909,2)="RF",OFFSET(Pinlist!$D$1,Chart!BC1909,0)&amp;"_"&amp;OFFSET(Pinlist!$G$1,Chart!BC1909,0),"")</f>
        <v/>
      </c>
      <c r="BH1909" s="1098"/>
      <c r="BI1909" s="178"/>
      <c r="BJ1909" s="178"/>
      <c r="BK1909" s="178"/>
      <c r="BL1909" s="178"/>
      <c r="BM1909" s="178"/>
      <c r="BN1909" s="178"/>
      <c r="BO1909" s="178"/>
      <c r="BP1909" s="178"/>
      <c r="BQ1909" s="196"/>
      <c r="BR1909" s="196"/>
      <c r="BS1909" s="196"/>
      <c r="BT1909" s="196"/>
      <c r="BU1909" s="196"/>
      <c r="BV1909" s="196"/>
      <c r="BW1909" s="178"/>
      <c r="BX1909" s="196"/>
      <c r="BY1909" s="196"/>
      <c r="BZ1909" s="196"/>
      <c r="CA1909" s="196"/>
      <c r="CB1909" s="178"/>
      <c r="CC1909" s="178"/>
      <c r="CD1909" s="202"/>
      <c r="CE1909" s="202"/>
      <c r="CF1909" s="178"/>
      <c r="CG1909" s="196"/>
      <c r="CH1909" s="178"/>
      <c r="CI1909" s="178"/>
      <c r="CJ1909" s="178"/>
      <c r="CK1909" s="178"/>
      <c r="CL1909" s="178"/>
      <c r="CM1909" s="178"/>
      <c r="CN1909" s="178"/>
      <c r="CO1909" s="178"/>
      <c r="CP1909" s="178"/>
      <c r="CQ1909" s="178"/>
      <c r="CR1909" s="178"/>
      <c r="CS1909" s="178"/>
      <c r="CT1909" s="178"/>
      <c r="CU1909" s="178"/>
      <c r="CV1909" s="178"/>
      <c r="CW1909" s="178"/>
      <c r="CX1909" s="178"/>
      <c r="CY1909" s="178"/>
      <c r="CZ1909" s="178"/>
      <c r="DA1909" s="150"/>
    </row>
    <row r="1910" spans="53:105" x14ac:dyDescent="0.2">
      <c r="BA1910" s="518">
        <f t="shared" ca="1" si="100"/>
        <v>61</v>
      </c>
      <c r="BB1910" s="174">
        <f t="shared" ca="1" si="101"/>
        <v>1847</v>
      </c>
      <c r="BC1910" s="525" t="e">
        <f ca="1">MATCH(BD1910,OFFSET(Pinlist!$A$2,BC1909*(BA1910=BA1909),0,$BM$23,1),0)+BC1909*(BA1910=BA1909)</f>
        <v>#N/A</v>
      </c>
      <c r="BD1910" s="167">
        <f t="shared" ca="1" si="102"/>
        <v>0</v>
      </c>
      <c r="BE1910" s="191" t="e">
        <f ca="1">(OFFSET(Pinlist!$E$1,BC1910,0)-$BN$16)*$BN$19</f>
        <v>#N/A</v>
      </c>
      <c r="BF1910" s="192" t="e">
        <f ca="1">(OFFSET(Pinlist!$F$1,BC1910,0)-$BO$16)*$BO$19</f>
        <v>#N/A</v>
      </c>
      <c r="BG1910" s="1098" t="str">
        <f ca="1">IF(LEFT(BD1910,2)="RF",OFFSET(Pinlist!$D$1,Chart!BC1910,0)&amp;"_"&amp;OFFSET(Pinlist!$G$1,Chart!BC1910,0),"")</f>
        <v/>
      </c>
      <c r="BH1910" s="1098"/>
      <c r="BI1910" s="178"/>
      <c r="BJ1910" s="178"/>
      <c r="BK1910" s="178"/>
      <c r="BL1910" s="178"/>
      <c r="BM1910" s="178"/>
      <c r="BN1910" s="178"/>
      <c r="BO1910" s="178"/>
      <c r="BP1910" s="178"/>
      <c r="BQ1910" s="196"/>
      <c r="BR1910" s="196"/>
      <c r="BS1910" s="196"/>
      <c r="BT1910" s="196"/>
      <c r="BU1910" s="196"/>
      <c r="BV1910" s="196"/>
      <c r="BW1910" s="178"/>
      <c r="BX1910" s="196"/>
      <c r="BY1910" s="196"/>
      <c r="BZ1910" s="196"/>
      <c r="CA1910" s="196"/>
      <c r="CB1910" s="178"/>
      <c r="CC1910" s="178"/>
      <c r="CD1910" s="202"/>
      <c r="CE1910" s="202"/>
      <c r="CF1910" s="178"/>
      <c r="CG1910" s="196"/>
      <c r="CH1910" s="178"/>
      <c r="CI1910" s="178"/>
      <c r="CJ1910" s="178"/>
      <c r="CK1910" s="178"/>
      <c r="CL1910" s="178"/>
      <c r="CM1910" s="178"/>
      <c r="CN1910" s="178"/>
      <c r="CO1910" s="178"/>
      <c r="CP1910" s="178"/>
      <c r="CQ1910" s="178"/>
      <c r="CR1910" s="178"/>
      <c r="CS1910" s="178"/>
      <c r="CT1910" s="178"/>
      <c r="CU1910" s="178"/>
      <c r="CV1910" s="178"/>
      <c r="CW1910" s="178"/>
      <c r="CX1910" s="178"/>
      <c r="CY1910" s="178"/>
      <c r="CZ1910" s="178"/>
      <c r="DA1910" s="150"/>
    </row>
    <row r="1911" spans="53:105" x14ac:dyDescent="0.2">
      <c r="BA1911" s="518">
        <f t="shared" ca="1" si="100"/>
        <v>61</v>
      </c>
      <c r="BB1911" s="174">
        <f t="shared" ca="1" si="101"/>
        <v>1848</v>
      </c>
      <c r="BC1911" s="525" t="e">
        <f ca="1">MATCH(BD1911,OFFSET(Pinlist!$A$2,BC1910*(BA1911=BA1910),0,$BM$23,1),0)+BC1910*(BA1911=BA1910)</f>
        <v>#N/A</v>
      </c>
      <c r="BD1911" s="167">
        <f t="shared" ca="1" si="102"/>
        <v>0</v>
      </c>
      <c r="BE1911" s="191" t="e">
        <f ca="1">(OFFSET(Pinlist!$E$1,BC1911,0)-$BN$16)*$BN$19</f>
        <v>#N/A</v>
      </c>
      <c r="BF1911" s="192" t="e">
        <f ca="1">(OFFSET(Pinlist!$F$1,BC1911,0)-$BO$16)*$BO$19</f>
        <v>#N/A</v>
      </c>
      <c r="BG1911" s="1098" t="str">
        <f ca="1">IF(LEFT(BD1911,2)="RF",OFFSET(Pinlist!$D$1,Chart!BC1911,0)&amp;"_"&amp;OFFSET(Pinlist!$G$1,Chart!BC1911,0),"")</f>
        <v/>
      </c>
      <c r="BH1911" s="1098"/>
      <c r="BI1911" s="178"/>
      <c r="BJ1911" s="178"/>
      <c r="BK1911" s="178"/>
      <c r="BL1911" s="178"/>
      <c r="BM1911" s="178"/>
      <c r="BN1911" s="178"/>
      <c r="BO1911" s="178"/>
      <c r="BP1911" s="178"/>
      <c r="BQ1911" s="196"/>
      <c r="BR1911" s="196"/>
      <c r="BS1911" s="196"/>
      <c r="BT1911" s="196"/>
      <c r="BU1911" s="196"/>
      <c r="BV1911" s="196"/>
      <c r="BW1911" s="178"/>
      <c r="BX1911" s="196"/>
      <c r="BY1911" s="196"/>
      <c r="BZ1911" s="196"/>
      <c r="CA1911" s="196"/>
      <c r="CB1911" s="178"/>
      <c r="CC1911" s="178"/>
      <c r="CD1911" s="202"/>
      <c r="CE1911" s="202"/>
      <c r="CF1911" s="178"/>
      <c r="CG1911" s="196"/>
      <c r="CH1911" s="178"/>
      <c r="CI1911" s="178"/>
      <c r="CJ1911" s="178"/>
      <c r="CK1911" s="178"/>
      <c r="CL1911" s="178"/>
      <c r="CM1911" s="178"/>
      <c r="CN1911" s="178"/>
      <c r="CO1911" s="178"/>
      <c r="CP1911" s="178"/>
      <c r="CQ1911" s="178"/>
      <c r="CR1911" s="178"/>
      <c r="CS1911" s="178"/>
      <c r="CT1911" s="178"/>
      <c r="CU1911" s="178"/>
      <c r="CV1911" s="178"/>
      <c r="CW1911" s="178"/>
      <c r="CX1911" s="178"/>
      <c r="CY1911" s="178"/>
      <c r="CZ1911" s="178"/>
      <c r="DA1911" s="150"/>
    </row>
    <row r="1912" spans="53:105" x14ac:dyDescent="0.2">
      <c r="BA1912" s="518">
        <f t="shared" ca="1" si="100"/>
        <v>61</v>
      </c>
      <c r="BB1912" s="174">
        <f t="shared" ca="1" si="101"/>
        <v>1849</v>
      </c>
      <c r="BC1912" s="525" t="e">
        <f ca="1">MATCH(BD1912,OFFSET(Pinlist!$A$2,BC1911*(BA1912=BA1911),0,$BM$23,1),0)+BC1911*(BA1912=BA1911)</f>
        <v>#N/A</v>
      </c>
      <c r="BD1912" s="167">
        <f t="shared" ca="1" si="102"/>
        <v>0</v>
      </c>
      <c r="BE1912" s="191" t="e">
        <f ca="1">(OFFSET(Pinlist!$E$1,BC1912,0)-$BN$16)*$BN$19</f>
        <v>#N/A</v>
      </c>
      <c r="BF1912" s="192" t="e">
        <f ca="1">(OFFSET(Pinlist!$F$1,BC1912,0)-$BO$16)*$BO$19</f>
        <v>#N/A</v>
      </c>
      <c r="BG1912" s="1098" t="str">
        <f ca="1">IF(LEFT(BD1912,2)="RF",OFFSET(Pinlist!$D$1,Chart!BC1912,0)&amp;"_"&amp;OFFSET(Pinlist!$G$1,Chart!BC1912,0),"")</f>
        <v/>
      </c>
      <c r="BH1912" s="1098"/>
      <c r="BI1912" s="178"/>
      <c r="BJ1912" s="178"/>
      <c r="BK1912" s="178"/>
      <c r="BL1912" s="178"/>
      <c r="BM1912" s="178"/>
      <c r="BN1912" s="178"/>
      <c r="BO1912" s="178"/>
      <c r="BP1912" s="178"/>
      <c r="BQ1912" s="196"/>
      <c r="BR1912" s="196"/>
      <c r="BS1912" s="196"/>
      <c r="BT1912" s="196"/>
      <c r="BU1912" s="196"/>
      <c r="BV1912" s="196"/>
      <c r="BW1912" s="178"/>
      <c r="BX1912" s="196"/>
      <c r="BY1912" s="196"/>
      <c r="BZ1912" s="196"/>
      <c r="CA1912" s="196"/>
      <c r="CB1912" s="178"/>
      <c r="CC1912" s="178"/>
      <c r="CD1912" s="202"/>
      <c r="CE1912" s="202"/>
      <c r="CF1912" s="178"/>
      <c r="CG1912" s="196"/>
      <c r="CH1912" s="178"/>
      <c r="CI1912" s="178"/>
      <c r="CJ1912" s="178"/>
      <c r="CK1912" s="178"/>
      <c r="CL1912" s="178"/>
      <c r="CM1912" s="178"/>
      <c r="CN1912" s="178"/>
      <c r="CO1912" s="178"/>
      <c r="CP1912" s="178"/>
      <c r="CQ1912" s="178"/>
      <c r="CR1912" s="178"/>
      <c r="CS1912" s="178"/>
      <c r="CT1912" s="178"/>
      <c r="CU1912" s="178"/>
      <c r="CV1912" s="178"/>
      <c r="CW1912" s="178"/>
      <c r="CX1912" s="178"/>
      <c r="CY1912" s="178"/>
      <c r="CZ1912" s="178"/>
      <c r="DA1912" s="150"/>
    </row>
    <row r="1913" spans="53:105" x14ac:dyDescent="0.2">
      <c r="BA1913" s="518">
        <f t="shared" ca="1" si="100"/>
        <v>61</v>
      </c>
      <c r="BB1913" s="174">
        <f t="shared" ca="1" si="101"/>
        <v>1850</v>
      </c>
      <c r="BC1913" s="525" t="e">
        <f ca="1">MATCH(BD1913,OFFSET(Pinlist!$A$2,BC1912*(BA1913=BA1912),0,$BM$23,1),0)+BC1912*(BA1913=BA1912)</f>
        <v>#N/A</v>
      </c>
      <c r="BD1913" s="167">
        <f t="shared" ca="1" si="102"/>
        <v>0</v>
      </c>
      <c r="BE1913" s="191" t="e">
        <f ca="1">(OFFSET(Pinlist!$E$1,BC1913,0)-$BN$16)*$BN$19</f>
        <v>#N/A</v>
      </c>
      <c r="BF1913" s="192" t="e">
        <f ca="1">(OFFSET(Pinlist!$F$1,BC1913,0)-$BO$16)*$BO$19</f>
        <v>#N/A</v>
      </c>
      <c r="BG1913" s="1098" t="str">
        <f ca="1">IF(LEFT(BD1913,2)="RF",OFFSET(Pinlist!$D$1,Chart!BC1913,0)&amp;"_"&amp;OFFSET(Pinlist!$G$1,Chart!BC1913,0),"")</f>
        <v/>
      </c>
      <c r="BH1913" s="1098"/>
      <c r="BI1913" s="178"/>
      <c r="BJ1913" s="178"/>
      <c r="BK1913" s="178"/>
      <c r="BL1913" s="178"/>
      <c r="BM1913" s="178"/>
      <c r="BN1913" s="178"/>
      <c r="BO1913" s="178"/>
      <c r="BP1913" s="178"/>
      <c r="BQ1913" s="196"/>
      <c r="BR1913" s="196"/>
      <c r="BS1913" s="196"/>
      <c r="BT1913" s="196"/>
      <c r="BU1913" s="196"/>
      <c r="BV1913" s="196"/>
      <c r="BW1913" s="178"/>
      <c r="BX1913" s="196"/>
      <c r="BY1913" s="196"/>
      <c r="BZ1913" s="196"/>
      <c r="CA1913" s="196"/>
      <c r="CB1913" s="178"/>
      <c r="CC1913" s="178"/>
      <c r="CD1913" s="202"/>
      <c r="CE1913" s="202"/>
      <c r="CF1913" s="178"/>
      <c r="CG1913" s="196"/>
      <c r="CH1913" s="178"/>
      <c r="CI1913" s="178"/>
      <c r="CJ1913" s="178"/>
      <c r="CK1913" s="178"/>
      <c r="CL1913" s="178"/>
      <c r="CM1913" s="178"/>
      <c r="CN1913" s="178"/>
      <c r="CO1913" s="178"/>
      <c r="CP1913" s="178"/>
      <c r="CQ1913" s="178"/>
      <c r="CR1913" s="178"/>
      <c r="CS1913" s="178"/>
      <c r="CT1913" s="178"/>
      <c r="CU1913" s="178"/>
      <c r="CV1913" s="178"/>
      <c r="CW1913" s="178"/>
      <c r="CX1913" s="178"/>
      <c r="CY1913" s="178"/>
      <c r="CZ1913" s="178"/>
      <c r="DA1913" s="150"/>
    </row>
    <row r="1914" spans="53:105" x14ac:dyDescent="0.2">
      <c r="BA1914" s="518">
        <f t="shared" ca="1" si="100"/>
        <v>61</v>
      </c>
      <c r="BB1914" s="174">
        <f t="shared" ca="1" si="101"/>
        <v>1851</v>
      </c>
      <c r="BC1914" s="525" t="e">
        <f ca="1">MATCH(BD1914,OFFSET(Pinlist!$A$2,BC1913*(BA1914=BA1913),0,$BM$23,1),0)+BC1913*(BA1914=BA1913)</f>
        <v>#N/A</v>
      </c>
      <c r="BD1914" s="167">
        <f t="shared" ca="1" si="102"/>
        <v>0</v>
      </c>
      <c r="BE1914" s="191" t="e">
        <f ca="1">(OFFSET(Pinlist!$E$1,BC1914,0)-$BN$16)*$BN$19</f>
        <v>#N/A</v>
      </c>
      <c r="BF1914" s="192" t="e">
        <f ca="1">(OFFSET(Pinlist!$F$1,BC1914,0)-$BO$16)*$BO$19</f>
        <v>#N/A</v>
      </c>
      <c r="BG1914" s="1098" t="str">
        <f ca="1">IF(LEFT(BD1914,2)="RF",OFFSET(Pinlist!$D$1,Chart!BC1914,0)&amp;"_"&amp;OFFSET(Pinlist!$G$1,Chart!BC1914,0),"")</f>
        <v/>
      </c>
      <c r="BH1914" s="1098"/>
      <c r="BI1914" s="178"/>
      <c r="BJ1914" s="178"/>
      <c r="BK1914" s="178"/>
      <c r="BL1914" s="178"/>
      <c r="BM1914" s="178"/>
      <c r="BN1914" s="178"/>
      <c r="BO1914" s="178"/>
      <c r="BP1914" s="178"/>
      <c r="BQ1914" s="196"/>
      <c r="BR1914" s="196"/>
      <c r="BS1914" s="196"/>
      <c r="BT1914" s="196"/>
      <c r="BU1914" s="196"/>
      <c r="BV1914" s="196"/>
      <c r="BW1914" s="178"/>
      <c r="BX1914" s="196"/>
      <c r="BY1914" s="196"/>
      <c r="BZ1914" s="196"/>
      <c r="CA1914" s="196"/>
      <c r="CB1914" s="178"/>
      <c r="CC1914" s="178"/>
      <c r="CD1914" s="202"/>
      <c r="CE1914" s="202"/>
      <c r="CF1914" s="178"/>
      <c r="CG1914" s="196"/>
      <c r="CH1914" s="178"/>
      <c r="CI1914" s="178"/>
      <c r="CJ1914" s="178"/>
      <c r="CK1914" s="178"/>
      <c r="CL1914" s="178"/>
      <c r="CM1914" s="178"/>
      <c r="CN1914" s="178"/>
      <c r="CO1914" s="178"/>
      <c r="CP1914" s="178"/>
      <c r="CQ1914" s="178"/>
      <c r="CR1914" s="178"/>
      <c r="CS1914" s="178"/>
      <c r="CT1914" s="178"/>
      <c r="CU1914" s="178"/>
      <c r="CV1914" s="178"/>
      <c r="CW1914" s="178"/>
      <c r="CX1914" s="178"/>
      <c r="CY1914" s="178"/>
      <c r="CZ1914" s="178"/>
      <c r="DA1914" s="150"/>
    </row>
    <row r="1915" spans="53:105" x14ac:dyDescent="0.2">
      <c r="BA1915" s="518">
        <f t="shared" ca="1" si="100"/>
        <v>61</v>
      </c>
      <c r="BB1915" s="174">
        <f t="shared" ca="1" si="101"/>
        <v>1852</v>
      </c>
      <c r="BC1915" s="525" t="e">
        <f ca="1">MATCH(BD1915,OFFSET(Pinlist!$A$2,BC1914*(BA1915=BA1914),0,$BM$23,1),0)+BC1914*(BA1915=BA1914)</f>
        <v>#N/A</v>
      </c>
      <c r="BD1915" s="167">
        <f t="shared" ca="1" si="102"/>
        <v>0</v>
      </c>
      <c r="BE1915" s="191" t="e">
        <f ca="1">(OFFSET(Pinlist!$E$1,BC1915,0)-$BN$16)*$BN$19</f>
        <v>#N/A</v>
      </c>
      <c r="BF1915" s="192" t="e">
        <f ca="1">(OFFSET(Pinlist!$F$1,BC1915,0)-$BO$16)*$BO$19</f>
        <v>#N/A</v>
      </c>
      <c r="BG1915" s="1098" t="str">
        <f ca="1">IF(LEFT(BD1915,2)="RF",OFFSET(Pinlist!$D$1,Chart!BC1915,0)&amp;"_"&amp;OFFSET(Pinlist!$G$1,Chart!BC1915,0),"")</f>
        <v/>
      </c>
      <c r="BH1915" s="1098"/>
      <c r="BI1915" s="178"/>
      <c r="BJ1915" s="178"/>
      <c r="BK1915" s="178"/>
      <c r="BL1915" s="178"/>
      <c r="BM1915" s="178"/>
      <c r="BN1915" s="178"/>
      <c r="BO1915" s="178"/>
      <c r="BP1915" s="178"/>
      <c r="BQ1915" s="196"/>
      <c r="BR1915" s="196"/>
      <c r="BS1915" s="196"/>
      <c r="BT1915" s="196"/>
      <c r="BU1915" s="196"/>
      <c r="BV1915" s="196"/>
      <c r="BW1915" s="178"/>
      <c r="BX1915" s="196"/>
      <c r="BY1915" s="196"/>
      <c r="BZ1915" s="196"/>
      <c r="CA1915" s="196"/>
      <c r="CB1915" s="178"/>
      <c r="CC1915" s="178"/>
      <c r="CD1915" s="202"/>
      <c r="CE1915" s="202"/>
      <c r="CF1915" s="178"/>
      <c r="CG1915" s="196"/>
      <c r="CH1915" s="178"/>
      <c r="CI1915" s="178"/>
      <c r="CJ1915" s="178"/>
      <c r="CK1915" s="178"/>
      <c r="CL1915" s="178"/>
      <c r="CM1915" s="178"/>
      <c r="CN1915" s="178"/>
      <c r="CO1915" s="178"/>
      <c r="CP1915" s="178"/>
      <c r="CQ1915" s="178"/>
      <c r="CR1915" s="178"/>
      <c r="CS1915" s="178"/>
      <c r="CT1915" s="178"/>
      <c r="CU1915" s="178"/>
      <c r="CV1915" s="178"/>
      <c r="CW1915" s="178"/>
      <c r="CX1915" s="178"/>
      <c r="CY1915" s="178"/>
      <c r="CZ1915" s="178"/>
      <c r="DA1915" s="150"/>
    </row>
    <row r="1916" spans="53:105" x14ac:dyDescent="0.2">
      <c r="BA1916" s="518">
        <f t="shared" ca="1" si="100"/>
        <v>61</v>
      </c>
      <c r="BB1916" s="174">
        <f t="shared" ca="1" si="101"/>
        <v>1853</v>
      </c>
      <c r="BC1916" s="525" t="e">
        <f ca="1">MATCH(BD1916,OFFSET(Pinlist!$A$2,BC1915*(BA1916=BA1915),0,$BM$23,1),0)+BC1915*(BA1916=BA1915)</f>
        <v>#N/A</v>
      </c>
      <c r="BD1916" s="167">
        <f t="shared" ca="1" si="102"/>
        <v>0</v>
      </c>
      <c r="BE1916" s="191" t="e">
        <f ca="1">(OFFSET(Pinlist!$E$1,BC1916,0)-$BN$16)*$BN$19</f>
        <v>#N/A</v>
      </c>
      <c r="BF1916" s="192" t="e">
        <f ca="1">(OFFSET(Pinlist!$F$1,BC1916,0)-$BO$16)*$BO$19</f>
        <v>#N/A</v>
      </c>
      <c r="BG1916" s="1098" t="str">
        <f ca="1">IF(LEFT(BD1916,2)="RF",OFFSET(Pinlist!$D$1,Chart!BC1916,0)&amp;"_"&amp;OFFSET(Pinlist!$G$1,Chart!BC1916,0),"")</f>
        <v/>
      </c>
      <c r="BH1916" s="1098"/>
      <c r="BI1916" s="178"/>
      <c r="BJ1916" s="178"/>
      <c r="BK1916" s="178"/>
      <c r="BL1916" s="178"/>
      <c r="BM1916" s="178"/>
      <c r="BN1916" s="178"/>
      <c r="BO1916" s="178"/>
      <c r="BP1916" s="178"/>
      <c r="BQ1916" s="196"/>
      <c r="BR1916" s="196"/>
      <c r="BS1916" s="196"/>
      <c r="BT1916" s="196"/>
      <c r="BU1916" s="196"/>
      <c r="BV1916" s="196"/>
      <c r="BW1916" s="178"/>
      <c r="BX1916" s="196"/>
      <c r="BY1916" s="196"/>
      <c r="BZ1916" s="196"/>
      <c r="CA1916" s="196"/>
      <c r="CB1916" s="178"/>
      <c r="CC1916" s="178"/>
      <c r="CD1916" s="202"/>
      <c r="CE1916" s="202"/>
      <c r="CF1916" s="178"/>
      <c r="CG1916" s="196"/>
      <c r="CH1916" s="178"/>
      <c r="CI1916" s="178"/>
      <c r="CJ1916" s="178"/>
      <c r="CK1916" s="178"/>
      <c r="CL1916" s="178"/>
      <c r="CM1916" s="178"/>
      <c r="CN1916" s="178"/>
      <c r="CO1916" s="178"/>
      <c r="CP1916" s="178"/>
      <c r="CQ1916" s="178"/>
      <c r="CR1916" s="178"/>
      <c r="CS1916" s="178"/>
      <c r="CT1916" s="178"/>
      <c r="CU1916" s="178"/>
      <c r="CV1916" s="178"/>
      <c r="CW1916" s="178"/>
      <c r="CX1916" s="178"/>
      <c r="CY1916" s="178"/>
      <c r="CZ1916" s="178"/>
      <c r="DA1916" s="150"/>
    </row>
    <row r="1917" spans="53:105" x14ac:dyDescent="0.2">
      <c r="BA1917" s="518">
        <f t="shared" ca="1" si="100"/>
        <v>61</v>
      </c>
      <c r="BB1917" s="174">
        <f t="shared" ca="1" si="101"/>
        <v>1854</v>
      </c>
      <c r="BC1917" s="525" t="e">
        <f ca="1">MATCH(BD1917,OFFSET(Pinlist!$A$2,BC1916*(BA1917=BA1916),0,$BM$23,1),0)+BC1916*(BA1917=BA1916)</f>
        <v>#N/A</v>
      </c>
      <c r="BD1917" s="167">
        <f t="shared" ca="1" si="102"/>
        <v>0</v>
      </c>
      <c r="BE1917" s="191" t="e">
        <f ca="1">(OFFSET(Pinlist!$E$1,BC1917,0)-$BN$16)*$BN$19</f>
        <v>#N/A</v>
      </c>
      <c r="BF1917" s="192" t="e">
        <f ca="1">(OFFSET(Pinlist!$F$1,BC1917,0)-$BO$16)*$BO$19</f>
        <v>#N/A</v>
      </c>
      <c r="BG1917" s="1098" t="str">
        <f ca="1">IF(LEFT(BD1917,2)="RF",OFFSET(Pinlist!$D$1,Chart!BC1917,0)&amp;"_"&amp;OFFSET(Pinlist!$G$1,Chart!BC1917,0),"")</f>
        <v/>
      </c>
      <c r="BH1917" s="1098"/>
      <c r="BI1917" s="178"/>
      <c r="BJ1917" s="178"/>
      <c r="BK1917" s="178"/>
      <c r="BL1917" s="178"/>
      <c r="BM1917" s="178"/>
      <c r="BN1917" s="178"/>
      <c r="BO1917" s="178"/>
      <c r="BP1917" s="178"/>
      <c r="BQ1917" s="196"/>
      <c r="BR1917" s="196"/>
      <c r="BS1917" s="196"/>
      <c r="BT1917" s="196"/>
      <c r="BU1917" s="196"/>
      <c r="BV1917" s="196"/>
      <c r="BW1917" s="178"/>
      <c r="BX1917" s="196"/>
      <c r="BY1917" s="196"/>
      <c r="BZ1917" s="196"/>
      <c r="CA1917" s="196"/>
      <c r="CB1917" s="178"/>
      <c r="CC1917" s="178"/>
      <c r="CD1917" s="202"/>
      <c r="CE1917" s="202"/>
      <c r="CF1917" s="178"/>
      <c r="CG1917" s="196"/>
      <c r="CH1917" s="178"/>
      <c r="CI1917" s="178"/>
      <c r="CJ1917" s="178"/>
      <c r="CK1917" s="178"/>
      <c r="CL1917" s="178"/>
      <c r="CM1917" s="178"/>
      <c r="CN1917" s="178"/>
      <c r="CO1917" s="178"/>
      <c r="CP1917" s="178"/>
      <c r="CQ1917" s="178"/>
      <c r="CR1917" s="178"/>
      <c r="CS1917" s="178"/>
      <c r="CT1917" s="178"/>
      <c r="CU1917" s="178"/>
      <c r="CV1917" s="178"/>
      <c r="CW1917" s="178"/>
      <c r="CX1917" s="178"/>
      <c r="CY1917" s="178"/>
      <c r="CZ1917" s="178"/>
      <c r="DA1917" s="150"/>
    </row>
    <row r="1918" spans="53:105" x14ac:dyDescent="0.2">
      <c r="BA1918" s="518">
        <f t="shared" ca="1" si="100"/>
        <v>61</v>
      </c>
      <c r="BB1918" s="174">
        <f t="shared" ca="1" si="101"/>
        <v>1855</v>
      </c>
      <c r="BC1918" s="525" t="e">
        <f ca="1">MATCH(BD1918,OFFSET(Pinlist!$A$2,BC1917*(BA1918=BA1917),0,$BM$23,1),0)+BC1917*(BA1918=BA1917)</f>
        <v>#N/A</v>
      </c>
      <c r="BD1918" s="167">
        <f t="shared" ca="1" si="102"/>
        <v>0</v>
      </c>
      <c r="BE1918" s="191" t="e">
        <f ca="1">(OFFSET(Pinlist!$E$1,BC1918,0)-$BN$16)*$BN$19</f>
        <v>#N/A</v>
      </c>
      <c r="BF1918" s="192" t="e">
        <f ca="1">(OFFSET(Pinlist!$F$1,BC1918,0)-$BO$16)*$BO$19</f>
        <v>#N/A</v>
      </c>
      <c r="BG1918" s="1098" t="str">
        <f ca="1">IF(LEFT(BD1918,2)="RF",OFFSET(Pinlist!$D$1,Chart!BC1918,0)&amp;"_"&amp;OFFSET(Pinlist!$G$1,Chart!BC1918,0),"")</f>
        <v/>
      </c>
      <c r="BH1918" s="1098"/>
      <c r="BI1918" s="178"/>
      <c r="BJ1918" s="178"/>
      <c r="BK1918" s="178"/>
      <c r="BL1918" s="178"/>
      <c r="BM1918" s="178"/>
      <c r="BN1918" s="178"/>
      <c r="BO1918" s="178"/>
      <c r="BP1918" s="178"/>
      <c r="BQ1918" s="196"/>
      <c r="BR1918" s="196"/>
      <c r="BS1918" s="196"/>
      <c r="BT1918" s="196"/>
      <c r="BU1918" s="196"/>
      <c r="BV1918" s="196"/>
      <c r="BW1918" s="178"/>
      <c r="BX1918" s="196"/>
      <c r="BY1918" s="196"/>
      <c r="BZ1918" s="196"/>
      <c r="CA1918" s="196"/>
      <c r="CB1918" s="178"/>
      <c r="CC1918" s="178"/>
      <c r="CD1918" s="202"/>
      <c r="CE1918" s="202"/>
      <c r="CF1918" s="178"/>
      <c r="CG1918" s="196"/>
      <c r="CH1918" s="178"/>
      <c r="CI1918" s="178"/>
      <c r="CJ1918" s="178"/>
      <c r="CK1918" s="178"/>
      <c r="CL1918" s="178"/>
      <c r="CM1918" s="178"/>
      <c r="CN1918" s="178"/>
      <c r="CO1918" s="178"/>
      <c r="CP1918" s="178"/>
      <c r="CQ1918" s="178"/>
      <c r="CR1918" s="178"/>
      <c r="CS1918" s="178"/>
      <c r="CT1918" s="178"/>
      <c r="CU1918" s="178"/>
      <c r="CV1918" s="178"/>
      <c r="CW1918" s="178"/>
      <c r="CX1918" s="178"/>
      <c r="CY1918" s="178"/>
      <c r="CZ1918" s="178"/>
      <c r="DA1918" s="150"/>
    </row>
    <row r="1919" spans="53:105" x14ac:dyDescent="0.2">
      <c r="BA1919" s="518">
        <f t="shared" ca="1" si="100"/>
        <v>61</v>
      </c>
      <c r="BB1919" s="174">
        <f t="shared" ca="1" si="101"/>
        <v>1856</v>
      </c>
      <c r="BC1919" s="525" t="e">
        <f ca="1">MATCH(BD1919,OFFSET(Pinlist!$A$2,BC1918*(BA1919=BA1918),0,$BM$23,1),0)+BC1918*(BA1919=BA1918)</f>
        <v>#N/A</v>
      </c>
      <c r="BD1919" s="167">
        <f t="shared" ca="1" si="102"/>
        <v>0</v>
      </c>
      <c r="BE1919" s="191" t="e">
        <f ca="1">(OFFSET(Pinlist!$E$1,BC1919,0)-$BN$16)*$BN$19</f>
        <v>#N/A</v>
      </c>
      <c r="BF1919" s="192" t="e">
        <f ca="1">(OFFSET(Pinlist!$F$1,BC1919,0)-$BO$16)*$BO$19</f>
        <v>#N/A</v>
      </c>
      <c r="BG1919" s="1098" t="str">
        <f ca="1">IF(LEFT(BD1919,2)="RF",OFFSET(Pinlist!$D$1,Chart!BC1919,0)&amp;"_"&amp;OFFSET(Pinlist!$G$1,Chart!BC1919,0),"")</f>
        <v/>
      </c>
      <c r="BH1919" s="1098"/>
      <c r="BI1919" s="178"/>
      <c r="BJ1919" s="178"/>
      <c r="BK1919" s="178"/>
      <c r="BL1919" s="178"/>
      <c r="BM1919" s="178"/>
      <c r="BN1919" s="178"/>
      <c r="BO1919" s="178"/>
      <c r="BP1919" s="178"/>
      <c r="BQ1919" s="196"/>
      <c r="BR1919" s="196"/>
      <c r="BS1919" s="196"/>
      <c r="BT1919" s="196"/>
      <c r="BU1919" s="196"/>
      <c r="BV1919" s="196"/>
      <c r="BW1919" s="178"/>
      <c r="BX1919" s="196"/>
      <c r="BY1919" s="196"/>
      <c r="BZ1919" s="196"/>
      <c r="CA1919" s="196"/>
      <c r="CB1919" s="178"/>
      <c r="CC1919" s="178"/>
      <c r="CD1919" s="202"/>
      <c r="CE1919" s="202"/>
      <c r="CF1919" s="178"/>
      <c r="CG1919" s="196"/>
      <c r="CH1919" s="178"/>
      <c r="CI1919" s="178"/>
      <c r="CJ1919" s="178"/>
      <c r="CK1919" s="178"/>
      <c r="CL1919" s="178"/>
      <c r="CM1919" s="178"/>
      <c r="CN1919" s="178"/>
      <c r="CO1919" s="178"/>
      <c r="CP1919" s="178"/>
      <c r="CQ1919" s="178"/>
      <c r="CR1919" s="178"/>
      <c r="CS1919" s="178"/>
      <c r="CT1919" s="178"/>
      <c r="CU1919" s="178"/>
      <c r="CV1919" s="178"/>
      <c r="CW1919" s="178"/>
      <c r="CX1919" s="178"/>
      <c r="CY1919" s="178"/>
      <c r="CZ1919" s="178"/>
      <c r="DA1919" s="150"/>
    </row>
    <row r="1920" spans="53:105" x14ac:dyDescent="0.2">
      <c r="BA1920" s="518">
        <f t="shared" ca="1" si="100"/>
        <v>61</v>
      </c>
      <c r="BB1920" s="174">
        <f t="shared" ca="1" si="101"/>
        <v>1857</v>
      </c>
      <c r="BC1920" s="525" t="e">
        <f ca="1">MATCH(BD1920,OFFSET(Pinlist!$A$2,BC1919*(BA1920=BA1919),0,$BM$23,1),0)+BC1919*(BA1920=BA1919)</f>
        <v>#N/A</v>
      </c>
      <c r="BD1920" s="167">
        <f t="shared" ca="1" si="102"/>
        <v>0</v>
      </c>
      <c r="BE1920" s="191" t="e">
        <f ca="1">(OFFSET(Pinlist!$E$1,BC1920,0)-$BN$16)*$BN$19</f>
        <v>#N/A</v>
      </c>
      <c r="BF1920" s="192" t="e">
        <f ca="1">(OFFSET(Pinlist!$F$1,BC1920,0)-$BO$16)*$BO$19</f>
        <v>#N/A</v>
      </c>
      <c r="BG1920" s="1098" t="str">
        <f ca="1">IF(LEFT(BD1920,2)="RF",OFFSET(Pinlist!$D$1,Chart!BC1920,0)&amp;"_"&amp;OFFSET(Pinlist!$G$1,Chart!BC1920,0),"")</f>
        <v/>
      </c>
      <c r="BH1920" s="1098"/>
      <c r="BI1920" s="178"/>
      <c r="BJ1920" s="178"/>
      <c r="BK1920" s="178"/>
      <c r="BL1920" s="178"/>
      <c r="BM1920" s="178"/>
      <c r="BN1920" s="178"/>
      <c r="BO1920" s="178"/>
      <c r="BP1920" s="178"/>
      <c r="BQ1920" s="196"/>
      <c r="BR1920" s="196"/>
      <c r="BS1920" s="196"/>
      <c r="BT1920" s="196"/>
      <c r="BU1920" s="196"/>
      <c r="BV1920" s="196"/>
      <c r="BW1920" s="178"/>
      <c r="BX1920" s="196"/>
      <c r="BY1920" s="196"/>
      <c r="BZ1920" s="196"/>
      <c r="CA1920" s="196"/>
      <c r="CB1920" s="178"/>
      <c r="CC1920" s="178"/>
      <c r="CD1920" s="202"/>
      <c r="CE1920" s="202"/>
      <c r="CF1920" s="178"/>
      <c r="CG1920" s="196"/>
      <c r="CH1920" s="178"/>
      <c r="CI1920" s="178"/>
      <c r="CJ1920" s="178"/>
      <c r="CK1920" s="178"/>
      <c r="CL1920" s="178"/>
      <c r="CM1920" s="178"/>
      <c r="CN1920" s="178"/>
      <c r="CO1920" s="178"/>
      <c r="CP1920" s="178"/>
      <c r="CQ1920" s="178"/>
      <c r="CR1920" s="178"/>
      <c r="CS1920" s="178"/>
      <c r="CT1920" s="178"/>
      <c r="CU1920" s="178"/>
      <c r="CV1920" s="178"/>
      <c r="CW1920" s="178"/>
      <c r="CX1920" s="178"/>
      <c r="CY1920" s="178"/>
      <c r="CZ1920" s="178"/>
      <c r="DA1920" s="150"/>
    </row>
    <row r="1921" spans="53:105" x14ac:dyDescent="0.2">
      <c r="BA1921" s="518">
        <f t="shared" ca="1" si="100"/>
        <v>61</v>
      </c>
      <c r="BB1921" s="174">
        <f t="shared" ca="1" si="101"/>
        <v>1858</v>
      </c>
      <c r="BC1921" s="525" t="e">
        <f ca="1">MATCH(BD1921,OFFSET(Pinlist!$A$2,BC1920*(BA1921=BA1920),0,$BM$23,1),0)+BC1920*(BA1921=BA1920)</f>
        <v>#N/A</v>
      </c>
      <c r="BD1921" s="167">
        <f t="shared" ca="1" si="102"/>
        <v>0</v>
      </c>
      <c r="BE1921" s="191" t="e">
        <f ca="1">(OFFSET(Pinlist!$E$1,BC1921,0)-$BN$16)*$BN$19</f>
        <v>#N/A</v>
      </c>
      <c r="BF1921" s="192" t="e">
        <f ca="1">(OFFSET(Pinlist!$F$1,BC1921,0)-$BO$16)*$BO$19</f>
        <v>#N/A</v>
      </c>
      <c r="BG1921" s="1098" t="str">
        <f ca="1">IF(LEFT(BD1921,2)="RF",OFFSET(Pinlist!$D$1,Chart!BC1921,0)&amp;"_"&amp;OFFSET(Pinlist!$G$1,Chart!BC1921,0),"")</f>
        <v/>
      </c>
      <c r="BH1921" s="1098"/>
      <c r="BI1921" s="178"/>
      <c r="BJ1921" s="178"/>
      <c r="BK1921" s="178"/>
      <c r="BL1921" s="178"/>
      <c r="BM1921" s="178"/>
      <c r="BN1921" s="178"/>
      <c r="BO1921" s="178"/>
      <c r="BP1921" s="178"/>
      <c r="BQ1921" s="196"/>
      <c r="BR1921" s="196"/>
      <c r="BS1921" s="196"/>
      <c r="BT1921" s="196"/>
      <c r="BU1921" s="196"/>
      <c r="BV1921" s="196"/>
      <c r="BW1921" s="178"/>
      <c r="BX1921" s="196"/>
      <c r="BY1921" s="196"/>
      <c r="BZ1921" s="196"/>
      <c r="CA1921" s="196"/>
      <c r="CB1921" s="178"/>
      <c r="CC1921" s="178"/>
      <c r="CD1921" s="202"/>
      <c r="CE1921" s="202"/>
      <c r="CF1921" s="178"/>
      <c r="CG1921" s="196"/>
      <c r="CH1921" s="178"/>
      <c r="CI1921" s="178"/>
      <c r="CJ1921" s="178"/>
      <c r="CK1921" s="178"/>
      <c r="CL1921" s="178"/>
      <c r="CM1921" s="178"/>
      <c r="CN1921" s="178"/>
      <c r="CO1921" s="178"/>
      <c r="CP1921" s="178"/>
      <c r="CQ1921" s="178"/>
      <c r="CR1921" s="178"/>
      <c r="CS1921" s="178"/>
      <c r="CT1921" s="178"/>
      <c r="CU1921" s="178"/>
      <c r="CV1921" s="178"/>
      <c r="CW1921" s="178"/>
      <c r="CX1921" s="178"/>
      <c r="CY1921" s="178"/>
      <c r="CZ1921" s="178"/>
      <c r="DA1921" s="150"/>
    </row>
    <row r="1922" spans="53:105" x14ac:dyDescent="0.2">
      <c r="BA1922" s="518">
        <f t="shared" ca="1" si="100"/>
        <v>61</v>
      </c>
      <c r="BB1922" s="174">
        <f t="shared" ca="1" si="101"/>
        <v>1859</v>
      </c>
      <c r="BC1922" s="525" t="e">
        <f ca="1">MATCH(BD1922,OFFSET(Pinlist!$A$2,BC1921*(BA1922=BA1921),0,$BM$23,1),0)+BC1921*(BA1922=BA1921)</f>
        <v>#N/A</v>
      </c>
      <c r="BD1922" s="167">
        <f t="shared" ca="1" si="102"/>
        <v>0</v>
      </c>
      <c r="BE1922" s="191" t="e">
        <f ca="1">(OFFSET(Pinlist!$E$1,BC1922,0)-$BN$16)*$BN$19</f>
        <v>#N/A</v>
      </c>
      <c r="BF1922" s="192" t="e">
        <f ca="1">(OFFSET(Pinlist!$F$1,BC1922,0)-$BO$16)*$BO$19</f>
        <v>#N/A</v>
      </c>
      <c r="BG1922" s="1098" t="str">
        <f ca="1">IF(LEFT(BD1922,2)="RF",OFFSET(Pinlist!$D$1,Chart!BC1922,0)&amp;"_"&amp;OFFSET(Pinlist!$G$1,Chart!BC1922,0),"")</f>
        <v/>
      </c>
      <c r="BH1922" s="1098"/>
      <c r="BI1922" s="178"/>
      <c r="BJ1922" s="178"/>
      <c r="BK1922" s="178"/>
      <c r="BL1922" s="178"/>
      <c r="BM1922" s="178"/>
      <c r="BN1922" s="178"/>
      <c r="BO1922" s="178"/>
      <c r="BP1922" s="178"/>
      <c r="BQ1922" s="196"/>
      <c r="BR1922" s="196"/>
      <c r="BS1922" s="196"/>
      <c r="BT1922" s="196"/>
      <c r="BU1922" s="196"/>
      <c r="BV1922" s="196"/>
      <c r="BW1922" s="178"/>
      <c r="BX1922" s="196"/>
      <c r="BY1922" s="196"/>
      <c r="BZ1922" s="196"/>
      <c r="CA1922" s="196"/>
      <c r="CB1922" s="178"/>
      <c r="CC1922" s="178"/>
      <c r="CD1922" s="202"/>
      <c r="CE1922" s="202"/>
      <c r="CF1922" s="178"/>
      <c r="CG1922" s="196"/>
      <c r="CH1922" s="178"/>
      <c r="CI1922" s="178"/>
      <c r="CJ1922" s="178"/>
      <c r="CK1922" s="178"/>
      <c r="CL1922" s="178"/>
      <c r="CM1922" s="178"/>
      <c r="CN1922" s="178"/>
      <c r="CO1922" s="178"/>
      <c r="CP1922" s="178"/>
      <c r="CQ1922" s="178"/>
      <c r="CR1922" s="178"/>
      <c r="CS1922" s="178"/>
      <c r="CT1922" s="178"/>
      <c r="CU1922" s="178"/>
      <c r="CV1922" s="178"/>
      <c r="CW1922" s="178"/>
      <c r="CX1922" s="178"/>
      <c r="CY1922" s="178"/>
      <c r="CZ1922" s="178"/>
      <c r="DA1922" s="150"/>
    </row>
    <row r="1923" spans="53:105" x14ac:dyDescent="0.2">
      <c r="BA1923" s="518">
        <f t="shared" ca="1" si="100"/>
        <v>61</v>
      </c>
      <c r="BB1923" s="174">
        <f t="shared" ca="1" si="101"/>
        <v>1860</v>
      </c>
      <c r="BC1923" s="525" t="e">
        <f ca="1">MATCH(BD1923,OFFSET(Pinlist!$A$2,BC1922*(BA1923=BA1922),0,$BM$23,1),0)+BC1922*(BA1923=BA1922)</f>
        <v>#N/A</v>
      </c>
      <c r="BD1923" s="167">
        <f t="shared" ca="1" si="102"/>
        <v>0</v>
      </c>
      <c r="BE1923" s="191" t="e">
        <f ca="1">(OFFSET(Pinlist!$E$1,BC1923,0)-$BN$16)*$BN$19</f>
        <v>#N/A</v>
      </c>
      <c r="BF1923" s="192" t="e">
        <f ca="1">(OFFSET(Pinlist!$F$1,BC1923,0)-$BO$16)*$BO$19</f>
        <v>#N/A</v>
      </c>
      <c r="BG1923" s="1098" t="str">
        <f ca="1">IF(LEFT(BD1923,2)="RF",OFFSET(Pinlist!$D$1,Chart!BC1923,0)&amp;"_"&amp;OFFSET(Pinlist!$G$1,Chart!BC1923,0),"")</f>
        <v/>
      </c>
      <c r="BH1923" s="1098"/>
      <c r="BI1923" s="178"/>
      <c r="BJ1923" s="178"/>
      <c r="BK1923" s="178"/>
      <c r="BL1923" s="178"/>
      <c r="BM1923" s="178"/>
      <c r="BN1923" s="178"/>
      <c r="BO1923" s="178"/>
      <c r="BP1923" s="178"/>
      <c r="BQ1923" s="196"/>
      <c r="BR1923" s="196"/>
      <c r="BS1923" s="196"/>
      <c r="BT1923" s="196"/>
      <c r="BU1923" s="196"/>
      <c r="BV1923" s="196"/>
      <c r="BW1923" s="178"/>
      <c r="BX1923" s="196"/>
      <c r="BY1923" s="196"/>
      <c r="BZ1923" s="196"/>
      <c r="CA1923" s="196"/>
      <c r="CB1923" s="178"/>
      <c r="CC1923" s="178"/>
      <c r="CD1923" s="202"/>
      <c r="CE1923" s="202"/>
      <c r="CF1923" s="178"/>
      <c r="CG1923" s="196"/>
      <c r="CH1923" s="178"/>
      <c r="CI1923" s="178"/>
      <c r="CJ1923" s="178"/>
      <c r="CK1923" s="178"/>
      <c r="CL1923" s="178"/>
      <c r="CM1923" s="178"/>
      <c r="CN1923" s="178"/>
      <c r="CO1923" s="178"/>
      <c r="CP1923" s="178"/>
      <c r="CQ1923" s="178"/>
      <c r="CR1923" s="178"/>
      <c r="CS1923" s="178"/>
      <c r="CT1923" s="178"/>
      <c r="CU1923" s="178"/>
      <c r="CV1923" s="178"/>
      <c r="CW1923" s="178"/>
      <c r="CX1923" s="178"/>
      <c r="CY1923" s="178"/>
      <c r="CZ1923" s="178"/>
      <c r="DA1923" s="150"/>
    </row>
    <row r="1924" spans="53:105" x14ac:dyDescent="0.2">
      <c r="BA1924" s="518">
        <f t="shared" ref="BA1924:BA1987" ca="1" si="103">BA1923+(BB1923=OFFSET($BZ$3,BA1923,0))</f>
        <v>61</v>
      </c>
      <c r="BB1924" s="174">
        <f t="shared" ref="BB1924:BB1987" ca="1" si="104">IF(BA1924=BA1923,BB1923+1,1)</f>
        <v>1861</v>
      </c>
      <c r="BC1924" s="525" t="e">
        <f ca="1">MATCH(BD1924,OFFSET(Pinlist!$A$2,BC1923*(BA1924=BA1923),0,$BM$23,1),0)+BC1923*(BA1924=BA1923)</f>
        <v>#N/A</v>
      </c>
      <c r="BD1924" s="167">
        <f t="shared" ref="BD1924:BD1987" ca="1" si="105">OFFSET($BY$3,BA1924,0)</f>
        <v>0</v>
      </c>
      <c r="BE1924" s="191" t="e">
        <f ca="1">(OFFSET(Pinlist!$E$1,BC1924,0)-$BN$16)*$BN$19</f>
        <v>#N/A</v>
      </c>
      <c r="BF1924" s="192" t="e">
        <f ca="1">(OFFSET(Pinlist!$F$1,BC1924,0)-$BO$16)*$BO$19</f>
        <v>#N/A</v>
      </c>
      <c r="BG1924" s="1098" t="str">
        <f ca="1">IF(LEFT(BD1924,2)="RF",OFFSET(Pinlist!$D$1,Chart!BC1924,0)&amp;"_"&amp;OFFSET(Pinlist!$G$1,Chart!BC1924,0),"")</f>
        <v/>
      </c>
      <c r="BH1924" s="1098"/>
      <c r="BI1924" s="178"/>
      <c r="BJ1924" s="178"/>
      <c r="BK1924" s="178"/>
      <c r="BL1924" s="178"/>
      <c r="BM1924" s="178"/>
      <c r="BN1924" s="178"/>
      <c r="BO1924" s="178"/>
      <c r="BP1924" s="178"/>
      <c r="BQ1924" s="196"/>
      <c r="BR1924" s="196"/>
      <c r="BS1924" s="196"/>
      <c r="BT1924" s="196"/>
      <c r="BU1924" s="196"/>
      <c r="BV1924" s="196"/>
      <c r="BW1924" s="178"/>
      <c r="BX1924" s="196"/>
      <c r="BY1924" s="196"/>
      <c r="BZ1924" s="196"/>
      <c r="CA1924" s="196"/>
      <c r="CB1924" s="178"/>
      <c r="CC1924" s="178"/>
      <c r="CD1924" s="202"/>
      <c r="CE1924" s="202"/>
      <c r="CF1924" s="178"/>
      <c r="CG1924" s="196"/>
      <c r="CH1924" s="178"/>
      <c r="CI1924" s="178"/>
      <c r="CJ1924" s="178"/>
      <c r="CK1924" s="178"/>
      <c r="CL1924" s="178"/>
      <c r="CM1924" s="178"/>
      <c r="CN1924" s="178"/>
      <c r="CO1924" s="178"/>
      <c r="CP1924" s="178"/>
      <c r="CQ1924" s="178"/>
      <c r="CR1924" s="178"/>
      <c r="CS1924" s="178"/>
      <c r="CT1924" s="178"/>
      <c r="CU1924" s="178"/>
      <c r="CV1924" s="178"/>
      <c r="CW1924" s="178"/>
      <c r="CX1924" s="178"/>
      <c r="CY1924" s="178"/>
      <c r="CZ1924" s="178"/>
      <c r="DA1924" s="150"/>
    </row>
    <row r="1925" spans="53:105" x14ac:dyDescent="0.2">
      <c r="BA1925" s="518">
        <f t="shared" ca="1" si="103"/>
        <v>61</v>
      </c>
      <c r="BB1925" s="174">
        <f t="shared" ca="1" si="104"/>
        <v>1862</v>
      </c>
      <c r="BC1925" s="525" t="e">
        <f ca="1">MATCH(BD1925,OFFSET(Pinlist!$A$2,BC1924*(BA1925=BA1924),0,$BM$23,1),0)+BC1924*(BA1925=BA1924)</f>
        <v>#N/A</v>
      </c>
      <c r="BD1925" s="167">
        <f t="shared" ca="1" si="105"/>
        <v>0</v>
      </c>
      <c r="BE1925" s="191" t="e">
        <f ca="1">(OFFSET(Pinlist!$E$1,BC1925,0)-$BN$16)*$BN$19</f>
        <v>#N/A</v>
      </c>
      <c r="BF1925" s="192" t="e">
        <f ca="1">(OFFSET(Pinlist!$F$1,BC1925,0)-$BO$16)*$BO$19</f>
        <v>#N/A</v>
      </c>
      <c r="BG1925" s="1098" t="str">
        <f ca="1">IF(LEFT(BD1925,2)="RF",OFFSET(Pinlist!$D$1,Chart!BC1925,0)&amp;"_"&amp;OFFSET(Pinlist!$G$1,Chart!BC1925,0),"")</f>
        <v/>
      </c>
      <c r="BH1925" s="1098"/>
      <c r="BI1925" s="178"/>
      <c r="BJ1925" s="178"/>
      <c r="BK1925" s="178"/>
      <c r="BL1925" s="178"/>
      <c r="BM1925" s="178"/>
      <c r="BN1925" s="178"/>
      <c r="BO1925" s="178"/>
      <c r="BP1925" s="178"/>
      <c r="BQ1925" s="196"/>
      <c r="BR1925" s="196"/>
      <c r="BS1925" s="196"/>
      <c r="BT1925" s="196"/>
      <c r="BU1925" s="196"/>
      <c r="BV1925" s="196"/>
      <c r="BW1925" s="178"/>
      <c r="BX1925" s="196"/>
      <c r="BY1925" s="196"/>
      <c r="BZ1925" s="196"/>
      <c r="CA1925" s="196"/>
      <c r="CB1925" s="178"/>
      <c r="CC1925" s="178"/>
      <c r="CD1925" s="202"/>
      <c r="CE1925" s="202"/>
      <c r="CF1925" s="178"/>
      <c r="CG1925" s="196"/>
      <c r="CH1925" s="178"/>
      <c r="CI1925" s="178"/>
      <c r="CJ1925" s="178"/>
      <c r="CK1925" s="178"/>
      <c r="CL1925" s="178"/>
      <c r="CM1925" s="178"/>
      <c r="CN1925" s="178"/>
      <c r="CO1925" s="178"/>
      <c r="CP1925" s="178"/>
      <c r="CQ1925" s="178"/>
      <c r="CR1925" s="178"/>
      <c r="CS1925" s="178"/>
      <c r="CT1925" s="178"/>
      <c r="CU1925" s="178"/>
      <c r="CV1925" s="178"/>
      <c r="CW1925" s="178"/>
      <c r="CX1925" s="178"/>
      <c r="CY1925" s="178"/>
      <c r="CZ1925" s="178"/>
      <c r="DA1925" s="150"/>
    </row>
    <row r="1926" spans="53:105" x14ac:dyDescent="0.2">
      <c r="BA1926" s="518">
        <f t="shared" ca="1" si="103"/>
        <v>61</v>
      </c>
      <c r="BB1926" s="174">
        <f t="shared" ca="1" si="104"/>
        <v>1863</v>
      </c>
      <c r="BC1926" s="525" t="e">
        <f ca="1">MATCH(BD1926,OFFSET(Pinlist!$A$2,BC1925*(BA1926=BA1925),0,$BM$23,1),0)+BC1925*(BA1926=BA1925)</f>
        <v>#N/A</v>
      </c>
      <c r="BD1926" s="167">
        <f t="shared" ca="1" si="105"/>
        <v>0</v>
      </c>
      <c r="BE1926" s="191" t="e">
        <f ca="1">(OFFSET(Pinlist!$E$1,BC1926,0)-$BN$16)*$BN$19</f>
        <v>#N/A</v>
      </c>
      <c r="BF1926" s="192" t="e">
        <f ca="1">(OFFSET(Pinlist!$F$1,BC1926,0)-$BO$16)*$BO$19</f>
        <v>#N/A</v>
      </c>
      <c r="BG1926" s="1098" t="str">
        <f ca="1">IF(LEFT(BD1926,2)="RF",OFFSET(Pinlist!$D$1,Chart!BC1926,0)&amp;"_"&amp;OFFSET(Pinlist!$G$1,Chart!BC1926,0),"")</f>
        <v/>
      </c>
      <c r="BH1926" s="1098"/>
      <c r="BI1926" s="178"/>
      <c r="BJ1926" s="178"/>
      <c r="BK1926" s="178"/>
      <c r="BL1926" s="178"/>
      <c r="BM1926" s="178"/>
      <c r="BN1926" s="178"/>
      <c r="BO1926" s="178"/>
      <c r="BP1926" s="178"/>
      <c r="BQ1926" s="196"/>
      <c r="BR1926" s="196"/>
      <c r="BS1926" s="196"/>
      <c r="BT1926" s="196"/>
      <c r="BU1926" s="196"/>
      <c r="BV1926" s="196"/>
      <c r="BW1926" s="178"/>
      <c r="BX1926" s="196"/>
      <c r="BY1926" s="196"/>
      <c r="BZ1926" s="196"/>
      <c r="CA1926" s="196"/>
      <c r="CB1926" s="178"/>
      <c r="CC1926" s="178"/>
      <c r="CD1926" s="202"/>
      <c r="CE1926" s="202"/>
      <c r="CF1926" s="178"/>
      <c r="CG1926" s="196"/>
      <c r="CH1926" s="178"/>
      <c r="CI1926" s="178"/>
      <c r="CJ1926" s="178"/>
      <c r="CK1926" s="178"/>
      <c r="CL1926" s="178"/>
      <c r="CM1926" s="178"/>
      <c r="CN1926" s="178"/>
      <c r="CO1926" s="178"/>
      <c r="CP1926" s="178"/>
      <c r="CQ1926" s="178"/>
      <c r="CR1926" s="178"/>
      <c r="CS1926" s="178"/>
      <c r="CT1926" s="178"/>
      <c r="CU1926" s="178"/>
      <c r="CV1926" s="178"/>
      <c r="CW1926" s="178"/>
      <c r="CX1926" s="178"/>
      <c r="CY1926" s="178"/>
      <c r="CZ1926" s="178"/>
      <c r="DA1926" s="150"/>
    </row>
    <row r="1927" spans="53:105" x14ac:dyDescent="0.2">
      <c r="BA1927" s="518">
        <f t="shared" ca="1" si="103"/>
        <v>61</v>
      </c>
      <c r="BB1927" s="174">
        <f t="shared" ca="1" si="104"/>
        <v>1864</v>
      </c>
      <c r="BC1927" s="525" t="e">
        <f ca="1">MATCH(BD1927,OFFSET(Pinlist!$A$2,BC1926*(BA1927=BA1926),0,$BM$23,1),0)+BC1926*(BA1927=BA1926)</f>
        <v>#N/A</v>
      </c>
      <c r="BD1927" s="167">
        <f t="shared" ca="1" si="105"/>
        <v>0</v>
      </c>
      <c r="BE1927" s="191" t="e">
        <f ca="1">(OFFSET(Pinlist!$E$1,BC1927,0)-$BN$16)*$BN$19</f>
        <v>#N/A</v>
      </c>
      <c r="BF1927" s="192" t="e">
        <f ca="1">(OFFSET(Pinlist!$F$1,BC1927,0)-$BO$16)*$BO$19</f>
        <v>#N/A</v>
      </c>
      <c r="BG1927" s="1098" t="str">
        <f ca="1">IF(LEFT(BD1927,2)="RF",OFFSET(Pinlist!$D$1,Chart!BC1927,0)&amp;"_"&amp;OFFSET(Pinlist!$G$1,Chart!BC1927,0),"")</f>
        <v/>
      </c>
      <c r="BH1927" s="1098"/>
      <c r="BI1927" s="178"/>
      <c r="BJ1927" s="178"/>
      <c r="BK1927" s="178"/>
      <c r="BL1927" s="178"/>
      <c r="BM1927" s="178"/>
      <c r="BN1927" s="178"/>
      <c r="BO1927" s="178"/>
      <c r="BP1927" s="178"/>
      <c r="BQ1927" s="196"/>
      <c r="BR1927" s="196"/>
      <c r="BS1927" s="196"/>
      <c r="BT1927" s="196"/>
      <c r="BU1927" s="196"/>
      <c r="BV1927" s="196"/>
      <c r="BW1927" s="178"/>
      <c r="BX1927" s="196"/>
      <c r="BY1927" s="196"/>
      <c r="BZ1927" s="196"/>
      <c r="CA1927" s="196"/>
      <c r="CB1927" s="178"/>
      <c r="CC1927" s="178"/>
      <c r="CD1927" s="202"/>
      <c r="CE1927" s="202"/>
      <c r="CF1927" s="178"/>
      <c r="CG1927" s="196"/>
      <c r="CH1927" s="178"/>
      <c r="CI1927" s="178"/>
      <c r="CJ1927" s="178"/>
      <c r="CK1927" s="178"/>
      <c r="CL1927" s="178"/>
      <c r="CM1927" s="178"/>
      <c r="CN1927" s="178"/>
      <c r="CO1927" s="178"/>
      <c r="CP1927" s="178"/>
      <c r="CQ1927" s="178"/>
      <c r="CR1927" s="178"/>
      <c r="CS1927" s="178"/>
      <c r="CT1927" s="178"/>
      <c r="CU1927" s="178"/>
      <c r="CV1927" s="178"/>
      <c r="CW1927" s="178"/>
      <c r="CX1927" s="178"/>
      <c r="CY1927" s="178"/>
      <c r="CZ1927" s="178"/>
      <c r="DA1927" s="150"/>
    </row>
    <row r="1928" spans="53:105" x14ac:dyDescent="0.2">
      <c r="BA1928" s="518">
        <f t="shared" ca="1" si="103"/>
        <v>61</v>
      </c>
      <c r="BB1928" s="174">
        <f t="shared" ca="1" si="104"/>
        <v>1865</v>
      </c>
      <c r="BC1928" s="525" t="e">
        <f ca="1">MATCH(BD1928,OFFSET(Pinlist!$A$2,BC1927*(BA1928=BA1927),0,$BM$23,1),0)+BC1927*(BA1928=BA1927)</f>
        <v>#N/A</v>
      </c>
      <c r="BD1928" s="167">
        <f t="shared" ca="1" si="105"/>
        <v>0</v>
      </c>
      <c r="BE1928" s="191" t="e">
        <f ca="1">(OFFSET(Pinlist!$E$1,BC1928,0)-$BN$16)*$BN$19</f>
        <v>#N/A</v>
      </c>
      <c r="BF1928" s="192" t="e">
        <f ca="1">(OFFSET(Pinlist!$F$1,BC1928,0)-$BO$16)*$BO$19</f>
        <v>#N/A</v>
      </c>
      <c r="BG1928" s="1098" t="str">
        <f ca="1">IF(LEFT(BD1928,2)="RF",OFFSET(Pinlist!$D$1,Chart!BC1928,0)&amp;"_"&amp;OFFSET(Pinlist!$G$1,Chart!BC1928,0),"")</f>
        <v/>
      </c>
      <c r="BH1928" s="1098"/>
      <c r="BI1928" s="178"/>
      <c r="BJ1928" s="178"/>
      <c r="BK1928" s="178"/>
      <c r="BL1928" s="178"/>
      <c r="BM1928" s="178"/>
      <c r="BN1928" s="178"/>
      <c r="BO1928" s="178"/>
      <c r="BP1928" s="178"/>
      <c r="BQ1928" s="196"/>
      <c r="BR1928" s="196"/>
      <c r="BS1928" s="196"/>
      <c r="BT1928" s="196"/>
      <c r="BU1928" s="196"/>
      <c r="BV1928" s="196"/>
      <c r="BW1928" s="178"/>
      <c r="BX1928" s="196"/>
      <c r="BY1928" s="196"/>
      <c r="BZ1928" s="196"/>
      <c r="CA1928" s="196"/>
      <c r="CB1928" s="178"/>
      <c r="CC1928" s="178"/>
      <c r="CD1928" s="202"/>
      <c r="CE1928" s="202"/>
      <c r="CF1928" s="178"/>
      <c r="CG1928" s="196"/>
      <c r="CH1928" s="178"/>
      <c r="CI1928" s="178"/>
      <c r="CJ1928" s="178"/>
      <c r="CK1928" s="178"/>
      <c r="CL1928" s="178"/>
      <c r="CM1928" s="178"/>
      <c r="CN1928" s="178"/>
      <c r="CO1928" s="178"/>
      <c r="CP1928" s="178"/>
      <c r="CQ1928" s="178"/>
      <c r="CR1928" s="178"/>
      <c r="CS1928" s="178"/>
      <c r="CT1928" s="178"/>
      <c r="CU1928" s="178"/>
      <c r="CV1928" s="178"/>
      <c r="CW1928" s="178"/>
      <c r="CX1928" s="178"/>
      <c r="CY1928" s="178"/>
      <c r="CZ1928" s="178"/>
      <c r="DA1928" s="150"/>
    </row>
    <row r="1929" spans="53:105" x14ac:dyDescent="0.2">
      <c r="BA1929" s="518">
        <f t="shared" ca="1" si="103"/>
        <v>61</v>
      </c>
      <c r="BB1929" s="174">
        <f t="shared" ca="1" si="104"/>
        <v>1866</v>
      </c>
      <c r="BC1929" s="525" t="e">
        <f ca="1">MATCH(BD1929,OFFSET(Pinlist!$A$2,BC1928*(BA1929=BA1928),0,$BM$23,1),0)+BC1928*(BA1929=BA1928)</f>
        <v>#N/A</v>
      </c>
      <c r="BD1929" s="167">
        <f t="shared" ca="1" si="105"/>
        <v>0</v>
      </c>
      <c r="BE1929" s="191" t="e">
        <f ca="1">(OFFSET(Pinlist!$E$1,BC1929,0)-$BN$16)*$BN$19</f>
        <v>#N/A</v>
      </c>
      <c r="BF1929" s="192" t="e">
        <f ca="1">(OFFSET(Pinlist!$F$1,BC1929,0)-$BO$16)*$BO$19</f>
        <v>#N/A</v>
      </c>
      <c r="BG1929" s="1098" t="str">
        <f ca="1">IF(LEFT(BD1929,2)="RF",OFFSET(Pinlist!$D$1,Chart!BC1929,0)&amp;"_"&amp;OFFSET(Pinlist!$G$1,Chart!BC1929,0),"")</f>
        <v/>
      </c>
      <c r="BH1929" s="1098"/>
      <c r="BI1929" s="178"/>
      <c r="BJ1929" s="178"/>
      <c r="BK1929" s="178"/>
      <c r="BL1929" s="178"/>
      <c r="BM1929" s="178"/>
      <c r="BN1929" s="178"/>
      <c r="BO1929" s="178"/>
      <c r="BP1929" s="178"/>
      <c r="BQ1929" s="196"/>
      <c r="BR1929" s="196"/>
      <c r="BS1929" s="196"/>
      <c r="BT1929" s="196"/>
      <c r="BU1929" s="196"/>
      <c r="BV1929" s="196"/>
      <c r="BW1929" s="178"/>
      <c r="BX1929" s="196"/>
      <c r="BY1929" s="196"/>
      <c r="BZ1929" s="196"/>
      <c r="CA1929" s="196"/>
      <c r="CB1929" s="178"/>
      <c r="CC1929" s="178"/>
      <c r="CD1929" s="202"/>
      <c r="CE1929" s="202"/>
      <c r="CF1929" s="178"/>
      <c r="CG1929" s="196"/>
      <c r="CH1929" s="178"/>
      <c r="CI1929" s="178"/>
      <c r="CJ1929" s="178"/>
      <c r="CK1929" s="178"/>
      <c r="CL1929" s="178"/>
      <c r="CM1929" s="178"/>
      <c r="CN1929" s="178"/>
      <c r="CO1929" s="178"/>
      <c r="CP1929" s="178"/>
      <c r="CQ1929" s="178"/>
      <c r="CR1929" s="178"/>
      <c r="CS1929" s="178"/>
      <c r="CT1929" s="178"/>
      <c r="CU1929" s="178"/>
      <c r="CV1929" s="178"/>
      <c r="CW1929" s="178"/>
      <c r="CX1929" s="178"/>
      <c r="CY1929" s="178"/>
      <c r="CZ1929" s="178"/>
      <c r="DA1929" s="150"/>
    </row>
    <row r="1930" spans="53:105" x14ac:dyDescent="0.2">
      <c r="BA1930" s="518">
        <f t="shared" ca="1" si="103"/>
        <v>61</v>
      </c>
      <c r="BB1930" s="174">
        <f t="shared" ca="1" si="104"/>
        <v>1867</v>
      </c>
      <c r="BC1930" s="525" t="e">
        <f ca="1">MATCH(BD1930,OFFSET(Pinlist!$A$2,BC1929*(BA1930=BA1929),0,$BM$23,1),0)+BC1929*(BA1930=BA1929)</f>
        <v>#N/A</v>
      </c>
      <c r="BD1930" s="167">
        <f t="shared" ca="1" si="105"/>
        <v>0</v>
      </c>
      <c r="BE1930" s="191" t="e">
        <f ca="1">(OFFSET(Pinlist!$E$1,BC1930,0)-$BN$16)*$BN$19</f>
        <v>#N/A</v>
      </c>
      <c r="BF1930" s="192" t="e">
        <f ca="1">(OFFSET(Pinlist!$F$1,BC1930,0)-$BO$16)*$BO$19</f>
        <v>#N/A</v>
      </c>
      <c r="BG1930" s="1098" t="str">
        <f ca="1">IF(LEFT(BD1930,2)="RF",OFFSET(Pinlist!$D$1,Chart!BC1930,0)&amp;"_"&amp;OFFSET(Pinlist!$G$1,Chart!BC1930,0),"")</f>
        <v/>
      </c>
      <c r="BH1930" s="1098"/>
      <c r="BI1930" s="178"/>
      <c r="BJ1930" s="178"/>
      <c r="BK1930" s="178"/>
      <c r="BL1930" s="178"/>
      <c r="BM1930" s="178"/>
      <c r="BN1930" s="178"/>
      <c r="BO1930" s="178"/>
      <c r="BP1930" s="178"/>
      <c r="BQ1930" s="196"/>
      <c r="BR1930" s="196"/>
      <c r="BS1930" s="196"/>
      <c r="BT1930" s="196"/>
      <c r="BU1930" s="196"/>
      <c r="BV1930" s="196"/>
      <c r="BW1930" s="178"/>
      <c r="BX1930" s="196"/>
      <c r="BY1930" s="196"/>
      <c r="BZ1930" s="196"/>
      <c r="CA1930" s="196"/>
      <c r="CB1930" s="178"/>
      <c r="CC1930" s="178"/>
      <c r="CD1930" s="202"/>
      <c r="CE1930" s="202"/>
      <c r="CF1930" s="178"/>
      <c r="CG1930" s="196"/>
      <c r="CH1930" s="178"/>
      <c r="CI1930" s="178"/>
      <c r="CJ1930" s="178"/>
      <c r="CK1930" s="178"/>
      <c r="CL1930" s="178"/>
      <c r="CM1930" s="178"/>
      <c r="CN1930" s="178"/>
      <c r="CO1930" s="178"/>
      <c r="CP1930" s="178"/>
      <c r="CQ1930" s="178"/>
      <c r="CR1930" s="178"/>
      <c r="CS1930" s="178"/>
      <c r="CT1930" s="178"/>
      <c r="CU1930" s="178"/>
      <c r="CV1930" s="178"/>
      <c r="CW1930" s="178"/>
      <c r="CX1930" s="178"/>
      <c r="CY1930" s="178"/>
      <c r="CZ1930" s="178"/>
      <c r="DA1930" s="150"/>
    </row>
    <row r="1931" spans="53:105" x14ac:dyDescent="0.2">
      <c r="BA1931" s="518">
        <f t="shared" ca="1" si="103"/>
        <v>61</v>
      </c>
      <c r="BB1931" s="174">
        <f t="shared" ca="1" si="104"/>
        <v>1868</v>
      </c>
      <c r="BC1931" s="525" t="e">
        <f ca="1">MATCH(BD1931,OFFSET(Pinlist!$A$2,BC1930*(BA1931=BA1930),0,$BM$23,1),0)+BC1930*(BA1931=BA1930)</f>
        <v>#N/A</v>
      </c>
      <c r="BD1931" s="167">
        <f t="shared" ca="1" si="105"/>
        <v>0</v>
      </c>
      <c r="BE1931" s="191" t="e">
        <f ca="1">(OFFSET(Pinlist!$E$1,BC1931,0)-$BN$16)*$BN$19</f>
        <v>#N/A</v>
      </c>
      <c r="BF1931" s="192" t="e">
        <f ca="1">(OFFSET(Pinlist!$F$1,BC1931,0)-$BO$16)*$BO$19</f>
        <v>#N/A</v>
      </c>
      <c r="BG1931" s="1098" t="str">
        <f ca="1">IF(LEFT(BD1931,2)="RF",OFFSET(Pinlist!$D$1,Chart!BC1931,0)&amp;"_"&amp;OFFSET(Pinlist!$G$1,Chart!BC1931,0),"")</f>
        <v/>
      </c>
      <c r="BH1931" s="1098"/>
      <c r="BI1931" s="178"/>
      <c r="BJ1931" s="178"/>
      <c r="BK1931" s="178"/>
      <c r="BL1931" s="178"/>
      <c r="BM1931" s="178"/>
      <c r="BN1931" s="178"/>
      <c r="BO1931" s="178"/>
      <c r="BP1931" s="178"/>
      <c r="BQ1931" s="196"/>
      <c r="BR1931" s="196"/>
      <c r="BS1931" s="196"/>
      <c r="BT1931" s="196"/>
      <c r="BU1931" s="196"/>
      <c r="BV1931" s="196"/>
      <c r="BW1931" s="178"/>
      <c r="BX1931" s="196"/>
      <c r="BY1931" s="196"/>
      <c r="BZ1931" s="196"/>
      <c r="CA1931" s="196"/>
      <c r="CB1931" s="178"/>
      <c r="CC1931" s="178"/>
      <c r="CD1931" s="202"/>
      <c r="CE1931" s="202"/>
      <c r="CF1931" s="178"/>
      <c r="CG1931" s="196"/>
      <c r="CH1931" s="178"/>
      <c r="CI1931" s="178"/>
      <c r="CJ1931" s="178"/>
      <c r="CK1931" s="178"/>
      <c r="CL1931" s="178"/>
      <c r="CM1931" s="178"/>
      <c r="CN1931" s="178"/>
      <c r="CO1931" s="178"/>
      <c r="CP1931" s="178"/>
      <c r="CQ1931" s="178"/>
      <c r="CR1931" s="178"/>
      <c r="CS1931" s="178"/>
      <c r="CT1931" s="178"/>
      <c r="CU1931" s="178"/>
      <c r="CV1931" s="178"/>
      <c r="CW1931" s="178"/>
      <c r="CX1931" s="178"/>
      <c r="CY1931" s="178"/>
      <c r="CZ1931" s="178"/>
      <c r="DA1931" s="150"/>
    </row>
    <row r="1932" spans="53:105" x14ac:dyDescent="0.2">
      <c r="BA1932" s="518">
        <f t="shared" ca="1" si="103"/>
        <v>61</v>
      </c>
      <c r="BB1932" s="174">
        <f t="shared" ca="1" si="104"/>
        <v>1869</v>
      </c>
      <c r="BC1932" s="525" t="e">
        <f ca="1">MATCH(BD1932,OFFSET(Pinlist!$A$2,BC1931*(BA1932=BA1931),0,$BM$23,1),0)+BC1931*(BA1932=BA1931)</f>
        <v>#N/A</v>
      </c>
      <c r="BD1932" s="167">
        <f t="shared" ca="1" si="105"/>
        <v>0</v>
      </c>
      <c r="BE1932" s="191" t="e">
        <f ca="1">(OFFSET(Pinlist!$E$1,BC1932,0)-$BN$16)*$BN$19</f>
        <v>#N/A</v>
      </c>
      <c r="BF1932" s="192" t="e">
        <f ca="1">(OFFSET(Pinlist!$F$1,BC1932,0)-$BO$16)*$BO$19</f>
        <v>#N/A</v>
      </c>
      <c r="BG1932" s="1098" t="str">
        <f ca="1">IF(LEFT(BD1932,2)="RF",OFFSET(Pinlist!$D$1,Chart!BC1932,0)&amp;"_"&amp;OFFSET(Pinlist!$G$1,Chart!BC1932,0),"")</f>
        <v/>
      </c>
      <c r="BH1932" s="1098"/>
      <c r="BI1932" s="178"/>
      <c r="BJ1932" s="178"/>
      <c r="BK1932" s="178"/>
      <c r="BL1932" s="178"/>
      <c r="BM1932" s="178"/>
      <c r="BN1932" s="178"/>
      <c r="BO1932" s="178"/>
      <c r="BP1932" s="178"/>
      <c r="BQ1932" s="196"/>
      <c r="BR1932" s="196"/>
      <c r="BS1932" s="196"/>
      <c r="BT1932" s="196"/>
      <c r="BU1932" s="196"/>
      <c r="BV1932" s="196"/>
      <c r="BW1932" s="178"/>
      <c r="BX1932" s="196"/>
      <c r="BY1932" s="196"/>
      <c r="BZ1932" s="196"/>
      <c r="CA1932" s="196"/>
      <c r="CB1932" s="178"/>
      <c r="CC1932" s="178"/>
      <c r="CD1932" s="202"/>
      <c r="CE1932" s="202"/>
      <c r="CF1932" s="178"/>
      <c r="CG1932" s="196"/>
      <c r="CH1932" s="178"/>
      <c r="CI1932" s="178"/>
      <c r="CJ1932" s="178"/>
      <c r="CK1932" s="178"/>
      <c r="CL1932" s="178"/>
      <c r="CM1932" s="178"/>
      <c r="CN1932" s="178"/>
      <c r="CO1932" s="178"/>
      <c r="CP1932" s="178"/>
      <c r="CQ1932" s="178"/>
      <c r="CR1932" s="178"/>
      <c r="CS1932" s="178"/>
      <c r="CT1932" s="178"/>
      <c r="CU1932" s="178"/>
      <c r="CV1932" s="178"/>
      <c r="CW1932" s="178"/>
      <c r="CX1932" s="178"/>
      <c r="CY1932" s="178"/>
      <c r="CZ1932" s="178"/>
      <c r="DA1932" s="150"/>
    </row>
    <row r="1933" spans="53:105" x14ac:dyDescent="0.2">
      <c r="BA1933" s="518">
        <f t="shared" ca="1" si="103"/>
        <v>61</v>
      </c>
      <c r="BB1933" s="174">
        <f t="shared" ca="1" si="104"/>
        <v>1870</v>
      </c>
      <c r="BC1933" s="525" t="e">
        <f ca="1">MATCH(BD1933,OFFSET(Pinlist!$A$2,BC1932*(BA1933=BA1932),0,$BM$23,1),0)+BC1932*(BA1933=BA1932)</f>
        <v>#N/A</v>
      </c>
      <c r="BD1933" s="167">
        <f t="shared" ca="1" si="105"/>
        <v>0</v>
      </c>
      <c r="BE1933" s="191" t="e">
        <f ca="1">(OFFSET(Pinlist!$E$1,BC1933,0)-$BN$16)*$BN$19</f>
        <v>#N/A</v>
      </c>
      <c r="BF1933" s="192" t="e">
        <f ca="1">(OFFSET(Pinlist!$F$1,BC1933,0)-$BO$16)*$BO$19</f>
        <v>#N/A</v>
      </c>
      <c r="BG1933" s="1098" t="str">
        <f ca="1">IF(LEFT(BD1933,2)="RF",OFFSET(Pinlist!$D$1,Chart!BC1933,0)&amp;"_"&amp;OFFSET(Pinlist!$G$1,Chart!BC1933,0),"")</f>
        <v/>
      </c>
      <c r="BH1933" s="1098"/>
      <c r="BI1933" s="178"/>
      <c r="BJ1933" s="178"/>
      <c r="BK1933" s="178"/>
      <c r="BL1933" s="178"/>
      <c r="BM1933" s="178"/>
      <c r="BN1933" s="178"/>
      <c r="BO1933" s="178"/>
      <c r="BP1933" s="178"/>
      <c r="BQ1933" s="196"/>
      <c r="BR1933" s="196"/>
      <c r="BS1933" s="196"/>
      <c r="BT1933" s="196"/>
      <c r="BU1933" s="196"/>
      <c r="BV1933" s="196"/>
      <c r="BW1933" s="178"/>
      <c r="BX1933" s="196"/>
      <c r="BY1933" s="196"/>
      <c r="BZ1933" s="196"/>
      <c r="CA1933" s="196"/>
      <c r="CB1933" s="178"/>
      <c r="CC1933" s="178"/>
      <c r="CD1933" s="202"/>
      <c r="CE1933" s="202"/>
      <c r="CF1933" s="178"/>
      <c r="CG1933" s="196"/>
      <c r="CH1933" s="178"/>
      <c r="CI1933" s="178"/>
      <c r="CJ1933" s="178"/>
      <c r="CK1933" s="178"/>
      <c r="CL1933" s="178"/>
      <c r="CM1933" s="178"/>
      <c r="CN1933" s="178"/>
      <c r="CO1933" s="178"/>
      <c r="CP1933" s="178"/>
      <c r="CQ1933" s="178"/>
      <c r="CR1933" s="178"/>
      <c r="CS1933" s="178"/>
      <c r="CT1933" s="178"/>
      <c r="CU1933" s="178"/>
      <c r="CV1933" s="178"/>
      <c r="CW1933" s="178"/>
      <c r="CX1933" s="178"/>
      <c r="CY1933" s="178"/>
      <c r="CZ1933" s="178"/>
      <c r="DA1933" s="150"/>
    </row>
    <row r="1934" spans="53:105" x14ac:dyDescent="0.2">
      <c r="BA1934" s="518">
        <f t="shared" ca="1" si="103"/>
        <v>61</v>
      </c>
      <c r="BB1934" s="174">
        <f t="shared" ca="1" si="104"/>
        <v>1871</v>
      </c>
      <c r="BC1934" s="525" t="e">
        <f ca="1">MATCH(BD1934,OFFSET(Pinlist!$A$2,BC1933*(BA1934=BA1933),0,$BM$23,1),0)+BC1933*(BA1934=BA1933)</f>
        <v>#N/A</v>
      </c>
      <c r="BD1934" s="167">
        <f t="shared" ca="1" si="105"/>
        <v>0</v>
      </c>
      <c r="BE1934" s="191" t="e">
        <f ca="1">(OFFSET(Pinlist!$E$1,BC1934,0)-$BN$16)*$BN$19</f>
        <v>#N/A</v>
      </c>
      <c r="BF1934" s="192" t="e">
        <f ca="1">(OFFSET(Pinlist!$F$1,BC1934,0)-$BO$16)*$BO$19</f>
        <v>#N/A</v>
      </c>
      <c r="BG1934" s="1098" t="str">
        <f ca="1">IF(LEFT(BD1934,2)="RF",OFFSET(Pinlist!$D$1,Chart!BC1934,0)&amp;"_"&amp;OFFSET(Pinlist!$G$1,Chart!BC1934,0),"")</f>
        <v/>
      </c>
      <c r="BH1934" s="1098"/>
      <c r="BI1934" s="178"/>
      <c r="BJ1934" s="178"/>
      <c r="BK1934" s="178"/>
      <c r="BL1934" s="178"/>
      <c r="BM1934" s="178"/>
      <c r="BN1934" s="178"/>
      <c r="BO1934" s="178"/>
      <c r="BP1934" s="178"/>
      <c r="BQ1934" s="196"/>
      <c r="BR1934" s="196"/>
      <c r="BS1934" s="196"/>
      <c r="BT1934" s="196"/>
      <c r="BU1934" s="196"/>
      <c r="BV1934" s="196"/>
      <c r="BW1934" s="178"/>
      <c r="BX1934" s="196"/>
      <c r="BY1934" s="196"/>
      <c r="BZ1934" s="196"/>
      <c r="CA1934" s="196"/>
      <c r="CB1934" s="178"/>
      <c r="CC1934" s="178"/>
      <c r="CD1934" s="202"/>
      <c r="CE1934" s="202"/>
      <c r="CF1934" s="178"/>
      <c r="CG1934" s="196"/>
      <c r="CH1934" s="178"/>
      <c r="CI1934" s="178"/>
      <c r="CJ1934" s="178"/>
      <c r="CK1934" s="178"/>
      <c r="CL1934" s="178"/>
      <c r="CM1934" s="178"/>
      <c r="CN1934" s="178"/>
      <c r="CO1934" s="178"/>
      <c r="CP1934" s="178"/>
      <c r="CQ1934" s="178"/>
      <c r="CR1934" s="178"/>
      <c r="CS1934" s="178"/>
      <c r="CT1934" s="178"/>
      <c r="CU1934" s="178"/>
      <c r="CV1934" s="178"/>
      <c r="CW1934" s="178"/>
      <c r="CX1934" s="178"/>
      <c r="CY1934" s="178"/>
      <c r="CZ1934" s="178"/>
      <c r="DA1934" s="150"/>
    </row>
    <row r="1935" spans="53:105" x14ac:dyDescent="0.2">
      <c r="BA1935" s="518">
        <f t="shared" ca="1" si="103"/>
        <v>61</v>
      </c>
      <c r="BB1935" s="174">
        <f t="shared" ca="1" si="104"/>
        <v>1872</v>
      </c>
      <c r="BC1935" s="525" t="e">
        <f ca="1">MATCH(BD1935,OFFSET(Pinlist!$A$2,BC1934*(BA1935=BA1934),0,$BM$23,1),0)+BC1934*(BA1935=BA1934)</f>
        <v>#N/A</v>
      </c>
      <c r="BD1935" s="167">
        <f t="shared" ca="1" si="105"/>
        <v>0</v>
      </c>
      <c r="BE1935" s="191" t="e">
        <f ca="1">(OFFSET(Pinlist!$E$1,BC1935,0)-$BN$16)*$BN$19</f>
        <v>#N/A</v>
      </c>
      <c r="BF1935" s="192" t="e">
        <f ca="1">(OFFSET(Pinlist!$F$1,BC1935,0)-$BO$16)*$BO$19</f>
        <v>#N/A</v>
      </c>
      <c r="BG1935" s="1098" t="str">
        <f ca="1">IF(LEFT(BD1935,2)="RF",OFFSET(Pinlist!$D$1,Chart!BC1935,0)&amp;"_"&amp;OFFSET(Pinlist!$G$1,Chart!BC1935,0),"")</f>
        <v/>
      </c>
      <c r="BH1935" s="1098"/>
      <c r="BI1935" s="178"/>
      <c r="BJ1935" s="178"/>
      <c r="BK1935" s="178"/>
      <c r="BL1935" s="178"/>
      <c r="BM1935" s="178"/>
      <c r="BN1935" s="178"/>
      <c r="BO1935" s="178"/>
      <c r="BP1935" s="178"/>
      <c r="BQ1935" s="196"/>
      <c r="BR1935" s="196"/>
      <c r="BS1935" s="196"/>
      <c r="BT1935" s="196"/>
      <c r="BU1935" s="196"/>
      <c r="BV1935" s="196"/>
      <c r="BW1935" s="178"/>
      <c r="BX1935" s="196"/>
      <c r="BY1935" s="196"/>
      <c r="BZ1935" s="196"/>
      <c r="CA1935" s="196"/>
      <c r="CB1935" s="178"/>
      <c r="CC1935" s="178"/>
      <c r="CD1935" s="202"/>
      <c r="CE1935" s="202"/>
      <c r="CF1935" s="178"/>
      <c r="CG1935" s="196"/>
      <c r="CH1935" s="178"/>
      <c r="CI1935" s="178"/>
      <c r="CJ1935" s="178"/>
      <c r="CK1935" s="178"/>
      <c r="CL1935" s="178"/>
      <c r="CM1935" s="178"/>
      <c r="CN1935" s="178"/>
      <c r="CO1935" s="178"/>
      <c r="CP1935" s="178"/>
      <c r="CQ1935" s="178"/>
      <c r="CR1935" s="178"/>
      <c r="CS1935" s="178"/>
      <c r="CT1935" s="178"/>
      <c r="CU1935" s="178"/>
      <c r="CV1935" s="178"/>
      <c r="CW1935" s="178"/>
      <c r="CX1935" s="178"/>
      <c r="CY1935" s="178"/>
      <c r="CZ1935" s="178"/>
      <c r="DA1935" s="150"/>
    </row>
    <row r="1936" spans="53:105" x14ac:dyDescent="0.2">
      <c r="BA1936" s="518">
        <f t="shared" ca="1" si="103"/>
        <v>61</v>
      </c>
      <c r="BB1936" s="174">
        <f t="shared" ca="1" si="104"/>
        <v>1873</v>
      </c>
      <c r="BC1936" s="525" t="e">
        <f ca="1">MATCH(BD1936,OFFSET(Pinlist!$A$2,BC1935*(BA1936=BA1935),0,$BM$23,1),0)+BC1935*(BA1936=BA1935)</f>
        <v>#N/A</v>
      </c>
      <c r="BD1936" s="167">
        <f t="shared" ca="1" si="105"/>
        <v>0</v>
      </c>
      <c r="BE1936" s="191" t="e">
        <f ca="1">(OFFSET(Pinlist!$E$1,BC1936,0)-$BN$16)*$BN$19</f>
        <v>#N/A</v>
      </c>
      <c r="BF1936" s="192" t="e">
        <f ca="1">(OFFSET(Pinlist!$F$1,BC1936,0)-$BO$16)*$BO$19</f>
        <v>#N/A</v>
      </c>
      <c r="BG1936" s="1098" t="str">
        <f ca="1">IF(LEFT(BD1936,2)="RF",OFFSET(Pinlist!$D$1,Chart!BC1936,0)&amp;"_"&amp;OFFSET(Pinlist!$G$1,Chart!BC1936,0),"")</f>
        <v/>
      </c>
      <c r="BH1936" s="1098"/>
      <c r="BI1936" s="178"/>
      <c r="BJ1936" s="178"/>
      <c r="BK1936" s="178"/>
      <c r="BL1936" s="178"/>
      <c r="BM1936" s="178"/>
      <c r="BN1936" s="178"/>
      <c r="BO1936" s="178"/>
      <c r="BP1936" s="178"/>
      <c r="BQ1936" s="196"/>
      <c r="BR1936" s="196"/>
      <c r="BS1936" s="196"/>
      <c r="BT1936" s="196"/>
      <c r="BU1936" s="196"/>
      <c r="BV1936" s="196"/>
      <c r="BW1936" s="178"/>
      <c r="BX1936" s="196"/>
      <c r="BY1936" s="196"/>
      <c r="BZ1936" s="196"/>
      <c r="CA1936" s="196"/>
      <c r="CB1936" s="178"/>
      <c r="CC1936" s="178"/>
      <c r="CD1936" s="202"/>
      <c r="CE1936" s="202"/>
      <c r="CF1936" s="178"/>
      <c r="CG1936" s="196"/>
      <c r="CH1936" s="178"/>
      <c r="CI1936" s="178"/>
      <c r="CJ1936" s="178"/>
      <c r="CK1936" s="178"/>
      <c r="CL1936" s="178"/>
      <c r="CM1936" s="178"/>
      <c r="CN1936" s="178"/>
      <c r="CO1936" s="178"/>
      <c r="CP1936" s="178"/>
      <c r="CQ1936" s="178"/>
      <c r="CR1936" s="178"/>
      <c r="CS1936" s="178"/>
      <c r="CT1936" s="178"/>
      <c r="CU1936" s="178"/>
      <c r="CV1936" s="178"/>
      <c r="CW1936" s="178"/>
      <c r="CX1936" s="178"/>
      <c r="CY1936" s="178"/>
      <c r="CZ1936" s="178"/>
      <c r="DA1936" s="150"/>
    </row>
    <row r="1937" spans="53:105" x14ac:dyDescent="0.2">
      <c r="BA1937" s="518">
        <f t="shared" ca="1" si="103"/>
        <v>61</v>
      </c>
      <c r="BB1937" s="174">
        <f t="shared" ca="1" si="104"/>
        <v>1874</v>
      </c>
      <c r="BC1937" s="525" t="e">
        <f ca="1">MATCH(BD1937,OFFSET(Pinlist!$A$2,BC1936*(BA1937=BA1936),0,$BM$23,1),0)+BC1936*(BA1937=BA1936)</f>
        <v>#N/A</v>
      </c>
      <c r="BD1937" s="167">
        <f t="shared" ca="1" si="105"/>
        <v>0</v>
      </c>
      <c r="BE1937" s="191" t="e">
        <f ca="1">(OFFSET(Pinlist!$E$1,BC1937,0)-$BN$16)*$BN$19</f>
        <v>#N/A</v>
      </c>
      <c r="BF1937" s="192" t="e">
        <f ca="1">(OFFSET(Pinlist!$F$1,BC1937,0)-$BO$16)*$BO$19</f>
        <v>#N/A</v>
      </c>
      <c r="BG1937" s="1098" t="str">
        <f ca="1">IF(LEFT(BD1937,2)="RF",OFFSET(Pinlist!$D$1,Chart!BC1937,0)&amp;"_"&amp;OFFSET(Pinlist!$G$1,Chart!BC1937,0),"")</f>
        <v/>
      </c>
      <c r="BH1937" s="1098"/>
      <c r="BI1937" s="178"/>
      <c r="BJ1937" s="178"/>
      <c r="BK1937" s="178"/>
      <c r="BL1937" s="178"/>
      <c r="BM1937" s="178"/>
      <c r="BN1937" s="178"/>
      <c r="BO1937" s="178"/>
      <c r="BP1937" s="178"/>
      <c r="BQ1937" s="196"/>
      <c r="BR1937" s="196"/>
      <c r="BS1937" s="196"/>
      <c r="BT1937" s="196"/>
      <c r="BU1937" s="196"/>
      <c r="BV1937" s="196"/>
      <c r="BW1937" s="178"/>
      <c r="BX1937" s="196"/>
      <c r="BY1937" s="196"/>
      <c r="BZ1937" s="196"/>
      <c r="CA1937" s="196"/>
      <c r="CB1937" s="178"/>
      <c r="CC1937" s="178"/>
      <c r="CD1937" s="202"/>
      <c r="CE1937" s="202"/>
      <c r="CF1937" s="178"/>
      <c r="CG1937" s="196"/>
      <c r="CH1937" s="178"/>
      <c r="CI1937" s="178"/>
      <c r="CJ1937" s="178"/>
      <c r="CK1937" s="178"/>
      <c r="CL1937" s="178"/>
      <c r="CM1937" s="178"/>
      <c r="CN1937" s="178"/>
      <c r="CO1937" s="178"/>
      <c r="CP1937" s="178"/>
      <c r="CQ1937" s="178"/>
      <c r="CR1937" s="178"/>
      <c r="CS1937" s="178"/>
      <c r="CT1937" s="178"/>
      <c r="CU1937" s="178"/>
      <c r="CV1937" s="178"/>
      <c r="CW1937" s="178"/>
      <c r="CX1937" s="178"/>
      <c r="CY1937" s="178"/>
      <c r="CZ1937" s="178"/>
      <c r="DA1937" s="150"/>
    </row>
    <row r="1938" spans="53:105" x14ac:dyDescent="0.2">
      <c r="BA1938" s="518">
        <f t="shared" ca="1" si="103"/>
        <v>61</v>
      </c>
      <c r="BB1938" s="174">
        <f t="shared" ca="1" si="104"/>
        <v>1875</v>
      </c>
      <c r="BC1938" s="525" t="e">
        <f ca="1">MATCH(BD1938,OFFSET(Pinlist!$A$2,BC1937*(BA1938=BA1937),0,$BM$23,1),0)+BC1937*(BA1938=BA1937)</f>
        <v>#N/A</v>
      </c>
      <c r="BD1938" s="167">
        <f t="shared" ca="1" si="105"/>
        <v>0</v>
      </c>
      <c r="BE1938" s="191" t="e">
        <f ca="1">(OFFSET(Pinlist!$E$1,BC1938,0)-$BN$16)*$BN$19</f>
        <v>#N/A</v>
      </c>
      <c r="BF1938" s="192" t="e">
        <f ca="1">(OFFSET(Pinlist!$F$1,BC1938,0)-$BO$16)*$BO$19</f>
        <v>#N/A</v>
      </c>
      <c r="BG1938" s="1098" t="str">
        <f ca="1">IF(LEFT(BD1938,2)="RF",OFFSET(Pinlist!$D$1,Chart!BC1938,0)&amp;"_"&amp;OFFSET(Pinlist!$G$1,Chart!BC1938,0),"")</f>
        <v/>
      </c>
      <c r="BH1938" s="1098"/>
      <c r="BI1938" s="178"/>
      <c r="BJ1938" s="178"/>
      <c r="BK1938" s="178"/>
      <c r="BL1938" s="178"/>
      <c r="BM1938" s="178"/>
      <c r="BN1938" s="178"/>
      <c r="BO1938" s="178"/>
      <c r="BP1938" s="178"/>
      <c r="BQ1938" s="196"/>
      <c r="BR1938" s="196"/>
      <c r="BS1938" s="196"/>
      <c r="BT1938" s="196"/>
      <c r="BU1938" s="196"/>
      <c r="BV1938" s="196"/>
      <c r="BW1938" s="178"/>
      <c r="BX1938" s="196"/>
      <c r="BY1938" s="196"/>
      <c r="BZ1938" s="196"/>
      <c r="CA1938" s="196"/>
      <c r="CB1938" s="178"/>
      <c r="CC1938" s="178"/>
      <c r="CD1938" s="202"/>
      <c r="CE1938" s="202"/>
      <c r="CF1938" s="178"/>
      <c r="CG1938" s="196"/>
      <c r="CH1938" s="178"/>
      <c r="CI1938" s="178"/>
      <c r="CJ1938" s="178"/>
      <c r="CK1938" s="178"/>
      <c r="CL1938" s="178"/>
      <c r="CM1938" s="178"/>
      <c r="CN1938" s="178"/>
      <c r="CO1938" s="178"/>
      <c r="CP1938" s="178"/>
      <c r="CQ1938" s="178"/>
      <c r="CR1938" s="178"/>
      <c r="CS1938" s="178"/>
      <c r="CT1938" s="178"/>
      <c r="CU1938" s="178"/>
      <c r="CV1938" s="178"/>
      <c r="CW1938" s="178"/>
      <c r="CX1938" s="178"/>
      <c r="CY1938" s="178"/>
      <c r="CZ1938" s="178"/>
      <c r="DA1938" s="150"/>
    </row>
    <row r="1939" spans="53:105" x14ac:dyDescent="0.2">
      <c r="BA1939" s="518">
        <f t="shared" ca="1" si="103"/>
        <v>61</v>
      </c>
      <c r="BB1939" s="174">
        <f t="shared" ca="1" si="104"/>
        <v>1876</v>
      </c>
      <c r="BC1939" s="525" t="e">
        <f ca="1">MATCH(BD1939,OFFSET(Pinlist!$A$2,BC1938*(BA1939=BA1938),0,$BM$23,1),0)+BC1938*(BA1939=BA1938)</f>
        <v>#N/A</v>
      </c>
      <c r="BD1939" s="167">
        <f t="shared" ca="1" si="105"/>
        <v>0</v>
      </c>
      <c r="BE1939" s="191" t="e">
        <f ca="1">(OFFSET(Pinlist!$E$1,BC1939,0)-$BN$16)*$BN$19</f>
        <v>#N/A</v>
      </c>
      <c r="BF1939" s="192" t="e">
        <f ca="1">(OFFSET(Pinlist!$F$1,BC1939,0)-$BO$16)*$BO$19</f>
        <v>#N/A</v>
      </c>
      <c r="BG1939" s="1098" t="str">
        <f ca="1">IF(LEFT(BD1939,2)="RF",OFFSET(Pinlist!$D$1,Chart!BC1939,0)&amp;"_"&amp;OFFSET(Pinlist!$G$1,Chart!BC1939,0),"")</f>
        <v/>
      </c>
      <c r="BH1939" s="1098"/>
      <c r="BI1939" s="178"/>
      <c r="BJ1939" s="178"/>
      <c r="BK1939" s="178"/>
      <c r="BL1939" s="178"/>
      <c r="BM1939" s="178"/>
      <c r="BN1939" s="178"/>
      <c r="BO1939" s="178"/>
      <c r="BP1939" s="178"/>
      <c r="BQ1939" s="196"/>
      <c r="BR1939" s="196"/>
      <c r="BS1939" s="196"/>
      <c r="BT1939" s="196"/>
      <c r="BU1939" s="196"/>
      <c r="BV1939" s="196"/>
      <c r="BW1939" s="178"/>
      <c r="BX1939" s="196"/>
      <c r="BY1939" s="196"/>
      <c r="BZ1939" s="196"/>
      <c r="CA1939" s="196"/>
      <c r="CB1939" s="178"/>
      <c r="CC1939" s="178"/>
      <c r="CD1939" s="202"/>
      <c r="CE1939" s="202"/>
      <c r="CF1939" s="178"/>
      <c r="CG1939" s="196"/>
      <c r="CH1939" s="178"/>
      <c r="CI1939" s="178"/>
      <c r="CJ1939" s="178"/>
      <c r="CK1939" s="178"/>
      <c r="CL1939" s="178"/>
      <c r="CM1939" s="178"/>
      <c r="CN1939" s="178"/>
      <c r="CO1939" s="178"/>
      <c r="CP1939" s="178"/>
      <c r="CQ1939" s="178"/>
      <c r="CR1939" s="178"/>
      <c r="CS1939" s="178"/>
      <c r="CT1939" s="178"/>
      <c r="CU1939" s="178"/>
      <c r="CV1939" s="178"/>
      <c r="CW1939" s="178"/>
      <c r="CX1939" s="178"/>
      <c r="CY1939" s="178"/>
      <c r="CZ1939" s="178"/>
      <c r="DA1939" s="150"/>
    </row>
    <row r="1940" spans="53:105" x14ac:dyDescent="0.2">
      <c r="BA1940" s="518">
        <f t="shared" ca="1" si="103"/>
        <v>61</v>
      </c>
      <c r="BB1940" s="174">
        <f t="shared" ca="1" si="104"/>
        <v>1877</v>
      </c>
      <c r="BC1940" s="525" t="e">
        <f ca="1">MATCH(BD1940,OFFSET(Pinlist!$A$2,BC1939*(BA1940=BA1939),0,$BM$23,1),0)+BC1939*(BA1940=BA1939)</f>
        <v>#N/A</v>
      </c>
      <c r="BD1940" s="167">
        <f t="shared" ca="1" si="105"/>
        <v>0</v>
      </c>
      <c r="BE1940" s="191" t="e">
        <f ca="1">(OFFSET(Pinlist!$E$1,BC1940,0)-$BN$16)*$BN$19</f>
        <v>#N/A</v>
      </c>
      <c r="BF1940" s="192" t="e">
        <f ca="1">(OFFSET(Pinlist!$F$1,BC1940,0)-$BO$16)*$BO$19</f>
        <v>#N/A</v>
      </c>
      <c r="BG1940" s="1098" t="str">
        <f ca="1">IF(LEFT(BD1940,2)="RF",OFFSET(Pinlist!$D$1,Chart!BC1940,0)&amp;"_"&amp;OFFSET(Pinlist!$G$1,Chart!BC1940,0),"")</f>
        <v/>
      </c>
      <c r="BH1940" s="1098"/>
      <c r="BI1940" s="178"/>
      <c r="BJ1940" s="178"/>
      <c r="BK1940" s="178"/>
      <c r="BL1940" s="178"/>
      <c r="BM1940" s="178"/>
      <c r="BN1940" s="178"/>
      <c r="BO1940" s="178"/>
      <c r="BP1940" s="178"/>
      <c r="BQ1940" s="196"/>
      <c r="BR1940" s="196"/>
      <c r="BS1940" s="196"/>
      <c r="BT1940" s="196"/>
      <c r="BU1940" s="196"/>
      <c r="BV1940" s="196"/>
      <c r="BW1940" s="178"/>
      <c r="BX1940" s="196"/>
      <c r="BY1940" s="196"/>
      <c r="BZ1940" s="196"/>
      <c r="CA1940" s="196"/>
      <c r="CB1940" s="178"/>
      <c r="CC1940" s="178"/>
      <c r="CD1940" s="202"/>
      <c r="CE1940" s="202"/>
      <c r="CF1940" s="178"/>
      <c r="CG1940" s="196"/>
      <c r="CH1940" s="178"/>
      <c r="CI1940" s="178"/>
      <c r="CJ1940" s="178"/>
      <c r="CK1940" s="178"/>
      <c r="CL1940" s="178"/>
      <c r="CM1940" s="178"/>
      <c r="CN1940" s="178"/>
      <c r="CO1940" s="178"/>
      <c r="CP1940" s="178"/>
      <c r="CQ1940" s="178"/>
      <c r="CR1940" s="178"/>
      <c r="CS1940" s="178"/>
      <c r="CT1940" s="178"/>
      <c r="CU1940" s="178"/>
      <c r="CV1940" s="178"/>
      <c r="CW1940" s="178"/>
      <c r="CX1940" s="178"/>
      <c r="CY1940" s="178"/>
      <c r="CZ1940" s="178"/>
      <c r="DA1940" s="150"/>
    </row>
    <row r="1941" spans="53:105" x14ac:dyDescent="0.2">
      <c r="BA1941" s="518">
        <f t="shared" ca="1" si="103"/>
        <v>61</v>
      </c>
      <c r="BB1941" s="174">
        <f t="shared" ca="1" si="104"/>
        <v>1878</v>
      </c>
      <c r="BC1941" s="525" t="e">
        <f ca="1">MATCH(BD1941,OFFSET(Pinlist!$A$2,BC1940*(BA1941=BA1940),0,$BM$23,1),0)+BC1940*(BA1941=BA1940)</f>
        <v>#N/A</v>
      </c>
      <c r="BD1941" s="167">
        <f t="shared" ca="1" si="105"/>
        <v>0</v>
      </c>
      <c r="BE1941" s="191" t="e">
        <f ca="1">(OFFSET(Pinlist!$E$1,BC1941,0)-$BN$16)*$BN$19</f>
        <v>#N/A</v>
      </c>
      <c r="BF1941" s="192" t="e">
        <f ca="1">(OFFSET(Pinlist!$F$1,BC1941,0)-$BO$16)*$BO$19</f>
        <v>#N/A</v>
      </c>
      <c r="BG1941" s="1098" t="str">
        <f ca="1">IF(LEFT(BD1941,2)="RF",OFFSET(Pinlist!$D$1,Chart!BC1941,0)&amp;"_"&amp;OFFSET(Pinlist!$G$1,Chart!BC1941,0),"")</f>
        <v/>
      </c>
      <c r="BH1941" s="1098"/>
      <c r="BI1941" s="178"/>
      <c r="BJ1941" s="178"/>
      <c r="BK1941" s="178"/>
      <c r="BL1941" s="178"/>
      <c r="BM1941" s="178"/>
      <c r="BN1941" s="178"/>
      <c r="BO1941" s="178"/>
      <c r="BP1941" s="178"/>
      <c r="BQ1941" s="196"/>
      <c r="BR1941" s="196"/>
      <c r="BS1941" s="196"/>
      <c r="BT1941" s="196"/>
      <c r="BU1941" s="196"/>
      <c r="BV1941" s="196"/>
      <c r="BW1941" s="178"/>
      <c r="BX1941" s="196"/>
      <c r="BY1941" s="196"/>
      <c r="BZ1941" s="196"/>
      <c r="CA1941" s="196"/>
      <c r="CB1941" s="178"/>
      <c r="CC1941" s="178"/>
      <c r="CD1941" s="202"/>
      <c r="CE1941" s="202"/>
      <c r="CF1941" s="178"/>
      <c r="CG1941" s="196"/>
      <c r="CH1941" s="178"/>
      <c r="CI1941" s="178"/>
      <c r="CJ1941" s="178"/>
      <c r="CK1941" s="178"/>
      <c r="CL1941" s="178"/>
      <c r="CM1941" s="178"/>
      <c r="CN1941" s="178"/>
      <c r="CO1941" s="178"/>
      <c r="CP1941" s="178"/>
      <c r="CQ1941" s="178"/>
      <c r="CR1941" s="178"/>
      <c r="CS1941" s="178"/>
      <c r="CT1941" s="178"/>
      <c r="CU1941" s="178"/>
      <c r="CV1941" s="178"/>
      <c r="CW1941" s="178"/>
      <c r="CX1941" s="178"/>
      <c r="CY1941" s="178"/>
      <c r="CZ1941" s="178"/>
      <c r="DA1941" s="150"/>
    </row>
    <row r="1942" spans="53:105" x14ac:dyDescent="0.2">
      <c r="BA1942" s="518">
        <f t="shared" ca="1" si="103"/>
        <v>61</v>
      </c>
      <c r="BB1942" s="174">
        <f t="shared" ca="1" si="104"/>
        <v>1879</v>
      </c>
      <c r="BC1942" s="525" t="e">
        <f ca="1">MATCH(BD1942,OFFSET(Pinlist!$A$2,BC1941*(BA1942=BA1941),0,$BM$23,1),0)+BC1941*(BA1942=BA1941)</f>
        <v>#N/A</v>
      </c>
      <c r="BD1942" s="167">
        <f t="shared" ca="1" si="105"/>
        <v>0</v>
      </c>
      <c r="BE1942" s="191" t="e">
        <f ca="1">(OFFSET(Pinlist!$E$1,BC1942,0)-$BN$16)*$BN$19</f>
        <v>#N/A</v>
      </c>
      <c r="BF1942" s="192" t="e">
        <f ca="1">(OFFSET(Pinlist!$F$1,BC1942,0)-$BO$16)*$BO$19</f>
        <v>#N/A</v>
      </c>
      <c r="BG1942" s="1098" t="str">
        <f ca="1">IF(LEFT(BD1942,2)="RF",OFFSET(Pinlist!$D$1,Chart!BC1942,0)&amp;"_"&amp;OFFSET(Pinlist!$G$1,Chart!BC1942,0),"")</f>
        <v/>
      </c>
      <c r="BH1942" s="1098"/>
      <c r="BI1942" s="178"/>
      <c r="BJ1942" s="178"/>
      <c r="BK1942" s="178"/>
      <c r="BL1942" s="178"/>
      <c r="BM1942" s="178"/>
      <c r="BN1942" s="178"/>
      <c r="BO1942" s="178"/>
      <c r="BP1942" s="178"/>
      <c r="BQ1942" s="196"/>
      <c r="BR1942" s="196"/>
      <c r="BS1942" s="196"/>
      <c r="BT1942" s="196"/>
      <c r="BU1942" s="196"/>
      <c r="BV1942" s="196"/>
      <c r="BW1942" s="178"/>
      <c r="BX1942" s="196"/>
      <c r="BY1942" s="196"/>
      <c r="BZ1942" s="196"/>
      <c r="CA1942" s="196"/>
      <c r="CB1942" s="178"/>
      <c r="CC1942" s="178"/>
      <c r="CD1942" s="202"/>
      <c r="CE1942" s="202"/>
      <c r="CF1942" s="178"/>
      <c r="CG1942" s="196"/>
      <c r="CH1942" s="178"/>
      <c r="CI1942" s="178"/>
      <c r="CJ1942" s="178"/>
      <c r="CK1942" s="178"/>
      <c r="CL1942" s="178"/>
      <c r="CM1942" s="178"/>
      <c r="CN1942" s="178"/>
      <c r="CO1942" s="178"/>
      <c r="CP1942" s="178"/>
      <c r="CQ1942" s="178"/>
      <c r="CR1942" s="178"/>
      <c r="CS1942" s="178"/>
      <c r="CT1942" s="178"/>
      <c r="CU1942" s="178"/>
      <c r="CV1942" s="178"/>
      <c r="CW1942" s="178"/>
      <c r="CX1942" s="178"/>
      <c r="CY1942" s="178"/>
      <c r="CZ1942" s="178"/>
      <c r="DA1942" s="150"/>
    </row>
    <row r="1943" spans="53:105" x14ac:dyDescent="0.2">
      <c r="BA1943" s="518">
        <f t="shared" ca="1" si="103"/>
        <v>61</v>
      </c>
      <c r="BB1943" s="174">
        <f t="shared" ca="1" si="104"/>
        <v>1880</v>
      </c>
      <c r="BC1943" s="525" t="e">
        <f ca="1">MATCH(BD1943,OFFSET(Pinlist!$A$2,BC1942*(BA1943=BA1942),0,$BM$23,1),0)+BC1942*(BA1943=BA1942)</f>
        <v>#N/A</v>
      </c>
      <c r="BD1943" s="167">
        <f t="shared" ca="1" si="105"/>
        <v>0</v>
      </c>
      <c r="BE1943" s="191" t="e">
        <f ca="1">(OFFSET(Pinlist!$E$1,BC1943,0)-$BN$16)*$BN$19</f>
        <v>#N/A</v>
      </c>
      <c r="BF1943" s="192" t="e">
        <f ca="1">(OFFSET(Pinlist!$F$1,BC1943,0)-$BO$16)*$BO$19</f>
        <v>#N/A</v>
      </c>
      <c r="BG1943" s="1098" t="str">
        <f ca="1">IF(LEFT(BD1943,2)="RF",OFFSET(Pinlist!$D$1,Chart!BC1943,0)&amp;"_"&amp;OFFSET(Pinlist!$G$1,Chart!BC1943,0),"")</f>
        <v/>
      </c>
      <c r="BH1943" s="1098"/>
      <c r="BI1943" s="178"/>
      <c r="BJ1943" s="178"/>
      <c r="BK1943" s="178"/>
      <c r="BL1943" s="178"/>
      <c r="BM1943" s="178"/>
      <c r="BN1943" s="178"/>
      <c r="BO1943" s="178"/>
      <c r="BP1943" s="178"/>
      <c r="BQ1943" s="196"/>
      <c r="BR1943" s="196"/>
      <c r="BS1943" s="196"/>
      <c r="BT1943" s="196"/>
      <c r="BU1943" s="196"/>
      <c r="BV1943" s="196"/>
      <c r="BW1943" s="178"/>
      <c r="BX1943" s="196"/>
      <c r="BY1943" s="196"/>
      <c r="BZ1943" s="196"/>
      <c r="CA1943" s="196"/>
      <c r="CB1943" s="178"/>
      <c r="CC1943" s="178"/>
      <c r="CD1943" s="202"/>
      <c r="CE1943" s="202"/>
      <c r="CF1943" s="178"/>
      <c r="CG1943" s="196"/>
      <c r="CH1943" s="178"/>
      <c r="CI1943" s="178"/>
      <c r="CJ1943" s="178"/>
      <c r="CK1943" s="178"/>
      <c r="CL1943" s="178"/>
      <c r="CM1943" s="178"/>
      <c r="CN1943" s="178"/>
      <c r="CO1943" s="178"/>
      <c r="CP1943" s="178"/>
      <c r="CQ1943" s="178"/>
      <c r="CR1943" s="178"/>
      <c r="CS1943" s="178"/>
      <c r="CT1943" s="178"/>
      <c r="CU1943" s="178"/>
      <c r="CV1943" s="178"/>
      <c r="CW1943" s="178"/>
      <c r="CX1943" s="178"/>
      <c r="CY1943" s="178"/>
      <c r="CZ1943" s="178"/>
      <c r="DA1943" s="150"/>
    </row>
    <row r="1944" spans="53:105" x14ac:dyDescent="0.2">
      <c r="BA1944" s="518">
        <f t="shared" ca="1" si="103"/>
        <v>61</v>
      </c>
      <c r="BB1944" s="174">
        <f t="shared" ca="1" si="104"/>
        <v>1881</v>
      </c>
      <c r="BC1944" s="525" t="e">
        <f ca="1">MATCH(BD1944,OFFSET(Pinlist!$A$2,BC1943*(BA1944=BA1943),0,$BM$23,1),0)+BC1943*(BA1944=BA1943)</f>
        <v>#N/A</v>
      </c>
      <c r="BD1944" s="167">
        <f t="shared" ca="1" si="105"/>
        <v>0</v>
      </c>
      <c r="BE1944" s="191" t="e">
        <f ca="1">(OFFSET(Pinlist!$E$1,BC1944,0)-$BN$16)*$BN$19</f>
        <v>#N/A</v>
      </c>
      <c r="BF1944" s="192" t="e">
        <f ca="1">(OFFSET(Pinlist!$F$1,BC1944,0)-$BO$16)*$BO$19</f>
        <v>#N/A</v>
      </c>
      <c r="BG1944" s="1098" t="str">
        <f ca="1">IF(LEFT(BD1944,2)="RF",OFFSET(Pinlist!$D$1,Chart!BC1944,0)&amp;"_"&amp;OFFSET(Pinlist!$G$1,Chart!BC1944,0),"")</f>
        <v/>
      </c>
      <c r="BH1944" s="1098"/>
      <c r="BI1944" s="178"/>
      <c r="BJ1944" s="178"/>
      <c r="BK1944" s="178"/>
      <c r="BL1944" s="178"/>
      <c r="BM1944" s="178"/>
      <c r="BN1944" s="178"/>
      <c r="BO1944" s="178"/>
      <c r="BP1944" s="178"/>
      <c r="BQ1944" s="196"/>
      <c r="BR1944" s="196"/>
      <c r="BS1944" s="196"/>
      <c r="BT1944" s="196"/>
      <c r="BU1944" s="196"/>
      <c r="BV1944" s="196"/>
      <c r="BW1944" s="178"/>
      <c r="BX1944" s="196"/>
      <c r="BY1944" s="196"/>
      <c r="BZ1944" s="196"/>
      <c r="CA1944" s="196"/>
      <c r="CB1944" s="178"/>
      <c r="CC1944" s="178"/>
      <c r="CD1944" s="202"/>
      <c r="CE1944" s="202"/>
      <c r="CF1944" s="178"/>
      <c r="CG1944" s="196"/>
      <c r="CH1944" s="178"/>
      <c r="CI1944" s="178"/>
      <c r="CJ1944" s="178"/>
      <c r="CK1944" s="178"/>
      <c r="CL1944" s="178"/>
      <c r="CM1944" s="178"/>
      <c r="CN1944" s="178"/>
      <c r="CO1944" s="178"/>
      <c r="CP1944" s="178"/>
      <c r="CQ1944" s="178"/>
      <c r="CR1944" s="178"/>
      <c r="CS1944" s="178"/>
      <c r="CT1944" s="178"/>
      <c r="CU1944" s="178"/>
      <c r="CV1944" s="178"/>
      <c r="CW1944" s="178"/>
      <c r="CX1944" s="178"/>
      <c r="CY1944" s="178"/>
      <c r="CZ1944" s="178"/>
      <c r="DA1944" s="150"/>
    </row>
    <row r="1945" spans="53:105" x14ac:dyDescent="0.2">
      <c r="BA1945" s="518">
        <f t="shared" ca="1" si="103"/>
        <v>61</v>
      </c>
      <c r="BB1945" s="174">
        <f t="shared" ca="1" si="104"/>
        <v>1882</v>
      </c>
      <c r="BC1945" s="525" t="e">
        <f ca="1">MATCH(BD1945,OFFSET(Pinlist!$A$2,BC1944*(BA1945=BA1944),0,$BM$23,1),0)+BC1944*(BA1945=BA1944)</f>
        <v>#N/A</v>
      </c>
      <c r="BD1945" s="167">
        <f t="shared" ca="1" si="105"/>
        <v>0</v>
      </c>
      <c r="BE1945" s="191" t="e">
        <f ca="1">(OFFSET(Pinlist!$E$1,BC1945,0)-$BN$16)*$BN$19</f>
        <v>#N/A</v>
      </c>
      <c r="BF1945" s="192" t="e">
        <f ca="1">(OFFSET(Pinlist!$F$1,BC1945,0)-$BO$16)*$BO$19</f>
        <v>#N/A</v>
      </c>
      <c r="BG1945" s="1098" t="str">
        <f ca="1">IF(LEFT(BD1945,2)="RF",OFFSET(Pinlist!$D$1,Chart!BC1945,0)&amp;"_"&amp;OFFSET(Pinlist!$G$1,Chart!BC1945,0),"")</f>
        <v/>
      </c>
      <c r="BH1945" s="1098"/>
      <c r="BI1945" s="178"/>
      <c r="BJ1945" s="178"/>
      <c r="BK1945" s="178"/>
      <c r="BL1945" s="178"/>
      <c r="BM1945" s="178"/>
      <c r="BN1945" s="178"/>
      <c r="BO1945" s="178"/>
      <c r="BP1945" s="178"/>
      <c r="BQ1945" s="196"/>
      <c r="BR1945" s="196"/>
      <c r="BS1945" s="196"/>
      <c r="BT1945" s="196"/>
      <c r="BU1945" s="196"/>
      <c r="BV1945" s="196"/>
      <c r="BW1945" s="178"/>
      <c r="BX1945" s="196"/>
      <c r="BY1945" s="196"/>
      <c r="BZ1945" s="196"/>
      <c r="CA1945" s="196"/>
      <c r="CB1945" s="178"/>
      <c r="CC1945" s="178"/>
      <c r="CD1945" s="202"/>
      <c r="CE1945" s="202"/>
      <c r="CF1945" s="178"/>
      <c r="CG1945" s="196"/>
      <c r="CH1945" s="178"/>
      <c r="CI1945" s="178"/>
      <c r="CJ1945" s="178"/>
      <c r="CK1945" s="178"/>
      <c r="CL1945" s="178"/>
      <c r="CM1945" s="178"/>
      <c r="CN1945" s="178"/>
      <c r="CO1945" s="178"/>
      <c r="CP1945" s="178"/>
      <c r="CQ1945" s="178"/>
      <c r="CR1945" s="178"/>
      <c r="CS1945" s="178"/>
      <c r="CT1945" s="178"/>
      <c r="CU1945" s="178"/>
      <c r="CV1945" s="178"/>
      <c r="CW1945" s="178"/>
      <c r="CX1945" s="178"/>
      <c r="CY1945" s="178"/>
      <c r="CZ1945" s="178"/>
      <c r="DA1945" s="150"/>
    </row>
    <row r="1946" spans="53:105" x14ac:dyDescent="0.2">
      <c r="BA1946" s="518">
        <f t="shared" ca="1" si="103"/>
        <v>61</v>
      </c>
      <c r="BB1946" s="174">
        <f t="shared" ca="1" si="104"/>
        <v>1883</v>
      </c>
      <c r="BC1946" s="525" t="e">
        <f ca="1">MATCH(BD1946,OFFSET(Pinlist!$A$2,BC1945*(BA1946=BA1945),0,$BM$23,1),0)+BC1945*(BA1946=BA1945)</f>
        <v>#N/A</v>
      </c>
      <c r="BD1946" s="167">
        <f t="shared" ca="1" si="105"/>
        <v>0</v>
      </c>
      <c r="BE1946" s="191" t="e">
        <f ca="1">(OFFSET(Pinlist!$E$1,BC1946,0)-$BN$16)*$BN$19</f>
        <v>#N/A</v>
      </c>
      <c r="BF1946" s="192" t="e">
        <f ca="1">(OFFSET(Pinlist!$F$1,BC1946,0)-$BO$16)*$BO$19</f>
        <v>#N/A</v>
      </c>
      <c r="BG1946" s="1098" t="str">
        <f ca="1">IF(LEFT(BD1946,2)="RF",OFFSET(Pinlist!$D$1,Chart!BC1946,0)&amp;"_"&amp;OFFSET(Pinlist!$G$1,Chart!BC1946,0),"")</f>
        <v/>
      </c>
      <c r="BH1946" s="1098"/>
      <c r="BI1946" s="178"/>
      <c r="BJ1946" s="178"/>
      <c r="BK1946" s="178"/>
      <c r="BL1946" s="178"/>
      <c r="BM1946" s="178"/>
      <c r="BN1946" s="178"/>
      <c r="BO1946" s="178"/>
      <c r="BP1946" s="178"/>
      <c r="BQ1946" s="196"/>
      <c r="BR1946" s="196"/>
      <c r="BS1946" s="196"/>
      <c r="BT1946" s="196"/>
      <c r="BU1946" s="196"/>
      <c r="BV1946" s="196"/>
      <c r="BW1946" s="178"/>
      <c r="BX1946" s="196"/>
      <c r="BY1946" s="196"/>
      <c r="BZ1946" s="196"/>
      <c r="CA1946" s="196"/>
      <c r="CB1946" s="178"/>
      <c r="CC1946" s="178"/>
      <c r="CD1946" s="202"/>
      <c r="CE1946" s="202"/>
      <c r="CF1946" s="178"/>
      <c r="CG1946" s="196"/>
      <c r="CH1946" s="178"/>
      <c r="CI1946" s="178"/>
      <c r="CJ1946" s="178"/>
      <c r="CK1946" s="178"/>
      <c r="CL1946" s="178"/>
      <c r="CM1946" s="178"/>
      <c r="CN1946" s="178"/>
      <c r="CO1946" s="178"/>
      <c r="CP1946" s="178"/>
      <c r="CQ1946" s="178"/>
      <c r="CR1946" s="178"/>
      <c r="CS1946" s="178"/>
      <c r="CT1946" s="178"/>
      <c r="CU1946" s="178"/>
      <c r="CV1946" s="178"/>
      <c r="CW1946" s="178"/>
      <c r="CX1946" s="178"/>
      <c r="CY1946" s="178"/>
      <c r="CZ1946" s="178"/>
      <c r="DA1946" s="150"/>
    </row>
    <row r="1947" spans="53:105" x14ac:dyDescent="0.2">
      <c r="BA1947" s="518">
        <f t="shared" ca="1" si="103"/>
        <v>61</v>
      </c>
      <c r="BB1947" s="174">
        <f t="shared" ca="1" si="104"/>
        <v>1884</v>
      </c>
      <c r="BC1947" s="525" t="e">
        <f ca="1">MATCH(BD1947,OFFSET(Pinlist!$A$2,BC1946*(BA1947=BA1946),0,$BM$23,1),0)+BC1946*(BA1947=BA1946)</f>
        <v>#N/A</v>
      </c>
      <c r="BD1947" s="167">
        <f t="shared" ca="1" si="105"/>
        <v>0</v>
      </c>
      <c r="BE1947" s="191" t="e">
        <f ca="1">(OFFSET(Pinlist!$E$1,BC1947,0)-$BN$16)*$BN$19</f>
        <v>#N/A</v>
      </c>
      <c r="BF1947" s="192" t="e">
        <f ca="1">(OFFSET(Pinlist!$F$1,BC1947,0)-$BO$16)*$BO$19</f>
        <v>#N/A</v>
      </c>
      <c r="BG1947" s="1098" t="str">
        <f ca="1">IF(LEFT(BD1947,2)="RF",OFFSET(Pinlist!$D$1,Chart!BC1947,0)&amp;"_"&amp;OFFSET(Pinlist!$G$1,Chart!BC1947,0),"")</f>
        <v/>
      </c>
      <c r="BH1947" s="1098"/>
      <c r="BI1947" s="178"/>
      <c r="BJ1947" s="178"/>
      <c r="BK1947" s="178"/>
      <c r="BL1947" s="178"/>
      <c r="BM1947" s="178"/>
      <c r="BN1947" s="178"/>
      <c r="BO1947" s="178"/>
      <c r="BP1947" s="178"/>
      <c r="BQ1947" s="196"/>
      <c r="BR1947" s="196"/>
      <c r="BS1947" s="196"/>
      <c r="BT1947" s="196"/>
      <c r="BU1947" s="196"/>
      <c r="BV1947" s="196"/>
      <c r="BW1947" s="178"/>
      <c r="BX1947" s="196"/>
      <c r="BY1947" s="196"/>
      <c r="BZ1947" s="196"/>
      <c r="CA1947" s="196"/>
      <c r="CB1947" s="178"/>
      <c r="CC1947" s="178"/>
      <c r="CD1947" s="202"/>
      <c r="CE1947" s="202"/>
      <c r="CF1947" s="178"/>
      <c r="CG1947" s="196"/>
      <c r="CH1947" s="178"/>
      <c r="CI1947" s="178"/>
      <c r="CJ1947" s="178"/>
      <c r="CK1947" s="178"/>
      <c r="CL1947" s="178"/>
      <c r="CM1947" s="178"/>
      <c r="CN1947" s="178"/>
      <c r="CO1947" s="178"/>
      <c r="CP1947" s="178"/>
      <c r="CQ1947" s="178"/>
      <c r="CR1947" s="178"/>
      <c r="CS1947" s="178"/>
      <c r="CT1947" s="178"/>
      <c r="CU1947" s="178"/>
      <c r="CV1947" s="178"/>
      <c r="CW1947" s="178"/>
      <c r="CX1947" s="178"/>
      <c r="CY1947" s="178"/>
      <c r="CZ1947" s="178"/>
      <c r="DA1947" s="150"/>
    </row>
    <row r="1948" spans="53:105" x14ac:dyDescent="0.2">
      <c r="BA1948" s="518">
        <f t="shared" ca="1" si="103"/>
        <v>61</v>
      </c>
      <c r="BB1948" s="174">
        <f t="shared" ca="1" si="104"/>
        <v>1885</v>
      </c>
      <c r="BC1948" s="525" t="e">
        <f ca="1">MATCH(BD1948,OFFSET(Pinlist!$A$2,BC1947*(BA1948=BA1947),0,$BM$23,1),0)+BC1947*(BA1948=BA1947)</f>
        <v>#N/A</v>
      </c>
      <c r="BD1948" s="167">
        <f t="shared" ca="1" si="105"/>
        <v>0</v>
      </c>
      <c r="BE1948" s="191" t="e">
        <f ca="1">(OFFSET(Pinlist!$E$1,BC1948,0)-$BN$16)*$BN$19</f>
        <v>#N/A</v>
      </c>
      <c r="BF1948" s="192" t="e">
        <f ca="1">(OFFSET(Pinlist!$F$1,BC1948,0)-$BO$16)*$BO$19</f>
        <v>#N/A</v>
      </c>
      <c r="BG1948" s="1098" t="str">
        <f ca="1">IF(LEFT(BD1948,2)="RF",OFFSET(Pinlist!$D$1,Chart!BC1948,0)&amp;"_"&amp;OFFSET(Pinlist!$G$1,Chart!BC1948,0),"")</f>
        <v/>
      </c>
      <c r="BH1948" s="1098"/>
      <c r="BI1948" s="178"/>
      <c r="BJ1948" s="178"/>
      <c r="BK1948" s="178"/>
      <c r="BL1948" s="178"/>
      <c r="BM1948" s="178"/>
      <c r="BN1948" s="178"/>
      <c r="BO1948" s="178"/>
      <c r="BP1948" s="178"/>
      <c r="BQ1948" s="196"/>
      <c r="BR1948" s="196"/>
      <c r="BS1948" s="196"/>
      <c r="BT1948" s="196"/>
      <c r="BU1948" s="196"/>
      <c r="BV1948" s="196"/>
      <c r="BW1948" s="178"/>
      <c r="BX1948" s="196"/>
      <c r="BY1948" s="196"/>
      <c r="BZ1948" s="196"/>
      <c r="CA1948" s="196"/>
      <c r="CB1948" s="178"/>
      <c r="CC1948" s="178"/>
      <c r="CD1948" s="202"/>
      <c r="CE1948" s="202"/>
      <c r="CF1948" s="178"/>
      <c r="CG1948" s="196"/>
      <c r="CH1948" s="178"/>
      <c r="CI1948" s="178"/>
      <c r="CJ1948" s="178"/>
      <c r="CK1948" s="178"/>
      <c r="CL1948" s="178"/>
      <c r="CM1948" s="178"/>
      <c r="CN1948" s="178"/>
      <c r="CO1948" s="178"/>
      <c r="CP1948" s="178"/>
      <c r="CQ1948" s="178"/>
      <c r="CR1948" s="178"/>
      <c r="CS1948" s="178"/>
      <c r="CT1948" s="178"/>
      <c r="CU1948" s="178"/>
      <c r="CV1948" s="178"/>
      <c r="CW1948" s="178"/>
      <c r="CX1948" s="178"/>
      <c r="CY1948" s="178"/>
      <c r="CZ1948" s="178"/>
      <c r="DA1948" s="150"/>
    </row>
    <row r="1949" spans="53:105" x14ac:dyDescent="0.2">
      <c r="BA1949" s="518">
        <f t="shared" ca="1" si="103"/>
        <v>61</v>
      </c>
      <c r="BB1949" s="174">
        <f t="shared" ca="1" si="104"/>
        <v>1886</v>
      </c>
      <c r="BC1949" s="525" t="e">
        <f ca="1">MATCH(BD1949,OFFSET(Pinlist!$A$2,BC1948*(BA1949=BA1948),0,$BM$23,1),0)+BC1948*(BA1949=BA1948)</f>
        <v>#N/A</v>
      </c>
      <c r="BD1949" s="167">
        <f t="shared" ca="1" si="105"/>
        <v>0</v>
      </c>
      <c r="BE1949" s="191" t="e">
        <f ca="1">(OFFSET(Pinlist!$E$1,BC1949,0)-$BN$16)*$BN$19</f>
        <v>#N/A</v>
      </c>
      <c r="BF1949" s="192" t="e">
        <f ca="1">(OFFSET(Pinlist!$F$1,BC1949,0)-$BO$16)*$BO$19</f>
        <v>#N/A</v>
      </c>
      <c r="BG1949" s="1098" t="str">
        <f ca="1">IF(LEFT(BD1949,2)="RF",OFFSET(Pinlist!$D$1,Chart!BC1949,0)&amp;"_"&amp;OFFSET(Pinlist!$G$1,Chart!BC1949,0),"")</f>
        <v/>
      </c>
      <c r="BH1949" s="1098"/>
      <c r="BI1949" s="178"/>
      <c r="BJ1949" s="178"/>
      <c r="BK1949" s="178"/>
      <c r="BL1949" s="178"/>
      <c r="BM1949" s="178"/>
      <c r="BN1949" s="178"/>
      <c r="BO1949" s="178"/>
      <c r="BP1949" s="178"/>
      <c r="BQ1949" s="196"/>
      <c r="BR1949" s="196"/>
      <c r="BS1949" s="196"/>
      <c r="BT1949" s="196"/>
      <c r="BU1949" s="196"/>
      <c r="BV1949" s="196"/>
      <c r="BW1949" s="178"/>
      <c r="BX1949" s="196"/>
      <c r="BY1949" s="196"/>
      <c r="BZ1949" s="196"/>
      <c r="CA1949" s="196"/>
      <c r="CB1949" s="178"/>
      <c r="CC1949" s="178"/>
      <c r="CD1949" s="202"/>
      <c r="CE1949" s="202"/>
      <c r="CF1949" s="178"/>
      <c r="CG1949" s="196"/>
      <c r="CH1949" s="178"/>
      <c r="CI1949" s="178"/>
      <c r="CJ1949" s="178"/>
      <c r="CK1949" s="178"/>
      <c r="CL1949" s="178"/>
      <c r="CM1949" s="178"/>
      <c r="CN1949" s="178"/>
      <c r="CO1949" s="178"/>
      <c r="CP1949" s="178"/>
      <c r="CQ1949" s="178"/>
      <c r="CR1949" s="178"/>
      <c r="CS1949" s="178"/>
      <c r="CT1949" s="178"/>
      <c r="CU1949" s="178"/>
      <c r="CV1949" s="178"/>
      <c r="CW1949" s="178"/>
      <c r="CX1949" s="178"/>
      <c r="CY1949" s="178"/>
      <c r="CZ1949" s="178"/>
      <c r="DA1949" s="150"/>
    </row>
    <row r="1950" spans="53:105" x14ac:dyDescent="0.2">
      <c r="BA1950" s="518">
        <f t="shared" ca="1" si="103"/>
        <v>61</v>
      </c>
      <c r="BB1950" s="174">
        <f t="shared" ca="1" si="104"/>
        <v>1887</v>
      </c>
      <c r="BC1950" s="525" t="e">
        <f ca="1">MATCH(BD1950,OFFSET(Pinlist!$A$2,BC1949*(BA1950=BA1949),0,$BM$23,1),0)+BC1949*(BA1950=BA1949)</f>
        <v>#N/A</v>
      </c>
      <c r="BD1950" s="167">
        <f t="shared" ca="1" si="105"/>
        <v>0</v>
      </c>
      <c r="BE1950" s="191" t="e">
        <f ca="1">(OFFSET(Pinlist!$E$1,BC1950,0)-$BN$16)*$BN$19</f>
        <v>#N/A</v>
      </c>
      <c r="BF1950" s="192" t="e">
        <f ca="1">(OFFSET(Pinlist!$F$1,BC1950,0)-$BO$16)*$BO$19</f>
        <v>#N/A</v>
      </c>
      <c r="BG1950" s="1098" t="str">
        <f ca="1">IF(LEFT(BD1950,2)="RF",OFFSET(Pinlist!$D$1,Chart!BC1950,0)&amp;"_"&amp;OFFSET(Pinlist!$G$1,Chart!BC1950,0),"")</f>
        <v/>
      </c>
      <c r="BH1950" s="1098"/>
      <c r="BI1950" s="178"/>
      <c r="BJ1950" s="178"/>
      <c r="BK1950" s="178"/>
      <c r="BL1950" s="178"/>
      <c r="BM1950" s="178"/>
      <c r="BN1950" s="178"/>
      <c r="BO1950" s="178"/>
      <c r="BP1950" s="178"/>
      <c r="BQ1950" s="196"/>
      <c r="BR1950" s="196"/>
      <c r="BS1950" s="196"/>
      <c r="BT1950" s="196"/>
      <c r="BU1950" s="196"/>
      <c r="BV1950" s="196"/>
      <c r="BW1950" s="178"/>
      <c r="BX1950" s="196"/>
      <c r="BY1950" s="196"/>
      <c r="BZ1950" s="196"/>
      <c r="CA1950" s="196"/>
      <c r="CB1950" s="178"/>
      <c r="CC1950" s="178"/>
      <c r="CD1950" s="202"/>
      <c r="CE1950" s="202"/>
      <c r="CF1950" s="178"/>
      <c r="CG1950" s="196"/>
      <c r="CH1950" s="178"/>
      <c r="CI1950" s="178"/>
      <c r="CJ1950" s="178"/>
      <c r="CK1950" s="178"/>
      <c r="CL1950" s="178"/>
      <c r="CM1950" s="178"/>
      <c r="CN1950" s="178"/>
      <c r="CO1950" s="178"/>
      <c r="CP1950" s="178"/>
      <c r="CQ1950" s="178"/>
      <c r="CR1950" s="178"/>
      <c r="CS1950" s="178"/>
      <c r="CT1950" s="178"/>
      <c r="CU1950" s="178"/>
      <c r="CV1950" s="178"/>
      <c r="CW1950" s="178"/>
      <c r="CX1950" s="178"/>
      <c r="CY1950" s="178"/>
      <c r="CZ1950" s="178"/>
      <c r="DA1950" s="150"/>
    </row>
    <row r="1951" spans="53:105" x14ac:dyDescent="0.2">
      <c r="BA1951" s="518">
        <f t="shared" ca="1" si="103"/>
        <v>61</v>
      </c>
      <c r="BB1951" s="174">
        <f t="shared" ca="1" si="104"/>
        <v>1888</v>
      </c>
      <c r="BC1951" s="525" t="e">
        <f ca="1">MATCH(BD1951,OFFSET(Pinlist!$A$2,BC1950*(BA1951=BA1950),0,$BM$23,1),0)+BC1950*(BA1951=BA1950)</f>
        <v>#N/A</v>
      </c>
      <c r="BD1951" s="167">
        <f t="shared" ca="1" si="105"/>
        <v>0</v>
      </c>
      <c r="BE1951" s="191" t="e">
        <f ca="1">(OFFSET(Pinlist!$E$1,BC1951,0)-$BN$16)*$BN$19</f>
        <v>#N/A</v>
      </c>
      <c r="BF1951" s="192" t="e">
        <f ca="1">(OFFSET(Pinlist!$F$1,BC1951,0)-$BO$16)*$BO$19</f>
        <v>#N/A</v>
      </c>
      <c r="BG1951" s="1098" t="str">
        <f ca="1">IF(LEFT(BD1951,2)="RF",OFFSET(Pinlist!$D$1,Chart!BC1951,0)&amp;"_"&amp;OFFSET(Pinlist!$G$1,Chart!BC1951,0),"")</f>
        <v/>
      </c>
      <c r="BH1951" s="1098"/>
      <c r="BI1951" s="178"/>
      <c r="BJ1951" s="178"/>
      <c r="BK1951" s="178"/>
      <c r="BL1951" s="178"/>
      <c r="BM1951" s="178"/>
      <c r="BN1951" s="178"/>
      <c r="BO1951" s="178"/>
      <c r="BP1951" s="178"/>
      <c r="BQ1951" s="196"/>
      <c r="BR1951" s="196"/>
      <c r="BS1951" s="196"/>
      <c r="BT1951" s="196"/>
      <c r="BU1951" s="196"/>
      <c r="BV1951" s="196"/>
      <c r="BW1951" s="178"/>
      <c r="BX1951" s="196"/>
      <c r="BY1951" s="196"/>
      <c r="BZ1951" s="196"/>
      <c r="CA1951" s="196"/>
      <c r="CB1951" s="178"/>
      <c r="CC1951" s="178"/>
      <c r="CD1951" s="202"/>
      <c r="CE1951" s="202"/>
      <c r="CF1951" s="178"/>
      <c r="CG1951" s="196"/>
      <c r="CH1951" s="178"/>
      <c r="CI1951" s="178"/>
      <c r="CJ1951" s="178"/>
      <c r="CK1951" s="178"/>
      <c r="CL1951" s="178"/>
      <c r="CM1951" s="178"/>
      <c r="CN1951" s="178"/>
      <c r="CO1951" s="178"/>
      <c r="CP1951" s="178"/>
      <c r="CQ1951" s="178"/>
      <c r="CR1951" s="178"/>
      <c r="CS1951" s="178"/>
      <c r="CT1951" s="178"/>
      <c r="CU1951" s="178"/>
      <c r="CV1951" s="178"/>
      <c r="CW1951" s="178"/>
      <c r="CX1951" s="178"/>
      <c r="CY1951" s="178"/>
      <c r="CZ1951" s="178"/>
      <c r="DA1951" s="150"/>
    </row>
    <row r="1952" spans="53:105" x14ac:dyDescent="0.2">
      <c r="BA1952" s="518">
        <f t="shared" ca="1" si="103"/>
        <v>61</v>
      </c>
      <c r="BB1952" s="174">
        <f t="shared" ca="1" si="104"/>
        <v>1889</v>
      </c>
      <c r="BC1952" s="525" t="e">
        <f ca="1">MATCH(BD1952,OFFSET(Pinlist!$A$2,BC1951*(BA1952=BA1951),0,$BM$23,1),0)+BC1951*(BA1952=BA1951)</f>
        <v>#N/A</v>
      </c>
      <c r="BD1952" s="167">
        <f t="shared" ca="1" si="105"/>
        <v>0</v>
      </c>
      <c r="BE1952" s="191" t="e">
        <f ca="1">(OFFSET(Pinlist!$E$1,BC1952,0)-$BN$16)*$BN$19</f>
        <v>#N/A</v>
      </c>
      <c r="BF1952" s="192" t="e">
        <f ca="1">(OFFSET(Pinlist!$F$1,BC1952,0)-$BO$16)*$BO$19</f>
        <v>#N/A</v>
      </c>
      <c r="BG1952" s="1098" t="str">
        <f ca="1">IF(LEFT(BD1952,2)="RF",OFFSET(Pinlist!$D$1,Chart!BC1952,0)&amp;"_"&amp;OFFSET(Pinlist!$G$1,Chart!BC1952,0),"")</f>
        <v/>
      </c>
      <c r="BH1952" s="1098"/>
      <c r="BI1952" s="178"/>
      <c r="BJ1952" s="178"/>
      <c r="BK1952" s="178"/>
      <c r="BL1952" s="178"/>
      <c r="BM1952" s="178"/>
      <c r="BN1952" s="178"/>
      <c r="BO1952" s="178"/>
      <c r="BP1952" s="178"/>
      <c r="BQ1952" s="196"/>
      <c r="BR1952" s="196"/>
      <c r="BS1952" s="196"/>
      <c r="BT1952" s="196"/>
      <c r="BU1952" s="196"/>
      <c r="BV1952" s="196"/>
      <c r="BW1952" s="178"/>
      <c r="BX1952" s="196"/>
      <c r="BY1952" s="196"/>
      <c r="BZ1952" s="196"/>
      <c r="CA1952" s="196"/>
      <c r="CB1952" s="178"/>
      <c r="CC1952" s="178"/>
      <c r="CD1952" s="202"/>
      <c r="CE1952" s="202"/>
      <c r="CF1952" s="178"/>
      <c r="CG1952" s="196"/>
      <c r="CH1952" s="178"/>
      <c r="CI1952" s="178"/>
      <c r="CJ1952" s="178"/>
      <c r="CK1952" s="178"/>
      <c r="CL1952" s="178"/>
      <c r="CM1952" s="178"/>
      <c r="CN1952" s="178"/>
      <c r="CO1952" s="178"/>
      <c r="CP1952" s="178"/>
      <c r="CQ1952" s="178"/>
      <c r="CR1952" s="178"/>
      <c r="CS1952" s="178"/>
      <c r="CT1952" s="178"/>
      <c r="CU1952" s="178"/>
      <c r="CV1952" s="178"/>
      <c r="CW1952" s="178"/>
      <c r="CX1952" s="178"/>
      <c r="CY1952" s="178"/>
      <c r="CZ1952" s="178"/>
      <c r="DA1952" s="150"/>
    </row>
    <row r="1953" spans="53:105" x14ac:dyDescent="0.2">
      <c r="BA1953" s="518">
        <f t="shared" ca="1" si="103"/>
        <v>61</v>
      </c>
      <c r="BB1953" s="174">
        <f t="shared" ca="1" si="104"/>
        <v>1890</v>
      </c>
      <c r="BC1953" s="525" t="e">
        <f ca="1">MATCH(BD1953,OFFSET(Pinlist!$A$2,BC1952*(BA1953=BA1952),0,$BM$23,1),0)+BC1952*(BA1953=BA1952)</f>
        <v>#N/A</v>
      </c>
      <c r="BD1953" s="167">
        <f t="shared" ca="1" si="105"/>
        <v>0</v>
      </c>
      <c r="BE1953" s="191" t="e">
        <f ca="1">(OFFSET(Pinlist!$E$1,BC1953,0)-$BN$16)*$BN$19</f>
        <v>#N/A</v>
      </c>
      <c r="BF1953" s="192" t="e">
        <f ca="1">(OFFSET(Pinlist!$F$1,BC1953,0)-$BO$16)*$BO$19</f>
        <v>#N/A</v>
      </c>
      <c r="BG1953" s="1098" t="str">
        <f ca="1">IF(LEFT(BD1953,2)="RF",OFFSET(Pinlist!$D$1,Chart!BC1953,0)&amp;"_"&amp;OFFSET(Pinlist!$G$1,Chart!BC1953,0),"")</f>
        <v/>
      </c>
      <c r="BH1953" s="1098"/>
      <c r="BI1953" s="178"/>
      <c r="BJ1953" s="178"/>
      <c r="BK1953" s="178"/>
      <c r="BL1953" s="178"/>
      <c r="BM1953" s="178"/>
      <c r="BN1953" s="178"/>
      <c r="BO1953" s="178"/>
      <c r="BP1953" s="178"/>
      <c r="BQ1953" s="196"/>
      <c r="BR1953" s="196"/>
      <c r="BS1953" s="196"/>
      <c r="BT1953" s="196"/>
      <c r="BU1953" s="196"/>
      <c r="BV1953" s="196"/>
      <c r="BW1953" s="178"/>
      <c r="BX1953" s="196"/>
      <c r="BY1953" s="196"/>
      <c r="BZ1953" s="196"/>
      <c r="CA1953" s="196"/>
      <c r="CB1953" s="178"/>
      <c r="CC1953" s="178"/>
      <c r="CD1953" s="202"/>
      <c r="CE1953" s="202"/>
      <c r="CF1953" s="178"/>
      <c r="CG1953" s="196"/>
      <c r="CH1953" s="178"/>
      <c r="CI1953" s="178"/>
      <c r="CJ1953" s="178"/>
      <c r="CK1953" s="178"/>
      <c r="CL1953" s="178"/>
      <c r="CM1953" s="178"/>
      <c r="CN1953" s="178"/>
      <c r="CO1953" s="178"/>
      <c r="CP1953" s="178"/>
      <c r="CQ1953" s="178"/>
      <c r="CR1953" s="178"/>
      <c r="CS1953" s="178"/>
      <c r="CT1953" s="178"/>
      <c r="CU1953" s="178"/>
      <c r="CV1953" s="178"/>
      <c r="CW1953" s="178"/>
      <c r="CX1953" s="178"/>
      <c r="CY1953" s="178"/>
      <c r="CZ1953" s="178"/>
      <c r="DA1953" s="150"/>
    </row>
    <row r="1954" spans="53:105" x14ac:dyDescent="0.2">
      <c r="BA1954" s="518">
        <f t="shared" ca="1" si="103"/>
        <v>61</v>
      </c>
      <c r="BB1954" s="174">
        <f t="shared" ca="1" si="104"/>
        <v>1891</v>
      </c>
      <c r="BC1954" s="525" t="e">
        <f ca="1">MATCH(BD1954,OFFSET(Pinlist!$A$2,BC1953*(BA1954=BA1953),0,$BM$23,1),0)+BC1953*(BA1954=BA1953)</f>
        <v>#N/A</v>
      </c>
      <c r="BD1954" s="167">
        <f t="shared" ca="1" si="105"/>
        <v>0</v>
      </c>
      <c r="BE1954" s="191" t="e">
        <f ca="1">(OFFSET(Pinlist!$E$1,BC1954,0)-$BN$16)*$BN$19</f>
        <v>#N/A</v>
      </c>
      <c r="BF1954" s="192" t="e">
        <f ca="1">(OFFSET(Pinlist!$F$1,BC1954,0)-$BO$16)*$BO$19</f>
        <v>#N/A</v>
      </c>
      <c r="BG1954" s="1098" t="str">
        <f ca="1">IF(LEFT(BD1954,2)="RF",OFFSET(Pinlist!$D$1,Chart!BC1954,0)&amp;"_"&amp;OFFSET(Pinlist!$G$1,Chart!BC1954,0),"")</f>
        <v/>
      </c>
      <c r="BH1954" s="1098"/>
      <c r="BI1954" s="178"/>
      <c r="BJ1954" s="178"/>
      <c r="BK1954" s="178"/>
      <c r="BL1954" s="178"/>
      <c r="BM1954" s="178"/>
      <c r="BN1954" s="178"/>
      <c r="BO1954" s="178"/>
      <c r="BP1954" s="178"/>
      <c r="BQ1954" s="196"/>
      <c r="BR1954" s="196"/>
      <c r="BS1954" s="196"/>
      <c r="BT1954" s="196"/>
      <c r="BU1954" s="196"/>
      <c r="BV1954" s="196"/>
      <c r="BW1954" s="178"/>
      <c r="BX1954" s="196"/>
      <c r="BY1954" s="196"/>
      <c r="BZ1954" s="196"/>
      <c r="CA1954" s="196"/>
      <c r="CB1954" s="178"/>
      <c r="CC1954" s="178"/>
      <c r="CD1954" s="202"/>
      <c r="CE1954" s="202"/>
      <c r="CF1954" s="178"/>
      <c r="CG1954" s="196"/>
      <c r="CH1954" s="178"/>
      <c r="CI1954" s="178"/>
      <c r="CJ1954" s="178"/>
      <c r="CK1954" s="178"/>
      <c r="CL1954" s="178"/>
      <c r="CM1954" s="178"/>
      <c r="CN1954" s="178"/>
      <c r="CO1954" s="178"/>
      <c r="CP1954" s="178"/>
      <c r="CQ1954" s="178"/>
      <c r="CR1954" s="178"/>
      <c r="CS1954" s="178"/>
      <c r="CT1954" s="178"/>
      <c r="CU1954" s="178"/>
      <c r="CV1954" s="178"/>
      <c r="CW1954" s="178"/>
      <c r="CX1954" s="178"/>
      <c r="CY1954" s="178"/>
      <c r="CZ1954" s="178"/>
      <c r="DA1954" s="150"/>
    </row>
    <row r="1955" spans="53:105" x14ac:dyDescent="0.2">
      <c r="BA1955" s="518">
        <f t="shared" ca="1" si="103"/>
        <v>61</v>
      </c>
      <c r="BB1955" s="174">
        <f t="shared" ca="1" si="104"/>
        <v>1892</v>
      </c>
      <c r="BC1955" s="525" t="e">
        <f ca="1">MATCH(BD1955,OFFSET(Pinlist!$A$2,BC1954*(BA1955=BA1954),0,$BM$23,1),0)+BC1954*(BA1955=BA1954)</f>
        <v>#N/A</v>
      </c>
      <c r="BD1955" s="167">
        <f t="shared" ca="1" si="105"/>
        <v>0</v>
      </c>
      <c r="BE1955" s="191" t="e">
        <f ca="1">(OFFSET(Pinlist!$E$1,BC1955,0)-$BN$16)*$BN$19</f>
        <v>#N/A</v>
      </c>
      <c r="BF1955" s="192" t="e">
        <f ca="1">(OFFSET(Pinlist!$F$1,BC1955,0)-$BO$16)*$BO$19</f>
        <v>#N/A</v>
      </c>
      <c r="BG1955" s="1098" t="str">
        <f ca="1">IF(LEFT(BD1955,2)="RF",OFFSET(Pinlist!$D$1,Chart!BC1955,0)&amp;"_"&amp;OFFSET(Pinlist!$G$1,Chart!BC1955,0),"")</f>
        <v/>
      </c>
      <c r="BH1955" s="1098"/>
      <c r="BI1955" s="178"/>
      <c r="BJ1955" s="178"/>
      <c r="BK1955" s="178"/>
      <c r="BL1955" s="178"/>
      <c r="BM1955" s="178"/>
      <c r="BN1955" s="178"/>
      <c r="BO1955" s="178"/>
      <c r="BP1955" s="178"/>
      <c r="BQ1955" s="196"/>
      <c r="BR1955" s="196"/>
      <c r="BS1955" s="196"/>
      <c r="BT1955" s="196"/>
      <c r="BU1955" s="196"/>
      <c r="BV1955" s="196"/>
      <c r="BW1955" s="178"/>
      <c r="BX1955" s="196"/>
      <c r="BY1955" s="196"/>
      <c r="BZ1955" s="196"/>
      <c r="CA1955" s="196"/>
      <c r="CB1955" s="178"/>
      <c r="CC1955" s="178"/>
      <c r="CD1955" s="202"/>
      <c r="CE1955" s="202"/>
      <c r="CF1955" s="178"/>
      <c r="CG1955" s="196"/>
      <c r="CH1955" s="178"/>
      <c r="CI1955" s="178"/>
      <c r="CJ1955" s="178"/>
      <c r="CK1955" s="178"/>
      <c r="CL1955" s="178"/>
      <c r="CM1955" s="178"/>
      <c r="CN1955" s="178"/>
      <c r="CO1955" s="178"/>
      <c r="CP1955" s="178"/>
      <c r="CQ1955" s="178"/>
      <c r="CR1955" s="178"/>
      <c r="CS1955" s="178"/>
      <c r="CT1955" s="178"/>
      <c r="CU1955" s="178"/>
      <c r="CV1955" s="178"/>
      <c r="CW1955" s="178"/>
      <c r="CX1955" s="178"/>
      <c r="CY1955" s="178"/>
      <c r="CZ1955" s="178"/>
      <c r="DA1955" s="150"/>
    </row>
    <row r="1956" spans="53:105" x14ac:dyDescent="0.2">
      <c r="BA1956" s="518">
        <f t="shared" ca="1" si="103"/>
        <v>61</v>
      </c>
      <c r="BB1956" s="174">
        <f t="shared" ca="1" si="104"/>
        <v>1893</v>
      </c>
      <c r="BC1956" s="525" t="e">
        <f ca="1">MATCH(BD1956,OFFSET(Pinlist!$A$2,BC1955*(BA1956=BA1955),0,$BM$23,1),0)+BC1955*(BA1956=BA1955)</f>
        <v>#N/A</v>
      </c>
      <c r="BD1956" s="167">
        <f t="shared" ca="1" si="105"/>
        <v>0</v>
      </c>
      <c r="BE1956" s="191" t="e">
        <f ca="1">(OFFSET(Pinlist!$E$1,BC1956,0)-$BN$16)*$BN$19</f>
        <v>#N/A</v>
      </c>
      <c r="BF1956" s="192" t="e">
        <f ca="1">(OFFSET(Pinlist!$F$1,BC1956,0)-$BO$16)*$BO$19</f>
        <v>#N/A</v>
      </c>
      <c r="BG1956" s="1098" t="str">
        <f ca="1">IF(LEFT(BD1956,2)="RF",OFFSET(Pinlist!$D$1,Chart!BC1956,0)&amp;"_"&amp;OFFSET(Pinlist!$G$1,Chart!BC1956,0),"")</f>
        <v/>
      </c>
      <c r="BH1956" s="1098"/>
      <c r="BI1956" s="178"/>
      <c r="BJ1956" s="178"/>
      <c r="BK1956" s="178"/>
      <c r="BL1956" s="178"/>
      <c r="BM1956" s="178"/>
      <c r="BN1956" s="178"/>
      <c r="BO1956" s="178"/>
      <c r="BP1956" s="178"/>
      <c r="BQ1956" s="196"/>
      <c r="BR1956" s="196"/>
      <c r="BS1956" s="196"/>
      <c r="BT1956" s="196"/>
      <c r="BU1956" s="196"/>
      <c r="BV1956" s="196"/>
      <c r="BW1956" s="178"/>
      <c r="BX1956" s="196"/>
      <c r="BY1956" s="196"/>
      <c r="BZ1956" s="196"/>
      <c r="CA1956" s="196"/>
      <c r="CB1956" s="178"/>
      <c r="CC1956" s="178"/>
      <c r="CD1956" s="202"/>
      <c r="CE1956" s="202"/>
      <c r="CF1956" s="178"/>
      <c r="CG1956" s="196"/>
      <c r="CH1956" s="178"/>
      <c r="CI1956" s="178"/>
      <c r="CJ1956" s="178"/>
      <c r="CK1956" s="178"/>
      <c r="CL1956" s="178"/>
      <c r="CM1956" s="178"/>
      <c r="CN1956" s="178"/>
      <c r="CO1956" s="178"/>
      <c r="CP1956" s="178"/>
      <c r="CQ1956" s="178"/>
      <c r="CR1956" s="178"/>
      <c r="CS1956" s="178"/>
      <c r="CT1956" s="178"/>
      <c r="CU1956" s="178"/>
      <c r="CV1956" s="178"/>
      <c r="CW1956" s="178"/>
      <c r="CX1956" s="178"/>
      <c r="CY1956" s="178"/>
      <c r="CZ1956" s="178"/>
      <c r="DA1956" s="150"/>
    </row>
    <row r="1957" spans="53:105" x14ac:dyDescent="0.2">
      <c r="BA1957" s="518">
        <f t="shared" ca="1" si="103"/>
        <v>61</v>
      </c>
      <c r="BB1957" s="174">
        <f t="shared" ca="1" si="104"/>
        <v>1894</v>
      </c>
      <c r="BC1957" s="525" t="e">
        <f ca="1">MATCH(BD1957,OFFSET(Pinlist!$A$2,BC1956*(BA1957=BA1956),0,$BM$23,1),0)+BC1956*(BA1957=BA1956)</f>
        <v>#N/A</v>
      </c>
      <c r="BD1957" s="167">
        <f t="shared" ca="1" si="105"/>
        <v>0</v>
      </c>
      <c r="BE1957" s="191" t="e">
        <f ca="1">(OFFSET(Pinlist!$E$1,BC1957,0)-$BN$16)*$BN$19</f>
        <v>#N/A</v>
      </c>
      <c r="BF1957" s="192" t="e">
        <f ca="1">(OFFSET(Pinlist!$F$1,BC1957,0)-$BO$16)*$BO$19</f>
        <v>#N/A</v>
      </c>
      <c r="BG1957" s="1098" t="str">
        <f ca="1">IF(LEFT(BD1957,2)="RF",OFFSET(Pinlist!$D$1,Chart!BC1957,0)&amp;"_"&amp;OFFSET(Pinlist!$G$1,Chart!BC1957,0),"")</f>
        <v/>
      </c>
      <c r="BH1957" s="1098"/>
      <c r="BI1957" s="178"/>
      <c r="BJ1957" s="178"/>
      <c r="BK1957" s="178"/>
      <c r="BL1957" s="178"/>
      <c r="BM1957" s="178"/>
      <c r="BN1957" s="178"/>
      <c r="BO1957" s="178"/>
      <c r="BP1957" s="178"/>
      <c r="BQ1957" s="196"/>
      <c r="BR1957" s="196"/>
      <c r="BS1957" s="196"/>
      <c r="BT1957" s="196"/>
      <c r="BU1957" s="196"/>
      <c r="BV1957" s="196"/>
      <c r="BW1957" s="178"/>
      <c r="BX1957" s="196"/>
      <c r="BY1957" s="196"/>
      <c r="BZ1957" s="196"/>
      <c r="CA1957" s="196"/>
      <c r="CB1957" s="178"/>
      <c r="CC1957" s="178"/>
      <c r="CD1957" s="202"/>
      <c r="CE1957" s="202"/>
      <c r="CF1957" s="178"/>
      <c r="CG1957" s="196"/>
      <c r="CH1957" s="178"/>
      <c r="CI1957" s="178"/>
      <c r="CJ1957" s="178"/>
      <c r="CK1957" s="178"/>
      <c r="CL1957" s="178"/>
      <c r="CM1957" s="178"/>
      <c r="CN1957" s="178"/>
      <c r="CO1957" s="178"/>
      <c r="CP1957" s="178"/>
      <c r="CQ1957" s="178"/>
      <c r="CR1957" s="178"/>
      <c r="CS1957" s="178"/>
      <c r="CT1957" s="178"/>
      <c r="CU1957" s="178"/>
      <c r="CV1957" s="178"/>
      <c r="CW1957" s="178"/>
      <c r="CX1957" s="178"/>
      <c r="CY1957" s="178"/>
      <c r="CZ1957" s="178"/>
      <c r="DA1957" s="150"/>
    </row>
    <row r="1958" spans="53:105" x14ac:dyDescent="0.2">
      <c r="BA1958" s="518">
        <f t="shared" ca="1" si="103"/>
        <v>61</v>
      </c>
      <c r="BB1958" s="174">
        <f t="shared" ca="1" si="104"/>
        <v>1895</v>
      </c>
      <c r="BC1958" s="525" t="e">
        <f ca="1">MATCH(BD1958,OFFSET(Pinlist!$A$2,BC1957*(BA1958=BA1957),0,$BM$23,1),0)+BC1957*(BA1958=BA1957)</f>
        <v>#N/A</v>
      </c>
      <c r="BD1958" s="167">
        <f t="shared" ca="1" si="105"/>
        <v>0</v>
      </c>
      <c r="BE1958" s="191" t="e">
        <f ca="1">(OFFSET(Pinlist!$E$1,BC1958,0)-$BN$16)*$BN$19</f>
        <v>#N/A</v>
      </c>
      <c r="BF1958" s="192" t="e">
        <f ca="1">(OFFSET(Pinlist!$F$1,BC1958,0)-$BO$16)*$BO$19</f>
        <v>#N/A</v>
      </c>
      <c r="BG1958" s="1098" t="str">
        <f ca="1">IF(LEFT(BD1958,2)="RF",OFFSET(Pinlist!$D$1,Chart!BC1958,0)&amp;"_"&amp;OFFSET(Pinlist!$G$1,Chart!BC1958,0),"")</f>
        <v/>
      </c>
      <c r="BH1958" s="1098"/>
      <c r="BI1958" s="178"/>
      <c r="BJ1958" s="178"/>
      <c r="BK1958" s="178"/>
      <c r="BL1958" s="178"/>
      <c r="BM1958" s="178"/>
      <c r="BN1958" s="178"/>
      <c r="BO1958" s="178"/>
      <c r="BP1958" s="178"/>
      <c r="BQ1958" s="196"/>
      <c r="BR1958" s="196"/>
      <c r="BS1958" s="196"/>
      <c r="BT1958" s="196"/>
      <c r="BU1958" s="196"/>
      <c r="BV1958" s="196"/>
      <c r="BW1958" s="178"/>
      <c r="BX1958" s="196"/>
      <c r="BY1958" s="196"/>
      <c r="BZ1958" s="196"/>
      <c r="CA1958" s="196"/>
      <c r="CB1958" s="178"/>
      <c r="CC1958" s="178"/>
      <c r="CD1958" s="202"/>
      <c r="CE1958" s="202"/>
      <c r="CF1958" s="178"/>
      <c r="CG1958" s="196"/>
      <c r="CH1958" s="178"/>
      <c r="CI1958" s="178"/>
      <c r="CJ1958" s="178"/>
      <c r="CK1958" s="178"/>
      <c r="CL1958" s="178"/>
      <c r="CM1958" s="178"/>
      <c r="CN1958" s="178"/>
      <c r="CO1958" s="178"/>
      <c r="CP1958" s="178"/>
      <c r="CQ1958" s="178"/>
      <c r="CR1958" s="178"/>
      <c r="CS1958" s="178"/>
      <c r="CT1958" s="178"/>
      <c r="CU1958" s="178"/>
      <c r="CV1958" s="178"/>
      <c r="CW1958" s="178"/>
      <c r="CX1958" s="178"/>
      <c r="CY1958" s="178"/>
      <c r="CZ1958" s="178"/>
      <c r="DA1958" s="150"/>
    </row>
    <row r="1959" spans="53:105" x14ac:dyDescent="0.2">
      <c r="BA1959" s="518">
        <f t="shared" ca="1" si="103"/>
        <v>61</v>
      </c>
      <c r="BB1959" s="174">
        <f t="shared" ca="1" si="104"/>
        <v>1896</v>
      </c>
      <c r="BC1959" s="525" t="e">
        <f ca="1">MATCH(BD1959,OFFSET(Pinlist!$A$2,BC1958*(BA1959=BA1958),0,$BM$23,1),0)+BC1958*(BA1959=BA1958)</f>
        <v>#N/A</v>
      </c>
      <c r="BD1959" s="167">
        <f t="shared" ca="1" si="105"/>
        <v>0</v>
      </c>
      <c r="BE1959" s="191" t="e">
        <f ca="1">(OFFSET(Pinlist!$E$1,BC1959,0)-$BN$16)*$BN$19</f>
        <v>#N/A</v>
      </c>
      <c r="BF1959" s="192" t="e">
        <f ca="1">(OFFSET(Pinlist!$F$1,BC1959,0)-$BO$16)*$BO$19</f>
        <v>#N/A</v>
      </c>
      <c r="BG1959" s="1098" t="str">
        <f ca="1">IF(LEFT(BD1959,2)="RF",OFFSET(Pinlist!$D$1,Chart!BC1959,0)&amp;"_"&amp;OFFSET(Pinlist!$G$1,Chart!BC1959,0),"")</f>
        <v/>
      </c>
      <c r="BH1959" s="1098"/>
      <c r="BI1959" s="178"/>
      <c r="BJ1959" s="178"/>
      <c r="BK1959" s="178"/>
      <c r="BL1959" s="178"/>
      <c r="BM1959" s="178"/>
      <c r="BN1959" s="178"/>
      <c r="BO1959" s="178"/>
      <c r="BP1959" s="178"/>
      <c r="BQ1959" s="196"/>
      <c r="BR1959" s="196"/>
      <c r="BS1959" s="196"/>
      <c r="BT1959" s="196"/>
      <c r="BU1959" s="196"/>
      <c r="BV1959" s="196"/>
      <c r="BW1959" s="178"/>
      <c r="BX1959" s="196"/>
      <c r="BY1959" s="196"/>
      <c r="BZ1959" s="196"/>
      <c r="CA1959" s="196"/>
      <c r="CB1959" s="178"/>
      <c r="CC1959" s="178"/>
      <c r="CD1959" s="202"/>
      <c r="CE1959" s="202"/>
      <c r="CF1959" s="178"/>
      <c r="CG1959" s="196"/>
      <c r="CH1959" s="178"/>
      <c r="CI1959" s="178"/>
      <c r="CJ1959" s="178"/>
      <c r="CK1959" s="178"/>
      <c r="CL1959" s="178"/>
      <c r="CM1959" s="178"/>
      <c r="CN1959" s="178"/>
      <c r="CO1959" s="178"/>
      <c r="CP1959" s="178"/>
      <c r="CQ1959" s="178"/>
      <c r="CR1959" s="178"/>
      <c r="CS1959" s="178"/>
      <c r="CT1959" s="178"/>
      <c r="CU1959" s="178"/>
      <c r="CV1959" s="178"/>
      <c r="CW1959" s="178"/>
      <c r="CX1959" s="178"/>
      <c r="CY1959" s="178"/>
      <c r="CZ1959" s="178"/>
      <c r="DA1959" s="150"/>
    </row>
    <row r="1960" spans="53:105" x14ac:dyDescent="0.2">
      <c r="BA1960" s="518">
        <f t="shared" ca="1" si="103"/>
        <v>61</v>
      </c>
      <c r="BB1960" s="174">
        <f t="shared" ca="1" si="104"/>
        <v>1897</v>
      </c>
      <c r="BC1960" s="525" t="e">
        <f ca="1">MATCH(BD1960,OFFSET(Pinlist!$A$2,BC1959*(BA1960=BA1959),0,$BM$23,1),0)+BC1959*(BA1960=BA1959)</f>
        <v>#N/A</v>
      </c>
      <c r="BD1960" s="167">
        <f t="shared" ca="1" si="105"/>
        <v>0</v>
      </c>
      <c r="BE1960" s="191" t="e">
        <f ca="1">(OFFSET(Pinlist!$E$1,BC1960,0)-$BN$16)*$BN$19</f>
        <v>#N/A</v>
      </c>
      <c r="BF1960" s="192" t="e">
        <f ca="1">(OFFSET(Pinlist!$F$1,BC1960,0)-$BO$16)*$BO$19</f>
        <v>#N/A</v>
      </c>
      <c r="BG1960" s="1098" t="str">
        <f ca="1">IF(LEFT(BD1960,2)="RF",OFFSET(Pinlist!$D$1,Chart!BC1960,0)&amp;"_"&amp;OFFSET(Pinlist!$G$1,Chart!BC1960,0),"")</f>
        <v/>
      </c>
      <c r="BH1960" s="1098"/>
      <c r="BI1960" s="178"/>
      <c r="BJ1960" s="178"/>
      <c r="BK1960" s="178"/>
      <c r="BL1960" s="178"/>
      <c r="BM1960" s="178"/>
      <c r="BN1960" s="178"/>
      <c r="BO1960" s="178"/>
      <c r="BP1960" s="178"/>
      <c r="BQ1960" s="196"/>
      <c r="BR1960" s="196"/>
      <c r="BS1960" s="196"/>
      <c r="BT1960" s="196"/>
      <c r="BU1960" s="196"/>
      <c r="BV1960" s="196"/>
      <c r="BW1960" s="178"/>
      <c r="BX1960" s="196"/>
      <c r="BY1960" s="196"/>
      <c r="BZ1960" s="196"/>
      <c r="CA1960" s="196"/>
      <c r="CB1960" s="178"/>
      <c r="CC1960" s="178"/>
      <c r="CD1960" s="202"/>
      <c r="CE1960" s="202"/>
      <c r="CF1960" s="178"/>
      <c r="CG1960" s="196"/>
      <c r="CH1960" s="178"/>
      <c r="CI1960" s="178"/>
      <c r="CJ1960" s="178"/>
      <c r="CK1960" s="178"/>
      <c r="CL1960" s="178"/>
      <c r="CM1960" s="178"/>
      <c r="CN1960" s="178"/>
      <c r="CO1960" s="178"/>
      <c r="CP1960" s="178"/>
      <c r="CQ1960" s="178"/>
      <c r="CR1960" s="178"/>
      <c r="CS1960" s="178"/>
      <c r="CT1960" s="178"/>
      <c r="CU1960" s="178"/>
      <c r="CV1960" s="178"/>
      <c r="CW1960" s="178"/>
      <c r="CX1960" s="178"/>
      <c r="CY1960" s="178"/>
      <c r="CZ1960" s="178"/>
      <c r="DA1960" s="150"/>
    </row>
    <row r="1961" spans="53:105" x14ac:dyDescent="0.2">
      <c r="BA1961" s="518">
        <f t="shared" ca="1" si="103"/>
        <v>61</v>
      </c>
      <c r="BB1961" s="174">
        <f t="shared" ca="1" si="104"/>
        <v>1898</v>
      </c>
      <c r="BC1961" s="525" t="e">
        <f ca="1">MATCH(BD1961,OFFSET(Pinlist!$A$2,BC1960*(BA1961=BA1960),0,$BM$23,1),0)+BC1960*(BA1961=BA1960)</f>
        <v>#N/A</v>
      </c>
      <c r="BD1961" s="167">
        <f t="shared" ca="1" si="105"/>
        <v>0</v>
      </c>
      <c r="BE1961" s="191" t="e">
        <f ca="1">(OFFSET(Pinlist!$E$1,BC1961,0)-$BN$16)*$BN$19</f>
        <v>#N/A</v>
      </c>
      <c r="BF1961" s="192" t="e">
        <f ca="1">(OFFSET(Pinlist!$F$1,BC1961,0)-$BO$16)*$BO$19</f>
        <v>#N/A</v>
      </c>
      <c r="BG1961" s="1098" t="str">
        <f ca="1">IF(LEFT(BD1961,2)="RF",OFFSET(Pinlist!$D$1,Chart!BC1961,0)&amp;"_"&amp;OFFSET(Pinlist!$G$1,Chart!BC1961,0),"")</f>
        <v/>
      </c>
      <c r="BH1961" s="1098"/>
      <c r="BI1961" s="178"/>
      <c r="BJ1961" s="178"/>
      <c r="BK1961" s="178"/>
      <c r="BL1961" s="178"/>
      <c r="BM1961" s="178"/>
      <c r="BN1961" s="178"/>
      <c r="BO1961" s="178"/>
      <c r="BP1961" s="178"/>
      <c r="BQ1961" s="196"/>
      <c r="BR1961" s="196"/>
      <c r="BS1961" s="196"/>
      <c r="BT1961" s="196"/>
      <c r="BU1961" s="196"/>
      <c r="BV1961" s="196"/>
      <c r="BW1961" s="178"/>
      <c r="BX1961" s="196"/>
      <c r="BY1961" s="196"/>
      <c r="BZ1961" s="196"/>
      <c r="CA1961" s="196"/>
      <c r="CB1961" s="178"/>
      <c r="CC1961" s="178"/>
      <c r="CD1961" s="202"/>
      <c r="CE1961" s="202"/>
      <c r="CF1961" s="178"/>
      <c r="CG1961" s="196"/>
      <c r="CH1961" s="178"/>
      <c r="CI1961" s="178"/>
      <c r="CJ1961" s="178"/>
      <c r="CK1961" s="178"/>
      <c r="CL1961" s="178"/>
      <c r="CM1961" s="178"/>
      <c r="CN1961" s="178"/>
      <c r="CO1961" s="178"/>
      <c r="CP1961" s="178"/>
      <c r="CQ1961" s="178"/>
      <c r="CR1961" s="178"/>
      <c r="CS1961" s="178"/>
      <c r="CT1961" s="178"/>
      <c r="CU1961" s="178"/>
      <c r="CV1961" s="178"/>
      <c r="CW1961" s="178"/>
      <c r="CX1961" s="178"/>
      <c r="CY1961" s="178"/>
      <c r="CZ1961" s="178"/>
      <c r="DA1961" s="150"/>
    </row>
    <row r="1962" spans="53:105" x14ac:dyDescent="0.2">
      <c r="BA1962" s="518">
        <f t="shared" ca="1" si="103"/>
        <v>61</v>
      </c>
      <c r="BB1962" s="174">
        <f t="shared" ca="1" si="104"/>
        <v>1899</v>
      </c>
      <c r="BC1962" s="525" t="e">
        <f ca="1">MATCH(BD1962,OFFSET(Pinlist!$A$2,BC1961*(BA1962=BA1961),0,$BM$23,1),0)+BC1961*(BA1962=BA1961)</f>
        <v>#N/A</v>
      </c>
      <c r="BD1962" s="167">
        <f t="shared" ca="1" si="105"/>
        <v>0</v>
      </c>
      <c r="BE1962" s="191" t="e">
        <f ca="1">(OFFSET(Pinlist!$E$1,BC1962,0)-$BN$16)*$BN$19</f>
        <v>#N/A</v>
      </c>
      <c r="BF1962" s="192" t="e">
        <f ca="1">(OFFSET(Pinlist!$F$1,BC1962,0)-$BO$16)*$BO$19</f>
        <v>#N/A</v>
      </c>
      <c r="BG1962" s="1098" t="str">
        <f ca="1">IF(LEFT(BD1962,2)="RF",OFFSET(Pinlist!$D$1,Chart!BC1962,0)&amp;"_"&amp;OFFSET(Pinlist!$G$1,Chart!BC1962,0),"")</f>
        <v/>
      </c>
      <c r="BH1962" s="1098"/>
      <c r="BI1962" s="178"/>
      <c r="BJ1962" s="178"/>
      <c r="BK1962" s="178"/>
      <c r="BL1962" s="178"/>
      <c r="BM1962" s="178"/>
      <c r="BN1962" s="178"/>
      <c r="BO1962" s="178"/>
      <c r="BP1962" s="178"/>
      <c r="BQ1962" s="196"/>
      <c r="BR1962" s="196"/>
      <c r="BS1962" s="196"/>
      <c r="BT1962" s="196"/>
      <c r="BU1962" s="196"/>
      <c r="BV1962" s="196"/>
      <c r="BW1962" s="178"/>
      <c r="BX1962" s="196"/>
      <c r="BY1962" s="196"/>
      <c r="BZ1962" s="196"/>
      <c r="CA1962" s="196"/>
      <c r="CB1962" s="178"/>
      <c r="CC1962" s="178"/>
      <c r="CD1962" s="202"/>
      <c r="CE1962" s="202"/>
      <c r="CF1962" s="178"/>
      <c r="CG1962" s="196"/>
      <c r="CH1962" s="178"/>
      <c r="CI1962" s="178"/>
      <c r="CJ1962" s="178"/>
      <c r="CK1962" s="178"/>
      <c r="CL1962" s="178"/>
      <c r="CM1962" s="178"/>
      <c r="CN1962" s="178"/>
      <c r="CO1962" s="178"/>
      <c r="CP1962" s="178"/>
      <c r="CQ1962" s="178"/>
      <c r="CR1962" s="178"/>
      <c r="CS1962" s="178"/>
      <c r="CT1962" s="178"/>
      <c r="CU1962" s="178"/>
      <c r="CV1962" s="178"/>
      <c r="CW1962" s="178"/>
      <c r="CX1962" s="178"/>
      <c r="CY1962" s="178"/>
      <c r="CZ1962" s="178"/>
      <c r="DA1962" s="150"/>
    </row>
    <row r="1963" spans="53:105" x14ac:dyDescent="0.2">
      <c r="BA1963" s="518">
        <f t="shared" ca="1" si="103"/>
        <v>61</v>
      </c>
      <c r="BB1963" s="174">
        <f t="shared" ca="1" si="104"/>
        <v>1900</v>
      </c>
      <c r="BC1963" s="525" t="e">
        <f ca="1">MATCH(BD1963,OFFSET(Pinlist!$A$2,BC1962*(BA1963=BA1962),0,$BM$23,1),0)+BC1962*(BA1963=BA1962)</f>
        <v>#N/A</v>
      </c>
      <c r="BD1963" s="167">
        <f t="shared" ca="1" si="105"/>
        <v>0</v>
      </c>
      <c r="BE1963" s="191" t="e">
        <f ca="1">(OFFSET(Pinlist!$E$1,BC1963,0)-$BN$16)*$BN$19</f>
        <v>#N/A</v>
      </c>
      <c r="BF1963" s="192" t="e">
        <f ca="1">(OFFSET(Pinlist!$F$1,BC1963,0)-$BO$16)*$BO$19</f>
        <v>#N/A</v>
      </c>
      <c r="BG1963" s="1098" t="str">
        <f ca="1">IF(LEFT(BD1963,2)="RF",OFFSET(Pinlist!$D$1,Chart!BC1963,0)&amp;"_"&amp;OFFSET(Pinlist!$G$1,Chart!BC1963,0),"")</f>
        <v/>
      </c>
      <c r="BH1963" s="1098"/>
      <c r="BI1963" s="178"/>
      <c r="BJ1963" s="178"/>
      <c r="BK1963" s="178"/>
      <c r="BL1963" s="178"/>
      <c r="BM1963" s="178"/>
      <c r="BN1963" s="178"/>
      <c r="BO1963" s="178"/>
      <c r="BP1963" s="178"/>
      <c r="BQ1963" s="196"/>
      <c r="BR1963" s="196"/>
      <c r="BS1963" s="196"/>
      <c r="BT1963" s="196"/>
      <c r="BU1963" s="196"/>
      <c r="BV1963" s="196"/>
      <c r="BW1963" s="178"/>
      <c r="BX1963" s="196"/>
      <c r="BY1963" s="196"/>
      <c r="BZ1963" s="196"/>
      <c r="CA1963" s="196"/>
      <c r="CB1963" s="178"/>
      <c r="CC1963" s="178"/>
      <c r="CD1963" s="202"/>
      <c r="CE1963" s="202"/>
      <c r="CF1963" s="178"/>
      <c r="CG1963" s="196"/>
      <c r="CH1963" s="178"/>
      <c r="CI1963" s="178"/>
      <c r="CJ1963" s="178"/>
      <c r="CK1963" s="178"/>
      <c r="CL1963" s="178"/>
      <c r="CM1963" s="178"/>
      <c r="CN1963" s="178"/>
      <c r="CO1963" s="178"/>
      <c r="CP1963" s="178"/>
      <c r="CQ1963" s="178"/>
      <c r="CR1963" s="178"/>
      <c r="CS1963" s="178"/>
      <c r="CT1963" s="178"/>
      <c r="CU1963" s="178"/>
      <c r="CV1963" s="178"/>
      <c r="CW1963" s="178"/>
      <c r="CX1963" s="178"/>
      <c r="CY1963" s="178"/>
      <c r="CZ1963" s="178"/>
      <c r="DA1963" s="150"/>
    </row>
    <row r="1964" spans="53:105" x14ac:dyDescent="0.2">
      <c r="BA1964" s="518">
        <f t="shared" ca="1" si="103"/>
        <v>61</v>
      </c>
      <c r="BB1964" s="174">
        <f t="shared" ca="1" si="104"/>
        <v>1901</v>
      </c>
      <c r="BC1964" s="525" t="e">
        <f ca="1">MATCH(BD1964,OFFSET(Pinlist!$A$2,BC1963*(BA1964=BA1963),0,$BM$23,1),0)+BC1963*(BA1964=BA1963)</f>
        <v>#N/A</v>
      </c>
      <c r="BD1964" s="167">
        <f t="shared" ca="1" si="105"/>
        <v>0</v>
      </c>
      <c r="BE1964" s="191" t="e">
        <f ca="1">(OFFSET(Pinlist!$E$1,BC1964,0)-$BN$16)*$BN$19</f>
        <v>#N/A</v>
      </c>
      <c r="BF1964" s="192" t="e">
        <f ca="1">(OFFSET(Pinlist!$F$1,BC1964,0)-$BO$16)*$BO$19</f>
        <v>#N/A</v>
      </c>
      <c r="BG1964" s="1098" t="str">
        <f ca="1">IF(LEFT(BD1964,2)="RF",OFFSET(Pinlist!$D$1,Chart!BC1964,0)&amp;"_"&amp;OFFSET(Pinlist!$G$1,Chart!BC1964,0),"")</f>
        <v/>
      </c>
      <c r="BH1964" s="1098"/>
      <c r="BI1964" s="178"/>
      <c r="BJ1964" s="178"/>
      <c r="BK1964" s="178"/>
      <c r="BL1964" s="178"/>
      <c r="BM1964" s="178"/>
      <c r="BN1964" s="178"/>
      <c r="BO1964" s="178"/>
      <c r="BP1964" s="178"/>
      <c r="BQ1964" s="196"/>
      <c r="BR1964" s="196"/>
      <c r="BS1964" s="196"/>
      <c r="BT1964" s="196"/>
      <c r="BU1964" s="196"/>
      <c r="BV1964" s="196"/>
      <c r="BW1964" s="178"/>
      <c r="BX1964" s="196"/>
      <c r="BY1964" s="196"/>
      <c r="BZ1964" s="196"/>
      <c r="CA1964" s="196"/>
      <c r="CB1964" s="178"/>
      <c r="CC1964" s="178"/>
      <c r="CD1964" s="202"/>
      <c r="CE1964" s="202"/>
      <c r="CF1964" s="178"/>
      <c r="CG1964" s="196"/>
      <c r="CH1964" s="178"/>
      <c r="CI1964" s="178"/>
      <c r="CJ1964" s="178"/>
      <c r="CK1964" s="178"/>
      <c r="CL1964" s="178"/>
      <c r="CM1964" s="178"/>
      <c r="CN1964" s="178"/>
      <c r="CO1964" s="178"/>
      <c r="CP1964" s="178"/>
      <c r="CQ1964" s="178"/>
      <c r="CR1964" s="178"/>
      <c r="CS1964" s="178"/>
      <c r="CT1964" s="178"/>
      <c r="CU1964" s="178"/>
      <c r="CV1964" s="178"/>
      <c r="CW1964" s="178"/>
      <c r="CX1964" s="178"/>
      <c r="CY1964" s="178"/>
      <c r="CZ1964" s="178"/>
      <c r="DA1964" s="150"/>
    </row>
    <row r="1965" spans="53:105" x14ac:dyDescent="0.2">
      <c r="BA1965" s="518">
        <f t="shared" ca="1" si="103"/>
        <v>61</v>
      </c>
      <c r="BB1965" s="174">
        <f t="shared" ca="1" si="104"/>
        <v>1902</v>
      </c>
      <c r="BC1965" s="525" t="e">
        <f ca="1">MATCH(BD1965,OFFSET(Pinlist!$A$2,BC1964*(BA1965=BA1964),0,$BM$23,1),0)+BC1964*(BA1965=BA1964)</f>
        <v>#N/A</v>
      </c>
      <c r="BD1965" s="167">
        <f t="shared" ca="1" si="105"/>
        <v>0</v>
      </c>
      <c r="BE1965" s="191" t="e">
        <f ca="1">(OFFSET(Pinlist!$E$1,BC1965,0)-$BN$16)*$BN$19</f>
        <v>#N/A</v>
      </c>
      <c r="BF1965" s="192" t="e">
        <f ca="1">(OFFSET(Pinlist!$F$1,BC1965,0)-$BO$16)*$BO$19</f>
        <v>#N/A</v>
      </c>
      <c r="BG1965" s="1098" t="str">
        <f ca="1">IF(LEFT(BD1965,2)="RF",OFFSET(Pinlist!$D$1,Chart!BC1965,0)&amp;"_"&amp;OFFSET(Pinlist!$G$1,Chart!BC1965,0),"")</f>
        <v/>
      </c>
      <c r="BH1965" s="1098"/>
      <c r="BI1965" s="178"/>
      <c r="BJ1965" s="178"/>
      <c r="BK1965" s="178"/>
      <c r="BL1965" s="178"/>
      <c r="BM1965" s="178"/>
      <c r="BN1965" s="178"/>
      <c r="BO1965" s="178"/>
      <c r="BP1965" s="178"/>
      <c r="BQ1965" s="196"/>
      <c r="BR1965" s="196"/>
      <c r="BS1965" s="196"/>
      <c r="BT1965" s="196"/>
      <c r="BU1965" s="196"/>
      <c r="BV1965" s="196"/>
      <c r="BW1965" s="178"/>
      <c r="BX1965" s="196"/>
      <c r="BY1965" s="196"/>
      <c r="BZ1965" s="196"/>
      <c r="CA1965" s="196"/>
      <c r="CB1965" s="178"/>
      <c r="CC1965" s="178"/>
      <c r="CD1965" s="202"/>
      <c r="CE1965" s="202"/>
      <c r="CF1965" s="178"/>
      <c r="CG1965" s="196"/>
      <c r="CH1965" s="178"/>
      <c r="CI1965" s="178"/>
      <c r="CJ1965" s="178"/>
      <c r="CK1965" s="178"/>
      <c r="CL1965" s="178"/>
      <c r="CM1965" s="178"/>
      <c r="CN1965" s="178"/>
      <c r="CO1965" s="178"/>
      <c r="CP1965" s="178"/>
      <c r="CQ1965" s="178"/>
      <c r="CR1965" s="178"/>
      <c r="CS1965" s="178"/>
      <c r="CT1965" s="178"/>
      <c r="CU1965" s="178"/>
      <c r="CV1965" s="178"/>
      <c r="CW1965" s="178"/>
      <c r="CX1965" s="178"/>
      <c r="CY1965" s="178"/>
      <c r="CZ1965" s="178"/>
      <c r="DA1965" s="150"/>
    </row>
    <row r="1966" spans="53:105" x14ac:dyDescent="0.2">
      <c r="BA1966" s="518">
        <f t="shared" ca="1" si="103"/>
        <v>61</v>
      </c>
      <c r="BB1966" s="174">
        <f t="shared" ca="1" si="104"/>
        <v>1903</v>
      </c>
      <c r="BC1966" s="525" t="e">
        <f ca="1">MATCH(BD1966,OFFSET(Pinlist!$A$2,BC1965*(BA1966=BA1965),0,$BM$23,1),0)+BC1965*(BA1966=BA1965)</f>
        <v>#N/A</v>
      </c>
      <c r="BD1966" s="167">
        <f t="shared" ca="1" si="105"/>
        <v>0</v>
      </c>
      <c r="BE1966" s="191" t="e">
        <f ca="1">(OFFSET(Pinlist!$E$1,BC1966,0)-$BN$16)*$BN$19</f>
        <v>#N/A</v>
      </c>
      <c r="BF1966" s="192" t="e">
        <f ca="1">(OFFSET(Pinlist!$F$1,BC1966,0)-$BO$16)*$BO$19</f>
        <v>#N/A</v>
      </c>
      <c r="BG1966" s="1098" t="str">
        <f ca="1">IF(LEFT(BD1966,2)="RF",OFFSET(Pinlist!$D$1,Chart!BC1966,0)&amp;"_"&amp;OFFSET(Pinlist!$G$1,Chart!BC1966,0),"")</f>
        <v/>
      </c>
      <c r="BH1966" s="1098"/>
      <c r="BI1966" s="178"/>
      <c r="BJ1966" s="178"/>
      <c r="BK1966" s="178"/>
      <c r="BL1966" s="178"/>
      <c r="BM1966" s="178"/>
      <c r="BN1966" s="178"/>
      <c r="BO1966" s="178"/>
      <c r="BP1966" s="178"/>
      <c r="BQ1966" s="196"/>
      <c r="BR1966" s="196"/>
      <c r="BS1966" s="196"/>
      <c r="BT1966" s="196"/>
      <c r="BU1966" s="196"/>
      <c r="BV1966" s="196"/>
      <c r="BW1966" s="178"/>
      <c r="BX1966" s="196"/>
      <c r="BY1966" s="196"/>
      <c r="BZ1966" s="196"/>
      <c r="CA1966" s="196"/>
      <c r="CB1966" s="178"/>
      <c r="CC1966" s="178"/>
      <c r="CD1966" s="202"/>
      <c r="CE1966" s="202"/>
      <c r="CF1966" s="178"/>
      <c r="CG1966" s="196"/>
      <c r="CH1966" s="178"/>
      <c r="CI1966" s="178"/>
      <c r="CJ1966" s="178"/>
      <c r="CK1966" s="178"/>
      <c r="CL1966" s="178"/>
      <c r="CM1966" s="178"/>
      <c r="CN1966" s="178"/>
      <c r="CO1966" s="178"/>
      <c r="CP1966" s="178"/>
      <c r="CQ1966" s="178"/>
      <c r="CR1966" s="178"/>
      <c r="CS1966" s="178"/>
      <c r="CT1966" s="178"/>
      <c r="CU1966" s="178"/>
      <c r="CV1966" s="178"/>
      <c r="CW1966" s="178"/>
      <c r="CX1966" s="178"/>
      <c r="CY1966" s="178"/>
      <c r="CZ1966" s="178"/>
      <c r="DA1966" s="150"/>
    </row>
    <row r="1967" spans="53:105" x14ac:dyDescent="0.2">
      <c r="BA1967" s="518">
        <f t="shared" ca="1" si="103"/>
        <v>61</v>
      </c>
      <c r="BB1967" s="174">
        <f t="shared" ca="1" si="104"/>
        <v>1904</v>
      </c>
      <c r="BC1967" s="525" t="e">
        <f ca="1">MATCH(BD1967,OFFSET(Pinlist!$A$2,BC1966*(BA1967=BA1966),0,$BM$23,1),0)+BC1966*(BA1967=BA1966)</f>
        <v>#N/A</v>
      </c>
      <c r="BD1967" s="167">
        <f t="shared" ca="1" si="105"/>
        <v>0</v>
      </c>
      <c r="BE1967" s="191" t="e">
        <f ca="1">(OFFSET(Pinlist!$E$1,BC1967,0)-$BN$16)*$BN$19</f>
        <v>#N/A</v>
      </c>
      <c r="BF1967" s="192" t="e">
        <f ca="1">(OFFSET(Pinlist!$F$1,BC1967,0)-$BO$16)*$BO$19</f>
        <v>#N/A</v>
      </c>
      <c r="BG1967" s="1098" t="str">
        <f ca="1">IF(LEFT(BD1967,2)="RF",OFFSET(Pinlist!$D$1,Chart!BC1967,0)&amp;"_"&amp;OFFSET(Pinlist!$G$1,Chart!BC1967,0),"")</f>
        <v/>
      </c>
      <c r="BH1967" s="1098"/>
      <c r="BI1967" s="178"/>
      <c r="BJ1967" s="178"/>
      <c r="BK1967" s="178"/>
      <c r="BL1967" s="178"/>
      <c r="BM1967" s="178"/>
      <c r="BN1967" s="178"/>
      <c r="BO1967" s="178"/>
      <c r="BP1967" s="178"/>
      <c r="BQ1967" s="196"/>
      <c r="BR1967" s="196"/>
      <c r="BS1967" s="196"/>
      <c r="BT1967" s="196"/>
      <c r="BU1967" s="196"/>
      <c r="BV1967" s="196"/>
      <c r="BW1967" s="178"/>
      <c r="BX1967" s="196"/>
      <c r="BY1967" s="196"/>
      <c r="BZ1967" s="196"/>
      <c r="CA1967" s="196"/>
      <c r="CB1967" s="178"/>
      <c r="CC1967" s="178"/>
      <c r="CD1967" s="202"/>
      <c r="CE1967" s="202"/>
      <c r="CF1967" s="178"/>
      <c r="CG1967" s="196"/>
      <c r="CH1967" s="178"/>
      <c r="CI1967" s="178"/>
      <c r="CJ1967" s="178"/>
      <c r="CK1967" s="178"/>
      <c r="CL1967" s="178"/>
      <c r="CM1967" s="178"/>
      <c r="CN1967" s="178"/>
      <c r="CO1967" s="178"/>
      <c r="CP1967" s="178"/>
      <c r="CQ1967" s="178"/>
      <c r="CR1967" s="178"/>
      <c r="CS1967" s="178"/>
      <c r="CT1967" s="178"/>
      <c r="CU1967" s="178"/>
      <c r="CV1967" s="178"/>
      <c r="CW1967" s="178"/>
      <c r="CX1967" s="178"/>
      <c r="CY1967" s="178"/>
      <c r="CZ1967" s="178"/>
      <c r="DA1967" s="150"/>
    </row>
    <row r="1968" spans="53:105" x14ac:dyDescent="0.2">
      <c r="BA1968" s="518">
        <f t="shared" ca="1" si="103"/>
        <v>61</v>
      </c>
      <c r="BB1968" s="174">
        <f t="shared" ca="1" si="104"/>
        <v>1905</v>
      </c>
      <c r="BC1968" s="525" t="e">
        <f ca="1">MATCH(BD1968,OFFSET(Pinlist!$A$2,BC1967*(BA1968=BA1967),0,$BM$23,1),0)+BC1967*(BA1968=BA1967)</f>
        <v>#N/A</v>
      </c>
      <c r="BD1968" s="167">
        <f t="shared" ca="1" si="105"/>
        <v>0</v>
      </c>
      <c r="BE1968" s="191" t="e">
        <f ca="1">(OFFSET(Pinlist!$E$1,BC1968,0)-$BN$16)*$BN$19</f>
        <v>#N/A</v>
      </c>
      <c r="BF1968" s="192" t="e">
        <f ca="1">(OFFSET(Pinlist!$F$1,BC1968,0)-$BO$16)*$BO$19</f>
        <v>#N/A</v>
      </c>
      <c r="BG1968" s="1098" t="str">
        <f ca="1">IF(LEFT(BD1968,2)="RF",OFFSET(Pinlist!$D$1,Chart!BC1968,0)&amp;"_"&amp;OFFSET(Pinlist!$G$1,Chart!BC1968,0),"")</f>
        <v/>
      </c>
      <c r="BH1968" s="1098"/>
      <c r="BI1968" s="178"/>
      <c r="BJ1968" s="178"/>
      <c r="BK1968" s="178"/>
      <c r="BL1968" s="178"/>
      <c r="BM1968" s="178"/>
      <c r="BN1968" s="178"/>
      <c r="BO1968" s="178"/>
      <c r="BP1968" s="178"/>
      <c r="BQ1968" s="196"/>
      <c r="BR1968" s="196"/>
      <c r="BS1968" s="196"/>
      <c r="BT1968" s="196"/>
      <c r="BU1968" s="196"/>
      <c r="BV1968" s="196"/>
      <c r="BW1968" s="178"/>
      <c r="BX1968" s="196"/>
      <c r="BY1968" s="196"/>
      <c r="BZ1968" s="196"/>
      <c r="CA1968" s="196"/>
      <c r="CB1968" s="178"/>
      <c r="CC1968" s="178"/>
      <c r="CD1968" s="202"/>
      <c r="CE1968" s="202"/>
      <c r="CF1968" s="178"/>
      <c r="CG1968" s="196"/>
      <c r="CH1968" s="178"/>
      <c r="CI1968" s="178"/>
      <c r="CJ1968" s="178"/>
      <c r="CK1968" s="178"/>
      <c r="CL1968" s="178"/>
      <c r="CM1968" s="178"/>
      <c r="CN1968" s="178"/>
      <c r="CO1968" s="178"/>
      <c r="CP1968" s="178"/>
      <c r="CQ1968" s="178"/>
      <c r="CR1968" s="178"/>
      <c r="CS1968" s="178"/>
      <c r="CT1968" s="178"/>
      <c r="CU1968" s="178"/>
      <c r="CV1968" s="178"/>
      <c r="CW1968" s="178"/>
      <c r="CX1968" s="178"/>
      <c r="CY1968" s="178"/>
      <c r="CZ1968" s="178"/>
      <c r="DA1968" s="150"/>
    </row>
    <row r="1969" spans="53:105" x14ac:dyDescent="0.2">
      <c r="BA1969" s="518">
        <f t="shared" ca="1" si="103"/>
        <v>61</v>
      </c>
      <c r="BB1969" s="174">
        <f t="shared" ca="1" si="104"/>
        <v>1906</v>
      </c>
      <c r="BC1969" s="525" t="e">
        <f ca="1">MATCH(BD1969,OFFSET(Pinlist!$A$2,BC1968*(BA1969=BA1968),0,$BM$23,1),0)+BC1968*(BA1969=BA1968)</f>
        <v>#N/A</v>
      </c>
      <c r="BD1969" s="167">
        <f t="shared" ca="1" si="105"/>
        <v>0</v>
      </c>
      <c r="BE1969" s="191" t="e">
        <f ca="1">(OFFSET(Pinlist!$E$1,BC1969,0)-$BN$16)*$BN$19</f>
        <v>#N/A</v>
      </c>
      <c r="BF1969" s="192" t="e">
        <f ca="1">(OFFSET(Pinlist!$F$1,BC1969,0)-$BO$16)*$BO$19</f>
        <v>#N/A</v>
      </c>
      <c r="BG1969" s="1098" t="str">
        <f ca="1">IF(LEFT(BD1969,2)="RF",OFFSET(Pinlist!$D$1,Chart!BC1969,0)&amp;"_"&amp;OFFSET(Pinlist!$G$1,Chart!BC1969,0),"")</f>
        <v/>
      </c>
      <c r="BH1969" s="1098"/>
      <c r="BI1969" s="178"/>
      <c r="BJ1969" s="178"/>
      <c r="BK1969" s="178"/>
      <c r="BL1969" s="178"/>
      <c r="BM1969" s="178"/>
      <c r="BN1969" s="178"/>
      <c r="BO1969" s="178"/>
      <c r="BP1969" s="178"/>
      <c r="BQ1969" s="196"/>
      <c r="BR1969" s="196"/>
      <c r="BS1969" s="196"/>
      <c r="BT1969" s="196"/>
      <c r="BU1969" s="196"/>
      <c r="BV1969" s="196"/>
      <c r="BW1969" s="178"/>
      <c r="BX1969" s="196"/>
      <c r="BY1969" s="196"/>
      <c r="BZ1969" s="196"/>
      <c r="CA1969" s="196"/>
      <c r="CB1969" s="178"/>
      <c r="CC1969" s="178"/>
      <c r="CD1969" s="202"/>
      <c r="CE1969" s="202"/>
      <c r="CF1969" s="178"/>
      <c r="CG1969" s="196"/>
      <c r="CH1969" s="178"/>
      <c r="CI1969" s="178"/>
      <c r="CJ1969" s="178"/>
      <c r="CK1969" s="178"/>
      <c r="CL1969" s="178"/>
      <c r="CM1969" s="178"/>
      <c r="CN1969" s="178"/>
      <c r="CO1969" s="178"/>
      <c r="CP1969" s="178"/>
      <c r="CQ1969" s="178"/>
      <c r="CR1969" s="178"/>
      <c r="CS1969" s="178"/>
      <c r="CT1969" s="178"/>
      <c r="CU1969" s="178"/>
      <c r="CV1969" s="178"/>
      <c r="CW1969" s="178"/>
      <c r="CX1969" s="178"/>
      <c r="CY1969" s="178"/>
      <c r="CZ1969" s="178"/>
      <c r="DA1969" s="150"/>
    </row>
    <row r="1970" spans="53:105" x14ac:dyDescent="0.2">
      <c r="BA1970" s="518">
        <f t="shared" ca="1" si="103"/>
        <v>61</v>
      </c>
      <c r="BB1970" s="174">
        <f t="shared" ca="1" si="104"/>
        <v>1907</v>
      </c>
      <c r="BC1970" s="525" t="e">
        <f ca="1">MATCH(BD1970,OFFSET(Pinlist!$A$2,BC1969*(BA1970=BA1969),0,$BM$23,1),0)+BC1969*(BA1970=BA1969)</f>
        <v>#N/A</v>
      </c>
      <c r="BD1970" s="167">
        <f t="shared" ca="1" si="105"/>
        <v>0</v>
      </c>
      <c r="BE1970" s="191" t="e">
        <f ca="1">(OFFSET(Pinlist!$E$1,BC1970,0)-$BN$16)*$BN$19</f>
        <v>#N/A</v>
      </c>
      <c r="BF1970" s="192" t="e">
        <f ca="1">(OFFSET(Pinlist!$F$1,BC1970,0)-$BO$16)*$BO$19</f>
        <v>#N/A</v>
      </c>
      <c r="BG1970" s="1098" t="str">
        <f ca="1">IF(LEFT(BD1970,2)="RF",OFFSET(Pinlist!$D$1,Chart!BC1970,0)&amp;"_"&amp;OFFSET(Pinlist!$G$1,Chart!BC1970,0),"")</f>
        <v/>
      </c>
      <c r="BH1970" s="1098"/>
      <c r="BI1970" s="178"/>
      <c r="BJ1970" s="178"/>
      <c r="BK1970" s="178"/>
      <c r="BL1970" s="178"/>
      <c r="BM1970" s="178"/>
      <c r="BN1970" s="178"/>
      <c r="BO1970" s="178"/>
      <c r="BP1970" s="178"/>
      <c r="BQ1970" s="196"/>
      <c r="BR1970" s="196"/>
      <c r="BS1970" s="196"/>
      <c r="BT1970" s="196"/>
      <c r="BU1970" s="196"/>
      <c r="BV1970" s="196"/>
      <c r="BW1970" s="178"/>
      <c r="BX1970" s="196"/>
      <c r="BY1970" s="196"/>
      <c r="BZ1970" s="196"/>
      <c r="CA1970" s="196"/>
      <c r="CB1970" s="178"/>
      <c r="CC1970" s="178"/>
      <c r="CD1970" s="202"/>
      <c r="CE1970" s="202"/>
      <c r="CF1970" s="178"/>
      <c r="CG1970" s="196"/>
      <c r="CH1970" s="178"/>
      <c r="CI1970" s="178"/>
      <c r="CJ1970" s="178"/>
      <c r="CK1970" s="178"/>
      <c r="CL1970" s="178"/>
      <c r="CM1970" s="178"/>
      <c r="CN1970" s="178"/>
      <c r="CO1970" s="178"/>
      <c r="CP1970" s="178"/>
      <c r="CQ1970" s="178"/>
      <c r="CR1970" s="178"/>
      <c r="CS1970" s="178"/>
      <c r="CT1970" s="178"/>
      <c r="CU1970" s="178"/>
      <c r="CV1970" s="178"/>
      <c r="CW1970" s="178"/>
      <c r="CX1970" s="178"/>
      <c r="CY1970" s="178"/>
      <c r="CZ1970" s="178"/>
      <c r="DA1970" s="150"/>
    </row>
    <row r="1971" spans="53:105" x14ac:dyDescent="0.2">
      <c r="BA1971" s="518">
        <f t="shared" ca="1" si="103"/>
        <v>61</v>
      </c>
      <c r="BB1971" s="174">
        <f t="shared" ca="1" si="104"/>
        <v>1908</v>
      </c>
      <c r="BC1971" s="525" t="e">
        <f ca="1">MATCH(BD1971,OFFSET(Pinlist!$A$2,BC1970*(BA1971=BA1970),0,$BM$23,1),0)+BC1970*(BA1971=BA1970)</f>
        <v>#N/A</v>
      </c>
      <c r="BD1971" s="167">
        <f t="shared" ca="1" si="105"/>
        <v>0</v>
      </c>
      <c r="BE1971" s="191" t="e">
        <f ca="1">(OFFSET(Pinlist!$E$1,BC1971,0)-$BN$16)*$BN$19</f>
        <v>#N/A</v>
      </c>
      <c r="BF1971" s="192" t="e">
        <f ca="1">(OFFSET(Pinlist!$F$1,BC1971,0)-$BO$16)*$BO$19</f>
        <v>#N/A</v>
      </c>
      <c r="BG1971" s="1098" t="str">
        <f ca="1">IF(LEFT(BD1971,2)="RF",OFFSET(Pinlist!$D$1,Chart!BC1971,0)&amp;"_"&amp;OFFSET(Pinlist!$G$1,Chart!BC1971,0),"")</f>
        <v/>
      </c>
      <c r="BH1971" s="1098"/>
      <c r="BI1971" s="178"/>
      <c r="BJ1971" s="178"/>
      <c r="BK1971" s="178"/>
      <c r="BL1971" s="178"/>
      <c r="BM1971" s="178"/>
      <c r="BN1971" s="178"/>
      <c r="BO1971" s="178"/>
      <c r="BP1971" s="178"/>
      <c r="BQ1971" s="196"/>
      <c r="BR1971" s="196"/>
      <c r="BS1971" s="196"/>
      <c r="BT1971" s="196"/>
      <c r="BU1971" s="196"/>
      <c r="BV1971" s="196"/>
      <c r="BW1971" s="178"/>
      <c r="BX1971" s="196"/>
      <c r="BY1971" s="196"/>
      <c r="BZ1971" s="196"/>
      <c r="CA1971" s="196"/>
      <c r="CB1971" s="178"/>
      <c r="CC1971" s="178"/>
      <c r="CD1971" s="202"/>
      <c r="CE1971" s="202"/>
      <c r="CF1971" s="178"/>
      <c r="CG1971" s="196"/>
      <c r="CH1971" s="178"/>
      <c r="CI1971" s="178"/>
      <c r="CJ1971" s="178"/>
      <c r="CK1971" s="178"/>
      <c r="CL1971" s="178"/>
      <c r="CM1971" s="178"/>
      <c r="CN1971" s="178"/>
      <c r="CO1971" s="178"/>
      <c r="CP1971" s="178"/>
      <c r="CQ1971" s="178"/>
      <c r="CR1971" s="178"/>
      <c r="CS1971" s="178"/>
      <c r="CT1971" s="178"/>
      <c r="CU1971" s="178"/>
      <c r="CV1971" s="178"/>
      <c r="CW1971" s="178"/>
      <c r="CX1971" s="178"/>
      <c r="CY1971" s="178"/>
      <c r="CZ1971" s="178"/>
      <c r="DA1971" s="150"/>
    </row>
    <row r="1972" spans="53:105" x14ac:dyDescent="0.2">
      <c r="BA1972" s="518">
        <f t="shared" ca="1" si="103"/>
        <v>61</v>
      </c>
      <c r="BB1972" s="174">
        <f t="shared" ca="1" si="104"/>
        <v>1909</v>
      </c>
      <c r="BC1972" s="525" t="e">
        <f ca="1">MATCH(BD1972,OFFSET(Pinlist!$A$2,BC1971*(BA1972=BA1971),0,$BM$23,1),0)+BC1971*(BA1972=BA1971)</f>
        <v>#N/A</v>
      </c>
      <c r="BD1972" s="167">
        <f t="shared" ca="1" si="105"/>
        <v>0</v>
      </c>
      <c r="BE1972" s="191" t="e">
        <f ca="1">(OFFSET(Pinlist!$E$1,BC1972,0)-$BN$16)*$BN$19</f>
        <v>#N/A</v>
      </c>
      <c r="BF1972" s="192" t="e">
        <f ca="1">(OFFSET(Pinlist!$F$1,BC1972,0)-$BO$16)*$BO$19</f>
        <v>#N/A</v>
      </c>
      <c r="BG1972" s="1098" t="str">
        <f ca="1">IF(LEFT(BD1972,2)="RF",OFFSET(Pinlist!$D$1,Chart!BC1972,0)&amp;"_"&amp;OFFSET(Pinlist!$G$1,Chart!BC1972,0),"")</f>
        <v/>
      </c>
      <c r="BH1972" s="1098"/>
      <c r="BI1972" s="178"/>
      <c r="BJ1972" s="178"/>
      <c r="BK1972" s="178"/>
      <c r="BL1972" s="178"/>
      <c r="BM1972" s="178"/>
      <c r="BN1972" s="178"/>
      <c r="BO1972" s="178"/>
      <c r="BP1972" s="178"/>
      <c r="BQ1972" s="196"/>
      <c r="BR1972" s="196"/>
      <c r="BS1972" s="196"/>
      <c r="BT1972" s="196"/>
      <c r="BU1972" s="196"/>
      <c r="BV1972" s="196"/>
      <c r="BW1972" s="178"/>
      <c r="BX1972" s="196"/>
      <c r="BY1972" s="196"/>
      <c r="BZ1972" s="196"/>
      <c r="CA1972" s="196"/>
      <c r="CB1972" s="178"/>
      <c r="CC1972" s="178"/>
      <c r="CD1972" s="202"/>
      <c r="CE1972" s="202"/>
      <c r="CF1972" s="178"/>
      <c r="CG1972" s="196"/>
      <c r="CH1972" s="178"/>
      <c r="CI1972" s="178"/>
      <c r="CJ1972" s="178"/>
      <c r="CK1972" s="178"/>
      <c r="CL1972" s="178"/>
      <c r="CM1972" s="178"/>
      <c r="CN1972" s="178"/>
      <c r="CO1972" s="178"/>
      <c r="CP1972" s="178"/>
      <c r="CQ1972" s="178"/>
      <c r="CR1972" s="178"/>
      <c r="CS1972" s="178"/>
      <c r="CT1972" s="178"/>
      <c r="CU1972" s="178"/>
      <c r="CV1972" s="178"/>
      <c r="CW1972" s="178"/>
      <c r="CX1972" s="178"/>
      <c r="CY1972" s="178"/>
      <c r="CZ1972" s="178"/>
      <c r="DA1972" s="150"/>
    </row>
    <row r="1973" spans="53:105" x14ac:dyDescent="0.2">
      <c r="BA1973" s="518">
        <f t="shared" ca="1" si="103"/>
        <v>61</v>
      </c>
      <c r="BB1973" s="174">
        <f t="shared" ca="1" si="104"/>
        <v>1910</v>
      </c>
      <c r="BC1973" s="525" t="e">
        <f ca="1">MATCH(BD1973,OFFSET(Pinlist!$A$2,BC1972*(BA1973=BA1972),0,$BM$23,1),0)+BC1972*(BA1973=BA1972)</f>
        <v>#N/A</v>
      </c>
      <c r="BD1973" s="167">
        <f t="shared" ca="1" si="105"/>
        <v>0</v>
      </c>
      <c r="BE1973" s="191" t="e">
        <f ca="1">(OFFSET(Pinlist!$E$1,BC1973,0)-$BN$16)*$BN$19</f>
        <v>#N/A</v>
      </c>
      <c r="BF1973" s="192" t="e">
        <f ca="1">(OFFSET(Pinlist!$F$1,BC1973,0)-$BO$16)*$BO$19</f>
        <v>#N/A</v>
      </c>
      <c r="BG1973" s="1098" t="str">
        <f ca="1">IF(LEFT(BD1973,2)="RF",OFFSET(Pinlist!$D$1,Chart!BC1973,0)&amp;"_"&amp;OFFSET(Pinlist!$G$1,Chart!BC1973,0),"")</f>
        <v/>
      </c>
      <c r="BH1973" s="1098"/>
      <c r="BI1973" s="178"/>
      <c r="BJ1973" s="178"/>
      <c r="BK1973" s="178"/>
      <c r="BL1973" s="178"/>
      <c r="BM1973" s="178"/>
      <c r="BN1973" s="178"/>
      <c r="BO1973" s="178"/>
      <c r="BP1973" s="178"/>
      <c r="BQ1973" s="196"/>
      <c r="BR1973" s="196"/>
      <c r="BS1973" s="196"/>
      <c r="BT1973" s="196"/>
      <c r="BU1973" s="196"/>
      <c r="BV1973" s="196"/>
      <c r="BW1973" s="178"/>
      <c r="BX1973" s="196"/>
      <c r="BY1973" s="196"/>
      <c r="BZ1973" s="196"/>
      <c r="CA1973" s="196"/>
      <c r="CB1973" s="178"/>
      <c r="CC1973" s="178"/>
      <c r="CD1973" s="202"/>
      <c r="CE1973" s="202"/>
      <c r="CF1973" s="178"/>
      <c r="CG1973" s="196"/>
      <c r="CH1973" s="178"/>
      <c r="CI1973" s="178"/>
      <c r="CJ1973" s="178"/>
      <c r="CK1973" s="178"/>
      <c r="CL1973" s="178"/>
      <c r="CM1973" s="178"/>
      <c r="CN1973" s="178"/>
      <c r="CO1973" s="178"/>
      <c r="CP1973" s="178"/>
      <c r="CQ1973" s="178"/>
      <c r="CR1973" s="178"/>
      <c r="CS1973" s="178"/>
      <c r="CT1973" s="178"/>
      <c r="CU1973" s="178"/>
      <c r="CV1973" s="178"/>
      <c r="CW1973" s="178"/>
      <c r="CX1973" s="178"/>
      <c r="CY1973" s="178"/>
      <c r="CZ1973" s="178"/>
      <c r="DA1973" s="150"/>
    </row>
    <row r="1974" spans="53:105" x14ac:dyDescent="0.2">
      <c r="BA1974" s="518">
        <f t="shared" ca="1" si="103"/>
        <v>61</v>
      </c>
      <c r="BB1974" s="174">
        <f t="shared" ca="1" si="104"/>
        <v>1911</v>
      </c>
      <c r="BC1974" s="525" t="e">
        <f ca="1">MATCH(BD1974,OFFSET(Pinlist!$A$2,BC1973*(BA1974=BA1973),0,$BM$23,1),0)+BC1973*(BA1974=BA1973)</f>
        <v>#N/A</v>
      </c>
      <c r="BD1974" s="167">
        <f t="shared" ca="1" si="105"/>
        <v>0</v>
      </c>
      <c r="BE1974" s="191" t="e">
        <f ca="1">(OFFSET(Pinlist!$E$1,BC1974,0)-$BN$16)*$BN$19</f>
        <v>#N/A</v>
      </c>
      <c r="BF1974" s="192" t="e">
        <f ca="1">(OFFSET(Pinlist!$F$1,BC1974,0)-$BO$16)*$BO$19</f>
        <v>#N/A</v>
      </c>
      <c r="BG1974" s="1098" t="str">
        <f ca="1">IF(LEFT(BD1974,2)="RF",OFFSET(Pinlist!$D$1,Chart!BC1974,0)&amp;"_"&amp;OFFSET(Pinlist!$G$1,Chart!BC1974,0),"")</f>
        <v/>
      </c>
      <c r="BH1974" s="1098"/>
      <c r="BI1974" s="178"/>
      <c r="BJ1974" s="178"/>
      <c r="BK1974" s="178"/>
      <c r="BL1974" s="178"/>
      <c r="BM1974" s="178"/>
      <c r="BN1974" s="178"/>
      <c r="BO1974" s="178"/>
      <c r="BP1974" s="178"/>
      <c r="BQ1974" s="196"/>
      <c r="BR1974" s="196"/>
      <c r="BS1974" s="196"/>
      <c r="BT1974" s="196"/>
      <c r="BU1974" s="196"/>
      <c r="BV1974" s="196"/>
      <c r="BW1974" s="178"/>
      <c r="BX1974" s="196"/>
      <c r="BY1974" s="196"/>
      <c r="BZ1974" s="196"/>
      <c r="CA1974" s="196"/>
      <c r="CB1974" s="178"/>
      <c r="CC1974" s="178"/>
      <c r="CD1974" s="202"/>
      <c r="CE1974" s="202"/>
      <c r="CF1974" s="178"/>
      <c r="CG1974" s="196"/>
      <c r="CH1974" s="178"/>
      <c r="CI1974" s="178"/>
      <c r="CJ1974" s="178"/>
      <c r="CK1974" s="178"/>
      <c r="CL1974" s="178"/>
      <c r="CM1974" s="178"/>
      <c r="CN1974" s="178"/>
      <c r="CO1974" s="178"/>
      <c r="CP1974" s="178"/>
      <c r="CQ1974" s="178"/>
      <c r="CR1974" s="178"/>
      <c r="CS1974" s="178"/>
      <c r="CT1974" s="178"/>
      <c r="CU1974" s="178"/>
      <c r="CV1974" s="178"/>
      <c r="CW1974" s="178"/>
      <c r="CX1974" s="178"/>
      <c r="CY1974" s="178"/>
      <c r="CZ1974" s="178"/>
      <c r="DA1974" s="150"/>
    </row>
    <row r="1975" spans="53:105" x14ac:dyDescent="0.2">
      <c r="BA1975" s="518">
        <f t="shared" ca="1" si="103"/>
        <v>61</v>
      </c>
      <c r="BB1975" s="174">
        <f t="shared" ca="1" si="104"/>
        <v>1912</v>
      </c>
      <c r="BC1975" s="525" t="e">
        <f ca="1">MATCH(BD1975,OFFSET(Pinlist!$A$2,BC1974*(BA1975=BA1974),0,$BM$23,1),0)+BC1974*(BA1975=BA1974)</f>
        <v>#N/A</v>
      </c>
      <c r="BD1975" s="167">
        <f t="shared" ca="1" si="105"/>
        <v>0</v>
      </c>
      <c r="BE1975" s="191" t="e">
        <f ca="1">(OFFSET(Pinlist!$E$1,BC1975,0)-$BN$16)*$BN$19</f>
        <v>#N/A</v>
      </c>
      <c r="BF1975" s="192" t="e">
        <f ca="1">(OFFSET(Pinlist!$F$1,BC1975,0)-$BO$16)*$BO$19</f>
        <v>#N/A</v>
      </c>
      <c r="BG1975" s="1098" t="str">
        <f ca="1">IF(LEFT(BD1975,2)="RF",OFFSET(Pinlist!$D$1,Chart!BC1975,0)&amp;"_"&amp;OFFSET(Pinlist!$G$1,Chart!BC1975,0),"")</f>
        <v/>
      </c>
      <c r="BH1975" s="1098"/>
      <c r="BI1975" s="178"/>
      <c r="BJ1975" s="178"/>
      <c r="BK1975" s="178"/>
      <c r="BL1975" s="178"/>
      <c r="BM1975" s="178"/>
      <c r="BN1975" s="178"/>
      <c r="BO1975" s="178"/>
      <c r="BP1975" s="178"/>
      <c r="BQ1975" s="196"/>
      <c r="BR1975" s="196"/>
      <c r="BS1975" s="196"/>
      <c r="BT1975" s="196"/>
      <c r="BU1975" s="196"/>
      <c r="BV1975" s="196"/>
      <c r="BW1975" s="178"/>
      <c r="BX1975" s="196"/>
      <c r="BY1975" s="196"/>
      <c r="BZ1975" s="196"/>
      <c r="CA1975" s="196"/>
      <c r="CB1975" s="178"/>
      <c r="CC1975" s="178"/>
      <c r="CD1975" s="202"/>
      <c r="CE1975" s="202"/>
      <c r="CF1975" s="178"/>
      <c r="CG1975" s="196"/>
      <c r="CH1975" s="178"/>
      <c r="CI1975" s="178"/>
      <c r="CJ1975" s="178"/>
      <c r="CK1975" s="178"/>
      <c r="CL1975" s="178"/>
      <c r="CM1975" s="178"/>
      <c r="CN1975" s="178"/>
      <c r="CO1975" s="178"/>
      <c r="CP1975" s="178"/>
      <c r="CQ1975" s="178"/>
      <c r="CR1975" s="178"/>
      <c r="CS1975" s="178"/>
      <c r="CT1975" s="178"/>
      <c r="CU1975" s="178"/>
      <c r="CV1975" s="178"/>
      <c r="CW1975" s="178"/>
      <c r="CX1975" s="178"/>
      <c r="CY1975" s="178"/>
      <c r="CZ1975" s="178"/>
      <c r="DA1975" s="150"/>
    </row>
    <row r="1976" spans="53:105" x14ac:dyDescent="0.2">
      <c r="BA1976" s="518">
        <f t="shared" ca="1" si="103"/>
        <v>61</v>
      </c>
      <c r="BB1976" s="174">
        <f t="shared" ca="1" si="104"/>
        <v>1913</v>
      </c>
      <c r="BC1976" s="525" t="e">
        <f ca="1">MATCH(BD1976,OFFSET(Pinlist!$A$2,BC1975*(BA1976=BA1975),0,$BM$23,1),0)+BC1975*(BA1976=BA1975)</f>
        <v>#N/A</v>
      </c>
      <c r="BD1976" s="167">
        <f t="shared" ca="1" si="105"/>
        <v>0</v>
      </c>
      <c r="BE1976" s="191" t="e">
        <f ca="1">(OFFSET(Pinlist!$E$1,BC1976,0)-$BN$16)*$BN$19</f>
        <v>#N/A</v>
      </c>
      <c r="BF1976" s="192" t="e">
        <f ca="1">(OFFSET(Pinlist!$F$1,BC1976,0)-$BO$16)*$BO$19</f>
        <v>#N/A</v>
      </c>
      <c r="BG1976" s="1098" t="str">
        <f ca="1">IF(LEFT(BD1976,2)="RF",OFFSET(Pinlist!$D$1,Chart!BC1976,0)&amp;"_"&amp;OFFSET(Pinlist!$G$1,Chart!BC1976,0),"")</f>
        <v/>
      </c>
      <c r="BH1976" s="1098"/>
      <c r="BI1976" s="178"/>
      <c r="BJ1976" s="178"/>
      <c r="BK1976" s="178"/>
      <c r="BL1976" s="178"/>
      <c r="BM1976" s="178"/>
      <c r="BN1976" s="178"/>
      <c r="BO1976" s="178"/>
      <c r="BP1976" s="178"/>
      <c r="BQ1976" s="196"/>
      <c r="BR1976" s="196"/>
      <c r="BS1976" s="196"/>
      <c r="BT1976" s="196"/>
      <c r="BU1976" s="196"/>
      <c r="BV1976" s="196"/>
      <c r="BW1976" s="178"/>
      <c r="BX1976" s="196"/>
      <c r="BY1976" s="196"/>
      <c r="BZ1976" s="196"/>
      <c r="CA1976" s="196"/>
      <c r="CB1976" s="178"/>
      <c r="CC1976" s="178"/>
      <c r="CD1976" s="202"/>
      <c r="CE1976" s="202"/>
      <c r="CF1976" s="178"/>
      <c r="CG1976" s="196"/>
      <c r="CH1976" s="178"/>
      <c r="CI1976" s="178"/>
      <c r="CJ1976" s="178"/>
      <c r="CK1976" s="178"/>
      <c r="CL1976" s="178"/>
      <c r="CM1976" s="178"/>
      <c r="CN1976" s="178"/>
      <c r="CO1976" s="178"/>
      <c r="CP1976" s="178"/>
      <c r="CQ1976" s="178"/>
      <c r="CR1976" s="178"/>
      <c r="CS1976" s="178"/>
      <c r="CT1976" s="178"/>
      <c r="CU1976" s="178"/>
      <c r="CV1976" s="178"/>
      <c r="CW1976" s="178"/>
      <c r="CX1976" s="178"/>
      <c r="CY1976" s="178"/>
      <c r="CZ1976" s="178"/>
      <c r="DA1976" s="150"/>
    </row>
    <row r="1977" spans="53:105" x14ac:dyDescent="0.2">
      <c r="BA1977" s="518">
        <f t="shared" ca="1" si="103"/>
        <v>61</v>
      </c>
      <c r="BB1977" s="174">
        <f t="shared" ca="1" si="104"/>
        <v>1914</v>
      </c>
      <c r="BC1977" s="525" t="e">
        <f ca="1">MATCH(BD1977,OFFSET(Pinlist!$A$2,BC1976*(BA1977=BA1976),0,$BM$23,1),0)+BC1976*(BA1977=BA1976)</f>
        <v>#N/A</v>
      </c>
      <c r="BD1977" s="167">
        <f t="shared" ca="1" si="105"/>
        <v>0</v>
      </c>
      <c r="BE1977" s="191" t="e">
        <f ca="1">(OFFSET(Pinlist!$E$1,BC1977,0)-$BN$16)*$BN$19</f>
        <v>#N/A</v>
      </c>
      <c r="BF1977" s="192" t="e">
        <f ca="1">(OFFSET(Pinlist!$F$1,BC1977,0)-$BO$16)*$BO$19</f>
        <v>#N/A</v>
      </c>
      <c r="BG1977" s="1098" t="str">
        <f ca="1">IF(LEFT(BD1977,2)="RF",OFFSET(Pinlist!$D$1,Chart!BC1977,0)&amp;"_"&amp;OFFSET(Pinlist!$G$1,Chart!BC1977,0),"")</f>
        <v/>
      </c>
      <c r="BH1977" s="1098"/>
      <c r="BI1977" s="178"/>
      <c r="BJ1977" s="178"/>
      <c r="BK1977" s="178"/>
      <c r="BL1977" s="178"/>
      <c r="BM1977" s="178"/>
      <c r="BN1977" s="178"/>
      <c r="BO1977" s="178"/>
      <c r="BP1977" s="178"/>
      <c r="BQ1977" s="196"/>
      <c r="BR1977" s="196"/>
      <c r="BS1977" s="196"/>
      <c r="BT1977" s="196"/>
      <c r="BU1977" s="196"/>
      <c r="BV1977" s="196"/>
      <c r="BW1977" s="178"/>
      <c r="BX1977" s="196"/>
      <c r="BY1977" s="196"/>
      <c r="BZ1977" s="196"/>
      <c r="CA1977" s="196"/>
      <c r="CB1977" s="178"/>
      <c r="CC1977" s="178"/>
      <c r="CD1977" s="202"/>
      <c r="CE1977" s="202"/>
      <c r="CF1977" s="178"/>
      <c r="CG1977" s="196"/>
      <c r="CH1977" s="178"/>
      <c r="CI1977" s="178"/>
      <c r="CJ1977" s="178"/>
      <c r="CK1977" s="178"/>
      <c r="CL1977" s="178"/>
      <c r="CM1977" s="178"/>
      <c r="CN1977" s="178"/>
      <c r="CO1977" s="178"/>
      <c r="CP1977" s="178"/>
      <c r="CQ1977" s="178"/>
      <c r="CR1977" s="178"/>
      <c r="CS1977" s="178"/>
      <c r="CT1977" s="178"/>
      <c r="CU1977" s="178"/>
      <c r="CV1977" s="178"/>
      <c r="CW1977" s="178"/>
      <c r="CX1977" s="178"/>
      <c r="CY1977" s="178"/>
      <c r="CZ1977" s="178"/>
      <c r="DA1977" s="150"/>
    </row>
    <row r="1978" spans="53:105" x14ac:dyDescent="0.2">
      <c r="BA1978" s="518">
        <f t="shared" ca="1" si="103"/>
        <v>61</v>
      </c>
      <c r="BB1978" s="174">
        <f t="shared" ca="1" si="104"/>
        <v>1915</v>
      </c>
      <c r="BC1978" s="525" t="e">
        <f ca="1">MATCH(BD1978,OFFSET(Pinlist!$A$2,BC1977*(BA1978=BA1977),0,$BM$23,1),0)+BC1977*(BA1978=BA1977)</f>
        <v>#N/A</v>
      </c>
      <c r="BD1978" s="167">
        <f t="shared" ca="1" si="105"/>
        <v>0</v>
      </c>
      <c r="BE1978" s="191" t="e">
        <f ca="1">(OFFSET(Pinlist!$E$1,BC1978,0)-$BN$16)*$BN$19</f>
        <v>#N/A</v>
      </c>
      <c r="BF1978" s="192" t="e">
        <f ca="1">(OFFSET(Pinlist!$F$1,BC1978,0)-$BO$16)*$BO$19</f>
        <v>#N/A</v>
      </c>
      <c r="BG1978" s="1098" t="str">
        <f ca="1">IF(LEFT(BD1978,2)="RF",OFFSET(Pinlist!$D$1,Chart!BC1978,0)&amp;"_"&amp;OFFSET(Pinlist!$G$1,Chart!BC1978,0),"")</f>
        <v/>
      </c>
      <c r="BH1978" s="1098"/>
      <c r="BI1978" s="178"/>
      <c r="BJ1978" s="178"/>
      <c r="BK1978" s="178"/>
      <c r="BL1978" s="178"/>
      <c r="BM1978" s="178"/>
      <c r="BN1978" s="178"/>
      <c r="BO1978" s="178"/>
      <c r="BP1978" s="178"/>
      <c r="BQ1978" s="196"/>
      <c r="BR1978" s="196"/>
      <c r="BS1978" s="196"/>
      <c r="BT1978" s="196"/>
      <c r="BU1978" s="196"/>
      <c r="BV1978" s="196"/>
      <c r="BW1978" s="178"/>
      <c r="BX1978" s="196"/>
      <c r="BY1978" s="196"/>
      <c r="BZ1978" s="196"/>
      <c r="CA1978" s="196"/>
      <c r="CB1978" s="178"/>
      <c r="CC1978" s="178"/>
      <c r="CD1978" s="202"/>
      <c r="CE1978" s="202"/>
      <c r="CF1978" s="178"/>
      <c r="CG1978" s="196"/>
      <c r="CH1978" s="178"/>
      <c r="CI1978" s="178"/>
      <c r="CJ1978" s="178"/>
      <c r="CK1978" s="178"/>
      <c r="CL1978" s="178"/>
      <c r="CM1978" s="178"/>
      <c r="CN1978" s="178"/>
      <c r="CO1978" s="178"/>
      <c r="CP1978" s="178"/>
      <c r="CQ1978" s="178"/>
      <c r="CR1978" s="178"/>
      <c r="CS1978" s="178"/>
      <c r="CT1978" s="178"/>
      <c r="CU1978" s="178"/>
      <c r="CV1978" s="178"/>
      <c r="CW1978" s="178"/>
      <c r="CX1978" s="178"/>
      <c r="CY1978" s="178"/>
      <c r="CZ1978" s="178"/>
      <c r="DA1978" s="150"/>
    </row>
    <row r="1979" spans="53:105" x14ac:dyDescent="0.2">
      <c r="BA1979" s="518">
        <f t="shared" ca="1" si="103"/>
        <v>61</v>
      </c>
      <c r="BB1979" s="174">
        <f t="shared" ca="1" si="104"/>
        <v>1916</v>
      </c>
      <c r="BC1979" s="525" t="e">
        <f ca="1">MATCH(BD1979,OFFSET(Pinlist!$A$2,BC1978*(BA1979=BA1978),0,$BM$23,1),0)+BC1978*(BA1979=BA1978)</f>
        <v>#N/A</v>
      </c>
      <c r="BD1979" s="167">
        <f t="shared" ca="1" si="105"/>
        <v>0</v>
      </c>
      <c r="BE1979" s="191" t="e">
        <f ca="1">(OFFSET(Pinlist!$E$1,BC1979,0)-$BN$16)*$BN$19</f>
        <v>#N/A</v>
      </c>
      <c r="BF1979" s="192" t="e">
        <f ca="1">(OFFSET(Pinlist!$F$1,BC1979,0)-$BO$16)*$BO$19</f>
        <v>#N/A</v>
      </c>
      <c r="BG1979" s="1098" t="str">
        <f ca="1">IF(LEFT(BD1979,2)="RF",OFFSET(Pinlist!$D$1,Chart!BC1979,0)&amp;"_"&amp;OFFSET(Pinlist!$G$1,Chart!BC1979,0),"")</f>
        <v/>
      </c>
      <c r="BH1979" s="1098"/>
      <c r="BI1979" s="178"/>
      <c r="BJ1979" s="178"/>
      <c r="BK1979" s="178"/>
      <c r="BL1979" s="178"/>
      <c r="BM1979" s="178"/>
      <c r="BN1979" s="178"/>
      <c r="BO1979" s="178"/>
      <c r="BP1979" s="178"/>
      <c r="BQ1979" s="196"/>
      <c r="BR1979" s="196"/>
      <c r="BS1979" s="196"/>
      <c r="BT1979" s="196"/>
      <c r="BU1979" s="196"/>
      <c r="BV1979" s="196"/>
      <c r="BW1979" s="178"/>
      <c r="BX1979" s="196"/>
      <c r="BY1979" s="196"/>
      <c r="BZ1979" s="196"/>
      <c r="CA1979" s="196"/>
      <c r="CB1979" s="178"/>
      <c r="CC1979" s="178"/>
      <c r="CD1979" s="202"/>
      <c r="CE1979" s="202"/>
      <c r="CF1979" s="178"/>
      <c r="CG1979" s="196"/>
      <c r="CH1979" s="178"/>
      <c r="CI1979" s="178"/>
      <c r="CJ1979" s="178"/>
      <c r="CK1979" s="178"/>
      <c r="CL1979" s="178"/>
      <c r="CM1979" s="178"/>
      <c r="CN1979" s="178"/>
      <c r="CO1979" s="178"/>
      <c r="CP1979" s="178"/>
      <c r="CQ1979" s="178"/>
      <c r="CR1979" s="178"/>
      <c r="CS1979" s="178"/>
      <c r="CT1979" s="178"/>
      <c r="CU1979" s="178"/>
      <c r="CV1979" s="178"/>
      <c r="CW1979" s="178"/>
      <c r="CX1979" s="178"/>
      <c r="CY1979" s="178"/>
      <c r="CZ1979" s="178"/>
      <c r="DA1979" s="150"/>
    </row>
    <row r="1980" spans="53:105" x14ac:dyDescent="0.2">
      <c r="BA1980" s="518">
        <f t="shared" ca="1" si="103"/>
        <v>61</v>
      </c>
      <c r="BB1980" s="174">
        <f t="shared" ca="1" si="104"/>
        <v>1917</v>
      </c>
      <c r="BC1980" s="525" t="e">
        <f ca="1">MATCH(BD1980,OFFSET(Pinlist!$A$2,BC1979*(BA1980=BA1979),0,$BM$23,1),0)+BC1979*(BA1980=BA1979)</f>
        <v>#N/A</v>
      </c>
      <c r="BD1980" s="167">
        <f t="shared" ca="1" si="105"/>
        <v>0</v>
      </c>
      <c r="BE1980" s="191" t="e">
        <f ca="1">(OFFSET(Pinlist!$E$1,BC1980,0)-$BN$16)*$BN$19</f>
        <v>#N/A</v>
      </c>
      <c r="BF1980" s="192" t="e">
        <f ca="1">(OFFSET(Pinlist!$F$1,BC1980,0)-$BO$16)*$BO$19</f>
        <v>#N/A</v>
      </c>
      <c r="BG1980" s="1098" t="str">
        <f ca="1">IF(LEFT(BD1980,2)="RF",OFFSET(Pinlist!$D$1,Chart!BC1980,0)&amp;"_"&amp;OFFSET(Pinlist!$G$1,Chart!BC1980,0),"")</f>
        <v/>
      </c>
      <c r="BH1980" s="1098"/>
      <c r="BI1980" s="178"/>
      <c r="BJ1980" s="178"/>
      <c r="BK1980" s="178"/>
      <c r="BL1980" s="178"/>
      <c r="BM1980" s="178"/>
      <c r="BN1980" s="178"/>
      <c r="BO1980" s="178"/>
      <c r="BP1980" s="178"/>
      <c r="BQ1980" s="196"/>
      <c r="BR1980" s="196"/>
      <c r="BS1980" s="196"/>
      <c r="BT1980" s="196"/>
      <c r="BU1980" s="196"/>
      <c r="BV1980" s="196"/>
      <c r="BW1980" s="178"/>
      <c r="BX1980" s="196"/>
      <c r="BY1980" s="196"/>
      <c r="BZ1980" s="196"/>
      <c r="CA1980" s="196"/>
      <c r="CB1980" s="178"/>
      <c r="CC1980" s="178"/>
      <c r="CD1980" s="202"/>
      <c r="CE1980" s="202"/>
      <c r="CF1980" s="178"/>
      <c r="CG1980" s="196"/>
      <c r="CH1980" s="178"/>
      <c r="CI1980" s="178"/>
      <c r="CJ1980" s="178"/>
      <c r="CK1980" s="178"/>
      <c r="CL1980" s="178"/>
      <c r="CM1980" s="178"/>
      <c r="CN1980" s="178"/>
      <c r="CO1980" s="178"/>
      <c r="CP1980" s="178"/>
      <c r="CQ1980" s="178"/>
      <c r="CR1980" s="178"/>
      <c r="CS1980" s="178"/>
      <c r="CT1980" s="178"/>
      <c r="CU1980" s="178"/>
      <c r="CV1980" s="178"/>
      <c r="CW1980" s="178"/>
      <c r="CX1980" s="178"/>
      <c r="CY1980" s="178"/>
      <c r="CZ1980" s="178"/>
      <c r="DA1980" s="150"/>
    </row>
    <row r="1981" spans="53:105" x14ac:dyDescent="0.2">
      <c r="BA1981" s="518">
        <f t="shared" ca="1" si="103"/>
        <v>61</v>
      </c>
      <c r="BB1981" s="174">
        <f t="shared" ca="1" si="104"/>
        <v>1918</v>
      </c>
      <c r="BC1981" s="525" t="e">
        <f ca="1">MATCH(BD1981,OFFSET(Pinlist!$A$2,BC1980*(BA1981=BA1980),0,$BM$23,1),0)+BC1980*(BA1981=BA1980)</f>
        <v>#N/A</v>
      </c>
      <c r="BD1981" s="167">
        <f t="shared" ca="1" si="105"/>
        <v>0</v>
      </c>
      <c r="BE1981" s="191" t="e">
        <f ca="1">(OFFSET(Pinlist!$E$1,BC1981,0)-$BN$16)*$BN$19</f>
        <v>#N/A</v>
      </c>
      <c r="BF1981" s="192" t="e">
        <f ca="1">(OFFSET(Pinlist!$F$1,BC1981,0)-$BO$16)*$BO$19</f>
        <v>#N/A</v>
      </c>
      <c r="BG1981" s="1098" t="str">
        <f ca="1">IF(LEFT(BD1981,2)="RF",OFFSET(Pinlist!$D$1,Chart!BC1981,0)&amp;"_"&amp;OFFSET(Pinlist!$G$1,Chart!BC1981,0),"")</f>
        <v/>
      </c>
      <c r="BH1981" s="1098"/>
      <c r="BI1981" s="178"/>
      <c r="BJ1981" s="178"/>
      <c r="BK1981" s="178"/>
      <c r="BL1981" s="178"/>
      <c r="BM1981" s="178"/>
      <c r="BN1981" s="178"/>
      <c r="BO1981" s="178"/>
      <c r="BP1981" s="178"/>
      <c r="BQ1981" s="196"/>
      <c r="BR1981" s="196"/>
      <c r="BS1981" s="196"/>
      <c r="BT1981" s="196"/>
      <c r="BU1981" s="196"/>
      <c r="BV1981" s="196"/>
      <c r="BW1981" s="178"/>
      <c r="BX1981" s="196"/>
      <c r="BY1981" s="196"/>
      <c r="BZ1981" s="196"/>
      <c r="CA1981" s="196"/>
      <c r="CB1981" s="178"/>
      <c r="CC1981" s="178"/>
      <c r="CD1981" s="202"/>
      <c r="CE1981" s="202"/>
      <c r="CF1981" s="178"/>
      <c r="CG1981" s="196"/>
      <c r="CH1981" s="178"/>
      <c r="CI1981" s="178"/>
      <c r="CJ1981" s="178"/>
      <c r="CK1981" s="178"/>
      <c r="CL1981" s="178"/>
      <c r="CM1981" s="178"/>
      <c r="CN1981" s="178"/>
      <c r="CO1981" s="178"/>
      <c r="CP1981" s="178"/>
      <c r="CQ1981" s="178"/>
      <c r="CR1981" s="178"/>
      <c r="CS1981" s="178"/>
      <c r="CT1981" s="178"/>
      <c r="CU1981" s="178"/>
      <c r="CV1981" s="178"/>
      <c r="CW1981" s="178"/>
      <c r="CX1981" s="178"/>
      <c r="CY1981" s="178"/>
      <c r="CZ1981" s="178"/>
      <c r="DA1981" s="150"/>
    </row>
    <row r="1982" spans="53:105" x14ac:dyDescent="0.2">
      <c r="BA1982" s="518">
        <f t="shared" ca="1" si="103"/>
        <v>61</v>
      </c>
      <c r="BB1982" s="174">
        <f t="shared" ca="1" si="104"/>
        <v>1919</v>
      </c>
      <c r="BC1982" s="525" t="e">
        <f ca="1">MATCH(BD1982,OFFSET(Pinlist!$A$2,BC1981*(BA1982=BA1981),0,$BM$23,1),0)+BC1981*(BA1982=BA1981)</f>
        <v>#N/A</v>
      </c>
      <c r="BD1982" s="167">
        <f t="shared" ca="1" si="105"/>
        <v>0</v>
      </c>
      <c r="BE1982" s="191" t="e">
        <f ca="1">(OFFSET(Pinlist!$E$1,BC1982,0)-$BN$16)*$BN$19</f>
        <v>#N/A</v>
      </c>
      <c r="BF1982" s="192" t="e">
        <f ca="1">(OFFSET(Pinlist!$F$1,BC1982,0)-$BO$16)*$BO$19</f>
        <v>#N/A</v>
      </c>
      <c r="BG1982" s="1098" t="str">
        <f ca="1">IF(LEFT(BD1982,2)="RF",OFFSET(Pinlist!$D$1,Chart!BC1982,0)&amp;"_"&amp;OFFSET(Pinlist!$G$1,Chart!BC1982,0),"")</f>
        <v/>
      </c>
      <c r="BH1982" s="1098"/>
      <c r="BI1982" s="178"/>
      <c r="BJ1982" s="178"/>
      <c r="BK1982" s="178"/>
      <c r="BL1982" s="178"/>
      <c r="BM1982" s="178"/>
      <c r="BN1982" s="178"/>
      <c r="BO1982" s="178"/>
      <c r="BP1982" s="178"/>
      <c r="BQ1982" s="196"/>
      <c r="BR1982" s="196"/>
      <c r="BS1982" s="196"/>
      <c r="BT1982" s="196"/>
      <c r="BU1982" s="196"/>
      <c r="BV1982" s="196"/>
      <c r="BW1982" s="178"/>
      <c r="BX1982" s="196"/>
      <c r="BY1982" s="196"/>
      <c r="BZ1982" s="196"/>
      <c r="CA1982" s="196"/>
      <c r="CB1982" s="178"/>
      <c r="CC1982" s="178"/>
      <c r="CD1982" s="202"/>
      <c r="CE1982" s="202"/>
      <c r="CF1982" s="178"/>
      <c r="CG1982" s="196"/>
      <c r="CH1982" s="178"/>
      <c r="CI1982" s="178"/>
      <c r="CJ1982" s="178"/>
      <c r="CK1982" s="178"/>
      <c r="CL1982" s="178"/>
      <c r="CM1982" s="178"/>
      <c r="CN1982" s="178"/>
      <c r="CO1982" s="178"/>
      <c r="CP1982" s="178"/>
      <c r="CQ1982" s="178"/>
      <c r="CR1982" s="178"/>
      <c r="CS1982" s="178"/>
      <c r="CT1982" s="178"/>
      <c r="CU1982" s="178"/>
      <c r="CV1982" s="178"/>
      <c r="CW1982" s="178"/>
      <c r="CX1982" s="178"/>
      <c r="CY1982" s="178"/>
      <c r="CZ1982" s="178"/>
      <c r="DA1982" s="150"/>
    </row>
    <row r="1983" spans="53:105" x14ac:dyDescent="0.2">
      <c r="BA1983" s="518">
        <f t="shared" ca="1" si="103"/>
        <v>61</v>
      </c>
      <c r="BB1983" s="174">
        <f t="shared" ca="1" si="104"/>
        <v>1920</v>
      </c>
      <c r="BC1983" s="525" t="e">
        <f ca="1">MATCH(BD1983,OFFSET(Pinlist!$A$2,BC1982*(BA1983=BA1982),0,$BM$23,1),0)+BC1982*(BA1983=BA1982)</f>
        <v>#N/A</v>
      </c>
      <c r="BD1983" s="167">
        <f t="shared" ca="1" si="105"/>
        <v>0</v>
      </c>
      <c r="BE1983" s="191" t="e">
        <f ca="1">(OFFSET(Pinlist!$E$1,BC1983,0)-$BN$16)*$BN$19</f>
        <v>#N/A</v>
      </c>
      <c r="BF1983" s="192" t="e">
        <f ca="1">(OFFSET(Pinlist!$F$1,BC1983,0)-$BO$16)*$BO$19</f>
        <v>#N/A</v>
      </c>
      <c r="BG1983" s="1098" t="str">
        <f ca="1">IF(LEFT(BD1983,2)="RF",OFFSET(Pinlist!$D$1,Chart!BC1983,0)&amp;"_"&amp;OFFSET(Pinlist!$G$1,Chart!BC1983,0),"")</f>
        <v/>
      </c>
      <c r="BH1983" s="1098"/>
      <c r="BI1983" s="178"/>
      <c r="BJ1983" s="178"/>
      <c r="BK1983" s="178"/>
      <c r="BL1983" s="178"/>
      <c r="BM1983" s="178"/>
      <c r="BN1983" s="178"/>
      <c r="BO1983" s="178"/>
      <c r="BP1983" s="178"/>
      <c r="BQ1983" s="196"/>
      <c r="BR1983" s="196"/>
      <c r="BS1983" s="196"/>
      <c r="BT1983" s="196"/>
      <c r="BU1983" s="196"/>
      <c r="BV1983" s="196"/>
      <c r="BW1983" s="178"/>
      <c r="BX1983" s="196"/>
      <c r="BY1983" s="196"/>
      <c r="BZ1983" s="196"/>
      <c r="CA1983" s="196"/>
      <c r="CB1983" s="178"/>
      <c r="CC1983" s="178"/>
      <c r="CD1983" s="202"/>
      <c r="CE1983" s="202"/>
      <c r="CF1983" s="178"/>
      <c r="CG1983" s="196"/>
      <c r="CH1983" s="178"/>
      <c r="CI1983" s="178"/>
      <c r="CJ1983" s="178"/>
      <c r="CK1983" s="178"/>
      <c r="CL1983" s="178"/>
      <c r="CM1983" s="178"/>
      <c r="CN1983" s="178"/>
      <c r="CO1983" s="178"/>
      <c r="CP1983" s="178"/>
      <c r="CQ1983" s="178"/>
      <c r="CR1983" s="178"/>
      <c r="CS1983" s="178"/>
      <c r="CT1983" s="178"/>
      <c r="CU1983" s="178"/>
      <c r="CV1983" s="178"/>
      <c r="CW1983" s="178"/>
      <c r="CX1983" s="178"/>
      <c r="CY1983" s="178"/>
      <c r="CZ1983" s="178"/>
      <c r="DA1983" s="150"/>
    </row>
    <row r="1984" spans="53:105" x14ac:dyDescent="0.2">
      <c r="BA1984" s="518">
        <f t="shared" ca="1" si="103"/>
        <v>61</v>
      </c>
      <c r="BB1984" s="174">
        <f t="shared" ca="1" si="104"/>
        <v>1921</v>
      </c>
      <c r="BC1984" s="525" t="e">
        <f ca="1">MATCH(BD1984,OFFSET(Pinlist!$A$2,BC1983*(BA1984=BA1983),0,$BM$23,1),0)+BC1983*(BA1984=BA1983)</f>
        <v>#N/A</v>
      </c>
      <c r="BD1984" s="167">
        <f t="shared" ca="1" si="105"/>
        <v>0</v>
      </c>
      <c r="BE1984" s="191" t="e">
        <f ca="1">(OFFSET(Pinlist!$E$1,BC1984,0)-$BN$16)*$BN$19</f>
        <v>#N/A</v>
      </c>
      <c r="BF1984" s="192" t="e">
        <f ca="1">(OFFSET(Pinlist!$F$1,BC1984,0)-$BO$16)*$BO$19</f>
        <v>#N/A</v>
      </c>
      <c r="BG1984" s="1098" t="str">
        <f ca="1">IF(LEFT(BD1984,2)="RF",OFFSET(Pinlist!$D$1,Chart!BC1984,0)&amp;"_"&amp;OFFSET(Pinlist!$G$1,Chart!BC1984,0),"")</f>
        <v/>
      </c>
      <c r="BH1984" s="1098"/>
      <c r="BI1984" s="178"/>
      <c r="BJ1984" s="178"/>
      <c r="BK1984" s="178"/>
      <c r="BL1984" s="178"/>
      <c r="BM1984" s="178"/>
      <c r="BN1984" s="178"/>
      <c r="BO1984" s="178"/>
      <c r="BP1984" s="178"/>
      <c r="BQ1984" s="196"/>
      <c r="BR1984" s="196"/>
      <c r="BS1984" s="196"/>
      <c r="BT1984" s="196"/>
      <c r="BU1984" s="196"/>
      <c r="BV1984" s="196"/>
      <c r="BW1984" s="178"/>
      <c r="BX1984" s="196"/>
      <c r="BY1984" s="196"/>
      <c r="BZ1984" s="196"/>
      <c r="CA1984" s="196"/>
      <c r="CB1984" s="178"/>
      <c r="CC1984" s="178"/>
      <c r="CD1984" s="202"/>
      <c r="CE1984" s="202"/>
      <c r="CF1984" s="178"/>
      <c r="CG1984" s="196"/>
      <c r="CH1984" s="178"/>
      <c r="CI1984" s="178"/>
      <c r="CJ1984" s="178"/>
      <c r="CK1984" s="178"/>
      <c r="CL1984" s="178"/>
      <c r="CM1984" s="178"/>
      <c r="CN1984" s="178"/>
      <c r="CO1984" s="178"/>
      <c r="CP1984" s="178"/>
      <c r="CQ1984" s="178"/>
      <c r="CR1984" s="178"/>
      <c r="CS1984" s="178"/>
      <c r="CT1984" s="178"/>
      <c r="CU1984" s="178"/>
      <c r="CV1984" s="178"/>
      <c r="CW1984" s="178"/>
      <c r="CX1984" s="178"/>
      <c r="CY1984" s="178"/>
      <c r="CZ1984" s="178"/>
      <c r="DA1984" s="150"/>
    </row>
    <row r="1985" spans="53:105" x14ac:dyDescent="0.2">
      <c r="BA1985" s="518">
        <f t="shared" ca="1" si="103"/>
        <v>61</v>
      </c>
      <c r="BB1985" s="174">
        <f t="shared" ca="1" si="104"/>
        <v>1922</v>
      </c>
      <c r="BC1985" s="525" t="e">
        <f ca="1">MATCH(BD1985,OFFSET(Pinlist!$A$2,BC1984*(BA1985=BA1984),0,$BM$23,1),0)+BC1984*(BA1985=BA1984)</f>
        <v>#N/A</v>
      </c>
      <c r="BD1985" s="167">
        <f t="shared" ca="1" si="105"/>
        <v>0</v>
      </c>
      <c r="BE1985" s="191" t="e">
        <f ca="1">(OFFSET(Pinlist!$E$1,BC1985,0)-$BN$16)*$BN$19</f>
        <v>#N/A</v>
      </c>
      <c r="BF1985" s="192" t="e">
        <f ca="1">(OFFSET(Pinlist!$F$1,BC1985,0)-$BO$16)*$BO$19</f>
        <v>#N/A</v>
      </c>
      <c r="BG1985" s="1098" t="str">
        <f ca="1">IF(LEFT(BD1985,2)="RF",OFFSET(Pinlist!$D$1,Chart!BC1985,0)&amp;"_"&amp;OFFSET(Pinlist!$G$1,Chart!BC1985,0),"")</f>
        <v/>
      </c>
      <c r="BH1985" s="1098"/>
      <c r="BI1985" s="178"/>
      <c r="BJ1985" s="178"/>
      <c r="BK1985" s="178"/>
      <c r="BL1985" s="178"/>
      <c r="BM1985" s="178"/>
      <c r="BN1985" s="178"/>
      <c r="BO1985" s="178"/>
      <c r="BP1985" s="178"/>
      <c r="BQ1985" s="196"/>
      <c r="BR1985" s="196"/>
      <c r="BS1985" s="196"/>
      <c r="BT1985" s="196"/>
      <c r="BU1985" s="196"/>
      <c r="BV1985" s="196"/>
      <c r="BW1985" s="178"/>
      <c r="BX1985" s="196"/>
      <c r="BY1985" s="196"/>
      <c r="BZ1985" s="196"/>
      <c r="CA1985" s="196"/>
      <c r="CB1985" s="178"/>
      <c r="CC1985" s="178"/>
      <c r="CD1985" s="202"/>
      <c r="CE1985" s="202"/>
      <c r="CF1985" s="178"/>
      <c r="CG1985" s="196"/>
      <c r="CH1985" s="178"/>
      <c r="CI1985" s="178"/>
      <c r="CJ1985" s="178"/>
      <c r="CK1985" s="178"/>
      <c r="CL1985" s="178"/>
      <c r="CM1985" s="178"/>
      <c r="CN1985" s="178"/>
      <c r="CO1985" s="178"/>
      <c r="CP1985" s="178"/>
      <c r="CQ1985" s="178"/>
      <c r="CR1985" s="178"/>
      <c r="CS1985" s="178"/>
      <c r="CT1985" s="178"/>
      <c r="CU1985" s="178"/>
      <c r="CV1985" s="178"/>
      <c r="CW1985" s="178"/>
      <c r="CX1985" s="178"/>
      <c r="CY1985" s="178"/>
      <c r="CZ1985" s="178"/>
      <c r="DA1985" s="150"/>
    </row>
    <row r="1986" spans="53:105" x14ac:dyDescent="0.2">
      <c r="BA1986" s="518">
        <f t="shared" ca="1" si="103"/>
        <v>61</v>
      </c>
      <c r="BB1986" s="174">
        <f t="shared" ca="1" si="104"/>
        <v>1923</v>
      </c>
      <c r="BC1986" s="525" t="e">
        <f ca="1">MATCH(BD1986,OFFSET(Pinlist!$A$2,BC1985*(BA1986=BA1985),0,$BM$23,1),0)+BC1985*(BA1986=BA1985)</f>
        <v>#N/A</v>
      </c>
      <c r="BD1986" s="167">
        <f t="shared" ca="1" si="105"/>
        <v>0</v>
      </c>
      <c r="BE1986" s="191" t="e">
        <f ca="1">(OFFSET(Pinlist!$E$1,BC1986,0)-$BN$16)*$BN$19</f>
        <v>#N/A</v>
      </c>
      <c r="BF1986" s="192" t="e">
        <f ca="1">(OFFSET(Pinlist!$F$1,BC1986,0)-$BO$16)*$BO$19</f>
        <v>#N/A</v>
      </c>
      <c r="BG1986" s="1098" t="str">
        <f ca="1">IF(LEFT(BD1986,2)="RF",OFFSET(Pinlist!$D$1,Chart!BC1986,0)&amp;"_"&amp;OFFSET(Pinlist!$G$1,Chart!BC1986,0),"")</f>
        <v/>
      </c>
      <c r="BH1986" s="1098"/>
      <c r="BI1986" s="178"/>
      <c r="BJ1986" s="178"/>
      <c r="BK1986" s="178"/>
      <c r="BL1986" s="178"/>
      <c r="BM1986" s="178"/>
      <c r="BN1986" s="178"/>
      <c r="BO1986" s="178"/>
      <c r="BP1986" s="178"/>
      <c r="BQ1986" s="196"/>
      <c r="BR1986" s="196"/>
      <c r="BS1986" s="196"/>
      <c r="BT1986" s="196"/>
      <c r="BU1986" s="196"/>
      <c r="BV1986" s="196"/>
      <c r="BW1986" s="178"/>
      <c r="BX1986" s="196"/>
      <c r="BY1986" s="196"/>
      <c r="BZ1986" s="196"/>
      <c r="CA1986" s="196"/>
      <c r="CB1986" s="178"/>
      <c r="CC1986" s="178"/>
      <c r="CD1986" s="202"/>
      <c r="CE1986" s="202"/>
      <c r="CF1986" s="178"/>
      <c r="CG1986" s="196"/>
      <c r="CH1986" s="178"/>
      <c r="CI1986" s="178"/>
      <c r="CJ1986" s="178"/>
      <c r="CK1986" s="178"/>
      <c r="CL1986" s="178"/>
      <c r="CM1986" s="178"/>
      <c r="CN1986" s="178"/>
      <c r="CO1986" s="178"/>
      <c r="CP1986" s="178"/>
      <c r="CQ1986" s="178"/>
      <c r="CR1986" s="178"/>
      <c r="CS1986" s="178"/>
      <c r="CT1986" s="178"/>
      <c r="CU1986" s="178"/>
      <c r="CV1986" s="178"/>
      <c r="CW1986" s="178"/>
      <c r="CX1986" s="178"/>
      <c r="CY1986" s="178"/>
      <c r="CZ1986" s="178"/>
      <c r="DA1986" s="150"/>
    </row>
    <row r="1987" spans="53:105" x14ac:dyDescent="0.2">
      <c r="BA1987" s="518">
        <f t="shared" ca="1" si="103"/>
        <v>61</v>
      </c>
      <c r="BB1987" s="174">
        <f t="shared" ca="1" si="104"/>
        <v>1924</v>
      </c>
      <c r="BC1987" s="525" t="e">
        <f ca="1">MATCH(BD1987,OFFSET(Pinlist!$A$2,BC1986*(BA1987=BA1986),0,$BM$23,1),0)+BC1986*(BA1987=BA1986)</f>
        <v>#N/A</v>
      </c>
      <c r="BD1987" s="167">
        <f t="shared" ca="1" si="105"/>
        <v>0</v>
      </c>
      <c r="BE1987" s="191" t="e">
        <f ca="1">(OFFSET(Pinlist!$E$1,BC1987,0)-$BN$16)*$BN$19</f>
        <v>#N/A</v>
      </c>
      <c r="BF1987" s="192" t="e">
        <f ca="1">(OFFSET(Pinlist!$F$1,BC1987,0)-$BO$16)*$BO$19</f>
        <v>#N/A</v>
      </c>
      <c r="BG1987" s="1098" t="str">
        <f ca="1">IF(LEFT(BD1987,2)="RF",OFFSET(Pinlist!$D$1,Chart!BC1987,0)&amp;"_"&amp;OFFSET(Pinlist!$G$1,Chart!BC1987,0),"")</f>
        <v/>
      </c>
      <c r="BH1987" s="1098"/>
      <c r="BI1987" s="178"/>
      <c r="BJ1987" s="178"/>
      <c r="BK1987" s="178"/>
      <c r="BL1987" s="178"/>
      <c r="BM1987" s="178"/>
      <c r="BN1987" s="178"/>
      <c r="BO1987" s="178"/>
      <c r="BP1987" s="178"/>
      <c r="BQ1987" s="196"/>
      <c r="BR1987" s="196"/>
      <c r="BS1987" s="196"/>
      <c r="BT1987" s="196"/>
      <c r="BU1987" s="196"/>
      <c r="BV1987" s="196"/>
      <c r="BW1987" s="178"/>
      <c r="BX1987" s="196"/>
      <c r="BY1987" s="196"/>
      <c r="BZ1987" s="196"/>
      <c r="CA1987" s="196"/>
      <c r="CB1987" s="178"/>
      <c r="CC1987" s="178"/>
      <c r="CD1987" s="202"/>
      <c r="CE1987" s="202"/>
      <c r="CF1987" s="178"/>
      <c r="CG1987" s="196"/>
      <c r="CH1987" s="178"/>
      <c r="CI1987" s="178"/>
      <c r="CJ1987" s="178"/>
      <c r="CK1987" s="178"/>
      <c r="CL1987" s="178"/>
      <c r="CM1987" s="178"/>
      <c r="CN1987" s="178"/>
      <c r="CO1987" s="178"/>
      <c r="CP1987" s="178"/>
      <c r="CQ1987" s="178"/>
      <c r="CR1987" s="178"/>
      <c r="CS1987" s="178"/>
      <c r="CT1987" s="178"/>
      <c r="CU1987" s="178"/>
      <c r="CV1987" s="178"/>
      <c r="CW1987" s="178"/>
      <c r="CX1987" s="178"/>
      <c r="CY1987" s="178"/>
      <c r="CZ1987" s="178"/>
      <c r="DA1987" s="150"/>
    </row>
    <row r="1988" spans="53:105" x14ac:dyDescent="0.2">
      <c r="BA1988" s="518">
        <f t="shared" ref="BA1988:BA2051" ca="1" si="106">BA1987+(BB1987=OFFSET($BZ$3,BA1987,0))</f>
        <v>61</v>
      </c>
      <c r="BB1988" s="174">
        <f t="shared" ref="BB1988:BB2051" ca="1" si="107">IF(BA1988=BA1987,BB1987+1,1)</f>
        <v>1925</v>
      </c>
      <c r="BC1988" s="525" t="e">
        <f ca="1">MATCH(BD1988,OFFSET(Pinlist!$A$2,BC1987*(BA1988=BA1987),0,$BM$23,1),0)+BC1987*(BA1988=BA1987)</f>
        <v>#N/A</v>
      </c>
      <c r="BD1988" s="167">
        <f t="shared" ref="BD1988:BD2051" ca="1" si="108">OFFSET($BY$3,BA1988,0)</f>
        <v>0</v>
      </c>
      <c r="BE1988" s="191" t="e">
        <f ca="1">(OFFSET(Pinlist!$E$1,BC1988,0)-$BN$16)*$BN$19</f>
        <v>#N/A</v>
      </c>
      <c r="BF1988" s="192" t="e">
        <f ca="1">(OFFSET(Pinlist!$F$1,BC1988,0)-$BO$16)*$BO$19</f>
        <v>#N/A</v>
      </c>
      <c r="BG1988" s="1098" t="str">
        <f ca="1">IF(LEFT(BD1988,2)="RF",OFFSET(Pinlist!$D$1,Chart!BC1988,0)&amp;"_"&amp;OFFSET(Pinlist!$G$1,Chart!BC1988,0),"")</f>
        <v/>
      </c>
      <c r="BH1988" s="1098"/>
      <c r="BI1988" s="178"/>
      <c r="BJ1988" s="178"/>
      <c r="BK1988" s="178"/>
      <c r="BL1988" s="178"/>
      <c r="BM1988" s="178"/>
      <c r="BN1988" s="178"/>
      <c r="BO1988" s="178"/>
      <c r="BP1988" s="178"/>
      <c r="BQ1988" s="196"/>
      <c r="BR1988" s="196"/>
      <c r="BS1988" s="196"/>
      <c r="BT1988" s="196"/>
      <c r="BU1988" s="196"/>
      <c r="BV1988" s="196"/>
      <c r="BW1988" s="178"/>
      <c r="BX1988" s="196"/>
      <c r="BY1988" s="196"/>
      <c r="BZ1988" s="196"/>
      <c r="CA1988" s="196"/>
      <c r="CB1988" s="178"/>
      <c r="CC1988" s="178"/>
      <c r="CD1988" s="202"/>
      <c r="CE1988" s="202"/>
      <c r="CF1988" s="178"/>
      <c r="CG1988" s="196"/>
      <c r="CH1988" s="178"/>
      <c r="CI1988" s="178"/>
      <c r="CJ1988" s="178"/>
      <c r="CK1988" s="178"/>
      <c r="CL1988" s="178"/>
      <c r="CM1988" s="178"/>
      <c r="CN1988" s="178"/>
      <c r="CO1988" s="178"/>
      <c r="CP1988" s="178"/>
      <c r="CQ1988" s="178"/>
      <c r="CR1988" s="178"/>
      <c r="CS1988" s="178"/>
      <c r="CT1988" s="178"/>
      <c r="CU1988" s="178"/>
      <c r="CV1988" s="178"/>
      <c r="CW1988" s="178"/>
      <c r="CX1988" s="178"/>
      <c r="CY1988" s="178"/>
      <c r="CZ1988" s="178"/>
      <c r="DA1988" s="150"/>
    </row>
    <row r="1989" spans="53:105" x14ac:dyDescent="0.2">
      <c r="BA1989" s="518">
        <f t="shared" ca="1" si="106"/>
        <v>61</v>
      </c>
      <c r="BB1989" s="174">
        <f t="shared" ca="1" si="107"/>
        <v>1926</v>
      </c>
      <c r="BC1989" s="525" t="e">
        <f ca="1">MATCH(BD1989,OFFSET(Pinlist!$A$2,BC1988*(BA1989=BA1988),0,$BM$23,1),0)+BC1988*(BA1989=BA1988)</f>
        <v>#N/A</v>
      </c>
      <c r="BD1989" s="167">
        <f t="shared" ca="1" si="108"/>
        <v>0</v>
      </c>
      <c r="BE1989" s="191" t="e">
        <f ca="1">(OFFSET(Pinlist!$E$1,BC1989,0)-$BN$16)*$BN$19</f>
        <v>#N/A</v>
      </c>
      <c r="BF1989" s="192" t="e">
        <f ca="1">(OFFSET(Pinlist!$F$1,BC1989,0)-$BO$16)*$BO$19</f>
        <v>#N/A</v>
      </c>
      <c r="BG1989" s="1098" t="str">
        <f ca="1">IF(LEFT(BD1989,2)="RF",OFFSET(Pinlist!$D$1,Chart!BC1989,0)&amp;"_"&amp;OFFSET(Pinlist!$G$1,Chart!BC1989,0),"")</f>
        <v/>
      </c>
      <c r="BH1989" s="1098"/>
      <c r="BI1989" s="178"/>
      <c r="BJ1989" s="178"/>
      <c r="BK1989" s="178"/>
      <c r="BL1989" s="178"/>
      <c r="BM1989" s="178"/>
      <c r="BN1989" s="178"/>
      <c r="BO1989" s="178"/>
      <c r="BP1989" s="178"/>
      <c r="BQ1989" s="196"/>
      <c r="BR1989" s="196"/>
      <c r="BS1989" s="196"/>
      <c r="BT1989" s="196"/>
      <c r="BU1989" s="196"/>
      <c r="BV1989" s="196"/>
      <c r="BW1989" s="178"/>
      <c r="BX1989" s="196"/>
      <c r="BY1989" s="196"/>
      <c r="BZ1989" s="196"/>
      <c r="CA1989" s="196"/>
      <c r="CB1989" s="178"/>
      <c r="CC1989" s="178"/>
      <c r="CD1989" s="202"/>
      <c r="CE1989" s="202"/>
      <c r="CF1989" s="178"/>
      <c r="CG1989" s="196"/>
      <c r="CH1989" s="178"/>
      <c r="CI1989" s="178"/>
      <c r="CJ1989" s="178"/>
      <c r="CK1989" s="178"/>
      <c r="CL1989" s="178"/>
      <c r="CM1989" s="178"/>
      <c r="CN1989" s="178"/>
      <c r="CO1989" s="178"/>
      <c r="CP1989" s="178"/>
      <c r="CQ1989" s="178"/>
      <c r="CR1989" s="178"/>
      <c r="CS1989" s="178"/>
      <c r="CT1989" s="178"/>
      <c r="CU1989" s="178"/>
      <c r="CV1989" s="178"/>
      <c r="CW1989" s="178"/>
      <c r="CX1989" s="178"/>
      <c r="CY1989" s="178"/>
      <c r="CZ1989" s="178"/>
      <c r="DA1989" s="150"/>
    </row>
    <row r="1990" spans="53:105" x14ac:dyDescent="0.2">
      <c r="BA1990" s="518">
        <f t="shared" ca="1" si="106"/>
        <v>61</v>
      </c>
      <c r="BB1990" s="174">
        <f t="shared" ca="1" si="107"/>
        <v>1927</v>
      </c>
      <c r="BC1990" s="525" t="e">
        <f ca="1">MATCH(BD1990,OFFSET(Pinlist!$A$2,BC1989*(BA1990=BA1989),0,$BM$23,1),0)+BC1989*(BA1990=BA1989)</f>
        <v>#N/A</v>
      </c>
      <c r="BD1990" s="167">
        <f t="shared" ca="1" si="108"/>
        <v>0</v>
      </c>
      <c r="BE1990" s="191" t="e">
        <f ca="1">(OFFSET(Pinlist!$E$1,BC1990,0)-$BN$16)*$BN$19</f>
        <v>#N/A</v>
      </c>
      <c r="BF1990" s="192" t="e">
        <f ca="1">(OFFSET(Pinlist!$F$1,BC1990,0)-$BO$16)*$BO$19</f>
        <v>#N/A</v>
      </c>
      <c r="BG1990" s="1098" t="str">
        <f ca="1">IF(LEFT(BD1990,2)="RF",OFFSET(Pinlist!$D$1,Chart!BC1990,0)&amp;"_"&amp;OFFSET(Pinlist!$G$1,Chart!BC1990,0),"")</f>
        <v/>
      </c>
      <c r="BH1990" s="1098"/>
      <c r="BI1990" s="178"/>
      <c r="BJ1990" s="178"/>
      <c r="BK1990" s="178"/>
      <c r="BL1990" s="178"/>
      <c r="BM1990" s="178"/>
      <c r="BN1990" s="178"/>
      <c r="BO1990" s="178"/>
      <c r="BP1990" s="178"/>
      <c r="BQ1990" s="196"/>
      <c r="BR1990" s="196"/>
      <c r="BS1990" s="196"/>
      <c r="BT1990" s="196"/>
      <c r="BU1990" s="196"/>
      <c r="BV1990" s="196"/>
      <c r="BW1990" s="178"/>
      <c r="BX1990" s="196"/>
      <c r="BY1990" s="196"/>
      <c r="BZ1990" s="196"/>
      <c r="CA1990" s="196"/>
      <c r="CB1990" s="178"/>
      <c r="CC1990" s="178"/>
      <c r="CD1990" s="202"/>
      <c r="CE1990" s="202"/>
      <c r="CF1990" s="178"/>
      <c r="CG1990" s="196"/>
      <c r="CH1990" s="178"/>
      <c r="CI1990" s="178"/>
      <c r="CJ1990" s="178"/>
      <c r="CK1990" s="178"/>
      <c r="CL1990" s="178"/>
      <c r="CM1990" s="178"/>
      <c r="CN1990" s="178"/>
      <c r="CO1990" s="178"/>
      <c r="CP1990" s="178"/>
      <c r="CQ1990" s="178"/>
      <c r="CR1990" s="178"/>
      <c r="CS1990" s="178"/>
      <c r="CT1990" s="178"/>
      <c r="CU1990" s="178"/>
      <c r="CV1990" s="178"/>
      <c r="CW1990" s="178"/>
      <c r="CX1990" s="178"/>
      <c r="CY1990" s="178"/>
      <c r="CZ1990" s="178"/>
      <c r="DA1990" s="150"/>
    </row>
    <row r="1991" spans="53:105" x14ac:dyDescent="0.2">
      <c r="BA1991" s="518">
        <f t="shared" ca="1" si="106"/>
        <v>61</v>
      </c>
      <c r="BB1991" s="174">
        <f t="shared" ca="1" si="107"/>
        <v>1928</v>
      </c>
      <c r="BC1991" s="525" t="e">
        <f ca="1">MATCH(BD1991,OFFSET(Pinlist!$A$2,BC1990*(BA1991=BA1990),0,$BM$23,1),0)+BC1990*(BA1991=BA1990)</f>
        <v>#N/A</v>
      </c>
      <c r="BD1991" s="167">
        <f t="shared" ca="1" si="108"/>
        <v>0</v>
      </c>
      <c r="BE1991" s="191" t="e">
        <f ca="1">(OFFSET(Pinlist!$E$1,BC1991,0)-$BN$16)*$BN$19</f>
        <v>#N/A</v>
      </c>
      <c r="BF1991" s="192" t="e">
        <f ca="1">(OFFSET(Pinlist!$F$1,BC1991,0)-$BO$16)*$BO$19</f>
        <v>#N/A</v>
      </c>
      <c r="BG1991" s="1098" t="str">
        <f ca="1">IF(LEFT(BD1991,2)="RF",OFFSET(Pinlist!$D$1,Chart!BC1991,0)&amp;"_"&amp;OFFSET(Pinlist!$G$1,Chart!BC1991,0),"")</f>
        <v/>
      </c>
      <c r="BH1991" s="1098"/>
      <c r="BI1991" s="178"/>
      <c r="BJ1991" s="178"/>
      <c r="BK1991" s="178"/>
      <c r="BL1991" s="178"/>
      <c r="BM1991" s="178"/>
      <c r="BN1991" s="178"/>
      <c r="BO1991" s="178"/>
      <c r="BP1991" s="178"/>
      <c r="BQ1991" s="196"/>
      <c r="BR1991" s="196"/>
      <c r="BS1991" s="196"/>
      <c r="BT1991" s="196"/>
      <c r="BU1991" s="196"/>
      <c r="BV1991" s="196"/>
      <c r="BW1991" s="178"/>
      <c r="BX1991" s="196"/>
      <c r="BY1991" s="196"/>
      <c r="BZ1991" s="196"/>
      <c r="CA1991" s="196"/>
      <c r="CB1991" s="178"/>
      <c r="CC1991" s="178"/>
      <c r="CD1991" s="202"/>
      <c r="CE1991" s="202"/>
      <c r="CF1991" s="178"/>
      <c r="CG1991" s="196"/>
      <c r="CH1991" s="178"/>
      <c r="CI1991" s="178"/>
      <c r="CJ1991" s="178"/>
      <c r="CK1991" s="178"/>
      <c r="CL1991" s="178"/>
      <c r="CM1991" s="178"/>
      <c r="CN1991" s="178"/>
      <c r="CO1991" s="178"/>
      <c r="CP1991" s="178"/>
      <c r="CQ1991" s="178"/>
      <c r="CR1991" s="178"/>
      <c r="CS1991" s="178"/>
      <c r="CT1991" s="178"/>
      <c r="CU1991" s="178"/>
      <c r="CV1991" s="178"/>
      <c r="CW1991" s="178"/>
      <c r="CX1991" s="178"/>
      <c r="CY1991" s="178"/>
      <c r="CZ1991" s="178"/>
      <c r="DA1991" s="150"/>
    </row>
    <row r="1992" spans="53:105" x14ac:dyDescent="0.2">
      <c r="BA1992" s="518">
        <f t="shared" ca="1" si="106"/>
        <v>61</v>
      </c>
      <c r="BB1992" s="174">
        <f t="shared" ca="1" si="107"/>
        <v>1929</v>
      </c>
      <c r="BC1992" s="525" t="e">
        <f ca="1">MATCH(BD1992,OFFSET(Pinlist!$A$2,BC1991*(BA1992=BA1991),0,$BM$23,1),0)+BC1991*(BA1992=BA1991)</f>
        <v>#N/A</v>
      </c>
      <c r="BD1992" s="167">
        <f t="shared" ca="1" si="108"/>
        <v>0</v>
      </c>
      <c r="BE1992" s="191" t="e">
        <f ca="1">(OFFSET(Pinlist!$E$1,BC1992,0)-$BN$16)*$BN$19</f>
        <v>#N/A</v>
      </c>
      <c r="BF1992" s="192" t="e">
        <f ca="1">(OFFSET(Pinlist!$F$1,BC1992,0)-$BO$16)*$BO$19</f>
        <v>#N/A</v>
      </c>
      <c r="BG1992" s="1098" t="str">
        <f ca="1">IF(LEFT(BD1992,2)="RF",OFFSET(Pinlist!$D$1,Chart!BC1992,0)&amp;"_"&amp;OFFSET(Pinlist!$G$1,Chart!BC1992,0),"")</f>
        <v/>
      </c>
      <c r="BH1992" s="1098"/>
      <c r="BI1992" s="178"/>
      <c r="BJ1992" s="178"/>
      <c r="BK1992" s="178"/>
      <c r="BL1992" s="178"/>
      <c r="BM1992" s="178"/>
      <c r="BN1992" s="178"/>
      <c r="BO1992" s="178"/>
      <c r="BP1992" s="178"/>
      <c r="BQ1992" s="196"/>
      <c r="BR1992" s="196"/>
      <c r="BS1992" s="196"/>
      <c r="BT1992" s="196"/>
      <c r="BU1992" s="196"/>
      <c r="BV1992" s="196"/>
      <c r="BW1992" s="178"/>
      <c r="BX1992" s="196"/>
      <c r="BY1992" s="196"/>
      <c r="BZ1992" s="196"/>
      <c r="CA1992" s="196"/>
      <c r="CB1992" s="178"/>
      <c r="CC1992" s="178"/>
      <c r="CD1992" s="202"/>
      <c r="CE1992" s="202"/>
      <c r="CF1992" s="178"/>
      <c r="CG1992" s="196"/>
      <c r="CH1992" s="178"/>
      <c r="CI1992" s="178"/>
      <c r="CJ1992" s="178"/>
      <c r="CK1992" s="178"/>
      <c r="CL1992" s="178"/>
      <c r="CM1992" s="178"/>
      <c r="CN1992" s="178"/>
      <c r="CO1992" s="178"/>
      <c r="CP1992" s="178"/>
      <c r="CQ1992" s="178"/>
      <c r="CR1992" s="178"/>
      <c r="CS1992" s="178"/>
      <c r="CT1992" s="178"/>
      <c r="CU1992" s="178"/>
      <c r="CV1992" s="178"/>
      <c r="CW1992" s="178"/>
      <c r="CX1992" s="178"/>
      <c r="CY1992" s="178"/>
      <c r="CZ1992" s="178"/>
      <c r="DA1992" s="150"/>
    </row>
    <row r="1993" spans="53:105" x14ac:dyDescent="0.2">
      <c r="BA1993" s="518">
        <f t="shared" ca="1" si="106"/>
        <v>61</v>
      </c>
      <c r="BB1993" s="174">
        <f t="shared" ca="1" si="107"/>
        <v>1930</v>
      </c>
      <c r="BC1993" s="525" t="e">
        <f ca="1">MATCH(BD1993,OFFSET(Pinlist!$A$2,BC1992*(BA1993=BA1992),0,$BM$23,1),0)+BC1992*(BA1993=BA1992)</f>
        <v>#N/A</v>
      </c>
      <c r="BD1993" s="167">
        <f t="shared" ca="1" si="108"/>
        <v>0</v>
      </c>
      <c r="BE1993" s="191" t="e">
        <f ca="1">(OFFSET(Pinlist!$E$1,BC1993,0)-$BN$16)*$BN$19</f>
        <v>#N/A</v>
      </c>
      <c r="BF1993" s="192" t="e">
        <f ca="1">(OFFSET(Pinlist!$F$1,BC1993,0)-$BO$16)*$BO$19</f>
        <v>#N/A</v>
      </c>
      <c r="BG1993" s="1098" t="str">
        <f ca="1">IF(LEFT(BD1993,2)="RF",OFFSET(Pinlist!$D$1,Chart!BC1993,0)&amp;"_"&amp;OFFSET(Pinlist!$G$1,Chart!BC1993,0),"")</f>
        <v/>
      </c>
      <c r="BH1993" s="1098"/>
      <c r="BI1993" s="178"/>
      <c r="BJ1993" s="178"/>
      <c r="BK1993" s="178"/>
      <c r="BL1993" s="178"/>
      <c r="BM1993" s="178"/>
      <c r="BN1993" s="178"/>
      <c r="BO1993" s="178"/>
      <c r="BP1993" s="178"/>
      <c r="BQ1993" s="196"/>
      <c r="BR1993" s="196"/>
      <c r="BS1993" s="196"/>
      <c r="BT1993" s="196"/>
      <c r="BU1993" s="196"/>
      <c r="BV1993" s="196"/>
      <c r="BW1993" s="178"/>
      <c r="BX1993" s="196"/>
      <c r="BY1993" s="196"/>
      <c r="BZ1993" s="196"/>
      <c r="CA1993" s="196"/>
      <c r="CB1993" s="178"/>
      <c r="CC1993" s="178"/>
      <c r="CD1993" s="202"/>
      <c r="CE1993" s="202"/>
      <c r="CF1993" s="178"/>
      <c r="CG1993" s="196"/>
      <c r="CH1993" s="178"/>
      <c r="CI1993" s="178"/>
      <c r="CJ1993" s="178"/>
      <c r="CK1993" s="178"/>
      <c r="CL1993" s="178"/>
      <c r="CM1993" s="178"/>
      <c r="CN1993" s="178"/>
      <c r="CO1993" s="178"/>
      <c r="CP1993" s="178"/>
      <c r="CQ1993" s="178"/>
      <c r="CR1993" s="178"/>
      <c r="CS1993" s="178"/>
      <c r="CT1993" s="178"/>
      <c r="CU1993" s="178"/>
      <c r="CV1993" s="178"/>
      <c r="CW1993" s="178"/>
      <c r="CX1993" s="178"/>
      <c r="CY1993" s="178"/>
      <c r="CZ1993" s="178"/>
      <c r="DA1993" s="150"/>
    </row>
    <row r="1994" spans="53:105" x14ac:dyDescent="0.2">
      <c r="BA1994" s="518">
        <f t="shared" ca="1" si="106"/>
        <v>61</v>
      </c>
      <c r="BB1994" s="174">
        <f t="shared" ca="1" si="107"/>
        <v>1931</v>
      </c>
      <c r="BC1994" s="525" t="e">
        <f ca="1">MATCH(BD1994,OFFSET(Pinlist!$A$2,BC1993*(BA1994=BA1993),0,$BM$23,1),0)+BC1993*(BA1994=BA1993)</f>
        <v>#N/A</v>
      </c>
      <c r="BD1994" s="167">
        <f t="shared" ca="1" si="108"/>
        <v>0</v>
      </c>
      <c r="BE1994" s="191" t="e">
        <f ca="1">(OFFSET(Pinlist!$E$1,BC1994,0)-$BN$16)*$BN$19</f>
        <v>#N/A</v>
      </c>
      <c r="BF1994" s="192" t="e">
        <f ca="1">(OFFSET(Pinlist!$F$1,BC1994,0)-$BO$16)*$BO$19</f>
        <v>#N/A</v>
      </c>
      <c r="BG1994" s="1098" t="str">
        <f ca="1">IF(LEFT(BD1994,2)="RF",OFFSET(Pinlist!$D$1,Chart!BC1994,0)&amp;"_"&amp;OFFSET(Pinlist!$G$1,Chart!BC1994,0),"")</f>
        <v/>
      </c>
      <c r="BH1994" s="1098"/>
      <c r="BI1994" s="178"/>
      <c r="BJ1994" s="178"/>
      <c r="BK1994" s="178"/>
      <c r="BL1994" s="178"/>
      <c r="BM1994" s="178"/>
      <c r="BN1994" s="178"/>
      <c r="BO1994" s="178"/>
      <c r="BP1994" s="178"/>
      <c r="BQ1994" s="196"/>
      <c r="BR1994" s="196"/>
      <c r="BS1994" s="196"/>
      <c r="BT1994" s="196"/>
      <c r="BU1994" s="196"/>
      <c r="BV1994" s="196"/>
      <c r="BW1994" s="178"/>
      <c r="BX1994" s="196"/>
      <c r="BY1994" s="196"/>
      <c r="BZ1994" s="196"/>
      <c r="CA1994" s="196"/>
      <c r="CB1994" s="178"/>
      <c r="CC1994" s="178"/>
      <c r="CD1994" s="202"/>
      <c r="CE1994" s="202"/>
      <c r="CF1994" s="178"/>
      <c r="CG1994" s="196"/>
      <c r="CH1994" s="178"/>
      <c r="CI1994" s="178"/>
      <c r="CJ1994" s="178"/>
      <c r="CK1994" s="178"/>
      <c r="CL1994" s="178"/>
      <c r="CM1994" s="178"/>
      <c r="CN1994" s="178"/>
      <c r="CO1994" s="178"/>
      <c r="CP1994" s="178"/>
      <c r="CQ1994" s="178"/>
      <c r="CR1994" s="178"/>
      <c r="CS1994" s="178"/>
      <c r="CT1994" s="178"/>
      <c r="CU1994" s="178"/>
      <c r="CV1994" s="178"/>
      <c r="CW1994" s="178"/>
      <c r="CX1994" s="178"/>
      <c r="CY1994" s="178"/>
      <c r="CZ1994" s="178"/>
      <c r="DA1994" s="150"/>
    </row>
    <row r="1995" spans="53:105" x14ac:dyDescent="0.2">
      <c r="BA1995" s="518">
        <f t="shared" ca="1" si="106"/>
        <v>61</v>
      </c>
      <c r="BB1995" s="174">
        <f t="shared" ca="1" si="107"/>
        <v>1932</v>
      </c>
      <c r="BC1995" s="525" t="e">
        <f ca="1">MATCH(BD1995,OFFSET(Pinlist!$A$2,BC1994*(BA1995=BA1994),0,$BM$23,1),0)+BC1994*(BA1995=BA1994)</f>
        <v>#N/A</v>
      </c>
      <c r="BD1995" s="167">
        <f t="shared" ca="1" si="108"/>
        <v>0</v>
      </c>
      <c r="BE1995" s="191" t="e">
        <f ca="1">(OFFSET(Pinlist!$E$1,BC1995,0)-$BN$16)*$BN$19</f>
        <v>#N/A</v>
      </c>
      <c r="BF1995" s="192" t="e">
        <f ca="1">(OFFSET(Pinlist!$F$1,BC1995,0)-$BO$16)*$BO$19</f>
        <v>#N/A</v>
      </c>
      <c r="BG1995" s="1098" t="str">
        <f ca="1">IF(LEFT(BD1995,2)="RF",OFFSET(Pinlist!$D$1,Chart!BC1995,0)&amp;"_"&amp;OFFSET(Pinlist!$G$1,Chart!BC1995,0),"")</f>
        <v/>
      </c>
      <c r="BH1995" s="1098"/>
      <c r="BI1995" s="178"/>
      <c r="BJ1995" s="178"/>
      <c r="BK1995" s="178"/>
      <c r="BL1995" s="178"/>
      <c r="BM1995" s="178"/>
      <c r="BN1995" s="178"/>
      <c r="BO1995" s="178"/>
      <c r="BP1995" s="178"/>
      <c r="BQ1995" s="196"/>
      <c r="BR1995" s="196"/>
      <c r="BS1995" s="196"/>
      <c r="BT1995" s="196"/>
      <c r="BU1995" s="196"/>
      <c r="BV1995" s="196"/>
      <c r="BW1995" s="178"/>
      <c r="BX1995" s="196"/>
      <c r="BY1995" s="196"/>
      <c r="BZ1995" s="196"/>
      <c r="CA1995" s="196"/>
      <c r="CB1995" s="178"/>
      <c r="CC1995" s="178"/>
      <c r="CD1995" s="202"/>
      <c r="CE1995" s="202"/>
      <c r="CF1995" s="178"/>
      <c r="CG1995" s="196"/>
      <c r="CH1995" s="178"/>
      <c r="CI1995" s="178"/>
      <c r="CJ1995" s="178"/>
      <c r="CK1995" s="178"/>
      <c r="CL1995" s="178"/>
      <c r="CM1995" s="178"/>
      <c r="CN1995" s="178"/>
      <c r="CO1995" s="178"/>
      <c r="CP1995" s="178"/>
      <c r="CQ1995" s="178"/>
      <c r="CR1995" s="178"/>
      <c r="CS1995" s="178"/>
      <c r="CT1995" s="178"/>
      <c r="CU1995" s="178"/>
      <c r="CV1995" s="178"/>
      <c r="CW1995" s="178"/>
      <c r="CX1995" s="178"/>
      <c r="CY1995" s="178"/>
      <c r="CZ1995" s="178"/>
      <c r="DA1995" s="150"/>
    </row>
    <row r="1996" spans="53:105" x14ac:dyDescent="0.2">
      <c r="BA1996" s="518">
        <f t="shared" ca="1" si="106"/>
        <v>61</v>
      </c>
      <c r="BB1996" s="174">
        <f t="shared" ca="1" si="107"/>
        <v>1933</v>
      </c>
      <c r="BC1996" s="525" t="e">
        <f ca="1">MATCH(BD1996,OFFSET(Pinlist!$A$2,BC1995*(BA1996=BA1995),0,$BM$23,1),0)+BC1995*(BA1996=BA1995)</f>
        <v>#N/A</v>
      </c>
      <c r="BD1996" s="167">
        <f t="shared" ca="1" si="108"/>
        <v>0</v>
      </c>
      <c r="BE1996" s="191" t="e">
        <f ca="1">(OFFSET(Pinlist!$E$1,BC1996,0)-$BN$16)*$BN$19</f>
        <v>#N/A</v>
      </c>
      <c r="BF1996" s="192" t="e">
        <f ca="1">(OFFSET(Pinlist!$F$1,BC1996,0)-$BO$16)*$BO$19</f>
        <v>#N/A</v>
      </c>
      <c r="BG1996" s="1098" t="str">
        <f ca="1">IF(LEFT(BD1996,2)="RF",OFFSET(Pinlist!$D$1,Chart!BC1996,0)&amp;"_"&amp;OFFSET(Pinlist!$G$1,Chart!BC1996,0),"")</f>
        <v/>
      </c>
      <c r="BH1996" s="1098"/>
      <c r="BI1996" s="178"/>
      <c r="BJ1996" s="178"/>
      <c r="BK1996" s="178"/>
      <c r="BL1996" s="178"/>
      <c r="BM1996" s="178"/>
      <c r="BN1996" s="178"/>
      <c r="BO1996" s="178"/>
      <c r="BP1996" s="178"/>
      <c r="BQ1996" s="196"/>
      <c r="BR1996" s="196"/>
      <c r="BS1996" s="196"/>
      <c r="BT1996" s="196"/>
      <c r="BU1996" s="196"/>
      <c r="BV1996" s="196"/>
      <c r="BW1996" s="178"/>
      <c r="BX1996" s="196"/>
      <c r="BY1996" s="196"/>
      <c r="BZ1996" s="196"/>
      <c r="CA1996" s="196"/>
      <c r="CB1996" s="178"/>
      <c r="CC1996" s="178"/>
      <c r="CD1996" s="202"/>
      <c r="CE1996" s="202"/>
      <c r="CF1996" s="178"/>
      <c r="CG1996" s="196"/>
      <c r="CH1996" s="178"/>
      <c r="CI1996" s="178"/>
      <c r="CJ1996" s="178"/>
      <c r="CK1996" s="178"/>
      <c r="CL1996" s="178"/>
      <c r="CM1996" s="178"/>
      <c r="CN1996" s="178"/>
      <c r="CO1996" s="178"/>
      <c r="CP1996" s="178"/>
      <c r="CQ1996" s="178"/>
      <c r="CR1996" s="178"/>
      <c r="CS1996" s="178"/>
      <c r="CT1996" s="178"/>
      <c r="CU1996" s="178"/>
      <c r="CV1996" s="178"/>
      <c r="CW1996" s="178"/>
      <c r="CX1996" s="178"/>
      <c r="CY1996" s="178"/>
      <c r="CZ1996" s="178"/>
      <c r="DA1996" s="150"/>
    </row>
    <row r="1997" spans="53:105" x14ac:dyDescent="0.2">
      <c r="BA1997" s="518">
        <f t="shared" ca="1" si="106"/>
        <v>61</v>
      </c>
      <c r="BB1997" s="174">
        <f t="shared" ca="1" si="107"/>
        <v>1934</v>
      </c>
      <c r="BC1997" s="525" t="e">
        <f ca="1">MATCH(BD1997,OFFSET(Pinlist!$A$2,BC1996*(BA1997=BA1996),0,$BM$23,1),0)+BC1996*(BA1997=BA1996)</f>
        <v>#N/A</v>
      </c>
      <c r="BD1997" s="167">
        <f t="shared" ca="1" si="108"/>
        <v>0</v>
      </c>
      <c r="BE1997" s="191" t="e">
        <f ca="1">(OFFSET(Pinlist!$E$1,BC1997,0)-$BN$16)*$BN$19</f>
        <v>#N/A</v>
      </c>
      <c r="BF1997" s="192" t="e">
        <f ca="1">(OFFSET(Pinlist!$F$1,BC1997,0)-$BO$16)*$BO$19</f>
        <v>#N/A</v>
      </c>
      <c r="BG1997" s="1098" t="str">
        <f ca="1">IF(LEFT(BD1997,2)="RF",OFFSET(Pinlist!$D$1,Chart!BC1997,0)&amp;"_"&amp;OFFSET(Pinlist!$G$1,Chart!BC1997,0),"")</f>
        <v/>
      </c>
      <c r="BH1997" s="1098"/>
      <c r="BI1997" s="178"/>
      <c r="BJ1997" s="178"/>
      <c r="BK1997" s="178"/>
      <c r="BL1997" s="178"/>
      <c r="BM1997" s="178"/>
      <c r="BN1997" s="178"/>
      <c r="BO1997" s="178"/>
      <c r="BP1997" s="178"/>
      <c r="BQ1997" s="196"/>
      <c r="BR1997" s="196"/>
      <c r="BS1997" s="196"/>
      <c r="BT1997" s="196"/>
      <c r="BU1997" s="196"/>
      <c r="BV1997" s="196"/>
      <c r="BW1997" s="178"/>
      <c r="BX1997" s="196"/>
      <c r="BY1997" s="196"/>
      <c r="BZ1997" s="196"/>
      <c r="CA1997" s="196"/>
      <c r="CB1997" s="178"/>
      <c r="CC1997" s="178"/>
      <c r="CD1997" s="202"/>
      <c r="CE1997" s="202"/>
      <c r="CF1997" s="178"/>
      <c r="CG1997" s="196"/>
      <c r="CH1997" s="178"/>
      <c r="CI1997" s="178"/>
      <c r="CJ1997" s="178"/>
      <c r="CK1997" s="178"/>
      <c r="CL1997" s="178"/>
      <c r="CM1997" s="178"/>
      <c r="CN1997" s="178"/>
      <c r="CO1997" s="178"/>
      <c r="CP1997" s="178"/>
      <c r="CQ1997" s="178"/>
      <c r="CR1997" s="178"/>
      <c r="CS1997" s="178"/>
      <c r="CT1997" s="178"/>
      <c r="CU1997" s="178"/>
      <c r="CV1997" s="178"/>
      <c r="CW1997" s="178"/>
      <c r="CX1997" s="178"/>
      <c r="CY1997" s="178"/>
      <c r="CZ1997" s="178"/>
      <c r="DA1997" s="150"/>
    </row>
    <row r="1998" spans="53:105" x14ac:dyDescent="0.2">
      <c r="BA1998" s="518">
        <f t="shared" ca="1" si="106"/>
        <v>61</v>
      </c>
      <c r="BB1998" s="174">
        <f t="shared" ca="1" si="107"/>
        <v>1935</v>
      </c>
      <c r="BC1998" s="525" t="e">
        <f ca="1">MATCH(BD1998,OFFSET(Pinlist!$A$2,BC1997*(BA1998=BA1997),0,$BM$23,1),0)+BC1997*(BA1998=BA1997)</f>
        <v>#N/A</v>
      </c>
      <c r="BD1998" s="167">
        <f t="shared" ca="1" si="108"/>
        <v>0</v>
      </c>
      <c r="BE1998" s="191" t="e">
        <f ca="1">(OFFSET(Pinlist!$E$1,BC1998,0)-$BN$16)*$BN$19</f>
        <v>#N/A</v>
      </c>
      <c r="BF1998" s="192" t="e">
        <f ca="1">(OFFSET(Pinlist!$F$1,BC1998,0)-$BO$16)*$BO$19</f>
        <v>#N/A</v>
      </c>
      <c r="BG1998" s="1098" t="str">
        <f ca="1">IF(LEFT(BD1998,2)="RF",OFFSET(Pinlist!$D$1,Chart!BC1998,0)&amp;"_"&amp;OFFSET(Pinlist!$G$1,Chart!BC1998,0),"")</f>
        <v/>
      </c>
      <c r="BH1998" s="1098"/>
      <c r="BI1998" s="178"/>
      <c r="BJ1998" s="178"/>
      <c r="BK1998" s="178"/>
      <c r="BL1998" s="178"/>
      <c r="BM1998" s="178"/>
      <c r="BN1998" s="178"/>
      <c r="BO1998" s="178"/>
      <c r="BP1998" s="178"/>
      <c r="BQ1998" s="196"/>
      <c r="BR1998" s="196"/>
      <c r="BS1998" s="196"/>
      <c r="BT1998" s="196"/>
      <c r="BU1998" s="196"/>
      <c r="BV1998" s="196"/>
      <c r="BW1998" s="178"/>
      <c r="BX1998" s="196"/>
      <c r="BY1998" s="196"/>
      <c r="BZ1998" s="196"/>
      <c r="CA1998" s="196"/>
      <c r="CB1998" s="178"/>
      <c r="CC1998" s="178"/>
      <c r="CD1998" s="202"/>
      <c r="CE1998" s="202"/>
      <c r="CF1998" s="178"/>
      <c r="CG1998" s="196"/>
      <c r="CH1998" s="178"/>
      <c r="CI1998" s="178"/>
      <c r="CJ1998" s="178"/>
      <c r="CK1998" s="178"/>
      <c r="CL1998" s="178"/>
      <c r="CM1998" s="178"/>
      <c r="CN1998" s="178"/>
      <c r="CO1998" s="178"/>
      <c r="CP1998" s="178"/>
      <c r="CQ1998" s="178"/>
      <c r="CR1998" s="178"/>
      <c r="CS1998" s="178"/>
      <c r="CT1998" s="178"/>
      <c r="CU1998" s="178"/>
      <c r="CV1998" s="178"/>
      <c r="CW1998" s="178"/>
      <c r="CX1998" s="178"/>
      <c r="CY1998" s="178"/>
      <c r="CZ1998" s="178"/>
      <c r="DA1998" s="150"/>
    </row>
    <row r="1999" spans="53:105" x14ac:dyDescent="0.2">
      <c r="BA1999" s="518">
        <f t="shared" ca="1" si="106"/>
        <v>61</v>
      </c>
      <c r="BB1999" s="174">
        <f t="shared" ca="1" si="107"/>
        <v>1936</v>
      </c>
      <c r="BC1999" s="525" t="e">
        <f ca="1">MATCH(BD1999,OFFSET(Pinlist!$A$2,BC1998*(BA1999=BA1998),0,$BM$23,1),0)+BC1998*(BA1999=BA1998)</f>
        <v>#N/A</v>
      </c>
      <c r="BD1999" s="167">
        <f t="shared" ca="1" si="108"/>
        <v>0</v>
      </c>
      <c r="BE1999" s="191" t="e">
        <f ca="1">(OFFSET(Pinlist!$E$1,BC1999,0)-$BN$16)*$BN$19</f>
        <v>#N/A</v>
      </c>
      <c r="BF1999" s="192" t="e">
        <f ca="1">(OFFSET(Pinlist!$F$1,BC1999,0)-$BO$16)*$BO$19</f>
        <v>#N/A</v>
      </c>
      <c r="BG1999" s="1098" t="str">
        <f ca="1">IF(LEFT(BD1999,2)="RF",OFFSET(Pinlist!$D$1,Chart!BC1999,0)&amp;"_"&amp;OFFSET(Pinlist!$G$1,Chart!BC1999,0),"")</f>
        <v/>
      </c>
      <c r="BH1999" s="1098"/>
      <c r="BI1999" s="178"/>
      <c r="BJ1999" s="178"/>
      <c r="BK1999" s="178"/>
      <c r="BL1999" s="178"/>
      <c r="BM1999" s="178"/>
      <c r="BN1999" s="178"/>
      <c r="BO1999" s="178"/>
      <c r="BP1999" s="178"/>
      <c r="BQ1999" s="196"/>
      <c r="BR1999" s="196"/>
      <c r="BS1999" s="196"/>
      <c r="BT1999" s="196"/>
      <c r="BU1999" s="196"/>
      <c r="BV1999" s="196"/>
      <c r="BW1999" s="178"/>
      <c r="BX1999" s="196"/>
      <c r="BY1999" s="196"/>
      <c r="BZ1999" s="196"/>
      <c r="CA1999" s="196"/>
      <c r="CB1999" s="178"/>
      <c r="CC1999" s="178"/>
      <c r="CD1999" s="202"/>
      <c r="CE1999" s="202"/>
      <c r="CF1999" s="178"/>
      <c r="CG1999" s="196"/>
      <c r="CH1999" s="178"/>
      <c r="CI1999" s="178"/>
      <c r="CJ1999" s="178"/>
      <c r="CK1999" s="178"/>
      <c r="CL1999" s="178"/>
      <c r="CM1999" s="178"/>
      <c r="CN1999" s="178"/>
      <c r="CO1999" s="178"/>
      <c r="CP1999" s="178"/>
      <c r="CQ1999" s="178"/>
      <c r="CR1999" s="178"/>
      <c r="CS1999" s="178"/>
      <c r="CT1999" s="178"/>
      <c r="CU1999" s="178"/>
      <c r="CV1999" s="178"/>
      <c r="CW1999" s="178"/>
      <c r="CX1999" s="178"/>
      <c r="CY1999" s="178"/>
      <c r="CZ1999" s="178"/>
      <c r="DA1999" s="150"/>
    </row>
    <row r="2000" spans="53:105" x14ac:dyDescent="0.2">
      <c r="BA2000" s="518">
        <f t="shared" ca="1" si="106"/>
        <v>61</v>
      </c>
      <c r="BB2000" s="174">
        <f t="shared" ca="1" si="107"/>
        <v>1937</v>
      </c>
      <c r="BC2000" s="525" t="e">
        <f ca="1">MATCH(BD2000,OFFSET(Pinlist!$A$2,BC1999*(BA2000=BA1999),0,$BM$23,1),0)+BC1999*(BA2000=BA1999)</f>
        <v>#N/A</v>
      </c>
      <c r="BD2000" s="167">
        <f t="shared" ca="1" si="108"/>
        <v>0</v>
      </c>
      <c r="BE2000" s="191" t="e">
        <f ca="1">(OFFSET(Pinlist!$E$1,BC2000,0)-$BN$16)*$BN$19</f>
        <v>#N/A</v>
      </c>
      <c r="BF2000" s="192" t="e">
        <f ca="1">(OFFSET(Pinlist!$F$1,BC2000,0)-$BO$16)*$BO$19</f>
        <v>#N/A</v>
      </c>
      <c r="BG2000" s="1098" t="str">
        <f ca="1">IF(LEFT(BD2000,2)="RF",OFFSET(Pinlist!$D$1,Chart!BC2000,0)&amp;"_"&amp;OFFSET(Pinlist!$G$1,Chart!BC2000,0),"")</f>
        <v/>
      </c>
      <c r="BH2000" s="1098"/>
      <c r="BI2000" s="178"/>
      <c r="BJ2000" s="178"/>
      <c r="BK2000" s="178"/>
      <c r="BL2000" s="178"/>
      <c r="BM2000" s="178"/>
      <c r="BN2000" s="178"/>
      <c r="BO2000" s="178"/>
      <c r="BP2000" s="178"/>
      <c r="BQ2000" s="196"/>
      <c r="BR2000" s="196"/>
      <c r="BS2000" s="196"/>
      <c r="BT2000" s="196"/>
      <c r="BU2000" s="196"/>
      <c r="BV2000" s="196"/>
      <c r="BW2000" s="178"/>
      <c r="BX2000" s="196"/>
      <c r="BY2000" s="196"/>
      <c r="BZ2000" s="196"/>
      <c r="CA2000" s="196"/>
      <c r="CB2000" s="178"/>
      <c r="CC2000" s="178"/>
      <c r="CD2000" s="202"/>
      <c r="CE2000" s="202"/>
      <c r="CF2000" s="178"/>
      <c r="CG2000" s="196"/>
      <c r="CH2000" s="178"/>
      <c r="CI2000" s="178"/>
      <c r="CJ2000" s="178"/>
      <c r="CK2000" s="178"/>
      <c r="CL2000" s="178"/>
      <c r="CM2000" s="178"/>
      <c r="CN2000" s="178"/>
      <c r="CO2000" s="178"/>
      <c r="CP2000" s="178"/>
      <c r="CQ2000" s="178"/>
      <c r="CR2000" s="178"/>
      <c r="CS2000" s="178"/>
      <c r="CT2000" s="178"/>
      <c r="CU2000" s="178"/>
      <c r="CV2000" s="178"/>
      <c r="CW2000" s="178"/>
      <c r="CX2000" s="178"/>
      <c r="CY2000" s="178"/>
      <c r="CZ2000" s="178"/>
      <c r="DA2000" s="150"/>
    </row>
    <row r="2001" spans="53:105" x14ac:dyDescent="0.2">
      <c r="BA2001" s="518">
        <f t="shared" ca="1" si="106"/>
        <v>61</v>
      </c>
      <c r="BB2001" s="174">
        <f t="shared" ca="1" si="107"/>
        <v>1938</v>
      </c>
      <c r="BC2001" s="525" t="e">
        <f ca="1">MATCH(BD2001,OFFSET(Pinlist!$A$2,BC2000*(BA2001=BA2000),0,$BM$23,1),0)+BC2000*(BA2001=BA2000)</f>
        <v>#N/A</v>
      </c>
      <c r="BD2001" s="167">
        <f t="shared" ca="1" si="108"/>
        <v>0</v>
      </c>
      <c r="BE2001" s="191" t="e">
        <f ca="1">(OFFSET(Pinlist!$E$1,BC2001,0)-$BN$16)*$BN$19</f>
        <v>#N/A</v>
      </c>
      <c r="BF2001" s="192" t="e">
        <f ca="1">(OFFSET(Pinlist!$F$1,BC2001,0)-$BO$16)*$BO$19</f>
        <v>#N/A</v>
      </c>
      <c r="BG2001" s="1098" t="str">
        <f ca="1">IF(LEFT(BD2001,2)="RF",OFFSET(Pinlist!$D$1,Chart!BC2001,0)&amp;"_"&amp;OFFSET(Pinlist!$G$1,Chart!BC2001,0),"")</f>
        <v/>
      </c>
      <c r="BH2001" s="1098"/>
      <c r="BI2001" s="178"/>
      <c r="BJ2001" s="178"/>
      <c r="BK2001" s="178"/>
      <c r="BL2001" s="178"/>
      <c r="BM2001" s="178"/>
      <c r="BN2001" s="178"/>
      <c r="BO2001" s="178"/>
      <c r="BP2001" s="178"/>
      <c r="BQ2001" s="196"/>
      <c r="BR2001" s="196"/>
      <c r="BS2001" s="196"/>
      <c r="BT2001" s="196"/>
      <c r="BU2001" s="196"/>
      <c r="BV2001" s="196"/>
      <c r="BW2001" s="178"/>
      <c r="BX2001" s="196"/>
      <c r="BY2001" s="196"/>
      <c r="BZ2001" s="196"/>
      <c r="CA2001" s="196"/>
      <c r="CB2001" s="178"/>
      <c r="CC2001" s="178"/>
      <c r="CD2001" s="202"/>
      <c r="CE2001" s="202"/>
      <c r="CF2001" s="178"/>
      <c r="CG2001" s="196"/>
      <c r="CH2001" s="178"/>
      <c r="CI2001" s="178"/>
      <c r="CJ2001" s="178"/>
      <c r="CK2001" s="178"/>
      <c r="CL2001" s="178"/>
      <c r="CM2001" s="178"/>
      <c r="CN2001" s="178"/>
      <c r="CO2001" s="178"/>
      <c r="CP2001" s="178"/>
      <c r="CQ2001" s="178"/>
      <c r="CR2001" s="178"/>
      <c r="CS2001" s="178"/>
      <c r="CT2001" s="178"/>
      <c r="CU2001" s="178"/>
      <c r="CV2001" s="178"/>
      <c r="CW2001" s="178"/>
      <c r="CX2001" s="178"/>
      <c r="CY2001" s="178"/>
      <c r="CZ2001" s="178"/>
      <c r="DA2001" s="150"/>
    </row>
    <row r="2002" spans="53:105" x14ac:dyDescent="0.2">
      <c r="BA2002" s="518">
        <f t="shared" ca="1" si="106"/>
        <v>61</v>
      </c>
      <c r="BB2002" s="174">
        <f t="shared" ca="1" si="107"/>
        <v>1939</v>
      </c>
      <c r="BC2002" s="525" t="e">
        <f ca="1">MATCH(BD2002,OFFSET(Pinlist!$A$2,BC2001*(BA2002=BA2001),0,$BM$23,1),0)+BC2001*(BA2002=BA2001)</f>
        <v>#N/A</v>
      </c>
      <c r="BD2002" s="167">
        <f t="shared" ca="1" si="108"/>
        <v>0</v>
      </c>
      <c r="BE2002" s="191" t="e">
        <f ca="1">(OFFSET(Pinlist!$E$1,BC2002,0)-$BN$16)*$BN$19</f>
        <v>#N/A</v>
      </c>
      <c r="BF2002" s="192" t="e">
        <f ca="1">(OFFSET(Pinlist!$F$1,BC2002,0)-$BO$16)*$BO$19</f>
        <v>#N/A</v>
      </c>
      <c r="BG2002" s="1098" t="str">
        <f ca="1">IF(LEFT(BD2002,2)="RF",OFFSET(Pinlist!$D$1,Chart!BC2002,0)&amp;"_"&amp;OFFSET(Pinlist!$G$1,Chart!BC2002,0),"")</f>
        <v/>
      </c>
      <c r="BH2002" s="1098"/>
      <c r="BI2002" s="178"/>
      <c r="BJ2002" s="178"/>
      <c r="BK2002" s="178"/>
      <c r="BL2002" s="178"/>
      <c r="BM2002" s="178"/>
      <c r="BN2002" s="178"/>
      <c r="BO2002" s="178"/>
      <c r="BP2002" s="178"/>
      <c r="BQ2002" s="196"/>
      <c r="BR2002" s="196"/>
      <c r="BS2002" s="196"/>
      <c r="BT2002" s="196"/>
      <c r="BU2002" s="196"/>
      <c r="BV2002" s="196"/>
      <c r="BW2002" s="178"/>
      <c r="BX2002" s="196"/>
      <c r="BY2002" s="196"/>
      <c r="BZ2002" s="196"/>
      <c r="CA2002" s="196"/>
      <c r="CB2002" s="178"/>
      <c r="CC2002" s="178"/>
      <c r="CD2002" s="202"/>
      <c r="CE2002" s="202"/>
      <c r="CF2002" s="178"/>
      <c r="CG2002" s="196"/>
      <c r="CH2002" s="178"/>
      <c r="CI2002" s="178"/>
      <c r="CJ2002" s="178"/>
      <c r="CK2002" s="178"/>
      <c r="CL2002" s="178"/>
      <c r="CM2002" s="178"/>
      <c r="CN2002" s="178"/>
      <c r="CO2002" s="178"/>
      <c r="CP2002" s="178"/>
      <c r="CQ2002" s="178"/>
      <c r="CR2002" s="178"/>
      <c r="CS2002" s="178"/>
      <c r="CT2002" s="178"/>
      <c r="CU2002" s="178"/>
      <c r="CV2002" s="178"/>
      <c r="CW2002" s="178"/>
      <c r="CX2002" s="178"/>
      <c r="CY2002" s="178"/>
      <c r="CZ2002" s="178"/>
      <c r="DA2002" s="150"/>
    </row>
    <row r="2003" spans="53:105" x14ac:dyDescent="0.2">
      <c r="BA2003" s="518">
        <f t="shared" ca="1" si="106"/>
        <v>61</v>
      </c>
      <c r="BB2003" s="174">
        <f t="shared" ca="1" si="107"/>
        <v>1940</v>
      </c>
      <c r="BC2003" s="525" t="e">
        <f ca="1">MATCH(BD2003,OFFSET(Pinlist!$A$2,BC2002*(BA2003=BA2002),0,$BM$23,1),0)+BC2002*(BA2003=BA2002)</f>
        <v>#N/A</v>
      </c>
      <c r="BD2003" s="167">
        <f t="shared" ca="1" si="108"/>
        <v>0</v>
      </c>
      <c r="BE2003" s="191" t="e">
        <f ca="1">(OFFSET(Pinlist!$E$1,BC2003,0)-$BN$16)*$BN$19</f>
        <v>#N/A</v>
      </c>
      <c r="BF2003" s="192" t="e">
        <f ca="1">(OFFSET(Pinlist!$F$1,BC2003,0)-$BO$16)*$BO$19</f>
        <v>#N/A</v>
      </c>
      <c r="BG2003" s="1098" t="str">
        <f ca="1">IF(LEFT(BD2003,2)="RF",OFFSET(Pinlist!$D$1,Chart!BC2003,0)&amp;"_"&amp;OFFSET(Pinlist!$G$1,Chart!BC2003,0),"")</f>
        <v/>
      </c>
      <c r="BH2003" s="1098"/>
      <c r="BI2003" s="178"/>
      <c r="BJ2003" s="178"/>
      <c r="BK2003" s="178"/>
      <c r="BL2003" s="178"/>
      <c r="BM2003" s="178"/>
      <c r="BN2003" s="178"/>
      <c r="BO2003" s="178"/>
      <c r="BP2003" s="178"/>
      <c r="BQ2003" s="196"/>
      <c r="BR2003" s="196"/>
      <c r="BS2003" s="196"/>
      <c r="BT2003" s="196"/>
      <c r="BU2003" s="196"/>
      <c r="BV2003" s="196"/>
      <c r="BW2003" s="178"/>
      <c r="BX2003" s="196"/>
      <c r="BY2003" s="196"/>
      <c r="BZ2003" s="196"/>
      <c r="CA2003" s="196"/>
      <c r="CB2003" s="178"/>
      <c r="CC2003" s="178"/>
      <c r="CD2003" s="202"/>
      <c r="CE2003" s="202"/>
      <c r="CF2003" s="178"/>
      <c r="CG2003" s="196"/>
      <c r="CH2003" s="178"/>
      <c r="CI2003" s="178"/>
      <c r="CJ2003" s="178"/>
      <c r="CK2003" s="178"/>
      <c r="CL2003" s="178"/>
      <c r="CM2003" s="178"/>
      <c r="CN2003" s="178"/>
      <c r="CO2003" s="178"/>
      <c r="CP2003" s="178"/>
      <c r="CQ2003" s="178"/>
      <c r="CR2003" s="178"/>
      <c r="CS2003" s="178"/>
      <c r="CT2003" s="178"/>
      <c r="CU2003" s="178"/>
      <c r="CV2003" s="178"/>
      <c r="CW2003" s="178"/>
      <c r="CX2003" s="178"/>
      <c r="CY2003" s="178"/>
      <c r="CZ2003" s="178"/>
      <c r="DA2003" s="150"/>
    </row>
    <row r="2004" spans="53:105" x14ac:dyDescent="0.2">
      <c r="BA2004" s="518">
        <f t="shared" ca="1" si="106"/>
        <v>61</v>
      </c>
      <c r="BB2004" s="174">
        <f t="shared" ca="1" si="107"/>
        <v>1941</v>
      </c>
      <c r="BC2004" s="525" t="e">
        <f ca="1">MATCH(BD2004,OFFSET(Pinlist!$A$2,BC2003*(BA2004=BA2003),0,$BM$23,1),0)+BC2003*(BA2004=BA2003)</f>
        <v>#N/A</v>
      </c>
      <c r="BD2004" s="167">
        <f t="shared" ca="1" si="108"/>
        <v>0</v>
      </c>
      <c r="BE2004" s="191" t="e">
        <f ca="1">(OFFSET(Pinlist!$E$1,BC2004,0)-$BN$16)*$BN$19</f>
        <v>#N/A</v>
      </c>
      <c r="BF2004" s="192" t="e">
        <f ca="1">(OFFSET(Pinlist!$F$1,BC2004,0)-$BO$16)*$BO$19</f>
        <v>#N/A</v>
      </c>
      <c r="BG2004" s="1098" t="str">
        <f ca="1">IF(LEFT(BD2004,2)="RF",OFFSET(Pinlist!$D$1,Chart!BC2004,0)&amp;"_"&amp;OFFSET(Pinlist!$G$1,Chart!BC2004,0),"")</f>
        <v/>
      </c>
      <c r="BH2004" s="1098"/>
    </row>
    <row r="2005" spans="53:105" x14ac:dyDescent="0.2">
      <c r="BA2005" s="518">
        <f t="shared" ca="1" si="106"/>
        <v>61</v>
      </c>
      <c r="BB2005" s="174">
        <f t="shared" ca="1" si="107"/>
        <v>1942</v>
      </c>
      <c r="BC2005" s="525" t="e">
        <f ca="1">MATCH(BD2005,OFFSET(Pinlist!$A$2,BC2004*(BA2005=BA2004),0,$BM$23,1),0)+BC2004*(BA2005=BA2004)</f>
        <v>#N/A</v>
      </c>
      <c r="BD2005" s="167">
        <f t="shared" ca="1" si="108"/>
        <v>0</v>
      </c>
      <c r="BE2005" s="191" t="e">
        <f ca="1">(OFFSET(Pinlist!$E$1,BC2005,0)-$BN$16)*$BN$19</f>
        <v>#N/A</v>
      </c>
      <c r="BF2005" s="192" t="e">
        <f ca="1">(OFFSET(Pinlist!$F$1,BC2005,0)-$BO$16)*$BO$19</f>
        <v>#N/A</v>
      </c>
      <c r="BG2005" s="1098" t="str">
        <f ca="1">IF(LEFT(BD2005,2)="RF",OFFSET(Pinlist!$D$1,Chart!BC2005,0)&amp;"_"&amp;OFFSET(Pinlist!$G$1,Chart!BC2005,0),"")</f>
        <v/>
      </c>
      <c r="BH2005" s="1098"/>
    </row>
    <row r="2006" spans="53:105" x14ac:dyDescent="0.2">
      <c r="BA2006" s="518">
        <f t="shared" ca="1" si="106"/>
        <v>61</v>
      </c>
      <c r="BB2006" s="174">
        <f t="shared" ca="1" si="107"/>
        <v>1943</v>
      </c>
      <c r="BC2006" s="525" t="e">
        <f ca="1">MATCH(BD2006,OFFSET(Pinlist!$A$2,BC2005*(BA2006=BA2005),0,$BM$23,1),0)+BC2005*(BA2006=BA2005)</f>
        <v>#N/A</v>
      </c>
      <c r="BD2006" s="167">
        <f t="shared" ca="1" si="108"/>
        <v>0</v>
      </c>
      <c r="BE2006" s="191" t="e">
        <f ca="1">(OFFSET(Pinlist!$E$1,BC2006,0)-$BN$16)*$BN$19</f>
        <v>#N/A</v>
      </c>
      <c r="BF2006" s="192" t="e">
        <f ca="1">(OFFSET(Pinlist!$F$1,BC2006,0)-$BO$16)*$BO$19</f>
        <v>#N/A</v>
      </c>
      <c r="BG2006" s="1098" t="str">
        <f ca="1">IF(LEFT(BD2006,2)="RF",OFFSET(Pinlist!$D$1,Chart!BC2006,0)&amp;"_"&amp;OFFSET(Pinlist!$G$1,Chart!BC2006,0),"")</f>
        <v/>
      </c>
      <c r="BH2006" s="1098"/>
    </row>
    <row r="2007" spans="53:105" x14ac:dyDescent="0.2">
      <c r="BA2007" s="518">
        <f t="shared" ca="1" si="106"/>
        <v>61</v>
      </c>
      <c r="BB2007" s="174">
        <f t="shared" ca="1" si="107"/>
        <v>1944</v>
      </c>
      <c r="BC2007" s="525" t="e">
        <f ca="1">MATCH(BD2007,OFFSET(Pinlist!$A$2,BC2006*(BA2007=BA2006),0,$BM$23,1),0)+BC2006*(BA2007=BA2006)</f>
        <v>#N/A</v>
      </c>
      <c r="BD2007" s="167">
        <f t="shared" ca="1" si="108"/>
        <v>0</v>
      </c>
      <c r="BE2007" s="191" t="e">
        <f ca="1">(OFFSET(Pinlist!$E$1,BC2007,0)-$BN$16)*$BN$19</f>
        <v>#N/A</v>
      </c>
      <c r="BF2007" s="192" t="e">
        <f ca="1">(OFFSET(Pinlist!$F$1,BC2007,0)-$BO$16)*$BO$19</f>
        <v>#N/A</v>
      </c>
      <c r="BG2007" s="1098" t="str">
        <f ca="1">IF(LEFT(BD2007,2)="RF",OFFSET(Pinlist!$D$1,Chart!BC2007,0)&amp;"_"&amp;OFFSET(Pinlist!$G$1,Chart!BC2007,0),"")</f>
        <v/>
      </c>
      <c r="BH2007" s="1098"/>
    </row>
    <row r="2008" spans="53:105" x14ac:dyDescent="0.2">
      <c r="BA2008" s="518">
        <f t="shared" ca="1" si="106"/>
        <v>61</v>
      </c>
      <c r="BB2008" s="174">
        <f t="shared" ca="1" si="107"/>
        <v>1945</v>
      </c>
      <c r="BC2008" s="525" t="e">
        <f ca="1">MATCH(BD2008,OFFSET(Pinlist!$A$2,BC2007*(BA2008=BA2007),0,$BM$23,1),0)+BC2007*(BA2008=BA2007)</f>
        <v>#N/A</v>
      </c>
      <c r="BD2008" s="167">
        <f t="shared" ca="1" si="108"/>
        <v>0</v>
      </c>
      <c r="BE2008" s="191" t="e">
        <f ca="1">(OFFSET(Pinlist!$E$1,BC2008,0)-$BN$16)*$BN$19</f>
        <v>#N/A</v>
      </c>
      <c r="BF2008" s="192" t="e">
        <f ca="1">(OFFSET(Pinlist!$F$1,BC2008,0)-$BO$16)*$BO$19</f>
        <v>#N/A</v>
      </c>
      <c r="BG2008" s="1098" t="str">
        <f ca="1">IF(LEFT(BD2008,2)="RF",OFFSET(Pinlist!$D$1,Chart!BC2008,0)&amp;"_"&amp;OFFSET(Pinlist!$G$1,Chart!BC2008,0),"")</f>
        <v/>
      </c>
      <c r="BH2008" s="1098"/>
    </row>
    <row r="2009" spans="53:105" x14ac:dyDescent="0.2">
      <c r="BA2009" s="518">
        <f t="shared" ca="1" si="106"/>
        <v>61</v>
      </c>
      <c r="BB2009" s="174">
        <f t="shared" ca="1" si="107"/>
        <v>1946</v>
      </c>
      <c r="BC2009" s="525" t="e">
        <f ca="1">MATCH(BD2009,OFFSET(Pinlist!$A$2,BC2008*(BA2009=BA2008),0,$BM$23,1),0)+BC2008*(BA2009=BA2008)</f>
        <v>#N/A</v>
      </c>
      <c r="BD2009" s="167">
        <f t="shared" ca="1" si="108"/>
        <v>0</v>
      </c>
      <c r="BE2009" s="191" t="e">
        <f ca="1">(OFFSET(Pinlist!$E$1,BC2009,0)-$BN$16)*$BN$19</f>
        <v>#N/A</v>
      </c>
      <c r="BF2009" s="192" t="e">
        <f ca="1">(OFFSET(Pinlist!$F$1,BC2009,0)-$BO$16)*$BO$19</f>
        <v>#N/A</v>
      </c>
      <c r="BG2009" s="1098" t="str">
        <f ca="1">IF(LEFT(BD2009,2)="RF",OFFSET(Pinlist!$D$1,Chart!BC2009,0)&amp;"_"&amp;OFFSET(Pinlist!$G$1,Chart!BC2009,0),"")</f>
        <v/>
      </c>
      <c r="BH2009" s="1098"/>
    </row>
    <row r="2010" spans="53:105" x14ac:dyDescent="0.2">
      <c r="BA2010" s="518">
        <f t="shared" ca="1" si="106"/>
        <v>61</v>
      </c>
      <c r="BB2010" s="174">
        <f t="shared" ca="1" si="107"/>
        <v>1947</v>
      </c>
      <c r="BC2010" s="525" t="e">
        <f ca="1">MATCH(BD2010,OFFSET(Pinlist!$A$2,BC2009*(BA2010=BA2009),0,$BM$23,1),0)+BC2009*(BA2010=BA2009)</f>
        <v>#N/A</v>
      </c>
      <c r="BD2010" s="167">
        <f t="shared" ca="1" si="108"/>
        <v>0</v>
      </c>
      <c r="BE2010" s="191" t="e">
        <f ca="1">(OFFSET(Pinlist!$E$1,BC2010,0)-$BN$16)*$BN$19</f>
        <v>#N/A</v>
      </c>
      <c r="BF2010" s="192" t="e">
        <f ca="1">(OFFSET(Pinlist!$F$1,BC2010,0)-$BO$16)*$BO$19</f>
        <v>#N/A</v>
      </c>
      <c r="BG2010" s="1098" t="str">
        <f ca="1">IF(LEFT(BD2010,2)="RF",OFFSET(Pinlist!$D$1,Chart!BC2010,0)&amp;"_"&amp;OFFSET(Pinlist!$G$1,Chart!BC2010,0),"")</f>
        <v/>
      </c>
      <c r="BH2010" s="1098"/>
    </row>
    <row r="2011" spans="53:105" x14ac:dyDescent="0.2">
      <c r="BA2011" s="518">
        <f t="shared" ca="1" si="106"/>
        <v>61</v>
      </c>
      <c r="BB2011" s="174">
        <f t="shared" ca="1" si="107"/>
        <v>1948</v>
      </c>
      <c r="BC2011" s="525" t="e">
        <f ca="1">MATCH(BD2011,OFFSET(Pinlist!$A$2,BC2010*(BA2011=BA2010),0,$BM$23,1),0)+BC2010*(BA2011=BA2010)</f>
        <v>#N/A</v>
      </c>
      <c r="BD2011" s="167">
        <f t="shared" ca="1" si="108"/>
        <v>0</v>
      </c>
      <c r="BE2011" s="191" t="e">
        <f ca="1">(OFFSET(Pinlist!$E$1,BC2011,0)-$BN$16)*$BN$19</f>
        <v>#N/A</v>
      </c>
      <c r="BF2011" s="192" t="e">
        <f ca="1">(OFFSET(Pinlist!$F$1,BC2011,0)-$BO$16)*$BO$19</f>
        <v>#N/A</v>
      </c>
      <c r="BG2011" s="1098" t="str">
        <f ca="1">IF(LEFT(BD2011,2)="RF",OFFSET(Pinlist!$D$1,Chart!BC2011,0)&amp;"_"&amp;OFFSET(Pinlist!$G$1,Chart!BC2011,0),"")</f>
        <v/>
      </c>
      <c r="BH2011" s="1098"/>
    </row>
    <row r="2012" spans="53:105" x14ac:dyDescent="0.2">
      <c r="BA2012" s="518">
        <f t="shared" ca="1" si="106"/>
        <v>61</v>
      </c>
      <c r="BB2012" s="174">
        <f t="shared" ca="1" si="107"/>
        <v>1949</v>
      </c>
      <c r="BC2012" s="525" t="e">
        <f ca="1">MATCH(BD2012,OFFSET(Pinlist!$A$2,BC2011*(BA2012=BA2011),0,$BM$23,1),0)+BC2011*(BA2012=BA2011)</f>
        <v>#N/A</v>
      </c>
      <c r="BD2012" s="167">
        <f t="shared" ca="1" si="108"/>
        <v>0</v>
      </c>
      <c r="BE2012" s="191" t="e">
        <f ca="1">(OFFSET(Pinlist!$E$1,BC2012,0)-$BN$16)*$BN$19</f>
        <v>#N/A</v>
      </c>
      <c r="BF2012" s="192" t="e">
        <f ca="1">(OFFSET(Pinlist!$F$1,BC2012,0)-$BO$16)*$BO$19</f>
        <v>#N/A</v>
      </c>
      <c r="BG2012" s="1098" t="str">
        <f ca="1">IF(LEFT(BD2012,2)="RF",OFFSET(Pinlist!$D$1,Chart!BC2012,0)&amp;"_"&amp;OFFSET(Pinlist!$G$1,Chart!BC2012,0),"")</f>
        <v/>
      </c>
      <c r="BH2012" s="1098"/>
    </row>
    <row r="2013" spans="53:105" x14ac:dyDescent="0.2">
      <c r="BA2013" s="518">
        <f t="shared" ca="1" si="106"/>
        <v>61</v>
      </c>
      <c r="BB2013" s="174">
        <f t="shared" ca="1" si="107"/>
        <v>1950</v>
      </c>
      <c r="BC2013" s="525" t="e">
        <f ca="1">MATCH(BD2013,OFFSET(Pinlist!$A$2,BC2012*(BA2013=BA2012),0,$BM$23,1),0)+BC2012*(BA2013=BA2012)</f>
        <v>#N/A</v>
      </c>
      <c r="BD2013" s="167">
        <f t="shared" ca="1" si="108"/>
        <v>0</v>
      </c>
      <c r="BE2013" s="191" t="e">
        <f ca="1">(OFFSET(Pinlist!$E$1,BC2013,0)-$BN$16)*$BN$19</f>
        <v>#N/A</v>
      </c>
      <c r="BF2013" s="192" t="e">
        <f ca="1">(OFFSET(Pinlist!$F$1,BC2013,0)-$BO$16)*$BO$19</f>
        <v>#N/A</v>
      </c>
      <c r="BG2013" s="1098" t="str">
        <f ca="1">IF(LEFT(BD2013,2)="RF",OFFSET(Pinlist!$D$1,Chart!BC2013,0)&amp;"_"&amp;OFFSET(Pinlist!$G$1,Chart!BC2013,0),"")</f>
        <v/>
      </c>
      <c r="BH2013" s="1098"/>
    </row>
    <row r="2014" spans="53:105" x14ac:dyDescent="0.2">
      <c r="BA2014" s="518">
        <f t="shared" ca="1" si="106"/>
        <v>61</v>
      </c>
      <c r="BB2014" s="174">
        <f t="shared" ca="1" si="107"/>
        <v>1951</v>
      </c>
      <c r="BC2014" s="525" t="e">
        <f ca="1">MATCH(BD2014,OFFSET(Pinlist!$A$2,BC2013*(BA2014=BA2013),0,$BM$23,1),0)+BC2013*(BA2014=BA2013)</f>
        <v>#N/A</v>
      </c>
      <c r="BD2014" s="167">
        <f t="shared" ca="1" si="108"/>
        <v>0</v>
      </c>
      <c r="BE2014" s="191" t="e">
        <f ca="1">(OFFSET(Pinlist!$E$1,BC2014,0)-$BN$16)*$BN$19</f>
        <v>#N/A</v>
      </c>
      <c r="BF2014" s="192" t="e">
        <f ca="1">(OFFSET(Pinlist!$F$1,BC2014,0)-$BO$16)*$BO$19</f>
        <v>#N/A</v>
      </c>
      <c r="BG2014" s="1098" t="str">
        <f ca="1">IF(LEFT(BD2014,2)="RF",OFFSET(Pinlist!$D$1,Chart!BC2014,0)&amp;"_"&amp;OFFSET(Pinlist!$G$1,Chart!BC2014,0),"")</f>
        <v/>
      </c>
      <c r="BH2014" s="1098"/>
    </row>
    <row r="2015" spans="53:105" x14ac:dyDescent="0.2">
      <c r="BA2015" s="518">
        <f t="shared" ca="1" si="106"/>
        <v>61</v>
      </c>
      <c r="BB2015" s="174">
        <f t="shared" ca="1" si="107"/>
        <v>1952</v>
      </c>
      <c r="BC2015" s="525" t="e">
        <f ca="1">MATCH(BD2015,OFFSET(Pinlist!$A$2,BC2014*(BA2015=BA2014),0,$BM$23,1),0)+BC2014*(BA2015=BA2014)</f>
        <v>#N/A</v>
      </c>
      <c r="BD2015" s="167">
        <f t="shared" ca="1" si="108"/>
        <v>0</v>
      </c>
      <c r="BE2015" s="191" t="e">
        <f ca="1">(OFFSET(Pinlist!$E$1,BC2015,0)-$BN$16)*$BN$19</f>
        <v>#N/A</v>
      </c>
      <c r="BF2015" s="192" t="e">
        <f ca="1">(OFFSET(Pinlist!$F$1,BC2015,0)-$BO$16)*$BO$19</f>
        <v>#N/A</v>
      </c>
      <c r="BG2015" s="1098" t="str">
        <f ca="1">IF(LEFT(BD2015,2)="RF",OFFSET(Pinlist!$D$1,Chart!BC2015,0)&amp;"_"&amp;OFFSET(Pinlist!$G$1,Chart!BC2015,0),"")</f>
        <v/>
      </c>
      <c r="BH2015" s="1098"/>
    </row>
    <row r="2016" spans="53:105" x14ac:dyDescent="0.2">
      <c r="BA2016" s="518">
        <f t="shared" ca="1" si="106"/>
        <v>61</v>
      </c>
      <c r="BB2016" s="174">
        <f t="shared" ca="1" si="107"/>
        <v>1953</v>
      </c>
      <c r="BC2016" s="525" t="e">
        <f ca="1">MATCH(BD2016,OFFSET(Pinlist!$A$2,BC2015*(BA2016=BA2015),0,$BM$23,1),0)+BC2015*(BA2016=BA2015)</f>
        <v>#N/A</v>
      </c>
      <c r="BD2016" s="167">
        <f t="shared" ca="1" si="108"/>
        <v>0</v>
      </c>
      <c r="BE2016" s="191" t="e">
        <f ca="1">(OFFSET(Pinlist!$E$1,BC2016,0)-$BN$16)*$BN$19</f>
        <v>#N/A</v>
      </c>
      <c r="BF2016" s="192" t="e">
        <f ca="1">(OFFSET(Pinlist!$F$1,BC2016,0)-$BO$16)*$BO$19</f>
        <v>#N/A</v>
      </c>
      <c r="BG2016" s="1098" t="str">
        <f ca="1">IF(LEFT(BD2016,2)="RF",OFFSET(Pinlist!$D$1,Chart!BC2016,0)&amp;"_"&amp;OFFSET(Pinlist!$G$1,Chart!BC2016,0),"")</f>
        <v/>
      </c>
      <c r="BH2016" s="1098"/>
    </row>
    <row r="2017" spans="53:60" x14ac:dyDescent="0.2">
      <c r="BA2017" s="518">
        <f t="shared" ca="1" si="106"/>
        <v>61</v>
      </c>
      <c r="BB2017" s="174">
        <f t="shared" ca="1" si="107"/>
        <v>1954</v>
      </c>
      <c r="BC2017" s="525" t="e">
        <f ca="1">MATCH(BD2017,OFFSET(Pinlist!$A$2,BC2016*(BA2017=BA2016),0,$BM$23,1),0)+BC2016*(BA2017=BA2016)</f>
        <v>#N/A</v>
      </c>
      <c r="BD2017" s="167">
        <f t="shared" ca="1" si="108"/>
        <v>0</v>
      </c>
      <c r="BE2017" s="191" t="e">
        <f ca="1">(OFFSET(Pinlist!$E$1,BC2017,0)-$BN$16)*$BN$19</f>
        <v>#N/A</v>
      </c>
      <c r="BF2017" s="192" t="e">
        <f ca="1">(OFFSET(Pinlist!$F$1,BC2017,0)-$BO$16)*$BO$19</f>
        <v>#N/A</v>
      </c>
      <c r="BG2017" s="1098" t="str">
        <f ca="1">IF(LEFT(BD2017,2)="RF",OFFSET(Pinlist!$D$1,Chart!BC2017,0)&amp;"_"&amp;OFFSET(Pinlist!$G$1,Chart!BC2017,0),"")</f>
        <v/>
      </c>
      <c r="BH2017" s="1098"/>
    </row>
    <row r="2018" spans="53:60" x14ac:dyDescent="0.2">
      <c r="BA2018" s="518">
        <f t="shared" ca="1" si="106"/>
        <v>61</v>
      </c>
      <c r="BB2018" s="174">
        <f t="shared" ca="1" si="107"/>
        <v>1955</v>
      </c>
      <c r="BC2018" s="525" t="e">
        <f ca="1">MATCH(BD2018,OFFSET(Pinlist!$A$2,BC2017*(BA2018=BA2017),0,$BM$23,1),0)+BC2017*(BA2018=BA2017)</f>
        <v>#N/A</v>
      </c>
      <c r="BD2018" s="167">
        <f t="shared" ca="1" si="108"/>
        <v>0</v>
      </c>
      <c r="BE2018" s="191" t="e">
        <f ca="1">(OFFSET(Pinlist!$E$1,BC2018,0)-$BN$16)*$BN$19</f>
        <v>#N/A</v>
      </c>
      <c r="BF2018" s="192" t="e">
        <f ca="1">(OFFSET(Pinlist!$F$1,BC2018,0)-$BO$16)*$BO$19</f>
        <v>#N/A</v>
      </c>
      <c r="BG2018" s="1098" t="str">
        <f ca="1">IF(LEFT(BD2018,2)="RF",OFFSET(Pinlist!$D$1,Chart!BC2018,0)&amp;"_"&amp;OFFSET(Pinlist!$G$1,Chart!BC2018,0),"")</f>
        <v/>
      </c>
      <c r="BH2018" s="1098"/>
    </row>
    <row r="2019" spans="53:60" x14ac:dyDescent="0.2">
      <c r="BA2019" s="518">
        <f t="shared" ca="1" si="106"/>
        <v>61</v>
      </c>
      <c r="BB2019" s="174">
        <f t="shared" ca="1" si="107"/>
        <v>1956</v>
      </c>
      <c r="BC2019" s="525" t="e">
        <f ca="1">MATCH(BD2019,OFFSET(Pinlist!$A$2,BC2018*(BA2019=BA2018),0,$BM$23,1),0)+BC2018*(BA2019=BA2018)</f>
        <v>#N/A</v>
      </c>
      <c r="BD2019" s="167">
        <f t="shared" ca="1" si="108"/>
        <v>0</v>
      </c>
      <c r="BE2019" s="191" t="e">
        <f ca="1">(OFFSET(Pinlist!$E$1,BC2019,0)-$BN$16)*$BN$19</f>
        <v>#N/A</v>
      </c>
      <c r="BF2019" s="192" t="e">
        <f ca="1">(OFFSET(Pinlist!$F$1,BC2019,0)-$BO$16)*$BO$19</f>
        <v>#N/A</v>
      </c>
      <c r="BG2019" s="1098" t="str">
        <f ca="1">IF(LEFT(BD2019,2)="RF",OFFSET(Pinlist!$D$1,Chart!BC2019,0)&amp;"_"&amp;OFFSET(Pinlist!$G$1,Chart!BC2019,0),"")</f>
        <v/>
      </c>
      <c r="BH2019" s="1098"/>
    </row>
    <row r="2020" spans="53:60" x14ac:dyDescent="0.2">
      <c r="BA2020" s="518">
        <f t="shared" ca="1" si="106"/>
        <v>61</v>
      </c>
      <c r="BB2020" s="174">
        <f t="shared" ca="1" si="107"/>
        <v>1957</v>
      </c>
      <c r="BC2020" s="525" t="e">
        <f ca="1">MATCH(BD2020,OFFSET(Pinlist!$A$2,BC2019*(BA2020=BA2019),0,$BM$23,1),0)+BC2019*(BA2020=BA2019)</f>
        <v>#N/A</v>
      </c>
      <c r="BD2020" s="167">
        <f t="shared" ca="1" si="108"/>
        <v>0</v>
      </c>
      <c r="BE2020" s="191" t="e">
        <f ca="1">(OFFSET(Pinlist!$E$1,BC2020,0)-$BN$16)*$BN$19</f>
        <v>#N/A</v>
      </c>
      <c r="BF2020" s="192" t="e">
        <f ca="1">(OFFSET(Pinlist!$F$1,BC2020,0)-$BO$16)*$BO$19</f>
        <v>#N/A</v>
      </c>
      <c r="BG2020" s="1098" t="str">
        <f ca="1">IF(LEFT(BD2020,2)="RF",OFFSET(Pinlist!$D$1,Chart!BC2020,0)&amp;"_"&amp;OFFSET(Pinlist!$G$1,Chart!BC2020,0),"")</f>
        <v/>
      </c>
      <c r="BH2020" s="1098"/>
    </row>
    <row r="2021" spans="53:60" x14ac:dyDescent="0.2">
      <c r="BA2021" s="518">
        <f t="shared" ca="1" si="106"/>
        <v>61</v>
      </c>
      <c r="BB2021" s="174">
        <f t="shared" ca="1" si="107"/>
        <v>1958</v>
      </c>
      <c r="BC2021" s="525" t="e">
        <f ca="1">MATCH(BD2021,OFFSET(Pinlist!$A$2,BC2020*(BA2021=BA2020),0,$BM$23,1),0)+BC2020*(BA2021=BA2020)</f>
        <v>#N/A</v>
      </c>
      <c r="BD2021" s="167">
        <f t="shared" ca="1" si="108"/>
        <v>0</v>
      </c>
      <c r="BE2021" s="191" t="e">
        <f ca="1">(OFFSET(Pinlist!$E$1,BC2021,0)-$BN$16)*$BN$19</f>
        <v>#N/A</v>
      </c>
      <c r="BF2021" s="192" t="e">
        <f ca="1">(OFFSET(Pinlist!$F$1,BC2021,0)-$BO$16)*$BO$19</f>
        <v>#N/A</v>
      </c>
      <c r="BG2021" s="1098" t="str">
        <f ca="1">IF(LEFT(BD2021,2)="RF",OFFSET(Pinlist!$D$1,Chart!BC2021,0)&amp;"_"&amp;OFFSET(Pinlist!$G$1,Chart!BC2021,0),"")</f>
        <v/>
      </c>
      <c r="BH2021" s="1098"/>
    </row>
    <row r="2022" spans="53:60" x14ac:dyDescent="0.2">
      <c r="BA2022" s="518">
        <f t="shared" ca="1" si="106"/>
        <v>61</v>
      </c>
      <c r="BB2022" s="174">
        <f t="shared" ca="1" si="107"/>
        <v>1959</v>
      </c>
      <c r="BC2022" s="525" t="e">
        <f ca="1">MATCH(BD2022,OFFSET(Pinlist!$A$2,BC2021*(BA2022=BA2021),0,$BM$23,1),0)+BC2021*(BA2022=BA2021)</f>
        <v>#N/A</v>
      </c>
      <c r="BD2022" s="167">
        <f t="shared" ca="1" si="108"/>
        <v>0</v>
      </c>
      <c r="BE2022" s="191" t="e">
        <f ca="1">(OFFSET(Pinlist!$E$1,BC2022,0)-$BN$16)*$BN$19</f>
        <v>#N/A</v>
      </c>
      <c r="BF2022" s="192" t="e">
        <f ca="1">(OFFSET(Pinlist!$F$1,BC2022,0)-$BO$16)*$BO$19</f>
        <v>#N/A</v>
      </c>
      <c r="BG2022" s="1098" t="str">
        <f ca="1">IF(LEFT(BD2022,2)="RF",OFFSET(Pinlist!$D$1,Chart!BC2022,0)&amp;"_"&amp;OFFSET(Pinlist!$G$1,Chart!BC2022,0),"")</f>
        <v/>
      </c>
      <c r="BH2022" s="1098"/>
    </row>
    <row r="2023" spans="53:60" x14ac:dyDescent="0.2">
      <c r="BA2023" s="518">
        <f t="shared" ca="1" si="106"/>
        <v>61</v>
      </c>
      <c r="BB2023" s="174">
        <f t="shared" ca="1" si="107"/>
        <v>1960</v>
      </c>
      <c r="BC2023" s="525" t="e">
        <f ca="1">MATCH(BD2023,OFFSET(Pinlist!$A$2,BC2022*(BA2023=BA2022),0,$BM$23,1),0)+BC2022*(BA2023=BA2022)</f>
        <v>#N/A</v>
      </c>
      <c r="BD2023" s="167">
        <f t="shared" ca="1" si="108"/>
        <v>0</v>
      </c>
      <c r="BE2023" s="191" t="e">
        <f ca="1">(OFFSET(Pinlist!$E$1,BC2023,0)-$BN$16)*$BN$19</f>
        <v>#N/A</v>
      </c>
      <c r="BF2023" s="192" t="e">
        <f ca="1">(OFFSET(Pinlist!$F$1,BC2023,0)-$BO$16)*$BO$19</f>
        <v>#N/A</v>
      </c>
      <c r="BG2023" s="1098" t="str">
        <f ca="1">IF(LEFT(BD2023,2)="RF",OFFSET(Pinlist!$D$1,Chart!BC2023,0)&amp;"_"&amp;OFFSET(Pinlist!$G$1,Chart!BC2023,0),"")</f>
        <v/>
      </c>
      <c r="BH2023" s="1098"/>
    </row>
    <row r="2024" spans="53:60" x14ac:dyDescent="0.2">
      <c r="BA2024" s="518">
        <f t="shared" ca="1" si="106"/>
        <v>61</v>
      </c>
      <c r="BB2024" s="174">
        <f t="shared" ca="1" si="107"/>
        <v>1961</v>
      </c>
      <c r="BC2024" s="525" t="e">
        <f ca="1">MATCH(BD2024,OFFSET(Pinlist!$A$2,BC2023*(BA2024=BA2023),0,$BM$23,1),0)+BC2023*(BA2024=BA2023)</f>
        <v>#N/A</v>
      </c>
      <c r="BD2024" s="167">
        <f t="shared" ca="1" si="108"/>
        <v>0</v>
      </c>
      <c r="BE2024" s="191" t="e">
        <f ca="1">(OFFSET(Pinlist!$E$1,BC2024,0)-$BN$16)*$BN$19</f>
        <v>#N/A</v>
      </c>
      <c r="BF2024" s="192" t="e">
        <f ca="1">(OFFSET(Pinlist!$F$1,BC2024,0)-$BO$16)*$BO$19</f>
        <v>#N/A</v>
      </c>
      <c r="BG2024" s="1098" t="str">
        <f ca="1">IF(LEFT(BD2024,2)="RF",OFFSET(Pinlist!$D$1,Chart!BC2024,0)&amp;"_"&amp;OFFSET(Pinlist!$G$1,Chart!BC2024,0),"")</f>
        <v/>
      </c>
      <c r="BH2024" s="1098"/>
    </row>
    <row r="2025" spans="53:60" x14ac:dyDescent="0.2">
      <c r="BA2025" s="518">
        <f t="shared" ca="1" si="106"/>
        <v>61</v>
      </c>
      <c r="BB2025" s="174">
        <f t="shared" ca="1" si="107"/>
        <v>1962</v>
      </c>
      <c r="BC2025" s="525" t="e">
        <f ca="1">MATCH(BD2025,OFFSET(Pinlist!$A$2,BC2024*(BA2025=BA2024),0,$BM$23,1),0)+BC2024*(BA2025=BA2024)</f>
        <v>#N/A</v>
      </c>
      <c r="BD2025" s="167">
        <f t="shared" ca="1" si="108"/>
        <v>0</v>
      </c>
      <c r="BE2025" s="191" t="e">
        <f ca="1">(OFFSET(Pinlist!$E$1,BC2025,0)-$BN$16)*$BN$19</f>
        <v>#N/A</v>
      </c>
      <c r="BF2025" s="192" t="e">
        <f ca="1">(OFFSET(Pinlist!$F$1,BC2025,0)-$BO$16)*$BO$19</f>
        <v>#N/A</v>
      </c>
      <c r="BG2025" s="1098" t="str">
        <f ca="1">IF(LEFT(BD2025,2)="RF",OFFSET(Pinlist!$D$1,Chart!BC2025,0)&amp;"_"&amp;OFFSET(Pinlist!$G$1,Chart!BC2025,0),"")</f>
        <v/>
      </c>
      <c r="BH2025" s="1098"/>
    </row>
    <row r="2026" spans="53:60" x14ac:dyDescent="0.2">
      <c r="BA2026" s="518">
        <f t="shared" ca="1" si="106"/>
        <v>61</v>
      </c>
      <c r="BB2026" s="174">
        <f t="shared" ca="1" si="107"/>
        <v>1963</v>
      </c>
      <c r="BC2026" s="525" t="e">
        <f ca="1">MATCH(BD2026,OFFSET(Pinlist!$A$2,BC2025*(BA2026=BA2025),0,$BM$23,1),0)+BC2025*(BA2026=BA2025)</f>
        <v>#N/A</v>
      </c>
      <c r="BD2026" s="167">
        <f t="shared" ca="1" si="108"/>
        <v>0</v>
      </c>
      <c r="BE2026" s="191" t="e">
        <f ca="1">(OFFSET(Pinlist!$E$1,BC2026,0)-$BN$16)*$BN$19</f>
        <v>#N/A</v>
      </c>
      <c r="BF2026" s="192" t="e">
        <f ca="1">(OFFSET(Pinlist!$F$1,BC2026,0)-$BO$16)*$BO$19</f>
        <v>#N/A</v>
      </c>
      <c r="BG2026" s="1098" t="str">
        <f ca="1">IF(LEFT(BD2026,2)="RF",OFFSET(Pinlist!$D$1,Chart!BC2026,0)&amp;"_"&amp;OFFSET(Pinlist!$G$1,Chart!BC2026,0),"")</f>
        <v/>
      </c>
      <c r="BH2026" s="1098"/>
    </row>
    <row r="2027" spans="53:60" x14ac:dyDescent="0.2">
      <c r="BA2027" s="518">
        <f t="shared" ca="1" si="106"/>
        <v>61</v>
      </c>
      <c r="BB2027" s="174">
        <f t="shared" ca="1" si="107"/>
        <v>1964</v>
      </c>
      <c r="BC2027" s="525" t="e">
        <f ca="1">MATCH(BD2027,OFFSET(Pinlist!$A$2,BC2026*(BA2027=BA2026),0,$BM$23,1),0)+BC2026*(BA2027=BA2026)</f>
        <v>#N/A</v>
      </c>
      <c r="BD2027" s="167">
        <f t="shared" ca="1" si="108"/>
        <v>0</v>
      </c>
      <c r="BE2027" s="191" t="e">
        <f ca="1">(OFFSET(Pinlist!$E$1,BC2027,0)-$BN$16)*$BN$19</f>
        <v>#N/A</v>
      </c>
      <c r="BF2027" s="192" t="e">
        <f ca="1">(OFFSET(Pinlist!$F$1,BC2027,0)-$BO$16)*$BO$19</f>
        <v>#N/A</v>
      </c>
      <c r="BG2027" s="1098" t="str">
        <f ca="1">IF(LEFT(BD2027,2)="RF",OFFSET(Pinlist!$D$1,Chart!BC2027,0)&amp;"_"&amp;OFFSET(Pinlist!$G$1,Chart!BC2027,0),"")</f>
        <v/>
      </c>
      <c r="BH2027" s="1098"/>
    </row>
    <row r="2028" spans="53:60" x14ac:dyDescent="0.2">
      <c r="BA2028" s="518">
        <f t="shared" ca="1" si="106"/>
        <v>61</v>
      </c>
      <c r="BB2028" s="174">
        <f t="shared" ca="1" si="107"/>
        <v>1965</v>
      </c>
      <c r="BC2028" s="525" t="e">
        <f ca="1">MATCH(BD2028,OFFSET(Pinlist!$A$2,BC2027*(BA2028=BA2027),0,$BM$23,1),0)+BC2027*(BA2028=BA2027)</f>
        <v>#N/A</v>
      </c>
      <c r="BD2028" s="167">
        <f t="shared" ca="1" si="108"/>
        <v>0</v>
      </c>
      <c r="BE2028" s="191" t="e">
        <f ca="1">(OFFSET(Pinlist!$E$1,BC2028,0)-$BN$16)*$BN$19</f>
        <v>#N/A</v>
      </c>
      <c r="BF2028" s="192" t="e">
        <f ca="1">(OFFSET(Pinlist!$F$1,BC2028,0)-$BO$16)*$BO$19</f>
        <v>#N/A</v>
      </c>
      <c r="BG2028" s="1098" t="str">
        <f ca="1">IF(LEFT(BD2028,2)="RF",OFFSET(Pinlist!$D$1,Chart!BC2028,0)&amp;"_"&amp;OFFSET(Pinlist!$G$1,Chart!BC2028,0),"")</f>
        <v/>
      </c>
      <c r="BH2028" s="1098"/>
    </row>
    <row r="2029" spans="53:60" x14ac:dyDescent="0.2">
      <c r="BA2029" s="518">
        <f t="shared" ca="1" si="106"/>
        <v>61</v>
      </c>
      <c r="BB2029" s="174">
        <f t="shared" ca="1" si="107"/>
        <v>1966</v>
      </c>
      <c r="BC2029" s="525" t="e">
        <f ca="1">MATCH(BD2029,OFFSET(Pinlist!$A$2,BC2028*(BA2029=BA2028),0,$BM$23,1),0)+BC2028*(BA2029=BA2028)</f>
        <v>#N/A</v>
      </c>
      <c r="BD2029" s="167">
        <f t="shared" ca="1" si="108"/>
        <v>0</v>
      </c>
      <c r="BE2029" s="191" t="e">
        <f ca="1">(OFFSET(Pinlist!$E$1,BC2029,0)-$BN$16)*$BN$19</f>
        <v>#N/A</v>
      </c>
      <c r="BF2029" s="192" t="e">
        <f ca="1">(OFFSET(Pinlist!$F$1,BC2029,0)-$BO$16)*$BO$19</f>
        <v>#N/A</v>
      </c>
      <c r="BG2029" s="1098" t="str">
        <f ca="1">IF(LEFT(BD2029,2)="RF",OFFSET(Pinlist!$D$1,Chart!BC2029,0)&amp;"_"&amp;OFFSET(Pinlist!$G$1,Chart!BC2029,0),"")</f>
        <v/>
      </c>
      <c r="BH2029" s="1098"/>
    </row>
    <row r="2030" spans="53:60" x14ac:dyDescent="0.2">
      <c r="BA2030" s="518">
        <f t="shared" ca="1" si="106"/>
        <v>61</v>
      </c>
      <c r="BB2030" s="174">
        <f t="shared" ca="1" si="107"/>
        <v>1967</v>
      </c>
      <c r="BC2030" s="525" t="e">
        <f ca="1">MATCH(BD2030,OFFSET(Pinlist!$A$2,BC2029*(BA2030=BA2029),0,$BM$23,1),0)+BC2029*(BA2030=BA2029)</f>
        <v>#N/A</v>
      </c>
      <c r="BD2030" s="167">
        <f t="shared" ca="1" si="108"/>
        <v>0</v>
      </c>
      <c r="BE2030" s="191" t="e">
        <f ca="1">(OFFSET(Pinlist!$E$1,BC2030,0)-$BN$16)*$BN$19</f>
        <v>#N/A</v>
      </c>
      <c r="BF2030" s="192" t="e">
        <f ca="1">(OFFSET(Pinlist!$F$1,BC2030,0)-$BO$16)*$BO$19</f>
        <v>#N/A</v>
      </c>
      <c r="BG2030" s="1098" t="str">
        <f ca="1">IF(LEFT(BD2030,2)="RF",OFFSET(Pinlist!$D$1,Chart!BC2030,0)&amp;"_"&amp;OFFSET(Pinlist!$G$1,Chart!BC2030,0),"")</f>
        <v/>
      </c>
      <c r="BH2030" s="1098"/>
    </row>
    <row r="2031" spans="53:60" x14ac:dyDescent="0.2">
      <c r="BA2031" s="518">
        <f t="shared" ca="1" si="106"/>
        <v>61</v>
      </c>
      <c r="BB2031" s="174">
        <f t="shared" ca="1" si="107"/>
        <v>1968</v>
      </c>
      <c r="BC2031" s="525" t="e">
        <f ca="1">MATCH(BD2031,OFFSET(Pinlist!$A$2,BC2030*(BA2031=BA2030),0,$BM$23,1),0)+BC2030*(BA2031=BA2030)</f>
        <v>#N/A</v>
      </c>
      <c r="BD2031" s="167">
        <f t="shared" ca="1" si="108"/>
        <v>0</v>
      </c>
      <c r="BE2031" s="191" t="e">
        <f ca="1">(OFFSET(Pinlist!$E$1,BC2031,0)-$BN$16)*$BN$19</f>
        <v>#N/A</v>
      </c>
      <c r="BF2031" s="192" t="e">
        <f ca="1">(OFFSET(Pinlist!$F$1,BC2031,0)-$BO$16)*$BO$19</f>
        <v>#N/A</v>
      </c>
      <c r="BG2031" s="1098" t="str">
        <f ca="1">IF(LEFT(BD2031,2)="RF",OFFSET(Pinlist!$D$1,Chart!BC2031,0)&amp;"_"&amp;OFFSET(Pinlist!$G$1,Chart!BC2031,0),"")</f>
        <v/>
      </c>
      <c r="BH2031" s="1098"/>
    </row>
    <row r="2032" spans="53:60" x14ac:dyDescent="0.2">
      <c r="BA2032" s="518">
        <f t="shared" ca="1" si="106"/>
        <v>61</v>
      </c>
      <c r="BB2032" s="174">
        <f t="shared" ca="1" si="107"/>
        <v>1969</v>
      </c>
      <c r="BC2032" s="525" t="e">
        <f ca="1">MATCH(BD2032,OFFSET(Pinlist!$A$2,BC2031*(BA2032=BA2031),0,$BM$23,1),0)+BC2031*(BA2032=BA2031)</f>
        <v>#N/A</v>
      </c>
      <c r="BD2032" s="167">
        <f t="shared" ca="1" si="108"/>
        <v>0</v>
      </c>
      <c r="BE2032" s="191" t="e">
        <f ca="1">(OFFSET(Pinlist!$E$1,BC2032,0)-$BN$16)*$BN$19</f>
        <v>#N/A</v>
      </c>
      <c r="BF2032" s="192" t="e">
        <f ca="1">(OFFSET(Pinlist!$F$1,BC2032,0)-$BO$16)*$BO$19</f>
        <v>#N/A</v>
      </c>
      <c r="BG2032" s="1098" t="str">
        <f ca="1">IF(LEFT(BD2032,2)="RF",OFFSET(Pinlist!$D$1,Chart!BC2032,0)&amp;"_"&amp;OFFSET(Pinlist!$G$1,Chart!BC2032,0),"")</f>
        <v/>
      </c>
      <c r="BH2032" s="1098"/>
    </row>
    <row r="2033" spans="53:60" x14ac:dyDescent="0.2">
      <c r="BA2033" s="518">
        <f t="shared" ca="1" si="106"/>
        <v>61</v>
      </c>
      <c r="BB2033" s="174">
        <f t="shared" ca="1" si="107"/>
        <v>1970</v>
      </c>
      <c r="BC2033" s="525" t="e">
        <f ca="1">MATCH(BD2033,OFFSET(Pinlist!$A$2,BC2032*(BA2033=BA2032),0,$BM$23,1),0)+BC2032*(BA2033=BA2032)</f>
        <v>#N/A</v>
      </c>
      <c r="BD2033" s="167">
        <f t="shared" ca="1" si="108"/>
        <v>0</v>
      </c>
      <c r="BE2033" s="191" t="e">
        <f ca="1">(OFFSET(Pinlist!$E$1,BC2033,0)-$BN$16)*$BN$19</f>
        <v>#N/A</v>
      </c>
      <c r="BF2033" s="192" t="e">
        <f ca="1">(OFFSET(Pinlist!$F$1,BC2033,0)-$BO$16)*$BO$19</f>
        <v>#N/A</v>
      </c>
      <c r="BG2033" s="1098" t="str">
        <f ca="1">IF(LEFT(BD2033,2)="RF",OFFSET(Pinlist!$D$1,Chart!BC2033,0)&amp;"_"&amp;OFFSET(Pinlist!$G$1,Chart!BC2033,0),"")</f>
        <v/>
      </c>
      <c r="BH2033" s="1098"/>
    </row>
    <row r="2034" spans="53:60" x14ac:dyDescent="0.2">
      <c r="BA2034" s="518">
        <f t="shared" ca="1" si="106"/>
        <v>61</v>
      </c>
      <c r="BB2034" s="174">
        <f t="shared" ca="1" si="107"/>
        <v>1971</v>
      </c>
      <c r="BC2034" s="525" t="e">
        <f ca="1">MATCH(BD2034,OFFSET(Pinlist!$A$2,BC2033*(BA2034=BA2033),0,$BM$23,1),0)+BC2033*(BA2034=BA2033)</f>
        <v>#N/A</v>
      </c>
      <c r="BD2034" s="167">
        <f t="shared" ca="1" si="108"/>
        <v>0</v>
      </c>
      <c r="BE2034" s="191" t="e">
        <f ca="1">(OFFSET(Pinlist!$E$1,BC2034,0)-$BN$16)*$BN$19</f>
        <v>#N/A</v>
      </c>
      <c r="BF2034" s="192" t="e">
        <f ca="1">(OFFSET(Pinlist!$F$1,BC2034,0)-$BO$16)*$BO$19</f>
        <v>#N/A</v>
      </c>
      <c r="BG2034" s="1098" t="str">
        <f ca="1">IF(LEFT(BD2034,2)="RF",OFFSET(Pinlist!$D$1,Chart!BC2034,0)&amp;"_"&amp;OFFSET(Pinlist!$G$1,Chart!BC2034,0),"")</f>
        <v/>
      </c>
      <c r="BH2034" s="1098"/>
    </row>
    <row r="2035" spans="53:60" x14ac:dyDescent="0.2">
      <c r="BA2035" s="518">
        <f t="shared" ca="1" si="106"/>
        <v>61</v>
      </c>
      <c r="BB2035" s="174">
        <f t="shared" ca="1" si="107"/>
        <v>1972</v>
      </c>
      <c r="BC2035" s="525" t="e">
        <f ca="1">MATCH(BD2035,OFFSET(Pinlist!$A$2,BC2034*(BA2035=BA2034),0,$BM$23,1),0)+BC2034*(BA2035=BA2034)</f>
        <v>#N/A</v>
      </c>
      <c r="BD2035" s="167">
        <f t="shared" ca="1" si="108"/>
        <v>0</v>
      </c>
      <c r="BE2035" s="191" t="e">
        <f ca="1">(OFFSET(Pinlist!$E$1,BC2035,0)-$BN$16)*$BN$19</f>
        <v>#N/A</v>
      </c>
      <c r="BF2035" s="192" t="e">
        <f ca="1">(OFFSET(Pinlist!$F$1,BC2035,0)-$BO$16)*$BO$19</f>
        <v>#N/A</v>
      </c>
      <c r="BG2035" s="1098" t="str">
        <f ca="1">IF(LEFT(BD2035,2)="RF",OFFSET(Pinlist!$D$1,Chart!BC2035,0)&amp;"_"&amp;OFFSET(Pinlist!$G$1,Chart!BC2035,0),"")</f>
        <v/>
      </c>
      <c r="BH2035" s="1098"/>
    </row>
    <row r="2036" spans="53:60" x14ac:dyDescent="0.2">
      <c r="BA2036" s="518">
        <f t="shared" ca="1" si="106"/>
        <v>61</v>
      </c>
      <c r="BB2036" s="174">
        <f t="shared" ca="1" si="107"/>
        <v>1973</v>
      </c>
      <c r="BC2036" s="525" t="e">
        <f ca="1">MATCH(BD2036,OFFSET(Pinlist!$A$2,BC2035*(BA2036=BA2035),0,$BM$23,1),0)+BC2035*(BA2036=BA2035)</f>
        <v>#N/A</v>
      </c>
      <c r="BD2036" s="167">
        <f t="shared" ca="1" si="108"/>
        <v>0</v>
      </c>
      <c r="BE2036" s="191" t="e">
        <f ca="1">(OFFSET(Pinlist!$E$1,BC2036,0)-$BN$16)*$BN$19</f>
        <v>#N/A</v>
      </c>
      <c r="BF2036" s="192" t="e">
        <f ca="1">(OFFSET(Pinlist!$F$1,BC2036,0)-$BO$16)*$BO$19</f>
        <v>#N/A</v>
      </c>
      <c r="BG2036" s="1098" t="str">
        <f ca="1">IF(LEFT(BD2036,2)="RF",OFFSET(Pinlist!$D$1,Chart!BC2036,0)&amp;"_"&amp;OFFSET(Pinlist!$G$1,Chart!BC2036,0),"")</f>
        <v/>
      </c>
      <c r="BH2036" s="1098"/>
    </row>
    <row r="2037" spans="53:60" x14ac:dyDescent="0.2">
      <c r="BA2037" s="518">
        <f t="shared" ca="1" si="106"/>
        <v>61</v>
      </c>
      <c r="BB2037" s="174">
        <f t="shared" ca="1" si="107"/>
        <v>1974</v>
      </c>
      <c r="BC2037" s="525" t="e">
        <f ca="1">MATCH(BD2037,OFFSET(Pinlist!$A$2,BC2036*(BA2037=BA2036),0,$BM$23,1),0)+BC2036*(BA2037=BA2036)</f>
        <v>#N/A</v>
      </c>
      <c r="BD2037" s="167">
        <f t="shared" ca="1" si="108"/>
        <v>0</v>
      </c>
      <c r="BE2037" s="191" t="e">
        <f ca="1">(OFFSET(Pinlist!$E$1,BC2037,0)-$BN$16)*$BN$19</f>
        <v>#N/A</v>
      </c>
      <c r="BF2037" s="192" t="e">
        <f ca="1">(OFFSET(Pinlist!$F$1,BC2037,0)-$BO$16)*$BO$19</f>
        <v>#N/A</v>
      </c>
      <c r="BG2037" s="1098" t="str">
        <f ca="1">IF(LEFT(BD2037,2)="RF",OFFSET(Pinlist!$D$1,Chart!BC2037,0)&amp;"_"&amp;OFFSET(Pinlist!$G$1,Chart!BC2037,0),"")</f>
        <v/>
      </c>
      <c r="BH2037" s="1098"/>
    </row>
    <row r="2038" spans="53:60" x14ac:dyDescent="0.2">
      <c r="BA2038" s="518">
        <f t="shared" ca="1" si="106"/>
        <v>61</v>
      </c>
      <c r="BB2038" s="174">
        <f t="shared" ca="1" si="107"/>
        <v>1975</v>
      </c>
      <c r="BC2038" s="525" t="e">
        <f ca="1">MATCH(BD2038,OFFSET(Pinlist!$A$2,BC2037*(BA2038=BA2037),0,$BM$23,1),0)+BC2037*(BA2038=BA2037)</f>
        <v>#N/A</v>
      </c>
      <c r="BD2038" s="167">
        <f t="shared" ca="1" si="108"/>
        <v>0</v>
      </c>
      <c r="BE2038" s="191" t="e">
        <f ca="1">(OFFSET(Pinlist!$E$1,BC2038,0)-$BN$16)*$BN$19</f>
        <v>#N/A</v>
      </c>
      <c r="BF2038" s="192" t="e">
        <f ca="1">(OFFSET(Pinlist!$F$1,BC2038,0)-$BO$16)*$BO$19</f>
        <v>#N/A</v>
      </c>
      <c r="BG2038" s="1098" t="str">
        <f ca="1">IF(LEFT(BD2038,2)="RF",OFFSET(Pinlist!$D$1,Chart!BC2038,0)&amp;"_"&amp;OFFSET(Pinlist!$G$1,Chart!BC2038,0),"")</f>
        <v/>
      </c>
      <c r="BH2038" s="1098"/>
    </row>
    <row r="2039" spans="53:60" x14ac:dyDescent="0.2">
      <c r="BA2039" s="518">
        <f t="shared" ca="1" si="106"/>
        <v>61</v>
      </c>
      <c r="BB2039" s="174">
        <f t="shared" ca="1" si="107"/>
        <v>1976</v>
      </c>
      <c r="BC2039" s="525" t="e">
        <f ca="1">MATCH(BD2039,OFFSET(Pinlist!$A$2,BC2038*(BA2039=BA2038),0,$BM$23,1),0)+BC2038*(BA2039=BA2038)</f>
        <v>#N/A</v>
      </c>
      <c r="BD2039" s="167">
        <f t="shared" ca="1" si="108"/>
        <v>0</v>
      </c>
      <c r="BE2039" s="191" t="e">
        <f ca="1">(OFFSET(Pinlist!$E$1,BC2039,0)-$BN$16)*$BN$19</f>
        <v>#N/A</v>
      </c>
      <c r="BF2039" s="192" t="e">
        <f ca="1">(OFFSET(Pinlist!$F$1,BC2039,0)-$BO$16)*$BO$19</f>
        <v>#N/A</v>
      </c>
      <c r="BG2039" s="1098" t="str">
        <f ca="1">IF(LEFT(BD2039,2)="RF",OFFSET(Pinlist!$D$1,Chart!BC2039,0)&amp;"_"&amp;OFFSET(Pinlist!$G$1,Chart!BC2039,0),"")</f>
        <v/>
      </c>
      <c r="BH2039" s="1098"/>
    </row>
    <row r="2040" spans="53:60" x14ac:dyDescent="0.2">
      <c r="BA2040" s="518">
        <f t="shared" ca="1" si="106"/>
        <v>61</v>
      </c>
      <c r="BB2040" s="174">
        <f t="shared" ca="1" si="107"/>
        <v>1977</v>
      </c>
      <c r="BC2040" s="525" t="e">
        <f ca="1">MATCH(BD2040,OFFSET(Pinlist!$A$2,BC2039*(BA2040=BA2039),0,$BM$23,1),0)+BC2039*(BA2040=BA2039)</f>
        <v>#N/A</v>
      </c>
      <c r="BD2040" s="167">
        <f t="shared" ca="1" si="108"/>
        <v>0</v>
      </c>
      <c r="BE2040" s="191" t="e">
        <f ca="1">(OFFSET(Pinlist!$E$1,BC2040,0)-$BN$16)*$BN$19</f>
        <v>#N/A</v>
      </c>
      <c r="BF2040" s="192" t="e">
        <f ca="1">(OFFSET(Pinlist!$F$1,BC2040,0)-$BO$16)*$BO$19</f>
        <v>#N/A</v>
      </c>
      <c r="BG2040" s="1098" t="str">
        <f ca="1">IF(LEFT(BD2040,2)="RF",OFFSET(Pinlist!$D$1,Chart!BC2040,0)&amp;"_"&amp;OFFSET(Pinlist!$G$1,Chart!BC2040,0),"")</f>
        <v/>
      </c>
      <c r="BH2040" s="1098"/>
    </row>
    <row r="2041" spans="53:60" x14ac:dyDescent="0.2">
      <c r="BA2041" s="518">
        <f t="shared" ca="1" si="106"/>
        <v>61</v>
      </c>
      <c r="BB2041" s="174">
        <f t="shared" ca="1" si="107"/>
        <v>1978</v>
      </c>
      <c r="BC2041" s="525" t="e">
        <f ca="1">MATCH(BD2041,OFFSET(Pinlist!$A$2,BC2040*(BA2041=BA2040),0,$BM$23,1),0)+BC2040*(BA2041=BA2040)</f>
        <v>#N/A</v>
      </c>
      <c r="BD2041" s="167">
        <f t="shared" ca="1" si="108"/>
        <v>0</v>
      </c>
      <c r="BE2041" s="191" t="e">
        <f ca="1">(OFFSET(Pinlist!$E$1,BC2041,0)-$BN$16)*$BN$19</f>
        <v>#N/A</v>
      </c>
      <c r="BF2041" s="192" t="e">
        <f ca="1">(OFFSET(Pinlist!$F$1,BC2041,0)-$BO$16)*$BO$19</f>
        <v>#N/A</v>
      </c>
      <c r="BG2041" s="1098" t="str">
        <f ca="1">IF(LEFT(BD2041,2)="RF",OFFSET(Pinlist!$D$1,Chart!BC2041,0)&amp;"_"&amp;OFFSET(Pinlist!$G$1,Chart!BC2041,0),"")</f>
        <v/>
      </c>
      <c r="BH2041" s="1098"/>
    </row>
    <row r="2042" spans="53:60" x14ac:dyDescent="0.2">
      <c r="BA2042" s="518">
        <f t="shared" ca="1" si="106"/>
        <v>61</v>
      </c>
      <c r="BB2042" s="174">
        <f t="shared" ca="1" si="107"/>
        <v>1979</v>
      </c>
      <c r="BC2042" s="525" t="e">
        <f ca="1">MATCH(BD2042,OFFSET(Pinlist!$A$2,BC2041*(BA2042=BA2041),0,$BM$23,1),0)+BC2041*(BA2042=BA2041)</f>
        <v>#N/A</v>
      </c>
      <c r="BD2042" s="167">
        <f t="shared" ca="1" si="108"/>
        <v>0</v>
      </c>
      <c r="BE2042" s="191" t="e">
        <f ca="1">(OFFSET(Pinlist!$E$1,BC2042,0)-$BN$16)*$BN$19</f>
        <v>#N/A</v>
      </c>
      <c r="BF2042" s="192" t="e">
        <f ca="1">(OFFSET(Pinlist!$F$1,BC2042,0)-$BO$16)*$BO$19</f>
        <v>#N/A</v>
      </c>
      <c r="BG2042" s="1098" t="str">
        <f ca="1">IF(LEFT(BD2042,2)="RF",OFFSET(Pinlist!$D$1,Chart!BC2042,0)&amp;"_"&amp;OFFSET(Pinlist!$G$1,Chart!BC2042,0),"")</f>
        <v/>
      </c>
      <c r="BH2042" s="1098"/>
    </row>
    <row r="2043" spans="53:60" x14ac:dyDescent="0.2">
      <c r="BA2043" s="518">
        <f t="shared" ca="1" si="106"/>
        <v>61</v>
      </c>
      <c r="BB2043" s="174">
        <f t="shared" ca="1" si="107"/>
        <v>1980</v>
      </c>
      <c r="BC2043" s="525" t="e">
        <f ca="1">MATCH(BD2043,OFFSET(Pinlist!$A$2,BC2042*(BA2043=BA2042),0,$BM$23,1),0)+BC2042*(BA2043=BA2042)</f>
        <v>#N/A</v>
      </c>
      <c r="BD2043" s="167">
        <f t="shared" ca="1" si="108"/>
        <v>0</v>
      </c>
      <c r="BE2043" s="191" t="e">
        <f ca="1">(OFFSET(Pinlist!$E$1,BC2043,0)-$BN$16)*$BN$19</f>
        <v>#N/A</v>
      </c>
      <c r="BF2043" s="192" t="e">
        <f ca="1">(OFFSET(Pinlist!$F$1,BC2043,0)-$BO$16)*$BO$19</f>
        <v>#N/A</v>
      </c>
      <c r="BG2043" s="1098" t="str">
        <f ca="1">IF(LEFT(BD2043,2)="RF",OFFSET(Pinlist!$D$1,Chart!BC2043,0)&amp;"_"&amp;OFFSET(Pinlist!$G$1,Chart!BC2043,0),"")</f>
        <v/>
      </c>
      <c r="BH2043" s="1098"/>
    </row>
    <row r="2044" spans="53:60" x14ac:dyDescent="0.2">
      <c r="BA2044" s="518">
        <f t="shared" ca="1" si="106"/>
        <v>61</v>
      </c>
      <c r="BB2044" s="174">
        <f t="shared" ca="1" si="107"/>
        <v>1981</v>
      </c>
      <c r="BC2044" s="525" t="e">
        <f ca="1">MATCH(BD2044,OFFSET(Pinlist!$A$2,BC2043*(BA2044=BA2043),0,$BM$23,1),0)+BC2043*(BA2044=BA2043)</f>
        <v>#N/A</v>
      </c>
      <c r="BD2044" s="167">
        <f t="shared" ca="1" si="108"/>
        <v>0</v>
      </c>
      <c r="BE2044" s="191" t="e">
        <f ca="1">(OFFSET(Pinlist!$E$1,BC2044,0)-$BN$16)*$BN$19</f>
        <v>#N/A</v>
      </c>
      <c r="BF2044" s="192" t="e">
        <f ca="1">(OFFSET(Pinlist!$F$1,BC2044,0)-$BO$16)*$BO$19</f>
        <v>#N/A</v>
      </c>
      <c r="BG2044" s="1098" t="str">
        <f ca="1">IF(LEFT(BD2044,2)="RF",OFFSET(Pinlist!$D$1,Chart!BC2044,0)&amp;"_"&amp;OFFSET(Pinlist!$G$1,Chart!BC2044,0),"")</f>
        <v/>
      </c>
      <c r="BH2044" s="1098"/>
    </row>
    <row r="2045" spans="53:60" x14ac:dyDescent="0.2">
      <c r="BA2045" s="518">
        <f t="shared" ca="1" si="106"/>
        <v>61</v>
      </c>
      <c r="BB2045" s="174">
        <f t="shared" ca="1" si="107"/>
        <v>1982</v>
      </c>
      <c r="BC2045" s="525" t="e">
        <f ca="1">MATCH(BD2045,OFFSET(Pinlist!$A$2,BC2044*(BA2045=BA2044),0,$BM$23,1),0)+BC2044*(BA2045=BA2044)</f>
        <v>#N/A</v>
      </c>
      <c r="BD2045" s="167">
        <f t="shared" ca="1" si="108"/>
        <v>0</v>
      </c>
      <c r="BE2045" s="191" t="e">
        <f ca="1">(OFFSET(Pinlist!$E$1,BC2045,0)-$BN$16)*$BN$19</f>
        <v>#N/A</v>
      </c>
      <c r="BF2045" s="192" t="e">
        <f ca="1">(OFFSET(Pinlist!$F$1,BC2045,0)-$BO$16)*$BO$19</f>
        <v>#N/A</v>
      </c>
      <c r="BG2045" s="1098" t="str">
        <f ca="1">IF(LEFT(BD2045,2)="RF",OFFSET(Pinlist!$D$1,Chart!BC2045,0)&amp;"_"&amp;OFFSET(Pinlist!$G$1,Chart!BC2045,0),"")</f>
        <v/>
      </c>
      <c r="BH2045" s="1098"/>
    </row>
    <row r="2046" spans="53:60" x14ac:dyDescent="0.2">
      <c r="BA2046" s="518">
        <f t="shared" ca="1" si="106"/>
        <v>61</v>
      </c>
      <c r="BB2046" s="174">
        <f t="shared" ca="1" si="107"/>
        <v>1983</v>
      </c>
      <c r="BC2046" s="525" t="e">
        <f ca="1">MATCH(BD2046,OFFSET(Pinlist!$A$2,BC2045*(BA2046=BA2045),0,$BM$23,1),0)+BC2045*(BA2046=BA2045)</f>
        <v>#N/A</v>
      </c>
      <c r="BD2046" s="167">
        <f t="shared" ca="1" si="108"/>
        <v>0</v>
      </c>
      <c r="BE2046" s="191" t="e">
        <f ca="1">(OFFSET(Pinlist!$E$1,BC2046,0)-$BN$16)*$BN$19</f>
        <v>#N/A</v>
      </c>
      <c r="BF2046" s="192" t="e">
        <f ca="1">(OFFSET(Pinlist!$F$1,BC2046,0)-$BO$16)*$BO$19</f>
        <v>#N/A</v>
      </c>
      <c r="BG2046" s="1098" t="str">
        <f ca="1">IF(LEFT(BD2046,2)="RF",OFFSET(Pinlist!$D$1,Chart!BC2046,0)&amp;"_"&amp;OFFSET(Pinlist!$G$1,Chart!BC2046,0),"")</f>
        <v/>
      </c>
      <c r="BH2046" s="1098"/>
    </row>
    <row r="2047" spans="53:60" x14ac:dyDescent="0.2">
      <c r="BA2047" s="518">
        <f t="shared" ca="1" si="106"/>
        <v>61</v>
      </c>
      <c r="BB2047" s="174">
        <f t="shared" ca="1" si="107"/>
        <v>1984</v>
      </c>
      <c r="BC2047" s="525" t="e">
        <f ca="1">MATCH(BD2047,OFFSET(Pinlist!$A$2,BC2046*(BA2047=BA2046),0,$BM$23,1),0)+BC2046*(BA2047=BA2046)</f>
        <v>#N/A</v>
      </c>
      <c r="BD2047" s="167">
        <f t="shared" ca="1" si="108"/>
        <v>0</v>
      </c>
      <c r="BE2047" s="191" t="e">
        <f ca="1">(OFFSET(Pinlist!$E$1,BC2047,0)-$BN$16)*$BN$19</f>
        <v>#N/A</v>
      </c>
      <c r="BF2047" s="192" t="e">
        <f ca="1">(OFFSET(Pinlist!$F$1,BC2047,0)-$BO$16)*$BO$19</f>
        <v>#N/A</v>
      </c>
      <c r="BG2047" s="1098" t="str">
        <f ca="1">IF(LEFT(BD2047,2)="RF",OFFSET(Pinlist!$D$1,Chart!BC2047,0)&amp;"_"&amp;OFFSET(Pinlist!$G$1,Chart!BC2047,0),"")</f>
        <v/>
      </c>
      <c r="BH2047" s="1098"/>
    </row>
    <row r="2048" spans="53:60" x14ac:dyDescent="0.2">
      <c r="BA2048" s="518">
        <f t="shared" ca="1" si="106"/>
        <v>61</v>
      </c>
      <c r="BB2048" s="174">
        <f t="shared" ca="1" si="107"/>
        <v>1985</v>
      </c>
      <c r="BC2048" s="525" t="e">
        <f ca="1">MATCH(BD2048,OFFSET(Pinlist!$A$2,BC2047*(BA2048=BA2047),0,$BM$23,1),0)+BC2047*(BA2048=BA2047)</f>
        <v>#N/A</v>
      </c>
      <c r="BD2048" s="167">
        <f t="shared" ca="1" si="108"/>
        <v>0</v>
      </c>
      <c r="BE2048" s="191" t="e">
        <f ca="1">(OFFSET(Pinlist!$E$1,BC2048,0)-$BN$16)*$BN$19</f>
        <v>#N/A</v>
      </c>
      <c r="BF2048" s="192" t="e">
        <f ca="1">(OFFSET(Pinlist!$F$1,BC2048,0)-$BO$16)*$BO$19</f>
        <v>#N/A</v>
      </c>
      <c r="BG2048" s="1098" t="str">
        <f ca="1">IF(LEFT(BD2048,2)="RF",OFFSET(Pinlist!$D$1,Chart!BC2048,0)&amp;"_"&amp;OFFSET(Pinlist!$G$1,Chart!BC2048,0),"")</f>
        <v/>
      </c>
      <c r="BH2048" s="1098"/>
    </row>
    <row r="2049" spans="53:60" x14ac:dyDescent="0.2">
      <c r="BA2049" s="518">
        <f t="shared" ca="1" si="106"/>
        <v>61</v>
      </c>
      <c r="BB2049" s="174">
        <f t="shared" ca="1" si="107"/>
        <v>1986</v>
      </c>
      <c r="BC2049" s="525" t="e">
        <f ca="1">MATCH(BD2049,OFFSET(Pinlist!$A$2,BC2048*(BA2049=BA2048),0,$BM$23,1),0)+BC2048*(BA2049=BA2048)</f>
        <v>#N/A</v>
      </c>
      <c r="BD2049" s="167">
        <f t="shared" ca="1" si="108"/>
        <v>0</v>
      </c>
      <c r="BE2049" s="191" t="e">
        <f ca="1">(OFFSET(Pinlist!$E$1,BC2049,0)-$BN$16)*$BN$19</f>
        <v>#N/A</v>
      </c>
      <c r="BF2049" s="192" t="e">
        <f ca="1">(OFFSET(Pinlist!$F$1,BC2049,0)-$BO$16)*$BO$19</f>
        <v>#N/A</v>
      </c>
      <c r="BG2049" s="1098" t="str">
        <f ca="1">IF(LEFT(BD2049,2)="RF",OFFSET(Pinlist!$D$1,Chart!BC2049,0)&amp;"_"&amp;OFFSET(Pinlist!$G$1,Chart!BC2049,0),"")</f>
        <v/>
      </c>
      <c r="BH2049" s="1098"/>
    </row>
    <row r="2050" spans="53:60" x14ac:dyDescent="0.2">
      <c r="BA2050" s="518">
        <f t="shared" ca="1" si="106"/>
        <v>61</v>
      </c>
      <c r="BB2050" s="174">
        <f t="shared" ca="1" si="107"/>
        <v>1987</v>
      </c>
      <c r="BC2050" s="525" t="e">
        <f ca="1">MATCH(BD2050,OFFSET(Pinlist!$A$2,BC2049*(BA2050=BA2049),0,$BM$23,1),0)+BC2049*(BA2050=BA2049)</f>
        <v>#N/A</v>
      </c>
      <c r="BD2050" s="167">
        <f t="shared" ca="1" si="108"/>
        <v>0</v>
      </c>
      <c r="BE2050" s="191" t="e">
        <f ca="1">(OFFSET(Pinlist!$E$1,BC2050,0)-$BN$16)*$BN$19</f>
        <v>#N/A</v>
      </c>
      <c r="BF2050" s="192" t="e">
        <f ca="1">(OFFSET(Pinlist!$F$1,BC2050,0)-$BO$16)*$BO$19</f>
        <v>#N/A</v>
      </c>
      <c r="BG2050" s="1098" t="str">
        <f ca="1">IF(LEFT(BD2050,2)="RF",OFFSET(Pinlist!$D$1,Chart!BC2050,0)&amp;"_"&amp;OFFSET(Pinlist!$G$1,Chart!BC2050,0),"")</f>
        <v/>
      </c>
      <c r="BH2050" s="1098"/>
    </row>
    <row r="2051" spans="53:60" x14ac:dyDescent="0.2">
      <c r="BA2051" s="518">
        <f t="shared" ca="1" si="106"/>
        <v>61</v>
      </c>
      <c r="BB2051" s="174">
        <f t="shared" ca="1" si="107"/>
        <v>1988</v>
      </c>
      <c r="BC2051" s="525" t="e">
        <f ca="1">MATCH(BD2051,OFFSET(Pinlist!$A$2,BC2050*(BA2051=BA2050),0,$BM$23,1),0)+BC2050*(BA2051=BA2050)</f>
        <v>#N/A</v>
      </c>
      <c r="BD2051" s="167">
        <f t="shared" ca="1" si="108"/>
        <v>0</v>
      </c>
      <c r="BE2051" s="191" t="e">
        <f ca="1">(OFFSET(Pinlist!$E$1,BC2051,0)-$BN$16)*$BN$19</f>
        <v>#N/A</v>
      </c>
      <c r="BF2051" s="192" t="e">
        <f ca="1">(OFFSET(Pinlist!$F$1,BC2051,0)-$BO$16)*$BO$19</f>
        <v>#N/A</v>
      </c>
      <c r="BG2051" s="1098" t="str">
        <f ca="1">IF(LEFT(BD2051,2)="RF",OFFSET(Pinlist!$D$1,Chart!BC2051,0)&amp;"_"&amp;OFFSET(Pinlist!$G$1,Chart!BC2051,0),"")</f>
        <v/>
      </c>
      <c r="BH2051" s="1098"/>
    </row>
    <row r="2052" spans="53:60" x14ac:dyDescent="0.2">
      <c r="BA2052" s="518">
        <f t="shared" ref="BA2052:BA2115" ca="1" si="109">BA2051+(BB2051=OFFSET($BZ$3,BA2051,0))</f>
        <v>61</v>
      </c>
      <c r="BB2052" s="174">
        <f t="shared" ref="BB2052:BB2115" ca="1" si="110">IF(BA2052=BA2051,BB2051+1,1)</f>
        <v>1989</v>
      </c>
      <c r="BC2052" s="525" t="e">
        <f ca="1">MATCH(BD2052,OFFSET(Pinlist!$A$2,BC2051*(BA2052=BA2051),0,$BM$23,1),0)+BC2051*(BA2052=BA2051)</f>
        <v>#N/A</v>
      </c>
      <c r="BD2052" s="167">
        <f t="shared" ref="BD2052:BD2115" ca="1" si="111">OFFSET($BY$3,BA2052,0)</f>
        <v>0</v>
      </c>
      <c r="BE2052" s="191" t="e">
        <f ca="1">(OFFSET(Pinlist!$E$1,BC2052,0)-$BN$16)*$BN$19</f>
        <v>#N/A</v>
      </c>
      <c r="BF2052" s="192" t="e">
        <f ca="1">(OFFSET(Pinlist!$F$1,BC2052,0)-$BO$16)*$BO$19</f>
        <v>#N/A</v>
      </c>
      <c r="BG2052" s="1098" t="str">
        <f ca="1">IF(LEFT(BD2052,2)="RF",OFFSET(Pinlist!$D$1,Chart!BC2052,0)&amp;"_"&amp;OFFSET(Pinlist!$G$1,Chart!BC2052,0),"")</f>
        <v/>
      </c>
      <c r="BH2052" s="1098"/>
    </row>
    <row r="2053" spans="53:60" x14ac:dyDescent="0.2">
      <c r="BA2053" s="518">
        <f t="shared" ca="1" si="109"/>
        <v>61</v>
      </c>
      <c r="BB2053" s="174">
        <f t="shared" ca="1" si="110"/>
        <v>1990</v>
      </c>
      <c r="BC2053" s="525" t="e">
        <f ca="1">MATCH(BD2053,OFFSET(Pinlist!$A$2,BC2052*(BA2053=BA2052),0,$BM$23,1),0)+BC2052*(BA2053=BA2052)</f>
        <v>#N/A</v>
      </c>
      <c r="BD2053" s="167">
        <f t="shared" ca="1" si="111"/>
        <v>0</v>
      </c>
      <c r="BE2053" s="191" t="e">
        <f ca="1">(OFFSET(Pinlist!$E$1,BC2053,0)-$BN$16)*$BN$19</f>
        <v>#N/A</v>
      </c>
      <c r="BF2053" s="192" t="e">
        <f ca="1">(OFFSET(Pinlist!$F$1,BC2053,0)-$BO$16)*$BO$19</f>
        <v>#N/A</v>
      </c>
      <c r="BG2053" s="1098" t="str">
        <f ca="1">IF(LEFT(BD2053,2)="RF",OFFSET(Pinlist!$D$1,Chart!BC2053,0)&amp;"_"&amp;OFFSET(Pinlist!$G$1,Chart!BC2053,0),"")</f>
        <v/>
      </c>
      <c r="BH2053" s="1098"/>
    </row>
    <row r="2054" spans="53:60" x14ac:dyDescent="0.2">
      <c r="BA2054" s="518">
        <f t="shared" ca="1" si="109"/>
        <v>61</v>
      </c>
      <c r="BB2054" s="174">
        <f t="shared" ca="1" si="110"/>
        <v>1991</v>
      </c>
      <c r="BC2054" s="525" t="e">
        <f ca="1">MATCH(BD2054,OFFSET(Pinlist!$A$2,BC2053*(BA2054=BA2053),0,$BM$23,1),0)+BC2053*(BA2054=BA2053)</f>
        <v>#N/A</v>
      </c>
      <c r="BD2054" s="167">
        <f t="shared" ca="1" si="111"/>
        <v>0</v>
      </c>
      <c r="BE2054" s="191" t="e">
        <f ca="1">(OFFSET(Pinlist!$E$1,BC2054,0)-$BN$16)*$BN$19</f>
        <v>#N/A</v>
      </c>
      <c r="BF2054" s="192" t="e">
        <f ca="1">(OFFSET(Pinlist!$F$1,BC2054,0)-$BO$16)*$BO$19</f>
        <v>#N/A</v>
      </c>
      <c r="BG2054" s="1098" t="str">
        <f ca="1">IF(LEFT(BD2054,2)="RF",OFFSET(Pinlist!$D$1,Chart!BC2054,0)&amp;"_"&amp;OFFSET(Pinlist!$G$1,Chart!BC2054,0),"")</f>
        <v/>
      </c>
      <c r="BH2054" s="1098"/>
    </row>
    <row r="2055" spans="53:60" x14ac:dyDescent="0.2">
      <c r="BA2055" s="518">
        <f t="shared" ca="1" si="109"/>
        <v>61</v>
      </c>
      <c r="BB2055" s="174">
        <f t="shared" ca="1" si="110"/>
        <v>1992</v>
      </c>
      <c r="BC2055" s="525" t="e">
        <f ca="1">MATCH(BD2055,OFFSET(Pinlist!$A$2,BC2054*(BA2055=BA2054),0,$BM$23,1),0)+BC2054*(BA2055=BA2054)</f>
        <v>#N/A</v>
      </c>
      <c r="BD2055" s="167">
        <f t="shared" ca="1" si="111"/>
        <v>0</v>
      </c>
      <c r="BE2055" s="191" t="e">
        <f ca="1">(OFFSET(Pinlist!$E$1,BC2055,0)-$BN$16)*$BN$19</f>
        <v>#N/A</v>
      </c>
      <c r="BF2055" s="192" t="e">
        <f ca="1">(OFFSET(Pinlist!$F$1,BC2055,0)-$BO$16)*$BO$19</f>
        <v>#N/A</v>
      </c>
      <c r="BG2055" s="1098" t="str">
        <f ca="1">IF(LEFT(BD2055,2)="RF",OFFSET(Pinlist!$D$1,Chart!BC2055,0)&amp;"_"&amp;OFFSET(Pinlist!$G$1,Chart!BC2055,0),"")</f>
        <v/>
      </c>
      <c r="BH2055" s="1098"/>
    </row>
    <row r="2056" spans="53:60" x14ac:dyDescent="0.2">
      <c r="BA2056" s="518">
        <f t="shared" ca="1" si="109"/>
        <v>61</v>
      </c>
      <c r="BB2056" s="174">
        <f t="shared" ca="1" si="110"/>
        <v>1993</v>
      </c>
      <c r="BC2056" s="525" t="e">
        <f ca="1">MATCH(BD2056,OFFSET(Pinlist!$A$2,BC2055*(BA2056=BA2055),0,$BM$23,1),0)+BC2055*(BA2056=BA2055)</f>
        <v>#N/A</v>
      </c>
      <c r="BD2056" s="167">
        <f t="shared" ca="1" si="111"/>
        <v>0</v>
      </c>
      <c r="BE2056" s="191" t="e">
        <f ca="1">(OFFSET(Pinlist!$E$1,BC2056,0)-$BN$16)*$BN$19</f>
        <v>#N/A</v>
      </c>
      <c r="BF2056" s="192" t="e">
        <f ca="1">(OFFSET(Pinlist!$F$1,BC2056,0)-$BO$16)*$BO$19</f>
        <v>#N/A</v>
      </c>
      <c r="BG2056" s="1098" t="str">
        <f ca="1">IF(LEFT(BD2056,2)="RF",OFFSET(Pinlist!$D$1,Chart!BC2056,0)&amp;"_"&amp;OFFSET(Pinlist!$G$1,Chart!BC2056,0),"")</f>
        <v/>
      </c>
      <c r="BH2056" s="1098"/>
    </row>
    <row r="2057" spans="53:60" x14ac:dyDescent="0.2">
      <c r="BA2057" s="518">
        <f t="shared" ca="1" si="109"/>
        <v>61</v>
      </c>
      <c r="BB2057" s="174">
        <f t="shared" ca="1" si="110"/>
        <v>1994</v>
      </c>
      <c r="BC2057" s="525" t="e">
        <f ca="1">MATCH(BD2057,OFFSET(Pinlist!$A$2,BC2056*(BA2057=BA2056),0,$BM$23,1),0)+BC2056*(BA2057=BA2056)</f>
        <v>#N/A</v>
      </c>
      <c r="BD2057" s="167">
        <f t="shared" ca="1" si="111"/>
        <v>0</v>
      </c>
      <c r="BE2057" s="191" t="e">
        <f ca="1">(OFFSET(Pinlist!$E$1,BC2057,0)-$BN$16)*$BN$19</f>
        <v>#N/A</v>
      </c>
      <c r="BF2057" s="192" t="e">
        <f ca="1">(OFFSET(Pinlist!$F$1,BC2057,0)-$BO$16)*$BO$19</f>
        <v>#N/A</v>
      </c>
      <c r="BG2057" s="1098" t="str">
        <f ca="1">IF(LEFT(BD2057,2)="RF",OFFSET(Pinlist!$D$1,Chart!BC2057,0)&amp;"_"&amp;OFFSET(Pinlist!$G$1,Chart!BC2057,0),"")</f>
        <v/>
      </c>
      <c r="BH2057" s="1098"/>
    </row>
    <row r="2058" spans="53:60" x14ac:dyDescent="0.2">
      <c r="BA2058" s="518">
        <f t="shared" ca="1" si="109"/>
        <v>61</v>
      </c>
      <c r="BB2058" s="174">
        <f t="shared" ca="1" si="110"/>
        <v>1995</v>
      </c>
      <c r="BC2058" s="525" t="e">
        <f ca="1">MATCH(BD2058,OFFSET(Pinlist!$A$2,BC2057*(BA2058=BA2057),0,$BM$23,1),0)+BC2057*(BA2058=BA2057)</f>
        <v>#N/A</v>
      </c>
      <c r="BD2058" s="167">
        <f t="shared" ca="1" si="111"/>
        <v>0</v>
      </c>
      <c r="BE2058" s="191" t="e">
        <f ca="1">(OFFSET(Pinlist!$E$1,BC2058,0)-$BN$16)*$BN$19</f>
        <v>#N/A</v>
      </c>
      <c r="BF2058" s="192" t="e">
        <f ca="1">(OFFSET(Pinlist!$F$1,BC2058,0)-$BO$16)*$BO$19</f>
        <v>#N/A</v>
      </c>
      <c r="BG2058" s="1098" t="str">
        <f ca="1">IF(LEFT(BD2058,2)="RF",OFFSET(Pinlist!$D$1,Chart!BC2058,0)&amp;"_"&amp;OFFSET(Pinlist!$G$1,Chart!BC2058,0),"")</f>
        <v/>
      </c>
      <c r="BH2058" s="1098"/>
    </row>
    <row r="2059" spans="53:60" x14ac:dyDescent="0.2">
      <c r="BA2059" s="518">
        <f t="shared" ca="1" si="109"/>
        <v>61</v>
      </c>
      <c r="BB2059" s="174">
        <f t="shared" ca="1" si="110"/>
        <v>1996</v>
      </c>
      <c r="BC2059" s="525" t="e">
        <f ca="1">MATCH(BD2059,OFFSET(Pinlist!$A$2,BC2058*(BA2059=BA2058),0,$BM$23,1),0)+BC2058*(BA2059=BA2058)</f>
        <v>#N/A</v>
      </c>
      <c r="BD2059" s="167">
        <f t="shared" ca="1" si="111"/>
        <v>0</v>
      </c>
      <c r="BE2059" s="191" t="e">
        <f ca="1">(OFFSET(Pinlist!$E$1,BC2059,0)-$BN$16)*$BN$19</f>
        <v>#N/A</v>
      </c>
      <c r="BF2059" s="192" t="e">
        <f ca="1">(OFFSET(Pinlist!$F$1,BC2059,0)-$BO$16)*$BO$19</f>
        <v>#N/A</v>
      </c>
      <c r="BG2059" s="1098" t="str">
        <f ca="1">IF(LEFT(BD2059,2)="RF",OFFSET(Pinlist!$D$1,Chart!BC2059,0)&amp;"_"&amp;OFFSET(Pinlist!$G$1,Chart!BC2059,0),"")</f>
        <v/>
      </c>
      <c r="BH2059" s="1098"/>
    </row>
    <row r="2060" spans="53:60" x14ac:dyDescent="0.2">
      <c r="BA2060" s="518">
        <f t="shared" ca="1" si="109"/>
        <v>61</v>
      </c>
      <c r="BB2060" s="174">
        <f t="shared" ca="1" si="110"/>
        <v>1997</v>
      </c>
      <c r="BC2060" s="525" t="e">
        <f ca="1">MATCH(BD2060,OFFSET(Pinlist!$A$2,BC2059*(BA2060=BA2059),0,$BM$23,1),0)+BC2059*(BA2060=BA2059)</f>
        <v>#N/A</v>
      </c>
      <c r="BD2060" s="167">
        <f t="shared" ca="1" si="111"/>
        <v>0</v>
      </c>
      <c r="BE2060" s="191" t="e">
        <f ca="1">(OFFSET(Pinlist!$E$1,BC2060,0)-$BN$16)*$BN$19</f>
        <v>#N/A</v>
      </c>
      <c r="BF2060" s="192" t="e">
        <f ca="1">(OFFSET(Pinlist!$F$1,BC2060,0)-$BO$16)*$BO$19</f>
        <v>#N/A</v>
      </c>
      <c r="BG2060" s="1098" t="str">
        <f ca="1">IF(LEFT(BD2060,2)="RF",OFFSET(Pinlist!$D$1,Chart!BC2060,0)&amp;"_"&amp;OFFSET(Pinlist!$G$1,Chart!BC2060,0),"")</f>
        <v/>
      </c>
      <c r="BH2060" s="1098"/>
    </row>
    <row r="2061" spans="53:60" x14ac:dyDescent="0.2">
      <c r="BA2061" s="518">
        <f t="shared" ca="1" si="109"/>
        <v>61</v>
      </c>
      <c r="BB2061" s="174">
        <f t="shared" ca="1" si="110"/>
        <v>1998</v>
      </c>
      <c r="BC2061" s="525" t="e">
        <f ca="1">MATCH(BD2061,OFFSET(Pinlist!$A$2,BC2060*(BA2061=BA2060),0,$BM$23,1),0)+BC2060*(BA2061=BA2060)</f>
        <v>#N/A</v>
      </c>
      <c r="BD2061" s="167">
        <f t="shared" ca="1" si="111"/>
        <v>0</v>
      </c>
      <c r="BE2061" s="191" t="e">
        <f ca="1">(OFFSET(Pinlist!$E$1,BC2061,0)-$BN$16)*$BN$19</f>
        <v>#N/A</v>
      </c>
      <c r="BF2061" s="192" t="e">
        <f ca="1">(OFFSET(Pinlist!$F$1,BC2061,0)-$BO$16)*$BO$19</f>
        <v>#N/A</v>
      </c>
      <c r="BG2061" s="1098" t="str">
        <f ca="1">IF(LEFT(BD2061,2)="RF",OFFSET(Pinlist!$D$1,Chart!BC2061,0)&amp;"_"&amp;OFFSET(Pinlist!$G$1,Chart!BC2061,0),"")</f>
        <v/>
      </c>
      <c r="BH2061" s="1098"/>
    </row>
    <row r="2062" spans="53:60" x14ac:dyDescent="0.2">
      <c r="BA2062" s="518">
        <f t="shared" ca="1" si="109"/>
        <v>61</v>
      </c>
      <c r="BB2062" s="174">
        <f t="shared" ca="1" si="110"/>
        <v>1999</v>
      </c>
      <c r="BC2062" s="525" t="e">
        <f ca="1">MATCH(BD2062,OFFSET(Pinlist!$A$2,BC2061*(BA2062=BA2061),0,$BM$23,1),0)+BC2061*(BA2062=BA2061)</f>
        <v>#N/A</v>
      </c>
      <c r="BD2062" s="167">
        <f t="shared" ca="1" si="111"/>
        <v>0</v>
      </c>
      <c r="BE2062" s="191" t="e">
        <f ca="1">(OFFSET(Pinlist!$E$1,BC2062,0)-$BN$16)*$BN$19</f>
        <v>#N/A</v>
      </c>
      <c r="BF2062" s="192" t="e">
        <f ca="1">(OFFSET(Pinlist!$F$1,BC2062,0)-$BO$16)*$BO$19</f>
        <v>#N/A</v>
      </c>
      <c r="BG2062" s="1098" t="str">
        <f ca="1">IF(LEFT(BD2062,2)="RF",OFFSET(Pinlist!$D$1,Chart!BC2062,0)&amp;"_"&amp;OFFSET(Pinlist!$G$1,Chart!BC2062,0),"")</f>
        <v/>
      </c>
      <c r="BH2062" s="1098"/>
    </row>
    <row r="2063" spans="53:60" x14ac:dyDescent="0.2">
      <c r="BA2063" s="518">
        <f t="shared" ca="1" si="109"/>
        <v>61</v>
      </c>
      <c r="BB2063" s="174">
        <f t="shared" ca="1" si="110"/>
        <v>2000</v>
      </c>
      <c r="BC2063" s="525" t="e">
        <f ca="1">MATCH(BD2063,OFFSET(Pinlist!$A$2,BC2062*(BA2063=BA2062),0,$BM$23,1),0)+BC2062*(BA2063=BA2062)</f>
        <v>#N/A</v>
      </c>
      <c r="BD2063" s="167">
        <f t="shared" ca="1" si="111"/>
        <v>0</v>
      </c>
      <c r="BE2063" s="191" t="e">
        <f ca="1">(OFFSET(Pinlist!$E$1,BC2063,0)-$BN$16)*$BN$19</f>
        <v>#N/A</v>
      </c>
      <c r="BF2063" s="192" t="e">
        <f ca="1">(OFFSET(Pinlist!$F$1,BC2063,0)-$BO$16)*$BO$19</f>
        <v>#N/A</v>
      </c>
      <c r="BG2063" s="1098" t="str">
        <f ca="1">IF(LEFT(BD2063,2)="RF",OFFSET(Pinlist!$D$1,Chart!BC2063,0)&amp;"_"&amp;OFFSET(Pinlist!$G$1,Chart!BC2063,0),"")</f>
        <v/>
      </c>
      <c r="BH2063" s="1098"/>
    </row>
    <row r="2064" spans="53:60" x14ac:dyDescent="0.2">
      <c r="BA2064" s="518">
        <f t="shared" ca="1" si="109"/>
        <v>61</v>
      </c>
      <c r="BB2064" s="174">
        <f t="shared" ca="1" si="110"/>
        <v>2001</v>
      </c>
      <c r="BC2064" s="525" t="e">
        <f ca="1">MATCH(BD2064,OFFSET(Pinlist!$A$2,BC2063*(BA2064=BA2063),0,$BM$23,1),0)+BC2063*(BA2064=BA2063)</f>
        <v>#N/A</v>
      </c>
      <c r="BD2064" s="167">
        <f t="shared" ca="1" si="111"/>
        <v>0</v>
      </c>
      <c r="BE2064" s="191" t="e">
        <f ca="1">(OFFSET(Pinlist!$E$1,BC2064,0)-$BN$16)*$BN$19</f>
        <v>#N/A</v>
      </c>
      <c r="BF2064" s="192" t="e">
        <f ca="1">(OFFSET(Pinlist!$F$1,BC2064,0)-$BO$16)*$BO$19</f>
        <v>#N/A</v>
      </c>
      <c r="BG2064" s="1098" t="str">
        <f ca="1">IF(LEFT(BD2064,2)="RF",OFFSET(Pinlist!$D$1,Chart!BC2064,0)&amp;"_"&amp;OFFSET(Pinlist!$G$1,Chart!BC2064,0),"")</f>
        <v/>
      </c>
      <c r="BH2064" s="1098"/>
    </row>
    <row r="2065" spans="53:60" x14ac:dyDescent="0.2">
      <c r="BA2065" s="518">
        <f t="shared" ca="1" si="109"/>
        <v>61</v>
      </c>
      <c r="BB2065" s="174">
        <f t="shared" ca="1" si="110"/>
        <v>2002</v>
      </c>
      <c r="BC2065" s="525" t="e">
        <f ca="1">MATCH(BD2065,OFFSET(Pinlist!$A$2,BC2064*(BA2065=BA2064),0,$BM$23,1),0)+BC2064*(BA2065=BA2064)</f>
        <v>#N/A</v>
      </c>
      <c r="BD2065" s="167">
        <f t="shared" ca="1" si="111"/>
        <v>0</v>
      </c>
      <c r="BE2065" s="191" t="e">
        <f ca="1">(OFFSET(Pinlist!$E$1,BC2065,0)-$BN$16)*$BN$19</f>
        <v>#N/A</v>
      </c>
      <c r="BF2065" s="192" t="e">
        <f ca="1">(OFFSET(Pinlist!$F$1,BC2065,0)-$BO$16)*$BO$19</f>
        <v>#N/A</v>
      </c>
      <c r="BG2065" s="1098" t="str">
        <f ca="1">IF(LEFT(BD2065,2)="RF",OFFSET(Pinlist!$D$1,Chart!BC2065,0)&amp;"_"&amp;OFFSET(Pinlist!$G$1,Chart!BC2065,0),"")</f>
        <v/>
      </c>
      <c r="BH2065" s="1098"/>
    </row>
    <row r="2066" spans="53:60" x14ac:dyDescent="0.2">
      <c r="BA2066" s="518">
        <f t="shared" ca="1" si="109"/>
        <v>61</v>
      </c>
      <c r="BB2066" s="174">
        <f t="shared" ca="1" si="110"/>
        <v>2003</v>
      </c>
      <c r="BC2066" s="525" t="e">
        <f ca="1">MATCH(BD2066,OFFSET(Pinlist!$A$2,BC2065*(BA2066=BA2065),0,$BM$23,1),0)+BC2065*(BA2066=BA2065)</f>
        <v>#N/A</v>
      </c>
      <c r="BD2066" s="167">
        <f t="shared" ca="1" si="111"/>
        <v>0</v>
      </c>
      <c r="BE2066" s="191" t="e">
        <f ca="1">(OFFSET(Pinlist!$E$1,BC2066,0)-$BN$16)*$BN$19</f>
        <v>#N/A</v>
      </c>
      <c r="BF2066" s="192" t="e">
        <f ca="1">(OFFSET(Pinlist!$F$1,BC2066,0)-$BO$16)*$BO$19</f>
        <v>#N/A</v>
      </c>
      <c r="BG2066" s="1098" t="str">
        <f ca="1">IF(LEFT(BD2066,2)="RF",OFFSET(Pinlist!$D$1,Chart!BC2066,0)&amp;"_"&amp;OFFSET(Pinlist!$G$1,Chart!BC2066,0),"")</f>
        <v/>
      </c>
      <c r="BH2066" s="1098"/>
    </row>
    <row r="2067" spans="53:60" x14ac:dyDescent="0.2">
      <c r="BA2067" s="518">
        <f t="shared" ca="1" si="109"/>
        <v>61</v>
      </c>
      <c r="BB2067" s="174">
        <f t="shared" ca="1" si="110"/>
        <v>2004</v>
      </c>
      <c r="BC2067" s="525" t="e">
        <f ca="1">MATCH(BD2067,OFFSET(Pinlist!$A$2,BC2066*(BA2067=BA2066),0,$BM$23,1),0)+BC2066*(BA2067=BA2066)</f>
        <v>#N/A</v>
      </c>
      <c r="BD2067" s="167">
        <f t="shared" ca="1" si="111"/>
        <v>0</v>
      </c>
      <c r="BE2067" s="191" t="e">
        <f ca="1">(OFFSET(Pinlist!$E$1,BC2067,0)-$BN$16)*$BN$19</f>
        <v>#N/A</v>
      </c>
      <c r="BF2067" s="192" t="e">
        <f ca="1">(OFFSET(Pinlist!$F$1,BC2067,0)-$BO$16)*$BO$19</f>
        <v>#N/A</v>
      </c>
      <c r="BG2067" s="1098" t="str">
        <f ca="1">IF(LEFT(BD2067,2)="RF",OFFSET(Pinlist!$D$1,Chart!BC2067,0)&amp;"_"&amp;OFFSET(Pinlist!$G$1,Chart!BC2067,0),"")</f>
        <v/>
      </c>
      <c r="BH2067" s="1098"/>
    </row>
    <row r="2068" spans="53:60" x14ac:dyDescent="0.2">
      <c r="BA2068" s="518">
        <f t="shared" ca="1" si="109"/>
        <v>61</v>
      </c>
      <c r="BB2068" s="174">
        <f t="shared" ca="1" si="110"/>
        <v>2005</v>
      </c>
      <c r="BC2068" s="525" t="e">
        <f ca="1">MATCH(BD2068,OFFSET(Pinlist!$A$2,BC2067*(BA2068=BA2067),0,$BM$23,1),0)+BC2067*(BA2068=BA2067)</f>
        <v>#N/A</v>
      </c>
      <c r="BD2068" s="167">
        <f t="shared" ca="1" si="111"/>
        <v>0</v>
      </c>
      <c r="BE2068" s="191" t="e">
        <f ca="1">(OFFSET(Pinlist!$E$1,BC2068,0)-$BN$16)*$BN$19</f>
        <v>#N/A</v>
      </c>
      <c r="BF2068" s="192" t="e">
        <f ca="1">(OFFSET(Pinlist!$F$1,BC2068,0)-$BO$16)*$BO$19</f>
        <v>#N/A</v>
      </c>
      <c r="BG2068" s="1098" t="str">
        <f ca="1">IF(LEFT(BD2068,2)="RF",OFFSET(Pinlist!$D$1,Chart!BC2068,0)&amp;"_"&amp;OFFSET(Pinlist!$G$1,Chart!BC2068,0),"")</f>
        <v/>
      </c>
      <c r="BH2068" s="1098"/>
    </row>
    <row r="2069" spans="53:60" x14ac:dyDescent="0.2">
      <c r="BA2069" s="518">
        <f t="shared" ca="1" si="109"/>
        <v>61</v>
      </c>
      <c r="BB2069" s="174">
        <f t="shared" ca="1" si="110"/>
        <v>2006</v>
      </c>
      <c r="BC2069" s="525" t="e">
        <f ca="1">MATCH(BD2069,OFFSET(Pinlist!$A$2,BC2068*(BA2069=BA2068),0,$BM$23,1),0)+BC2068*(BA2069=BA2068)</f>
        <v>#N/A</v>
      </c>
      <c r="BD2069" s="167">
        <f t="shared" ca="1" si="111"/>
        <v>0</v>
      </c>
      <c r="BE2069" s="191" t="e">
        <f ca="1">(OFFSET(Pinlist!$E$1,BC2069,0)-$BN$16)*$BN$19</f>
        <v>#N/A</v>
      </c>
      <c r="BF2069" s="192" t="e">
        <f ca="1">(OFFSET(Pinlist!$F$1,BC2069,0)-$BO$16)*$BO$19</f>
        <v>#N/A</v>
      </c>
      <c r="BG2069" s="1098" t="str">
        <f ca="1">IF(LEFT(BD2069,2)="RF",OFFSET(Pinlist!$D$1,Chart!BC2069,0)&amp;"_"&amp;OFFSET(Pinlist!$G$1,Chart!BC2069,0),"")</f>
        <v/>
      </c>
      <c r="BH2069" s="1098"/>
    </row>
    <row r="2070" spans="53:60" x14ac:dyDescent="0.2">
      <c r="BA2070" s="518">
        <f t="shared" ca="1" si="109"/>
        <v>61</v>
      </c>
      <c r="BB2070" s="174">
        <f t="shared" ca="1" si="110"/>
        <v>2007</v>
      </c>
      <c r="BC2070" s="525" t="e">
        <f ca="1">MATCH(BD2070,OFFSET(Pinlist!$A$2,BC2069*(BA2070=BA2069),0,$BM$23,1),0)+BC2069*(BA2070=BA2069)</f>
        <v>#N/A</v>
      </c>
      <c r="BD2070" s="167">
        <f t="shared" ca="1" si="111"/>
        <v>0</v>
      </c>
      <c r="BE2070" s="191" t="e">
        <f ca="1">(OFFSET(Pinlist!$E$1,BC2070,0)-$BN$16)*$BN$19</f>
        <v>#N/A</v>
      </c>
      <c r="BF2070" s="192" t="e">
        <f ca="1">(OFFSET(Pinlist!$F$1,BC2070,0)-$BO$16)*$BO$19</f>
        <v>#N/A</v>
      </c>
      <c r="BG2070" s="1098" t="str">
        <f ca="1">IF(LEFT(BD2070,2)="RF",OFFSET(Pinlist!$D$1,Chart!BC2070,0)&amp;"_"&amp;OFFSET(Pinlist!$G$1,Chart!BC2070,0),"")</f>
        <v/>
      </c>
      <c r="BH2070" s="1098"/>
    </row>
    <row r="2071" spans="53:60" x14ac:dyDescent="0.2">
      <c r="BA2071" s="518">
        <f t="shared" ca="1" si="109"/>
        <v>61</v>
      </c>
      <c r="BB2071" s="174">
        <f t="shared" ca="1" si="110"/>
        <v>2008</v>
      </c>
      <c r="BC2071" s="525" t="e">
        <f ca="1">MATCH(BD2071,OFFSET(Pinlist!$A$2,BC2070*(BA2071=BA2070),0,$BM$23,1),0)+BC2070*(BA2071=BA2070)</f>
        <v>#N/A</v>
      </c>
      <c r="BD2071" s="167">
        <f t="shared" ca="1" si="111"/>
        <v>0</v>
      </c>
      <c r="BE2071" s="191" t="e">
        <f ca="1">(OFFSET(Pinlist!$E$1,BC2071,0)-$BN$16)*$BN$19</f>
        <v>#N/A</v>
      </c>
      <c r="BF2071" s="192" t="e">
        <f ca="1">(OFFSET(Pinlist!$F$1,BC2071,0)-$BO$16)*$BO$19</f>
        <v>#N/A</v>
      </c>
      <c r="BG2071" s="1098" t="str">
        <f ca="1">IF(LEFT(BD2071,2)="RF",OFFSET(Pinlist!$D$1,Chart!BC2071,0)&amp;"_"&amp;OFFSET(Pinlist!$G$1,Chart!BC2071,0),"")</f>
        <v/>
      </c>
      <c r="BH2071" s="1098"/>
    </row>
    <row r="2072" spans="53:60" x14ac:dyDescent="0.2">
      <c r="BA2072" s="518">
        <f t="shared" ca="1" si="109"/>
        <v>61</v>
      </c>
      <c r="BB2072" s="174">
        <f t="shared" ca="1" si="110"/>
        <v>2009</v>
      </c>
      <c r="BC2072" s="525" t="e">
        <f ca="1">MATCH(BD2072,OFFSET(Pinlist!$A$2,BC2071*(BA2072=BA2071),0,$BM$23,1),0)+BC2071*(BA2072=BA2071)</f>
        <v>#N/A</v>
      </c>
      <c r="BD2072" s="167">
        <f t="shared" ca="1" si="111"/>
        <v>0</v>
      </c>
      <c r="BE2072" s="191" t="e">
        <f ca="1">(OFFSET(Pinlist!$E$1,BC2072,0)-$BN$16)*$BN$19</f>
        <v>#N/A</v>
      </c>
      <c r="BF2072" s="192" t="e">
        <f ca="1">(OFFSET(Pinlist!$F$1,BC2072,0)-$BO$16)*$BO$19</f>
        <v>#N/A</v>
      </c>
      <c r="BG2072" s="1098" t="str">
        <f ca="1">IF(LEFT(BD2072,2)="RF",OFFSET(Pinlist!$D$1,Chart!BC2072,0)&amp;"_"&amp;OFFSET(Pinlist!$G$1,Chart!BC2072,0),"")</f>
        <v/>
      </c>
      <c r="BH2072" s="1098"/>
    </row>
    <row r="2073" spans="53:60" x14ac:dyDescent="0.2">
      <c r="BA2073" s="518">
        <f t="shared" ca="1" si="109"/>
        <v>61</v>
      </c>
      <c r="BB2073" s="174">
        <f t="shared" ca="1" si="110"/>
        <v>2010</v>
      </c>
      <c r="BC2073" s="525" t="e">
        <f ca="1">MATCH(BD2073,OFFSET(Pinlist!$A$2,BC2072*(BA2073=BA2072),0,$BM$23,1),0)+BC2072*(BA2073=BA2072)</f>
        <v>#N/A</v>
      </c>
      <c r="BD2073" s="167">
        <f t="shared" ca="1" si="111"/>
        <v>0</v>
      </c>
      <c r="BE2073" s="191" t="e">
        <f ca="1">(OFFSET(Pinlist!$E$1,BC2073,0)-$BN$16)*$BN$19</f>
        <v>#N/A</v>
      </c>
      <c r="BF2073" s="192" t="e">
        <f ca="1">(OFFSET(Pinlist!$F$1,BC2073,0)-$BO$16)*$BO$19</f>
        <v>#N/A</v>
      </c>
      <c r="BG2073" s="1098" t="str">
        <f ca="1">IF(LEFT(BD2073,2)="RF",OFFSET(Pinlist!$D$1,Chart!BC2073,0)&amp;"_"&amp;OFFSET(Pinlist!$G$1,Chart!BC2073,0),"")</f>
        <v/>
      </c>
      <c r="BH2073" s="1098"/>
    </row>
    <row r="2074" spans="53:60" x14ac:dyDescent="0.2">
      <c r="BA2074" s="518">
        <f t="shared" ca="1" si="109"/>
        <v>61</v>
      </c>
      <c r="BB2074" s="174">
        <f t="shared" ca="1" si="110"/>
        <v>2011</v>
      </c>
      <c r="BC2074" s="525" t="e">
        <f ca="1">MATCH(BD2074,OFFSET(Pinlist!$A$2,BC2073*(BA2074=BA2073),0,$BM$23,1),0)+BC2073*(BA2074=BA2073)</f>
        <v>#N/A</v>
      </c>
      <c r="BD2074" s="167">
        <f t="shared" ca="1" si="111"/>
        <v>0</v>
      </c>
      <c r="BE2074" s="191" t="e">
        <f ca="1">(OFFSET(Pinlist!$E$1,BC2074,0)-$BN$16)*$BN$19</f>
        <v>#N/A</v>
      </c>
      <c r="BF2074" s="192" t="e">
        <f ca="1">(OFFSET(Pinlist!$F$1,BC2074,0)-$BO$16)*$BO$19</f>
        <v>#N/A</v>
      </c>
      <c r="BG2074" s="1098" t="str">
        <f ca="1">IF(LEFT(BD2074,2)="RF",OFFSET(Pinlist!$D$1,Chart!BC2074,0)&amp;"_"&amp;OFFSET(Pinlist!$G$1,Chart!BC2074,0),"")</f>
        <v/>
      </c>
      <c r="BH2074" s="1098"/>
    </row>
    <row r="2075" spans="53:60" x14ac:dyDescent="0.2">
      <c r="BA2075" s="518">
        <f t="shared" ca="1" si="109"/>
        <v>61</v>
      </c>
      <c r="BB2075" s="174">
        <f t="shared" ca="1" si="110"/>
        <v>2012</v>
      </c>
      <c r="BC2075" s="525" t="e">
        <f ca="1">MATCH(BD2075,OFFSET(Pinlist!$A$2,BC2074*(BA2075=BA2074),0,$BM$23,1),0)+BC2074*(BA2075=BA2074)</f>
        <v>#N/A</v>
      </c>
      <c r="BD2075" s="167">
        <f t="shared" ca="1" si="111"/>
        <v>0</v>
      </c>
      <c r="BE2075" s="191" t="e">
        <f ca="1">(OFFSET(Pinlist!$E$1,BC2075,0)-$BN$16)*$BN$19</f>
        <v>#N/A</v>
      </c>
      <c r="BF2075" s="192" t="e">
        <f ca="1">(OFFSET(Pinlist!$F$1,BC2075,0)-$BO$16)*$BO$19</f>
        <v>#N/A</v>
      </c>
      <c r="BG2075" s="1098" t="str">
        <f ca="1">IF(LEFT(BD2075,2)="RF",OFFSET(Pinlist!$D$1,Chart!BC2075,0)&amp;"_"&amp;OFFSET(Pinlist!$G$1,Chart!BC2075,0),"")</f>
        <v/>
      </c>
      <c r="BH2075" s="1098"/>
    </row>
    <row r="2076" spans="53:60" x14ac:dyDescent="0.2">
      <c r="BA2076" s="518">
        <f t="shared" ca="1" si="109"/>
        <v>61</v>
      </c>
      <c r="BB2076" s="174">
        <f t="shared" ca="1" si="110"/>
        <v>2013</v>
      </c>
      <c r="BC2076" s="525" t="e">
        <f ca="1">MATCH(BD2076,OFFSET(Pinlist!$A$2,BC2075*(BA2076=BA2075),0,$BM$23,1),0)+BC2075*(BA2076=BA2075)</f>
        <v>#N/A</v>
      </c>
      <c r="BD2076" s="167">
        <f t="shared" ca="1" si="111"/>
        <v>0</v>
      </c>
      <c r="BE2076" s="191" t="e">
        <f ca="1">(OFFSET(Pinlist!$E$1,BC2076,0)-$BN$16)*$BN$19</f>
        <v>#N/A</v>
      </c>
      <c r="BF2076" s="192" t="e">
        <f ca="1">(OFFSET(Pinlist!$F$1,BC2076,0)-$BO$16)*$BO$19</f>
        <v>#N/A</v>
      </c>
      <c r="BG2076" s="1098" t="str">
        <f ca="1">IF(LEFT(BD2076,2)="RF",OFFSET(Pinlist!$D$1,Chart!BC2076,0)&amp;"_"&amp;OFFSET(Pinlist!$G$1,Chart!BC2076,0),"")</f>
        <v/>
      </c>
      <c r="BH2076" s="1098"/>
    </row>
    <row r="2077" spans="53:60" x14ac:dyDescent="0.2">
      <c r="BA2077" s="518">
        <f t="shared" ca="1" si="109"/>
        <v>61</v>
      </c>
      <c r="BB2077" s="174">
        <f t="shared" ca="1" si="110"/>
        <v>2014</v>
      </c>
      <c r="BC2077" s="525" t="e">
        <f ca="1">MATCH(BD2077,OFFSET(Pinlist!$A$2,BC2076*(BA2077=BA2076),0,$BM$23,1),0)+BC2076*(BA2077=BA2076)</f>
        <v>#N/A</v>
      </c>
      <c r="BD2077" s="167">
        <f t="shared" ca="1" si="111"/>
        <v>0</v>
      </c>
      <c r="BE2077" s="191" t="e">
        <f ca="1">(OFFSET(Pinlist!$E$1,BC2077,0)-$BN$16)*$BN$19</f>
        <v>#N/A</v>
      </c>
      <c r="BF2077" s="192" t="e">
        <f ca="1">(OFFSET(Pinlist!$F$1,BC2077,0)-$BO$16)*$BO$19</f>
        <v>#N/A</v>
      </c>
      <c r="BG2077" s="1098" t="str">
        <f ca="1">IF(LEFT(BD2077,2)="RF",OFFSET(Pinlist!$D$1,Chart!BC2077,0)&amp;"_"&amp;OFFSET(Pinlist!$G$1,Chart!BC2077,0),"")</f>
        <v/>
      </c>
      <c r="BH2077" s="1098"/>
    </row>
    <row r="2078" spans="53:60" x14ac:dyDescent="0.2">
      <c r="BA2078" s="518">
        <f t="shared" ca="1" si="109"/>
        <v>61</v>
      </c>
      <c r="BB2078" s="174">
        <f t="shared" ca="1" si="110"/>
        <v>2015</v>
      </c>
      <c r="BC2078" s="525" t="e">
        <f ca="1">MATCH(BD2078,OFFSET(Pinlist!$A$2,BC2077*(BA2078=BA2077),0,$BM$23,1),0)+BC2077*(BA2078=BA2077)</f>
        <v>#N/A</v>
      </c>
      <c r="BD2078" s="167">
        <f t="shared" ca="1" si="111"/>
        <v>0</v>
      </c>
      <c r="BE2078" s="191" t="e">
        <f ca="1">(OFFSET(Pinlist!$E$1,BC2078,0)-$BN$16)*$BN$19</f>
        <v>#N/A</v>
      </c>
      <c r="BF2078" s="192" t="e">
        <f ca="1">(OFFSET(Pinlist!$F$1,BC2078,0)-$BO$16)*$BO$19</f>
        <v>#N/A</v>
      </c>
      <c r="BG2078" s="1098" t="str">
        <f ca="1">IF(LEFT(BD2078,2)="RF",OFFSET(Pinlist!$D$1,Chart!BC2078,0)&amp;"_"&amp;OFFSET(Pinlist!$G$1,Chart!BC2078,0),"")</f>
        <v/>
      </c>
      <c r="BH2078" s="1098"/>
    </row>
    <row r="2079" spans="53:60" x14ac:dyDescent="0.2">
      <c r="BA2079" s="518">
        <f t="shared" ca="1" si="109"/>
        <v>61</v>
      </c>
      <c r="BB2079" s="174">
        <f t="shared" ca="1" si="110"/>
        <v>2016</v>
      </c>
      <c r="BC2079" s="525" t="e">
        <f ca="1">MATCH(BD2079,OFFSET(Pinlist!$A$2,BC2078*(BA2079=BA2078),0,$BM$23,1),0)+BC2078*(BA2079=BA2078)</f>
        <v>#N/A</v>
      </c>
      <c r="BD2079" s="167">
        <f t="shared" ca="1" si="111"/>
        <v>0</v>
      </c>
      <c r="BE2079" s="191" t="e">
        <f ca="1">(OFFSET(Pinlist!$E$1,BC2079,0)-$BN$16)*$BN$19</f>
        <v>#N/A</v>
      </c>
      <c r="BF2079" s="192" t="e">
        <f ca="1">(OFFSET(Pinlist!$F$1,BC2079,0)-$BO$16)*$BO$19</f>
        <v>#N/A</v>
      </c>
      <c r="BG2079" s="1098" t="str">
        <f ca="1">IF(LEFT(BD2079,2)="RF",OFFSET(Pinlist!$D$1,Chart!BC2079,0)&amp;"_"&amp;OFFSET(Pinlist!$G$1,Chart!BC2079,0),"")</f>
        <v/>
      </c>
      <c r="BH2079" s="1098"/>
    </row>
    <row r="2080" spans="53:60" x14ac:dyDescent="0.2">
      <c r="BA2080" s="518">
        <f t="shared" ca="1" si="109"/>
        <v>61</v>
      </c>
      <c r="BB2080" s="174">
        <f t="shared" ca="1" si="110"/>
        <v>2017</v>
      </c>
      <c r="BC2080" s="525" t="e">
        <f ca="1">MATCH(BD2080,OFFSET(Pinlist!$A$2,BC2079*(BA2080=BA2079),0,$BM$23,1),0)+BC2079*(BA2080=BA2079)</f>
        <v>#N/A</v>
      </c>
      <c r="BD2080" s="167">
        <f t="shared" ca="1" si="111"/>
        <v>0</v>
      </c>
      <c r="BE2080" s="191" t="e">
        <f ca="1">(OFFSET(Pinlist!$E$1,BC2080,0)-$BN$16)*$BN$19</f>
        <v>#N/A</v>
      </c>
      <c r="BF2080" s="192" t="e">
        <f ca="1">(OFFSET(Pinlist!$F$1,BC2080,0)-$BO$16)*$BO$19</f>
        <v>#N/A</v>
      </c>
      <c r="BG2080" s="1098" t="str">
        <f ca="1">IF(LEFT(BD2080,2)="RF",OFFSET(Pinlist!$D$1,Chart!BC2080,0)&amp;"_"&amp;OFFSET(Pinlist!$G$1,Chart!BC2080,0),"")</f>
        <v/>
      </c>
      <c r="BH2080" s="1098"/>
    </row>
    <row r="2081" spans="53:60" x14ac:dyDescent="0.2">
      <c r="BA2081" s="518">
        <f t="shared" ca="1" si="109"/>
        <v>61</v>
      </c>
      <c r="BB2081" s="174">
        <f t="shared" ca="1" si="110"/>
        <v>2018</v>
      </c>
      <c r="BC2081" s="525" t="e">
        <f ca="1">MATCH(BD2081,OFFSET(Pinlist!$A$2,BC2080*(BA2081=BA2080),0,$BM$23,1),0)+BC2080*(BA2081=BA2080)</f>
        <v>#N/A</v>
      </c>
      <c r="BD2081" s="167">
        <f t="shared" ca="1" si="111"/>
        <v>0</v>
      </c>
      <c r="BE2081" s="191" t="e">
        <f ca="1">(OFFSET(Pinlist!$E$1,BC2081,0)-$BN$16)*$BN$19</f>
        <v>#N/A</v>
      </c>
      <c r="BF2081" s="192" t="e">
        <f ca="1">(OFFSET(Pinlist!$F$1,BC2081,0)-$BO$16)*$BO$19</f>
        <v>#N/A</v>
      </c>
      <c r="BG2081" s="1098" t="str">
        <f ca="1">IF(LEFT(BD2081,2)="RF",OFFSET(Pinlist!$D$1,Chart!BC2081,0)&amp;"_"&amp;OFFSET(Pinlist!$G$1,Chart!BC2081,0),"")</f>
        <v/>
      </c>
      <c r="BH2081" s="1098"/>
    </row>
    <row r="2082" spans="53:60" x14ac:dyDescent="0.2">
      <c r="BA2082" s="518">
        <f t="shared" ca="1" si="109"/>
        <v>61</v>
      </c>
      <c r="BB2082" s="174">
        <f t="shared" ca="1" si="110"/>
        <v>2019</v>
      </c>
      <c r="BC2082" s="525" t="e">
        <f ca="1">MATCH(BD2082,OFFSET(Pinlist!$A$2,BC2081*(BA2082=BA2081),0,$BM$23,1),0)+BC2081*(BA2082=BA2081)</f>
        <v>#N/A</v>
      </c>
      <c r="BD2082" s="167">
        <f t="shared" ca="1" si="111"/>
        <v>0</v>
      </c>
      <c r="BE2082" s="191" t="e">
        <f ca="1">(OFFSET(Pinlist!$E$1,BC2082,0)-$BN$16)*$BN$19</f>
        <v>#N/A</v>
      </c>
      <c r="BF2082" s="192" t="e">
        <f ca="1">(OFFSET(Pinlist!$F$1,BC2082,0)-$BO$16)*$BO$19</f>
        <v>#N/A</v>
      </c>
      <c r="BG2082" s="1098" t="str">
        <f ca="1">IF(LEFT(BD2082,2)="RF",OFFSET(Pinlist!$D$1,Chart!BC2082,0)&amp;"_"&amp;OFFSET(Pinlist!$G$1,Chart!BC2082,0),"")</f>
        <v/>
      </c>
      <c r="BH2082" s="1098"/>
    </row>
    <row r="2083" spans="53:60" x14ac:dyDescent="0.2">
      <c r="BA2083" s="518">
        <f t="shared" ca="1" si="109"/>
        <v>61</v>
      </c>
      <c r="BB2083" s="174">
        <f t="shared" ca="1" si="110"/>
        <v>2020</v>
      </c>
      <c r="BC2083" s="525" t="e">
        <f ca="1">MATCH(BD2083,OFFSET(Pinlist!$A$2,BC2082*(BA2083=BA2082),0,$BM$23,1),0)+BC2082*(BA2083=BA2082)</f>
        <v>#N/A</v>
      </c>
      <c r="BD2083" s="167">
        <f t="shared" ca="1" si="111"/>
        <v>0</v>
      </c>
      <c r="BE2083" s="191" t="e">
        <f ca="1">(OFFSET(Pinlist!$E$1,BC2083,0)-$BN$16)*$BN$19</f>
        <v>#N/A</v>
      </c>
      <c r="BF2083" s="192" t="e">
        <f ca="1">(OFFSET(Pinlist!$F$1,BC2083,0)-$BO$16)*$BO$19</f>
        <v>#N/A</v>
      </c>
      <c r="BG2083" s="1098" t="str">
        <f ca="1">IF(LEFT(BD2083,2)="RF",OFFSET(Pinlist!$D$1,Chart!BC2083,0)&amp;"_"&amp;OFFSET(Pinlist!$G$1,Chart!BC2083,0),"")</f>
        <v/>
      </c>
      <c r="BH2083" s="1098"/>
    </row>
    <row r="2084" spans="53:60" x14ac:dyDescent="0.2">
      <c r="BA2084" s="518">
        <f t="shared" ca="1" si="109"/>
        <v>61</v>
      </c>
      <c r="BB2084" s="174">
        <f t="shared" ca="1" si="110"/>
        <v>2021</v>
      </c>
      <c r="BC2084" s="525" t="e">
        <f ca="1">MATCH(BD2084,OFFSET(Pinlist!$A$2,BC2083*(BA2084=BA2083),0,$BM$23,1),0)+BC2083*(BA2084=BA2083)</f>
        <v>#N/A</v>
      </c>
      <c r="BD2084" s="167">
        <f t="shared" ca="1" si="111"/>
        <v>0</v>
      </c>
      <c r="BE2084" s="191" t="e">
        <f ca="1">(OFFSET(Pinlist!$E$1,BC2084,0)-$BN$16)*$BN$19</f>
        <v>#N/A</v>
      </c>
      <c r="BF2084" s="192" t="e">
        <f ca="1">(OFFSET(Pinlist!$F$1,BC2084,0)-$BO$16)*$BO$19</f>
        <v>#N/A</v>
      </c>
      <c r="BG2084" s="1098" t="str">
        <f ca="1">IF(LEFT(BD2084,2)="RF",OFFSET(Pinlist!$D$1,Chart!BC2084,0)&amp;"_"&amp;OFFSET(Pinlist!$G$1,Chart!BC2084,0),"")</f>
        <v/>
      </c>
      <c r="BH2084" s="1098"/>
    </row>
    <row r="2085" spans="53:60" x14ac:dyDescent="0.2">
      <c r="BA2085" s="518">
        <f t="shared" ca="1" si="109"/>
        <v>61</v>
      </c>
      <c r="BB2085" s="174">
        <f t="shared" ca="1" si="110"/>
        <v>2022</v>
      </c>
      <c r="BC2085" s="525" t="e">
        <f ca="1">MATCH(BD2085,OFFSET(Pinlist!$A$2,BC2084*(BA2085=BA2084),0,$BM$23,1),0)+BC2084*(BA2085=BA2084)</f>
        <v>#N/A</v>
      </c>
      <c r="BD2085" s="167">
        <f t="shared" ca="1" si="111"/>
        <v>0</v>
      </c>
      <c r="BE2085" s="191" t="e">
        <f ca="1">(OFFSET(Pinlist!$E$1,BC2085,0)-$BN$16)*$BN$19</f>
        <v>#N/A</v>
      </c>
      <c r="BF2085" s="192" t="e">
        <f ca="1">(OFFSET(Pinlist!$F$1,BC2085,0)-$BO$16)*$BO$19</f>
        <v>#N/A</v>
      </c>
      <c r="BG2085" s="1098" t="str">
        <f ca="1">IF(LEFT(BD2085,2)="RF",OFFSET(Pinlist!$D$1,Chart!BC2085,0)&amp;"_"&amp;OFFSET(Pinlist!$G$1,Chart!BC2085,0),"")</f>
        <v/>
      </c>
      <c r="BH2085" s="1098"/>
    </row>
    <row r="2086" spans="53:60" x14ac:dyDescent="0.2">
      <c r="BA2086" s="518">
        <f t="shared" ca="1" si="109"/>
        <v>61</v>
      </c>
      <c r="BB2086" s="174">
        <f t="shared" ca="1" si="110"/>
        <v>2023</v>
      </c>
      <c r="BC2086" s="525" t="e">
        <f ca="1">MATCH(BD2086,OFFSET(Pinlist!$A$2,BC2085*(BA2086=BA2085),0,$BM$23,1),0)+BC2085*(BA2086=BA2085)</f>
        <v>#N/A</v>
      </c>
      <c r="BD2086" s="167">
        <f t="shared" ca="1" si="111"/>
        <v>0</v>
      </c>
      <c r="BE2086" s="191" t="e">
        <f ca="1">(OFFSET(Pinlist!$E$1,BC2086,0)-$BN$16)*$BN$19</f>
        <v>#N/A</v>
      </c>
      <c r="BF2086" s="192" t="e">
        <f ca="1">(OFFSET(Pinlist!$F$1,BC2086,0)-$BO$16)*$BO$19</f>
        <v>#N/A</v>
      </c>
      <c r="BG2086" s="1098" t="str">
        <f ca="1">IF(LEFT(BD2086,2)="RF",OFFSET(Pinlist!$D$1,Chart!BC2086,0)&amp;"_"&amp;OFFSET(Pinlist!$G$1,Chart!BC2086,0),"")</f>
        <v/>
      </c>
      <c r="BH2086" s="1098"/>
    </row>
    <row r="2087" spans="53:60" x14ac:dyDescent="0.2">
      <c r="BA2087" s="518">
        <f t="shared" ca="1" si="109"/>
        <v>61</v>
      </c>
      <c r="BB2087" s="174">
        <f t="shared" ca="1" si="110"/>
        <v>2024</v>
      </c>
      <c r="BC2087" s="525" t="e">
        <f ca="1">MATCH(BD2087,OFFSET(Pinlist!$A$2,BC2086*(BA2087=BA2086),0,$BM$23,1),0)+BC2086*(BA2087=BA2086)</f>
        <v>#N/A</v>
      </c>
      <c r="BD2087" s="167">
        <f t="shared" ca="1" si="111"/>
        <v>0</v>
      </c>
      <c r="BE2087" s="191" t="e">
        <f ca="1">(OFFSET(Pinlist!$E$1,BC2087,0)-$BN$16)*$BN$19</f>
        <v>#N/A</v>
      </c>
      <c r="BF2087" s="192" t="e">
        <f ca="1">(OFFSET(Pinlist!$F$1,BC2087,0)-$BO$16)*$BO$19</f>
        <v>#N/A</v>
      </c>
      <c r="BG2087" s="1098" t="str">
        <f ca="1">IF(LEFT(BD2087,2)="RF",OFFSET(Pinlist!$D$1,Chart!BC2087,0)&amp;"_"&amp;OFFSET(Pinlist!$G$1,Chart!BC2087,0),"")</f>
        <v/>
      </c>
      <c r="BH2087" s="1098"/>
    </row>
    <row r="2088" spans="53:60" x14ac:dyDescent="0.2">
      <c r="BA2088" s="518">
        <f t="shared" ca="1" si="109"/>
        <v>61</v>
      </c>
      <c r="BB2088" s="174">
        <f t="shared" ca="1" si="110"/>
        <v>2025</v>
      </c>
      <c r="BC2088" s="525" t="e">
        <f ca="1">MATCH(BD2088,OFFSET(Pinlist!$A$2,BC2087*(BA2088=BA2087),0,$BM$23,1),0)+BC2087*(BA2088=BA2087)</f>
        <v>#N/A</v>
      </c>
      <c r="BD2088" s="167">
        <f t="shared" ca="1" si="111"/>
        <v>0</v>
      </c>
      <c r="BE2088" s="191" t="e">
        <f ca="1">(OFFSET(Pinlist!$E$1,BC2088,0)-$BN$16)*$BN$19</f>
        <v>#N/A</v>
      </c>
      <c r="BF2088" s="192" t="e">
        <f ca="1">(OFFSET(Pinlist!$F$1,BC2088,0)-$BO$16)*$BO$19</f>
        <v>#N/A</v>
      </c>
      <c r="BG2088" s="1098" t="str">
        <f ca="1">IF(LEFT(BD2088,2)="RF",OFFSET(Pinlist!$D$1,Chart!BC2088,0)&amp;"_"&amp;OFFSET(Pinlist!$G$1,Chart!BC2088,0),"")</f>
        <v/>
      </c>
      <c r="BH2088" s="1098"/>
    </row>
    <row r="2089" spans="53:60" x14ac:dyDescent="0.2">
      <c r="BA2089" s="518">
        <f t="shared" ca="1" si="109"/>
        <v>61</v>
      </c>
      <c r="BB2089" s="174">
        <f t="shared" ca="1" si="110"/>
        <v>2026</v>
      </c>
      <c r="BC2089" s="525" t="e">
        <f ca="1">MATCH(BD2089,OFFSET(Pinlist!$A$2,BC2088*(BA2089=BA2088),0,$BM$23,1),0)+BC2088*(BA2089=BA2088)</f>
        <v>#N/A</v>
      </c>
      <c r="BD2089" s="167">
        <f t="shared" ca="1" si="111"/>
        <v>0</v>
      </c>
      <c r="BE2089" s="191" t="e">
        <f ca="1">(OFFSET(Pinlist!$E$1,BC2089,0)-$BN$16)*$BN$19</f>
        <v>#N/A</v>
      </c>
      <c r="BF2089" s="192" t="e">
        <f ca="1">(OFFSET(Pinlist!$F$1,BC2089,0)-$BO$16)*$BO$19</f>
        <v>#N/A</v>
      </c>
      <c r="BG2089" s="1098" t="str">
        <f ca="1">IF(LEFT(BD2089,2)="RF",OFFSET(Pinlist!$D$1,Chart!BC2089,0)&amp;"_"&amp;OFFSET(Pinlist!$G$1,Chart!BC2089,0),"")</f>
        <v/>
      </c>
      <c r="BH2089" s="1098"/>
    </row>
    <row r="2090" spans="53:60" x14ac:dyDescent="0.2">
      <c r="BA2090" s="518">
        <f t="shared" ca="1" si="109"/>
        <v>61</v>
      </c>
      <c r="BB2090" s="174">
        <f t="shared" ca="1" si="110"/>
        <v>2027</v>
      </c>
      <c r="BC2090" s="525" t="e">
        <f ca="1">MATCH(BD2090,OFFSET(Pinlist!$A$2,BC2089*(BA2090=BA2089),0,$BM$23,1),0)+BC2089*(BA2090=BA2089)</f>
        <v>#N/A</v>
      </c>
      <c r="BD2090" s="167">
        <f t="shared" ca="1" si="111"/>
        <v>0</v>
      </c>
      <c r="BE2090" s="191" t="e">
        <f ca="1">(OFFSET(Pinlist!$E$1,BC2090,0)-$BN$16)*$BN$19</f>
        <v>#N/A</v>
      </c>
      <c r="BF2090" s="192" t="e">
        <f ca="1">(OFFSET(Pinlist!$F$1,BC2090,0)-$BO$16)*$BO$19</f>
        <v>#N/A</v>
      </c>
      <c r="BG2090" s="1098" t="str">
        <f ca="1">IF(LEFT(BD2090,2)="RF",OFFSET(Pinlist!$D$1,Chart!BC2090,0)&amp;"_"&amp;OFFSET(Pinlist!$G$1,Chart!BC2090,0),"")</f>
        <v/>
      </c>
      <c r="BH2090" s="1098"/>
    </row>
    <row r="2091" spans="53:60" x14ac:dyDescent="0.2">
      <c r="BA2091" s="518">
        <f t="shared" ca="1" si="109"/>
        <v>61</v>
      </c>
      <c r="BB2091" s="174">
        <f t="shared" ca="1" si="110"/>
        <v>2028</v>
      </c>
      <c r="BC2091" s="525" t="e">
        <f ca="1">MATCH(BD2091,OFFSET(Pinlist!$A$2,BC2090*(BA2091=BA2090),0,$BM$23,1),0)+BC2090*(BA2091=BA2090)</f>
        <v>#N/A</v>
      </c>
      <c r="BD2091" s="167">
        <f t="shared" ca="1" si="111"/>
        <v>0</v>
      </c>
      <c r="BE2091" s="191" t="e">
        <f ca="1">(OFFSET(Pinlist!$E$1,BC2091,0)-$BN$16)*$BN$19</f>
        <v>#N/A</v>
      </c>
      <c r="BF2091" s="192" t="e">
        <f ca="1">(OFFSET(Pinlist!$F$1,BC2091,0)-$BO$16)*$BO$19</f>
        <v>#N/A</v>
      </c>
      <c r="BG2091" s="1098" t="str">
        <f ca="1">IF(LEFT(BD2091,2)="RF",OFFSET(Pinlist!$D$1,Chart!BC2091,0)&amp;"_"&amp;OFFSET(Pinlist!$G$1,Chart!BC2091,0),"")</f>
        <v/>
      </c>
      <c r="BH2091" s="1098"/>
    </row>
    <row r="2092" spans="53:60" x14ac:dyDescent="0.2">
      <c r="BA2092" s="518">
        <f t="shared" ca="1" si="109"/>
        <v>61</v>
      </c>
      <c r="BB2092" s="174">
        <f t="shared" ca="1" si="110"/>
        <v>2029</v>
      </c>
      <c r="BC2092" s="525" t="e">
        <f ca="1">MATCH(BD2092,OFFSET(Pinlist!$A$2,BC2091*(BA2092=BA2091),0,$BM$23,1),0)+BC2091*(BA2092=BA2091)</f>
        <v>#N/A</v>
      </c>
      <c r="BD2092" s="167">
        <f t="shared" ca="1" si="111"/>
        <v>0</v>
      </c>
      <c r="BE2092" s="191" t="e">
        <f ca="1">(OFFSET(Pinlist!$E$1,BC2092,0)-$BN$16)*$BN$19</f>
        <v>#N/A</v>
      </c>
      <c r="BF2092" s="192" t="e">
        <f ca="1">(OFFSET(Pinlist!$F$1,BC2092,0)-$BO$16)*$BO$19</f>
        <v>#N/A</v>
      </c>
      <c r="BG2092" s="1098" t="str">
        <f ca="1">IF(LEFT(BD2092,2)="RF",OFFSET(Pinlist!$D$1,Chart!BC2092,0)&amp;"_"&amp;OFFSET(Pinlist!$G$1,Chart!BC2092,0),"")</f>
        <v/>
      </c>
      <c r="BH2092" s="1098"/>
    </row>
    <row r="2093" spans="53:60" x14ac:dyDescent="0.2">
      <c r="BA2093" s="518">
        <f t="shared" ca="1" si="109"/>
        <v>61</v>
      </c>
      <c r="BB2093" s="174">
        <f t="shared" ca="1" si="110"/>
        <v>2030</v>
      </c>
      <c r="BC2093" s="525" t="e">
        <f ca="1">MATCH(BD2093,OFFSET(Pinlist!$A$2,BC2092*(BA2093=BA2092),0,$BM$23,1),0)+BC2092*(BA2093=BA2092)</f>
        <v>#N/A</v>
      </c>
      <c r="BD2093" s="167">
        <f t="shared" ca="1" si="111"/>
        <v>0</v>
      </c>
      <c r="BE2093" s="191" t="e">
        <f ca="1">(OFFSET(Pinlist!$E$1,BC2093,0)-$BN$16)*$BN$19</f>
        <v>#N/A</v>
      </c>
      <c r="BF2093" s="192" t="e">
        <f ca="1">(OFFSET(Pinlist!$F$1,BC2093,0)-$BO$16)*$BO$19</f>
        <v>#N/A</v>
      </c>
      <c r="BG2093" s="1098" t="str">
        <f ca="1">IF(LEFT(BD2093,2)="RF",OFFSET(Pinlist!$D$1,Chart!BC2093,0)&amp;"_"&amp;OFFSET(Pinlist!$G$1,Chart!BC2093,0),"")</f>
        <v/>
      </c>
      <c r="BH2093" s="1098"/>
    </row>
    <row r="2094" spans="53:60" x14ac:dyDescent="0.2">
      <c r="BA2094" s="518">
        <f t="shared" ca="1" si="109"/>
        <v>61</v>
      </c>
      <c r="BB2094" s="174">
        <f t="shared" ca="1" si="110"/>
        <v>2031</v>
      </c>
      <c r="BC2094" s="525" t="e">
        <f ca="1">MATCH(BD2094,OFFSET(Pinlist!$A$2,BC2093*(BA2094=BA2093),0,$BM$23,1),0)+BC2093*(BA2094=BA2093)</f>
        <v>#N/A</v>
      </c>
      <c r="BD2094" s="167">
        <f t="shared" ca="1" si="111"/>
        <v>0</v>
      </c>
      <c r="BE2094" s="191" t="e">
        <f ca="1">(OFFSET(Pinlist!$E$1,BC2094,0)-$BN$16)*$BN$19</f>
        <v>#N/A</v>
      </c>
      <c r="BF2094" s="192" t="e">
        <f ca="1">(OFFSET(Pinlist!$F$1,BC2094,0)-$BO$16)*$BO$19</f>
        <v>#N/A</v>
      </c>
      <c r="BG2094" s="1098" t="str">
        <f ca="1">IF(LEFT(BD2094,2)="RF",OFFSET(Pinlist!$D$1,Chart!BC2094,0)&amp;"_"&amp;OFFSET(Pinlist!$G$1,Chart!BC2094,0),"")</f>
        <v/>
      </c>
      <c r="BH2094" s="1098"/>
    </row>
    <row r="2095" spans="53:60" x14ac:dyDescent="0.2">
      <c r="BA2095" s="518">
        <f t="shared" ca="1" si="109"/>
        <v>61</v>
      </c>
      <c r="BB2095" s="174">
        <f t="shared" ca="1" si="110"/>
        <v>2032</v>
      </c>
      <c r="BC2095" s="525" t="e">
        <f ca="1">MATCH(BD2095,OFFSET(Pinlist!$A$2,BC2094*(BA2095=BA2094),0,$BM$23,1),0)+BC2094*(BA2095=BA2094)</f>
        <v>#N/A</v>
      </c>
      <c r="BD2095" s="167">
        <f t="shared" ca="1" si="111"/>
        <v>0</v>
      </c>
      <c r="BE2095" s="191" t="e">
        <f ca="1">(OFFSET(Pinlist!$E$1,BC2095,0)-$BN$16)*$BN$19</f>
        <v>#N/A</v>
      </c>
      <c r="BF2095" s="192" t="e">
        <f ca="1">(OFFSET(Pinlist!$F$1,BC2095,0)-$BO$16)*$BO$19</f>
        <v>#N/A</v>
      </c>
      <c r="BG2095" s="1098" t="str">
        <f ca="1">IF(LEFT(BD2095,2)="RF",OFFSET(Pinlist!$D$1,Chart!BC2095,0)&amp;"_"&amp;OFFSET(Pinlist!$G$1,Chart!BC2095,0),"")</f>
        <v/>
      </c>
      <c r="BH2095" s="1098"/>
    </row>
    <row r="2096" spans="53:60" x14ac:dyDescent="0.2">
      <c r="BA2096" s="518">
        <f t="shared" ca="1" si="109"/>
        <v>61</v>
      </c>
      <c r="BB2096" s="174">
        <f t="shared" ca="1" si="110"/>
        <v>2033</v>
      </c>
      <c r="BC2096" s="525" t="e">
        <f ca="1">MATCH(BD2096,OFFSET(Pinlist!$A$2,BC2095*(BA2096=BA2095),0,$BM$23,1),0)+BC2095*(BA2096=BA2095)</f>
        <v>#N/A</v>
      </c>
      <c r="BD2096" s="167">
        <f t="shared" ca="1" si="111"/>
        <v>0</v>
      </c>
      <c r="BE2096" s="191" t="e">
        <f ca="1">(OFFSET(Pinlist!$E$1,BC2096,0)-$BN$16)*$BN$19</f>
        <v>#N/A</v>
      </c>
      <c r="BF2096" s="192" t="e">
        <f ca="1">(OFFSET(Pinlist!$F$1,BC2096,0)-$BO$16)*$BO$19</f>
        <v>#N/A</v>
      </c>
      <c r="BG2096" s="1098" t="str">
        <f ca="1">IF(LEFT(BD2096,2)="RF",OFFSET(Pinlist!$D$1,Chart!BC2096,0)&amp;"_"&amp;OFFSET(Pinlist!$G$1,Chart!BC2096,0),"")</f>
        <v/>
      </c>
      <c r="BH2096" s="1098"/>
    </row>
    <row r="2097" spans="53:60" x14ac:dyDescent="0.2">
      <c r="BA2097" s="518">
        <f t="shared" ca="1" si="109"/>
        <v>61</v>
      </c>
      <c r="BB2097" s="174">
        <f t="shared" ca="1" si="110"/>
        <v>2034</v>
      </c>
      <c r="BC2097" s="525" t="e">
        <f ca="1">MATCH(BD2097,OFFSET(Pinlist!$A$2,BC2096*(BA2097=BA2096),0,$BM$23,1),0)+BC2096*(BA2097=BA2096)</f>
        <v>#N/A</v>
      </c>
      <c r="BD2097" s="167">
        <f t="shared" ca="1" si="111"/>
        <v>0</v>
      </c>
      <c r="BE2097" s="191" t="e">
        <f ca="1">(OFFSET(Pinlist!$E$1,BC2097,0)-$BN$16)*$BN$19</f>
        <v>#N/A</v>
      </c>
      <c r="BF2097" s="192" t="e">
        <f ca="1">(OFFSET(Pinlist!$F$1,BC2097,0)-$BO$16)*$BO$19</f>
        <v>#N/A</v>
      </c>
      <c r="BG2097" s="1098" t="str">
        <f ca="1">IF(LEFT(BD2097,2)="RF",OFFSET(Pinlist!$D$1,Chart!BC2097,0)&amp;"_"&amp;OFFSET(Pinlist!$G$1,Chart!BC2097,0),"")</f>
        <v/>
      </c>
      <c r="BH2097" s="1098"/>
    </row>
    <row r="2098" spans="53:60" x14ac:dyDescent="0.2">
      <c r="BA2098" s="518">
        <f t="shared" ca="1" si="109"/>
        <v>61</v>
      </c>
      <c r="BB2098" s="174">
        <f t="shared" ca="1" si="110"/>
        <v>2035</v>
      </c>
      <c r="BC2098" s="525" t="e">
        <f ca="1">MATCH(BD2098,OFFSET(Pinlist!$A$2,BC2097*(BA2098=BA2097),0,$BM$23,1),0)+BC2097*(BA2098=BA2097)</f>
        <v>#N/A</v>
      </c>
      <c r="BD2098" s="167">
        <f t="shared" ca="1" si="111"/>
        <v>0</v>
      </c>
      <c r="BE2098" s="191" t="e">
        <f ca="1">(OFFSET(Pinlist!$E$1,BC2098,0)-$BN$16)*$BN$19</f>
        <v>#N/A</v>
      </c>
      <c r="BF2098" s="192" t="e">
        <f ca="1">(OFFSET(Pinlist!$F$1,BC2098,0)-$BO$16)*$BO$19</f>
        <v>#N/A</v>
      </c>
      <c r="BG2098" s="1098" t="str">
        <f ca="1">IF(LEFT(BD2098,2)="RF",OFFSET(Pinlist!$D$1,Chart!BC2098,0)&amp;"_"&amp;OFFSET(Pinlist!$G$1,Chart!BC2098,0),"")</f>
        <v/>
      </c>
      <c r="BH2098" s="1098"/>
    </row>
    <row r="2099" spans="53:60" x14ac:dyDescent="0.2">
      <c r="BA2099" s="518">
        <f t="shared" ca="1" si="109"/>
        <v>61</v>
      </c>
      <c r="BB2099" s="174">
        <f t="shared" ca="1" si="110"/>
        <v>2036</v>
      </c>
      <c r="BC2099" s="525" t="e">
        <f ca="1">MATCH(BD2099,OFFSET(Pinlist!$A$2,BC2098*(BA2099=BA2098),0,$BM$23,1),0)+BC2098*(BA2099=BA2098)</f>
        <v>#N/A</v>
      </c>
      <c r="BD2099" s="167">
        <f t="shared" ca="1" si="111"/>
        <v>0</v>
      </c>
      <c r="BE2099" s="191" t="e">
        <f ca="1">(OFFSET(Pinlist!$E$1,BC2099,0)-$BN$16)*$BN$19</f>
        <v>#N/A</v>
      </c>
      <c r="BF2099" s="192" t="e">
        <f ca="1">(OFFSET(Pinlist!$F$1,BC2099,0)-$BO$16)*$BO$19</f>
        <v>#N/A</v>
      </c>
      <c r="BG2099" s="1098" t="str">
        <f ca="1">IF(LEFT(BD2099,2)="RF",OFFSET(Pinlist!$D$1,Chart!BC2099,0)&amp;"_"&amp;OFFSET(Pinlist!$G$1,Chart!BC2099,0),"")</f>
        <v/>
      </c>
      <c r="BH2099" s="1098"/>
    </row>
    <row r="2100" spans="53:60" x14ac:dyDescent="0.2">
      <c r="BA2100" s="518">
        <f t="shared" ca="1" si="109"/>
        <v>61</v>
      </c>
      <c r="BB2100" s="174">
        <f t="shared" ca="1" si="110"/>
        <v>2037</v>
      </c>
      <c r="BC2100" s="525" t="e">
        <f ca="1">MATCH(BD2100,OFFSET(Pinlist!$A$2,BC2099*(BA2100=BA2099),0,$BM$23,1),0)+BC2099*(BA2100=BA2099)</f>
        <v>#N/A</v>
      </c>
      <c r="BD2100" s="167">
        <f t="shared" ca="1" si="111"/>
        <v>0</v>
      </c>
      <c r="BE2100" s="191" t="e">
        <f ca="1">(OFFSET(Pinlist!$E$1,BC2100,0)-$BN$16)*$BN$19</f>
        <v>#N/A</v>
      </c>
      <c r="BF2100" s="192" t="e">
        <f ca="1">(OFFSET(Pinlist!$F$1,BC2100,0)-$BO$16)*$BO$19</f>
        <v>#N/A</v>
      </c>
      <c r="BG2100" s="1098" t="str">
        <f ca="1">IF(LEFT(BD2100,2)="RF",OFFSET(Pinlist!$D$1,Chart!BC2100,0)&amp;"_"&amp;OFFSET(Pinlist!$G$1,Chart!BC2100,0),"")</f>
        <v/>
      </c>
      <c r="BH2100" s="1098"/>
    </row>
    <row r="2101" spans="53:60" x14ac:dyDescent="0.2">
      <c r="BA2101" s="518">
        <f t="shared" ca="1" si="109"/>
        <v>61</v>
      </c>
      <c r="BB2101" s="174">
        <f t="shared" ca="1" si="110"/>
        <v>2038</v>
      </c>
      <c r="BC2101" s="525" t="e">
        <f ca="1">MATCH(BD2101,OFFSET(Pinlist!$A$2,BC2100*(BA2101=BA2100),0,$BM$23,1),0)+BC2100*(BA2101=BA2100)</f>
        <v>#N/A</v>
      </c>
      <c r="BD2101" s="167">
        <f t="shared" ca="1" si="111"/>
        <v>0</v>
      </c>
      <c r="BE2101" s="191" t="e">
        <f ca="1">(OFFSET(Pinlist!$E$1,BC2101,0)-$BN$16)*$BN$19</f>
        <v>#N/A</v>
      </c>
      <c r="BF2101" s="192" t="e">
        <f ca="1">(OFFSET(Pinlist!$F$1,BC2101,0)-$BO$16)*$BO$19</f>
        <v>#N/A</v>
      </c>
      <c r="BG2101" s="1098" t="str">
        <f ca="1">IF(LEFT(BD2101,2)="RF",OFFSET(Pinlist!$D$1,Chart!BC2101,0)&amp;"_"&amp;OFFSET(Pinlist!$G$1,Chart!BC2101,0),"")</f>
        <v/>
      </c>
      <c r="BH2101" s="1098"/>
    </row>
    <row r="2102" spans="53:60" x14ac:dyDescent="0.2">
      <c r="BA2102" s="518">
        <f t="shared" ca="1" si="109"/>
        <v>61</v>
      </c>
      <c r="BB2102" s="174">
        <f t="shared" ca="1" si="110"/>
        <v>2039</v>
      </c>
      <c r="BC2102" s="525" t="e">
        <f ca="1">MATCH(BD2102,OFFSET(Pinlist!$A$2,BC2101*(BA2102=BA2101),0,$BM$23,1),0)+BC2101*(BA2102=BA2101)</f>
        <v>#N/A</v>
      </c>
      <c r="BD2102" s="167">
        <f t="shared" ca="1" si="111"/>
        <v>0</v>
      </c>
      <c r="BE2102" s="191" t="e">
        <f ca="1">(OFFSET(Pinlist!$E$1,BC2102,0)-$BN$16)*$BN$19</f>
        <v>#N/A</v>
      </c>
      <c r="BF2102" s="192" t="e">
        <f ca="1">(OFFSET(Pinlist!$F$1,BC2102,0)-$BO$16)*$BO$19</f>
        <v>#N/A</v>
      </c>
      <c r="BG2102" s="1098" t="str">
        <f ca="1">IF(LEFT(BD2102,2)="RF",OFFSET(Pinlist!$D$1,Chart!BC2102,0)&amp;"_"&amp;OFFSET(Pinlist!$G$1,Chart!BC2102,0),"")</f>
        <v/>
      </c>
      <c r="BH2102" s="1098"/>
    </row>
    <row r="2103" spans="53:60" x14ac:dyDescent="0.2">
      <c r="BA2103" s="518">
        <f t="shared" ca="1" si="109"/>
        <v>61</v>
      </c>
      <c r="BB2103" s="174">
        <f t="shared" ca="1" si="110"/>
        <v>2040</v>
      </c>
      <c r="BC2103" s="525" t="e">
        <f ca="1">MATCH(BD2103,OFFSET(Pinlist!$A$2,BC2102*(BA2103=BA2102),0,$BM$23,1),0)+BC2102*(BA2103=BA2102)</f>
        <v>#N/A</v>
      </c>
      <c r="BD2103" s="167">
        <f t="shared" ca="1" si="111"/>
        <v>0</v>
      </c>
      <c r="BE2103" s="191" t="e">
        <f ca="1">(OFFSET(Pinlist!$E$1,BC2103,0)-$BN$16)*$BN$19</f>
        <v>#N/A</v>
      </c>
      <c r="BF2103" s="192" t="e">
        <f ca="1">(OFFSET(Pinlist!$F$1,BC2103,0)-$BO$16)*$BO$19</f>
        <v>#N/A</v>
      </c>
      <c r="BG2103" s="1098" t="str">
        <f ca="1">IF(LEFT(BD2103,2)="RF",OFFSET(Pinlist!$D$1,Chart!BC2103,0)&amp;"_"&amp;OFFSET(Pinlist!$G$1,Chart!BC2103,0),"")</f>
        <v/>
      </c>
      <c r="BH2103" s="1098"/>
    </row>
    <row r="2104" spans="53:60" x14ac:dyDescent="0.2">
      <c r="BA2104" s="518">
        <f t="shared" ca="1" si="109"/>
        <v>61</v>
      </c>
      <c r="BB2104" s="174">
        <f t="shared" ca="1" si="110"/>
        <v>2041</v>
      </c>
      <c r="BC2104" s="525" t="e">
        <f ca="1">MATCH(BD2104,OFFSET(Pinlist!$A$2,BC2103*(BA2104=BA2103),0,$BM$23,1),0)+BC2103*(BA2104=BA2103)</f>
        <v>#N/A</v>
      </c>
      <c r="BD2104" s="167">
        <f t="shared" ca="1" si="111"/>
        <v>0</v>
      </c>
      <c r="BE2104" s="191" t="e">
        <f ca="1">(OFFSET(Pinlist!$E$1,BC2104,0)-$BN$16)*$BN$19</f>
        <v>#N/A</v>
      </c>
      <c r="BF2104" s="192" t="e">
        <f ca="1">(OFFSET(Pinlist!$F$1,BC2104,0)-$BO$16)*$BO$19</f>
        <v>#N/A</v>
      </c>
      <c r="BG2104" s="1098" t="str">
        <f ca="1">IF(LEFT(BD2104,2)="RF",OFFSET(Pinlist!$D$1,Chart!BC2104,0)&amp;"_"&amp;OFFSET(Pinlist!$G$1,Chart!BC2104,0),"")</f>
        <v/>
      </c>
      <c r="BH2104" s="1098"/>
    </row>
    <row r="2105" spans="53:60" x14ac:dyDescent="0.2">
      <c r="BA2105" s="518">
        <f t="shared" ca="1" si="109"/>
        <v>61</v>
      </c>
      <c r="BB2105" s="174">
        <f t="shared" ca="1" si="110"/>
        <v>2042</v>
      </c>
      <c r="BC2105" s="525" t="e">
        <f ca="1">MATCH(BD2105,OFFSET(Pinlist!$A$2,BC2104*(BA2105=BA2104),0,$BM$23,1),0)+BC2104*(BA2105=BA2104)</f>
        <v>#N/A</v>
      </c>
      <c r="BD2105" s="167">
        <f t="shared" ca="1" si="111"/>
        <v>0</v>
      </c>
      <c r="BE2105" s="191" t="e">
        <f ca="1">(OFFSET(Pinlist!$E$1,BC2105,0)-$BN$16)*$BN$19</f>
        <v>#N/A</v>
      </c>
      <c r="BF2105" s="192" t="e">
        <f ca="1">(OFFSET(Pinlist!$F$1,BC2105,0)-$BO$16)*$BO$19</f>
        <v>#N/A</v>
      </c>
      <c r="BG2105" s="1098" t="str">
        <f ca="1">IF(LEFT(BD2105,2)="RF",OFFSET(Pinlist!$D$1,Chart!BC2105,0)&amp;"_"&amp;OFFSET(Pinlist!$G$1,Chart!BC2105,0),"")</f>
        <v/>
      </c>
      <c r="BH2105" s="1098"/>
    </row>
    <row r="2106" spans="53:60" x14ac:dyDescent="0.2">
      <c r="BA2106" s="518">
        <f t="shared" ca="1" si="109"/>
        <v>61</v>
      </c>
      <c r="BB2106" s="174">
        <f t="shared" ca="1" si="110"/>
        <v>2043</v>
      </c>
      <c r="BC2106" s="525" t="e">
        <f ca="1">MATCH(BD2106,OFFSET(Pinlist!$A$2,BC2105*(BA2106=BA2105),0,$BM$23,1),0)+BC2105*(BA2106=BA2105)</f>
        <v>#N/A</v>
      </c>
      <c r="BD2106" s="167">
        <f t="shared" ca="1" si="111"/>
        <v>0</v>
      </c>
      <c r="BE2106" s="191" t="e">
        <f ca="1">(OFFSET(Pinlist!$E$1,BC2106,0)-$BN$16)*$BN$19</f>
        <v>#N/A</v>
      </c>
      <c r="BF2106" s="192" t="e">
        <f ca="1">(OFFSET(Pinlist!$F$1,BC2106,0)-$BO$16)*$BO$19</f>
        <v>#N/A</v>
      </c>
      <c r="BG2106" s="1098" t="str">
        <f ca="1">IF(LEFT(BD2106,2)="RF",OFFSET(Pinlist!$D$1,Chart!BC2106,0)&amp;"_"&amp;OFFSET(Pinlist!$G$1,Chart!BC2106,0),"")</f>
        <v/>
      </c>
      <c r="BH2106" s="1098"/>
    </row>
    <row r="2107" spans="53:60" x14ac:dyDescent="0.2">
      <c r="BA2107" s="518">
        <f t="shared" ca="1" si="109"/>
        <v>61</v>
      </c>
      <c r="BB2107" s="174">
        <f t="shared" ca="1" si="110"/>
        <v>2044</v>
      </c>
      <c r="BC2107" s="525" t="e">
        <f ca="1">MATCH(BD2107,OFFSET(Pinlist!$A$2,BC2106*(BA2107=BA2106),0,$BM$23,1),0)+BC2106*(BA2107=BA2106)</f>
        <v>#N/A</v>
      </c>
      <c r="BD2107" s="167">
        <f t="shared" ca="1" si="111"/>
        <v>0</v>
      </c>
      <c r="BE2107" s="191" t="e">
        <f ca="1">(OFFSET(Pinlist!$E$1,BC2107,0)-$BN$16)*$BN$19</f>
        <v>#N/A</v>
      </c>
      <c r="BF2107" s="192" t="e">
        <f ca="1">(OFFSET(Pinlist!$F$1,BC2107,0)-$BO$16)*$BO$19</f>
        <v>#N/A</v>
      </c>
      <c r="BG2107" s="1098" t="str">
        <f ca="1">IF(LEFT(BD2107,2)="RF",OFFSET(Pinlist!$D$1,Chart!BC2107,0)&amp;"_"&amp;OFFSET(Pinlist!$G$1,Chart!BC2107,0),"")</f>
        <v/>
      </c>
      <c r="BH2107" s="1098"/>
    </row>
    <row r="2108" spans="53:60" x14ac:dyDescent="0.2">
      <c r="BA2108" s="518">
        <f t="shared" ca="1" si="109"/>
        <v>61</v>
      </c>
      <c r="BB2108" s="174">
        <f t="shared" ca="1" si="110"/>
        <v>2045</v>
      </c>
      <c r="BC2108" s="525" t="e">
        <f ca="1">MATCH(BD2108,OFFSET(Pinlist!$A$2,BC2107*(BA2108=BA2107),0,$BM$23,1),0)+BC2107*(BA2108=BA2107)</f>
        <v>#N/A</v>
      </c>
      <c r="BD2108" s="167">
        <f t="shared" ca="1" si="111"/>
        <v>0</v>
      </c>
      <c r="BE2108" s="191" t="e">
        <f ca="1">(OFFSET(Pinlist!$E$1,BC2108,0)-$BN$16)*$BN$19</f>
        <v>#N/A</v>
      </c>
      <c r="BF2108" s="192" t="e">
        <f ca="1">(OFFSET(Pinlist!$F$1,BC2108,0)-$BO$16)*$BO$19</f>
        <v>#N/A</v>
      </c>
      <c r="BG2108" s="1098" t="str">
        <f ca="1">IF(LEFT(BD2108,2)="RF",OFFSET(Pinlist!$D$1,Chart!BC2108,0)&amp;"_"&amp;OFFSET(Pinlist!$G$1,Chart!BC2108,0),"")</f>
        <v/>
      </c>
      <c r="BH2108" s="1098"/>
    </row>
    <row r="2109" spans="53:60" x14ac:dyDescent="0.2">
      <c r="BA2109" s="518">
        <f t="shared" ca="1" si="109"/>
        <v>61</v>
      </c>
      <c r="BB2109" s="174">
        <f t="shared" ca="1" si="110"/>
        <v>2046</v>
      </c>
      <c r="BC2109" s="525" t="e">
        <f ca="1">MATCH(BD2109,OFFSET(Pinlist!$A$2,BC2108*(BA2109=BA2108),0,$BM$23,1),0)+BC2108*(BA2109=BA2108)</f>
        <v>#N/A</v>
      </c>
      <c r="BD2109" s="167">
        <f t="shared" ca="1" si="111"/>
        <v>0</v>
      </c>
      <c r="BE2109" s="191" t="e">
        <f ca="1">(OFFSET(Pinlist!$E$1,BC2109,0)-$BN$16)*$BN$19</f>
        <v>#N/A</v>
      </c>
      <c r="BF2109" s="192" t="e">
        <f ca="1">(OFFSET(Pinlist!$F$1,BC2109,0)-$BO$16)*$BO$19</f>
        <v>#N/A</v>
      </c>
      <c r="BG2109" s="1098" t="str">
        <f ca="1">IF(LEFT(BD2109,2)="RF",OFFSET(Pinlist!$D$1,Chart!BC2109,0)&amp;"_"&amp;OFFSET(Pinlist!$G$1,Chart!BC2109,0),"")</f>
        <v/>
      </c>
      <c r="BH2109" s="1098"/>
    </row>
    <row r="2110" spans="53:60" x14ac:dyDescent="0.2">
      <c r="BA2110" s="518">
        <f t="shared" ca="1" si="109"/>
        <v>61</v>
      </c>
      <c r="BB2110" s="174">
        <f t="shared" ca="1" si="110"/>
        <v>2047</v>
      </c>
      <c r="BC2110" s="525" t="e">
        <f ca="1">MATCH(BD2110,OFFSET(Pinlist!$A$2,BC2109*(BA2110=BA2109),0,$BM$23,1),0)+BC2109*(BA2110=BA2109)</f>
        <v>#N/A</v>
      </c>
      <c r="BD2110" s="167">
        <f t="shared" ca="1" si="111"/>
        <v>0</v>
      </c>
      <c r="BE2110" s="191" t="e">
        <f ca="1">(OFFSET(Pinlist!$E$1,BC2110,0)-$BN$16)*$BN$19</f>
        <v>#N/A</v>
      </c>
      <c r="BF2110" s="192" t="e">
        <f ca="1">(OFFSET(Pinlist!$F$1,BC2110,0)-$BO$16)*$BO$19</f>
        <v>#N/A</v>
      </c>
      <c r="BG2110" s="1098" t="str">
        <f ca="1">IF(LEFT(BD2110,2)="RF",OFFSET(Pinlist!$D$1,Chart!BC2110,0)&amp;"_"&amp;OFFSET(Pinlist!$G$1,Chart!BC2110,0),"")</f>
        <v/>
      </c>
      <c r="BH2110" s="1098"/>
    </row>
    <row r="2111" spans="53:60" x14ac:dyDescent="0.2">
      <c r="BA2111" s="518">
        <f t="shared" ca="1" si="109"/>
        <v>61</v>
      </c>
      <c r="BB2111" s="174">
        <f t="shared" ca="1" si="110"/>
        <v>2048</v>
      </c>
      <c r="BC2111" s="525" t="e">
        <f ca="1">MATCH(BD2111,OFFSET(Pinlist!$A$2,BC2110*(BA2111=BA2110),0,$BM$23,1),0)+BC2110*(BA2111=BA2110)</f>
        <v>#N/A</v>
      </c>
      <c r="BD2111" s="167">
        <f t="shared" ca="1" si="111"/>
        <v>0</v>
      </c>
      <c r="BE2111" s="191" t="e">
        <f ca="1">(OFFSET(Pinlist!$E$1,BC2111,0)-$BN$16)*$BN$19</f>
        <v>#N/A</v>
      </c>
      <c r="BF2111" s="192" t="e">
        <f ca="1">(OFFSET(Pinlist!$F$1,BC2111,0)-$BO$16)*$BO$19</f>
        <v>#N/A</v>
      </c>
      <c r="BG2111" s="1098" t="str">
        <f ca="1">IF(LEFT(BD2111,2)="RF",OFFSET(Pinlist!$D$1,Chart!BC2111,0)&amp;"_"&amp;OFFSET(Pinlist!$G$1,Chart!BC2111,0),"")</f>
        <v/>
      </c>
      <c r="BH2111" s="1098"/>
    </row>
    <row r="2112" spans="53:60" x14ac:dyDescent="0.2">
      <c r="BA2112" s="518">
        <f t="shared" ca="1" si="109"/>
        <v>61</v>
      </c>
      <c r="BB2112" s="174">
        <f t="shared" ca="1" si="110"/>
        <v>2049</v>
      </c>
      <c r="BC2112" s="525" t="e">
        <f ca="1">MATCH(BD2112,OFFSET(Pinlist!$A$2,BC2111*(BA2112=BA2111),0,$BM$23,1),0)+BC2111*(BA2112=BA2111)</f>
        <v>#N/A</v>
      </c>
      <c r="BD2112" s="167">
        <f t="shared" ca="1" si="111"/>
        <v>0</v>
      </c>
      <c r="BE2112" s="191" t="e">
        <f ca="1">(OFFSET(Pinlist!$E$1,BC2112,0)-$BN$16)*$BN$19</f>
        <v>#N/A</v>
      </c>
      <c r="BF2112" s="192" t="e">
        <f ca="1">(OFFSET(Pinlist!$F$1,BC2112,0)-$BO$16)*$BO$19</f>
        <v>#N/A</v>
      </c>
      <c r="BG2112" s="1098" t="str">
        <f ca="1">IF(LEFT(BD2112,2)="RF",OFFSET(Pinlist!$D$1,Chart!BC2112,0)&amp;"_"&amp;OFFSET(Pinlist!$G$1,Chart!BC2112,0),"")</f>
        <v/>
      </c>
      <c r="BH2112" s="1098"/>
    </row>
    <row r="2113" spans="53:60" x14ac:dyDescent="0.2">
      <c r="BA2113" s="518">
        <f t="shared" ca="1" si="109"/>
        <v>61</v>
      </c>
      <c r="BB2113" s="174">
        <f t="shared" ca="1" si="110"/>
        <v>2050</v>
      </c>
      <c r="BC2113" s="525" t="e">
        <f ca="1">MATCH(BD2113,OFFSET(Pinlist!$A$2,BC2112*(BA2113=BA2112),0,$BM$23,1),0)+BC2112*(BA2113=BA2112)</f>
        <v>#N/A</v>
      </c>
      <c r="BD2113" s="167">
        <f t="shared" ca="1" si="111"/>
        <v>0</v>
      </c>
      <c r="BE2113" s="191" t="e">
        <f ca="1">(OFFSET(Pinlist!$E$1,BC2113,0)-$BN$16)*$BN$19</f>
        <v>#N/A</v>
      </c>
      <c r="BF2113" s="192" t="e">
        <f ca="1">(OFFSET(Pinlist!$F$1,BC2113,0)-$BO$16)*$BO$19</f>
        <v>#N/A</v>
      </c>
      <c r="BG2113" s="1098" t="str">
        <f ca="1">IF(LEFT(BD2113,2)="RF",OFFSET(Pinlist!$D$1,Chart!BC2113,0)&amp;"_"&amp;OFFSET(Pinlist!$G$1,Chart!BC2113,0),"")</f>
        <v/>
      </c>
      <c r="BH2113" s="1098"/>
    </row>
    <row r="2114" spans="53:60" x14ac:dyDescent="0.2">
      <c r="BA2114" s="518">
        <f t="shared" ca="1" si="109"/>
        <v>61</v>
      </c>
      <c r="BB2114" s="174">
        <f t="shared" ca="1" si="110"/>
        <v>2051</v>
      </c>
      <c r="BC2114" s="525" t="e">
        <f ca="1">MATCH(BD2114,OFFSET(Pinlist!$A$2,BC2113*(BA2114=BA2113),0,$BM$23,1),0)+BC2113*(BA2114=BA2113)</f>
        <v>#N/A</v>
      </c>
      <c r="BD2114" s="167">
        <f t="shared" ca="1" si="111"/>
        <v>0</v>
      </c>
      <c r="BE2114" s="191" t="e">
        <f ca="1">(OFFSET(Pinlist!$E$1,BC2114,0)-$BN$16)*$BN$19</f>
        <v>#N/A</v>
      </c>
      <c r="BF2114" s="192" t="e">
        <f ca="1">(OFFSET(Pinlist!$F$1,BC2114,0)-$BO$16)*$BO$19</f>
        <v>#N/A</v>
      </c>
      <c r="BG2114" s="1098" t="str">
        <f ca="1">IF(LEFT(BD2114,2)="RF",OFFSET(Pinlist!$D$1,Chart!BC2114,0)&amp;"_"&amp;OFFSET(Pinlist!$G$1,Chart!BC2114,0),"")</f>
        <v/>
      </c>
      <c r="BH2114" s="1098"/>
    </row>
    <row r="2115" spans="53:60" x14ac:dyDescent="0.2">
      <c r="BA2115" s="518">
        <f t="shared" ca="1" si="109"/>
        <v>61</v>
      </c>
      <c r="BB2115" s="174">
        <f t="shared" ca="1" si="110"/>
        <v>2052</v>
      </c>
      <c r="BC2115" s="525" t="e">
        <f ca="1">MATCH(BD2115,OFFSET(Pinlist!$A$2,BC2114*(BA2115=BA2114),0,$BM$23,1),0)+BC2114*(BA2115=BA2114)</f>
        <v>#N/A</v>
      </c>
      <c r="BD2115" s="167">
        <f t="shared" ca="1" si="111"/>
        <v>0</v>
      </c>
      <c r="BE2115" s="191" t="e">
        <f ca="1">(OFFSET(Pinlist!$E$1,BC2115,0)-$BN$16)*$BN$19</f>
        <v>#N/A</v>
      </c>
      <c r="BF2115" s="192" t="e">
        <f ca="1">(OFFSET(Pinlist!$F$1,BC2115,0)-$BO$16)*$BO$19</f>
        <v>#N/A</v>
      </c>
      <c r="BG2115" s="1098" t="str">
        <f ca="1">IF(LEFT(BD2115,2)="RF",OFFSET(Pinlist!$D$1,Chart!BC2115,0)&amp;"_"&amp;OFFSET(Pinlist!$G$1,Chart!BC2115,0),"")</f>
        <v/>
      </c>
      <c r="BH2115" s="1098"/>
    </row>
    <row r="2116" spans="53:60" x14ac:dyDescent="0.2">
      <c r="BA2116" s="518">
        <f t="shared" ref="BA2116:BA2179" ca="1" si="112">BA2115+(BB2115=OFFSET($BZ$3,BA2115,0))</f>
        <v>61</v>
      </c>
      <c r="BB2116" s="174">
        <f t="shared" ref="BB2116:BB2179" ca="1" si="113">IF(BA2116=BA2115,BB2115+1,1)</f>
        <v>2053</v>
      </c>
      <c r="BC2116" s="525" t="e">
        <f ca="1">MATCH(BD2116,OFFSET(Pinlist!$A$2,BC2115*(BA2116=BA2115),0,$BM$23,1),0)+BC2115*(BA2116=BA2115)</f>
        <v>#N/A</v>
      </c>
      <c r="BD2116" s="167">
        <f t="shared" ref="BD2116:BD2179" ca="1" si="114">OFFSET($BY$3,BA2116,0)</f>
        <v>0</v>
      </c>
      <c r="BE2116" s="191" t="e">
        <f ca="1">(OFFSET(Pinlist!$E$1,BC2116,0)-$BN$16)*$BN$19</f>
        <v>#N/A</v>
      </c>
      <c r="BF2116" s="192" t="e">
        <f ca="1">(OFFSET(Pinlist!$F$1,BC2116,0)-$BO$16)*$BO$19</f>
        <v>#N/A</v>
      </c>
      <c r="BG2116" s="1098" t="str">
        <f ca="1">IF(LEFT(BD2116,2)="RF",OFFSET(Pinlist!$D$1,Chart!BC2116,0)&amp;"_"&amp;OFFSET(Pinlist!$G$1,Chart!BC2116,0),"")</f>
        <v/>
      </c>
      <c r="BH2116" s="1098"/>
    </row>
    <row r="2117" spans="53:60" x14ac:dyDescent="0.2">
      <c r="BA2117" s="518">
        <f t="shared" ca="1" si="112"/>
        <v>61</v>
      </c>
      <c r="BB2117" s="174">
        <f t="shared" ca="1" si="113"/>
        <v>2054</v>
      </c>
      <c r="BC2117" s="525" t="e">
        <f ca="1">MATCH(BD2117,OFFSET(Pinlist!$A$2,BC2116*(BA2117=BA2116),0,$BM$23,1),0)+BC2116*(BA2117=BA2116)</f>
        <v>#N/A</v>
      </c>
      <c r="BD2117" s="167">
        <f t="shared" ca="1" si="114"/>
        <v>0</v>
      </c>
      <c r="BE2117" s="191" t="e">
        <f ca="1">(OFFSET(Pinlist!$E$1,BC2117,0)-$BN$16)*$BN$19</f>
        <v>#N/A</v>
      </c>
      <c r="BF2117" s="192" t="e">
        <f ca="1">(OFFSET(Pinlist!$F$1,BC2117,0)-$BO$16)*$BO$19</f>
        <v>#N/A</v>
      </c>
      <c r="BG2117" s="1098" t="str">
        <f ca="1">IF(LEFT(BD2117,2)="RF",OFFSET(Pinlist!$D$1,Chart!BC2117,0)&amp;"_"&amp;OFFSET(Pinlist!$G$1,Chart!BC2117,0),"")</f>
        <v/>
      </c>
      <c r="BH2117" s="1098"/>
    </row>
    <row r="2118" spans="53:60" x14ac:dyDescent="0.2">
      <c r="BA2118" s="518">
        <f t="shared" ca="1" si="112"/>
        <v>61</v>
      </c>
      <c r="BB2118" s="174">
        <f t="shared" ca="1" si="113"/>
        <v>2055</v>
      </c>
      <c r="BC2118" s="525" t="e">
        <f ca="1">MATCH(BD2118,OFFSET(Pinlist!$A$2,BC2117*(BA2118=BA2117),0,$BM$23,1),0)+BC2117*(BA2118=BA2117)</f>
        <v>#N/A</v>
      </c>
      <c r="BD2118" s="167">
        <f t="shared" ca="1" si="114"/>
        <v>0</v>
      </c>
      <c r="BE2118" s="191" t="e">
        <f ca="1">(OFFSET(Pinlist!$E$1,BC2118,0)-$BN$16)*$BN$19</f>
        <v>#N/A</v>
      </c>
      <c r="BF2118" s="192" t="e">
        <f ca="1">(OFFSET(Pinlist!$F$1,BC2118,0)-$BO$16)*$BO$19</f>
        <v>#N/A</v>
      </c>
      <c r="BG2118" s="1098" t="str">
        <f ca="1">IF(LEFT(BD2118,2)="RF",OFFSET(Pinlist!$D$1,Chart!BC2118,0)&amp;"_"&amp;OFFSET(Pinlist!$G$1,Chart!BC2118,0),"")</f>
        <v/>
      </c>
      <c r="BH2118" s="1098"/>
    </row>
    <row r="2119" spans="53:60" x14ac:dyDescent="0.2">
      <c r="BA2119" s="518">
        <f t="shared" ca="1" si="112"/>
        <v>61</v>
      </c>
      <c r="BB2119" s="174">
        <f t="shared" ca="1" si="113"/>
        <v>2056</v>
      </c>
      <c r="BC2119" s="525" t="e">
        <f ca="1">MATCH(BD2119,OFFSET(Pinlist!$A$2,BC2118*(BA2119=BA2118),0,$BM$23,1),0)+BC2118*(BA2119=BA2118)</f>
        <v>#N/A</v>
      </c>
      <c r="BD2119" s="167">
        <f t="shared" ca="1" si="114"/>
        <v>0</v>
      </c>
      <c r="BE2119" s="191" t="e">
        <f ca="1">(OFFSET(Pinlist!$E$1,BC2119,0)-$BN$16)*$BN$19</f>
        <v>#N/A</v>
      </c>
      <c r="BF2119" s="192" t="e">
        <f ca="1">(OFFSET(Pinlist!$F$1,BC2119,0)-$BO$16)*$BO$19</f>
        <v>#N/A</v>
      </c>
      <c r="BG2119" s="1098" t="str">
        <f ca="1">IF(LEFT(BD2119,2)="RF",OFFSET(Pinlist!$D$1,Chart!BC2119,0)&amp;"_"&amp;OFFSET(Pinlist!$G$1,Chart!BC2119,0),"")</f>
        <v/>
      </c>
      <c r="BH2119" s="1098"/>
    </row>
    <row r="2120" spans="53:60" x14ac:dyDescent="0.2">
      <c r="BA2120" s="518">
        <f t="shared" ca="1" si="112"/>
        <v>61</v>
      </c>
      <c r="BB2120" s="174">
        <f t="shared" ca="1" si="113"/>
        <v>2057</v>
      </c>
      <c r="BC2120" s="525" t="e">
        <f ca="1">MATCH(BD2120,OFFSET(Pinlist!$A$2,BC2119*(BA2120=BA2119),0,$BM$23,1),0)+BC2119*(BA2120=BA2119)</f>
        <v>#N/A</v>
      </c>
      <c r="BD2120" s="167">
        <f t="shared" ca="1" si="114"/>
        <v>0</v>
      </c>
      <c r="BE2120" s="191" t="e">
        <f ca="1">(OFFSET(Pinlist!$E$1,BC2120,0)-$BN$16)*$BN$19</f>
        <v>#N/A</v>
      </c>
      <c r="BF2120" s="192" t="e">
        <f ca="1">(OFFSET(Pinlist!$F$1,BC2120,0)-$BO$16)*$BO$19</f>
        <v>#N/A</v>
      </c>
      <c r="BG2120" s="1098" t="str">
        <f ca="1">IF(LEFT(BD2120,2)="RF",OFFSET(Pinlist!$D$1,Chart!BC2120,0)&amp;"_"&amp;OFFSET(Pinlist!$G$1,Chart!BC2120,0),"")</f>
        <v/>
      </c>
      <c r="BH2120" s="1098"/>
    </row>
    <row r="2121" spans="53:60" x14ac:dyDescent="0.2">
      <c r="BA2121" s="518">
        <f t="shared" ca="1" si="112"/>
        <v>61</v>
      </c>
      <c r="BB2121" s="174">
        <f t="shared" ca="1" si="113"/>
        <v>2058</v>
      </c>
      <c r="BC2121" s="525" t="e">
        <f ca="1">MATCH(BD2121,OFFSET(Pinlist!$A$2,BC2120*(BA2121=BA2120),0,$BM$23,1),0)+BC2120*(BA2121=BA2120)</f>
        <v>#N/A</v>
      </c>
      <c r="BD2121" s="167">
        <f t="shared" ca="1" si="114"/>
        <v>0</v>
      </c>
      <c r="BE2121" s="191" t="e">
        <f ca="1">(OFFSET(Pinlist!$E$1,BC2121,0)-$BN$16)*$BN$19</f>
        <v>#N/A</v>
      </c>
      <c r="BF2121" s="192" t="e">
        <f ca="1">(OFFSET(Pinlist!$F$1,BC2121,0)-$BO$16)*$BO$19</f>
        <v>#N/A</v>
      </c>
      <c r="BG2121" s="1098" t="str">
        <f ca="1">IF(LEFT(BD2121,2)="RF",OFFSET(Pinlist!$D$1,Chart!BC2121,0)&amp;"_"&amp;OFFSET(Pinlist!$G$1,Chart!BC2121,0),"")</f>
        <v/>
      </c>
      <c r="BH2121" s="1098"/>
    </row>
    <row r="2122" spans="53:60" x14ac:dyDescent="0.2">
      <c r="BA2122" s="518">
        <f t="shared" ca="1" si="112"/>
        <v>61</v>
      </c>
      <c r="BB2122" s="174">
        <f t="shared" ca="1" si="113"/>
        <v>2059</v>
      </c>
      <c r="BC2122" s="525" t="e">
        <f ca="1">MATCH(BD2122,OFFSET(Pinlist!$A$2,BC2121*(BA2122=BA2121),0,$BM$23,1),0)+BC2121*(BA2122=BA2121)</f>
        <v>#N/A</v>
      </c>
      <c r="BD2122" s="167">
        <f t="shared" ca="1" si="114"/>
        <v>0</v>
      </c>
      <c r="BE2122" s="191" t="e">
        <f ca="1">(OFFSET(Pinlist!$E$1,BC2122,0)-$BN$16)*$BN$19</f>
        <v>#N/A</v>
      </c>
      <c r="BF2122" s="192" t="e">
        <f ca="1">(OFFSET(Pinlist!$F$1,BC2122,0)-$BO$16)*$BO$19</f>
        <v>#N/A</v>
      </c>
      <c r="BG2122" s="1098" t="str">
        <f ca="1">IF(LEFT(BD2122,2)="RF",OFFSET(Pinlist!$D$1,Chart!BC2122,0)&amp;"_"&amp;OFFSET(Pinlist!$G$1,Chart!BC2122,0),"")</f>
        <v/>
      </c>
      <c r="BH2122" s="1098"/>
    </row>
    <row r="2123" spans="53:60" x14ac:dyDescent="0.2">
      <c r="BA2123" s="518">
        <f t="shared" ca="1" si="112"/>
        <v>61</v>
      </c>
      <c r="BB2123" s="174">
        <f t="shared" ca="1" si="113"/>
        <v>2060</v>
      </c>
      <c r="BC2123" s="525" t="e">
        <f ca="1">MATCH(BD2123,OFFSET(Pinlist!$A$2,BC2122*(BA2123=BA2122),0,$BM$23,1),0)+BC2122*(BA2123=BA2122)</f>
        <v>#N/A</v>
      </c>
      <c r="BD2123" s="167">
        <f t="shared" ca="1" si="114"/>
        <v>0</v>
      </c>
      <c r="BE2123" s="191" t="e">
        <f ca="1">(OFFSET(Pinlist!$E$1,BC2123,0)-$BN$16)*$BN$19</f>
        <v>#N/A</v>
      </c>
      <c r="BF2123" s="192" t="e">
        <f ca="1">(OFFSET(Pinlist!$F$1,BC2123,0)-$BO$16)*$BO$19</f>
        <v>#N/A</v>
      </c>
      <c r="BG2123" s="1098" t="str">
        <f ca="1">IF(LEFT(BD2123,2)="RF",OFFSET(Pinlist!$D$1,Chart!BC2123,0)&amp;"_"&amp;OFFSET(Pinlist!$G$1,Chart!BC2123,0),"")</f>
        <v/>
      </c>
      <c r="BH2123" s="1098"/>
    </row>
    <row r="2124" spans="53:60" x14ac:dyDescent="0.2">
      <c r="BA2124" s="518">
        <f t="shared" ca="1" si="112"/>
        <v>61</v>
      </c>
      <c r="BB2124" s="174">
        <f t="shared" ca="1" si="113"/>
        <v>2061</v>
      </c>
      <c r="BC2124" s="525" t="e">
        <f ca="1">MATCH(BD2124,OFFSET(Pinlist!$A$2,BC2123*(BA2124=BA2123),0,$BM$23,1),0)+BC2123*(BA2124=BA2123)</f>
        <v>#N/A</v>
      </c>
      <c r="BD2124" s="167">
        <f t="shared" ca="1" si="114"/>
        <v>0</v>
      </c>
      <c r="BE2124" s="191" t="e">
        <f ca="1">(OFFSET(Pinlist!$E$1,BC2124,0)-$BN$16)*$BN$19</f>
        <v>#N/A</v>
      </c>
      <c r="BF2124" s="192" t="e">
        <f ca="1">(OFFSET(Pinlist!$F$1,BC2124,0)-$BO$16)*$BO$19</f>
        <v>#N/A</v>
      </c>
      <c r="BG2124" s="1098" t="str">
        <f ca="1">IF(LEFT(BD2124,2)="RF",OFFSET(Pinlist!$D$1,Chart!BC2124,0)&amp;"_"&amp;OFFSET(Pinlist!$G$1,Chart!BC2124,0),"")</f>
        <v/>
      </c>
      <c r="BH2124" s="1098"/>
    </row>
    <row r="2125" spans="53:60" x14ac:dyDescent="0.2">
      <c r="BA2125" s="518">
        <f t="shared" ca="1" si="112"/>
        <v>61</v>
      </c>
      <c r="BB2125" s="174">
        <f t="shared" ca="1" si="113"/>
        <v>2062</v>
      </c>
      <c r="BC2125" s="525" t="e">
        <f ca="1">MATCH(BD2125,OFFSET(Pinlist!$A$2,BC2124*(BA2125=BA2124),0,$BM$23,1),0)+BC2124*(BA2125=BA2124)</f>
        <v>#N/A</v>
      </c>
      <c r="BD2125" s="167">
        <f t="shared" ca="1" si="114"/>
        <v>0</v>
      </c>
      <c r="BE2125" s="191" t="e">
        <f ca="1">(OFFSET(Pinlist!$E$1,BC2125,0)-$BN$16)*$BN$19</f>
        <v>#N/A</v>
      </c>
      <c r="BF2125" s="192" t="e">
        <f ca="1">(OFFSET(Pinlist!$F$1,BC2125,0)-$BO$16)*$BO$19</f>
        <v>#N/A</v>
      </c>
      <c r="BG2125" s="1098" t="str">
        <f ca="1">IF(LEFT(BD2125,2)="RF",OFFSET(Pinlist!$D$1,Chart!BC2125,0)&amp;"_"&amp;OFFSET(Pinlist!$G$1,Chart!BC2125,0),"")</f>
        <v/>
      </c>
      <c r="BH2125" s="1098"/>
    </row>
    <row r="2126" spans="53:60" x14ac:dyDescent="0.2">
      <c r="BA2126" s="518">
        <f t="shared" ca="1" si="112"/>
        <v>61</v>
      </c>
      <c r="BB2126" s="174">
        <f t="shared" ca="1" si="113"/>
        <v>2063</v>
      </c>
      <c r="BC2126" s="525" t="e">
        <f ca="1">MATCH(BD2126,OFFSET(Pinlist!$A$2,BC2125*(BA2126=BA2125),0,$BM$23,1),0)+BC2125*(BA2126=BA2125)</f>
        <v>#N/A</v>
      </c>
      <c r="BD2126" s="167">
        <f t="shared" ca="1" si="114"/>
        <v>0</v>
      </c>
      <c r="BE2126" s="191" t="e">
        <f ca="1">(OFFSET(Pinlist!$E$1,BC2126,0)-$BN$16)*$BN$19</f>
        <v>#N/A</v>
      </c>
      <c r="BF2126" s="192" t="e">
        <f ca="1">(OFFSET(Pinlist!$F$1,BC2126,0)-$BO$16)*$BO$19</f>
        <v>#N/A</v>
      </c>
      <c r="BG2126" s="1098" t="str">
        <f ca="1">IF(LEFT(BD2126,2)="RF",OFFSET(Pinlist!$D$1,Chart!BC2126,0)&amp;"_"&amp;OFFSET(Pinlist!$G$1,Chart!BC2126,0),"")</f>
        <v/>
      </c>
      <c r="BH2126" s="1098"/>
    </row>
    <row r="2127" spans="53:60" x14ac:dyDescent="0.2">
      <c r="BA2127" s="518">
        <f t="shared" ca="1" si="112"/>
        <v>61</v>
      </c>
      <c r="BB2127" s="174">
        <f t="shared" ca="1" si="113"/>
        <v>2064</v>
      </c>
      <c r="BC2127" s="525" t="e">
        <f ca="1">MATCH(BD2127,OFFSET(Pinlist!$A$2,BC2126*(BA2127=BA2126),0,$BM$23,1),0)+BC2126*(BA2127=BA2126)</f>
        <v>#N/A</v>
      </c>
      <c r="BD2127" s="167">
        <f t="shared" ca="1" si="114"/>
        <v>0</v>
      </c>
      <c r="BE2127" s="191" t="e">
        <f ca="1">(OFFSET(Pinlist!$E$1,BC2127,0)-$BN$16)*$BN$19</f>
        <v>#N/A</v>
      </c>
      <c r="BF2127" s="192" t="e">
        <f ca="1">(OFFSET(Pinlist!$F$1,BC2127,0)-$BO$16)*$BO$19</f>
        <v>#N/A</v>
      </c>
      <c r="BG2127" s="1098" t="str">
        <f ca="1">IF(LEFT(BD2127,2)="RF",OFFSET(Pinlist!$D$1,Chart!BC2127,0)&amp;"_"&amp;OFFSET(Pinlist!$G$1,Chart!BC2127,0),"")</f>
        <v/>
      </c>
      <c r="BH2127" s="1098"/>
    </row>
    <row r="2128" spans="53:60" x14ac:dyDescent="0.2">
      <c r="BA2128" s="518">
        <f t="shared" ca="1" si="112"/>
        <v>61</v>
      </c>
      <c r="BB2128" s="174">
        <f t="shared" ca="1" si="113"/>
        <v>2065</v>
      </c>
      <c r="BC2128" s="525" t="e">
        <f ca="1">MATCH(BD2128,OFFSET(Pinlist!$A$2,BC2127*(BA2128=BA2127),0,$BM$23,1),0)+BC2127*(BA2128=BA2127)</f>
        <v>#N/A</v>
      </c>
      <c r="BD2128" s="167">
        <f t="shared" ca="1" si="114"/>
        <v>0</v>
      </c>
      <c r="BE2128" s="191" t="e">
        <f ca="1">(OFFSET(Pinlist!$E$1,BC2128,0)-$BN$16)*$BN$19</f>
        <v>#N/A</v>
      </c>
      <c r="BF2128" s="192" t="e">
        <f ca="1">(OFFSET(Pinlist!$F$1,BC2128,0)-$BO$16)*$BO$19</f>
        <v>#N/A</v>
      </c>
      <c r="BG2128" s="1098" t="str">
        <f ca="1">IF(LEFT(BD2128,2)="RF",OFFSET(Pinlist!$D$1,Chart!BC2128,0)&amp;"_"&amp;OFFSET(Pinlist!$G$1,Chart!BC2128,0),"")</f>
        <v/>
      </c>
      <c r="BH2128" s="1098"/>
    </row>
    <row r="2129" spans="53:60" x14ac:dyDescent="0.2">
      <c r="BA2129" s="518">
        <f t="shared" ca="1" si="112"/>
        <v>61</v>
      </c>
      <c r="BB2129" s="174">
        <f t="shared" ca="1" si="113"/>
        <v>2066</v>
      </c>
      <c r="BC2129" s="525" t="e">
        <f ca="1">MATCH(BD2129,OFFSET(Pinlist!$A$2,BC2128*(BA2129=BA2128),0,$BM$23,1),0)+BC2128*(BA2129=BA2128)</f>
        <v>#N/A</v>
      </c>
      <c r="BD2129" s="167">
        <f t="shared" ca="1" si="114"/>
        <v>0</v>
      </c>
      <c r="BE2129" s="191" t="e">
        <f ca="1">(OFFSET(Pinlist!$E$1,BC2129,0)-$BN$16)*$BN$19</f>
        <v>#N/A</v>
      </c>
      <c r="BF2129" s="192" t="e">
        <f ca="1">(OFFSET(Pinlist!$F$1,BC2129,0)-$BO$16)*$BO$19</f>
        <v>#N/A</v>
      </c>
      <c r="BG2129" s="1098" t="str">
        <f ca="1">IF(LEFT(BD2129,2)="RF",OFFSET(Pinlist!$D$1,Chart!BC2129,0)&amp;"_"&amp;OFFSET(Pinlist!$G$1,Chart!BC2129,0),"")</f>
        <v/>
      </c>
      <c r="BH2129" s="1098"/>
    </row>
    <row r="2130" spans="53:60" x14ac:dyDescent="0.2">
      <c r="BA2130" s="518">
        <f t="shared" ca="1" si="112"/>
        <v>61</v>
      </c>
      <c r="BB2130" s="174">
        <f t="shared" ca="1" si="113"/>
        <v>2067</v>
      </c>
      <c r="BC2130" s="525" t="e">
        <f ca="1">MATCH(BD2130,OFFSET(Pinlist!$A$2,BC2129*(BA2130=BA2129),0,$BM$23,1),0)+BC2129*(BA2130=BA2129)</f>
        <v>#N/A</v>
      </c>
      <c r="BD2130" s="167">
        <f t="shared" ca="1" si="114"/>
        <v>0</v>
      </c>
      <c r="BE2130" s="191" t="e">
        <f ca="1">(OFFSET(Pinlist!$E$1,BC2130,0)-$BN$16)*$BN$19</f>
        <v>#N/A</v>
      </c>
      <c r="BF2130" s="192" t="e">
        <f ca="1">(OFFSET(Pinlist!$F$1,BC2130,0)-$BO$16)*$BO$19</f>
        <v>#N/A</v>
      </c>
      <c r="BG2130" s="1098" t="str">
        <f ca="1">IF(LEFT(BD2130,2)="RF",OFFSET(Pinlist!$D$1,Chart!BC2130,0)&amp;"_"&amp;OFFSET(Pinlist!$G$1,Chart!BC2130,0),"")</f>
        <v/>
      </c>
      <c r="BH2130" s="1098"/>
    </row>
    <row r="2131" spans="53:60" x14ac:dyDescent="0.2">
      <c r="BA2131" s="518">
        <f t="shared" ca="1" si="112"/>
        <v>61</v>
      </c>
      <c r="BB2131" s="174">
        <f t="shared" ca="1" si="113"/>
        <v>2068</v>
      </c>
      <c r="BC2131" s="525" t="e">
        <f ca="1">MATCH(BD2131,OFFSET(Pinlist!$A$2,BC2130*(BA2131=BA2130),0,$BM$23,1),0)+BC2130*(BA2131=BA2130)</f>
        <v>#N/A</v>
      </c>
      <c r="BD2131" s="167">
        <f t="shared" ca="1" si="114"/>
        <v>0</v>
      </c>
      <c r="BE2131" s="191" t="e">
        <f ca="1">(OFFSET(Pinlist!$E$1,BC2131,0)-$BN$16)*$BN$19</f>
        <v>#N/A</v>
      </c>
      <c r="BF2131" s="192" t="e">
        <f ca="1">(OFFSET(Pinlist!$F$1,BC2131,0)-$BO$16)*$BO$19</f>
        <v>#N/A</v>
      </c>
      <c r="BG2131" s="1098" t="str">
        <f ca="1">IF(LEFT(BD2131,2)="RF",OFFSET(Pinlist!$D$1,Chart!BC2131,0)&amp;"_"&amp;OFFSET(Pinlist!$G$1,Chart!BC2131,0),"")</f>
        <v/>
      </c>
      <c r="BH2131" s="1098"/>
    </row>
    <row r="2132" spans="53:60" x14ac:dyDescent="0.2">
      <c r="BA2132" s="518">
        <f t="shared" ca="1" si="112"/>
        <v>61</v>
      </c>
      <c r="BB2132" s="174">
        <f t="shared" ca="1" si="113"/>
        <v>2069</v>
      </c>
      <c r="BC2132" s="525" t="e">
        <f ca="1">MATCH(BD2132,OFFSET(Pinlist!$A$2,BC2131*(BA2132=BA2131),0,$BM$23,1),0)+BC2131*(BA2132=BA2131)</f>
        <v>#N/A</v>
      </c>
      <c r="BD2132" s="167">
        <f t="shared" ca="1" si="114"/>
        <v>0</v>
      </c>
      <c r="BE2132" s="191" t="e">
        <f ca="1">(OFFSET(Pinlist!$E$1,BC2132,0)-$BN$16)*$BN$19</f>
        <v>#N/A</v>
      </c>
      <c r="BF2132" s="192" t="e">
        <f ca="1">(OFFSET(Pinlist!$F$1,BC2132,0)-$BO$16)*$BO$19</f>
        <v>#N/A</v>
      </c>
      <c r="BG2132" s="1098" t="str">
        <f ca="1">IF(LEFT(BD2132,2)="RF",OFFSET(Pinlist!$D$1,Chart!BC2132,0)&amp;"_"&amp;OFFSET(Pinlist!$G$1,Chart!BC2132,0),"")</f>
        <v/>
      </c>
      <c r="BH2132" s="1098"/>
    </row>
    <row r="2133" spans="53:60" x14ac:dyDescent="0.2">
      <c r="BA2133" s="518">
        <f t="shared" ca="1" si="112"/>
        <v>61</v>
      </c>
      <c r="BB2133" s="174">
        <f t="shared" ca="1" si="113"/>
        <v>2070</v>
      </c>
      <c r="BC2133" s="525" t="e">
        <f ca="1">MATCH(BD2133,OFFSET(Pinlist!$A$2,BC2132*(BA2133=BA2132),0,$BM$23,1),0)+BC2132*(BA2133=BA2132)</f>
        <v>#N/A</v>
      </c>
      <c r="BD2133" s="167">
        <f t="shared" ca="1" si="114"/>
        <v>0</v>
      </c>
      <c r="BE2133" s="191" t="e">
        <f ca="1">(OFFSET(Pinlist!$E$1,BC2133,0)-$BN$16)*$BN$19</f>
        <v>#N/A</v>
      </c>
      <c r="BF2133" s="192" t="e">
        <f ca="1">(OFFSET(Pinlist!$F$1,BC2133,0)-$BO$16)*$BO$19</f>
        <v>#N/A</v>
      </c>
      <c r="BG2133" s="1098" t="str">
        <f ca="1">IF(LEFT(BD2133,2)="RF",OFFSET(Pinlist!$D$1,Chart!BC2133,0)&amp;"_"&amp;OFFSET(Pinlist!$G$1,Chart!BC2133,0),"")</f>
        <v/>
      </c>
      <c r="BH2133" s="1098"/>
    </row>
    <row r="2134" spans="53:60" x14ac:dyDescent="0.2">
      <c r="BA2134" s="518">
        <f t="shared" ca="1" si="112"/>
        <v>61</v>
      </c>
      <c r="BB2134" s="174">
        <f t="shared" ca="1" si="113"/>
        <v>2071</v>
      </c>
      <c r="BC2134" s="525" t="e">
        <f ca="1">MATCH(BD2134,OFFSET(Pinlist!$A$2,BC2133*(BA2134=BA2133),0,$BM$23,1),0)+BC2133*(BA2134=BA2133)</f>
        <v>#N/A</v>
      </c>
      <c r="BD2134" s="167">
        <f t="shared" ca="1" si="114"/>
        <v>0</v>
      </c>
      <c r="BE2134" s="191" t="e">
        <f ca="1">(OFFSET(Pinlist!$E$1,BC2134,0)-$BN$16)*$BN$19</f>
        <v>#N/A</v>
      </c>
      <c r="BF2134" s="192" t="e">
        <f ca="1">(OFFSET(Pinlist!$F$1,BC2134,0)-$BO$16)*$BO$19</f>
        <v>#N/A</v>
      </c>
      <c r="BG2134" s="1098" t="str">
        <f ca="1">IF(LEFT(BD2134,2)="RF",OFFSET(Pinlist!$D$1,Chart!BC2134,0)&amp;"_"&amp;OFFSET(Pinlist!$G$1,Chart!BC2134,0),"")</f>
        <v/>
      </c>
      <c r="BH2134" s="1098"/>
    </row>
    <row r="2135" spans="53:60" x14ac:dyDescent="0.2">
      <c r="BA2135" s="518">
        <f t="shared" ca="1" si="112"/>
        <v>61</v>
      </c>
      <c r="BB2135" s="174">
        <f t="shared" ca="1" si="113"/>
        <v>2072</v>
      </c>
      <c r="BC2135" s="525" t="e">
        <f ca="1">MATCH(BD2135,OFFSET(Pinlist!$A$2,BC2134*(BA2135=BA2134),0,$BM$23,1),0)+BC2134*(BA2135=BA2134)</f>
        <v>#N/A</v>
      </c>
      <c r="BD2135" s="167">
        <f t="shared" ca="1" si="114"/>
        <v>0</v>
      </c>
      <c r="BE2135" s="191" t="e">
        <f ca="1">(OFFSET(Pinlist!$E$1,BC2135,0)-$BN$16)*$BN$19</f>
        <v>#N/A</v>
      </c>
      <c r="BF2135" s="192" t="e">
        <f ca="1">(OFFSET(Pinlist!$F$1,BC2135,0)-$BO$16)*$BO$19</f>
        <v>#N/A</v>
      </c>
      <c r="BG2135" s="1098" t="str">
        <f ca="1">IF(LEFT(BD2135,2)="RF",OFFSET(Pinlist!$D$1,Chart!BC2135,0)&amp;"_"&amp;OFFSET(Pinlist!$G$1,Chart!BC2135,0),"")</f>
        <v/>
      </c>
      <c r="BH2135" s="1098"/>
    </row>
    <row r="2136" spans="53:60" x14ac:dyDescent="0.2">
      <c r="BA2136" s="518">
        <f t="shared" ca="1" si="112"/>
        <v>61</v>
      </c>
      <c r="BB2136" s="174">
        <f t="shared" ca="1" si="113"/>
        <v>2073</v>
      </c>
      <c r="BC2136" s="525" t="e">
        <f ca="1">MATCH(BD2136,OFFSET(Pinlist!$A$2,BC2135*(BA2136=BA2135),0,$BM$23,1),0)+BC2135*(BA2136=BA2135)</f>
        <v>#N/A</v>
      </c>
      <c r="BD2136" s="167">
        <f t="shared" ca="1" si="114"/>
        <v>0</v>
      </c>
      <c r="BE2136" s="191" t="e">
        <f ca="1">(OFFSET(Pinlist!$E$1,BC2136,0)-$BN$16)*$BN$19</f>
        <v>#N/A</v>
      </c>
      <c r="BF2136" s="192" t="e">
        <f ca="1">(OFFSET(Pinlist!$F$1,BC2136,0)-$BO$16)*$BO$19</f>
        <v>#N/A</v>
      </c>
      <c r="BG2136" s="1098" t="str">
        <f ca="1">IF(LEFT(BD2136,2)="RF",OFFSET(Pinlist!$D$1,Chart!BC2136,0)&amp;"_"&amp;OFFSET(Pinlist!$G$1,Chart!BC2136,0),"")</f>
        <v/>
      </c>
      <c r="BH2136" s="1098"/>
    </row>
    <row r="2137" spans="53:60" x14ac:dyDescent="0.2">
      <c r="BA2137" s="518">
        <f t="shared" ca="1" si="112"/>
        <v>61</v>
      </c>
      <c r="BB2137" s="174">
        <f t="shared" ca="1" si="113"/>
        <v>2074</v>
      </c>
      <c r="BC2137" s="525" t="e">
        <f ca="1">MATCH(BD2137,OFFSET(Pinlist!$A$2,BC2136*(BA2137=BA2136),0,$BM$23,1),0)+BC2136*(BA2137=BA2136)</f>
        <v>#N/A</v>
      </c>
      <c r="BD2137" s="167">
        <f t="shared" ca="1" si="114"/>
        <v>0</v>
      </c>
      <c r="BE2137" s="191" t="e">
        <f ca="1">(OFFSET(Pinlist!$E$1,BC2137,0)-$BN$16)*$BN$19</f>
        <v>#N/A</v>
      </c>
      <c r="BF2137" s="192" t="e">
        <f ca="1">(OFFSET(Pinlist!$F$1,BC2137,0)-$BO$16)*$BO$19</f>
        <v>#N/A</v>
      </c>
      <c r="BG2137" s="1098" t="str">
        <f ca="1">IF(LEFT(BD2137,2)="RF",OFFSET(Pinlist!$D$1,Chart!BC2137,0)&amp;"_"&amp;OFFSET(Pinlist!$G$1,Chart!BC2137,0),"")</f>
        <v/>
      </c>
      <c r="BH2137" s="1098"/>
    </row>
    <row r="2138" spans="53:60" x14ac:dyDescent="0.2">
      <c r="BA2138" s="518">
        <f t="shared" ca="1" si="112"/>
        <v>61</v>
      </c>
      <c r="BB2138" s="174">
        <f t="shared" ca="1" si="113"/>
        <v>2075</v>
      </c>
      <c r="BC2138" s="525" t="e">
        <f ca="1">MATCH(BD2138,OFFSET(Pinlist!$A$2,BC2137*(BA2138=BA2137),0,$BM$23,1),0)+BC2137*(BA2138=BA2137)</f>
        <v>#N/A</v>
      </c>
      <c r="BD2138" s="167">
        <f t="shared" ca="1" si="114"/>
        <v>0</v>
      </c>
      <c r="BE2138" s="191" t="e">
        <f ca="1">(OFFSET(Pinlist!$E$1,BC2138,0)-$BN$16)*$BN$19</f>
        <v>#N/A</v>
      </c>
      <c r="BF2138" s="192" t="e">
        <f ca="1">(OFFSET(Pinlist!$F$1,BC2138,0)-$BO$16)*$BO$19</f>
        <v>#N/A</v>
      </c>
      <c r="BG2138" s="1098" t="str">
        <f ca="1">IF(LEFT(BD2138,2)="RF",OFFSET(Pinlist!$D$1,Chart!BC2138,0)&amp;"_"&amp;OFFSET(Pinlist!$G$1,Chart!BC2138,0),"")</f>
        <v/>
      </c>
      <c r="BH2138" s="1098"/>
    </row>
    <row r="2139" spans="53:60" x14ac:dyDescent="0.2">
      <c r="BA2139" s="518">
        <f t="shared" ca="1" si="112"/>
        <v>61</v>
      </c>
      <c r="BB2139" s="174">
        <f t="shared" ca="1" si="113"/>
        <v>2076</v>
      </c>
      <c r="BC2139" s="525" t="e">
        <f ca="1">MATCH(BD2139,OFFSET(Pinlist!$A$2,BC2138*(BA2139=BA2138),0,$BM$23,1),0)+BC2138*(BA2139=BA2138)</f>
        <v>#N/A</v>
      </c>
      <c r="BD2139" s="167">
        <f t="shared" ca="1" si="114"/>
        <v>0</v>
      </c>
      <c r="BE2139" s="191" t="e">
        <f ca="1">(OFFSET(Pinlist!$E$1,BC2139,0)-$BN$16)*$BN$19</f>
        <v>#N/A</v>
      </c>
      <c r="BF2139" s="192" t="e">
        <f ca="1">(OFFSET(Pinlist!$F$1,BC2139,0)-$BO$16)*$BO$19</f>
        <v>#N/A</v>
      </c>
      <c r="BG2139" s="1098" t="str">
        <f ca="1">IF(LEFT(BD2139,2)="RF",OFFSET(Pinlist!$D$1,Chart!BC2139,0)&amp;"_"&amp;OFFSET(Pinlist!$G$1,Chart!BC2139,0),"")</f>
        <v/>
      </c>
      <c r="BH2139" s="1098"/>
    </row>
    <row r="2140" spans="53:60" x14ac:dyDescent="0.2">
      <c r="BA2140" s="518">
        <f t="shared" ca="1" si="112"/>
        <v>61</v>
      </c>
      <c r="BB2140" s="174">
        <f t="shared" ca="1" si="113"/>
        <v>2077</v>
      </c>
      <c r="BC2140" s="525" t="e">
        <f ca="1">MATCH(BD2140,OFFSET(Pinlist!$A$2,BC2139*(BA2140=BA2139),0,$BM$23,1),0)+BC2139*(BA2140=BA2139)</f>
        <v>#N/A</v>
      </c>
      <c r="BD2140" s="167">
        <f t="shared" ca="1" si="114"/>
        <v>0</v>
      </c>
      <c r="BE2140" s="191" t="e">
        <f ca="1">(OFFSET(Pinlist!$E$1,BC2140,0)-$BN$16)*$BN$19</f>
        <v>#N/A</v>
      </c>
      <c r="BF2140" s="192" t="e">
        <f ca="1">(OFFSET(Pinlist!$F$1,BC2140,0)-$BO$16)*$BO$19</f>
        <v>#N/A</v>
      </c>
      <c r="BG2140" s="1098" t="str">
        <f ca="1">IF(LEFT(BD2140,2)="RF",OFFSET(Pinlist!$D$1,Chart!BC2140,0)&amp;"_"&amp;OFFSET(Pinlist!$G$1,Chart!BC2140,0),"")</f>
        <v/>
      </c>
      <c r="BH2140" s="1098"/>
    </row>
    <row r="2141" spans="53:60" x14ac:dyDescent="0.2">
      <c r="BA2141" s="518">
        <f t="shared" ca="1" si="112"/>
        <v>61</v>
      </c>
      <c r="BB2141" s="174">
        <f t="shared" ca="1" si="113"/>
        <v>2078</v>
      </c>
      <c r="BC2141" s="525" t="e">
        <f ca="1">MATCH(BD2141,OFFSET(Pinlist!$A$2,BC2140*(BA2141=BA2140),0,$BM$23,1),0)+BC2140*(BA2141=BA2140)</f>
        <v>#N/A</v>
      </c>
      <c r="BD2141" s="167">
        <f t="shared" ca="1" si="114"/>
        <v>0</v>
      </c>
      <c r="BE2141" s="191" t="e">
        <f ca="1">(OFFSET(Pinlist!$E$1,BC2141,0)-$BN$16)*$BN$19</f>
        <v>#N/A</v>
      </c>
      <c r="BF2141" s="192" t="e">
        <f ca="1">(OFFSET(Pinlist!$F$1,BC2141,0)-$BO$16)*$BO$19</f>
        <v>#N/A</v>
      </c>
      <c r="BG2141" s="1098" t="str">
        <f ca="1">IF(LEFT(BD2141,2)="RF",OFFSET(Pinlist!$D$1,Chart!BC2141,0)&amp;"_"&amp;OFFSET(Pinlist!$G$1,Chart!BC2141,0),"")</f>
        <v/>
      </c>
      <c r="BH2141" s="1098"/>
    </row>
    <row r="2142" spans="53:60" x14ac:dyDescent="0.2">
      <c r="BA2142" s="518">
        <f t="shared" ca="1" si="112"/>
        <v>61</v>
      </c>
      <c r="BB2142" s="174">
        <f t="shared" ca="1" si="113"/>
        <v>2079</v>
      </c>
      <c r="BC2142" s="525" t="e">
        <f ca="1">MATCH(BD2142,OFFSET(Pinlist!$A$2,BC2141*(BA2142=BA2141),0,$BM$23,1),0)+BC2141*(BA2142=BA2141)</f>
        <v>#N/A</v>
      </c>
      <c r="BD2142" s="167">
        <f t="shared" ca="1" si="114"/>
        <v>0</v>
      </c>
      <c r="BE2142" s="191" t="e">
        <f ca="1">(OFFSET(Pinlist!$E$1,BC2142,0)-$BN$16)*$BN$19</f>
        <v>#N/A</v>
      </c>
      <c r="BF2142" s="192" t="e">
        <f ca="1">(OFFSET(Pinlist!$F$1,BC2142,0)-$BO$16)*$BO$19</f>
        <v>#N/A</v>
      </c>
      <c r="BG2142" s="1098" t="str">
        <f ca="1">IF(LEFT(BD2142,2)="RF",OFFSET(Pinlist!$D$1,Chart!BC2142,0)&amp;"_"&amp;OFFSET(Pinlist!$G$1,Chart!BC2142,0),"")</f>
        <v/>
      </c>
      <c r="BH2142" s="1098"/>
    </row>
    <row r="2143" spans="53:60" x14ac:dyDescent="0.2">
      <c r="BA2143" s="518">
        <f t="shared" ca="1" si="112"/>
        <v>61</v>
      </c>
      <c r="BB2143" s="174">
        <f t="shared" ca="1" si="113"/>
        <v>2080</v>
      </c>
      <c r="BC2143" s="525" t="e">
        <f ca="1">MATCH(BD2143,OFFSET(Pinlist!$A$2,BC2142*(BA2143=BA2142),0,$BM$23,1),0)+BC2142*(BA2143=BA2142)</f>
        <v>#N/A</v>
      </c>
      <c r="BD2143" s="167">
        <f t="shared" ca="1" si="114"/>
        <v>0</v>
      </c>
      <c r="BE2143" s="191" t="e">
        <f ca="1">(OFFSET(Pinlist!$E$1,BC2143,0)-$BN$16)*$BN$19</f>
        <v>#N/A</v>
      </c>
      <c r="BF2143" s="192" t="e">
        <f ca="1">(OFFSET(Pinlist!$F$1,BC2143,0)-$BO$16)*$BO$19</f>
        <v>#N/A</v>
      </c>
      <c r="BG2143" s="1098" t="str">
        <f ca="1">IF(LEFT(BD2143,2)="RF",OFFSET(Pinlist!$D$1,Chart!BC2143,0)&amp;"_"&amp;OFFSET(Pinlist!$G$1,Chart!BC2143,0),"")</f>
        <v/>
      </c>
      <c r="BH2143" s="1098"/>
    </row>
    <row r="2144" spans="53:60" x14ac:dyDescent="0.2">
      <c r="BA2144" s="518">
        <f t="shared" ca="1" si="112"/>
        <v>61</v>
      </c>
      <c r="BB2144" s="174">
        <f t="shared" ca="1" si="113"/>
        <v>2081</v>
      </c>
      <c r="BC2144" s="525" t="e">
        <f ca="1">MATCH(BD2144,OFFSET(Pinlist!$A$2,BC2143*(BA2144=BA2143),0,$BM$23,1),0)+BC2143*(BA2144=BA2143)</f>
        <v>#N/A</v>
      </c>
      <c r="BD2144" s="167">
        <f t="shared" ca="1" si="114"/>
        <v>0</v>
      </c>
      <c r="BE2144" s="191" t="e">
        <f ca="1">(OFFSET(Pinlist!$E$1,BC2144,0)-$BN$16)*$BN$19</f>
        <v>#N/A</v>
      </c>
      <c r="BF2144" s="192" t="e">
        <f ca="1">(OFFSET(Pinlist!$F$1,BC2144,0)-$BO$16)*$BO$19</f>
        <v>#N/A</v>
      </c>
      <c r="BG2144" s="1098" t="str">
        <f ca="1">IF(LEFT(BD2144,2)="RF",OFFSET(Pinlist!$D$1,Chart!BC2144,0)&amp;"_"&amp;OFFSET(Pinlist!$G$1,Chart!BC2144,0),"")</f>
        <v/>
      </c>
      <c r="BH2144" s="1098"/>
    </row>
    <row r="2145" spans="53:60" x14ac:dyDescent="0.2">
      <c r="BA2145" s="518">
        <f t="shared" ca="1" si="112"/>
        <v>61</v>
      </c>
      <c r="BB2145" s="174">
        <f t="shared" ca="1" si="113"/>
        <v>2082</v>
      </c>
      <c r="BC2145" s="525" t="e">
        <f ca="1">MATCH(BD2145,OFFSET(Pinlist!$A$2,BC2144*(BA2145=BA2144),0,$BM$23,1),0)+BC2144*(BA2145=BA2144)</f>
        <v>#N/A</v>
      </c>
      <c r="BD2145" s="167">
        <f t="shared" ca="1" si="114"/>
        <v>0</v>
      </c>
      <c r="BE2145" s="191" t="e">
        <f ca="1">(OFFSET(Pinlist!$E$1,BC2145,0)-$BN$16)*$BN$19</f>
        <v>#N/A</v>
      </c>
      <c r="BF2145" s="192" t="e">
        <f ca="1">(OFFSET(Pinlist!$F$1,BC2145,0)-$BO$16)*$BO$19</f>
        <v>#N/A</v>
      </c>
      <c r="BG2145" s="1098" t="str">
        <f ca="1">IF(LEFT(BD2145,2)="RF",OFFSET(Pinlist!$D$1,Chart!BC2145,0)&amp;"_"&amp;OFFSET(Pinlist!$G$1,Chart!BC2145,0),"")</f>
        <v/>
      </c>
      <c r="BH2145" s="1098"/>
    </row>
    <row r="2146" spans="53:60" x14ac:dyDescent="0.2">
      <c r="BA2146" s="518">
        <f t="shared" ca="1" si="112"/>
        <v>61</v>
      </c>
      <c r="BB2146" s="174">
        <f t="shared" ca="1" si="113"/>
        <v>2083</v>
      </c>
      <c r="BC2146" s="525" t="e">
        <f ca="1">MATCH(BD2146,OFFSET(Pinlist!$A$2,BC2145*(BA2146=BA2145),0,$BM$23,1),0)+BC2145*(BA2146=BA2145)</f>
        <v>#N/A</v>
      </c>
      <c r="BD2146" s="167">
        <f t="shared" ca="1" si="114"/>
        <v>0</v>
      </c>
      <c r="BE2146" s="191" t="e">
        <f ca="1">(OFFSET(Pinlist!$E$1,BC2146,0)-$BN$16)*$BN$19</f>
        <v>#N/A</v>
      </c>
      <c r="BF2146" s="192" t="e">
        <f ca="1">(OFFSET(Pinlist!$F$1,BC2146,0)-$BO$16)*$BO$19</f>
        <v>#N/A</v>
      </c>
      <c r="BG2146" s="1098" t="str">
        <f ca="1">IF(LEFT(BD2146,2)="RF",OFFSET(Pinlist!$D$1,Chart!BC2146,0)&amp;"_"&amp;OFFSET(Pinlist!$G$1,Chart!BC2146,0),"")</f>
        <v/>
      </c>
      <c r="BH2146" s="1098"/>
    </row>
    <row r="2147" spans="53:60" x14ac:dyDescent="0.2">
      <c r="BA2147" s="518">
        <f t="shared" ca="1" si="112"/>
        <v>61</v>
      </c>
      <c r="BB2147" s="174">
        <f t="shared" ca="1" si="113"/>
        <v>2084</v>
      </c>
      <c r="BC2147" s="525" t="e">
        <f ca="1">MATCH(BD2147,OFFSET(Pinlist!$A$2,BC2146*(BA2147=BA2146),0,$BM$23,1),0)+BC2146*(BA2147=BA2146)</f>
        <v>#N/A</v>
      </c>
      <c r="BD2147" s="167">
        <f t="shared" ca="1" si="114"/>
        <v>0</v>
      </c>
      <c r="BE2147" s="191" t="e">
        <f ca="1">(OFFSET(Pinlist!$E$1,BC2147,0)-$BN$16)*$BN$19</f>
        <v>#N/A</v>
      </c>
      <c r="BF2147" s="192" t="e">
        <f ca="1">(OFFSET(Pinlist!$F$1,BC2147,0)-$BO$16)*$BO$19</f>
        <v>#N/A</v>
      </c>
      <c r="BG2147" s="1098" t="str">
        <f ca="1">IF(LEFT(BD2147,2)="RF",OFFSET(Pinlist!$D$1,Chart!BC2147,0)&amp;"_"&amp;OFFSET(Pinlist!$G$1,Chart!BC2147,0),"")</f>
        <v/>
      </c>
      <c r="BH2147" s="1098"/>
    </row>
    <row r="2148" spans="53:60" x14ac:dyDescent="0.2">
      <c r="BA2148" s="518">
        <f t="shared" ca="1" si="112"/>
        <v>61</v>
      </c>
      <c r="BB2148" s="174">
        <f t="shared" ca="1" si="113"/>
        <v>2085</v>
      </c>
      <c r="BC2148" s="525" t="e">
        <f ca="1">MATCH(BD2148,OFFSET(Pinlist!$A$2,BC2147*(BA2148=BA2147),0,$BM$23,1),0)+BC2147*(BA2148=BA2147)</f>
        <v>#N/A</v>
      </c>
      <c r="BD2148" s="167">
        <f t="shared" ca="1" si="114"/>
        <v>0</v>
      </c>
      <c r="BE2148" s="191" t="e">
        <f ca="1">(OFFSET(Pinlist!$E$1,BC2148,0)-$BN$16)*$BN$19</f>
        <v>#N/A</v>
      </c>
      <c r="BF2148" s="192" t="e">
        <f ca="1">(OFFSET(Pinlist!$F$1,BC2148,0)-$BO$16)*$BO$19</f>
        <v>#N/A</v>
      </c>
      <c r="BG2148" s="1098" t="str">
        <f ca="1">IF(LEFT(BD2148,2)="RF",OFFSET(Pinlist!$D$1,Chart!BC2148,0)&amp;"_"&amp;OFFSET(Pinlist!$G$1,Chart!BC2148,0),"")</f>
        <v/>
      </c>
      <c r="BH2148" s="1098"/>
    </row>
    <row r="2149" spans="53:60" x14ac:dyDescent="0.2">
      <c r="BA2149" s="518">
        <f t="shared" ca="1" si="112"/>
        <v>61</v>
      </c>
      <c r="BB2149" s="174">
        <f t="shared" ca="1" si="113"/>
        <v>2086</v>
      </c>
      <c r="BC2149" s="525" t="e">
        <f ca="1">MATCH(BD2149,OFFSET(Pinlist!$A$2,BC2148*(BA2149=BA2148),0,$BM$23,1),0)+BC2148*(BA2149=BA2148)</f>
        <v>#N/A</v>
      </c>
      <c r="BD2149" s="167">
        <f t="shared" ca="1" si="114"/>
        <v>0</v>
      </c>
      <c r="BE2149" s="191" t="e">
        <f ca="1">(OFFSET(Pinlist!$E$1,BC2149,0)-$BN$16)*$BN$19</f>
        <v>#N/A</v>
      </c>
      <c r="BF2149" s="192" t="e">
        <f ca="1">(OFFSET(Pinlist!$F$1,BC2149,0)-$BO$16)*$BO$19</f>
        <v>#N/A</v>
      </c>
      <c r="BG2149" s="1098" t="str">
        <f ca="1">IF(LEFT(BD2149,2)="RF",OFFSET(Pinlist!$D$1,Chart!BC2149,0)&amp;"_"&amp;OFFSET(Pinlist!$G$1,Chart!BC2149,0),"")</f>
        <v/>
      </c>
      <c r="BH2149" s="1098"/>
    </row>
    <row r="2150" spans="53:60" x14ac:dyDescent="0.2">
      <c r="BA2150" s="518">
        <f t="shared" ca="1" si="112"/>
        <v>61</v>
      </c>
      <c r="BB2150" s="174">
        <f t="shared" ca="1" si="113"/>
        <v>2087</v>
      </c>
      <c r="BC2150" s="525" t="e">
        <f ca="1">MATCH(BD2150,OFFSET(Pinlist!$A$2,BC2149*(BA2150=BA2149),0,$BM$23,1),0)+BC2149*(BA2150=BA2149)</f>
        <v>#N/A</v>
      </c>
      <c r="BD2150" s="167">
        <f t="shared" ca="1" si="114"/>
        <v>0</v>
      </c>
      <c r="BE2150" s="191" t="e">
        <f ca="1">(OFFSET(Pinlist!$E$1,BC2150,0)-$BN$16)*$BN$19</f>
        <v>#N/A</v>
      </c>
      <c r="BF2150" s="192" t="e">
        <f ca="1">(OFFSET(Pinlist!$F$1,BC2150,0)-$BO$16)*$BO$19</f>
        <v>#N/A</v>
      </c>
      <c r="BG2150" s="1098" t="str">
        <f ca="1">IF(LEFT(BD2150,2)="RF",OFFSET(Pinlist!$D$1,Chart!BC2150,0)&amp;"_"&amp;OFFSET(Pinlist!$G$1,Chart!BC2150,0),"")</f>
        <v/>
      </c>
      <c r="BH2150" s="1098"/>
    </row>
    <row r="2151" spans="53:60" x14ac:dyDescent="0.2">
      <c r="BA2151" s="518">
        <f t="shared" ca="1" si="112"/>
        <v>61</v>
      </c>
      <c r="BB2151" s="174">
        <f t="shared" ca="1" si="113"/>
        <v>2088</v>
      </c>
      <c r="BC2151" s="525" t="e">
        <f ca="1">MATCH(BD2151,OFFSET(Pinlist!$A$2,BC2150*(BA2151=BA2150),0,$BM$23,1),0)+BC2150*(BA2151=BA2150)</f>
        <v>#N/A</v>
      </c>
      <c r="BD2151" s="167">
        <f t="shared" ca="1" si="114"/>
        <v>0</v>
      </c>
      <c r="BE2151" s="191" t="e">
        <f ca="1">(OFFSET(Pinlist!$E$1,BC2151,0)-$BN$16)*$BN$19</f>
        <v>#N/A</v>
      </c>
      <c r="BF2151" s="192" t="e">
        <f ca="1">(OFFSET(Pinlist!$F$1,BC2151,0)-$BO$16)*$BO$19</f>
        <v>#N/A</v>
      </c>
      <c r="BG2151" s="1098" t="str">
        <f ca="1">IF(LEFT(BD2151,2)="RF",OFFSET(Pinlist!$D$1,Chart!BC2151,0)&amp;"_"&amp;OFFSET(Pinlist!$G$1,Chart!BC2151,0),"")</f>
        <v/>
      </c>
      <c r="BH2151" s="1098"/>
    </row>
    <row r="2152" spans="53:60" x14ac:dyDescent="0.2">
      <c r="BA2152" s="518">
        <f t="shared" ca="1" si="112"/>
        <v>61</v>
      </c>
      <c r="BB2152" s="174">
        <f t="shared" ca="1" si="113"/>
        <v>2089</v>
      </c>
      <c r="BC2152" s="525" t="e">
        <f ca="1">MATCH(BD2152,OFFSET(Pinlist!$A$2,BC2151*(BA2152=BA2151),0,$BM$23,1),0)+BC2151*(BA2152=BA2151)</f>
        <v>#N/A</v>
      </c>
      <c r="BD2152" s="167">
        <f t="shared" ca="1" si="114"/>
        <v>0</v>
      </c>
      <c r="BE2152" s="191" t="e">
        <f ca="1">(OFFSET(Pinlist!$E$1,BC2152,0)-$BN$16)*$BN$19</f>
        <v>#N/A</v>
      </c>
      <c r="BF2152" s="192" t="e">
        <f ca="1">(OFFSET(Pinlist!$F$1,BC2152,0)-$BO$16)*$BO$19</f>
        <v>#N/A</v>
      </c>
      <c r="BG2152" s="1098" t="str">
        <f ca="1">IF(LEFT(BD2152,2)="RF",OFFSET(Pinlist!$D$1,Chart!BC2152,0)&amp;"_"&amp;OFFSET(Pinlist!$G$1,Chart!BC2152,0),"")</f>
        <v/>
      </c>
      <c r="BH2152" s="1098"/>
    </row>
    <row r="2153" spans="53:60" x14ac:dyDescent="0.2">
      <c r="BA2153" s="518">
        <f t="shared" ca="1" si="112"/>
        <v>61</v>
      </c>
      <c r="BB2153" s="174">
        <f t="shared" ca="1" si="113"/>
        <v>2090</v>
      </c>
      <c r="BC2153" s="525" t="e">
        <f ca="1">MATCH(BD2153,OFFSET(Pinlist!$A$2,BC2152*(BA2153=BA2152),0,$BM$23,1),0)+BC2152*(BA2153=BA2152)</f>
        <v>#N/A</v>
      </c>
      <c r="BD2153" s="167">
        <f t="shared" ca="1" si="114"/>
        <v>0</v>
      </c>
      <c r="BE2153" s="191" t="e">
        <f ca="1">(OFFSET(Pinlist!$E$1,BC2153,0)-$BN$16)*$BN$19</f>
        <v>#N/A</v>
      </c>
      <c r="BF2153" s="192" t="e">
        <f ca="1">(OFFSET(Pinlist!$F$1,BC2153,0)-$BO$16)*$BO$19</f>
        <v>#N/A</v>
      </c>
      <c r="BG2153" s="1098" t="str">
        <f ca="1">IF(LEFT(BD2153,2)="RF",OFFSET(Pinlist!$D$1,Chart!BC2153,0)&amp;"_"&amp;OFFSET(Pinlist!$G$1,Chart!BC2153,0),"")</f>
        <v/>
      </c>
      <c r="BH2153" s="1098"/>
    </row>
    <row r="2154" spans="53:60" x14ac:dyDescent="0.2">
      <c r="BA2154" s="518">
        <f t="shared" ca="1" si="112"/>
        <v>61</v>
      </c>
      <c r="BB2154" s="174">
        <f t="shared" ca="1" si="113"/>
        <v>2091</v>
      </c>
      <c r="BC2154" s="525" t="e">
        <f ca="1">MATCH(BD2154,OFFSET(Pinlist!$A$2,BC2153*(BA2154=BA2153),0,$BM$23,1),0)+BC2153*(BA2154=BA2153)</f>
        <v>#N/A</v>
      </c>
      <c r="BD2154" s="167">
        <f t="shared" ca="1" si="114"/>
        <v>0</v>
      </c>
      <c r="BE2154" s="191" t="e">
        <f ca="1">(OFFSET(Pinlist!$E$1,BC2154,0)-$BN$16)*$BN$19</f>
        <v>#N/A</v>
      </c>
      <c r="BF2154" s="192" t="e">
        <f ca="1">(OFFSET(Pinlist!$F$1,BC2154,0)-$BO$16)*$BO$19</f>
        <v>#N/A</v>
      </c>
      <c r="BG2154" s="1098" t="str">
        <f ca="1">IF(LEFT(BD2154,2)="RF",OFFSET(Pinlist!$D$1,Chart!BC2154,0)&amp;"_"&amp;OFFSET(Pinlist!$G$1,Chart!BC2154,0),"")</f>
        <v/>
      </c>
      <c r="BH2154" s="1098"/>
    </row>
    <row r="2155" spans="53:60" x14ac:dyDescent="0.2">
      <c r="BA2155" s="518">
        <f t="shared" ca="1" si="112"/>
        <v>61</v>
      </c>
      <c r="BB2155" s="174">
        <f t="shared" ca="1" si="113"/>
        <v>2092</v>
      </c>
      <c r="BC2155" s="525" t="e">
        <f ca="1">MATCH(BD2155,OFFSET(Pinlist!$A$2,BC2154*(BA2155=BA2154),0,$BM$23,1),0)+BC2154*(BA2155=BA2154)</f>
        <v>#N/A</v>
      </c>
      <c r="BD2155" s="167">
        <f t="shared" ca="1" si="114"/>
        <v>0</v>
      </c>
      <c r="BE2155" s="191" t="e">
        <f ca="1">(OFFSET(Pinlist!$E$1,BC2155,0)-$BN$16)*$BN$19</f>
        <v>#N/A</v>
      </c>
      <c r="BF2155" s="192" t="e">
        <f ca="1">(OFFSET(Pinlist!$F$1,BC2155,0)-$BO$16)*$BO$19</f>
        <v>#N/A</v>
      </c>
      <c r="BG2155" s="1098" t="str">
        <f ca="1">IF(LEFT(BD2155,2)="RF",OFFSET(Pinlist!$D$1,Chart!BC2155,0)&amp;"_"&amp;OFFSET(Pinlist!$G$1,Chart!BC2155,0),"")</f>
        <v/>
      </c>
      <c r="BH2155" s="1098"/>
    </row>
    <row r="2156" spans="53:60" x14ac:dyDescent="0.2">
      <c r="BA2156" s="518">
        <f t="shared" ca="1" si="112"/>
        <v>61</v>
      </c>
      <c r="BB2156" s="174">
        <f t="shared" ca="1" si="113"/>
        <v>2093</v>
      </c>
      <c r="BC2156" s="525" t="e">
        <f ca="1">MATCH(BD2156,OFFSET(Pinlist!$A$2,BC2155*(BA2156=BA2155),0,$BM$23,1),0)+BC2155*(BA2156=BA2155)</f>
        <v>#N/A</v>
      </c>
      <c r="BD2156" s="167">
        <f t="shared" ca="1" si="114"/>
        <v>0</v>
      </c>
      <c r="BE2156" s="191" t="e">
        <f ca="1">(OFFSET(Pinlist!$E$1,BC2156,0)-$BN$16)*$BN$19</f>
        <v>#N/A</v>
      </c>
      <c r="BF2156" s="192" t="e">
        <f ca="1">(OFFSET(Pinlist!$F$1,BC2156,0)-$BO$16)*$BO$19</f>
        <v>#N/A</v>
      </c>
      <c r="BG2156" s="1098" t="str">
        <f ca="1">IF(LEFT(BD2156,2)="RF",OFFSET(Pinlist!$D$1,Chart!BC2156,0)&amp;"_"&amp;OFFSET(Pinlist!$G$1,Chart!BC2156,0),"")</f>
        <v/>
      </c>
      <c r="BH2156" s="1098"/>
    </row>
    <row r="2157" spans="53:60" x14ac:dyDescent="0.2">
      <c r="BA2157" s="518">
        <f t="shared" ca="1" si="112"/>
        <v>61</v>
      </c>
      <c r="BB2157" s="174">
        <f t="shared" ca="1" si="113"/>
        <v>2094</v>
      </c>
      <c r="BC2157" s="525" t="e">
        <f ca="1">MATCH(BD2157,OFFSET(Pinlist!$A$2,BC2156*(BA2157=BA2156),0,$BM$23,1),0)+BC2156*(BA2157=BA2156)</f>
        <v>#N/A</v>
      </c>
      <c r="BD2157" s="167">
        <f t="shared" ca="1" si="114"/>
        <v>0</v>
      </c>
      <c r="BE2157" s="191" t="e">
        <f ca="1">(OFFSET(Pinlist!$E$1,BC2157,0)-$BN$16)*$BN$19</f>
        <v>#N/A</v>
      </c>
      <c r="BF2157" s="192" t="e">
        <f ca="1">(OFFSET(Pinlist!$F$1,BC2157,0)-$BO$16)*$BO$19</f>
        <v>#N/A</v>
      </c>
      <c r="BG2157" s="1098" t="str">
        <f ca="1">IF(LEFT(BD2157,2)="RF",OFFSET(Pinlist!$D$1,Chart!BC2157,0)&amp;"_"&amp;OFFSET(Pinlist!$G$1,Chart!BC2157,0),"")</f>
        <v/>
      </c>
      <c r="BH2157" s="1098"/>
    </row>
    <row r="2158" spans="53:60" x14ac:dyDescent="0.2">
      <c r="BA2158" s="518">
        <f t="shared" ca="1" si="112"/>
        <v>61</v>
      </c>
      <c r="BB2158" s="174">
        <f t="shared" ca="1" si="113"/>
        <v>2095</v>
      </c>
      <c r="BC2158" s="525" t="e">
        <f ca="1">MATCH(BD2158,OFFSET(Pinlist!$A$2,BC2157*(BA2158=BA2157),0,$BM$23,1),0)+BC2157*(BA2158=BA2157)</f>
        <v>#N/A</v>
      </c>
      <c r="BD2158" s="167">
        <f t="shared" ca="1" si="114"/>
        <v>0</v>
      </c>
      <c r="BE2158" s="191" t="e">
        <f ca="1">(OFFSET(Pinlist!$E$1,BC2158,0)-$BN$16)*$BN$19</f>
        <v>#N/A</v>
      </c>
      <c r="BF2158" s="192" t="e">
        <f ca="1">(OFFSET(Pinlist!$F$1,BC2158,0)-$BO$16)*$BO$19</f>
        <v>#N/A</v>
      </c>
      <c r="BG2158" s="1098" t="str">
        <f ca="1">IF(LEFT(BD2158,2)="RF",OFFSET(Pinlist!$D$1,Chart!BC2158,0)&amp;"_"&amp;OFFSET(Pinlist!$G$1,Chart!BC2158,0),"")</f>
        <v/>
      </c>
      <c r="BH2158" s="1098"/>
    </row>
    <row r="2159" spans="53:60" x14ac:dyDescent="0.2">
      <c r="BA2159" s="518">
        <f t="shared" ca="1" si="112"/>
        <v>61</v>
      </c>
      <c r="BB2159" s="174">
        <f t="shared" ca="1" si="113"/>
        <v>2096</v>
      </c>
      <c r="BC2159" s="525" t="e">
        <f ca="1">MATCH(BD2159,OFFSET(Pinlist!$A$2,BC2158*(BA2159=BA2158),0,$BM$23,1),0)+BC2158*(BA2159=BA2158)</f>
        <v>#N/A</v>
      </c>
      <c r="BD2159" s="167">
        <f t="shared" ca="1" si="114"/>
        <v>0</v>
      </c>
      <c r="BE2159" s="191" t="e">
        <f ca="1">(OFFSET(Pinlist!$E$1,BC2159,0)-$BN$16)*$BN$19</f>
        <v>#N/A</v>
      </c>
      <c r="BF2159" s="192" t="e">
        <f ca="1">(OFFSET(Pinlist!$F$1,BC2159,0)-$BO$16)*$BO$19</f>
        <v>#N/A</v>
      </c>
      <c r="BG2159" s="1098" t="str">
        <f ca="1">IF(LEFT(BD2159,2)="RF",OFFSET(Pinlist!$D$1,Chart!BC2159,0)&amp;"_"&amp;OFFSET(Pinlist!$G$1,Chart!BC2159,0),"")</f>
        <v/>
      </c>
      <c r="BH2159" s="1098"/>
    </row>
    <row r="2160" spans="53:60" x14ac:dyDescent="0.2">
      <c r="BA2160" s="518">
        <f t="shared" ca="1" si="112"/>
        <v>61</v>
      </c>
      <c r="BB2160" s="174">
        <f t="shared" ca="1" si="113"/>
        <v>2097</v>
      </c>
      <c r="BC2160" s="525" t="e">
        <f ca="1">MATCH(BD2160,OFFSET(Pinlist!$A$2,BC2159*(BA2160=BA2159),0,$BM$23,1),0)+BC2159*(BA2160=BA2159)</f>
        <v>#N/A</v>
      </c>
      <c r="BD2160" s="167">
        <f t="shared" ca="1" si="114"/>
        <v>0</v>
      </c>
      <c r="BE2160" s="191" t="e">
        <f ca="1">(OFFSET(Pinlist!$E$1,BC2160,0)-$BN$16)*$BN$19</f>
        <v>#N/A</v>
      </c>
      <c r="BF2160" s="192" t="e">
        <f ca="1">(OFFSET(Pinlist!$F$1,BC2160,0)-$BO$16)*$BO$19</f>
        <v>#N/A</v>
      </c>
      <c r="BG2160" s="1098" t="str">
        <f ca="1">IF(LEFT(BD2160,2)="RF",OFFSET(Pinlist!$D$1,Chart!BC2160,0)&amp;"_"&amp;OFFSET(Pinlist!$G$1,Chart!BC2160,0),"")</f>
        <v/>
      </c>
      <c r="BH2160" s="1098"/>
    </row>
    <row r="2161" spans="53:60" x14ac:dyDescent="0.2">
      <c r="BA2161" s="518">
        <f t="shared" ca="1" si="112"/>
        <v>61</v>
      </c>
      <c r="BB2161" s="174">
        <f t="shared" ca="1" si="113"/>
        <v>2098</v>
      </c>
      <c r="BC2161" s="525" t="e">
        <f ca="1">MATCH(BD2161,OFFSET(Pinlist!$A$2,BC2160*(BA2161=BA2160),0,$BM$23,1),0)+BC2160*(BA2161=BA2160)</f>
        <v>#N/A</v>
      </c>
      <c r="BD2161" s="167">
        <f t="shared" ca="1" si="114"/>
        <v>0</v>
      </c>
      <c r="BE2161" s="191" t="e">
        <f ca="1">(OFFSET(Pinlist!$E$1,BC2161,0)-$BN$16)*$BN$19</f>
        <v>#N/A</v>
      </c>
      <c r="BF2161" s="192" t="e">
        <f ca="1">(OFFSET(Pinlist!$F$1,BC2161,0)-$BO$16)*$BO$19</f>
        <v>#N/A</v>
      </c>
      <c r="BG2161" s="1098" t="str">
        <f ca="1">IF(LEFT(BD2161,2)="RF",OFFSET(Pinlist!$D$1,Chart!BC2161,0)&amp;"_"&amp;OFFSET(Pinlist!$G$1,Chart!BC2161,0),"")</f>
        <v/>
      </c>
      <c r="BH2161" s="1098"/>
    </row>
    <row r="2162" spans="53:60" x14ac:dyDescent="0.2">
      <c r="BA2162" s="518">
        <f t="shared" ca="1" si="112"/>
        <v>61</v>
      </c>
      <c r="BB2162" s="174">
        <f t="shared" ca="1" si="113"/>
        <v>2099</v>
      </c>
      <c r="BC2162" s="525" t="e">
        <f ca="1">MATCH(BD2162,OFFSET(Pinlist!$A$2,BC2161*(BA2162=BA2161),0,$BM$23,1),0)+BC2161*(BA2162=BA2161)</f>
        <v>#N/A</v>
      </c>
      <c r="BD2162" s="167">
        <f t="shared" ca="1" si="114"/>
        <v>0</v>
      </c>
      <c r="BE2162" s="191" t="e">
        <f ca="1">(OFFSET(Pinlist!$E$1,BC2162,0)-$BN$16)*$BN$19</f>
        <v>#N/A</v>
      </c>
      <c r="BF2162" s="192" t="e">
        <f ca="1">(OFFSET(Pinlist!$F$1,BC2162,0)-$BO$16)*$BO$19</f>
        <v>#N/A</v>
      </c>
      <c r="BG2162" s="1098" t="str">
        <f ca="1">IF(LEFT(BD2162,2)="RF",OFFSET(Pinlist!$D$1,Chart!BC2162,0)&amp;"_"&amp;OFFSET(Pinlist!$G$1,Chart!BC2162,0),"")</f>
        <v/>
      </c>
      <c r="BH2162" s="1098"/>
    </row>
    <row r="2163" spans="53:60" x14ac:dyDescent="0.2">
      <c r="BA2163" s="518">
        <f t="shared" ca="1" si="112"/>
        <v>61</v>
      </c>
      <c r="BB2163" s="174">
        <f t="shared" ca="1" si="113"/>
        <v>2100</v>
      </c>
      <c r="BC2163" s="525" t="e">
        <f ca="1">MATCH(BD2163,OFFSET(Pinlist!$A$2,BC2162*(BA2163=BA2162),0,$BM$23,1),0)+BC2162*(BA2163=BA2162)</f>
        <v>#N/A</v>
      </c>
      <c r="BD2163" s="167">
        <f t="shared" ca="1" si="114"/>
        <v>0</v>
      </c>
      <c r="BE2163" s="191" t="e">
        <f ca="1">(OFFSET(Pinlist!$E$1,BC2163,0)-$BN$16)*$BN$19</f>
        <v>#N/A</v>
      </c>
      <c r="BF2163" s="192" t="e">
        <f ca="1">(OFFSET(Pinlist!$F$1,BC2163,0)-$BO$16)*$BO$19</f>
        <v>#N/A</v>
      </c>
      <c r="BG2163" s="1098" t="str">
        <f ca="1">IF(LEFT(BD2163,2)="RF",OFFSET(Pinlist!$D$1,Chart!BC2163,0)&amp;"_"&amp;OFFSET(Pinlist!$G$1,Chart!BC2163,0),"")</f>
        <v/>
      </c>
      <c r="BH2163" s="1098"/>
    </row>
    <row r="2164" spans="53:60" x14ac:dyDescent="0.2">
      <c r="BA2164" s="518">
        <f t="shared" ca="1" si="112"/>
        <v>61</v>
      </c>
      <c r="BB2164" s="174">
        <f t="shared" ca="1" si="113"/>
        <v>2101</v>
      </c>
      <c r="BC2164" s="525" t="e">
        <f ca="1">MATCH(BD2164,OFFSET(Pinlist!$A$2,BC2163*(BA2164=BA2163),0,$BM$23,1),0)+BC2163*(BA2164=BA2163)</f>
        <v>#N/A</v>
      </c>
      <c r="BD2164" s="167">
        <f t="shared" ca="1" si="114"/>
        <v>0</v>
      </c>
      <c r="BE2164" s="191" t="e">
        <f ca="1">(OFFSET(Pinlist!$E$1,BC2164,0)-$BN$16)*$BN$19</f>
        <v>#N/A</v>
      </c>
      <c r="BF2164" s="192" t="e">
        <f ca="1">(OFFSET(Pinlist!$F$1,BC2164,0)-$BO$16)*$BO$19</f>
        <v>#N/A</v>
      </c>
      <c r="BG2164" s="1098" t="str">
        <f ca="1">IF(LEFT(BD2164,2)="RF",OFFSET(Pinlist!$D$1,Chart!BC2164,0)&amp;"_"&amp;OFFSET(Pinlist!$G$1,Chart!BC2164,0),"")</f>
        <v/>
      </c>
      <c r="BH2164" s="1098"/>
    </row>
    <row r="2165" spans="53:60" x14ac:dyDescent="0.2">
      <c r="BA2165" s="518">
        <f t="shared" ca="1" si="112"/>
        <v>61</v>
      </c>
      <c r="BB2165" s="174">
        <f t="shared" ca="1" si="113"/>
        <v>2102</v>
      </c>
      <c r="BC2165" s="525" t="e">
        <f ca="1">MATCH(BD2165,OFFSET(Pinlist!$A$2,BC2164*(BA2165=BA2164),0,$BM$23,1),0)+BC2164*(BA2165=BA2164)</f>
        <v>#N/A</v>
      </c>
      <c r="BD2165" s="167">
        <f t="shared" ca="1" si="114"/>
        <v>0</v>
      </c>
      <c r="BE2165" s="191" t="e">
        <f ca="1">(OFFSET(Pinlist!$E$1,BC2165,0)-$BN$16)*$BN$19</f>
        <v>#N/A</v>
      </c>
      <c r="BF2165" s="192" t="e">
        <f ca="1">(OFFSET(Pinlist!$F$1,BC2165,0)-$BO$16)*$BO$19</f>
        <v>#N/A</v>
      </c>
      <c r="BG2165" s="1098" t="str">
        <f ca="1">IF(LEFT(BD2165,2)="RF",OFFSET(Pinlist!$D$1,Chart!BC2165,0)&amp;"_"&amp;OFFSET(Pinlist!$G$1,Chart!BC2165,0),"")</f>
        <v/>
      </c>
      <c r="BH2165" s="1098"/>
    </row>
    <row r="2166" spans="53:60" x14ac:dyDescent="0.2">
      <c r="BA2166" s="518">
        <f t="shared" ca="1" si="112"/>
        <v>61</v>
      </c>
      <c r="BB2166" s="174">
        <f t="shared" ca="1" si="113"/>
        <v>2103</v>
      </c>
      <c r="BC2166" s="525" t="e">
        <f ca="1">MATCH(BD2166,OFFSET(Pinlist!$A$2,BC2165*(BA2166=BA2165),0,$BM$23,1),0)+BC2165*(BA2166=BA2165)</f>
        <v>#N/A</v>
      </c>
      <c r="BD2166" s="167">
        <f t="shared" ca="1" si="114"/>
        <v>0</v>
      </c>
      <c r="BE2166" s="191" t="e">
        <f ca="1">(OFFSET(Pinlist!$E$1,BC2166,0)-$BN$16)*$BN$19</f>
        <v>#N/A</v>
      </c>
      <c r="BF2166" s="192" t="e">
        <f ca="1">(OFFSET(Pinlist!$F$1,BC2166,0)-$BO$16)*$BO$19</f>
        <v>#N/A</v>
      </c>
      <c r="BG2166" s="1098" t="str">
        <f ca="1">IF(LEFT(BD2166,2)="RF",OFFSET(Pinlist!$D$1,Chart!BC2166,0)&amp;"_"&amp;OFFSET(Pinlist!$G$1,Chart!BC2166,0),"")</f>
        <v/>
      </c>
      <c r="BH2166" s="1098"/>
    </row>
    <row r="2167" spans="53:60" x14ac:dyDescent="0.2">
      <c r="BA2167" s="518">
        <f t="shared" ca="1" si="112"/>
        <v>61</v>
      </c>
      <c r="BB2167" s="174">
        <f t="shared" ca="1" si="113"/>
        <v>2104</v>
      </c>
      <c r="BC2167" s="525" t="e">
        <f ca="1">MATCH(BD2167,OFFSET(Pinlist!$A$2,BC2166*(BA2167=BA2166),0,$BM$23,1),0)+BC2166*(BA2167=BA2166)</f>
        <v>#N/A</v>
      </c>
      <c r="BD2167" s="167">
        <f t="shared" ca="1" si="114"/>
        <v>0</v>
      </c>
      <c r="BE2167" s="191" t="e">
        <f ca="1">(OFFSET(Pinlist!$E$1,BC2167,0)-$BN$16)*$BN$19</f>
        <v>#N/A</v>
      </c>
      <c r="BF2167" s="192" t="e">
        <f ca="1">(OFFSET(Pinlist!$F$1,BC2167,0)-$BO$16)*$BO$19</f>
        <v>#N/A</v>
      </c>
      <c r="BG2167" s="1098" t="str">
        <f ca="1">IF(LEFT(BD2167,2)="RF",OFFSET(Pinlist!$D$1,Chart!BC2167,0)&amp;"_"&amp;OFFSET(Pinlist!$G$1,Chart!BC2167,0),"")</f>
        <v/>
      </c>
      <c r="BH2167" s="1098"/>
    </row>
    <row r="2168" spans="53:60" x14ac:dyDescent="0.2">
      <c r="BA2168" s="518">
        <f t="shared" ca="1" si="112"/>
        <v>61</v>
      </c>
      <c r="BB2168" s="174">
        <f t="shared" ca="1" si="113"/>
        <v>2105</v>
      </c>
      <c r="BC2168" s="525" t="e">
        <f ca="1">MATCH(BD2168,OFFSET(Pinlist!$A$2,BC2167*(BA2168=BA2167),0,$BM$23,1),0)+BC2167*(BA2168=BA2167)</f>
        <v>#N/A</v>
      </c>
      <c r="BD2168" s="167">
        <f t="shared" ca="1" si="114"/>
        <v>0</v>
      </c>
      <c r="BE2168" s="191" t="e">
        <f ca="1">(OFFSET(Pinlist!$E$1,BC2168,0)-$BN$16)*$BN$19</f>
        <v>#N/A</v>
      </c>
      <c r="BF2168" s="192" t="e">
        <f ca="1">(OFFSET(Pinlist!$F$1,BC2168,0)-$BO$16)*$BO$19</f>
        <v>#N/A</v>
      </c>
      <c r="BG2168" s="1098" t="str">
        <f ca="1">IF(LEFT(BD2168,2)="RF",OFFSET(Pinlist!$D$1,Chart!BC2168,0)&amp;"_"&amp;OFFSET(Pinlist!$G$1,Chart!BC2168,0),"")</f>
        <v/>
      </c>
      <c r="BH2168" s="1098"/>
    </row>
    <row r="2169" spans="53:60" x14ac:dyDescent="0.2">
      <c r="BA2169" s="518">
        <f t="shared" ca="1" si="112"/>
        <v>61</v>
      </c>
      <c r="BB2169" s="174">
        <f t="shared" ca="1" si="113"/>
        <v>2106</v>
      </c>
      <c r="BC2169" s="525" t="e">
        <f ca="1">MATCH(BD2169,OFFSET(Pinlist!$A$2,BC2168*(BA2169=BA2168),0,$BM$23,1),0)+BC2168*(BA2169=BA2168)</f>
        <v>#N/A</v>
      </c>
      <c r="BD2169" s="167">
        <f t="shared" ca="1" si="114"/>
        <v>0</v>
      </c>
      <c r="BE2169" s="191" t="e">
        <f ca="1">(OFFSET(Pinlist!$E$1,BC2169,0)-$BN$16)*$BN$19</f>
        <v>#N/A</v>
      </c>
      <c r="BF2169" s="192" t="e">
        <f ca="1">(OFFSET(Pinlist!$F$1,BC2169,0)-$BO$16)*$BO$19</f>
        <v>#N/A</v>
      </c>
      <c r="BG2169" s="1098" t="str">
        <f ca="1">IF(LEFT(BD2169,2)="RF",OFFSET(Pinlist!$D$1,Chart!BC2169,0)&amp;"_"&amp;OFFSET(Pinlist!$G$1,Chart!BC2169,0),"")</f>
        <v/>
      </c>
      <c r="BH2169" s="1098"/>
    </row>
    <row r="2170" spans="53:60" x14ac:dyDescent="0.2">
      <c r="BA2170" s="518">
        <f t="shared" ca="1" si="112"/>
        <v>61</v>
      </c>
      <c r="BB2170" s="174">
        <f t="shared" ca="1" si="113"/>
        <v>2107</v>
      </c>
      <c r="BC2170" s="525" t="e">
        <f ca="1">MATCH(BD2170,OFFSET(Pinlist!$A$2,BC2169*(BA2170=BA2169),0,$BM$23,1),0)+BC2169*(BA2170=BA2169)</f>
        <v>#N/A</v>
      </c>
      <c r="BD2170" s="167">
        <f t="shared" ca="1" si="114"/>
        <v>0</v>
      </c>
      <c r="BE2170" s="191" t="e">
        <f ca="1">(OFFSET(Pinlist!$E$1,BC2170,0)-$BN$16)*$BN$19</f>
        <v>#N/A</v>
      </c>
      <c r="BF2170" s="192" t="e">
        <f ca="1">(OFFSET(Pinlist!$F$1,BC2170,0)-$BO$16)*$BO$19</f>
        <v>#N/A</v>
      </c>
      <c r="BG2170" s="1098" t="str">
        <f ca="1">IF(LEFT(BD2170,2)="RF",OFFSET(Pinlist!$D$1,Chart!BC2170,0)&amp;"_"&amp;OFFSET(Pinlist!$G$1,Chart!BC2170,0),"")</f>
        <v/>
      </c>
      <c r="BH2170" s="1098"/>
    </row>
    <row r="2171" spans="53:60" x14ac:dyDescent="0.2">
      <c r="BA2171" s="518">
        <f t="shared" ca="1" si="112"/>
        <v>61</v>
      </c>
      <c r="BB2171" s="174">
        <f t="shared" ca="1" si="113"/>
        <v>2108</v>
      </c>
      <c r="BC2171" s="525" t="e">
        <f ca="1">MATCH(BD2171,OFFSET(Pinlist!$A$2,BC2170*(BA2171=BA2170),0,$BM$23,1),0)+BC2170*(BA2171=BA2170)</f>
        <v>#N/A</v>
      </c>
      <c r="BD2171" s="167">
        <f t="shared" ca="1" si="114"/>
        <v>0</v>
      </c>
      <c r="BE2171" s="191" t="e">
        <f ca="1">(OFFSET(Pinlist!$E$1,BC2171,0)-$BN$16)*$BN$19</f>
        <v>#N/A</v>
      </c>
      <c r="BF2171" s="192" t="e">
        <f ca="1">(OFFSET(Pinlist!$F$1,BC2171,0)-$BO$16)*$BO$19</f>
        <v>#N/A</v>
      </c>
      <c r="BG2171" s="1098" t="str">
        <f ca="1">IF(LEFT(BD2171,2)="RF",OFFSET(Pinlist!$D$1,Chart!BC2171,0)&amp;"_"&amp;OFFSET(Pinlist!$G$1,Chart!BC2171,0),"")</f>
        <v/>
      </c>
      <c r="BH2171" s="1098"/>
    </row>
    <row r="2172" spans="53:60" x14ac:dyDescent="0.2">
      <c r="BA2172" s="518">
        <f t="shared" ca="1" si="112"/>
        <v>61</v>
      </c>
      <c r="BB2172" s="174">
        <f t="shared" ca="1" si="113"/>
        <v>2109</v>
      </c>
      <c r="BC2172" s="525" t="e">
        <f ca="1">MATCH(BD2172,OFFSET(Pinlist!$A$2,BC2171*(BA2172=BA2171),0,$BM$23,1),0)+BC2171*(BA2172=BA2171)</f>
        <v>#N/A</v>
      </c>
      <c r="BD2172" s="167">
        <f t="shared" ca="1" si="114"/>
        <v>0</v>
      </c>
      <c r="BE2172" s="191" t="e">
        <f ca="1">(OFFSET(Pinlist!$E$1,BC2172,0)-$BN$16)*$BN$19</f>
        <v>#N/A</v>
      </c>
      <c r="BF2172" s="192" t="e">
        <f ca="1">(OFFSET(Pinlist!$F$1,BC2172,0)-$BO$16)*$BO$19</f>
        <v>#N/A</v>
      </c>
      <c r="BG2172" s="1098" t="str">
        <f ca="1">IF(LEFT(BD2172,2)="RF",OFFSET(Pinlist!$D$1,Chart!BC2172,0)&amp;"_"&amp;OFFSET(Pinlist!$G$1,Chart!BC2172,0),"")</f>
        <v/>
      </c>
      <c r="BH2172" s="1098"/>
    </row>
    <row r="2173" spans="53:60" x14ac:dyDescent="0.2">
      <c r="BA2173" s="518">
        <f t="shared" ca="1" si="112"/>
        <v>61</v>
      </c>
      <c r="BB2173" s="174">
        <f t="shared" ca="1" si="113"/>
        <v>2110</v>
      </c>
      <c r="BC2173" s="525" t="e">
        <f ca="1">MATCH(BD2173,OFFSET(Pinlist!$A$2,BC2172*(BA2173=BA2172),0,$BM$23,1),0)+BC2172*(BA2173=BA2172)</f>
        <v>#N/A</v>
      </c>
      <c r="BD2173" s="167">
        <f t="shared" ca="1" si="114"/>
        <v>0</v>
      </c>
      <c r="BE2173" s="191" t="e">
        <f ca="1">(OFFSET(Pinlist!$E$1,BC2173,0)-$BN$16)*$BN$19</f>
        <v>#N/A</v>
      </c>
      <c r="BF2173" s="192" t="e">
        <f ca="1">(OFFSET(Pinlist!$F$1,BC2173,0)-$BO$16)*$BO$19</f>
        <v>#N/A</v>
      </c>
      <c r="BG2173" s="1098" t="str">
        <f ca="1">IF(LEFT(BD2173,2)="RF",OFFSET(Pinlist!$D$1,Chart!BC2173,0)&amp;"_"&amp;OFFSET(Pinlist!$G$1,Chart!BC2173,0),"")</f>
        <v/>
      </c>
      <c r="BH2173" s="1098"/>
    </row>
    <row r="2174" spans="53:60" x14ac:dyDescent="0.2">
      <c r="BA2174" s="518">
        <f t="shared" ca="1" si="112"/>
        <v>61</v>
      </c>
      <c r="BB2174" s="174">
        <f t="shared" ca="1" si="113"/>
        <v>2111</v>
      </c>
      <c r="BC2174" s="525" t="e">
        <f ca="1">MATCH(BD2174,OFFSET(Pinlist!$A$2,BC2173*(BA2174=BA2173),0,$BM$23,1),0)+BC2173*(BA2174=BA2173)</f>
        <v>#N/A</v>
      </c>
      <c r="BD2174" s="167">
        <f t="shared" ca="1" si="114"/>
        <v>0</v>
      </c>
      <c r="BE2174" s="191" t="e">
        <f ca="1">(OFFSET(Pinlist!$E$1,BC2174,0)-$BN$16)*$BN$19</f>
        <v>#N/A</v>
      </c>
      <c r="BF2174" s="192" t="e">
        <f ca="1">(OFFSET(Pinlist!$F$1,BC2174,0)-$BO$16)*$BO$19</f>
        <v>#N/A</v>
      </c>
      <c r="BG2174" s="1098" t="str">
        <f ca="1">IF(LEFT(BD2174,2)="RF",OFFSET(Pinlist!$D$1,Chart!BC2174,0)&amp;"_"&amp;OFFSET(Pinlist!$G$1,Chart!BC2174,0),"")</f>
        <v/>
      </c>
      <c r="BH2174" s="1098"/>
    </row>
    <row r="2175" spans="53:60" x14ac:dyDescent="0.2">
      <c r="BA2175" s="518">
        <f t="shared" ca="1" si="112"/>
        <v>61</v>
      </c>
      <c r="BB2175" s="174">
        <f t="shared" ca="1" si="113"/>
        <v>2112</v>
      </c>
      <c r="BC2175" s="525" t="e">
        <f ca="1">MATCH(BD2175,OFFSET(Pinlist!$A$2,BC2174*(BA2175=BA2174),0,$BM$23,1),0)+BC2174*(BA2175=BA2174)</f>
        <v>#N/A</v>
      </c>
      <c r="BD2175" s="167">
        <f t="shared" ca="1" si="114"/>
        <v>0</v>
      </c>
      <c r="BE2175" s="191" t="e">
        <f ca="1">(OFFSET(Pinlist!$E$1,BC2175,0)-$BN$16)*$BN$19</f>
        <v>#N/A</v>
      </c>
      <c r="BF2175" s="192" t="e">
        <f ca="1">(OFFSET(Pinlist!$F$1,BC2175,0)-$BO$16)*$BO$19</f>
        <v>#N/A</v>
      </c>
      <c r="BG2175" s="1098" t="str">
        <f ca="1">IF(LEFT(BD2175,2)="RF",OFFSET(Pinlist!$D$1,Chart!BC2175,0)&amp;"_"&amp;OFFSET(Pinlist!$G$1,Chart!BC2175,0),"")</f>
        <v/>
      </c>
      <c r="BH2175" s="1098"/>
    </row>
    <row r="2176" spans="53:60" x14ac:dyDescent="0.2">
      <c r="BA2176" s="518">
        <f t="shared" ca="1" si="112"/>
        <v>61</v>
      </c>
      <c r="BB2176" s="174">
        <f t="shared" ca="1" si="113"/>
        <v>2113</v>
      </c>
      <c r="BC2176" s="525" t="e">
        <f ca="1">MATCH(BD2176,OFFSET(Pinlist!$A$2,BC2175*(BA2176=BA2175),0,$BM$23,1),0)+BC2175*(BA2176=BA2175)</f>
        <v>#N/A</v>
      </c>
      <c r="BD2176" s="167">
        <f t="shared" ca="1" si="114"/>
        <v>0</v>
      </c>
      <c r="BE2176" s="191" t="e">
        <f ca="1">(OFFSET(Pinlist!$E$1,BC2176,0)-$BN$16)*$BN$19</f>
        <v>#N/A</v>
      </c>
      <c r="BF2176" s="192" t="e">
        <f ca="1">(OFFSET(Pinlist!$F$1,BC2176,0)-$BO$16)*$BO$19</f>
        <v>#N/A</v>
      </c>
      <c r="BG2176" s="1098" t="str">
        <f ca="1">IF(LEFT(BD2176,2)="RF",OFFSET(Pinlist!$D$1,Chart!BC2176,0)&amp;"_"&amp;OFFSET(Pinlist!$G$1,Chart!BC2176,0),"")</f>
        <v/>
      </c>
      <c r="BH2176" s="1098"/>
    </row>
    <row r="2177" spans="53:60" x14ac:dyDescent="0.2">
      <c r="BA2177" s="518">
        <f t="shared" ca="1" si="112"/>
        <v>61</v>
      </c>
      <c r="BB2177" s="174">
        <f t="shared" ca="1" si="113"/>
        <v>2114</v>
      </c>
      <c r="BC2177" s="525" t="e">
        <f ca="1">MATCH(BD2177,OFFSET(Pinlist!$A$2,BC2176*(BA2177=BA2176),0,$BM$23,1),0)+BC2176*(BA2177=BA2176)</f>
        <v>#N/A</v>
      </c>
      <c r="BD2177" s="167">
        <f t="shared" ca="1" si="114"/>
        <v>0</v>
      </c>
      <c r="BE2177" s="191" t="e">
        <f ca="1">(OFFSET(Pinlist!$E$1,BC2177,0)-$BN$16)*$BN$19</f>
        <v>#N/A</v>
      </c>
      <c r="BF2177" s="192" t="e">
        <f ca="1">(OFFSET(Pinlist!$F$1,BC2177,0)-$BO$16)*$BO$19</f>
        <v>#N/A</v>
      </c>
      <c r="BG2177" s="1098" t="str">
        <f ca="1">IF(LEFT(BD2177,2)="RF",OFFSET(Pinlist!$D$1,Chart!BC2177,0)&amp;"_"&amp;OFFSET(Pinlist!$G$1,Chart!BC2177,0),"")</f>
        <v/>
      </c>
      <c r="BH2177" s="1098"/>
    </row>
    <row r="2178" spans="53:60" x14ac:dyDescent="0.2">
      <c r="BA2178" s="518">
        <f t="shared" ca="1" si="112"/>
        <v>61</v>
      </c>
      <c r="BB2178" s="174">
        <f t="shared" ca="1" si="113"/>
        <v>2115</v>
      </c>
      <c r="BC2178" s="525" t="e">
        <f ca="1">MATCH(BD2178,OFFSET(Pinlist!$A$2,BC2177*(BA2178=BA2177),0,$BM$23,1),0)+BC2177*(BA2178=BA2177)</f>
        <v>#N/A</v>
      </c>
      <c r="BD2178" s="167">
        <f t="shared" ca="1" si="114"/>
        <v>0</v>
      </c>
      <c r="BE2178" s="191" t="e">
        <f ca="1">(OFFSET(Pinlist!$E$1,BC2178,0)-$BN$16)*$BN$19</f>
        <v>#N/A</v>
      </c>
      <c r="BF2178" s="192" t="e">
        <f ca="1">(OFFSET(Pinlist!$F$1,BC2178,0)-$BO$16)*$BO$19</f>
        <v>#N/A</v>
      </c>
      <c r="BG2178" s="1098" t="str">
        <f ca="1">IF(LEFT(BD2178,2)="RF",OFFSET(Pinlist!$D$1,Chart!BC2178,0)&amp;"_"&amp;OFFSET(Pinlist!$G$1,Chart!BC2178,0),"")</f>
        <v/>
      </c>
      <c r="BH2178" s="1098"/>
    </row>
    <row r="2179" spans="53:60" x14ac:dyDescent="0.2">
      <c r="BA2179" s="518">
        <f t="shared" ca="1" si="112"/>
        <v>61</v>
      </c>
      <c r="BB2179" s="174">
        <f t="shared" ca="1" si="113"/>
        <v>2116</v>
      </c>
      <c r="BC2179" s="525" t="e">
        <f ca="1">MATCH(BD2179,OFFSET(Pinlist!$A$2,BC2178*(BA2179=BA2178),0,$BM$23,1),0)+BC2178*(BA2179=BA2178)</f>
        <v>#N/A</v>
      </c>
      <c r="BD2179" s="167">
        <f t="shared" ca="1" si="114"/>
        <v>0</v>
      </c>
      <c r="BE2179" s="191" t="e">
        <f ca="1">(OFFSET(Pinlist!$E$1,BC2179,0)-$BN$16)*$BN$19</f>
        <v>#N/A</v>
      </c>
      <c r="BF2179" s="192" t="e">
        <f ca="1">(OFFSET(Pinlist!$F$1,BC2179,0)-$BO$16)*$BO$19</f>
        <v>#N/A</v>
      </c>
      <c r="BG2179" s="1098" t="str">
        <f ca="1">IF(LEFT(BD2179,2)="RF",OFFSET(Pinlist!$D$1,Chart!BC2179,0)&amp;"_"&amp;OFFSET(Pinlist!$G$1,Chart!BC2179,0),"")</f>
        <v/>
      </c>
      <c r="BH2179" s="1098"/>
    </row>
    <row r="2180" spans="53:60" x14ac:dyDescent="0.2">
      <c r="BA2180" s="518">
        <f t="shared" ref="BA2180:BA2243" ca="1" si="115">BA2179+(BB2179=OFFSET($BZ$3,BA2179,0))</f>
        <v>61</v>
      </c>
      <c r="BB2180" s="174">
        <f t="shared" ref="BB2180:BB2243" ca="1" si="116">IF(BA2180=BA2179,BB2179+1,1)</f>
        <v>2117</v>
      </c>
      <c r="BC2180" s="525" t="e">
        <f ca="1">MATCH(BD2180,OFFSET(Pinlist!$A$2,BC2179*(BA2180=BA2179),0,$BM$23,1),0)+BC2179*(BA2180=BA2179)</f>
        <v>#N/A</v>
      </c>
      <c r="BD2180" s="167">
        <f t="shared" ref="BD2180:BD2243" ca="1" si="117">OFFSET($BY$3,BA2180,0)</f>
        <v>0</v>
      </c>
      <c r="BE2180" s="191" t="e">
        <f ca="1">(OFFSET(Pinlist!$E$1,BC2180,0)-$BN$16)*$BN$19</f>
        <v>#N/A</v>
      </c>
      <c r="BF2180" s="192" t="e">
        <f ca="1">(OFFSET(Pinlist!$F$1,BC2180,0)-$BO$16)*$BO$19</f>
        <v>#N/A</v>
      </c>
      <c r="BG2180" s="1098" t="str">
        <f ca="1">IF(LEFT(BD2180,2)="RF",OFFSET(Pinlist!$D$1,Chart!BC2180,0)&amp;"_"&amp;OFFSET(Pinlist!$G$1,Chart!BC2180,0),"")</f>
        <v/>
      </c>
      <c r="BH2180" s="1098"/>
    </row>
    <row r="2181" spans="53:60" x14ac:dyDescent="0.2">
      <c r="BA2181" s="518">
        <f t="shared" ca="1" si="115"/>
        <v>61</v>
      </c>
      <c r="BB2181" s="174">
        <f t="shared" ca="1" si="116"/>
        <v>2118</v>
      </c>
      <c r="BC2181" s="525" t="e">
        <f ca="1">MATCH(BD2181,OFFSET(Pinlist!$A$2,BC2180*(BA2181=BA2180),0,$BM$23,1),0)+BC2180*(BA2181=BA2180)</f>
        <v>#N/A</v>
      </c>
      <c r="BD2181" s="167">
        <f t="shared" ca="1" si="117"/>
        <v>0</v>
      </c>
      <c r="BE2181" s="191" t="e">
        <f ca="1">(OFFSET(Pinlist!$E$1,BC2181,0)-$BN$16)*$BN$19</f>
        <v>#N/A</v>
      </c>
      <c r="BF2181" s="192" t="e">
        <f ca="1">(OFFSET(Pinlist!$F$1,BC2181,0)-$BO$16)*$BO$19</f>
        <v>#N/A</v>
      </c>
      <c r="BG2181" s="1098" t="str">
        <f ca="1">IF(LEFT(BD2181,2)="RF",OFFSET(Pinlist!$D$1,Chart!BC2181,0)&amp;"_"&amp;OFFSET(Pinlist!$G$1,Chart!BC2181,0),"")</f>
        <v/>
      </c>
      <c r="BH2181" s="1098"/>
    </row>
    <row r="2182" spans="53:60" x14ac:dyDescent="0.2">
      <c r="BA2182" s="518">
        <f t="shared" ca="1" si="115"/>
        <v>61</v>
      </c>
      <c r="BB2182" s="174">
        <f t="shared" ca="1" si="116"/>
        <v>2119</v>
      </c>
      <c r="BC2182" s="525" t="e">
        <f ca="1">MATCH(BD2182,OFFSET(Pinlist!$A$2,BC2181*(BA2182=BA2181),0,$BM$23,1),0)+BC2181*(BA2182=BA2181)</f>
        <v>#N/A</v>
      </c>
      <c r="BD2182" s="167">
        <f t="shared" ca="1" si="117"/>
        <v>0</v>
      </c>
      <c r="BE2182" s="191" t="e">
        <f ca="1">(OFFSET(Pinlist!$E$1,BC2182,0)-$BN$16)*$BN$19</f>
        <v>#N/A</v>
      </c>
      <c r="BF2182" s="192" t="e">
        <f ca="1">(OFFSET(Pinlist!$F$1,BC2182,0)-$BO$16)*$BO$19</f>
        <v>#N/A</v>
      </c>
      <c r="BG2182" s="1098" t="str">
        <f ca="1">IF(LEFT(BD2182,2)="RF",OFFSET(Pinlist!$D$1,Chart!BC2182,0)&amp;"_"&amp;OFFSET(Pinlist!$G$1,Chart!BC2182,0),"")</f>
        <v/>
      </c>
      <c r="BH2182" s="1098"/>
    </row>
    <row r="2183" spans="53:60" x14ac:dyDescent="0.2">
      <c r="BA2183" s="518">
        <f t="shared" ca="1" si="115"/>
        <v>61</v>
      </c>
      <c r="BB2183" s="174">
        <f t="shared" ca="1" si="116"/>
        <v>2120</v>
      </c>
      <c r="BC2183" s="525" t="e">
        <f ca="1">MATCH(BD2183,OFFSET(Pinlist!$A$2,BC2182*(BA2183=BA2182),0,$BM$23,1),0)+BC2182*(BA2183=BA2182)</f>
        <v>#N/A</v>
      </c>
      <c r="BD2183" s="167">
        <f t="shared" ca="1" si="117"/>
        <v>0</v>
      </c>
      <c r="BE2183" s="191" t="e">
        <f ca="1">(OFFSET(Pinlist!$E$1,BC2183,0)-$BN$16)*$BN$19</f>
        <v>#N/A</v>
      </c>
      <c r="BF2183" s="192" t="e">
        <f ca="1">(OFFSET(Pinlist!$F$1,BC2183,0)-$BO$16)*$BO$19</f>
        <v>#N/A</v>
      </c>
      <c r="BG2183" s="1098" t="str">
        <f ca="1">IF(LEFT(BD2183,2)="RF",OFFSET(Pinlist!$D$1,Chart!BC2183,0)&amp;"_"&amp;OFFSET(Pinlist!$G$1,Chart!BC2183,0),"")</f>
        <v/>
      </c>
      <c r="BH2183" s="1098"/>
    </row>
    <row r="2184" spans="53:60" x14ac:dyDescent="0.2">
      <c r="BA2184" s="518">
        <f t="shared" ca="1" si="115"/>
        <v>61</v>
      </c>
      <c r="BB2184" s="174">
        <f t="shared" ca="1" si="116"/>
        <v>2121</v>
      </c>
      <c r="BC2184" s="525" t="e">
        <f ca="1">MATCH(BD2184,OFFSET(Pinlist!$A$2,BC2183*(BA2184=BA2183),0,$BM$23,1),0)+BC2183*(BA2184=BA2183)</f>
        <v>#N/A</v>
      </c>
      <c r="BD2184" s="167">
        <f t="shared" ca="1" si="117"/>
        <v>0</v>
      </c>
      <c r="BE2184" s="191" t="e">
        <f ca="1">(OFFSET(Pinlist!$E$1,BC2184,0)-$BN$16)*$BN$19</f>
        <v>#N/A</v>
      </c>
      <c r="BF2184" s="192" t="e">
        <f ca="1">(OFFSET(Pinlist!$F$1,BC2184,0)-$BO$16)*$BO$19</f>
        <v>#N/A</v>
      </c>
      <c r="BG2184" s="1098" t="str">
        <f ca="1">IF(LEFT(BD2184,2)="RF",OFFSET(Pinlist!$D$1,Chart!BC2184,0)&amp;"_"&amp;OFFSET(Pinlist!$G$1,Chart!BC2184,0),"")</f>
        <v/>
      </c>
      <c r="BH2184" s="1098"/>
    </row>
    <row r="2185" spans="53:60" x14ac:dyDescent="0.2">
      <c r="BA2185" s="518">
        <f t="shared" ca="1" si="115"/>
        <v>61</v>
      </c>
      <c r="BB2185" s="174">
        <f t="shared" ca="1" si="116"/>
        <v>2122</v>
      </c>
      <c r="BC2185" s="525" t="e">
        <f ca="1">MATCH(BD2185,OFFSET(Pinlist!$A$2,BC2184*(BA2185=BA2184),0,$BM$23,1),0)+BC2184*(BA2185=BA2184)</f>
        <v>#N/A</v>
      </c>
      <c r="BD2185" s="167">
        <f t="shared" ca="1" si="117"/>
        <v>0</v>
      </c>
      <c r="BE2185" s="191" t="e">
        <f ca="1">(OFFSET(Pinlist!$E$1,BC2185,0)-$BN$16)*$BN$19</f>
        <v>#N/A</v>
      </c>
      <c r="BF2185" s="192" t="e">
        <f ca="1">(OFFSET(Pinlist!$F$1,BC2185,0)-$BO$16)*$BO$19</f>
        <v>#N/A</v>
      </c>
      <c r="BG2185" s="1098" t="str">
        <f ca="1">IF(LEFT(BD2185,2)="RF",OFFSET(Pinlist!$D$1,Chart!BC2185,0)&amp;"_"&amp;OFFSET(Pinlist!$G$1,Chart!BC2185,0),"")</f>
        <v/>
      </c>
      <c r="BH2185" s="1098"/>
    </row>
    <row r="2186" spans="53:60" x14ac:dyDescent="0.2">
      <c r="BA2186" s="518">
        <f t="shared" ca="1" si="115"/>
        <v>61</v>
      </c>
      <c r="BB2186" s="174">
        <f t="shared" ca="1" si="116"/>
        <v>2123</v>
      </c>
      <c r="BC2186" s="525" t="e">
        <f ca="1">MATCH(BD2186,OFFSET(Pinlist!$A$2,BC2185*(BA2186=BA2185),0,$BM$23,1),0)+BC2185*(BA2186=BA2185)</f>
        <v>#N/A</v>
      </c>
      <c r="BD2186" s="167">
        <f t="shared" ca="1" si="117"/>
        <v>0</v>
      </c>
      <c r="BE2186" s="191" t="e">
        <f ca="1">(OFFSET(Pinlist!$E$1,BC2186,0)-$BN$16)*$BN$19</f>
        <v>#N/A</v>
      </c>
      <c r="BF2186" s="192" t="e">
        <f ca="1">(OFFSET(Pinlist!$F$1,BC2186,0)-$BO$16)*$BO$19</f>
        <v>#N/A</v>
      </c>
      <c r="BG2186" s="1098" t="str">
        <f ca="1">IF(LEFT(BD2186,2)="RF",OFFSET(Pinlist!$D$1,Chart!BC2186,0)&amp;"_"&amp;OFFSET(Pinlist!$G$1,Chart!BC2186,0),"")</f>
        <v/>
      </c>
      <c r="BH2186" s="1098"/>
    </row>
    <row r="2187" spans="53:60" x14ac:dyDescent="0.2">
      <c r="BA2187" s="518">
        <f t="shared" ca="1" si="115"/>
        <v>61</v>
      </c>
      <c r="BB2187" s="174">
        <f t="shared" ca="1" si="116"/>
        <v>2124</v>
      </c>
      <c r="BC2187" s="525" t="e">
        <f ca="1">MATCH(BD2187,OFFSET(Pinlist!$A$2,BC2186*(BA2187=BA2186),0,$BM$23,1),0)+BC2186*(BA2187=BA2186)</f>
        <v>#N/A</v>
      </c>
      <c r="BD2187" s="167">
        <f t="shared" ca="1" si="117"/>
        <v>0</v>
      </c>
      <c r="BE2187" s="191" t="e">
        <f ca="1">(OFFSET(Pinlist!$E$1,BC2187,0)-$BN$16)*$BN$19</f>
        <v>#N/A</v>
      </c>
      <c r="BF2187" s="192" t="e">
        <f ca="1">(OFFSET(Pinlist!$F$1,BC2187,0)-$BO$16)*$BO$19</f>
        <v>#N/A</v>
      </c>
      <c r="BG2187" s="1098" t="str">
        <f ca="1">IF(LEFT(BD2187,2)="RF",OFFSET(Pinlist!$D$1,Chart!BC2187,0)&amp;"_"&amp;OFFSET(Pinlist!$G$1,Chart!BC2187,0),"")</f>
        <v/>
      </c>
      <c r="BH2187" s="1098"/>
    </row>
    <row r="2188" spans="53:60" x14ac:dyDescent="0.2">
      <c r="BA2188" s="518">
        <f t="shared" ca="1" si="115"/>
        <v>61</v>
      </c>
      <c r="BB2188" s="174">
        <f t="shared" ca="1" si="116"/>
        <v>2125</v>
      </c>
      <c r="BC2188" s="525" t="e">
        <f ca="1">MATCH(BD2188,OFFSET(Pinlist!$A$2,BC2187*(BA2188=BA2187),0,$BM$23,1),0)+BC2187*(BA2188=BA2187)</f>
        <v>#N/A</v>
      </c>
      <c r="BD2188" s="167">
        <f t="shared" ca="1" si="117"/>
        <v>0</v>
      </c>
      <c r="BE2188" s="191" t="e">
        <f ca="1">(OFFSET(Pinlist!$E$1,BC2188,0)-$BN$16)*$BN$19</f>
        <v>#N/A</v>
      </c>
      <c r="BF2188" s="192" t="e">
        <f ca="1">(OFFSET(Pinlist!$F$1,BC2188,0)-$BO$16)*$BO$19</f>
        <v>#N/A</v>
      </c>
      <c r="BG2188" s="1098" t="str">
        <f ca="1">IF(LEFT(BD2188,2)="RF",OFFSET(Pinlist!$D$1,Chart!BC2188,0)&amp;"_"&amp;OFFSET(Pinlist!$G$1,Chart!BC2188,0),"")</f>
        <v/>
      </c>
      <c r="BH2188" s="1098"/>
    </row>
    <row r="2189" spans="53:60" x14ac:dyDescent="0.2">
      <c r="BA2189" s="518">
        <f t="shared" ca="1" si="115"/>
        <v>61</v>
      </c>
      <c r="BB2189" s="174">
        <f t="shared" ca="1" si="116"/>
        <v>2126</v>
      </c>
      <c r="BC2189" s="525" t="e">
        <f ca="1">MATCH(BD2189,OFFSET(Pinlist!$A$2,BC2188*(BA2189=BA2188),0,$BM$23,1),0)+BC2188*(BA2189=BA2188)</f>
        <v>#N/A</v>
      </c>
      <c r="BD2189" s="167">
        <f t="shared" ca="1" si="117"/>
        <v>0</v>
      </c>
      <c r="BE2189" s="191" t="e">
        <f ca="1">(OFFSET(Pinlist!$E$1,BC2189,0)-$BN$16)*$BN$19</f>
        <v>#N/A</v>
      </c>
      <c r="BF2189" s="192" t="e">
        <f ca="1">(OFFSET(Pinlist!$F$1,BC2189,0)-$BO$16)*$BO$19</f>
        <v>#N/A</v>
      </c>
      <c r="BG2189" s="1098" t="str">
        <f ca="1">IF(LEFT(BD2189,2)="RF",OFFSET(Pinlist!$D$1,Chart!BC2189,0)&amp;"_"&amp;OFFSET(Pinlist!$G$1,Chart!BC2189,0),"")</f>
        <v/>
      </c>
      <c r="BH2189" s="1098"/>
    </row>
    <row r="2190" spans="53:60" x14ac:dyDescent="0.2">
      <c r="BA2190" s="518">
        <f t="shared" ca="1" si="115"/>
        <v>61</v>
      </c>
      <c r="BB2190" s="174">
        <f t="shared" ca="1" si="116"/>
        <v>2127</v>
      </c>
      <c r="BC2190" s="525" t="e">
        <f ca="1">MATCH(BD2190,OFFSET(Pinlist!$A$2,BC2189*(BA2190=BA2189),0,$BM$23,1),0)+BC2189*(BA2190=BA2189)</f>
        <v>#N/A</v>
      </c>
      <c r="BD2190" s="167">
        <f t="shared" ca="1" si="117"/>
        <v>0</v>
      </c>
      <c r="BE2190" s="191" t="e">
        <f ca="1">(OFFSET(Pinlist!$E$1,BC2190,0)-$BN$16)*$BN$19</f>
        <v>#N/A</v>
      </c>
      <c r="BF2190" s="192" t="e">
        <f ca="1">(OFFSET(Pinlist!$F$1,BC2190,0)-$BO$16)*$BO$19</f>
        <v>#N/A</v>
      </c>
      <c r="BG2190" s="1098" t="str">
        <f ca="1">IF(LEFT(BD2190,2)="RF",OFFSET(Pinlist!$D$1,Chart!BC2190,0)&amp;"_"&amp;OFFSET(Pinlist!$G$1,Chart!BC2190,0),"")</f>
        <v/>
      </c>
      <c r="BH2190" s="1098"/>
    </row>
    <row r="2191" spans="53:60" x14ac:dyDescent="0.2">
      <c r="BA2191" s="518">
        <f t="shared" ca="1" si="115"/>
        <v>61</v>
      </c>
      <c r="BB2191" s="174">
        <f t="shared" ca="1" si="116"/>
        <v>2128</v>
      </c>
      <c r="BC2191" s="525" t="e">
        <f ca="1">MATCH(BD2191,OFFSET(Pinlist!$A$2,BC2190*(BA2191=BA2190),0,$BM$23,1),0)+BC2190*(BA2191=BA2190)</f>
        <v>#N/A</v>
      </c>
      <c r="BD2191" s="167">
        <f t="shared" ca="1" si="117"/>
        <v>0</v>
      </c>
      <c r="BE2191" s="191" t="e">
        <f ca="1">(OFFSET(Pinlist!$E$1,BC2191,0)-$BN$16)*$BN$19</f>
        <v>#N/A</v>
      </c>
      <c r="BF2191" s="192" t="e">
        <f ca="1">(OFFSET(Pinlist!$F$1,BC2191,0)-$BO$16)*$BO$19</f>
        <v>#N/A</v>
      </c>
      <c r="BG2191" s="1098" t="str">
        <f ca="1">IF(LEFT(BD2191,2)="RF",OFFSET(Pinlist!$D$1,Chart!BC2191,0)&amp;"_"&amp;OFFSET(Pinlist!$G$1,Chart!BC2191,0),"")</f>
        <v/>
      </c>
      <c r="BH2191" s="1098"/>
    </row>
    <row r="2192" spans="53:60" x14ac:dyDescent="0.2">
      <c r="BA2192" s="518">
        <f t="shared" ca="1" si="115"/>
        <v>61</v>
      </c>
      <c r="BB2192" s="174">
        <f t="shared" ca="1" si="116"/>
        <v>2129</v>
      </c>
      <c r="BC2192" s="525" t="e">
        <f ca="1">MATCH(BD2192,OFFSET(Pinlist!$A$2,BC2191*(BA2192=BA2191),0,$BM$23,1),0)+BC2191*(BA2192=BA2191)</f>
        <v>#N/A</v>
      </c>
      <c r="BD2192" s="167">
        <f t="shared" ca="1" si="117"/>
        <v>0</v>
      </c>
      <c r="BE2192" s="191" t="e">
        <f ca="1">(OFFSET(Pinlist!$E$1,BC2192,0)-$BN$16)*$BN$19</f>
        <v>#N/A</v>
      </c>
      <c r="BF2192" s="192" t="e">
        <f ca="1">(OFFSET(Pinlist!$F$1,BC2192,0)-$BO$16)*$BO$19</f>
        <v>#N/A</v>
      </c>
      <c r="BG2192" s="1098" t="str">
        <f ca="1">IF(LEFT(BD2192,2)="RF",OFFSET(Pinlist!$D$1,Chart!BC2192,0)&amp;"_"&amp;OFFSET(Pinlist!$G$1,Chart!BC2192,0),"")</f>
        <v/>
      </c>
      <c r="BH2192" s="1098"/>
    </row>
    <row r="2193" spans="53:60" x14ac:dyDescent="0.2">
      <c r="BA2193" s="518">
        <f t="shared" ca="1" si="115"/>
        <v>61</v>
      </c>
      <c r="BB2193" s="174">
        <f t="shared" ca="1" si="116"/>
        <v>2130</v>
      </c>
      <c r="BC2193" s="525" t="e">
        <f ca="1">MATCH(BD2193,OFFSET(Pinlist!$A$2,BC2192*(BA2193=BA2192),0,$BM$23,1),0)+BC2192*(BA2193=BA2192)</f>
        <v>#N/A</v>
      </c>
      <c r="BD2193" s="167">
        <f t="shared" ca="1" si="117"/>
        <v>0</v>
      </c>
      <c r="BE2193" s="191" t="e">
        <f ca="1">(OFFSET(Pinlist!$E$1,BC2193,0)-$BN$16)*$BN$19</f>
        <v>#N/A</v>
      </c>
      <c r="BF2193" s="192" t="e">
        <f ca="1">(OFFSET(Pinlist!$F$1,BC2193,0)-$BO$16)*$BO$19</f>
        <v>#N/A</v>
      </c>
      <c r="BG2193" s="1098" t="str">
        <f ca="1">IF(LEFT(BD2193,2)="RF",OFFSET(Pinlist!$D$1,Chart!BC2193,0)&amp;"_"&amp;OFFSET(Pinlist!$G$1,Chart!BC2193,0),"")</f>
        <v/>
      </c>
      <c r="BH2193" s="1098"/>
    </row>
    <row r="2194" spans="53:60" x14ac:dyDescent="0.2">
      <c r="BA2194" s="518">
        <f t="shared" ca="1" si="115"/>
        <v>61</v>
      </c>
      <c r="BB2194" s="174">
        <f t="shared" ca="1" si="116"/>
        <v>2131</v>
      </c>
      <c r="BC2194" s="525" t="e">
        <f ca="1">MATCH(BD2194,OFFSET(Pinlist!$A$2,BC2193*(BA2194=BA2193),0,$BM$23,1),0)+BC2193*(BA2194=BA2193)</f>
        <v>#N/A</v>
      </c>
      <c r="BD2194" s="167">
        <f t="shared" ca="1" si="117"/>
        <v>0</v>
      </c>
      <c r="BE2194" s="191" t="e">
        <f ca="1">(OFFSET(Pinlist!$E$1,BC2194,0)-$BN$16)*$BN$19</f>
        <v>#N/A</v>
      </c>
      <c r="BF2194" s="192" t="e">
        <f ca="1">(OFFSET(Pinlist!$F$1,BC2194,0)-$BO$16)*$BO$19</f>
        <v>#N/A</v>
      </c>
      <c r="BG2194" s="1098" t="str">
        <f ca="1">IF(LEFT(BD2194,2)="RF",OFFSET(Pinlist!$D$1,Chart!BC2194,0)&amp;"_"&amp;OFFSET(Pinlist!$G$1,Chart!BC2194,0),"")</f>
        <v/>
      </c>
      <c r="BH2194" s="1098"/>
    </row>
    <row r="2195" spans="53:60" x14ac:dyDescent="0.2">
      <c r="BA2195" s="518">
        <f t="shared" ca="1" si="115"/>
        <v>61</v>
      </c>
      <c r="BB2195" s="174">
        <f t="shared" ca="1" si="116"/>
        <v>2132</v>
      </c>
      <c r="BC2195" s="525" t="e">
        <f ca="1">MATCH(BD2195,OFFSET(Pinlist!$A$2,BC2194*(BA2195=BA2194),0,$BM$23,1),0)+BC2194*(BA2195=BA2194)</f>
        <v>#N/A</v>
      </c>
      <c r="BD2195" s="167">
        <f t="shared" ca="1" si="117"/>
        <v>0</v>
      </c>
      <c r="BE2195" s="191" t="e">
        <f ca="1">(OFFSET(Pinlist!$E$1,BC2195,0)-$BN$16)*$BN$19</f>
        <v>#N/A</v>
      </c>
      <c r="BF2195" s="192" t="e">
        <f ca="1">(OFFSET(Pinlist!$F$1,BC2195,0)-$BO$16)*$BO$19</f>
        <v>#N/A</v>
      </c>
      <c r="BG2195" s="1098" t="str">
        <f ca="1">IF(LEFT(BD2195,2)="RF",OFFSET(Pinlist!$D$1,Chart!BC2195,0)&amp;"_"&amp;OFFSET(Pinlist!$G$1,Chart!BC2195,0),"")</f>
        <v/>
      </c>
      <c r="BH2195" s="1098"/>
    </row>
    <row r="2196" spans="53:60" x14ac:dyDescent="0.2">
      <c r="BA2196" s="518">
        <f t="shared" ca="1" si="115"/>
        <v>61</v>
      </c>
      <c r="BB2196" s="174">
        <f t="shared" ca="1" si="116"/>
        <v>2133</v>
      </c>
      <c r="BC2196" s="525" t="e">
        <f ca="1">MATCH(BD2196,OFFSET(Pinlist!$A$2,BC2195*(BA2196=BA2195),0,$BM$23,1),0)+BC2195*(BA2196=BA2195)</f>
        <v>#N/A</v>
      </c>
      <c r="BD2196" s="167">
        <f t="shared" ca="1" si="117"/>
        <v>0</v>
      </c>
      <c r="BE2196" s="191" t="e">
        <f ca="1">(OFFSET(Pinlist!$E$1,BC2196,0)-$BN$16)*$BN$19</f>
        <v>#N/A</v>
      </c>
      <c r="BF2196" s="192" t="e">
        <f ca="1">(OFFSET(Pinlist!$F$1,BC2196,0)-$BO$16)*$BO$19</f>
        <v>#N/A</v>
      </c>
      <c r="BG2196" s="1098" t="str">
        <f ca="1">IF(LEFT(BD2196,2)="RF",OFFSET(Pinlist!$D$1,Chart!BC2196,0)&amp;"_"&amp;OFFSET(Pinlist!$G$1,Chart!BC2196,0),"")</f>
        <v/>
      </c>
      <c r="BH2196" s="1098"/>
    </row>
    <row r="2197" spans="53:60" x14ac:dyDescent="0.2">
      <c r="BA2197" s="518">
        <f t="shared" ca="1" si="115"/>
        <v>61</v>
      </c>
      <c r="BB2197" s="174">
        <f t="shared" ca="1" si="116"/>
        <v>2134</v>
      </c>
      <c r="BC2197" s="525" t="e">
        <f ca="1">MATCH(BD2197,OFFSET(Pinlist!$A$2,BC2196*(BA2197=BA2196),0,$BM$23,1),0)+BC2196*(BA2197=BA2196)</f>
        <v>#N/A</v>
      </c>
      <c r="BD2197" s="167">
        <f t="shared" ca="1" si="117"/>
        <v>0</v>
      </c>
      <c r="BE2197" s="191" t="e">
        <f ca="1">(OFFSET(Pinlist!$E$1,BC2197,0)-$BN$16)*$BN$19</f>
        <v>#N/A</v>
      </c>
      <c r="BF2197" s="192" t="e">
        <f ca="1">(OFFSET(Pinlist!$F$1,BC2197,0)-$BO$16)*$BO$19</f>
        <v>#N/A</v>
      </c>
      <c r="BG2197" s="1098" t="str">
        <f ca="1">IF(LEFT(BD2197,2)="RF",OFFSET(Pinlist!$D$1,Chart!BC2197,0)&amp;"_"&amp;OFFSET(Pinlist!$G$1,Chart!BC2197,0),"")</f>
        <v/>
      </c>
      <c r="BH2197" s="1098"/>
    </row>
    <row r="2198" spans="53:60" x14ac:dyDescent="0.2">
      <c r="BA2198" s="518">
        <f t="shared" ca="1" si="115"/>
        <v>61</v>
      </c>
      <c r="BB2198" s="174">
        <f t="shared" ca="1" si="116"/>
        <v>2135</v>
      </c>
      <c r="BC2198" s="525" t="e">
        <f ca="1">MATCH(BD2198,OFFSET(Pinlist!$A$2,BC2197*(BA2198=BA2197),0,$BM$23,1),0)+BC2197*(BA2198=BA2197)</f>
        <v>#N/A</v>
      </c>
      <c r="BD2198" s="167">
        <f t="shared" ca="1" si="117"/>
        <v>0</v>
      </c>
      <c r="BE2198" s="191" t="e">
        <f ca="1">(OFFSET(Pinlist!$E$1,BC2198,0)-$BN$16)*$BN$19</f>
        <v>#N/A</v>
      </c>
      <c r="BF2198" s="192" t="e">
        <f ca="1">(OFFSET(Pinlist!$F$1,BC2198,0)-$BO$16)*$BO$19</f>
        <v>#N/A</v>
      </c>
      <c r="BG2198" s="1098" t="str">
        <f ca="1">IF(LEFT(BD2198,2)="RF",OFFSET(Pinlist!$D$1,Chart!BC2198,0)&amp;"_"&amp;OFFSET(Pinlist!$G$1,Chart!BC2198,0),"")</f>
        <v/>
      </c>
      <c r="BH2198" s="1098"/>
    </row>
    <row r="2199" spans="53:60" x14ac:dyDescent="0.2">
      <c r="BA2199" s="518">
        <f t="shared" ca="1" si="115"/>
        <v>61</v>
      </c>
      <c r="BB2199" s="174">
        <f t="shared" ca="1" si="116"/>
        <v>2136</v>
      </c>
      <c r="BC2199" s="525" t="e">
        <f ca="1">MATCH(BD2199,OFFSET(Pinlist!$A$2,BC2198*(BA2199=BA2198),0,$BM$23,1),0)+BC2198*(BA2199=BA2198)</f>
        <v>#N/A</v>
      </c>
      <c r="BD2199" s="167">
        <f t="shared" ca="1" si="117"/>
        <v>0</v>
      </c>
      <c r="BE2199" s="191" t="e">
        <f ca="1">(OFFSET(Pinlist!$E$1,BC2199,0)-$BN$16)*$BN$19</f>
        <v>#N/A</v>
      </c>
      <c r="BF2199" s="192" t="e">
        <f ca="1">(OFFSET(Pinlist!$F$1,BC2199,0)-$BO$16)*$BO$19</f>
        <v>#N/A</v>
      </c>
      <c r="BG2199" s="1098" t="str">
        <f ca="1">IF(LEFT(BD2199,2)="RF",OFFSET(Pinlist!$D$1,Chart!BC2199,0)&amp;"_"&amp;OFFSET(Pinlist!$G$1,Chart!BC2199,0),"")</f>
        <v/>
      </c>
      <c r="BH2199" s="1098"/>
    </row>
    <row r="2200" spans="53:60" x14ac:dyDescent="0.2">
      <c r="BA2200" s="518">
        <f t="shared" ca="1" si="115"/>
        <v>61</v>
      </c>
      <c r="BB2200" s="174">
        <f t="shared" ca="1" si="116"/>
        <v>2137</v>
      </c>
      <c r="BC2200" s="525" t="e">
        <f ca="1">MATCH(BD2200,OFFSET(Pinlist!$A$2,BC2199*(BA2200=BA2199),0,$BM$23,1),0)+BC2199*(BA2200=BA2199)</f>
        <v>#N/A</v>
      </c>
      <c r="BD2200" s="167">
        <f t="shared" ca="1" si="117"/>
        <v>0</v>
      </c>
      <c r="BE2200" s="191" t="e">
        <f ca="1">(OFFSET(Pinlist!$E$1,BC2200,0)-$BN$16)*$BN$19</f>
        <v>#N/A</v>
      </c>
      <c r="BF2200" s="192" t="e">
        <f ca="1">(OFFSET(Pinlist!$F$1,BC2200,0)-$BO$16)*$BO$19</f>
        <v>#N/A</v>
      </c>
      <c r="BG2200" s="1098" t="str">
        <f ca="1">IF(LEFT(BD2200,2)="RF",OFFSET(Pinlist!$D$1,Chart!BC2200,0)&amp;"_"&amp;OFFSET(Pinlist!$G$1,Chart!BC2200,0),"")</f>
        <v/>
      </c>
      <c r="BH2200" s="1098"/>
    </row>
    <row r="2201" spans="53:60" x14ac:dyDescent="0.2">
      <c r="BA2201" s="518">
        <f t="shared" ca="1" si="115"/>
        <v>61</v>
      </c>
      <c r="BB2201" s="174">
        <f t="shared" ca="1" si="116"/>
        <v>2138</v>
      </c>
      <c r="BC2201" s="525" t="e">
        <f ca="1">MATCH(BD2201,OFFSET(Pinlist!$A$2,BC2200*(BA2201=BA2200),0,$BM$23,1),0)+BC2200*(BA2201=BA2200)</f>
        <v>#N/A</v>
      </c>
      <c r="BD2201" s="167">
        <f t="shared" ca="1" si="117"/>
        <v>0</v>
      </c>
      <c r="BE2201" s="191" t="e">
        <f ca="1">(OFFSET(Pinlist!$E$1,BC2201,0)-$BN$16)*$BN$19</f>
        <v>#N/A</v>
      </c>
      <c r="BF2201" s="192" t="e">
        <f ca="1">(OFFSET(Pinlist!$F$1,BC2201,0)-$BO$16)*$BO$19</f>
        <v>#N/A</v>
      </c>
      <c r="BG2201" s="1098" t="str">
        <f ca="1">IF(LEFT(BD2201,2)="RF",OFFSET(Pinlist!$D$1,Chart!BC2201,0)&amp;"_"&amp;OFFSET(Pinlist!$G$1,Chart!BC2201,0),"")</f>
        <v/>
      </c>
      <c r="BH2201" s="1098"/>
    </row>
    <row r="2202" spans="53:60" x14ac:dyDescent="0.2">
      <c r="BA2202" s="518">
        <f t="shared" ca="1" si="115"/>
        <v>61</v>
      </c>
      <c r="BB2202" s="174">
        <f t="shared" ca="1" si="116"/>
        <v>2139</v>
      </c>
      <c r="BC2202" s="525" t="e">
        <f ca="1">MATCH(BD2202,OFFSET(Pinlist!$A$2,BC2201*(BA2202=BA2201),0,$BM$23,1),0)+BC2201*(BA2202=BA2201)</f>
        <v>#N/A</v>
      </c>
      <c r="BD2202" s="167">
        <f t="shared" ca="1" si="117"/>
        <v>0</v>
      </c>
      <c r="BE2202" s="191" t="e">
        <f ca="1">(OFFSET(Pinlist!$E$1,BC2202,0)-$BN$16)*$BN$19</f>
        <v>#N/A</v>
      </c>
      <c r="BF2202" s="192" t="e">
        <f ca="1">(OFFSET(Pinlist!$F$1,BC2202,0)-$BO$16)*$BO$19</f>
        <v>#N/A</v>
      </c>
      <c r="BG2202" s="1098" t="str">
        <f ca="1">IF(LEFT(BD2202,2)="RF",OFFSET(Pinlist!$D$1,Chart!BC2202,0)&amp;"_"&amp;OFFSET(Pinlist!$G$1,Chart!BC2202,0),"")</f>
        <v/>
      </c>
      <c r="BH2202" s="1098"/>
    </row>
    <row r="2203" spans="53:60" x14ac:dyDescent="0.2">
      <c r="BA2203" s="518">
        <f t="shared" ca="1" si="115"/>
        <v>61</v>
      </c>
      <c r="BB2203" s="174">
        <f t="shared" ca="1" si="116"/>
        <v>2140</v>
      </c>
      <c r="BC2203" s="525" t="e">
        <f ca="1">MATCH(BD2203,OFFSET(Pinlist!$A$2,BC2202*(BA2203=BA2202),0,$BM$23,1),0)+BC2202*(BA2203=BA2202)</f>
        <v>#N/A</v>
      </c>
      <c r="BD2203" s="167">
        <f t="shared" ca="1" si="117"/>
        <v>0</v>
      </c>
      <c r="BE2203" s="191" t="e">
        <f ca="1">(OFFSET(Pinlist!$E$1,BC2203,0)-$BN$16)*$BN$19</f>
        <v>#N/A</v>
      </c>
      <c r="BF2203" s="192" t="e">
        <f ca="1">(OFFSET(Pinlist!$F$1,BC2203,0)-$BO$16)*$BO$19</f>
        <v>#N/A</v>
      </c>
      <c r="BG2203" s="1098" t="str">
        <f ca="1">IF(LEFT(BD2203,2)="RF",OFFSET(Pinlist!$D$1,Chart!BC2203,0)&amp;"_"&amp;OFFSET(Pinlist!$G$1,Chart!BC2203,0),"")</f>
        <v/>
      </c>
      <c r="BH2203" s="1098"/>
    </row>
    <row r="2204" spans="53:60" x14ac:dyDescent="0.2">
      <c r="BA2204" s="518">
        <f t="shared" ca="1" si="115"/>
        <v>61</v>
      </c>
      <c r="BB2204" s="174">
        <f t="shared" ca="1" si="116"/>
        <v>2141</v>
      </c>
      <c r="BC2204" s="525" t="e">
        <f ca="1">MATCH(BD2204,OFFSET(Pinlist!$A$2,BC2203*(BA2204=BA2203),0,$BM$23,1),0)+BC2203*(BA2204=BA2203)</f>
        <v>#N/A</v>
      </c>
      <c r="BD2204" s="167">
        <f t="shared" ca="1" si="117"/>
        <v>0</v>
      </c>
      <c r="BE2204" s="191" t="e">
        <f ca="1">(OFFSET(Pinlist!$E$1,BC2204,0)-$BN$16)*$BN$19</f>
        <v>#N/A</v>
      </c>
      <c r="BF2204" s="192" t="e">
        <f ca="1">(OFFSET(Pinlist!$F$1,BC2204,0)-$BO$16)*$BO$19</f>
        <v>#N/A</v>
      </c>
      <c r="BG2204" s="1098" t="str">
        <f ca="1">IF(LEFT(BD2204,2)="RF",OFFSET(Pinlist!$D$1,Chart!BC2204,0)&amp;"_"&amp;OFFSET(Pinlist!$G$1,Chart!BC2204,0),"")</f>
        <v/>
      </c>
      <c r="BH2204" s="1098"/>
    </row>
    <row r="2205" spans="53:60" x14ac:dyDescent="0.2">
      <c r="BA2205" s="518">
        <f t="shared" ca="1" si="115"/>
        <v>61</v>
      </c>
      <c r="BB2205" s="174">
        <f t="shared" ca="1" si="116"/>
        <v>2142</v>
      </c>
      <c r="BC2205" s="525" t="e">
        <f ca="1">MATCH(BD2205,OFFSET(Pinlist!$A$2,BC2204*(BA2205=BA2204),0,$BM$23,1),0)+BC2204*(BA2205=BA2204)</f>
        <v>#N/A</v>
      </c>
      <c r="BD2205" s="167">
        <f t="shared" ca="1" si="117"/>
        <v>0</v>
      </c>
      <c r="BE2205" s="191" t="e">
        <f ca="1">(OFFSET(Pinlist!$E$1,BC2205,0)-$BN$16)*$BN$19</f>
        <v>#N/A</v>
      </c>
      <c r="BF2205" s="192" t="e">
        <f ca="1">(OFFSET(Pinlist!$F$1,BC2205,0)-$BO$16)*$BO$19</f>
        <v>#N/A</v>
      </c>
      <c r="BG2205" s="1098" t="str">
        <f ca="1">IF(LEFT(BD2205,2)="RF",OFFSET(Pinlist!$D$1,Chart!BC2205,0)&amp;"_"&amp;OFFSET(Pinlist!$G$1,Chart!BC2205,0),"")</f>
        <v/>
      </c>
      <c r="BH2205" s="1098"/>
    </row>
    <row r="2206" spans="53:60" x14ac:dyDescent="0.2">
      <c r="BA2206" s="518">
        <f t="shared" ca="1" si="115"/>
        <v>61</v>
      </c>
      <c r="BB2206" s="174">
        <f t="shared" ca="1" si="116"/>
        <v>2143</v>
      </c>
      <c r="BC2206" s="525" t="e">
        <f ca="1">MATCH(BD2206,OFFSET(Pinlist!$A$2,BC2205*(BA2206=BA2205),0,$BM$23,1),0)+BC2205*(BA2206=BA2205)</f>
        <v>#N/A</v>
      </c>
      <c r="BD2206" s="167">
        <f t="shared" ca="1" si="117"/>
        <v>0</v>
      </c>
      <c r="BE2206" s="191" t="e">
        <f ca="1">(OFFSET(Pinlist!$E$1,BC2206,0)-$BN$16)*$BN$19</f>
        <v>#N/A</v>
      </c>
      <c r="BF2206" s="192" t="e">
        <f ca="1">(OFFSET(Pinlist!$F$1,BC2206,0)-$BO$16)*$BO$19</f>
        <v>#N/A</v>
      </c>
      <c r="BG2206" s="1098" t="str">
        <f ca="1">IF(LEFT(BD2206,2)="RF",OFFSET(Pinlist!$D$1,Chart!BC2206,0)&amp;"_"&amp;OFFSET(Pinlist!$G$1,Chart!BC2206,0),"")</f>
        <v/>
      </c>
      <c r="BH2206" s="1098"/>
    </row>
    <row r="2207" spans="53:60" x14ac:dyDescent="0.2">
      <c r="BA2207" s="518">
        <f t="shared" ca="1" si="115"/>
        <v>61</v>
      </c>
      <c r="BB2207" s="174">
        <f t="shared" ca="1" si="116"/>
        <v>2144</v>
      </c>
      <c r="BC2207" s="525" t="e">
        <f ca="1">MATCH(BD2207,OFFSET(Pinlist!$A$2,BC2206*(BA2207=BA2206),0,$BM$23,1),0)+BC2206*(BA2207=BA2206)</f>
        <v>#N/A</v>
      </c>
      <c r="BD2207" s="167">
        <f t="shared" ca="1" si="117"/>
        <v>0</v>
      </c>
      <c r="BE2207" s="191" t="e">
        <f ca="1">(OFFSET(Pinlist!$E$1,BC2207,0)-$BN$16)*$BN$19</f>
        <v>#N/A</v>
      </c>
      <c r="BF2207" s="192" t="e">
        <f ca="1">(OFFSET(Pinlist!$F$1,BC2207,0)-$BO$16)*$BO$19</f>
        <v>#N/A</v>
      </c>
      <c r="BG2207" s="1098" t="str">
        <f ca="1">IF(LEFT(BD2207,2)="RF",OFFSET(Pinlist!$D$1,Chart!BC2207,0)&amp;"_"&amp;OFFSET(Pinlist!$G$1,Chart!BC2207,0),"")</f>
        <v/>
      </c>
      <c r="BH2207" s="1098"/>
    </row>
    <row r="2208" spans="53:60" x14ac:dyDescent="0.2">
      <c r="BA2208" s="518">
        <f t="shared" ca="1" si="115"/>
        <v>61</v>
      </c>
      <c r="BB2208" s="174">
        <f t="shared" ca="1" si="116"/>
        <v>2145</v>
      </c>
      <c r="BC2208" s="525" t="e">
        <f ca="1">MATCH(BD2208,OFFSET(Pinlist!$A$2,BC2207*(BA2208=BA2207),0,$BM$23,1),0)+BC2207*(BA2208=BA2207)</f>
        <v>#N/A</v>
      </c>
      <c r="BD2208" s="167">
        <f t="shared" ca="1" si="117"/>
        <v>0</v>
      </c>
      <c r="BE2208" s="191" t="e">
        <f ca="1">(OFFSET(Pinlist!$E$1,BC2208,0)-$BN$16)*$BN$19</f>
        <v>#N/A</v>
      </c>
      <c r="BF2208" s="192" t="e">
        <f ca="1">(OFFSET(Pinlist!$F$1,BC2208,0)-$BO$16)*$BO$19</f>
        <v>#N/A</v>
      </c>
      <c r="BG2208" s="1098" t="str">
        <f ca="1">IF(LEFT(BD2208,2)="RF",OFFSET(Pinlist!$D$1,Chart!BC2208,0)&amp;"_"&amp;OFFSET(Pinlist!$G$1,Chart!BC2208,0),"")</f>
        <v/>
      </c>
      <c r="BH2208" s="1098"/>
    </row>
    <row r="2209" spans="53:60" x14ac:dyDescent="0.2">
      <c r="BA2209" s="518">
        <f t="shared" ca="1" si="115"/>
        <v>61</v>
      </c>
      <c r="BB2209" s="174">
        <f t="shared" ca="1" si="116"/>
        <v>2146</v>
      </c>
      <c r="BC2209" s="525" t="e">
        <f ca="1">MATCH(BD2209,OFFSET(Pinlist!$A$2,BC2208*(BA2209=BA2208),0,$BM$23,1),0)+BC2208*(BA2209=BA2208)</f>
        <v>#N/A</v>
      </c>
      <c r="BD2209" s="167">
        <f t="shared" ca="1" si="117"/>
        <v>0</v>
      </c>
      <c r="BE2209" s="191" t="e">
        <f ca="1">(OFFSET(Pinlist!$E$1,BC2209,0)-$BN$16)*$BN$19</f>
        <v>#N/A</v>
      </c>
      <c r="BF2209" s="192" t="e">
        <f ca="1">(OFFSET(Pinlist!$F$1,BC2209,0)-$BO$16)*$BO$19</f>
        <v>#N/A</v>
      </c>
      <c r="BG2209" s="1098" t="str">
        <f ca="1">IF(LEFT(BD2209,2)="RF",OFFSET(Pinlist!$D$1,Chart!BC2209,0)&amp;"_"&amp;OFFSET(Pinlist!$G$1,Chart!BC2209,0),"")</f>
        <v/>
      </c>
      <c r="BH2209" s="1098"/>
    </row>
    <row r="2210" spans="53:60" x14ac:dyDescent="0.2">
      <c r="BA2210" s="518">
        <f t="shared" ca="1" si="115"/>
        <v>61</v>
      </c>
      <c r="BB2210" s="174">
        <f t="shared" ca="1" si="116"/>
        <v>2147</v>
      </c>
      <c r="BC2210" s="525" t="e">
        <f ca="1">MATCH(BD2210,OFFSET(Pinlist!$A$2,BC2209*(BA2210=BA2209),0,$BM$23,1),0)+BC2209*(BA2210=BA2209)</f>
        <v>#N/A</v>
      </c>
      <c r="BD2210" s="167">
        <f t="shared" ca="1" si="117"/>
        <v>0</v>
      </c>
      <c r="BE2210" s="191" t="e">
        <f ca="1">(OFFSET(Pinlist!$E$1,BC2210,0)-$BN$16)*$BN$19</f>
        <v>#N/A</v>
      </c>
      <c r="BF2210" s="192" t="e">
        <f ca="1">(OFFSET(Pinlist!$F$1,BC2210,0)-$BO$16)*$BO$19</f>
        <v>#N/A</v>
      </c>
      <c r="BG2210" s="1098" t="str">
        <f ca="1">IF(LEFT(BD2210,2)="RF",OFFSET(Pinlist!$D$1,Chart!BC2210,0)&amp;"_"&amp;OFFSET(Pinlist!$G$1,Chart!BC2210,0),"")</f>
        <v/>
      </c>
      <c r="BH2210" s="1098"/>
    </row>
    <row r="2211" spans="53:60" x14ac:dyDescent="0.2">
      <c r="BA2211" s="518">
        <f t="shared" ca="1" si="115"/>
        <v>61</v>
      </c>
      <c r="BB2211" s="174">
        <f t="shared" ca="1" si="116"/>
        <v>2148</v>
      </c>
      <c r="BC2211" s="525" t="e">
        <f ca="1">MATCH(BD2211,OFFSET(Pinlist!$A$2,BC2210*(BA2211=BA2210),0,$BM$23,1),0)+BC2210*(BA2211=BA2210)</f>
        <v>#N/A</v>
      </c>
      <c r="BD2211" s="167">
        <f t="shared" ca="1" si="117"/>
        <v>0</v>
      </c>
      <c r="BE2211" s="191" t="e">
        <f ca="1">(OFFSET(Pinlist!$E$1,BC2211,0)-$BN$16)*$BN$19</f>
        <v>#N/A</v>
      </c>
      <c r="BF2211" s="192" t="e">
        <f ca="1">(OFFSET(Pinlist!$F$1,BC2211,0)-$BO$16)*$BO$19</f>
        <v>#N/A</v>
      </c>
      <c r="BG2211" s="1098" t="str">
        <f ca="1">IF(LEFT(BD2211,2)="RF",OFFSET(Pinlist!$D$1,Chart!BC2211,0)&amp;"_"&amp;OFFSET(Pinlist!$G$1,Chart!BC2211,0),"")</f>
        <v/>
      </c>
      <c r="BH2211" s="1098"/>
    </row>
    <row r="2212" spans="53:60" x14ac:dyDescent="0.2">
      <c r="BA2212" s="518">
        <f t="shared" ca="1" si="115"/>
        <v>61</v>
      </c>
      <c r="BB2212" s="174">
        <f t="shared" ca="1" si="116"/>
        <v>2149</v>
      </c>
      <c r="BC2212" s="525" t="e">
        <f ca="1">MATCH(BD2212,OFFSET(Pinlist!$A$2,BC2211*(BA2212=BA2211),0,$BM$23,1),0)+BC2211*(BA2212=BA2211)</f>
        <v>#N/A</v>
      </c>
      <c r="BD2212" s="167">
        <f t="shared" ca="1" si="117"/>
        <v>0</v>
      </c>
      <c r="BE2212" s="191" t="e">
        <f ca="1">(OFFSET(Pinlist!$E$1,BC2212,0)-$BN$16)*$BN$19</f>
        <v>#N/A</v>
      </c>
      <c r="BF2212" s="192" t="e">
        <f ca="1">(OFFSET(Pinlist!$F$1,BC2212,0)-$BO$16)*$BO$19</f>
        <v>#N/A</v>
      </c>
      <c r="BG2212" s="1098" t="str">
        <f ca="1">IF(LEFT(BD2212,2)="RF",OFFSET(Pinlist!$D$1,Chart!BC2212,0)&amp;"_"&amp;OFFSET(Pinlist!$G$1,Chart!BC2212,0),"")</f>
        <v/>
      </c>
      <c r="BH2212" s="1098"/>
    </row>
    <row r="2213" spans="53:60" x14ac:dyDescent="0.2">
      <c r="BA2213" s="518">
        <f t="shared" ca="1" si="115"/>
        <v>61</v>
      </c>
      <c r="BB2213" s="174">
        <f t="shared" ca="1" si="116"/>
        <v>2150</v>
      </c>
      <c r="BC2213" s="525" t="e">
        <f ca="1">MATCH(BD2213,OFFSET(Pinlist!$A$2,BC2212*(BA2213=BA2212),0,$BM$23,1),0)+BC2212*(BA2213=BA2212)</f>
        <v>#N/A</v>
      </c>
      <c r="BD2213" s="167">
        <f t="shared" ca="1" si="117"/>
        <v>0</v>
      </c>
      <c r="BE2213" s="191" t="e">
        <f ca="1">(OFFSET(Pinlist!$E$1,BC2213,0)-$BN$16)*$BN$19</f>
        <v>#N/A</v>
      </c>
      <c r="BF2213" s="192" t="e">
        <f ca="1">(OFFSET(Pinlist!$F$1,BC2213,0)-$BO$16)*$BO$19</f>
        <v>#N/A</v>
      </c>
      <c r="BG2213" s="1098" t="str">
        <f ca="1">IF(LEFT(BD2213,2)="RF",OFFSET(Pinlist!$D$1,Chart!BC2213,0)&amp;"_"&amp;OFFSET(Pinlist!$G$1,Chart!BC2213,0),"")</f>
        <v/>
      </c>
      <c r="BH2213" s="1098"/>
    </row>
    <row r="2214" spans="53:60" x14ac:dyDescent="0.2">
      <c r="BA2214" s="518">
        <f t="shared" ca="1" si="115"/>
        <v>61</v>
      </c>
      <c r="BB2214" s="174">
        <f t="shared" ca="1" si="116"/>
        <v>2151</v>
      </c>
      <c r="BC2214" s="525" t="e">
        <f ca="1">MATCH(BD2214,OFFSET(Pinlist!$A$2,BC2213*(BA2214=BA2213),0,$BM$23,1),0)+BC2213*(BA2214=BA2213)</f>
        <v>#N/A</v>
      </c>
      <c r="BD2214" s="167">
        <f t="shared" ca="1" si="117"/>
        <v>0</v>
      </c>
      <c r="BE2214" s="191" t="e">
        <f ca="1">(OFFSET(Pinlist!$E$1,BC2214,0)-$BN$16)*$BN$19</f>
        <v>#N/A</v>
      </c>
      <c r="BF2214" s="192" t="e">
        <f ca="1">(OFFSET(Pinlist!$F$1,BC2214,0)-$BO$16)*$BO$19</f>
        <v>#N/A</v>
      </c>
      <c r="BG2214" s="1098" t="str">
        <f ca="1">IF(LEFT(BD2214,2)="RF",OFFSET(Pinlist!$D$1,Chart!BC2214,0)&amp;"_"&amp;OFFSET(Pinlist!$G$1,Chart!BC2214,0),"")</f>
        <v/>
      </c>
      <c r="BH2214" s="1098"/>
    </row>
    <row r="2215" spans="53:60" x14ac:dyDescent="0.2">
      <c r="BA2215" s="518">
        <f t="shared" ca="1" si="115"/>
        <v>61</v>
      </c>
      <c r="BB2215" s="174">
        <f t="shared" ca="1" si="116"/>
        <v>2152</v>
      </c>
      <c r="BC2215" s="525" t="e">
        <f ca="1">MATCH(BD2215,OFFSET(Pinlist!$A$2,BC2214*(BA2215=BA2214),0,$BM$23,1),0)+BC2214*(BA2215=BA2214)</f>
        <v>#N/A</v>
      </c>
      <c r="BD2215" s="167">
        <f t="shared" ca="1" si="117"/>
        <v>0</v>
      </c>
      <c r="BE2215" s="191" t="e">
        <f ca="1">(OFFSET(Pinlist!$E$1,BC2215,0)-$BN$16)*$BN$19</f>
        <v>#N/A</v>
      </c>
      <c r="BF2215" s="192" t="e">
        <f ca="1">(OFFSET(Pinlist!$F$1,BC2215,0)-$BO$16)*$BO$19</f>
        <v>#N/A</v>
      </c>
      <c r="BG2215" s="1098" t="str">
        <f ca="1">IF(LEFT(BD2215,2)="RF",OFFSET(Pinlist!$D$1,Chart!BC2215,0)&amp;"_"&amp;OFFSET(Pinlist!$G$1,Chart!BC2215,0),"")</f>
        <v/>
      </c>
      <c r="BH2215" s="1098"/>
    </row>
    <row r="2216" spans="53:60" x14ac:dyDescent="0.2">
      <c r="BA2216" s="518">
        <f t="shared" ca="1" si="115"/>
        <v>61</v>
      </c>
      <c r="BB2216" s="174">
        <f t="shared" ca="1" si="116"/>
        <v>2153</v>
      </c>
      <c r="BC2216" s="525" t="e">
        <f ca="1">MATCH(BD2216,OFFSET(Pinlist!$A$2,BC2215*(BA2216=BA2215),0,$BM$23,1),0)+BC2215*(BA2216=BA2215)</f>
        <v>#N/A</v>
      </c>
      <c r="BD2216" s="167">
        <f t="shared" ca="1" si="117"/>
        <v>0</v>
      </c>
      <c r="BE2216" s="191" t="e">
        <f ca="1">(OFFSET(Pinlist!$E$1,BC2216,0)-$BN$16)*$BN$19</f>
        <v>#N/A</v>
      </c>
      <c r="BF2216" s="192" t="e">
        <f ca="1">(OFFSET(Pinlist!$F$1,BC2216,0)-$BO$16)*$BO$19</f>
        <v>#N/A</v>
      </c>
      <c r="BG2216" s="1098" t="str">
        <f ca="1">IF(LEFT(BD2216,2)="RF",OFFSET(Pinlist!$D$1,Chart!BC2216,0)&amp;"_"&amp;OFFSET(Pinlist!$G$1,Chart!BC2216,0),"")</f>
        <v/>
      </c>
      <c r="BH2216" s="1098"/>
    </row>
    <row r="2217" spans="53:60" x14ac:dyDescent="0.2">
      <c r="BA2217" s="518">
        <f t="shared" ca="1" si="115"/>
        <v>61</v>
      </c>
      <c r="BB2217" s="174">
        <f t="shared" ca="1" si="116"/>
        <v>2154</v>
      </c>
      <c r="BC2217" s="525" t="e">
        <f ca="1">MATCH(BD2217,OFFSET(Pinlist!$A$2,BC2216*(BA2217=BA2216),0,$BM$23,1),0)+BC2216*(BA2217=BA2216)</f>
        <v>#N/A</v>
      </c>
      <c r="BD2217" s="167">
        <f t="shared" ca="1" si="117"/>
        <v>0</v>
      </c>
      <c r="BE2217" s="191" t="e">
        <f ca="1">(OFFSET(Pinlist!$E$1,BC2217,0)-$BN$16)*$BN$19</f>
        <v>#N/A</v>
      </c>
      <c r="BF2217" s="192" t="e">
        <f ca="1">(OFFSET(Pinlist!$F$1,BC2217,0)-$BO$16)*$BO$19</f>
        <v>#N/A</v>
      </c>
      <c r="BG2217" s="1098" t="str">
        <f ca="1">IF(LEFT(BD2217,2)="RF",OFFSET(Pinlist!$D$1,Chart!BC2217,0)&amp;"_"&amp;OFFSET(Pinlist!$G$1,Chart!BC2217,0),"")</f>
        <v/>
      </c>
      <c r="BH2217" s="1098"/>
    </row>
    <row r="2218" spans="53:60" x14ac:dyDescent="0.2">
      <c r="BA2218" s="518">
        <f t="shared" ca="1" si="115"/>
        <v>61</v>
      </c>
      <c r="BB2218" s="174">
        <f t="shared" ca="1" si="116"/>
        <v>2155</v>
      </c>
      <c r="BC2218" s="525" t="e">
        <f ca="1">MATCH(BD2218,OFFSET(Pinlist!$A$2,BC2217*(BA2218=BA2217),0,$BM$23,1),0)+BC2217*(BA2218=BA2217)</f>
        <v>#N/A</v>
      </c>
      <c r="BD2218" s="167">
        <f t="shared" ca="1" si="117"/>
        <v>0</v>
      </c>
      <c r="BE2218" s="191" t="e">
        <f ca="1">(OFFSET(Pinlist!$E$1,BC2218,0)-$BN$16)*$BN$19</f>
        <v>#N/A</v>
      </c>
      <c r="BF2218" s="192" t="e">
        <f ca="1">(OFFSET(Pinlist!$F$1,BC2218,0)-$BO$16)*$BO$19</f>
        <v>#N/A</v>
      </c>
      <c r="BG2218" s="1098" t="str">
        <f ca="1">IF(LEFT(BD2218,2)="RF",OFFSET(Pinlist!$D$1,Chart!BC2218,0)&amp;"_"&amp;OFFSET(Pinlist!$G$1,Chart!BC2218,0),"")</f>
        <v/>
      </c>
      <c r="BH2218" s="1098"/>
    </row>
    <row r="2219" spans="53:60" x14ac:dyDescent="0.2">
      <c r="BA2219" s="518">
        <f t="shared" ca="1" si="115"/>
        <v>61</v>
      </c>
      <c r="BB2219" s="174">
        <f t="shared" ca="1" si="116"/>
        <v>2156</v>
      </c>
      <c r="BC2219" s="525" t="e">
        <f ca="1">MATCH(BD2219,OFFSET(Pinlist!$A$2,BC2218*(BA2219=BA2218),0,$BM$23,1),0)+BC2218*(BA2219=BA2218)</f>
        <v>#N/A</v>
      </c>
      <c r="BD2219" s="167">
        <f t="shared" ca="1" si="117"/>
        <v>0</v>
      </c>
      <c r="BE2219" s="191" t="e">
        <f ca="1">(OFFSET(Pinlist!$E$1,BC2219,0)-$BN$16)*$BN$19</f>
        <v>#N/A</v>
      </c>
      <c r="BF2219" s="192" t="e">
        <f ca="1">(OFFSET(Pinlist!$F$1,BC2219,0)-$BO$16)*$BO$19</f>
        <v>#N/A</v>
      </c>
      <c r="BG2219" s="1098" t="str">
        <f ca="1">IF(LEFT(BD2219,2)="RF",OFFSET(Pinlist!$D$1,Chart!BC2219,0)&amp;"_"&amp;OFFSET(Pinlist!$G$1,Chart!BC2219,0),"")</f>
        <v/>
      </c>
      <c r="BH2219" s="1098"/>
    </row>
    <row r="2220" spans="53:60" x14ac:dyDescent="0.2">
      <c r="BA2220" s="518">
        <f t="shared" ca="1" si="115"/>
        <v>61</v>
      </c>
      <c r="BB2220" s="174">
        <f t="shared" ca="1" si="116"/>
        <v>2157</v>
      </c>
      <c r="BC2220" s="525" t="e">
        <f ca="1">MATCH(BD2220,OFFSET(Pinlist!$A$2,BC2219*(BA2220=BA2219),0,$BM$23,1),0)+BC2219*(BA2220=BA2219)</f>
        <v>#N/A</v>
      </c>
      <c r="BD2220" s="167">
        <f t="shared" ca="1" si="117"/>
        <v>0</v>
      </c>
      <c r="BE2220" s="191" t="e">
        <f ca="1">(OFFSET(Pinlist!$E$1,BC2220,0)-$BN$16)*$BN$19</f>
        <v>#N/A</v>
      </c>
      <c r="BF2220" s="192" t="e">
        <f ca="1">(OFFSET(Pinlist!$F$1,BC2220,0)-$BO$16)*$BO$19</f>
        <v>#N/A</v>
      </c>
      <c r="BG2220" s="1098" t="str">
        <f ca="1">IF(LEFT(BD2220,2)="RF",OFFSET(Pinlist!$D$1,Chart!BC2220,0)&amp;"_"&amp;OFFSET(Pinlist!$G$1,Chart!BC2220,0),"")</f>
        <v/>
      </c>
      <c r="BH2220" s="1098"/>
    </row>
    <row r="2221" spans="53:60" x14ac:dyDescent="0.2">
      <c r="BA2221" s="518">
        <f t="shared" ca="1" si="115"/>
        <v>61</v>
      </c>
      <c r="BB2221" s="174">
        <f t="shared" ca="1" si="116"/>
        <v>2158</v>
      </c>
      <c r="BC2221" s="525" t="e">
        <f ca="1">MATCH(BD2221,OFFSET(Pinlist!$A$2,BC2220*(BA2221=BA2220),0,$BM$23,1),0)+BC2220*(BA2221=BA2220)</f>
        <v>#N/A</v>
      </c>
      <c r="BD2221" s="167">
        <f t="shared" ca="1" si="117"/>
        <v>0</v>
      </c>
      <c r="BE2221" s="191" t="e">
        <f ca="1">(OFFSET(Pinlist!$E$1,BC2221,0)-$BN$16)*$BN$19</f>
        <v>#N/A</v>
      </c>
      <c r="BF2221" s="192" t="e">
        <f ca="1">(OFFSET(Pinlist!$F$1,BC2221,0)-$BO$16)*$BO$19</f>
        <v>#N/A</v>
      </c>
      <c r="BG2221" s="1098" t="str">
        <f ca="1">IF(LEFT(BD2221,2)="RF",OFFSET(Pinlist!$D$1,Chart!BC2221,0)&amp;"_"&amp;OFFSET(Pinlist!$G$1,Chart!BC2221,0),"")</f>
        <v/>
      </c>
      <c r="BH2221" s="1098"/>
    </row>
    <row r="2222" spans="53:60" x14ac:dyDescent="0.2">
      <c r="BA2222" s="518">
        <f t="shared" ca="1" si="115"/>
        <v>61</v>
      </c>
      <c r="BB2222" s="174">
        <f t="shared" ca="1" si="116"/>
        <v>2159</v>
      </c>
      <c r="BC2222" s="525" t="e">
        <f ca="1">MATCH(BD2222,OFFSET(Pinlist!$A$2,BC2221*(BA2222=BA2221),0,$BM$23,1),0)+BC2221*(BA2222=BA2221)</f>
        <v>#N/A</v>
      </c>
      <c r="BD2222" s="167">
        <f t="shared" ca="1" si="117"/>
        <v>0</v>
      </c>
      <c r="BE2222" s="191" t="e">
        <f ca="1">(OFFSET(Pinlist!$E$1,BC2222,0)-$BN$16)*$BN$19</f>
        <v>#N/A</v>
      </c>
      <c r="BF2222" s="192" t="e">
        <f ca="1">(OFFSET(Pinlist!$F$1,BC2222,0)-$BO$16)*$BO$19</f>
        <v>#N/A</v>
      </c>
      <c r="BG2222" s="1098" t="str">
        <f ca="1">IF(LEFT(BD2222,2)="RF",OFFSET(Pinlist!$D$1,Chart!BC2222,0)&amp;"_"&amp;OFFSET(Pinlist!$G$1,Chart!BC2222,0),"")</f>
        <v/>
      </c>
      <c r="BH2222" s="1098"/>
    </row>
    <row r="2223" spans="53:60" x14ac:dyDescent="0.2">
      <c r="BA2223" s="518">
        <f t="shared" ca="1" si="115"/>
        <v>61</v>
      </c>
      <c r="BB2223" s="174">
        <f t="shared" ca="1" si="116"/>
        <v>2160</v>
      </c>
      <c r="BC2223" s="525" t="e">
        <f ca="1">MATCH(BD2223,OFFSET(Pinlist!$A$2,BC2222*(BA2223=BA2222),0,$BM$23,1),0)+BC2222*(BA2223=BA2222)</f>
        <v>#N/A</v>
      </c>
      <c r="BD2223" s="167">
        <f t="shared" ca="1" si="117"/>
        <v>0</v>
      </c>
      <c r="BE2223" s="191" t="e">
        <f ca="1">(OFFSET(Pinlist!$E$1,BC2223,0)-$BN$16)*$BN$19</f>
        <v>#N/A</v>
      </c>
      <c r="BF2223" s="192" t="e">
        <f ca="1">(OFFSET(Pinlist!$F$1,BC2223,0)-$BO$16)*$BO$19</f>
        <v>#N/A</v>
      </c>
      <c r="BG2223" s="1098" t="str">
        <f ca="1">IF(LEFT(BD2223,2)="RF",OFFSET(Pinlist!$D$1,Chart!BC2223,0)&amp;"_"&amp;OFFSET(Pinlist!$G$1,Chart!BC2223,0),"")</f>
        <v/>
      </c>
      <c r="BH2223" s="1098"/>
    </row>
    <row r="2224" spans="53:60" x14ac:dyDescent="0.2">
      <c r="BA2224" s="518">
        <f t="shared" ca="1" si="115"/>
        <v>61</v>
      </c>
      <c r="BB2224" s="174">
        <f t="shared" ca="1" si="116"/>
        <v>2161</v>
      </c>
      <c r="BC2224" s="525" t="e">
        <f ca="1">MATCH(BD2224,OFFSET(Pinlist!$A$2,BC2223*(BA2224=BA2223),0,$BM$23,1),0)+BC2223*(BA2224=BA2223)</f>
        <v>#N/A</v>
      </c>
      <c r="BD2224" s="167">
        <f t="shared" ca="1" si="117"/>
        <v>0</v>
      </c>
      <c r="BE2224" s="191" t="e">
        <f ca="1">(OFFSET(Pinlist!$E$1,BC2224,0)-$BN$16)*$BN$19</f>
        <v>#N/A</v>
      </c>
      <c r="BF2224" s="192" t="e">
        <f ca="1">(OFFSET(Pinlist!$F$1,BC2224,0)-$BO$16)*$BO$19</f>
        <v>#N/A</v>
      </c>
      <c r="BG2224" s="1098" t="str">
        <f ca="1">IF(LEFT(BD2224,2)="RF",OFFSET(Pinlist!$D$1,Chart!BC2224,0)&amp;"_"&amp;OFFSET(Pinlist!$G$1,Chart!BC2224,0),"")</f>
        <v/>
      </c>
      <c r="BH2224" s="1098"/>
    </row>
    <row r="2225" spans="53:60" x14ac:dyDescent="0.2">
      <c r="BA2225" s="518">
        <f t="shared" ca="1" si="115"/>
        <v>61</v>
      </c>
      <c r="BB2225" s="174">
        <f t="shared" ca="1" si="116"/>
        <v>2162</v>
      </c>
      <c r="BC2225" s="525" t="e">
        <f ca="1">MATCH(BD2225,OFFSET(Pinlist!$A$2,BC2224*(BA2225=BA2224),0,$BM$23,1),0)+BC2224*(BA2225=BA2224)</f>
        <v>#N/A</v>
      </c>
      <c r="BD2225" s="167">
        <f t="shared" ca="1" si="117"/>
        <v>0</v>
      </c>
      <c r="BE2225" s="191" t="e">
        <f ca="1">(OFFSET(Pinlist!$E$1,BC2225,0)-$BN$16)*$BN$19</f>
        <v>#N/A</v>
      </c>
      <c r="BF2225" s="192" t="e">
        <f ca="1">(OFFSET(Pinlist!$F$1,BC2225,0)-$BO$16)*$BO$19</f>
        <v>#N/A</v>
      </c>
      <c r="BG2225" s="1098" t="str">
        <f ca="1">IF(LEFT(BD2225,2)="RF",OFFSET(Pinlist!$D$1,Chart!BC2225,0)&amp;"_"&amp;OFFSET(Pinlist!$G$1,Chart!BC2225,0),"")</f>
        <v/>
      </c>
      <c r="BH2225" s="1098"/>
    </row>
    <row r="2226" spans="53:60" x14ac:dyDescent="0.2">
      <c r="BA2226" s="518">
        <f t="shared" ca="1" si="115"/>
        <v>61</v>
      </c>
      <c r="BB2226" s="174">
        <f t="shared" ca="1" si="116"/>
        <v>2163</v>
      </c>
      <c r="BC2226" s="525" t="e">
        <f ca="1">MATCH(BD2226,OFFSET(Pinlist!$A$2,BC2225*(BA2226=BA2225),0,$BM$23,1),0)+BC2225*(BA2226=BA2225)</f>
        <v>#N/A</v>
      </c>
      <c r="BD2226" s="167">
        <f t="shared" ca="1" si="117"/>
        <v>0</v>
      </c>
      <c r="BE2226" s="191" t="e">
        <f ca="1">(OFFSET(Pinlist!$E$1,BC2226,0)-$BN$16)*$BN$19</f>
        <v>#N/A</v>
      </c>
      <c r="BF2226" s="192" t="e">
        <f ca="1">(OFFSET(Pinlist!$F$1,BC2226,0)-$BO$16)*$BO$19</f>
        <v>#N/A</v>
      </c>
      <c r="BG2226" s="1098" t="str">
        <f ca="1">IF(LEFT(BD2226,2)="RF",OFFSET(Pinlist!$D$1,Chart!BC2226,0)&amp;"_"&amp;OFFSET(Pinlist!$G$1,Chart!BC2226,0),"")</f>
        <v/>
      </c>
      <c r="BH2226" s="1098"/>
    </row>
    <row r="2227" spans="53:60" x14ac:dyDescent="0.2">
      <c r="BA2227" s="518">
        <f t="shared" ca="1" si="115"/>
        <v>61</v>
      </c>
      <c r="BB2227" s="174">
        <f t="shared" ca="1" si="116"/>
        <v>2164</v>
      </c>
      <c r="BC2227" s="525" t="e">
        <f ca="1">MATCH(BD2227,OFFSET(Pinlist!$A$2,BC2226*(BA2227=BA2226),0,$BM$23,1),0)+BC2226*(BA2227=BA2226)</f>
        <v>#N/A</v>
      </c>
      <c r="BD2227" s="167">
        <f t="shared" ca="1" si="117"/>
        <v>0</v>
      </c>
      <c r="BE2227" s="191" t="e">
        <f ca="1">(OFFSET(Pinlist!$E$1,BC2227,0)-$BN$16)*$BN$19</f>
        <v>#N/A</v>
      </c>
      <c r="BF2227" s="192" t="e">
        <f ca="1">(OFFSET(Pinlist!$F$1,BC2227,0)-$BO$16)*$BO$19</f>
        <v>#N/A</v>
      </c>
      <c r="BG2227" s="1098" t="str">
        <f ca="1">IF(LEFT(BD2227,2)="RF",OFFSET(Pinlist!$D$1,Chart!BC2227,0)&amp;"_"&amp;OFFSET(Pinlist!$G$1,Chart!BC2227,0),"")</f>
        <v/>
      </c>
      <c r="BH2227" s="1098"/>
    </row>
    <row r="2228" spans="53:60" x14ac:dyDescent="0.2">
      <c r="BA2228" s="518">
        <f t="shared" ca="1" si="115"/>
        <v>61</v>
      </c>
      <c r="BB2228" s="174">
        <f t="shared" ca="1" si="116"/>
        <v>2165</v>
      </c>
      <c r="BC2228" s="525" t="e">
        <f ca="1">MATCH(BD2228,OFFSET(Pinlist!$A$2,BC2227*(BA2228=BA2227),0,$BM$23,1),0)+BC2227*(BA2228=BA2227)</f>
        <v>#N/A</v>
      </c>
      <c r="BD2228" s="167">
        <f t="shared" ca="1" si="117"/>
        <v>0</v>
      </c>
      <c r="BE2228" s="191" t="e">
        <f ca="1">(OFFSET(Pinlist!$E$1,BC2228,0)-$BN$16)*$BN$19</f>
        <v>#N/A</v>
      </c>
      <c r="BF2228" s="192" t="e">
        <f ca="1">(OFFSET(Pinlist!$F$1,BC2228,0)-$BO$16)*$BO$19</f>
        <v>#N/A</v>
      </c>
      <c r="BG2228" s="1098" t="str">
        <f ca="1">IF(LEFT(BD2228,2)="RF",OFFSET(Pinlist!$D$1,Chart!BC2228,0)&amp;"_"&amp;OFFSET(Pinlist!$G$1,Chart!BC2228,0),"")</f>
        <v/>
      </c>
      <c r="BH2228" s="1098"/>
    </row>
    <row r="2229" spans="53:60" x14ac:dyDescent="0.2">
      <c r="BA2229" s="518">
        <f t="shared" ca="1" si="115"/>
        <v>61</v>
      </c>
      <c r="BB2229" s="174">
        <f t="shared" ca="1" si="116"/>
        <v>2166</v>
      </c>
      <c r="BC2229" s="525" t="e">
        <f ca="1">MATCH(BD2229,OFFSET(Pinlist!$A$2,BC2228*(BA2229=BA2228),0,$BM$23,1),0)+BC2228*(BA2229=BA2228)</f>
        <v>#N/A</v>
      </c>
      <c r="BD2229" s="167">
        <f t="shared" ca="1" si="117"/>
        <v>0</v>
      </c>
      <c r="BE2229" s="191" t="e">
        <f ca="1">(OFFSET(Pinlist!$E$1,BC2229,0)-$BN$16)*$BN$19</f>
        <v>#N/A</v>
      </c>
      <c r="BF2229" s="192" t="e">
        <f ca="1">(OFFSET(Pinlist!$F$1,BC2229,0)-$BO$16)*$BO$19</f>
        <v>#N/A</v>
      </c>
      <c r="BG2229" s="1098" t="str">
        <f ca="1">IF(LEFT(BD2229,2)="RF",OFFSET(Pinlist!$D$1,Chart!BC2229,0)&amp;"_"&amp;OFFSET(Pinlist!$G$1,Chart!BC2229,0),"")</f>
        <v/>
      </c>
      <c r="BH2229" s="1098"/>
    </row>
    <row r="2230" spans="53:60" x14ac:dyDescent="0.2">
      <c r="BA2230" s="518">
        <f t="shared" ca="1" si="115"/>
        <v>61</v>
      </c>
      <c r="BB2230" s="174">
        <f t="shared" ca="1" si="116"/>
        <v>2167</v>
      </c>
      <c r="BC2230" s="525" t="e">
        <f ca="1">MATCH(BD2230,OFFSET(Pinlist!$A$2,BC2229*(BA2230=BA2229),0,$BM$23,1),0)+BC2229*(BA2230=BA2229)</f>
        <v>#N/A</v>
      </c>
      <c r="BD2230" s="167">
        <f t="shared" ca="1" si="117"/>
        <v>0</v>
      </c>
      <c r="BE2230" s="191" t="e">
        <f ca="1">(OFFSET(Pinlist!$E$1,BC2230,0)-$BN$16)*$BN$19</f>
        <v>#N/A</v>
      </c>
      <c r="BF2230" s="192" t="e">
        <f ca="1">(OFFSET(Pinlist!$F$1,BC2230,0)-$BO$16)*$BO$19</f>
        <v>#N/A</v>
      </c>
      <c r="BG2230" s="1098" t="str">
        <f ca="1">IF(LEFT(BD2230,2)="RF",OFFSET(Pinlist!$D$1,Chart!BC2230,0)&amp;"_"&amp;OFFSET(Pinlist!$G$1,Chart!BC2230,0),"")</f>
        <v/>
      </c>
      <c r="BH2230" s="1098"/>
    </row>
    <row r="2231" spans="53:60" x14ac:dyDescent="0.2">
      <c r="BA2231" s="518">
        <f t="shared" ca="1" si="115"/>
        <v>61</v>
      </c>
      <c r="BB2231" s="174">
        <f t="shared" ca="1" si="116"/>
        <v>2168</v>
      </c>
      <c r="BC2231" s="525" t="e">
        <f ca="1">MATCH(BD2231,OFFSET(Pinlist!$A$2,BC2230*(BA2231=BA2230),0,$BM$23,1),0)+BC2230*(BA2231=BA2230)</f>
        <v>#N/A</v>
      </c>
      <c r="BD2231" s="167">
        <f t="shared" ca="1" si="117"/>
        <v>0</v>
      </c>
      <c r="BE2231" s="191" t="e">
        <f ca="1">(OFFSET(Pinlist!$E$1,BC2231,0)-$BN$16)*$BN$19</f>
        <v>#N/A</v>
      </c>
      <c r="BF2231" s="192" t="e">
        <f ca="1">(OFFSET(Pinlist!$F$1,BC2231,0)-$BO$16)*$BO$19</f>
        <v>#N/A</v>
      </c>
      <c r="BG2231" s="1098" t="str">
        <f ca="1">IF(LEFT(BD2231,2)="RF",OFFSET(Pinlist!$D$1,Chart!BC2231,0)&amp;"_"&amp;OFFSET(Pinlist!$G$1,Chart!BC2231,0),"")</f>
        <v/>
      </c>
      <c r="BH2231" s="1098"/>
    </row>
    <row r="2232" spans="53:60" x14ac:dyDescent="0.2">
      <c r="BA2232" s="518">
        <f t="shared" ca="1" si="115"/>
        <v>61</v>
      </c>
      <c r="BB2232" s="174">
        <f t="shared" ca="1" si="116"/>
        <v>2169</v>
      </c>
      <c r="BC2232" s="525" t="e">
        <f ca="1">MATCH(BD2232,OFFSET(Pinlist!$A$2,BC2231*(BA2232=BA2231),0,$BM$23,1),0)+BC2231*(BA2232=BA2231)</f>
        <v>#N/A</v>
      </c>
      <c r="BD2232" s="167">
        <f t="shared" ca="1" si="117"/>
        <v>0</v>
      </c>
      <c r="BE2232" s="191" t="e">
        <f ca="1">(OFFSET(Pinlist!$E$1,BC2232,0)-$BN$16)*$BN$19</f>
        <v>#N/A</v>
      </c>
      <c r="BF2232" s="192" t="e">
        <f ca="1">(OFFSET(Pinlist!$F$1,BC2232,0)-$BO$16)*$BO$19</f>
        <v>#N/A</v>
      </c>
      <c r="BG2232" s="1098" t="str">
        <f ca="1">IF(LEFT(BD2232,2)="RF",OFFSET(Pinlist!$D$1,Chart!BC2232,0)&amp;"_"&amp;OFFSET(Pinlist!$G$1,Chart!BC2232,0),"")</f>
        <v/>
      </c>
      <c r="BH2232" s="1098"/>
    </row>
    <row r="2233" spans="53:60" x14ac:dyDescent="0.2">
      <c r="BA2233" s="518">
        <f t="shared" ca="1" si="115"/>
        <v>61</v>
      </c>
      <c r="BB2233" s="174">
        <f t="shared" ca="1" si="116"/>
        <v>2170</v>
      </c>
      <c r="BC2233" s="525" t="e">
        <f ca="1">MATCH(BD2233,OFFSET(Pinlist!$A$2,BC2232*(BA2233=BA2232),0,$BM$23,1),0)+BC2232*(BA2233=BA2232)</f>
        <v>#N/A</v>
      </c>
      <c r="BD2233" s="167">
        <f t="shared" ca="1" si="117"/>
        <v>0</v>
      </c>
      <c r="BE2233" s="191" t="e">
        <f ca="1">(OFFSET(Pinlist!$E$1,BC2233,0)-$BN$16)*$BN$19</f>
        <v>#N/A</v>
      </c>
      <c r="BF2233" s="192" t="e">
        <f ca="1">(OFFSET(Pinlist!$F$1,BC2233,0)-$BO$16)*$BO$19</f>
        <v>#N/A</v>
      </c>
      <c r="BG2233" s="1098" t="str">
        <f ca="1">IF(LEFT(BD2233,2)="RF",OFFSET(Pinlist!$D$1,Chart!BC2233,0)&amp;"_"&amp;OFFSET(Pinlist!$G$1,Chart!BC2233,0),"")</f>
        <v/>
      </c>
      <c r="BH2233" s="1098"/>
    </row>
    <row r="2234" spans="53:60" x14ac:dyDescent="0.2">
      <c r="BA2234" s="518">
        <f t="shared" ca="1" si="115"/>
        <v>61</v>
      </c>
      <c r="BB2234" s="174">
        <f t="shared" ca="1" si="116"/>
        <v>2171</v>
      </c>
      <c r="BC2234" s="525" t="e">
        <f ca="1">MATCH(BD2234,OFFSET(Pinlist!$A$2,BC2233*(BA2234=BA2233),0,$BM$23,1),0)+BC2233*(BA2234=BA2233)</f>
        <v>#N/A</v>
      </c>
      <c r="BD2234" s="167">
        <f t="shared" ca="1" si="117"/>
        <v>0</v>
      </c>
      <c r="BE2234" s="191" t="e">
        <f ca="1">(OFFSET(Pinlist!$E$1,BC2234,0)-$BN$16)*$BN$19</f>
        <v>#N/A</v>
      </c>
      <c r="BF2234" s="192" t="e">
        <f ca="1">(OFFSET(Pinlist!$F$1,BC2234,0)-$BO$16)*$BO$19</f>
        <v>#N/A</v>
      </c>
      <c r="BG2234" s="1098" t="str">
        <f ca="1">IF(LEFT(BD2234,2)="RF",OFFSET(Pinlist!$D$1,Chart!BC2234,0)&amp;"_"&amp;OFFSET(Pinlist!$G$1,Chart!BC2234,0),"")</f>
        <v/>
      </c>
      <c r="BH2234" s="1098"/>
    </row>
    <row r="2235" spans="53:60" x14ac:dyDescent="0.2">
      <c r="BA2235" s="518">
        <f t="shared" ca="1" si="115"/>
        <v>61</v>
      </c>
      <c r="BB2235" s="174">
        <f t="shared" ca="1" si="116"/>
        <v>2172</v>
      </c>
      <c r="BC2235" s="525" t="e">
        <f ca="1">MATCH(BD2235,OFFSET(Pinlist!$A$2,BC2234*(BA2235=BA2234),0,$BM$23,1),0)+BC2234*(BA2235=BA2234)</f>
        <v>#N/A</v>
      </c>
      <c r="BD2235" s="167">
        <f t="shared" ca="1" si="117"/>
        <v>0</v>
      </c>
      <c r="BE2235" s="191" t="e">
        <f ca="1">(OFFSET(Pinlist!$E$1,BC2235,0)-$BN$16)*$BN$19</f>
        <v>#N/A</v>
      </c>
      <c r="BF2235" s="192" t="e">
        <f ca="1">(OFFSET(Pinlist!$F$1,BC2235,0)-$BO$16)*$BO$19</f>
        <v>#N/A</v>
      </c>
      <c r="BG2235" s="1098" t="str">
        <f ca="1">IF(LEFT(BD2235,2)="RF",OFFSET(Pinlist!$D$1,Chart!BC2235,0)&amp;"_"&amp;OFFSET(Pinlist!$G$1,Chart!BC2235,0),"")</f>
        <v/>
      </c>
      <c r="BH2235" s="1098"/>
    </row>
    <row r="2236" spans="53:60" x14ac:dyDescent="0.2">
      <c r="BA2236" s="518">
        <f t="shared" ca="1" si="115"/>
        <v>61</v>
      </c>
      <c r="BB2236" s="174">
        <f t="shared" ca="1" si="116"/>
        <v>2173</v>
      </c>
      <c r="BC2236" s="525" t="e">
        <f ca="1">MATCH(BD2236,OFFSET(Pinlist!$A$2,BC2235*(BA2236=BA2235),0,$BM$23,1),0)+BC2235*(BA2236=BA2235)</f>
        <v>#N/A</v>
      </c>
      <c r="BD2236" s="167">
        <f t="shared" ca="1" si="117"/>
        <v>0</v>
      </c>
      <c r="BE2236" s="191" t="e">
        <f ca="1">(OFFSET(Pinlist!$E$1,BC2236,0)-$BN$16)*$BN$19</f>
        <v>#N/A</v>
      </c>
      <c r="BF2236" s="192" t="e">
        <f ca="1">(OFFSET(Pinlist!$F$1,BC2236,0)-$BO$16)*$BO$19</f>
        <v>#N/A</v>
      </c>
      <c r="BG2236" s="1098" t="str">
        <f ca="1">IF(LEFT(BD2236,2)="RF",OFFSET(Pinlist!$D$1,Chart!BC2236,0)&amp;"_"&amp;OFFSET(Pinlist!$G$1,Chart!BC2236,0),"")</f>
        <v/>
      </c>
      <c r="BH2236" s="1098"/>
    </row>
    <row r="2237" spans="53:60" x14ac:dyDescent="0.2">
      <c r="BA2237" s="518">
        <f t="shared" ca="1" si="115"/>
        <v>61</v>
      </c>
      <c r="BB2237" s="174">
        <f t="shared" ca="1" si="116"/>
        <v>2174</v>
      </c>
      <c r="BC2237" s="525" t="e">
        <f ca="1">MATCH(BD2237,OFFSET(Pinlist!$A$2,BC2236*(BA2237=BA2236),0,$BM$23,1),0)+BC2236*(BA2237=BA2236)</f>
        <v>#N/A</v>
      </c>
      <c r="BD2237" s="167">
        <f t="shared" ca="1" si="117"/>
        <v>0</v>
      </c>
      <c r="BE2237" s="191" t="e">
        <f ca="1">(OFFSET(Pinlist!$E$1,BC2237,0)-$BN$16)*$BN$19</f>
        <v>#N/A</v>
      </c>
      <c r="BF2237" s="192" t="e">
        <f ca="1">(OFFSET(Pinlist!$F$1,BC2237,0)-$BO$16)*$BO$19</f>
        <v>#N/A</v>
      </c>
      <c r="BG2237" s="1098" t="str">
        <f ca="1">IF(LEFT(BD2237,2)="RF",OFFSET(Pinlist!$D$1,Chart!BC2237,0)&amp;"_"&amp;OFFSET(Pinlist!$G$1,Chart!BC2237,0),"")</f>
        <v/>
      </c>
      <c r="BH2237" s="1098"/>
    </row>
    <row r="2238" spans="53:60" x14ac:dyDescent="0.2">
      <c r="BA2238" s="518">
        <f t="shared" ca="1" si="115"/>
        <v>61</v>
      </c>
      <c r="BB2238" s="174">
        <f t="shared" ca="1" si="116"/>
        <v>2175</v>
      </c>
      <c r="BC2238" s="525" t="e">
        <f ca="1">MATCH(BD2238,OFFSET(Pinlist!$A$2,BC2237*(BA2238=BA2237),0,$BM$23,1),0)+BC2237*(BA2238=BA2237)</f>
        <v>#N/A</v>
      </c>
      <c r="BD2238" s="167">
        <f t="shared" ca="1" si="117"/>
        <v>0</v>
      </c>
      <c r="BE2238" s="191" t="e">
        <f ca="1">(OFFSET(Pinlist!$E$1,BC2238,0)-$BN$16)*$BN$19</f>
        <v>#N/A</v>
      </c>
      <c r="BF2238" s="192" t="e">
        <f ca="1">(OFFSET(Pinlist!$F$1,BC2238,0)-$BO$16)*$BO$19</f>
        <v>#N/A</v>
      </c>
      <c r="BG2238" s="1098" t="str">
        <f ca="1">IF(LEFT(BD2238,2)="RF",OFFSET(Pinlist!$D$1,Chart!BC2238,0)&amp;"_"&amp;OFFSET(Pinlist!$G$1,Chart!BC2238,0),"")</f>
        <v/>
      </c>
      <c r="BH2238" s="1098"/>
    </row>
    <row r="2239" spans="53:60" x14ac:dyDescent="0.2">
      <c r="BA2239" s="518">
        <f t="shared" ca="1" si="115"/>
        <v>61</v>
      </c>
      <c r="BB2239" s="174">
        <f t="shared" ca="1" si="116"/>
        <v>2176</v>
      </c>
      <c r="BC2239" s="525" t="e">
        <f ca="1">MATCH(BD2239,OFFSET(Pinlist!$A$2,BC2238*(BA2239=BA2238),0,$BM$23,1),0)+BC2238*(BA2239=BA2238)</f>
        <v>#N/A</v>
      </c>
      <c r="BD2239" s="167">
        <f t="shared" ca="1" si="117"/>
        <v>0</v>
      </c>
      <c r="BE2239" s="191" t="e">
        <f ca="1">(OFFSET(Pinlist!$E$1,BC2239,0)-$BN$16)*$BN$19</f>
        <v>#N/A</v>
      </c>
      <c r="BF2239" s="192" t="e">
        <f ca="1">(OFFSET(Pinlist!$F$1,BC2239,0)-$BO$16)*$BO$19</f>
        <v>#N/A</v>
      </c>
      <c r="BG2239" s="1098" t="str">
        <f ca="1">IF(LEFT(BD2239,2)="RF",OFFSET(Pinlist!$D$1,Chart!BC2239,0)&amp;"_"&amp;OFFSET(Pinlist!$G$1,Chart!BC2239,0),"")</f>
        <v/>
      </c>
      <c r="BH2239" s="1098"/>
    </row>
    <row r="2240" spans="53:60" x14ac:dyDescent="0.2">
      <c r="BA2240" s="518">
        <f t="shared" ca="1" si="115"/>
        <v>61</v>
      </c>
      <c r="BB2240" s="174">
        <f t="shared" ca="1" si="116"/>
        <v>2177</v>
      </c>
      <c r="BC2240" s="525" t="e">
        <f ca="1">MATCH(BD2240,OFFSET(Pinlist!$A$2,BC2239*(BA2240=BA2239),0,$BM$23,1),0)+BC2239*(BA2240=BA2239)</f>
        <v>#N/A</v>
      </c>
      <c r="BD2240" s="167">
        <f t="shared" ca="1" si="117"/>
        <v>0</v>
      </c>
      <c r="BE2240" s="191" t="e">
        <f ca="1">(OFFSET(Pinlist!$E$1,BC2240,0)-$BN$16)*$BN$19</f>
        <v>#N/A</v>
      </c>
      <c r="BF2240" s="192" t="e">
        <f ca="1">(OFFSET(Pinlist!$F$1,BC2240,0)-$BO$16)*$BO$19</f>
        <v>#N/A</v>
      </c>
      <c r="BG2240" s="1098" t="str">
        <f ca="1">IF(LEFT(BD2240,2)="RF",OFFSET(Pinlist!$D$1,Chart!BC2240,0)&amp;"_"&amp;OFFSET(Pinlist!$G$1,Chart!BC2240,0),"")</f>
        <v/>
      </c>
      <c r="BH2240" s="1098"/>
    </row>
    <row r="2241" spans="53:60" x14ac:dyDescent="0.2">
      <c r="BA2241" s="518">
        <f t="shared" ca="1" si="115"/>
        <v>61</v>
      </c>
      <c r="BB2241" s="174">
        <f t="shared" ca="1" si="116"/>
        <v>2178</v>
      </c>
      <c r="BC2241" s="525" t="e">
        <f ca="1">MATCH(BD2241,OFFSET(Pinlist!$A$2,BC2240*(BA2241=BA2240),0,$BM$23,1),0)+BC2240*(BA2241=BA2240)</f>
        <v>#N/A</v>
      </c>
      <c r="BD2241" s="167">
        <f t="shared" ca="1" si="117"/>
        <v>0</v>
      </c>
      <c r="BE2241" s="191" t="e">
        <f ca="1">(OFFSET(Pinlist!$E$1,BC2241,0)-$BN$16)*$BN$19</f>
        <v>#N/A</v>
      </c>
      <c r="BF2241" s="192" t="e">
        <f ca="1">(OFFSET(Pinlist!$F$1,BC2241,0)-$BO$16)*$BO$19</f>
        <v>#N/A</v>
      </c>
      <c r="BG2241" s="1098" t="str">
        <f ca="1">IF(LEFT(BD2241,2)="RF",OFFSET(Pinlist!$D$1,Chart!BC2241,0)&amp;"_"&amp;OFFSET(Pinlist!$G$1,Chart!BC2241,0),"")</f>
        <v/>
      </c>
      <c r="BH2241" s="1098"/>
    </row>
    <row r="2242" spans="53:60" x14ac:dyDescent="0.2">
      <c r="BA2242" s="518">
        <f t="shared" ca="1" si="115"/>
        <v>61</v>
      </c>
      <c r="BB2242" s="174">
        <f t="shared" ca="1" si="116"/>
        <v>2179</v>
      </c>
      <c r="BC2242" s="525" t="e">
        <f ca="1">MATCH(BD2242,OFFSET(Pinlist!$A$2,BC2241*(BA2242=BA2241),0,$BM$23,1),0)+BC2241*(BA2242=BA2241)</f>
        <v>#N/A</v>
      </c>
      <c r="BD2242" s="167">
        <f t="shared" ca="1" si="117"/>
        <v>0</v>
      </c>
      <c r="BE2242" s="191" t="e">
        <f ca="1">(OFFSET(Pinlist!$E$1,BC2242,0)-$BN$16)*$BN$19</f>
        <v>#N/A</v>
      </c>
      <c r="BF2242" s="192" t="e">
        <f ca="1">(OFFSET(Pinlist!$F$1,BC2242,0)-$BO$16)*$BO$19</f>
        <v>#N/A</v>
      </c>
      <c r="BG2242" s="1098" t="str">
        <f ca="1">IF(LEFT(BD2242,2)="RF",OFFSET(Pinlist!$D$1,Chart!BC2242,0)&amp;"_"&amp;OFFSET(Pinlist!$G$1,Chart!BC2242,0),"")</f>
        <v/>
      </c>
      <c r="BH2242" s="1098"/>
    </row>
    <row r="2243" spans="53:60" x14ac:dyDescent="0.2">
      <c r="BA2243" s="518">
        <f t="shared" ca="1" si="115"/>
        <v>61</v>
      </c>
      <c r="BB2243" s="174">
        <f t="shared" ca="1" si="116"/>
        <v>2180</v>
      </c>
      <c r="BC2243" s="525" t="e">
        <f ca="1">MATCH(BD2243,OFFSET(Pinlist!$A$2,BC2242*(BA2243=BA2242),0,$BM$23,1),0)+BC2242*(BA2243=BA2242)</f>
        <v>#N/A</v>
      </c>
      <c r="BD2243" s="167">
        <f t="shared" ca="1" si="117"/>
        <v>0</v>
      </c>
      <c r="BE2243" s="191" t="e">
        <f ca="1">(OFFSET(Pinlist!$E$1,BC2243,0)-$BN$16)*$BN$19</f>
        <v>#N/A</v>
      </c>
      <c r="BF2243" s="192" t="e">
        <f ca="1">(OFFSET(Pinlist!$F$1,BC2243,0)-$BO$16)*$BO$19</f>
        <v>#N/A</v>
      </c>
      <c r="BG2243" s="1098" t="str">
        <f ca="1">IF(LEFT(BD2243,2)="RF",OFFSET(Pinlist!$D$1,Chart!BC2243,0)&amp;"_"&amp;OFFSET(Pinlist!$G$1,Chart!BC2243,0),"")</f>
        <v/>
      </c>
      <c r="BH2243" s="1098"/>
    </row>
    <row r="2244" spans="53:60" x14ac:dyDescent="0.2">
      <c r="BA2244" s="518">
        <f t="shared" ref="BA2244:BA2307" ca="1" si="118">BA2243+(BB2243=OFFSET($BZ$3,BA2243,0))</f>
        <v>61</v>
      </c>
      <c r="BB2244" s="174">
        <f t="shared" ref="BB2244:BB2307" ca="1" si="119">IF(BA2244=BA2243,BB2243+1,1)</f>
        <v>2181</v>
      </c>
      <c r="BC2244" s="525" t="e">
        <f ca="1">MATCH(BD2244,OFFSET(Pinlist!$A$2,BC2243*(BA2244=BA2243),0,$BM$23,1),0)+BC2243*(BA2244=BA2243)</f>
        <v>#N/A</v>
      </c>
      <c r="BD2244" s="167">
        <f t="shared" ref="BD2244:BD2307" ca="1" si="120">OFFSET($BY$3,BA2244,0)</f>
        <v>0</v>
      </c>
      <c r="BE2244" s="191" t="e">
        <f ca="1">(OFFSET(Pinlist!$E$1,BC2244,0)-$BN$16)*$BN$19</f>
        <v>#N/A</v>
      </c>
      <c r="BF2244" s="192" t="e">
        <f ca="1">(OFFSET(Pinlist!$F$1,BC2244,0)-$BO$16)*$BO$19</f>
        <v>#N/A</v>
      </c>
      <c r="BG2244" s="1098" t="str">
        <f ca="1">IF(LEFT(BD2244,2)="RF",OFFSET(Pinlist!$D$1,Chart!BC2244,0)&amp;"_"&amp;OFFSET(Pinlist!$G$1,Chart!BC2244,0),"")</f>
        <v/>
      </c>
      <c r="BH2244" s="1098"/>
    </row>
    <row r="2245" spans="53:60" x14ac:dyDescent="0.2">
      <c r="BA2245" s="518">
        <f t="shared" ca="1" si="118"/>
        <v>61</v>
      </c>
      <c r="BB2245" s="174">
        <f t="shared" ca="1" si="119"/>
        <v>2182</v>
      </c>
      <c r="BC2245" s="525" t="e">
        <f ca="1">MATCH(BD2245,OFFSET(Pinlist!$A$2,BC2244*(BA2245=BA2244),0,$BM$23,1),0)+BC2244*(BA2245=BA2244)</f>
        <v>#N/A</v>
      </c>
      <c r="BD2245" s="167">
        <f t="shared" ca="1" si="120"/>
        <v>0</v>
      </c>
      <c r="BE2245" s="191" t="e">
        <f ca="1">(OFFSET(Pinlist!$E$1,BC2245,0)-$BN$16)*$BN$19</f>
        <v>#N/A</v>
      </c>
      <c r="BF2245" s="192" t="e">
        <f ca="1">(OFFSET(Pinlist!$F$1,BC2245,0)-$BO$16)*$BO$19</f>
        <v>#N/A</v>
      </c>
      <c r="BG2245" s="1098" t="str">
        <f ca="1">IF(LEFT(BD2245,2)="RF",OFFSET(Pinlist!$D$1,Chart!BC2245,0)&amp;"_"&amp;OFFSET(Pinlist!$G$1,Chart!BC2245,0),"")</f>
        <v/>
      </c>
      <c r="BH2245" s="1098"/>
    </row>
    <row r="2246" spans="53:60" x14ac:dyDescent="0.2">
      <c r="BA2246" s="518">
        <f t="shared" ca="1" si="118"/>
        <v>61</v>
      </c>
      <c r="BB2246" s="174">
        <f t="shared" ca="1" si="119"/>
        <v>2183</v>
      </c>
      <c r="BC2246" s="525" t="e">
        <f ca="1">MATCH(BD2246,OFFSET(Pinlist!$A$2,BC2245*(BA2246=BA2245),0,$BM$23,1),0)+BC2245*(BA2246=BA2245)</f>
        <v>#N/A</v>
      </c>
      <c r="BD2246" s="167">
        <f t="shared" ca="1" si="120"/>
        <v>0</v>
      </c>
      <c r="BE2246" s="191" t="e">
        <f ca="1">(OFFSET(Pinlist!$E$1,BC2246,0)-$BN$16)*$BN$19</f>
        <v>#N/A</v>
      </c>
      <c r="BF2246" s="192" t="e">
        <f ca="1">(OFFSET(Pinlist!$F$1,BC2246,0)-$BO$16)*$BO$19</f>
        <v>#N/A</v>
      </c>
      <c r="BG2246" s="1098" t="str">
        <f ca="1">IF(LEFT(BD2246,2)="RF",OFFSET(Pinlist!$D$1,Chart!BC2246,0)&amp;"_"&amp;OFFSET(Pinlist!$G$1,Chart!BC2246,0),"")</f>
        <v/>
      </c>
      <c r="BH2246" s="1098"/>
    </row>
    <row r="2247" spans="53:60" x14ac:dyDescent="0.2">
      <c r="BA2247" s="518">
        <f t="shared" ca="1" si="118"/>
        <v>61</v>
      </c>
      <c r="BB2247" s="174">
        <f t="shared" ca="1" si="119"/>
        <v>2184</v>
      </c>
      <c r="BC2247" s="525" t="e">
        <f ca="1">MATCH(BD2247,OFFSET(Pinlist!$A$2,BC2246*(BA2247=BA2246),0,$BM$23,1),0)+BC2246*(BA2247=BA2246)</f>
        <v>#N/A</v>
      </c>
      <c r="BD2247" s="167">
        <f t="shared" ca="1" si="120"/>
        <v>0</v>
      </c>
      <c r="BE2247" s="191" t="e">
        <f ca="1">(OFFSET(Pinlist!$E$1,BC2247,0)-$BN$16)*$BN$19</f>
        <v>#N/A</v>
      </c>
      <c r="BF2247" s="192" t="e">
        <f ca="1">(OFFSET(Pinlist!$F$1,BC2247,0)-$BO$16)*$BO$19</f>
        <v>#N/A</v>
      </c>
      <c r="BG2247" s="1098" t="str">
        <f ca="1">IF(LEFT(BD2247,2)="RF",OFFSET(Pinlist!$D$1,Chart!BC2247,0)&amp;"_"&amp;OFFSET(Pinlist!$G$1,Chart!BC2247,0),"")</f>
        <v/>
      </c>
      <c r="BH2247" s="1098"/>
    </row>
    <row r="2248" spans="53:60" x14ac:dyDescent="0.2">
      <c r="BA2248" s="518">
        <f t="shared" ca="1" si="118"/>
        <v>61</v>
      </c>
      <c r="BB2248" s="174">
        <f t="shared" ca="1" si="119"/>
        <v>2185</v>
      </c>
      <c r="BC2248" s="525" t="e">
        <f ca="1">MATCH(BD2248,OFFSET(Pinlist!$A$2,BC2247*(BA2248=BA2247),0,$BM$23,1),0)+BC2247*(BA2248=BA2247)</f>
        <v>#N/A</v>
      </c>
      <c r="BD2248" s="167">
        <f t="shared" ca="1" si="120"/>
        <v>0</v>
      </c>
      <c r="BE2248" s="191" t="e">
        <f ca="1">(OFFSET(Pinlist!$E$1,BC2248,0)-$BN$16)*$BN$19</f>
        <v>#N/A</v>
      </c>
      <c r="BF2248" s="192" t="e">
        <f ca="1">(OFFSET(Pinlist!$F$1,BC2248,0)-$BO$16)*$BO$19</f>
        <v>#N/A</v>
      </c>
      <c r="BG2248" s="1098" t="str">
        <f ca="1">IF(LEFT(BD2248,2)="RF",OFFSET(Pinlist!$D$1,Chart!BC2248,0)&amp;"_"&amp;OFFSET(Pinlist!$G$1,Chart!BC2248,0),"")</f>
        <v/>
      </c>
      <c r="BH2248" s="1098"/>
    </row>
    <row r="2249" spans="53:60" x14ac:dyDescent="0.2">
      <c r="BA2249" s="518">
        <f t="shared" ca="1" si="118"/>
        <v>61</v>
      </c>
      <c r="BB2249" s="174">
        <f t="shared" ca="1" si="119"/>
        <v>2186</v>
      </c>
      <c r="BC2249" s="525" t="e">
        <f ca="1">MATCH(BD2249,OFFSET(Pinlist!$A$2,BC2248*(BA2249=BA2248),0,$BM$23,1),0)+BC2248*(BA2249=BA2248)</f>
        <v>#N/A</v>
      </c>
      <c r="BD2249" s="167">
        <f t="shared" ca="1" si="120"/>
        <v>0</v>
      </c>
      <c r="BE2249" s="191" t="e">
        <f ca="1">(OFFSET(Pinlist!$E$1,BC2249,0)-$BN$16)*$BN$19</f>
        <v>#N/A</v>
      </c>
      <c r="BF2249" s="192" t="e">
        <f ca="1">(OFFSET(Pinlist!$F$1,BC2249,0)-$BO$16)*$BO$19</f>
        <v>#N/A</v>
      </c>
      <c r="BG2249" s="1098" t="str">
        <f ca="1">IF(LEFT(BD2249,2)="RF",OFFSET(Pinlist!$D$1,Chart!BC2249,0)&amp;"_"&amp;OFFSET(Pinlist!$G$1,Chart!BC2249,0),"")</f>
        <v/>
      </c>
      <c r="BH2249" s="1098"/>
    </row>
    <row r="2250" spans="53:60" x14ac:dyDescent="0.2">
      <c r="BA2250" s="518">
        <f t="shared" ca="1" si="118"/>
        <v>61</v>
      </c>
      <c r="BB2250" s="174">
        <f t="shared" ca="1" si="119"/>
        <v>2187</v>
      </c>
      <c r="BC2250" s="525" t="e">
        <f ca="1">MATCH(BD2250,OFFSET(Pinlist!$A$2,BC2249*(BA2250=BA2249),0,$BM$23,1),0)+BC2249*(BA2250=BA2249)</f>
        <v>#N/A</v>
      </c>
      <c r="BD2250" s="167">
        <f t="shared" ca="1" si="120"/>
        <v>0</v>
      </c>
      <c r="BE2250" s="191" t="e">
        <f ca="1">(OFFSET(Pinlist!$E$1,BC2250,0)-$BN$16)*$BN$19</f>
        <v>#N/A</v>
      </c>
      <c r="BF2250" s="192" t="e">
        <f ca="1">(OFFSET(Pinlist!$F$1,BC2250,0)-$BO$16)*$BO$19</f>
        <v>#N/A</v>
      </c>
      <c r="BG2250" s="1098" t="str">
        <f ca="1">IF(LEFT(BD2250,2)="RF",OFFSET(Pinlist!$D$1,Chart!BC2250,0)&amp;"_"&amp;OFFSET(Pinlist!$G$1,Chart!BC2250,0),"")</f>
        <v/>
      </c>
      <c r="BH2250" s="1098"/>
    </row>
    <row r="2251" spans="53:60" x14ac:dyDescent="0.2">
      <c r="BA2251" s="518">
        <f t="shared" ca="1" si="118"/>
        <v>61</v>
      </c>
      <c r="BB2251" s="174">
        <f t="shared" ca="1" si="119"/>
        <v>2188</v>
      </c>
      <c r="BC2251" s="525" t="e">
        <f ca="1">MATCH(BD2251,OFFSET(Pinlist!$A$2,BC2250*(BA2251=BA2250),0,$BM$23,1),0)+BC2250*(BA2251=BA2250)</f>
        <v>#N/A</v>
      </c>
      <c r="BD2251" s="167">
        <f t="shared" ca="1" si="120"/>
        <v>0</v>
      </c>
      <c r="BE2251" s="191" t="e">
        <f ca="1">(OFFSET(Pinlist!$E$1,BC2251,0)-$BN$16)*$BN$19</f>
        <v>#N/A</v>
      </c>
      <c r="BF2251" s="192" t="e">
        <f ca="1">(OFFSET(Pinlist!$F$1,BC2251,0)-$BO$16)*$BO$19</f>
        <v>#N/A</v>
      </c>
      <c r="BG2251" s="1098" t="str">
        <f ca="1">IF(LEFT(BD2251,2)="RF",OFFSET(Pinlist!$D$1,Chart!BC2251,0)&amp;"_"&amp;OFFSET(Pinlist!$G$1,Chart!BC2251,0),"")</f>
        <v/>
      </c>
      <c r="BH2251" s="1098"/>
    </row>
    <row r="2252" spans="53:60" x14ac:dyDescent="0.2">
      <c r="BA2252" s="518">
        <f t="shared" ca="1" si="118"/>
        <v>61</v>
      </c>
      <c r="BB2252" s="174">
        <f t="shared" ca="1" si="119"/>
        <v>2189</v>
      </c>
      <c r="BC2252" s="525" t="e">
        <f ca="1">MATCH(BD2252,OFFSET(Pinlist!$A$2,BC2251*(BA2252=BA2251),0,$BM$23,1),0)+BC2251*(BA2252=BA2251)</f>
        <v>#N/A</v>
      </c>
      <c r="BD2252" s="167">
        <f t="shared" ca="1" si="120"/>
        <v>0</v>
      </c>
      <c r="BE2252" s="191" t="e">
        <f ca="1">(OFFSET(Pinlist!$E$1,BC2252,0)-$BN$16)*$BN$19</f>
        <v>#N/A</v>
      </c>
      <c r="BF2252" s="192" t="e">
        <f ca="1">(OFFSET(Pinlist!$F$1,BC2252,0)-$BO$16)*$BO$19</f>
        <v>#N/A</v>
      </c>
      <c r="BG2252" s="1098" t="str">
        <f ca="1">IF(LEFT(BD2252,2)="RF",OFFSET(Pinlist!$D$1,Chart!BC2252,0)&amp;"_"&amp;OFFSET(Pinlist!$G$1,Chart!BC2252,0),"")</f>
        <v/>
      </c>
      <c r="BH2252" s="1098"/>
    </row>
    <row r="2253" spans="53:60" x14ac:dyDescent="0.2">
      <c r="BA2253" s="518">
        <f t="shared" ca="1" si="118"/>
        <v>61</v>
      </c>
      <c r="BB2253" s="174">
        <f t="shared" ca="1" si="119"/>
        <v>2190</v>
      </c>
      <c r="BC2253" s="525" t="e">
        <f ca="1">MATCH(BD2253,OFFSET(Pinlist!$A$2,BC2252*(BA2253=BA2252),0,$BM$23,1),0)+BC2252*(BA2253=BA2252)</f>
        <v>#N/A</v>
      </c>
      <c r="BD2253" s="167">
        <f t="shared" ca="1" si="120"/>
        <v>0</v>
      </c>
      <c r="BE2253" s="191" t="e">
        <f ca="1">(OFFSET(Pinlist!$E$1,BC2253,0)-$BN$16)*$BN$19</f>
        <v>#N/A</v>
      </c>
      <c r="BF2253" s="192" t="e">
        <f ca="1">(OFFSET(Pinlist!$F$1,BC2253,0)-$BO$16)*$BO$19</f>
        <v>#N/A</v>
      </c>
      <c r="BG2253" s="1098" t="str">
        <f ca="1">IF(LEFT(BD2253,2)="RF",OFFSET(Pinlist!$D$1,Chart!BC2253,0)&amp;"_"&amp;OFFSET(Pinlist!$G$1,Chart!BC2253,0),"")</f>
        <v/>
      </c>
      <c r="BH2253" s="1098"/>
    </row>
    <row r="2254" spans="53:60" x14ac:dyDescent="0.2">
      <c r="BA2254" s="518">
        <f t="shared" ca="1" si="118"/>
        <v>61</v>
      </c>
      <c r="BB2254" s="174">
        <f t="shared" ca="1" si="119"/>
        <v>2191</v>
      </c>
      <c r="BC2254" s="525" t="e">
        <f ca="1">MATCH(BD2254,OFFSET(Pinlist!$A$2,BC2253*(BA2254=BA2253),0,$BM$23,1),0)+BC2253*(BA2254=BA2253)</f>
        <v>#N/A</v>
      </c>
      <c r="BD2254" s="167">
        <f t="shared" ca="1" si="120"/>
        <v>0</v>
      </c>
      <c r="BE2254" s="191" t="e">
        <f ca="1">(OFFSET(Pinlist!$E$1,BC2254,0)-$BN$16)*$BN$19</f>
        <v>#N/A</v>
      </c>
      <c r="BF2254" s="192" t="e">
        <f ca="1">(OFFSET(Pinlist!$F$1,BC2254,0)-$BO$16)*$BO$19</f>
        <v>#N/A</v>
      </c>
      <c r="BG2254" s="1098" t="str">
        <f ca="1">IF(LEFT(BD2254,2)="RF",OFFSET(Pinlist!$D$1,Chart!BC2254,0)&amp;"_"&amp;OFFSET(Pinlist!$G$1,Chart!BC2254,0),"")</f>
        <v/>
      </c>
      <c r="BH2254" s="1098"/>
    </row>
    <row r="2255" spans="53:60" x14ac:dyDescent="0.2">
      <c r="BA2255" s="518">
        <f t="shared" ca="1" si="118"/>
        <v>61</v>
      </c>
      <c r="BB2255" s="174">
        <f t="shared" ca="1" si="119"/>
        <v>2192</v>
      </c>
      <c r="BC2255" s="525" t="e">
        <f ca="1">MATCH(BD2255,OFFSET(Pinlist!$A$2,BC2254*(BA2255=BA2254),0,$BM$23,1),0)+BC2254*(BA2255=BA2254)</f>
        <v>#N/A</v>
      </c>
      <c r="BD2255" s="167">
        <f t="shared" ca="1" si="120"/>
        <v>0</v>
      </c>
      <c r="BE2255" s="191" t="e">
        <f ca="1">(OFFSET(Pinlist!$E$1,BC2255,0)-$BN$16)*$BN$19</f>
        <v>#N/A</v>
      </c>
      <c r="BF2255" s="192" t="e">
        <f ca="1">(OFFSET(Pinlist!$F$1,BC2255,0)-$BO$16)*$BO$19</f>
        <v>#N/A</v>
      </c>
      <c r="BG2255" s="1098" t="str">
        <f ca="1">IF(LEFT(BD2255,2)="RF",OFFSET(Pinlist!$D$1,Chart!BC2255,0)&amp;"_"&amp;OFFSET(Pinlist!$G$1,Chart!BC2255,0),"")</f>
        <v/>
      </c>
      <c r="BH2255" s="1098"/>
    </row>
    <row r="2256" spans="53:60" x14ac:dyDescent="0.2">
      <c r="BA2256" s="518">
        <f t="shared" ca="1" si="118"/>
        <v>61</v>
      </c>
      <c r="BB2256" s="174">
        <f t="shared" ca="1" si="119"/>
        <v>2193</v>
      </c>
      <c r="BC2256" s="525" t="e">
        <f ca="1">MATCH(BD2256,OFFSET(Pinlist!$A$2,BC2255*(BA2256=BA2255),0,$BM$23,1),0)+BC2255*(BA2256=BA2255)</f>
        <v>#N/A</v>
      </c>
      <c r="BD2256" s="167">
        <f t="shared" ca="1" si="120"/>
        <v>0</v>
      </c>
      <c r="BE2256" s="191" t="e">
        <f ca="1">(OFFSET(Pinlist!$E$1,BC2256,0)-$BN$16)*$BN$19</f>
        <v>#N/A</v>
      </c>
      <c r="BF2256" s="192" t="e">
        <f ca="1">(OFFSET(Pinlist!$F$1,BC2256,0)-$BO$16)*$BO$19</f>
        <v>#N/A</v>
      </c>
      <c r="BG2256" s="1098" t="str">
        <f ca="1">IF(LEFT(BD2256,2)="RF",OFFSET(Pinlist!$D$1,Chart!BC2256,0)&amp;"_"&amp;OFFSET(Pinlist!$G$1,Chart!BC2256,0),"")</f>
        <v/>
      </c>
      <c r="BH2256" s="1098"/>
    </row>
    <row r="2257" spans="53:60" x14ac:dyDescent="0.2">
      <c r="BA2257" s="518">
        <f t="shared" ca="1" si="118"/>
        <v>61</v>
      </c>
      <c r="BB2257" s="174">
        <f t="shared" ca="1" si="119"/>
        <v>2194</v>
      </c>
      <c r="BC2257" s="525" t="e">
        <f ca="1">MATCH(BD2257,OFFSET(Pinlist!$A$2,BC2256*(BA2257=BA2256),0,$BM$23,1),0)+BC2256*(BA2257=BA2256)</f>
        <v>#N/A</v>
      </c>
      <c r="BD2257" s="167">
        <f t="shared" ca="1" si="120"/>
        <v>0</v>
      </c>
      <c r="BE2257" s="191" t="e">
        <f ca="1">(OFFSET(Pinlist!$E$1,BC2257,0)-$BN$16)*$BN$19</f>
        <v>#N/A</v>
      </c>
      <c r="BF2257" s="192" t="e">
        <f ca="1">(OFFSET(Pinlist!$F$1,BC2257,0)-$BO$16)*$BO$19</f>
        <v>#N/A</v>
      </c>
      <c r="BG2257" s="1098" t="str">
        <f ca="1">IF(LEFT(BD2257,2)="RF",OFFSET(Pinlist!$D$1,Chart!BC2257,0)&amp;"_"&amp;OFFSET(Pinlist!$G$1,Chart!BC2257,0),"")</f>
        <v/>
      </c>
      <c r="BH2257" s="1098"/>
    </row>
    <row r="2258" spans="53:60" x14ac:dyDescent="0.2">
      <c r="BA2258" s="518">
        <f t="shared" ca="1" si="118"/>
        <v>61</v>
      </c>
      <c r="BB2258" s="174">
        <f t="shared" ca="1" si="119"/>
        <v>2195</v>
      </c>
      <c r="BC2258" s="525" t="e">
        <f ca="1">MATCH(BD2258,OFFSET(Pinlist!$A$2,BC2257*(BA2258=BA2257),0,$BM$23,1),0)+BC2257*(BA2258=BA2257)</f>
        <v>#N/A</v>
      </c>
      <c r="BD2258" s="167">
        <f t="shared" ca="1" si="120"/>
        <v>0</v>
      </c>
      <c r="BE2258" s="191" t="e">
        <f ca="1">(OFFSET(Pinlist!$E$1,BC2258,0)-$BN$16)*$BN$19</f>
        <v>#N/A</v>
      </c>
      <c r="BF2258" s="192" t="e">
        <f ca="1">(OFFSET(Pinlist!$F$1,BC2258,0)-$BO$16)*$BO$19</f>
        <v>#N/A</v>
      </c>
      <c r="BG2258" s="1098" t="str">
        <f ca="1">IF(LEFT(BD2258,2)="RF",OFFSET(Pinlist!$D$1,Chart!BC2258,0)&amp;"_"&amp;OFFSET(Pinlist!$G$1,Chart!BC2258,0),"")</f>
        <v/>
      </c>
      <c r="BH2258" s="1098"/>
    </row>
    <row r="2259" spans="53:60" x14ac:dyDescent="0.2">
      <c r="BA2259" s="518">
        <f t="shared" ca="1" si="118"/>
        <v>61</v>
      </c>
      <c r="BB2259" s="174">
        <f t="shared" ca="1" si="119"/>
        <v>2196</v>
      </c>
      <c r="BC2259" s="525" t="e">
        <f ca="1">MATCH(BD2259,OFFSET(Pinlist!$A$2,BC2258*(BA2259=BA2258),0,$BM$23,1),0)+BC2258*(BA2259=BA2258)</f>
        <v>#N/A</v>
      </c>
      <c r="BD2259" s="167">
        <f t="shared" ca="1" si="120"/>
        <v>0</v>
      </c>
      <c r="BE2259" s="191" t="e">
        <f ca="1">(OFFSET(Pinlist!$E$1,BC2259,0)-$BN$16)*$BN$19</f>
        <v>#N/A</v>
      </c>
      <c r="BF2259" s="192" t="e">
        <f ca="1">(OFFSET(Pinlist!$F$1,BC2259,0)-$BO$16)*$BO$19</f>
        <v>#N/A</v>
      </c>
      <c r="BG2259" s="1098" t="str">
        <f ca="1">IF(LEFT(BD2259,2)="RF",OFFSET(Pinlist!$D$1,Chart!BC2259,0)&amp;"_"&amp;OFFSET(Pinlist!$G$1,Chart!BC2259,0),"")</f>
        <v/>
      </c>
      <c r="BH2259" s="1098"/>
    </row>
    <row r="2260" spans="53:60" x14ac:dyDescent="0.2">
      <c r="BA2260" s="518">
        <f t="shared" ca="1" si="118"/>
        <v>61</v>
      </c>
      <c r="BB2260" s="174">
        <f t="shared" ca="1" si="119"/>
        <v>2197</v>
      </c>
      <c r="BC2260" s="525" t="e">
        <f ca="1">MATCH(BD2260,OFFSET(Pinlist!$A$2,BC2259*(BA2260=BA2259),0,$BM$23,1),0)+BC2259*(BA2260=BA2259)</f>
        <v>#N/A</v>
      </c>
      <c r="BD2260" s="167">
        <f t="shared" ca="1" si="120"/>
        <v>0</v>
      </c>
      <c r="BE2260" s="191" t="e">
        <f ca="1">(OFFSET(Pinlist!$E$1,BC2260,0)-$BN$16)*$BN$19</f>
        <v>#N/A</v>
      </c>
      <c r="BF2260" s="192" t="e">
        <f ca="1">(OFFSET(Pinlist!$F$1,BC2260,0)-$BO$16)*$BO$19</f>
        <v>#N/A</v>
      </c>
      <c r="BG2260" s="1098" t="str">
        <f ca="1">IF(LEFT(BD2260,2)="RF",OFFSET(Pinlist!$D$1,Chart!BC2260,0)&amp;"_"&amp;OFFSET(Pinlist!$G$1,Chart!BC2260,0),"")</f>
        <v/>
      </c>
      <c r="BH2260" s="1098"/>
    </row>
    <row r="2261" spans="53:60" x14ac:dyDescent="0.2">
      <c r="BA2261" s="518">
        <f t="shared" ca="1" si="118"/>
        <v>61</v>
      </c>
      <c r="BB2261" s="174">
        <f t="shared" ca="1" si="119"/>
        <v>2198</v>
      </c>
      <c r="BC2261" s="525" t="e">
        <f ca="1">MATCH(BD2261,OFFSET(Pinlist!$A$2,BC2260*(BA2261=BA2260),0,$BM$23,1),0)+BC2260*(BA2261=BA2260)</f>
        <v>#N/A</v>
      </c>
      <c r="BD2261" s="167">
        <f t="shared" ca="1" si="120"/>
        <v>0</v>
      </c>
      <c r="BE2261" s="191" t="e">
        <f ca="1">(OFFSET(Pinlist!$E$1,BC2261,0)-$BN$16)*$BN$19</f>
        <v>#N/A</v>
      </c>
      <c r="BF2261" s="192" t="e">
        <f ca="1">(OFFSET(Pinlist!$F$1,BC2261,0)-$BO$16)*$BO$19</f>
        <v>#N/A</v>
      </c>
      <c r="BG2261" s="1098" t="str">
        <f ca="1">IF(LEFT(BD2261,2)="RF",OFFSET(Pinlist!$D$1,Chart!BC2261,0)&amp;"_"&amp;OFFSET(Pinlist!$G$1,Chart!BC2261,0),"")</f>
        <v/>
      </c>
      <c r="BH2261" s="1098"/>
    </row>
    <row r="2262" spans="53:60" x14ac:dyDescent="0.2">
      <c r="BA2262" s="518">
        <f t="shared" ca="1" si="118"/>
        <v>61</v>
      </c>
      <c r="BB2262" s="174">
        <f t="shared" ca="1" si="119"/>
        <v>2199</v>
      </c>
      <c r="BC2262" s="525" t="e">
        <f ca="1">MATCH(BD2262,OFFSET(Pinlist!$A$2,BC2261*(BA2262=BA2261),0,$BM$23,1),0)+BC2261*(BA2262=BA2261)</f>
        <v>#N/A</v>
      </c>
      <c r="BD2262" s="167">
        <f t="shared" ca="1" si="120"/>
        <v>0</v>
      </c>
      <c r="BE2262" s="191" t="e">
        <f ca="1">(OFFSET(Pinlist!$E$1,BC2262,0)-$BN$16)*$BN$19</f>
        <v>#N/A</v>
      </c>
      <c r="BF2262" s="192" t="e">
        <f ca="1">(OFFSET(Pinlist!$F$1,BC2262,0)-$BO$16)*$BO$19</f>
        <v>#N/A</v>
      </c>
      <c r="BG2262" s="1098" t="str">
        <f ca="1">IF(LEFT(BD2262,2)="RF",OFFSET(Pinlist!$D$1,Chart!BC2262,0)&amp;"_"&amp;OFFSET(Pinlist!$G$1,Chart!BC2262,0),"")</f>
        <v/>
      </c>
      <c r="BH2262" s="1098"/>
    </row>
    <row r="2263" spans="53:60" x14ac:dyDescent="0.2">
      <c r="BA2263" s="518">
        <f t="shared" ca="1" si="118"/>
        <v>61</v>
      </c>
      <c r="BB2263" s="174">
        <f t="shared" ca="1" si="119"/>
        <v>2200</v>
      </c>
      <c r="BC2263" s="525" t="e">
        <f ca="1">MATCH(BD2263,OFFSET(Pinlist!$A$2,BC2262*(BA2263=BA2262),0,$BM$23,1),0)+BC2262*(BA2263=BA2262)</f>
        <v>#N/A</v>
      </c>
      <c r="BD2263" s="167">
        <f t="shared" ca="1" si="120"/>
        <v>0</v>
      </c>
      <c r="BE2263" s="191" t="e">
        <f ca="1">(OFFSET(Pinlist!$E$1,BC2263,0)-$BN$16)*$BN$19</f>
        <v>#N/A</v>
      </c>
      <c r="BF2263" s="192" t="e">
        <f ca="1">(OFFSET(Pinlist!$F$1,BC2263,0)-$BO$16)*$BO$19</f>
        <v>#N/A</v>
      </c>
      <c r="BG2263" s="1098" t="str">
        <f ca="1">IF(LEFT(BD2263,2)="RF",OFFSET(Pinlist!$D$1,Chart!BC2263,0)&amp;"_"&amp;OFFSET(Pinlist!$G$1,Chart!BC2263,0),"")</f>
        <v/>
      </c>
      <c r="BH2263" s="1098"/>
    </row>
    <row r="2264" spans="53:60" x14ac:dyDescent="0.2">
      <c r="BA2264" s="518">
        <f t="shared" ca="1" si="118"/>
        <v>61</v>
      </c>
      <c r="BB2264" s="174">
        <f t="shared" ca="1" si="119"/>
        <v>2201</v>
      </c>
      <c r="BC2264" s="525" t="e">
        <f ca="1">MATCH(BD2264,OFFSET(Pinlist!$A$2,BC2263*(BA2264=BA2263),0,$BM$23,1),0)+BC2263*(BA2264=BA2263)</f>
        <v>#N/A</v>
      </c>
      <c r="BD2264" s="167">
        <f t="shared" ca="1" si="120"/>
        <v>0</v>
      </c>
      <c r="BE2264" s="191" t="e">
        <f ca="1">(OFFSET(Pinlist!$E$1,BC2264,0)-$BN$16)*$BN$19</f>
        <v>#N/A</v>
      </c>
      <c r="BF2264" s="192" t="e">
        <f ca="1">(OFFSET(Pinlist!$F$1,BC2264,0)-$BO$16)*$BO$19</f>
        <v>#N/A</v>
      </c>
      <c r="BG2264" s="1098" t="str">
        <f ca="1">IF(LEFT(BD2264,2)="RF",OFFSET(Pinlist!$D$1,Chart!BC2264,0)&amp;"_"&amp;OFFSET(Pinlist!$G$1,Chart!BC2264,0),"")</f>
        <v/>
      </c>
      <c r="BH2264" s="1098"/>
    </row>
    <row r="2265" spans="53:60" x14ac:dyDescent="0.2">
      <c r="BA2265" s="518">
        <f t="shared" ca="1" si="118"/>
        <v>61</v>
      </c>
      <c r="BB2265" s="174">
        <f t="shared" ca="1" si="119"/>
        <v>2202</v>
      </c>
      <c r="BC2265" s="525" t="e">
        <f ca="1">MATCH(BD2265,OFFSET(Pinlist!$A$2,BC2264*(BA2265=BA2264),0,$BM$23,1),0)+BC2264*(BA2265=BA2264)</f>
        <v>#N/A</v>
      </c>
      <c r="BD2265" s="167">
        <f t="shared" ca="1" si="120"/>
        <v>0</v>
      </c>
      <c r="BE2265" s="191" t="e">
        <f ca="1">(OFFSET(Pinlist!$E$1,BC2265,0)-$BN$16)*$BN$19</f>
        <v>#N/A</v>
      </c>
      <c r="BF2265" s="192" t="e">
        <f ca="1">(OFFSET(Pinlist!$F$1,BC2265,0)-$BO$16)*$BO$19</f>
        <v>#N/A</v>
      </c>
      <c r="BG2265" s="1098" t="str">
        <f ca="1">IF(LEFT(BD2265,2)="RF",OFFSET(Pinlist!$D$1,Chart!BC2265,0)&amp;"_"&amp;OFFSET(Pinlist!$G$1,Chart!BC2265,0),"")</f>
        <v/>
      </c>
      <c r="BH2265" s="1098"/>
    </row>
    <row r="2266" spans="53:60" x14ac:dyDescent="0.2">
      <c r="BA2266" s="518">
        <f t="shared" ca="1" si="118"/>
        <v>61</v>
      </c>
      <c r="BB2266" s="174">
        <f t="shared" ca="1" si="119"/>
        <v>2203</v>
      </c>
      <c r="BC2266" s="525" t="e">
        <f ca="1">MATCH(BD2266,OFFSET(Pinlist!$A$2,BC2265*(BA2266=BA2265),0,$BM$23,1),0)+BC2265*(BA2266=BA2265)</f>
        <v>#N/A</v>
      </c>
      <c r="BD2266" s="167">
        <f t="shared" ca="1" si="120"/>
        <v>0</v>
      </c>
      <c r="BE2266" s="191" t="e">
        <f ca="1">(OFFSET(Pinlist!$E$1,BC2266,0)-$BN$16)*$BN$19</f>
        <v>#N/A</v>
      </c>
      <c r="BF2266" s="192" t="e">
        <f ca="1">(OFFSET(Pinlist!$F$1,BC2266,0)-$BO$16)*$BO$19</f>
        <v>#N/A</v>
      </c>
      <c r="BG2266" s="1098" t="str">
        <f ca="1">IF(LEFT(BD2266,2)="RF",OFFSET(Pinlist!$D$1,Chart!BC2266,0)&amp;"_"&amp;OFFSET(Pinlist!$G$1,Chart!BC2266,0),"")</f>
        <v/>
      </c>
      <c r="BH2266" s="1098"/>
    </row>
    <row r="2267" spans="53:60" x14ac:dyDescent="0.2">
      <c r="BA2267" s="518">
        <f t="shared" ca="1" si="118"/>
        <v>61</v>
      </c>
      <c r="BB2267" s="174">
        <f t="shared" ca="1" si="119"/>
        <v>2204</v>
      </c>
      <c r="BC2267" s="525" t="e">
        <f ca="1">MATCH(BD2267,OFFSET(Pinlist!$A$2,BC2266*(BA2267=BA2266),0,$BM$23,1),0)+BC2266*(BA2267=BA2266)</f>
        <v>#N/A</v>
      </c>
      <c r="BD2267" s="167">
        <f t="shared" ca="1" si="120"/>
        <v>0</v>
      </c>
      <c r="BE2267" s="191" t="e">
        <f ca="1">(OFFSET(Pinlist!$E$1,BC2267,0)-$BN$16)*$BN$19</f>
        <v>#N/A</v>
      </c>
      <c r="BF2267" s="192" t="e">
        <f ca="1">(OFFSET(Pinlist!$F$1,BC2267,0)-$BO$16)*$BO$19</f>
        <v>#N/A</v>
      </c>
      <c r="BG2267" s="1098" t="str">
        <f ca="1">IF(LEFT(BD2267,2)="RF",OFFSET(Pinlist!$D$1,Chart!BC2267,0)&amp;"_"&amp;OFFSET(Pinlist!$G$1,Chart!BC2267,0),"")</f>
        <v/>
      </c>
      <c r="BH2267" s="1098"/>
    </row>
    <row r="2268" spans="53:60" x14ac:dyDescent="0.2">
      <c r="BA2268" s="518">
        <f t="shared" ca="1" si="118"/>
        <v>61</v>
      </c>
      <c r="BB2268" s="174">
        <f t="shared" ca="1" si="119"/>
        <v>2205</v>
      </c>
      <c r="BC2268" s="525" t="e">
        <f ca="1">MATCH(BD2268,OFFSET(Pinlist!$A$2,BC2267*(BA2268=BA2267),0,$BM$23,1),0)+BC2267*(BA2268=BA2267)</f>
        <v>#N/A</v>
      </c>
      <c r="BD2268" s="167">
        <f t="shared" ca="1" si="120"/>
        <v>0</v>
      </c>
      <c r="BE2268" s="191" t="e">
        <f ca="1">(OFFSET(Pinlist!$E$1,BC2268,0)-$BN$16)*$BN$19</f>
        <v>#N/A</v>
      </c>
      <c r="BF2268" s="192" t="e">
        <f ca="1">(OFFSET(Pinlist!$F$1,BC2268,0)-$BO$16)*$BO$19</f>
        <v>#N/A</v>
      </c>
      <c r="BG2268" s="1098" t="str">
        <f ca="1">IF(LEFT(BD2268,2)="RF",OFFSET(Pinlist!$D$1,Chart!BC2268,0)&amp;"_"&amp;OFFSET(Pinlist!$G$1,Chart!BC2268,0),"")</f>
        <v/>
      </c>
      <c r="BH2268" s="1098"/>
    </row>
    <row r="2269" spans="53:60" x14ac:dyDescent="0.2">
      <c r="BA2269" s="518">
        <f t="shared" ca="1" si="118"/>
        <v>61</v>
      </c>
      <c r="BB2269" s="174">
        <f t="shared" ca="1" si="119"/>
        <v>2206</v>
      </c>
      <c r="BC2269" s="525" t="e">
        <f ca="1">MATCH(BD2269,OFFSET(Pinlist!$A$2,BC2268*(BA2269=BA2268),0,$BM$23,1),0)+BC2268*(BA2269=BA2268)</f>
        <v>#N/A</v>
      </c>
      <c r="BD2269" s="167">
        <f t="shared" ca="1" si="120"/>
        <v>0</v>
      </c>
      <c r="BE2269" s="191" t="e">
        <f ca="1">(OFFSET(Pinlist!$E$1,BC2269,0)-$BN$16)*$BN$19</f>
        <v>#N/A</v>
      </c>
      <c r="BF2269" s="192" t="e">
        <f ca="1">(OFFSET(Pinlist!$F$1,BC2269,0)-$BO$16)*$BO$19</f>
        <v>#N/A</v>
      </c>
      <c r="BG2269" s="1098" t="str">
        <f ca="1">IF(LEFT(BD2269,2)="RF",OFFSET(Pinlist!$D$1,Chart!BC2269,0)&amp;"_"&amp;OFFSET(Pinlist!$G$1,Chart!BC2269,0),"")</f>
        <v/>
      </c>
      <c r="BH2269" s="1098"/>
    </row>
    <row r="2270" spans="53:60" x14ac:dyDescent="0.2">
      <c r="BA2270" s="518">
        <f t="shared" ca="1" si="118"/>
        <v>61</v>
      </c>
      <c r="BB2270" s="174">
        <f t="shared" ca="1" si="119"/>
        <v>2207</v>
      </c>
      <c r="BC2270" s="525" t="e">
        <f ca="1">MATCH(BD2270,OFFSET(Pinlist!$A$2,BC2269*(BA2270=BA2269),0,$BM$23,1),0)+BC2269*(BA2270=BA2269)</f>
        <v>#N/A</v>
      </c>
      <c r="BD2270" s="167">
        <f t="shared" ca="1" si="120"/>
        <v>0</v>
      </c>
      <c r="BE2270" s="191" t="e">
        <f ca="1">(OFFSET(Pinlist!$E$1,BC2270,0)-$BN$16)*$BN$19</f>
        <v>#N/A</v>
      </c>
      <c r="BF2270" s="192" t="e">
        <f ca="1">(OFFSET(Pinlist!$F$1,BC2270,0)-$BO$16)*$BO$19</f>
        <v>#N/A</v>
      </c>
      <c r="BG2270" s="1098" t="str">
        <f ca="1">IF(LEFT(BD2270,2)="RF",OFFSET(Pinlist!$D$1,Chart!BC2270,0)&amp;"_"&amp;OFFSET(Pinlist!$G$1,Chart!BC2270,0),"")</f>
        <v/>
      </c>
      <c r="BH2270" s="1098"/>
    </row>
    <row r="2271" spans="53:60" x14ac:dyDescent="0.2">
      <c r="BA2271" s="518">
        <f t="shared" ca="1" si="118"/>
        <v>61</v>
      </c>
      <c r="BB2271" s="174">
        <f t="shared" ca="1" si="119"/>
        <v>2208</v>
      </c>
      <c r="BC2271" s="525" t="e">
        <f ca="1">MATCH(BD2271,OFFSET(Pinlist!$A$2,BC2270*(BA2271=BA2270),0,$BM$23,1),0)+BC2270*(BA2271=BA2270)</f>
        <v>#N/A</v>
      </c>
      <c r="BD2271" s="167">
        <f t="shared" ca="1" si="120"/>
        <v>0</v>
      </c>
      <c r="BE2271" s="191" t="e">
        <f ca="1">(OFFSET(Pinlist!$E$1,BC2271,0)-$BN$16)*$BN$19</f>
        <v>#N/A</v>
      </c>
      <c r="BF2271" s="192" t="e">
        <f ca="1">(OFFSET(Pinlist!$F$1,BC2271,0)-$BO$16)*$BO$19</f>
        <v>#N/A</v>
      </c>
      <c r="BG2271" s="1098" t="str">
        <f ca="1">IF(LEFT(BD2271,2)="RF",OFFSET(Pinlist!$D$1,Chart!BC2271,0)&amp;"_"&amp;OFFSET(Pinlist!$G$1,Chart!BC2271,0),"")</f>
        <v/>
      </c>
      <c r="BH2271" s="1098"/>
    </row>
    <row r="2272" spans="53:60" x14ac:dyDescent="0.2">
      <c r="BA2272" s="518">
        <f t="shared" ca="1" si="118"/>
        <v>61</v>
      </c>
      <c r="BB2272" s="174">
        <f t="shared" ca="1" si="119"/>
        <v>2209</v>
      </c>
      <c r="BC2272" s="525" t="e">
        <f ca="1">MATCH(BD2272,OFFSET(Pinlist!$A$2,BC2271*(BA2272=BA2271),0,$BM$23,1),0)+BC2271*(BA2272=BA2271)</f>
        <v>#N/A</v>
      </c>
      <c r="BD2272" s="167">
        <f t="shared" ca="1" si="120"/>
        <v>0</v>
      </c>
      <c r="BE2272" s="191" t="e">
        <f ca="1">(OFFSET(Pinlist!$E$1,BC2272,0)-$BN$16)*$BN$19</f>
        <v>#N/A</v>
      </c>
      <c r="BF2272" s="192" t="e">
        <f ca="1">(OFFSET(Pinlist!$F$1,BC2272,0)-$BO$16)*$BO$19</f>
        <v>#N/A</v>
      </c>
      <c r="BG2272" s="1098" t="str">
        <f ca="1">IF(LEFT(BD2272,2)="RF",OFFSET(Pinlist!$D$1,Chart!BC2272,0)&amp;"_"&amp;OFFSET(Pinlist!$G$1,Chart!BC2272,0),"")</f>
        <v/>
      </c>
      <c r="BH2272" s="1098"/>
    </row>
    <row r="2273" spans="53:60" x14ac:dyDescent="0.2">
      <c r="BA2273" s="518">
        <f t="shared" ca="1" si="118"/>
        <v>61</v>
      </c>
      <c r="BB2273" s="174">
        <f t="shared" ca="1" si="119"/>
        <v>2210</v>
      </c>
      <c r="BC2273" s="525" t="e">
        <f ca="1">MATCH(BD2273,OFFSET(Pinlist!$A$2,BC2272*(BA2273=BA2272),0,$BM$23,1),0)+BC2272*(BA2273=BA2272)</f>
        <v>#N/A</v>
      </c>
      <c r="BD2273" s="167">
        <f t="shared" ca="1" si="120"/>
        <v>0</v>
      </c>
      <c r="BE2273" s="191" t="e">
        <f ca="1">(OFFSET(Pinlist!$E$1,BC2273,0)-$BN$16)*$BN$19</f>
        <v>#N/A</v>
      </c>
      <c r="BF2273" s="192" t="e">
        <f ca="1">(OFFSET(Pinlist!$F$1,BC2273,0)-$BO$16)*$BO$19</f>
        <v>#N/A</v>
      </c>
      <c r="BG2273" s="1098" t="str">
        <f ca="1">IF(LEFT(BD2273,2)="RF",OFFSET(Pinlist!$D$1,Chart!BC2273,0)&amp;"_"&amp;OFFSET(Pinlist!$G$1,Chart!BC2273,0),"")</f>
        <v/>
      </c>
      <c r="BH2273" s="1098"/>
    </row>
    <row r="2274" spans="53:60" x14ac:dyDescent="0.2">
      <c r="BA2274" s="518">
        <f t="shared" ca="1" si="118"/>
        <v>61</v>
      </c>
      <c r="BB2274" s="174">
        <f t="shared" ca="1" si="119"/>
        <v>2211</v>
      </c>
      <c r="BC2274" s="525" t="e">
        <f ca="1">MATCH(BD2274,OFFSET(Pinlist!$A$2,BC2273*(BA2274=BA2273),0,$BM$23,1),0)+BC2273*(BA2274=BA2273)</f>
        <v>#N/A</v>
      </c>
      <c r="BD2274" s="167">
        <f t="shared" ca="1" si="120"/>
        <v>0</v>
      </c>
      <c r="BE2274" s="191" t="e">
        <f ca="1">(OFFSET(Pinlist!$E$1,BC2274,0)-$BN$16)*$BN$19</f>
        <v>#N/A</v>
      </c>
      <c r="BF2274" s="192" t="e">
        <f ca="1">(OFFSET(Pinlist!$F$1,BC2274,0)-$BO$16)*$BO$19</f>
        <v>#N/A</v>
      </c>
      <c r="BG2274" s="1098" t="str">
        <f ca="1">IF(LEFT(BD2274,2)="RF",OFFSET(Pinlist!$D$1,Chart!BC2274,0)&amp;"_"&amp;OFFSET(Pinlist!$G$1,Chart!BC2274,0),"")</f>
        <v/>
      </c>
      <c r="BH2274" s="1098"/>
    </row>
    <row r="2275" spans="53:60" x14ac:dyDescent="0.2">
      <c r="BA2275" s="518">
        <f t="shared" ca="1" si="118"/>
        <v>61</v>
      </c>
      <c r="BB2275" s="174">
        <f t="shared" ca="1" si="119"/>
        <v>2212</v>
      </c>
      <c r="BC2275" s="525" t="e">
        <f ca="1">MATCH(BD2275,OFFSET(Pinlist!$A$2,BC2274*(BA2275=BA2274),0,$BM$23,1),0)+BC2274*(BA2275=BA2274)</f>
        <v>#N/A</v>
      </c>
      <c r="BD2275" s="167">
        <f t="shared" ca="1" si="120"/>
        <v>0</v>
      </c>
      <c r="BE2275" s="191" t="e">
        <f ca="1">(OFFSET(Pinlist!$E$1,BC2275,0)-$BN$16)*$BN$19</f>
        <v>#N/A</v>
      </c>
      <c r="BF2275" s="192" t="e">
        <f ca="1">(OFFSET(Pinlist!$F$1,BC2275,0)-$BO$16)*$BO$19</f>
        <v>#N/A</v>
      </c>
      <c r="BG2275" s="1098" t="str">
        <f ca="1">IF(LEFT(BD2275,2)="RF",OFFSET(Pinlist!$D$1,Chart!BC2275,0)&amp;"_"&amp;OFFSET(Pinlist!$G$1,Chart!BC2275,0),"")</f>
        <v/>
      </c>
      <c r="BH2275" s="1098"/>
    </row>
    <row r="2276" spans="53:60" x14ac:dyDescent="0.2">
      <c r="BA2276" s="518">
        <f t="shared" ca="1" si="118"/>
        <v>61</v>
      </c>
      <c r="BB2276" s="174">
        <f t="shared" ca="1" si="119"/>
        <v>2213</v>
      </c>
      <c r="BC2276" s="525" t="e">
        <f ca="1">MATCH(BD2276,OFFSET(Pinlist!$A$2,BC2275*(BA2276=BA2275),0,$BM$23,1),0)+BC2275*(BA2276=BA2275)</f>
        <v>#N/A</v>
      </c>
      <c r="BD2276" s="167">
        <f t="shared" ca="1" si="120"/>
        <v>0</v>
      </c>
      <c r="BE2276" s="191" t="e">
        <f ca="1">(OFFSET(Pinlist!$E$1,BC2276,0)-$BN$16)*$BN$19</f>
        <v>#N/A</v>
      </c>
      <c r="BF2276" s="192" t="e">
        <f ca="1">(OFFSET(Pinlist!$F$1,BC2276,0)-$BO$16)*$BO$19</f>
        <v>#N/A</v>
      </c>
      <c r="BG2276" s="1098" t="str">
        <f ca="1">IF(LEFT(BD2276,2)="RF",OFFSET(Pinlist!$D$1,Chart!BC2276,0)&amp;"_"&amp;OFFSET(Pinlist!$G$1,Chart!BC2276,0),"")</f>
        <v/>
      </c>
      <c r="BH2276" s="1098"/>
    </row>
    <row r="2277" spans="53:60" x14ac:dyDescent="0.2">
      <c r="BA2277" s="518">
        <f t="shared" ca="1" si="118"/>
        <v>61</v>
      </c>
      <c r="BB2277" s="174">
        <f t="shared" ca="1" si="119"/>
        <v>2214</v>
      </c>
      <c r="BC2277" s="525" t="e">
        <f ca="1">MATCH(BD2277,OFFSET(Pinlist!$A$2,BC2276*(BA2277=BA2276),0,$BM$23,1),0)+BC2276*(BA2277=BA2276)</f>
        <v>#N/A</v>
      </c>
      <c r="BD2277" s="167">
        <f t="shared" ca="1" si="120"/>
        <v>0</v>
      </c>
      <c r="BE2277" s="191" t="e">
        <f ca="1">(OFFSET(Pinlist!$E$1,BC2277,0)-$BN$16)*$BN$19</f>
        <v>#N/A</v>
      </c>
      <c r="BF2277" s="192" t="e">
        <f ca="1">(OFFSET(Pinlist!$F$1,BC2277,0)-$BO$16)*$BO$19</f>
        <v>#N/A</v>
      </c>
      <c r="BG2277" s="1098" t="str">
        <f ca="1">IF(LEFT(BD2277,2)="RF",OFFSET(Pinlist!$D$1,Chart!BC2277,0)&amp;"_"&amp;OFFSET(Pinlist!$G$1,Chart!BC2277,0),"")</f>
        <v/>
      </c>
      <c r="BH2277" s="1098"/>
    </row>
    <row r="2278" spans="53:60" x14ac:dyDescent="0.2">
      <c r="BA2278" s="518">
        <f t="shared" ca="1" si="118"/>
        <v>61</v>
      </c>
      <c r="BB2278" s="174">
        <f t="shared" ca="1" si="119"/>
        <v>2215</v>
      </c>
      <c r="BC2278" s="525" t="e">
        <f ca="1">MATCH(BD2278,OFFSET(Pinlist!$A$2,BC2277*(BA2278=BA2277),0,$BM$23,1),0)+BC2277*(BA2278=BA2277)</f>
        <v>#N/A</v>
      </c>
      <c r="BD2278" s="167">
        <f t="shared" ca="1" si="120"/>
        <v>0</v>
      </c>
      <c r="BE2278" s="191" t="e">
        <f ca="1">(OFFSET(Pinlist!$E$1,BC2278,0)-$BN$16)*$BN$19</f>
        <v>#N/A</v>
      </c>
      <c r="BF2278" s="192" t="e">
        <f ca="1">(OFFSET(Pinlist!$F$1,BC2278,0)-$BO$16)*$BO$19</f>
        <v>#N/A</v>
      </c>
      <c r="BG2278" s="1098" t="str">
        <f ca="1">IF(LEFT(BD2278,2)="RF",OFFSET(Pinlist!$D$1,Chart!BC2278,0)&amp;"_"&amp;OFFSET(Pinlist!$G$1,Chart!BC2278,0),"")</f>
        <v/>
      </c>
      <c r="BH2278" s="1098"/>
    </row>
    <row r="2279" spans="53:60" x14ac:dyDescent="0.2">
      <c r="BA2279" s="518">
        <f t="shared" ca="1" si="118"/>
        <v>61</v>
      </c>
      <c r="BB2279" s="174">
        <f t="shared" ca="1" si="119"/>
        <v>2216</v>
      </c>
      <c r="BC2279" s="525" t="e">
        <f ca="1">MATCH(BD2279,OFFSET(Pinlist!$A$2,BC2278*(BA2279=BA2278),0,$BM$23,1),0)+BC2278*(BA2279=BA2278)</f>
        <v>#N/A</v>
      </c>
      <c r="BD2279" s="167">
        <f t="shared" ca="1" si="120"/>
        <v>0</v>
      </c>
      <c r="BE2279" s="191" t="e">
        <f ca="1">(OFFSET(Pinlist!$E$1,BC2279,0)-$BN$16)*$BN$19</f>
        <v>#N/A</v>
      </c>
      <c r="BF2279" s="192" t="e">
        <f ca="1">(OFFSET(Pinlist!$F$1,BC2279,0)-$BO$16)*$BO$19</f>
        <v>#N/A</v>
      </c>
      <c r="BG2279" s="1098" t="str">
        <f ca="1">IF(LEFT(BD2279,2)="RF",OFFSET(Pinlist!$D$1,Chart!BC2279,0)&amp;"_"&amp;OFFSET(Pinlist!$G$1,Chart!BC2279,0),"")</f>
        <v/>
      </c>
      <c r="BH2279" s="1098"/>
    </row>
    <row r="2280" spans="53:60" x14ac:dyDescent="0.2">
      <c r="BA2280" s="518">
        <f t="shared" ca="1" si="118"/>
        <v>61</v>
      </c>
      <c r="BB2280" s="174">
        <f t="shared" ca="1" si="119"/>
        <v>2217</v>
      </c>
      <c r="BC2280" s="525" t="e">
        <f ca="1">MATCH(BD2280,OFFSET(Pinlist!$A$2,BC2279*(BA2280=BA2279),0,$BM$23,1),0)+BC2279*(BA2280=BA2279)</f>
        <v>#N/A</v>
      </c>
      <c r="BD2280" s="167">
        <f t="shared" ca="1" si="120"/>
        <v>0</v>
      </c>
      <c r="BE2280" s="191" t="e">
        <f ca="1">(OFFSET(Pinlist!$E$1,BC2280,0)-$BN$16)*$BN$19</f>
        <v>#N/A</v>
      </c>
      <c r="BF2280" s="192" t="e">
        <f ca="1">(OFFSET(Pinlist!$F$1,BC2280,0)-$BO$16)*$BO$19</f>
        <v>#N/A</v>
      </c>
      <c r="BG2280" s="1098" t="str">
        <f ca="1">IF(LEFT(BD2280,2)="RF",OFFSET(Pinlist!$D$1,Chart!BC2280,0)&amp;"_"&amp;OFFSET(Pinlist!$G$1,Chart!BC2280,0),"")</f>
        <v/>
      </c>
      <c r="BH2280" s="1098"/>
    </row>
    <row r="2281" spans="53:60" x14ac:dyDescent="0.2">
      <c r="BA2281" s="518">
        <f t="shared" ca="1" si="118"/>
        <v>61</v>
      </c>
      <c r="BB2281" s="174">
        <f t="shared" ca="1" si="119"/>
        <v>2218</v>
      </c>
      <c r="BC2281" s="525" t="e">
        <f ca="1">MATCH(BD2281,OFFSET(Pinlist!$A$2,BC2280*(BA2281=BA2280),0,$BM$23,1),0)+BC2280*(BA2281=BA2280)</f>
        <v>#N/A</v>
      </c>
      <c r="BD2281" s="167">
        <f t="shared" ca="1" si="120"/>
        <v>0</v>
      </c>
      <c r="BE2281" s="191" t="e">
        <f ca="1">(OFFSET(Pinlist!$E$1,BC2281,0)-$BN$16)*$BN$19</f>
        <v>#N/A</v>
      </c>
      <c r="BF2281" s="192" t="e">
        <f ca="1">(OFFSET(Pinlist!$F$1,BC2281,0)-$BO$16)*$BO$19</f>
        <v>#N/A</v>
      </c>
      <c r="BG2281" s="1098" t="str">
        <f ca="1">IF(LEFT(BD2281,2)="RF",OFFSET(Pinlist!$D$1,Chart!BC2281,0)&amp;"_"&amp;OFFSET(Pinlist!$G$1,Chart!BC2281,0),"")</f>
        <v/>
      </c>
      <c r="BH2281" s="1098"/>
    </row>
    <row r="2282" spans="53:60" x14ac:dyDescent="0.2">
      <c r="BA2282" s="518">
        <f t="shared" ca="1" si="118"/>
        <v>61</v>
      </c>
      <c r="BB2282" s="174">
        <f t="shared" ca="1" si="119"/>
        <v>2219</v>
      </c>
      <c r="BC2282" s="525" t="e">
        <f ca="1">MATCH(BD2282,OFFSET(Pinlist!$A$2,BC2281*(BA2282=BA2281),0,$BM$23,1),0)+BC2281*(BA2282=BA2281)</f>
        <v>#N/A</v>
      </c>
      <c r="BD2282" s="167">
        <f t="shared" ca="1" si="120"/>
        <v>0</v>
      </c>
      <c r="BE2282" s="191" t="e">
        <f ca="1">(OFFSET(Pinlist!$E$1,BC2282,0)-$BN$16)*$BN$19</f>
        <v>#N/A</v>
      </c>
      <c r="BF2282" s="192" t="e">
        <f ca="1">(OFFSET(Pinlist!$F$1,BC2282,0)-$BO$16)*$BO$19</f>
        <v>#N/A</v>
      </c>
      <c r="BG2282" s="1098" t="str">
        <f ca="1">IF(LEFT(BD2282,2)="RF",OFFSET(Pinlist!$D$1,Chart!BC2282,0)&amp;"_"&amp;OFFSET(Pinlist!$G$1,Chart!BC2282,0),"")</f>
        <v/>
      </c>
      <c r="BH2282" s="1098"/>
    </row>
    <row r="2283" spans="53:60" x14ac:dyDescent="0.2">
      <c r="BA2283" s="518">
        <f t="shared" ca="1" si="118"/>
        <v>61</v>
      </c>
      <c r="BB2283" s="174">
        <f t="shared" ca="1" si="119"/>
        <v>2220</v>
      </c>
      <c r="BC2283" s="525" t="e">
        <f ca="1">MATCH(BD2283,OFFSET(Pinlist!$A$2,BC2282*(BA2283=BA2282),0,$BM$23,1),0)+BC2282*(BA2283=BA2282)</f>
        <v>#N/A</v>
      </c>
      <c r="BD2283" s="167">
        <f t="shared" ca="1" si="120"/>
        <v>0</v>
      </c>
      <c r="BE2283" s="191" t="e">
        <f ca="1">(OFFSET(Pinlist!$E$1,BC2283,0)-$BN$16)*$BN$19</f>
        <v>#N/A</v>
      </c>
      <c r="BF2283" s="192" t="e">
        <f ca="1">(OFFSET(Pinlist!$F$1,BC2283,0)-$BO$16)*$BO$19</f>
        <v>#N/A</v>
      </c>
      <c r="BG2283" s="1098" t="str">
        <f ca="1">IF(LEFT(BD2283,2)="RF",OFFSET(Pinlist!$D$1,Chart!BC2283,0)&amp;"_"&amp;OFFSET(Pinlist!$G$1,Chart!BC2283,0),"")</f>
        <v/>
      </c>
      <c r="BH2283" s="1098"/>
    </row>
    <row r="2284" spans="53:60" x14ac:dyDescent="0.2">
      <c r="BA2284" s="518">
        <f t="shared" ca="1" si="118"/>
        <v>61</v>
      </c>
      <c r="BB2284" s="174">
        <f t="shared" ca="1" si="119"/>
        <v>2221</v>
      </c>
      <c r="BC2284" s="525" t="e">
        <f ca="1">MATCH(BD2284,OFFSET(Pinlist!$A$2,BC2283*(BA2284=BA2283),0,$BM$23,1),0)+BC2283*(BA2284=BA2283)</f>
        <v>#N/A</v>
      </c>
      <c r="BD2284" s="167">
        <f t="shared" ca="1" si="120"/>
        <v>0</v>
      </c>
      <c r="BE2284" s="191" t="e">
        <f ca="1">(OFFSET(Pinlist!$E$1,BC2284,0)-$BN$16)*$BN$19</f>
        <v>#N/A</v>
      </c>
      <c r="BF2284" s="192" t="e">
        <f ca="1">(OFFSET(Pinlist!$F$1,BC2284,0)-$BO$16)*$BO$19</f>
        <v>#N/A</v>
      </c>
      <c r="BG2284" s="1098" t="str">
        <f ca="1">IF(LEFT(BD2284,2)="RF",OFFSET(Pinlist!$D$1,Chart!BC2284,0)&amp;"_"&amp;OFFSET(Pinlist!$G$1,Chart!BC2284,0),"")</f>
        <v/>
      </c>
      <c r="BH2284" s="1098"/>
    </row>
    <row r="2285" spans="53:60" x14ac:dyDescent="0.2">
      <c r="BA2285" s="518">
        <f t="shared" ca="1" si="118"/>
        <v>61</v>
      </c>
      <c r="BB2285" s="174">
        <f t="shared" ca="1" si="119"/>
        <v>2222</v>
      </c>
      <c r="BC2285" s="525" t="e">
        <f ca="1">MATCH(BD2285,OFFSET(Pinlist!$A$2,BC2284*(BA2285=BA2284),0,$BM$23,1),0)+BC2284*(BA2285=BA2284)</f>
        <v>#N/A</v>
      </c>
      <c r="BD2285" s="167">
        <f t="shared" ca="1" si="120"/>
        <v>0</v>
      </c>
      <c r="BE2285" s="191" t="e">
        <f ca="1">(OFFSET(Pinlist!$E$1,BC2285,0)-$BN$16)*$BN$19</f>
        <v>#N/A</v>
      </c>
      <c r="BF2285" s="192" t="e">
        <f ca="1">(OFFSET(Pinlist!$F$1,BC2285,0)-$BO$16)*$BO$19</f>
        <v>#N/A</v>
      </c>
      <c r="BG2285" s="1098" t="str">
        <f ca="1">IF(LEFT(BD2285,2)="RF",OFFSET(Pinlist!$D$1,Chart!BC2285,0)&amp;"_"&amp;OFFSET(Pinlist!$G$1,Chart!BC2285,0),"")</f>
        <v/>
      </c>
      <c r="BH2285" s="1098"/>
    </row>
    <row r="2286" spans="53:60" x14ac:dyDescent="0.2">
      <c r="BA2286" s="518">
        <f t="shared" ca="1" si="118"/>
        <v>61</v>
      </c>
      <c r="BB2286" s="174">
        <f t="shared" ca="1" si="119"/>
        <v>2223</v>
      </c>
      <c r="BC2286" s="525" t="e">
        <f ca="1">MATCH(BD2286,OFFSET(Pinlist!$A$2,BC2285*(BA2286=BA2285),0,$BM$23,1),0)+BC2285*(BA2286=BA2285)</f>
        <v>#N/A</v>
      </c>
      <c r="BD2286" s="167">
        <f t="shared" ca="1" si="120"/>
        <v>0</v>
      </c>
      <c r="BE2286" s="191" t="e">
        <f ca="1">(OFFSET(Pinlist!$E$1,BC2286,0)-$BN$16)*$BN$19</f>
        <v>#N/A</v>
      </c>
      <c r="BF2286" s="192" t="e">
        <f ca="1">(OFFSET(Pinlist!$F$1,BC2286,0)-$BO$16)*$BO$19</f>
        <v>#N/A</v>
      </c>
      <c r="BG2286" s="1098" t="str">
        <f ca="1">IF(LEFT(BD2286,2)="RF",OFFSET(Pinlist!$D$1,Chart!BC2286,0)&amp;"_"&amp;OFFSET(Pinlist!$G$1,Chart!BC2286,0),"")</f>
        <v/>
      </c>
      <c r="BH2286" s="1098"/>
    </row>
    <row r="2287" spans="53:60" x14ac:dyDescent="0.2">
      <c r="BA2287" s="518">
        <f t="shared" ca="1" si="118"/>
        <v>61</v>
      </c>
      <c r="BB2287" s="174">
        <f t="shared" ca="1" si="119"/>
        <v>2224</v>
      </c>
      <c r="BC2287" s="525" t="e">
        <f ca="1">MATCH(BD2287,OFFSET(Pinlist!$A$2,BC2286*(BA2287=BA2286),0,$BM$23,1),0)+BC2286*(BA2287=BA2286)</f>
        <v>#N/A</v>
      </c>
      <c r="BD2287" s="167">
        <f t="shared" ca="1" si="120"/>
        <v>0</v>
      </c>
      <c r="BE2287" s="191" t="e">
        <f ca="1">(OFFSET(Pinlist!$E$1,BC2287,0)-$BN$16)*$BN$19</f>
        <v>#N/A</v>
      </c>
      <c r="BF2287" s="192" t="e">
        <f ca="1">(OFFSET(Pinlist!$F$1,BC2287,0)-$BO$16)*$BO$19</f>
        <v>#N/A</v>
      </c>
      <c r="BG2287" s="1098" t="str">
        <f ca="1">IF(LEFT(BD2287,2)="RF",OFFSET(Pinlist!$D$1,Chart!BC2287,0)&amp;"_"&amp;OFFSET(Pinlist!$G$1,Chart!BC2287,0),"")</f>
        <v/>
      </c>
      <c r="BH2287" s="1098"/>
    </row>
    <row r="2288" spans="53:60" x14ac:dyDescent="0.2">
      <c r="BA2288" s="518">
        <f t="shared" ca="1" si="118"/>
        <v>61</v>
      </c>
      <c r="BB2288" s="174">
        <f t="shared" ca="1" si="119"/>
        <v>2225</v>
      </c>
      <c r="BC2288" s="525" t="e">
        <f ca="1">MATCH(BD2288,OFFSET(Pinlist!$A$2,BC2287*(BA2288=BA2287),0,$BM$23,1),0)+BC2287*(BA2288=BA2287)</f>
        <v>#N/A</v>
      </c>
      <c r="BD2288" s="167">
        <f t="shared" ca="1" si="120"/>
        <v>0</v>
      </c>
      <c r="BE2288" s="191" t="e">
        <f ca="1">(OFFSET(Pinlist!$E$1,BC2288,0)-$BN$16)*$BN$19</f>
        <v>#N/A</v>
      </c>
      <c r="BF2288" s="192" t="e">
        <f ca="1">(OFFSET(Pinlist!$F$1,BC2288,0)-$BO$16)*$BO$19</f>
        <v>#N/A</v>
      </c>
      <c r="BG2288" s="1098" t="str">
        <f ca="1">IF(LEFT(BD2288,2)="RF",OFFSET(Pinlist!$D$1,Chart!BC2288,0)&amp;"_"&amp;OFFSET(Pinlist!$G$1,Chart!BC2288,0),"")</f>
        <v/>
      </c>
      <c r="BH2288" s="1098"/>
    </row>
    <row r="2289" spans="53:60" x14ac:dyDescent="0.2">
      <c r="BA2289" s="518">
        <f t="shared" ca="1" si="118"/>
        <v>61</v>
      </c>
      <c r="BB2289" s="174">
        <f t="shared" ca="1" si="119"/>
        <v>2226</v>
      </c>
      <c r="BC2289" s="525" t="e">
        <f ca="1">MATCH(BD2289,OFFSET(Pinlist!$A$2,BC2288*(BA2289=BA2288),0,$BM$23,1),0)+BC2288*(BA2289=BA2288)</f>
        <v>#N/A</v>
      </c>
      <c r="BD2289" s="167">
        <f t="shared" ca="1" si="120"/>
        <v>0</v>
      </c>
      <c r="BE2289" s="191" t="e">
        <f ca="1">(OFFSET(Pinlist!$E$1,BC2289,0)-$BN$16)*$BN$19</f>
        <v>#N/A</v>
      </c>
      <c r="BF2289" s="192" t="e">
        <f ca="1">(OFFSET(Pinlist!$F$1,BC2289,0)-$BO$16)*$BO$19</f>
        <v>#N/A</v>
      </c>
      <c r="BG2289" s="1098" t="str">
        <f ca="1">IF(LEFT(BD2289,2)="RF",OFFSET(Pinlist!$D$1,Chart!BC2289,0)&amp;"_"&amp;OFFSET(Pinlist!$G$1,Chart!BC2289,0),"")</f>
        <v/>
      </c>
      <c r="BH2289" s="1098"/>
    </row>
    <row r="2290" spans="53:60" x14ac:dyDescent="0.2">
      <c r="BA2290" s="518">
        <f t="shared" ca="1" si="118"/>
        <v>61</v>
      </c>
      <c r="BB2290" s="174">
        <f t="shared" ca="1" si="119"/>
        <v>2227</v>
      </c>
      <c r="BC2290" s="525" t="e">
        <f ca="1">MATCH(BD2290,OFFSET(Pinlist!$A$2,BC2289*(BA2290=BA2289),0,$BM$23,1),0)+BC2289*(BA2290=BA2289)</f>
        <v>#N/A</v>
      </c>
      <c r="BD2290" s="167">
        <f t="shared" ca="1" si="120"/>
        <v>0</v>
      </c>
      <c r="BE2290" s="191" t="e">
        <f ca="1">(OFFSET(Pinlist!$E$1,BC2290,0)-$BN$16)*$BN$19</f>
        <v>#N/A</v>
      </c>
      <c r="BF2290" s="192" t="e">
        <f ca="1">(OFFSET(Pinlist!$F$1,BC2290,0)-$BO$16)*$BO$19</f>
        <v>#N/A</v>
      </c>
      <c r="BG2290" s="1098" t="str">
        <f ca="1">IF(LEFT(BD2290,2)="RF",OFFSET(Pinlist!$D$1,Chart!BC2290,0)&amp;"_"&amp;OFFSET(Pinlist!$G$1,Chart!BC2290,0),"")</f>
        <v/>
      </c>
      <c r="BH2290" s="1098"/>
    </row>
    <row r="2291" spans="53:60" x14ac:dyDescent="0.2">
      <c r="BA2291" s="518">
        <f t="shared" ca="1" si="118"/>
        <v>61</v>
      </c>
      <c r="BB2291" s="174">
        <f t="shared" ca="1" si="119"/>
        <v>2228</v>
      </c>
      <c r="BC2291" s="525" t="e">
        <f ca="1">MATCH(BD2291,OFFSET(Pinlist!$A$2,BC2290*(BA2291=BA2290),0,$BM$23,1),0)+BC2290*(BA2291=BA2290)</f>
        <v>#N/A</v>
      </c>
      <c r="BD2291" s="167">
        <f t="shared" ca="1" si="120"/>
        <v>0</v>
      </c>
      <c r="BE2291" s="191" t="e">
        <f ca="1">(OFFSET(Pinlist!$E$1,BC2291,0)-$BN$16)*$BN$19</f>
        <v>#N/A</v>
      </c>
      <c r="BF2291" s="192" t="e">
        <f ca="1">(OFFSET(Pinlist!$F$1,BC2291,0)-$BO$16)*$BO$19</f>
        <v>#N/A</v>
      </c>
      <c r="BG2291" s="1098" t="str">
        <f ca="1">IF(LEFT(BD2291,2)="RF",OFFSET(Pinlist!$D$1,Chart!BC2291,0)&amp;"_"&amp;OFFSET(Pinlist!$G$1,Chart!BC2291,0),"")</f>
        <v/>
      </c>
      <c r="BH2291" s="1098"/>
    </row>
    <row r="2292" spans="53:60" x14ac:dyDescent="0.2">
      <c r="BA2292" s="518">
        <f t="shared" ca="1" si="118"/>
        <v>61</v>
      </c>
      <c r="BB2292" s="174">
        <f t="shared" ca="1" si="119"/>
        <v>2229</v>
      </c>
      <c r="BC2292" s="525" t="e">
        <f ca="1">MATCH(BD2292,OFFSET(Pinlist!$A$2,BC2291*(BA2292=BA2291),0,$BM$23,1),0)+BC2291*(BA2292=BA2291)</f>
        <v>#N/A</v>
      </c>
      <c r="BD2292" s="167">
        <f t="shared" ca="1" si="120"/>
        <v>0</v>
      </c>
      <c r="BE2292" s="191" t="e">
        <f ca="1">(OFFSET(Pinlist!$E$1,BC2292,0)-$BN$16)*$BN$19</f>
        <v>#N/A</v>
      </c>
      <c r="BF2292" s="192" t="e">
        <f ca="1">(OFFSET(Pinlist!$F$1,BC2292,0)-$BO$16)*$BO$19</f>
        <v>#N/A</v>
      </c>
      <c r="BG2292" s="1098" t="str">
        <f ca="1">IF(LEFT(BD2292,2)="RF",OFFSET(Pinlist!$D$1,Chart!BC2292,0)&amp;"_"&amp;OFFSET(Pinlist!$G$1,Chart!BC2292,0),"")</f>
        <v/>
      </c>
      <c r="BH2292" s="1098"/>
    </row>
    <row r="2293" spans="53:60" x14ac:dyDescent="0.2">
      <c r="BA2293" s="518">
        <f t="shared" ca="1" si="118"/>
        <v>61</v>
      </c>
      <c r="BB2293" s="174">
        <f t="shared" ca="1" si="119"/>
        <v>2230</v>
      </c>
      <c r="BC2293" s="525" t="e">
        <f ca="1">MATCH(BD2293,OFFSET(Pinlist!$A$2,BC2292*(BA2293=BA2292),0,$BM$23,1),0)+BC2292*(BA2293=BA2292)</f>
        <v>#N/A</v>
      </c>
      <c r="BD2293" s="167">
        <f t="shared" ca="1" si="120"/>
        <v>0</v>
      </c>
      <c r="BE2293" s="191" t="e">
        <f ca="1">(OFFSET(Pinlist!$E$1,BC2293,0)-$BN$16)*$BN$19</f>
        <v>#N/A</v>
      </c>
      <c r="BF2293" s="192" t="e">
        <f ca="1">(OFFSET(Pinlist!$F$1,BC2293,0)-$BO$16)*$BO$19</f>
        <v>#N/A</v>
      </c>
      <c r="BG2293" s="1098" t="str">
        <f ca="1">IF(LEFT(BD2293,2)="RF",OFFSET(Pinlist!$D$1,Chart!BC2293,0)&amp;"_"&amp;OFFSET(Pinlist!$G$1,Chart!BC2293,0),"")</f>
        <v/>
      </c>
      <c r="BH2293" s="1098"/>
    </row>
    <row r="2294" spans="53:60" x14ac:dyDescent="0.2">
      <c r="BA2294" s="518">
        <f t="shared" ca="1" si="118"/>
        <v>61</v>
      </c>
      <c r="BB2294" s="174">
        <f t="shared" ca="1" si="119"/>
        <v>2231</v>
      </c>
      <c r="BC2294" s="525" t="e">
        <f ca="1">MATCH(BD2294,OFFSET(Pinlist!$A$2,BC2293*(BA2294=BA2293),0,$BM$23,1),0)+BC2293*(BA2294=BA2293)</f>
        <v>#N/A</v>
      </c>
      <c r="BD2294" s="167">
        <f t="shared" ca="1" si="120"/>
        <v>0</v>
      </c>
      <c r="BE2294" s="191" t="e">
        <f ca="1">(OFFSET(Pinlist!$E$1,BC2294,0)-$BN$16)*$BN$19</f>
        <v>#N/A</v>
      </c>
      <c r="BF2294" s="192" t="e">
        <f ca="1">(OFFSET(Pinlist!$F$1,BC2294,0)-$BO$16)*$BO$19</f>
        <v>#N/A</v>
      </c>
      <c r="BG2294" s="1098" t="str">
        <f ca="1">IF(LEFT(BD2294,2)="RF",OFFSET(Pinlist!$D$1,Chart!BC2294,0)&amp;"_"&amp;OFFSET(Pinlist!$G$1,Chart!BC2294,0),"")</f>
        <v/>
      </c>
      <c r="BH2294" s="1098"/>
    </row>
    <row r="2295" spans="53:60" x14ac:dyDescent="0.2">
      <c r="BA2295" s="518">
        <f t="shared" ca="1" si="118"/>
        <v>61</v>
      </c>
      <c r="BB2295" s="174">
        <f t="shared" ca="1" si="119"/>
        <v>2232</v>
      </c>
      <c r="BC2295" s="525" t="e">
        <f ca="1">MATCH(BD2295,OFFSET(Pinlist!$A$2,BC2294*(BA2295=BA2294),0,$BM$23,1),0)+BC2294*(BA2295=BA2294)</f>
        <v>#N/A</v>
      </c>
      <c r="BD2295" s="167">
        <f t="shared" ca="1" si="120"/>
        <v>0</v>
      </c>
      <c r="BE2295" s="191" t="e">
        <f ca="1">(OFFSET(Pinlist!$E$1,BC2295,0)-$BN$16)*$BN$19</f>
        <v>#N/A</v>
      </c>
      <c r="BF2295" s="192" t="e">
        <f ca="1">(OFFSET(Pinlist!$F$1,BC2295,0)-$BO$16)*$BO$19</f>
        <v>#N/A</v>
      </c>
      <c r="BG2295" s="1098" t="str">
        <f ca="1">IF(LEFT(BD2295,2)="RF",OFFSET(Pinlist!$D$1,Chart!BC2295,0)&amp;"_"&amp;OFFSET(Pinlist!$G$1,Chart!BC2295,0),"")</f>
        <v/>
      </c>
      <c r="BH2295" s="1098"/>
    </row>
    <row r="2296" spans="53:60" x14ac:dyDescent="0.2">
      <c r="BA2296" s="518">
        <f t="shared" ca="1" si="118"/>
        <v>61</v>
      </c>
      <c r="BB2296" s="174">
        <f t="shared" ca="1" si="119"/>
        <v>2233</v>
      </c>
      <c r="BC2296" s="525" t="e">
        <f ca="1">MATCH(BD2296,OFFSET(Pinlist!$A$2,BC2295*(BA2296=BA2295),0,$BM$23,1),0)+BC2295*(BA2296=BA2295)</f>
        <v>#N/A</v>
      </c>
      <c r="BD2296" s="167">
        <f t="shared" ca="1" si="120"/>
        <v>0</v>
      </c>
      <c r="BE2296" s="191" t="e">
        <f ca="1">(OFFSET(Pinlist!$E$1,BC2296,0)-$BN$16)*$BN$19</f>
        <v>#N/A</v>
      </c>
      <c r="BF2296" s="192" t="e">
        <f ca="1">(OFFSET(Pinlist!$F$1,BC2296,0)-$BO$16)*$BO$19</f>
        <v>#N/A</v>
      </c>
      <c r="BG2296" s="1098" t="str">
        <f ca="1">IF(LEFT(BD2296,2)="RF",OFFSET(Pinlist!$D$1,Chart!BC2296,0)&amp;"_"&amp;OFFSET(Pinlist!$G$1,Chart!BC2296,0),"")</f>
        <v/>
      </c>
      <c r="BH2296" s="1098"/>
    </row>
    <row r="2297" spans="53:60" x14ac:dyDescent="0.2">
      <c r="BA2297" s="518">
        <f t="shared" ca="1" si="118"/>
        <v>61</v>
      </c>
      <c r="BB2297" s="174">
        <f t="shared" ca="1" si="119"/>
        <v>2234</v>
      </c>
      <c r="BC2297" s="525" t="e">
        <f ca="1">MATCH(BD2297,OFFSET(Pinlist!$A$2,BC2296*(BA2297=BA2296),0,$BM$23,1),0)+BC2296*(BA2297=BA2296)</f>
        <v>#N/A</v>
      </c>
      <c r="BD2297" s="167">
        <f t="shared" ca="1" si="120"/>
        <v>0</v>
      </c>
      <c r="BE2297" s="191" t="e">
        <f ca="1">(OFFSET(Pinlist!$E$1,BC2297,0)-$BN$16)*$BN$19</f>
        <v>#N/A</v>
      </c>
      <c r="BF2297" s="192" t="e">
        <f ca="1">(OFFSET(Pinlist!$F$1,BC2297,0)-$BO$16)*$BO$19</f>
        <v>#N/A</v>
      </c>
      <c r="BG2297" s="1098" t="str">
        <f ca="1">IF(LEFT(BD2297,2)="RF",OFFSET(Pinlist!$D$1,Chart!BC2297,0)&amp;"_"&amp;OFFSET(Pinlist!$G$1,Chart!BC2297,0),"")</f>
        <v/>
      </c>
      <c r="BH2297" s="1098"/>
    </row>
    <row r="2298" spans="53:60" x14ac:dyDescent="0.2">
      <c r="BA2298" s="518">
        <f t="shared" ca="1" si="118"/>
        <v>61</v>
      </c>
      <c r="BB2298" s="174">
        <f t="shared" ca="1" si="119"/>
        <v>2235</v>
      </c>
      <c r="BC2298" s="525" t="e">
        <f ca="1">MATCH(BD2298,OFFSET(Pinlist!$A$2,BC2297*(BA2298=BA2297),0,$BM$23,1),0)+BC2297*(BA2298=BA2297)</f>
        <v>#N/A</v>
      </c>
      <c r="BD2298" s="167">
        <f t="shared" ca="1" si="120"/>
        <v>0</v>
      </c>
      <c r="BE2298" s="191" t="e">
        <f ca="1">(OFFSET(Pinlist!$E$1,BC2298,0)-$BN$16)*$BN$19</f>
        <v>#N/A</v>
      </c>
      <c r="BF2298" s="192" t="e">
        <f ca="1">(OFFSET(Pinlist!$F$1,BC2298,0)-$BO$16)*$BO$19</f>
        <v>#N/A</v>
      </c>
      <c r="BG2298" s="1098" t="str">
        <f ca="1">IF(LEFT(BD2298,2)="RF",OFFSET(Pinlist!$D$1,Chart!BC2298,0)&amp;"_"&amp;OFFSET(Pinlist!$G$1,Chart!BC2298,0),"")</f>
        <v/>
      </c>
      <c r="BH2298" s="1098"/>
    </row>
    <row r="2299" spans="53:60" x14ac:dyDescent="0.2">
      <c r="BA2299" s="518">
        <f t="shared" ca="1" si="118"/>
        <v>61</v>
      </c>
      <c r="BB2299" s="174">
        <f t="shared" ca="1" si="119"/>
        <v>2236</v>
      </c>
      <c r="BC2299" s="525" t="e">
        <f ca="1">MATCH(BD2299,OFFSET(Pinlist!$A$2,BC2298*(BA2299=BA2298),0,$BM$23,1),0)+BC2298*(BA2299=BA2298)</f>
        <v>#N/A</v>
      </c>
      <c r="BD2299" s="167">
        <f t="shared" ca="1" si="120"/>
        <v>0</v>
      </c>
      <c r="BE2299" s="191" t="e">
        <f ca="1">(OFFSET(Pinlist!$E$1,BC2299,0)-$BN$16)*$BN$19</f>
        <v>#N/A</v>
      </c>
      <c r="BF2299" s="192" t="e">
        <f ca="1">(OFFSET(Pinlist!$F$1,BC2299,0)-$BO$16)*$BO$19</f>
        <v>#N/A</v>
      </c>
      <c r="BG2299" s="1098" t="str">
        <f ca="1">IF(LEFT(BD2299,2)="RF",OFFSET(Pinlist!$D$1,Chart!BC2299,0)&amp;"_"&amp;OFFSET(Pinlist!$G$1,Chart!BC2299,0),"")</f>
        <v/>
      </c>
      <c r="BH2299" s="1098"/>
    </row>
    <row r="2300" spans="53:60" x14ac:dyDescent="0.2">
      <c r="BA2300" s="518">
        <f t="shared" ca="1" si="118"/>
        <v>61</v>
      </c>
      <c r="BB2300" s="174">
        <f t="shared" ca="1" si="119"/>
        <v>2237</v>
      </c>
      <c r="BC2300" s="525" t="e">
        <f ca="1">MATCH(BD2300,OFFSET(Pinlist!$A$2,BC2299*(BA2300=BA2299),0,$BM$23,1),0)+BC2299*(BA2300=BA2299)</f>
        <v>#N/A</v>
      </c>
      <c r="BD2300" s="167">
        <f t="shared" ca="1" si="120"/>
        <v>0</v>
      </c>
      <c r="BE2300" s="191" t="e">
        <f ca="1">(OFFSET(Pinlist!$E$1,BC2300,0)-$BN$16)*$BN$19</f>
        <v>#N/A</v>
      </c>
      <c r="BF2300" s="192" t="e">
        <f ca="1">(OFFSET(Pinlist!$F$1,BC2300,0)-$BO$16)*$BO$19</f>
        <v>#N/A</v>
      </c>
      <c r="BG2300" s="1098" t="str">
        <f ca="1">IF(LEFT(BD2300,2)="RF",OFFSET(Pinlist!$D$1,Chart!BC2300,0)&amp;"_"&amp;OFFSET(Pinlist!$G$1,Chart!BC2300,0),"")</f>
        <v/>
      </c>
      <c r="BH2300" s="1098"/>
    </row>
    <row r="2301" spans="53:60" x14ac:dyDescent="0.2">
      <c r="BA2301" s="518">
        <f t="shared" ca="1" si="118"/>
        <v>61</v>
      </c>
      <c r="BB2301" s="174">
        <f t="shared" ca="1" si="119"/>
        <v>2238</v>
      </c>
      <c r="BC2301" s="525" t="e">
        <f ca="1">MATCH(BD2301,OFFSET(Pinlist!$A$2,BC2300*(BA2301=BA2300),0,$BM$23,1),0)+BC2300*(BA2301=BA2300)</f>
        <v>#N/A</v>
      </c>
      <c r="BD2301" s="167">
        <f t="shared" ca="1" si="120"/>
        <v>0</v>
      </c>
      <c r="BE2301" s="191" t="e">
        <f ca="1">(OFFSET(Pinlist!$E$1,BC2301,0)-$BN$16)*$BN$19</f>
        <v>#N/A</v>
      </c>
      <c r="BF2301" s="192" t="e">
        <f ca="1">(OFFSET(Pinlist!$F$1,BC2301,0)-$BO$16)*$BO$19</f>
        <v>#N/A</v>
      </c>
      <c r="BG2301" s="1098" t="str">
        <f ca="1">IF(LEFT(BD2301,2)="RF",OFFSET(Pinlist!$D$1,Chart!BC2301,0)&amp;"_"&amp;OFFSET(Pinlist!$G$1,Chart!BC2301,0),"")</f>
        <v/>
      </c>
      <c r="BH2301" s="1098"/>
    </row>
    <row r="2302" spans="53:60" x14ac:dyDescent="0.2">
      <c r="BA2302" s="518">
        <f t="shared" ca="1" si="118"/>
        <v>61</v>
      </c>
      <c r="BB2302" s="174">
        <f t="shared" ca="1" si="119"/>
        <v>2239</v>
      </c>
      <c r="BC2302" s="525" t="e">
        <f ca="1">MATCH(BD2302,OFFSET(Pinlist!$A$2,BC2301*(BA2302=BA2301),0,$BM$23,1),0)+BC2301*(BA2302=BA2301)</f>
        <v>#N/A</v>
      </c>
      <c r="BD2302" s="167">
        <f t="shared" ca="1" si="120"/>
        <v>0</v>
      </c>
      <c r="BE2302" s="191" t="e">
        <f ca="1">(OFFSET(Pinlist!$E$1,BC2302,0)-$BN$16)*$BN$19</f>
        <v>#N/A</v>
      </c>
      <c r="BF2302" s="192" t="e">
        <f ca="1">(OFFSET(Pinlist!$F$1,BC2302,0)-$BO$16)*$BO$19</f>
        <v>#N/A</v>
      </c>
      <c r="BG2302" s="1098" t="str">
        <f ca="1">IF(LEFT(BD2302,2)="RF",OFFSET(Pinlist!$D$1,Chart!BC2302,0)&amp;"_"&amp;OFFSET(Pinlist!$G$1,Chart!BC2302,0),"")</f>
        <v/>
      </c>
      <c r="BH2302" s="1098"/>
    </row>
    <row r="2303" spans="53:60" x14ac:dyDescent="0.2">
      <c r="BA2303" s="518">
        <f t="shared" ca="1" si="118"/>
        <v>61</v>
      </c>
      <c r="BB2303" s="174">
        <f t="shared" ca="1" si="119"/>
        <v>2240</v>
      </c>
      <c r="BC2303" s="525" t="e">
        <f ca="1">MATCH(BD2303,OFFSET(Pinlist!$A$2,BC2302*(BA2303=BA2302),0,$BM$23,1),0)+BC2302*(BA2303=BA2302)</f>
        <v>#N/A</v>
      </c>
      <c r="BD2303" s="167">
        <f t="shared" ca="1" si="120"/>
        <v>0</v>
      </c>
      <c r="BE2303" s="191" t="e">
        <f ca="1">(OFFSET(Pinlist!$E$1,BC2303,0)-$BN$16)*$BN$19</f>
        <v>#N/A</v>
      </c>
      <c r="BF2303" s="192" t="e">
        <f ca="1">(OFFSET(Pinlist!$F$1,BC2303,0)-$BO$16)*$BO$19</f>
        <v>#N/A</v>
      </c>
      <c r="BG2303" s="1098" t="str">
        <f ca="1">IF(LEFT(BD2303,2)="RF",OFFSET(Pinlist!$D$1,Chart!BC2303,0)&amp;"_"&amp;OFFSET(Pinlist!$G$1,Chart!BC2303,0),"")</f>
        <v/>
      </c>
      <c r="BH2303" s="1098"/>
    </row>
    <row r="2304" spans="53:60" x14ac:dyDescent="0.2">
      <c r="BA2304" s="518">
        <f t="shared" ca="1" si="118"/>
        <v>61</v>
      </c>
      <c r="BB2304" s="174">
        <f t="shared" ca="1" si="119"/>
        <v>2241</v>
      </c>
      <c r="BC2304" s="525" t="e">
        <f ca="1">MATCH(BD2304,OFFSET(Pinlist!$A$2,BC2303*(BA2304=BA2303),0,$BM$23,1),0)+BC2303*(BA2304=BA2303)</f>
        <v>#N/A</v>
      </c>
      <c r="BD2304" s="167">
        <f t="shared" ca="1" si="120"/>
        <v>0</v>
      </c>
      <c r="BE2304" s="191" t="e">
        <f ca="1">(OFFSET(Pinlist!$E$1,BC2304,0)-$BN$16)*$BN$19</f>
        <v>#N/A</v>
      </c>
      <c r="BF2304" s="192" t="e">
        <f ca="1">(OFFSET(Pinlist!$F$1,BC2304,0)-$BO$16)*$BO$19</f>
        <v>#N/A</v>
      </c>
      <c r="BG2304" s="1098" t="str">
        <f ca="1">IF(LEFT(BD2304,2)="RF",OFFSET(Pinlist!$D$1,Chart!BC2304,0)&amp;"_"&amp;OFFSET(Pinlist!$G$1,Chart!BC2304,0),"")</f>
        <v/>
      </c>
      <c r="BH2304" s="1098"/>
    </row>
    <row r="2305" spans="53:60" x14ac:dyDescent="0.2">
      <c r="BA2305" s="518">
        <f t="shared" ca="1" si="118"/>
        <v>61</v>
      </c>
      <c r="BB2305" s="174">
        <f t="shared" ca="1" si="119"/>
        <v>2242</v>
      </c>
      <c r="BC2305" s="525" t="e">
        <f ca="1">MATCH(BD2305,OFFSET(Pinlist!$A$2,BC2304*(BA2305=BA2304),0,$BM$23,1),0)+BC2304*(BA2305=BA2304)</f>
        <v>#N/A</v>
      </c>
      <c r="BD2305" s="167">
        <f t="shared" ca="1" si="120"/>
        <v>0</v>
      </c>
      <c r="BE2305" s="191" t="e">
        <f ca="1">(OFFSET(Pinlist!$E$1,BC2305,0)-$BN$16)*$BN$19</f>
        <v>#N/A</v>
      </c>
      <c r="BF2305" s="192" t="e">
        <f ca="1">(OFFSET(Pinlist!$F$1,BC2305,0)-$BO$16)*$BO$19</f>
        <v>#N/A</v>
      </c>
      <c r="BG2305" s="1098" t="str">
        <f ca="1">IF(LEFT(BD2305,2)="RF",OFFSET(Pinlist!$D$1,Chart!BC2305,0)&amp;"_"&amp;OFFSET(Pinlist!$G$1,Chart!BC2305,0),"")</f>
        <v/>
      </c>
      <c r="BH2305" s="1098"/>
    </row>
    <row r="2306" spans="53:60" x14ac:dyDescent="0.2">
      <c r="BA2306" s="518">
        <f t="shared" ca="1" si="118"/>
        <v>61</v>
      </c>
      <c r="BB2306" s="174">
        <f t="shared" ca="1" si="119"/>
        <v>2243</v>
      </c>
      <c r="BC2306" s="525" t="e">
        <f ca="1">MATCH(BD2306,OFFSET(Pinlist!$A$2,BC2305*(BA2306=BA2305),0,$BM$23,1),0)+BC2305*(BA2306=BA2305)</f>
        <v>#N/A</v>
      </c>
      <c r="BD2306" s="167">
        <f t="shared" ca="1" si="120"/>
        <v>0</v>
      </c>
      <c r="BE2306" s="191" t="e">
        <f ca="1">(OFFSET(Pinlist!$E$1,BC2306,0)-$BN$16)*$BN$19</f>
        <v>#N/A</v>
      </c>
      <c r="BF2306" s="192" t="e">
        <f ca="1">(OFFSET(Pinlist!$F$1,BC2306,0)-$BO$16)*$BO$19</f>
        <v>#N/A</v>
      </c>
      <c r="BG2306" s="1098" t="str">
        <f ca="1">IF(LEFT(BD2306,2)="RF",OFFSET(Pinlist!$D$1,Chart!BC2306,0)&amp;"_"&amp;OFFSET(Pinlist!$G$1,Chart!BC2306,0),"")</f>
        <v/>
      </c>
      <c r="BH2306" s="1098"/>
    </row>
    <row r="2307" spans="53:60" x14ac:dyDescent="0.2">
      <c r="BA2307" s="518">
        <f t="shared" ca="1" si="118"/>
        <v>61</v>
      </c>
      <c r="BB2307" s="174">
        <f t="shared" ca="1" si="119"/>
        <v>2244</v>
      </c>
      <c r="BC2307" s="525" t="e">
        <f ca="1">MATCH(BD2307,OFFSET(Pinlist!$A$2,BC2306*(BA2307=BA2306),0,$BM$23,1),0)+BC2306*(BA2307=BA2306)</f>
        <v>#N/A</v>
      </c>
      <c r="BD2307" s="167">
        <f t="shared" ca="1" si="120"/>
        <v>0</v>
      </c>
      <c r="BE2307" s="191" t="e">
        <f ca="1">(OFFSET(Pinlist!$E$1,BC2307,0)-$BN$16)*$BN$19</f>
        <v>#N/A</v>
      </c>
      <c r="BF2307" s="192" t="e">
        <f ca="1">(OFFSET(Pinlist!$F$1,BC2307,0)-$BO$16)*$BO$19</f>
        <v>#N/A</v>
      </c>
      <c r="BG2307" s="1098" t="str">
        <f ca="1">IF(LEFT(BD2307,2)="RF",OFFSET(Pinlist!$D$1,Chart!BC2307,0)&amp;"_"&amp;OFFSET(Pinlist!$G$1,Chart!BC2307,0),"")</f>
        <v/>
      </c>
      <c r="BH2307" s="1098"/>
    </row>
    <row r="2308" spans="53:60" x14ac:dyDescent="0.2">
      <c r="BA2308" s="518">
        <f t="shared" ref="BA2308:BA2371" ca="1" si="121">BA2307+(BB2307=OFFSET($BZ$3,BA2307,0))</f>
        <v>61</v>
      </c>
      <c r="BB2308" s="174">
        <f t="shared" ref="BB2308:BB2371" ca="1" si="122">IF(BA2308=BA2307,BB2307+1,1)</f>
        <v>2245</v>
      </c>
      <c r="BC2308" s="525" t="e">
        <f ca="1">MATCH(BD2308,OFFSET(Pinlist!$A$2,BC2307*(BA2308=BA2307),0,$BM$23,1),0)+BC2307*(BA2308=BA2307)</f>
        <v>#N/A</v>
      </c>
      <c r="BD2308" s="167">
        <f t="shared" ref="BD2308:BD2371" ca="1" si="123">OFFSET($BY$3,BA2308,0)</f>
        <v>0</v>
      </c>
      <c r="BE2308" s="191" t="e">
        <f ca="1">(OFFSET(Pinlist!$E$1,BC2308,0)-$BN$16)*$BN$19</f>
        <v>#N/A</v>
      </c>
      <c r="BF2308" s="192" t="e">
        <f ca="1">(OFFSET(Pinlist!$F$1,BC2308,0)-$BO$16)*$BO$19</f>
        <v>#N/A</v>
      </c>
      <c r="BG2308" s="1098" t="str">
        <f ca="1">IF(LEFT(BD2308,2)="RF",OFFSET(Pinlist!$D$1,Chart!BC2308,0)&amp;"_"&amp;OFFSET(Pinlist!$G$1,Chart!BC2308,0),"")</f>
        <v/>
      </c>
      <c r="BH2308" s="1098"/>
    </row>
    <row r="2309" spans="53:60" x14ac:dyDescent="0.2">
      <c r="BA2309" s="518">
        <f t="shared" ca="1" si="121"/>
        <v>61</v>
      </c>
      <c r="BB2309" s="174">
        <f t="shared" ca="1" si="122"/>
        <v>2246</v>
      </c>
      <c r="BC2309" s="525" t="e">
        <f ca="1">MATCH(BD2309,OFFSET(Pinlist!$A$2,BC2308*(BA2309=BA2308),0,$BM$23,1),0)+BC2308*(BA2309=BA2308)</f>
        <v>#N/A</v>
      </c>
      <c r="BD2309" s="167">
        <f t="shared" ca="1" si="123"/>
        <v>0</v>
      </c>
      <c r="BE2309" s="191" t="e">
        <f ca="1">(OFFSET(Pinlist!$E$1,BC2309,0)-$BN$16)*$BN$19</f>
        <v>#N/A</v>
      </c>
      <c r="BF2309" s="192" t="e">
        <f ca="1">(OFFSET(Pinlist!$F$1,BC2309,0)-$BO$16)*$BO$19</f>
        <v>#N/A</v>
      </c>
      <c r="BG2309" s="1098" t="str">
        <f ca="1">IF(LEFT(BD2309,2)="RF",OFFSET(Pinlist!$D$1,Chart!BC2309,0)&amp;"_"&amp;OFFSET(Pinlist!$G$1,Chart!BC2309,0),"")</f>
        <v/>
      </c>
      <c r="BH2309" s="1098"/>
    </row>
    <row r="2310" spans="53:60" x14ac:dyDescent="0.2">
      <c r="BA2310" s="518">
        <f t="shared" ca="1" si="121"/>
        <v>61</v>
      </c>
      <c r="BB2310" s="174">
        <f t="shared" ca="1" si="122"/>
        <v>2247</v>
      </c>
      <c r="BC2310" s="525" t="e">
        <f ca="1">MATCH(BD2310,OFFSET(Pinlist!$A$2,BC2309*(BA2310=BA2309),0,$BM$23,1),0)+BC2309*(BA2310=BA2309)</f>
        <v>#N/A</v>
      </c>
      <c r="BD2310" s="167">
        <f t="shared" ca="1" si="123"/>
        <v>0</v>
      </c>
      <c r="BE2310" s="191" t="e">
        <f ca="1">(OFFSET(Pinlist!$E$1,BC2310,0)-$BN$16)*$BN$19</f>
        <v>#N/A</v>
      </c>
      <c r="BF2310" s="192" t="e">
        <f ca="1">(OFFSET(Pinlist!$F$1,BC2310,0)-$BO$16)*$BO$19</f>
        <v>#N/A</v>
      </c>
      <c r="BG2310" s="1098" t="str">
        <f ca="1">IF(LEFT(BD2310,2)="RF",OFFSET(Pinlist!$D$1,Chart!BC2310,0)&amp;"_"&amp;OFFSET(Pinlist!$G$1,Chart!BC2310,0),"")</f>
        <v/>
      </c>
      <c r="BH2310" s="1098"/>
    </row>
    <row r="2311" spans="53:60" x14ac:dyDescent="0.2">
      <c r="BA2311" s="518">
        <f t="shared" ca="1" si="121"/>
        <v>61</v>
      </c>
      <c r="BB2311" s="174">
        <f t="shared" ca="1" si="122"/>
        <v>2248</v>
      </c>
      <c r="BC2311" s="525" t="e">
        <f ca="1">MATCH(BD2311,OFFSET(Pinlist!$A$2,BC2310*(BA2311=BA2310),0,$BM$23,1),0)+BC2310*(BA2311=BA2310)</f>
        <v>#N/A</v>
      </c>
      <c r="BD2311" s="167">
        <f t="shared" ca="1" si="123"/>
        <v>0</v>
      </c>
      <c r="BE2311" s="191" t="e">
        <f ca="1">(OFFSET(Pinlist!$E$1,BC2311,0)-$BN$16)*$BN$19</f>
        <v>#N/A</v>
      </c>
      <c r="BF2311" s="192" t="e">
        <f ca="1">(OFFSET(Pinlist!$F$1,BC2311,0)-$BO$16)*$BO$19</f>
        <v>#N/A</v>
      </c>
      <c r="BG2311" s="1098" t="str">
        <f ca="1">IF(LEFT(BD2311,2)="RF",OFFSET(Pinlist!$D$1,Chart!BC2311,0)&amp;"_"&amp;OFFSET(Pinlist!$G$1,Chart!BC2311,0),"")</f>
        <v/>
      </c>
      <c r="BH2311" s="1098"/>
    </row>
    <row r="2312" spans="53:60" x14ac:dyDescent="0.2">
      <c r="BA2312" s="518">
        <f t="shared" ca="1" si="121"/>
        <v>61</v>
      </c>
      <c r="BB2312" s="174">
        <f t="shared" ca="1" si="122"/>
        <v>2249</v>
      </c>
      <c r="BC2312" s="525" t="e">
        <f ca="1">MATCH(BD2312,OFFSET(Pinlist!$A$2,BC2311*(BA2312=BA2311),0,$BM$23,1),0)+BC2311*(BA2312=BA2311)</f>
        <v>#N/A</v>
      </c>
      <c r="BD2312" s="167">
        <f t="shared" ca="1" si="123"/>
        <v>0</v>
      </c>
      <c r="BE2312" s="191" t="e">
        <f ca="1">(OFFSET(Pinlist!$E$1,BC2312,0)-$BN$16)*$BN$19</f>
        <v>#N/A</v>
      </c>
      <c r="BF2312" s="192" t="e">
        <f ca="1">(OFFSET(Pinlist!$F$1,BC2312,0)-$BO$16)*$BO$19</f>
        <v>#N/A</v>
      </c>
      <c r="BG2312" s="1098" t="str">
        <f ca="1">IF(LEFT(BD2312,2)="RF",OFFSET(Pinlist!$D$1,Chart!BC2312,0)&amp;"_"&amp;OFFSET(Pinlist!$G$1,Chart!BC2312,0),"")</f>
        <v/>
      </c>
      <c r="BH2312" s="1098"/>
    </row>
    <row r="2313" spans="53:60" x14ac:dyDescent="0.2">
      <c r="BA2313" s="518">
        <f t="shared" ca="1" si="121"/>
        <v>61</v>
      </c>
      <c r="BB2313" s="174">
        <f t="shared" ca="1" si="122"/>
        <v>2250</v>
      </c>
      <c r="BC2313" s="525" t="e">
        <f ca="1">MATCH(BD2313,OFFSET(Pinlist!$A$2,BC2312*(BA2313=BA2312),0,$BM$23,1),0)+BC2312*(BA2313=BA2312)</f>
        <v>#N/A</v>
      </c>
      <c r="BD2313" s="167">
        <f t="shared" ca="1" si="123"/>
        <v>0</v>
      </c>
      <c r="BE2313" s="191" t="e">
        <f ca="1">(OFFSET(Pinlist!$E$1,BC2313,0)-$BN$16)*$BN$19</f>
        <v>#N/A</v>
      </c>
      <c r="BF2313" s="192" t="e">
        <f ca="1">(OFFSET(Pinlist!$F$1,BC2313,0)-$BO$16)*$BO$19</f>
        <v>#N/A</v>
      </c>
      <c r="BG2313" s="1098" t="str">
        <f ca="1">IF(LEFT(BD2313,2)="RF",OFFSET(Pinlist!$D$1,Chart!BC2313,0)&amp;"_"&amp;OFFSET(Pinlist!$G$1,Chart!BC2313,0),"")</f>
        <v/>
      </c>
      <c r="BH2313" s="1098"/>
    </row>
    <row r="2314" spans="53:60" x14ac:dyDescent="0.2">
      <c r="BA2314" s="518">
        <f t="shared" ca="1" si="121"/>
        <v>61</v>
      </c>
      <c r="BB2314" s="174">
        <f t="shared" ca="1" si="122"/>
        <v>2251</v>
      </c>
      <c r="BC2314" s="525" t="e">
        <f ca="1">MATCH(BD2314,OFFSET(Pinlist!$A$2,BC2313*(BA2314=BA2313),0,$BM$23,1),0)+BC2313*(BA2314=BA2313)</f>
        <v>#N/A</v>
      </c>
      <c r="BD2314" s="167">
        <f t="shared" ca="1" si="123"/>
        <v>0</v>
      </c>
      <c r="BE2314" s="191" t="e">
        <f ca="1">(OFFSET(Pinlist!$E$1,BC2314,0)-$BN$16)*$BN$19</f>
        <v>#N/A</v>
      </c>
      <c r="BF2314" s="192" t="e">
        <f ca="1">(OFFSET(Pinlist!$F$1,BC2314,0)-$BO$16)*$BO$19</f>
        <v>#N/A</v>
      </c>
      <c r="BG2314" s="1098" t="str">
        <f ca="1">IF(LEFT(BD2314,2)="RF",OFFSET(Pinlist!$D$1,Chart!BC2314,0)&amp;"_"&amp;OFFSET(Pinlist!$G$1,Chart!BC2314,0),"")</f>
        <v/>
      </c>
      <c r="BH2314" s="1098"/>
    </row>
    <row r="2315" spans="53:60" x14ac:dyDescent="0.2">
      <c r="BA2315" s="518">
        <f t="shared" ca="1" si="121"/>
        <v>61</v>
      </c>
      <c r="BB2315" s="174">
        <f t="shared" ca="1" si="122"/>
        <v>2252</v>
      </c>
      <c r="BC2315" s="525" t="e">
        <f ca="1">MATCH(BD2315,OFFSET(Pinlist!$A$2,BC2314*(BA2315=BA2314),0,$BM$23,1),0)+BC2314*(BA2315=BA2314)</f>
        <v>#N/A</v>
      </c>
      <c r="BD2315" s="167">
        <f t="shared" ca="1" si="123"/>
        <v>0</v>
      </c>
      <c r="BE2315" s="191" t="e">
        <f ca="1">(OFFSET(Pinlist!$E$1,BC2315,0)-$BN$16)*$BN$19</f>
        <v>#N/A</v>
      </c>
      <c r="BF2315" s="192" t="e">
        <f ca="1">(OFFSET(Pinlist!$F$1,BC2315,0)-$BO$16)*$BO$19</f>
        <v>#N/A</v>
      </c>
      <c r="BG2315" s="1098" t="str">
        <f ca="1">IF(LEFT(BD2315,2)="RF",OFFSET(Pinlist!$D$1,Chart!BC2315,0)&amp;"_"&amp;OFFSET(Pinlist!$G$1,Chart!BC2315,0),"")</f>
        <v/>
      </c>
      <c r="BH2315" s="1098"/>
    </row>
    <row r="2316" spans="53:60" x14ac:dyDescent="0.2">
      <c r="BA2316" s="518">
        <f t="shared" ca="1" si="121"/>
        <v>61</v>
      </c>
      <c r="BB2316" s="174">
        <f t="shared" ca="1" si="122"/>
        <v>2253</v>
      </c>
      <c r="BC2316" s="525" t="e">
        <f ca="1">MATCH(BD2316,OFFSET(Pinlist!$A$2,BC2315*(BA2316=BA2315),0,$BM$23,1),0)+BC2315*(BA2316=BA2315)</f>
        <v>#N/A</v>
      </c>
      <c r="BD2316" s="167">
        <f t="shared" ca="1" si="123"/>
        <v>0</v>
      </c>
      <c r="BE2316" s="191" t="e">
        <f ca="1">(OFFSET(Pinlist!$E$1,BC2316,0)-$BN$16)*$BN$19</f>
        <v>#N/A</v>
      </c>
      <c r="BF2316" s="192" t="e">
        <f ca="1">(OFFSET(Pinlist!$F$1,BC2316,0)-$BO$16)*$BO$19</f>
        <v>#N/A</v>
      </c>
      <c r="BG2316" s="1098" t="str">
        <f ca="1">IF(LEFT(BD2316,2)="RF",OFFSET(Pinlist!$D$1,Chart!BC2316,0)&amp;"_"&amp;OFFSET(Pinlist!$G$1,Chart!BC2316,0),"")</f>
        <v/>
      </c>
      <c r="BH2316" s="1098"/>
    </row>
    <row r="2317" spans="53:60" x14ac:dyDescent="0.2">
      <c r="BA2317" s="518">
        <f t="shared" ca="1" si="121"/>
        <v>61</v>
      </c>
      <c r="BB2317" s="174">
        <f t="shared" ca="1" si="122"/>
        <v>2254</v>
      </c>
      <c r="BC2317" s="525" t="e">
        <f ca="1">MATCH(BD2317,OFFSET(Pinlist!$A$2,BC2316*(BA2317=BA2316),0,$BM$23,1),0)+BC2316*(BA2317=BA2316)</f>
        <v>#N/A</v>
      </c>
      <c r="BD2317" s="167">
        <f t="shared" ca="1" si="123"/>
        <v>0</v>
      </c>
      <c r="BE2317" s="191" t="e">
        <f ca="1">(OFFSET(Pinlist!$E$1,BC2317,0)-$BN$16)*$BN$19</f>
        <v>#N/A</v>
      </c>
      <c r="BF2317" s="192" t="e">
        <f ca="1">(OFFSET(Pinlist!$F$1,BC2317,0)-$BO$16)*$BO$19</f>
        <v>#N/A</v>
      </c>
      <c r="BG2317" s="1098" t="str">
        <f ca="1">IF(LEFT(BD2317,2)="RF",OFFSET(Pinlist!$D$1,Chart!BC2317,0)&amp;"_"&amp;OFFSET(Pinlist!$G$1,Chart!BC2317,0),"")</f>
        <v/>
      </c>
      <c r="BH2317" s="1098"/>
    </row>
    <row r="2318" spans="53:60" x14ac:dyDescent="0.2">
      <c r="BA2318" s="518">
        <f t="shared" ca="1" si="121"/>
        <v>61</v>
      </c>
      <c r="BB2318" s="174">
        <f t="shared" ca="1" si="122"/>
        <v>2255</v>
      </c>
      <c r="BC2318" s="525" t="e">
        <f ca="1">MATCH(BD2318,OFFSET(Pinlist!$A$2,BC2317*(BA2318=BA2317),0,$BM$23,1),0)+BC2317*(BA2318=BA2317)</f>
        <v>#N/A</v>
      </c>
      <c r="BD2318" s="167">
        <f t="shared" ca="1" si="123"/>
        <v>0</v>
      </c>
      <c r="BE2318" s="191" t="e">
        <f ca="1">(OFFSET(Pinlist!$E$1,BC2318,0)-$BN$16)*$BN$19</f>
        <v>#N/A</v>
      </c>
      <c r="BF2318" s="192" t="e">
        <f ca="1">(OFFSET(Pinlist!$F$1,BC2318,0)-$BO$16)*$BO$19</f>
        <v>#N/A</v>
      </c>
      <c r="BG2318" s="1098" t="str">
        <f ca="1">IF(LEFT(BD2318,2)="RF",OFFSET(Pinlist!$D$1,Chart!BC2318,0)&amp;"_"&amp;OFFSET(Pinlist!$G$1,Chart!BC2318,0),"")</f>
        <v/>
      </c>
      <c r="BH2318" s="1098"/>
    </row>
    <row r="2319" spans="53:60" x14ac:dyDescent="0.2">
      <c r="BA2319" s="518">
        <f t="shared" ca="1" si="121"/>
        <v>61</v>
      </c>
      <c r="BB2319" s="174">
        <f t="shared" ca="1" si="122"/>
        <v>2256</v>
      </c>
      <c r="BC2319" s="525" t="e">
        <f ca="1">MATCH(BD2319,OFFSET(Pinlist!$A$2,BC2318*(BA2319=BA2318),0,$BM$23,1),0)+BC2318*(BA2319=BA2318)</f>
        <v>#N/A</v>
      </c>
      <c r="BD2319" s="167">
        <f t="shared" ca="1" si="123"/>
        <v>0</v>
      </c>
      <c r="BE2319" s="191" t="e">
        <f ca="1">(OFFSET(Pinlist!$E$1,BC2319,0)-$BN$16)*$BN$19</f>
        <v>#N/A</v>
      </c>
      <c r="BF2319" s="192" t="e">
        <f ca="1">(OFFSET(Pinlist!$F$1,BC2319,0)-$BO$16)*$BO$19</f>
        <v>#N/A</v>
      </c>
      <c r="BG2319" s="1098" t="str">
        <f ca="1">IF(LEFT(BD2319,2)="RF",OFFSET(Pinlist!$D$1,Chart!BC2319,0)&amp;"_"&amp;OFFSET(Pinlist!$G$1,Chart!BC2319,0),"")</f>
        <v/>
      </c>
      <c r="BH2319" s="1098"/>
    </row>
    <row r="2320" spans="53:60" x14ac:dyDescent="0.2">
      <c r="BA2320" s="518">
        <f t="shared" ca="1" si="121"/>
        <v>61</v>
      </c>
      <c r="BB2320" s="174">
        <f t="shared" ca="1" si="122"/>
        <v>2257</v>
      </c>
      <c r="BC2320" s="525" t="e">
        <f ca="1">MATCH(BD2320,OFFSET(Pinlist!$A$2,BC2319*(BA2320=BA2319),0,$BM$23,1),0)+BC2319*(BA2320=BA2319)</f>
        <v>#N/A</v>
      </c>
      <c r="BD2320" s="167">
        <f t="shared" ca="1" si="123"/>
        <v>0</v>
      </c>
      <c r="BE2320" s="191" t="e">
        <f ca="1">(OFFSET(Pinlist!$E$1,BC2320,0)-$BN$16)*$BN$19</f>
        <v>#N/A</v>
      </c>
      <c r="BF2320" s="192" t="e">
        <f ca="1">(OFFSET(Pinlist!$F$1,BC2320,0)-$BO$16)*$BO$19</f>
        <v>#N/A</v>
      </c>
      <c r="BG2320" s="1098" t="str">
        <f ca="1">IF(LEFT(BD2320,2)="RF",OFFSET(Pinlist!$D$1,Chart!BC2320,0)&amp;"_"&amp;OFFSET(Pinlist!$G$1,Chart!BC2320,0),"")</f>
        <v/>
      </c>
      <c r="BH2320" s="1098"/>
    </row>
    <row r="2321" spans="53:60" x14ac:dyDescent="0.2">
      <c r="BA2321" s="518">
        <f t="shared" ca="1" si="121"/>
        <v>61</v>
      </c>
      <c r="BB2321" s="174">
        <f t="shared" ca="1" si="122"/>
        <v>2258</v>
      </c>
      <c r="BC2321" s="525" t="e">
        <f ca="1">MATCH(BD2321,OFFSET(Pinlist!$A$2,BC2320*(BA2321=BA2320),0,$BM$23,1),0)+BC2320*(BA2321=BA2320)</f>
        <v>#N/A</v>
      </c>
      <c r="BD2321" s="167">
        <f t="shared" ca="1" si="123"/>
        <v>0</v>
      </c>
      <c r="BE2321" s="191" t="e">
        <f ca="1">(OFFSET(Pinlist!$E$1,BC2321,0)-$BN$16)*$BN$19</f>
        <v>#N/A</v>
      </c>
      <c r="BF2321" s="192" t="e">
        <f ca="1">(OFFSET(Pinlist!$F$1,BC2321,0)-$BO$16)*$BO$19</f>
        <v>#N/A</v>
      </c>
      <c r="BG2321" s="1098" t="str">
        <f ca="1">IF(LEFT(BD2321,2)="RF",OFFSET(Pinlist!$D$1,Chart!BC2321,0)&amp;"_"&amp;OFFSET(Pinlist!$G$1,Chart!BC2321,0),"")</f>
        <v/>
      </c>
      <c r="BH2321" s="1098"/>
    </row>
    <row r="2322" spans="53:60" x14ac:dyDescent="0.2">
      <c r="BA2322" s="518">
        <f t="shared" ca="1" si="121"/>
        <v>61</v>
      </c>
      <c r="BB2322" s="174">
        <f t="shared" ca="1" si="122"/>
        <v>2259</v>
      </c>
      <c r="BC2322" s="525" t="e">
        <f ca="1">MATCH(BD2322,OFFSET(Pinlist!$A$2,BC2321*(BA2322=BA2321),0,$BM$23,1),0)+BC2321*(BA2322=BA2321)</f>
        <v>#N/A</v>
      </c>
      <c r="BD2322" s="167">
        <f t="shared" ca="1" si="123"/>
        <v>0</v>
      </c>
      <c r="BE2322" s="191" t="e">
        <f ca="1">(OFFSET(Pinlist!$E$1,BC2322,0)-$BN$16)*$BN$19</f>
        <v>#N/A</v>
      </c>
      <c r="BF2322" s="192" t="e">
        <f ca="1">(OFFSET(Pinlist!$F$1,BC2322,0)-$BO$16)*$BO$19</f>
        <v>#N/A</v>
      </c>
      <c r="BG2322" s="1098" t="str">
        <f ca="1">IF(LEFT(BD2322,2)="RF",OFFSET(Pinlist!$D$1,Chart!BC2322,0)&amp;"_"&amp;OFFSET(Pinlist!$G$1,Chart!BC2322,0),"")</f>
        <v/>
      </c>
      <c r="BH2322" s="1098"/>
    </row>
    <row r="2323" spans="53:60" x14ac:dyDescent="0.2">
      <c r="BA2323" s="518">
        <f t="shared" ca="1" si="121"/>
        <v>61</v>
      </c>
      <c r="BB2323" s="174">
        <f t="shared" ca="1" si="122"/>
        <v>2260</v>
      </c>
      <c r="BC2323" s="525" t="e">
        <f ca="1">MATCH(BD2323,OFFSET(Pinlist!$A$2,BC2322*(BA2323=BA2322),0,$BM$23,1),0)+BC2322*(BA2323=BA2322)</f>
        <v>#N/A</v>
      </c>
      <c r="BD2323" s="167">
        <f t="shared" ca="1" si="123"/>
        <v>0</v>
      </c>
      <c r="BE2323" s="191" t="e">
        <f ca="1">(OFFSET(Pinlist!$E$1,BC2323,0)-$BN$16)*$BN$19</f>
        <v>#N/A</v>
      </c>
      <c r="BF2323" s="192" t="e">
        <f ca="1">(OFFSET(Pinlist!$F$1,BC2323,0)-$BO$16)*$BO$19</f>
        <v>#N/A</v>
      </c>
      <c r="BG2323" s="1098" t="str">
        <f ca="1">IF(LEFT(BD2323,2)="RF",OFFSET(Pinlist!$D$1,Chart!BC2323,0)&amp;"_"&amp;OFFSET(Pinlist!$G$1,Chart!BC2323,0),"")</f>
        <v/>
      </c>
      <c r="BH2323" s="1098"/>
    </row>
    <row r="2324" spans="53:60" x14ac:dyDescent="0.2">
      <c r="BA2324" s="518">
        <f t="shared" ca="1" si="121"/>
        <v>61</v>
      </c>
      <c r="BB2324" s="174">
        <f t="shared" ca="1" si="122"/>
        <v>2261</v>
      </c>
      <c r="BC2324" s="525" t="e">
        <f ca="1">MATCH(BD2324,OFFSET(Pinlist!$A$2,BC2323*(BA2324=BA2323),0,$BM$23,1),0)+BC2323*(BA2324=BA2323)</f>
        <v>#N/A</v>
      </c>
      <c r="BD2324" s="167">
        <f t="shared" ca="1" si="123"/>
        <v>0</v>
      </c>
      <c r="BE2324" s="191" t="e">
        <f ca="1">(OFFSET(Pinlist!$E$1,BC2324,0)-$BN$16)*$BN$19</f>
        <v>#N/A</v>
      </c>
      <c r="BF2324" s="192" t="e">
        <f ca="1">(OFFSET(Pinlist!$F$1,BC2324,0)-$BO$16)*$BO$19</f>
        <v>#N/A</v>
      </c>
      <c r="BG2324" s="1098" t="str">
        <f ca="1">IF(LEFT(BD2324,2)="RF",OFFSET(Pinlist!$D$1,Chart!BC2324,0)&amp;"_"&amp;OFFSET(Pinlist!$G$1,Chart!BC2324,0),"")</f>
        <v/>
      </c>
      <c r="BH2324" s="1098"/>
    </row>
    <row r="2325" spans="53:60" x14ac:dyDescent="0.2">
      <c r="BA2325" s="518">
        <f t="shared" ca="1" si="121"/>
        <v>61</v>
      </c>
      <c r="BB2325" s="174">
        <f t="shared" ca="1" si="122"/>
        <v>2262</v>
      </c>
      <c r="BC2325" s="525" t="e">
        <f ca="1">MATCH(BD2325,OFFSET(Pinlist!$A$2,BC2324*(BA2325=BA2324),0,$BM$23,1),0)+BC2324*(BA2325=BA2324)</f>
        <v>#N/A</v>
      </c>
      <c r="BD2325" s="167">
        <f t="shared" ca="1" si="123"/>
        <v>0</v>
      </c>
      <c r="BE2325" s="191" t="e">
        <f ca="1">(OFFSET(Pinlist!$E$1,BC2325,0)-$BN$16)*$BN$19</f>
        <v>#N/A</v>
      </c>
      <c r="BF2325" s="192" t="e">
        <f ca="1">(OFFSET(Pinlist!$F$1,BC2325,0)-$BO$16)*$BO$19</f>
        <v>#N/A</v>
      </c>
      <c r="BG2325" s="1098" t="str">
        <f ca="1">IF(LEFT(BD2325,2)="RF",OFFSET(Pinlist!$D$1,Chart!BC2325,0)&amp;"_"&amp;OFFSET(Pinlist!$G$1,Chart!BC2325,0),"")</f>
        <v/>
      </c>
      <c r="BH2325" s="1098"/>
    </row>
    <row r="2326" spans="53:60" x14ac:dyDescent="0.2">
      <c r="BA2326" s="518">
        <f t="shared" ca="1" si="121"/>
        <v>61</v>
      </c>
      <c r="BB2326" s="174">
        <f t="shared" ca="1" si="122"/>
        <v>2263</v>
      </c>
      <c r="BC2326" s="525" t="e">
        <f ca="1">MATCH(BD2326,OFFSET(Pinlist!$A$2,BC2325*(BA2326=BA2325),0,$BM$23,1),0)+BC2325*(BA2326=BA2325)</f>
        <v>#N/A</v>
      </c>
      <c r="BD2326" s="167">
        <f t="shared" ca="1" si="123"/>
        <v>0</v>
      </c>
      <c r="BE2326" s="191" t="e">
        <f ca="1">(OFFSET(Pinlist!$E$1,BC2326,0)-$BN$16)*$BN$19</f>
        <v>#N/A</v>
      </c>
      <c r="BF2326" s="192" t="e">
        <f ca="1">(OFFSET(Pinlist!$F$1,BC2326,0)-$BO$16)*$BO$19</f>
        <v>#N/A</v>
      </c>
      <c r="BG2326" s="1098" t="str">
        <f ca="1">IF(LEFT(BD2326,2)="RF",OFFSET(Pinlist!$D$1,Chart!BC2326,0)&amp;"_"&amp;OFFSET(Pinlist!$G$1,Chart!BC2326,0),"")</f>
        <v/>
      </c>
      <c r="BH2326" s="1098"/>
    </row>
    <row r="2327" spans="53:60" x14ac:dyDescent="0.2">
      <c r="BA2327" s="518">
        <f t="shared" ca="1" si="121"/>
        <v>61</v>
      </c>
      <c r="BB2327" s="174">
        <f t="shared" ca="1" si="122"/>
        <v>2264</v>
      </c>
      <c r="BC2327" s="525" t="e">
        <f ca="1">MATCH(BD2327,OFFSET(Pinlist!$A$2,BC2326*(BA2327=BA2326),0,$BM$23,1),0)+BC2326*(BA2327=BA2326)</f>
        <v>#N/A</v>
      </c>
      <c r="BD2327" s="167">
        <f t="shared" ca="1" si="123"/>
        <v>0</v>
      </c>
      <c r="BE2327" s="191" t="e">
        <f ca="1">(OFFSET(Pinlist!$E$1,BC2327,0)-$BN$16)*$BN$19</f>
        <v>#N/A</v>
      </c>
      <c r="BF2327" s="192" t="e">
        <f ca="1">(OFFSET(Pinlist!$F$1,BC2327,0)-$BO$16)*$BO$19</f>
        <v>#N/A</v>
      </c>
      <c r="BG2327" s="1098" t="str">
        <f ca="1">IF(LEFT(BD2327,2)="RF",OFFSET(Pinlist!$D$1,Chart!BC2327,0)&amp;"_"&amp;OFFSET(Pinlist!$G$1,Chart!BC2327,0),"")</f>
        <v/>
      </c>
      <c r="BH2327" s="1098"/>
    </row>
    <row r="2328" spans="53:60" x14ac:dyDescent="0.2">
      <c r="BA2328" s="518">
        <f t="shared" ca="1" si="121"/>
        <v>61</v>
      </c>
      <c r="BB2328" s="174">
        <f t="shared" ca="1" si="122"/>
        <v>2265</v>
      </c>
      <c r="BC2328" s="525" t="e">
        <f ca="1">MATCH(BD2328,OFFSET(Pinlist!$A$2,BC2327*(BA2328=BA2327),0,$BM$23,1),0)+BC2327*(BA2328=BA2327)</f>
        <v>#N/A</v>
      </c>
      <c r="BD2328" s="167">
        <f t="shared" ca="1" si="123"/>
        <v>0</v>
      </c>
      <c r="BE2328" s="191" t="e">
        <f ca="1">(OFFSET(Pinlist!$E$1,BC2328,0)-$BN$16)*$BN$19</f>
        <v>#N/A</v>
      </c>
      <c r="BF2328" s="192" t="e">
        <f ca="1">(OFFSET(Pinlist!$F$1,BC2328,0)-$BO$16)*$BO$19</f>
        <v>#N/A</v>
      </c>
      <c r="BG2328" s="1098" t="str">
        <f ca="1">IF(LEFT(BD2328,2)="RF",OFFSET(Pinlist!$D$1,Chart!BC2328,0)&amp;"_"&amp;OFFSET(Pinlist!$G$1,Chart!BC2328,0),"")</f>
        <v/>
      </c>
      <c r="BH2328" s="1098"/>
    </row>
    <row r="2329" spans="53:60" x14ac:dyDescent="0.2">
      <c r="BA2329" s="518">
        <f t="shared" ca="1" si="121"/>
        <v>61</v>
      </c>
      <c r="BB2329" s="174">
        <f t="shared" ca="1" si="122"/>
        <v>2266</v>
      </c>
      <c r="BC2329" s="525" t="e">
        <f ca="1">MATCH(BD2329,OFFSET(Pinlist!$A$2,BC2328*(BA2329=BA2328),0,$BM$23,1),0)+BC2328*(BA2329=BA2328)</f>
        <v>#N/A</v>
      </c>
      <c r="BD2329" s="167">
        <f t="shared" ca="1" si="123"/>
        <v>0</v>
      </c>
      <c r="BE2329" s="191" t="e">
        <f ca="1">(OFFSET(Pinlist!$E$1,BC2329,0)-$BN$16)*$BN$19</f>
        <v>#N/A</v>
      </c>
      <c r="BF2329" s="192" t="e">
        <f ca="1">(OFFSET(Pinlist!$F$1,BC2329,0)-$BO$16)*$BO$19</f>
        <v>#N/A</v>
      </c>
      <c r="BG2329" s="1098" t="str">
        <f ca="1">IF(LEFT(BD2329,2)="RF",OFFSET(Pinlist!$D$1,Chart!BC2329,0)&amp;"_"&amp;OFFSET(Pinlist!$G$1,Chart!BC2329,0),"")</f>
        <v/>
      </c>
      <c r="BH2329" s="1098"/>
    </row>
    <row r="2330" spans="53:60" x14ac:dyDescent="0.2">
      <c r="BA2330" s="518">
        <f t="shared" ca="1" si="121"/>
        <v>61</v>
      </c>
      <c r="BB2330" s="174">
        <f t="shared" ca="1" si="122"/>
        <v>2267</v>
      </c>
      <c r="BC2330" s="525" t="e">
        <f ca="1">MATCH(BD2330,OFFSET(Pinlist!$A$2,BC2329*(BA2330=BA2329),0,$BM$23,1),0)+BC2329*(BA2330=BA2329)</f>
        <v>#N/A</v>
      </c>
      <c r="BD2330" s="167">
        <f t="shared" ca="1" si="123"/>
        <v>0</v>
      </c>
      <c r="BE2330" s="191" t="e">
        <f ca="1">(OFFSET(Pinlist!$E$1,BC2330,0)-$BN$16)*$BN$19</f>
        <v>#N/A</v>
      </c>
      <c r="BF2330" s="192" t="e">
        <f ca="1">(OFFSET(Pinlist!$F$1,BC2330,0)-$BO$16)*$BO$19</f>
        <v>#N/A</v>
      </c>
      <c r="BG2330" s="1098" t="str">
        <f ca="1">IF(LEFT(BD2330,2)="RF",OFFSET(Pinlist!$D$1,Chart!BC2330,0)&amp;"_"&amp;OFFSET(Pinlist!$G$1,Chart!BC2330,0),"")</f>
        <v/>
      </c>
      <c r="BH2330" s="1098"/>
    </row>
    <row r="2331" spans="53:60" x14ac:dyDescent="0.2">
      <c r="BA2331" s="518">
        <f t="shared" ca="1" si="121"/>
        <v>61</v>
      </c>
      <c r="BB2331" s="174">
        <f t="shared" ca="1" si="122"/>
        <v>2268</v>
      </c>
      <c r="BC2331" s="525" t="e">
        <f ca="1">MATCH(BD2331,OFFSET(Pinlist!$A$2,BC2330*(BA2331=BA2330),0,$BM$23,1),0)+BC2330*(BA2331=BA2330)</f>
        <v>#N/A</v>
      </c>
      <c r="BD2331" s="167">
        <f t="shared" ca="1" si="123"/>
        <v>0</v>
      </c>
      <c r="BE2331" s="191" t="e">
        <f ca="1">(OFFSET(Pinlist!$E$1,BC2331,0)-$BN$16)*$BN$19</f>
        <v>#N/A</v>
      </c>
      <c r="BF2331" s="192" t="e">
        <f ca="1">(OFFSET(Pinlist!$F$1,BC2331,0)-$BO$16)*$BO$19</f>
        <v>#N/A</v>
      </c>
      <c r="BG2331" s="1098" t="str">
        <f ca="1">IF(LEFT(BD2331,2)="RF",OFFSET(Pinlist!$D$1,Chart!BC2331,0)&amp;"_"&amp;OFFSET(Pinlist!$G$1,Chart!BC2331,0),"")</f>
        <v/>
      </c>
      <c r="BH2331" s="1098"/>
    </row>
    <row r="2332" spans="53:60" x14ac:dyDescent="0.2">
      <c r="BA2332" s="518">
        <f t="shared" ca="1" si="121"/>
        <v>61</v>
      </c>
      <c r="BB2332" s="174">
        <f t="shared" ca="1" si="122"/>
        <v>2269</v>
      </c>
      <c r="BC2332" s="525" t="e">
        <f ca="1">MATCH(BD2332,OFFSET(Pinlist!$A$2,BC2331*(BA2332=BA2331),0,$BM$23,1),0)+BC2331*(BA2332=BA2331)</f>
        <v>#N/A</v>
      </c>
      <c r="BD2332" s="167">
        <f t="shared" ca="1" si="123"/>
        <v>0</v>
      </c>
      <c r="BE2332" s="191" t="e">
        <f ca="1">(OFFSET(Pinlist!$E$1,BC2332,0)-$BN$16)*$BN$19</f>
        <v>#N/A</v>
      </c>
      <c r="BF2332" s="192" t="e">
        <f ca="1">(OFFSET(Pinlist!$F$1,BC2332,0)-$BO$16)*$BO$19</f>
        <v>#N/A</v>
      </c>
      <c r="BG2332" s="1098" t="str">
        <f ca="1">IF(LEFT(BD2332,2)="RF",OFFSET(Pinlist!$D$1,Chart!BC2332,0)&amp;"_"&amp;OFFSET(Pinlist!$G$1,Chart!BC2332,0),"")</f>
        <v/>
      </c>
      <c r="BH2332" s="1098"/>
    </row>
    <row r="2333" spans="53:60" x14ac:dyDescent="0.2">
      <c r="BA2333" s="518">
        <f t="shared" ca="1" si="121"/>
        <v>61</v>
      </c>
      <c r="BB2333" s="174">
        <f t="shared" ca="1" si="122"/>
        <v>2270</v>
      </c>
      <c r="BC2333" s="525" t="e">
        <f ca="1">MATCH(BD2333,OFFSET(Pinlist!$A$2,BC2332*(BA2333=BA2332),0,$BM$23,1),0)+BC2332*(BA2333=BA2332)</f>
        <v>#N/A</v>
      </c>
      <c r="BD2333" s="167">
        <f t="shared" ca="1" si="123"/>
        <v>0</v>
      </c>
      <c r="BE2333" s="191" t="e">
        <f ca="1">(OFFSET(Pinlist!$E$1,BC2333,0)-$BN$16)*$BN$19</f>
        <v>#N/A</v>
      </c>
      <c r="BF2333" s="192" t="e">
        <f ca="1">(OFFSET(Pinlist!$F$1,BC2333,0)-$BO$16)*$BO$19</f>
        <v>#N/A</v>
      </c>
      <c r="BG2333" s="1098" t="str">
        <f ca="1">IF(LEFT(BD2333,2)="RF",OFFSET(Pinlist!$D$1,Chart!BC2333,0)&amp;"_"&amp;OFFSET(Pinlist!$G$1,Chart!BC2333,0),"")</f>
        <v/>
      </c>
      <c r="BH2333" s="1098"/>
    </row>
    <row r="2334" spans="53:60" x14ac:dyDescent="0.2">
      <c r="BA2334" s="518">
        <f t="shared" ca="1" si="121"/>
        <v>61</v>
      </c>
      <c r="BB2334" s="174">
        <f t="shared" ca="1" si="122"/>
        <v>2271</v>
      </c>
      <c r="BC2334" s="525" t="e">
        <f ca="1">MATCH(BD2334,OFFSET(Pinlist!$A$2,BC2333*(BA2334=BA2333),0,$BM$23,1),0)+BC2333*(BA2334=BA2333)</f>
        <v>#N/A</v>
      </c>
      <c r="BD2334" s="167">
        <f t="shared" ca="1" si="123"/>
        <v>0</v>
      </c>
      <c r="BE2334" s="191" t="e">
        <f ca="1">(OFFSET(Pinlist!$E$1,BC2334,0)-$BN$16)*$BN$19</f>
        <v>#N/A</v>
      </c>
      <c r="BF2334" s="192" t="e">
        <f ca="1">(OFFSET(Pinlist!$F$1,BC2334,0)-$BO$16)*$BO$19</f>
        <v>#N/A</v>
      </c>
      <c r="BG2334" s="1098" t="str">
        <f ca="1">IF(LEFT(BD2334,2)="RF",OFFSET(Pinlist!$D$1,Chart!BC2334,0)&amp;"_"&amp;OFFSET(Pinlist!$G$1,Chart!BC2334,0),"")</f>
        <v/>
      </c>
      <c r="BH2334" s="1098"/>
    </row>
    <row r="2335" spans="53:60" x14ac:dyDescent="0.2">
      <c r="BA2335" s="518">
        <f t="shared" ca="1" si="121"/>
        <v>61</v>
      </c>
      <c r="BB2335" s="174">
        <f t="shared" ca="1" si="122"/>
        <v>2272</v>
      </c>
      <c r="BC2335" s="525" t="e">
        <f ca="1">MATCH(BD2335,OFFSET(Pinlist!$A$2,BC2334*(BA2335=BA2334),0,$BM$23,1),0)+BC2334*(BA2335=BA2334)</f>
        <v>#N/A</v>
      </c>
      <c r="BD2335" s="167">
        <f t="shared" ca="1" si="123"/>
        <v>0</v>
      </c>
      <c r="BE2335" s="191" t="e">
        <f ca="1">(OFFSET(Pinlist!$E$1,BC2335,0)-$BN$16)*$BN$19</f>
        <v>#N/A</v>
      </c>
      <c r="BF2335" s="192" t="e">
        <f ca="1">(OFFSET(Pinlist!$F$1,BC2335,0)-$BO$16)*$BO$19</f>
        <v>#N/A</v>
      </c>
      <c r="BG2335" s="1098" t="str">
        <f ca="1">IF(LEFT(BD2335,2)="RF",OFFSET(Pinlist!$D$1,Chart!BC2335,0)&amp;"_"&amp;OFFSET(Pinlist!$G$1,Chart!BC2335,0),"")</f>
        <v/>
      </c>
      <c r="BH2335" s="1098"/>
    </row>
    <row r="2336" spans="53:60" x14ac:dyDescent="0.2">
      <c r="BA2336" s="518">
        <f t="shared" ca="1" si="121"/>
        <v>61</v>
      </c>
      <c r="BB2336" s="174">
        <f t="shared" ca="1" si="122"/>
        <v>2273</v>
      </c>
      <c r="BC2336" s="525" t="e">
        <f ca="1">MATCH(BD2336,OFFSET(Pinlist!$A$2,BC2335*(BA2336=BA2335),0,$BM$23,1),0)+BC2335*(BA2336=BA2335)</f>
        <v>#N/A</v>
      </c>
      <c r="BD2336" s="167">
        <f t="shared" ca="1" si="123"/>
        <v>0</v>
      </c>
      <c r="BE2336" s="191" t="e">
        <f ca="1">(OFFSET(Pinlist!$E$1,BC2336,0)-$BN$16)*$BN$19</f>
        <v>#N/A</v>
      </c>
      <c r="BF2336" s="192" t="e">
        <f ca="1">(OFFSET(Pinlist!$F$1,BC2336,0)-$BO$16)*$BO$19</f>
        <v>#N/A</v>
      </c>
      <c r="BG2336" s="1098" t="str">
        <f ca="1">IF(LEFT(BD2336,2)="RF",OFFSET(Pinlist!$D$1,Chart!BC2336,0)&amp;"_"&amp;OFFSET(Pinlist!$G$1,Chart!BC2336,0),"")</f>
        <v/>
      </c>
      <c r="BH2336" s="1098"/>
    </row>
    <row r="2337" spans="53:60" x14ac:dyDescent="0.2">
      <c r="BA2337" s="518">
        <f t="shared" ca="1" si="121"/>
        <v>61</v>
      </c>
      <c r="BB2337" s="174">
        <f t="shared" ca="1" si="122"/>
        <v>2274</v>
      </c>
      <c r="BC2337" s="525" t="e">
        <f ca="1">MATCH(BD2337,OFFSET(Pinlist!$A$2,BC2336*(BA2337=BA2336),0,$BM$23,1),0)+BC2336*(BA2337=BA2336)</f>
        <v>#N/A</v>
      </c>
      <c r="BD2337" s="167">
        <f t="shared" ca="1" si="123"/>
        <v>0</v>
      </c>
      <c r="BE2337" s="191" t="e">
        <f ca="1">(OFFSET(Pinlist!$E$1,BC2337,0)-$BN$16)*$BN$19</f>
        <v>#N/A</v>
      </c>
      <c r="BF2337" s="192" t="e">
        <f ca="1">(OFFSET(Pinlist!$F$1,BC2337,0)-$BO$16)*$BO$19</f>
        <v>#N/A</v>
      </c>
      <c r="BG2337" s="1098" t="str">
        <f ca="1">IF(LEFT(BD2337,2)="RF",OFFSET(Pinlist!$D$1,Chart!BC2337,0)&amp;"_"&amp;OFFSET(Pinlist!$G$1,Chart!BC2337,0),"")</f>
        <v/>
      </c>
      <c r="BH2337" s="1098"/>
    </row>
    <row r="2338" spans="53:60" x14ac:dyDescent="0.2">
      <c r="BA2338" s="518">
        <f t="shared" ca="1" si="121"/>
        <v>61</v>
      </c>
      <c r="BB2338" s="174">
        <f t="shared" ca="1" si="122"/>
        <v>2275</v>
      </c>
      <c r="BC2338" s="525" t="e">
        <f ca="1">MATCH(BD2338,OFFSET(Pinlist!$A$2,BC2337*(BA2338=BA2337),0,$BM$23,1),0)+BC2337*(BA2338=BA2337)</f>
        <v>#N/A</v>
      </c>
      <c r="BD2338" s="167">
        <f t="shared" ca="1" si="123"/>
        <v>0</v>
      </c>
      <c r="BE2338" s="191" t="e">
        <f ca="1">(OFFSET(Pinlist!$E$1,BC2338,0)-$BN$16)*$BN$19</f>
        <v>#N/A</v>
      </c>
      <c r="BF2338" s="192" t="e">
        <f ca="1">(OFFSET(Pinlist!$F$1,BC2338,0)-$BO$16)*$BO$19</f>
        <v>#N/A</v>
      </c>
      <c r="BG2338" s="1098" t="str">
        <f ca="1">IF(LEFT(BD2338,2)="RF",OFFSET(Pinlist!$D$1,Chart!BC2338,0)&amp;"_"&amp;OFFSET(Pinlist!$G$1,Chart!BC2338,0),"")</f>
        <v/>
      </c>
      <c r="BH2338" s="1098"/>
    </row>
    <row r="2339" spans="53:60" x14ac:dyDescent="0.2">
      <c r="BA2339" s="518">
        <f t="shared" ca="1" si="121"/>
        <v>61</v>
      </c>
      <c r="BB2339" s="174">
        <f t="shared" ca="1" si="122"/>
        <v>2276</v>
      </c>
      <c r="BC2339" s="525" t="e">
        <f ca="1">MATCH(BD2339,OFFSET(Pinlist!$A$2,BC2338*(BA2339=BA2338),0,$BM$23,1),0)+BC2338*(BA2339=BA2338)</f>
        <v>#N/A</v>
      </c>
      <c r="BD2339" s="167">
        <f t="shared" ca="1" si="123"/>
        <v>0</v>
      </c>
      <c r="BE2339" s="191" t="e">
        <f ca="1">(OFFSET(Pinlist!$E$1,BC2339,0)-$BN$16)*$BN$19</f>
        <v>#N/A</v>
      </c>
      <c r="BF2339" s="192" t="e">
        <f ca="1">(OFFSET(Pinlist!$F$1,BC2339,0)-$BO$16)*$BO$19</f>
        <v>#N/A</v>
      </c>
      <c r="BG2339" s="1098" t="str">
        <f ca="1">IF(LEFT(BD2339,2)="RF",OFFSET(Pinlist!$D$1,Chart!BC2339,0)&amp;"_"&amp;OFFSET(Pinlist!$G$1,Chart!BC2339,0),"")</f>
        <v/>
      </c>
      <c r="BH2339" s="1098"/>
    </row>
    <row r="2340" spans="53:60" x14ac:dyDescent="0.2">
      <c r="BA2340" s="518">
        <f t="shared" ca="1" si="121"/>
        <v>61</v>
      </c>
      <c r="BB2340" s="174">
        <f t="shared" ca="1" si="122"/>
        <v>2277</v>
      </c>
      <c r="BC2340" s="525" t="e">
        <f ca="1">MATCH(BD2340,OFFSET(Pinlist!$A$2,BC2339*(BA2340=BA2339),0,$BM$23,1),0)+BC2339*(BA2340=BA2339)</f>
        <v>#N/A</v>
      </c>
      <c r="BD2340" s="167">
        <f t="shared" ca="1" si="123"/>
        <v>0</v>
      </c>
      <c r="BE2340" s="191" t="e">
        <f ca="1">(OFFSET(Pinlist!$E$1,BC2340,0)-$BN$16)*$BN$19</f>
        <v>#N/A</v>
      </c>
      <c r="BF2340" s="192" t="e">
        <f ca="1">(OFFSET(Pinlist!$F$1,BC2340,0)-$BO$16)*$BO$19</f>
        <v>#N/A</v>
      </c>
      <c r="BG2340" s="1098" t="str">
        <f ca="1">IF(LEFT(BD2340,2)="RF",OFFSET(Pinlist!$D$1,Chart!BC2340,0)&amp;"_"&amp;OFFSET(Pinlist!$G$1,Chart!BC2340,0),"")</f>
        <v/>
      </c>
      <c r="BH2340" s="1098"/>
    </row>
    <row r="2341" spans="53:60" x14ac:dyDescent="0.2">
      <c r="BA2341" s="518">
        <f t="shared" ca="1" si="121"/>
        <v>61</v>
      </c>
      <c r="BB2341" s="174">
        <f t="shared" ca="1" si="122"/>
        <v>2278</v>
      </c>
      <c r="BC2341" s="525" t="e">
        <f ca="1">MATCH(BD2341,OFFSET(Pinlist!$A$2,BC2340*(BA2341=BA2340),0,$BM$23,1),0)+BC2340*(BA2341=BA2340)</f>
        <v>#N/A</v>
      </c>
      <c r="BD2341" s="167">
        <f t="shared" ca="1" si="123"/>
        <v>0</v>
      </c>
      <c r="BE2341" s="191" t="e">
        <f ca="1">(OFFSET(Pinlist!$E$1,BC2341,0)-$BN$16)*$BN$19</f>
        <v>#N/A</v>
      </c>
      <c r="BF2341" s="192" t="e">
        <f ca="1">(OFFSET(Pinlist!$F$1,BC2341,0)-$BO$16)*$BO$19</f>
        <v>#N/A</v>
      </c>
      <c r="BG2341" s="1098" t="str">
        <f ca="1">IF(LEFT(BD2341,2)="RF",OFFSET(Pinlist!$D$1,Chart!BC2341,0)&amp;"_"&amp;OFFSET(Pinlist!$G$1,Chart!BC2341,0),"")</f>
        <v/>
      </c>
      <c r="BH2341" s="1098"/>
    </row>
    <row r="2342" spans="53:60" x14ac:dyDescent="0.2">
      <c r="BA2342" s="518">
        <f t="shared" ca="1" si="121"/>
        <v>61</v>
      </c>
      <c r="BB2342" s="174">
        <f t="shared" ca="1" si="122"/>
        <v>2279</v>
      </c>
      <c r="BC2342" s="525" t="e">
        <f ca="1">MATCH(BD2342,OFFSET(Pinlist!$A$2,BC2341*(BA2342=BA2341),0,$BM$23,1),0)+BC2341*(BA2342=BA2341)</f>
        <v>#N/A</v>
      </c>
      <c r="BD2342" s="167">
        <f t="shared" ca="1" si="123"/>
        <v>0</v>
      </c>
      <c r="BE2342" s="191" t="e">
        <f ca="1">(OFFSET(Pinlist!$E$1,BC2342,0)-$BN$16)*$BN$19</f>
        <v>#N/A</v>
      </c>
      <c r="BF2342" s="192" t="e">
        <f ca="1">(OFFSET(Pinlist!$F$1,BC2342,0)-$BO$16)*$BO$19</f>
        <v>#N/A</v>
      </c>
      <c r="BG2342" s="1098" t="str">
        <f ca="1">IF(LEFT(BD2342,2)="RF",OFFSET(Pinlist!$D$1,Chart!BC2342,0)&amp;"_"&amp;OFFSET(Pinlist!$G$1,Chart!BC2342,0),"")</f>
        <v/>
      </c>
      <c r="BH2342" s="1098"/>
    </row>
    <row r="2343" spans="53:60" x14ac:dyDescent="0.2">
      <c r="BA2343" s="518">
        <f t="shared" ca="1" si="121"/>
        <v>61</v>
      </c>
      <c r="BB2343" s="174">
        <f t="shared" ca="1" si="122"/>
        <v>2280</v>
      </c>
      <c r="BC2343" s="525" t="e">
        <f ca="1">MATCH(BD2343,OFFSET(Pinlist!$A$2,BC2342*(BA2343=BA2342),0,$BM$23,1),0)+BC2342*(BA2343=BA2342)</f>
        <v>#N/A</v>
      </c>
      <c r="BD2343" s="167">
        <f t="shared" ca="1" si="123"/>
        <v>0</v>
      </c>
      <c r="BE2343" s="191" t="e">
        <f ca="1">(OFFSET(Pinlist!$E$1,BC2343,0)-$BN$16)*$BN$19</f>
        <v>#N/A</v>
      </c>
      <c r="BF2343" s="192" t="e">
        <f ca="1">(OFFSET(Pinlist!$F$1,BC2343,0)-$BO$16)*$BO$19</f>
        <v>#N/A</v>
      </c>
      <c r="BG2343" s="1098" t="str">
        <f ca="1">IF(LEFT(BD2343,2)="RF",OFFSET(Pinlist!$D$1,Chart!BC2343,0)&amp;"_"&amp;OFFSET(Pinlist!$G$1,Chart!BC2343,0),"")</f>
        <v/>
      </c>
      <c r="BH2343" s="1098"/>
    </row>
    <row r="2344" spans="53:60" x14ac:dyDescent="0.2">
      <c r="BA2344" s="518">
        <f t="shared" ca="1" si="121"/>
        <v>61</v>
      </c>
      <c r="BB2344" s="174">
        <f t="shared" ca="1" si="122"/>
        <v>2281</v>
      </c>
      <c r="BC2344" s="525" t="e">
        <f ca="1">MATCH(BD2344,OFFSET(Pinlist!$A$2,BC2343*(BA2344=BA2343),0,$BM$23,1),0)+BC2343*(BA2344=BA2343)</f>
        <v>#N/A</v>
      </c>
      <c r="BD2344" s="167">
        <f t="shared" ca="1" si="123"/>
        <v>0</v>
      </c>
      <c r="BE2344" s="191" t="e">
        <f ca="1">(OFFSET(Pinlist!$E$1,BC2344,0)-$BN$16)*$BN$19</f>
        <v>#N/A</v>
      </c>
      <c r="BF2344" s="192" t="e">
        <f ca="1">(OFFSET(Pinlist!$F$1,BC2344,0)-$BO$16)*$BO$19</f>
        <v>#N/A</v>
      </c>
      <c r="BG2344" s="1098" t="str">
        <f ca="1">IF(LEFT(BD2344,2)="RF",OFFSET(Pinlist!$D$1,Chart!BC2344,0)&amp;"_"&amp;OFFSET(Pinlist!$G$1,Chart!BC2344,0),"")</f>
        <v/>
      </c>
      <c r="BH2344" s="1098"/>
    </row>
    <row r="2345" spans="53:60" x14ac:dyDescent="0.2">
      <c r="BA2345" s="518">
        <f t="shared" ca="1" si="121"/>
        <v>61</v>
      </c>
      <c r="BB2345" s="174">
        <f t="shared" ca="1" si="122"/>
        <v>2282</v>
      </c>
      <c r="BC2345" s="525" t="e">
        <f ca="1">MATCH(BD2345,OFFSET(Pinlist!$A$2,BC2344*(BA2345=BA2344),0,$BM$23,1),0)+BC2344*(BA2345=BA2344)</f>
        <v>#N/A</v>
      </c>
      <c r="BD2345" s="167">
        <f t="shared" ca="1" si="123"/>
        <v>0</v>
      </c>
      <c r="BE2345" s="191" t="e">
        <f ca="1">(OFFSET(Pinlist!$E$1,BC2345,0)-$BN$16)*$BN$19</f>
        <v>#N/A</v>
      </c>
      <c r="BF2345" s="192" t="e">
        <f ca="1">(OFFSET(Pinlist!$F$1,BC2345,0)-$BO$16)*$BO$19</f>
        <v>#N/A</v>
      </c>
      <c r="BG2345" s="1098" t="str">
        <f ca="1">IF(LEFT(BD2345,2)="RF",OFFSET(Pinlist!$D$1,Chart!BC2345,0)&amp;"_"&amp;OFFSET(Pinlist!$G$1,Chart!BC2345,0),"")</f>
        <v/>
      </c>
      <c r="BH2345" s="1098"/>
    </row>
    <row r="2346" spans="53:60" x14ac:dyDescent="0.2">
      <c r="BA2346" s="518">
        <f t="shared" ca="1" si="121"/>
        <v>61</v>
      </c>
      <c r="BB2346" s="174">
        <f t="shared" ca="1" si="122"/>
        <v>2283</v>
      </c>
      <c r="BC2346" s="525" t="e">
        <f ca="1">MATCH(BD2346,OFFSET(Pinlist!$A$2,BC2345*(BA2346=BA2345),0,$BM$23,1),0)+BC2345*(BA2346=BA2345)</f>
        <v>#N/A</v>
      </c>
      <c r="BD2346" s="167">
        <f t="shared" ca="1" si="123"/>
        <v>0</v>
      </c>
      <c r="BE2346" s="191" t="e">
        <f ca="1">(OFFSET(Pinlist!$E$1,BC2346,0)-$BN$16)*$BN$19</f>
        <v>#N/A</v>
      </c>
      <c r="BF2346" s="192" t="e">
        <f ca="1">(OFFSET(Pinlist!$F$1,BC2346,0)-$BO$16)*$BO$19</f>
        <v>#N/A</v>
      </c>
      <c r="BG2346" s="1098" t="str">
        <f ca="1">IF(LEFT(BD2346,2)="RF",OFFSET(Pinlist!$D$1,Chart!BC2346,0)&amp;"_"&amp;OFFSET(Pinlist!$G$1,Chart!BC2346,0),"")</f>
        <v/>
      </c>
      <c r="BH2346" s="1098"/>
    </row>
    <row r="2347" spans="53:60" x14ac:dyDescent="0.2">
      <c r="BA2347" s="518">
        <f t="shared" ca="1" si="121"/>
        <v>61</v>
      </c>
      <c r="BB2347" s="174">
        <f t="shared" ca="1" si="122"/>
        <v>2284</v>
      </c>
      <c r="BC2347" s="525" t="e">
        <f ca="1">MATCH(BD2347,OFFSET(Pinlist!$A$2,BC2346*(BA2347=BA2346),0,$BM$23,1),0)+BC2346*(BA2347=BA2346)</f>
        <v>#N/A</v>
      </c>
      <c r="BD2347" s="167">
        <f t="shared" ca="1" si="123"/>
        <v>0</v>
      </c>
      <c r="BE2347" s="191" t="e">
        <f ca="1">(OFFSET(Pinlist!$E$1,BC2347,0)-$BN$16)*$BN$19</f>
        <v>#N/A</v>
      </c>
      <c r="BF2347" s="192" t="e">
        <f ca="1">(OFFSET(Pinlist!$F$1,BC2347,0)-$BO$16)*$BO$19</f>
        <v>#N/A</v>
      </c>
      <c r="BG2347" s="1098" t="str">
        <f ca="1">IF(LEFT(BD2347,2)="RF",OFFSET(Pinlist!$D$1,Chart!BC2347,0)&amp;"_"&amp;OFFSET(Pinlist!$G$1,Chart!BC2347,0),"")</f>
        <v/>
      </c>
      <c r="BH2347" s="1098"/>
    </row>
    <row r="2348" spans="53:60" x14ac:dyDescent="0.2">
      <c r="BA2348" s="518">
        <f t="shared" ca="1" si="121"/>
        <v>61</v>
      </c>
      <c r="BB2348" s="174">
        <f t="shared" ca="1" si="122"/>
        <v>2285</v>
      </c>
      <c r="BC2348" s="525" t="e">
        <f ca="1">MATCH(BD2348,OFFSET(Pinlist!$A$2,BC2347*(BA2348=BA2347),0,$BM$23,1),0)+BC2347*(BA2348=BA2347)</f>
        <v>#N/A</v>
      </c>
      <c r="BD2348" s="167">
        <f t="shared" ca="1" si="123"/>
        <v>0</v>
      </c>
      <c r="BE2348" s="191" t="e">
        <f ca="1">(OFFSET(Pinlist!$E$1,BC2348,0)-$BN$16)*$BN$19</f>
        <v>#N/A</v>
      </c>
      <c r="BF2348" s="192" t="e">
        <f ca="1">(OFFSET(Pinlist!$F$1,BC2348,0)-$BO$16)*$BO$19</f>
        <v>#N/A</v>
      </c>
      <c r="BG2348" s="1098" t="str">
        <f ca="1">IF(LEFT(BD2348,2)="RF",OFFSET(Pinlist!$D$1,Chart!BC2348,0)&amp;"_"&amp;OFFSET(Pinlist!$G$1,Chart!BC2348,0),"")</f>
        <v/>
      </c>
      <c r="BH2348" s="1098"/>
    </row>
    <row r="2349" spans="53:60" x14ac:dyDescent="0.2">
      <c r="BA2349" s="518">
        <f t="shared" ca="1" si="121"/>
        <v>61</v>
      </c>
      <c r="BB2349" s="174">
        <f t="shared" ca="1" si="122"/>
        <v>2286</v>
      </c>
      <c r="BC2349" s="525" t="e">
        <f ca="1">MATCH(BD2349,OFFSET(Pinlist!$A$2,BC2348*(BA2349=BA2348),0,$BM$23,1),0)+BC2348*(BA2349=BA2348)</f>
        <v>#N/A</v>
      </c>
      <c r="BD2349" s="167">
        <f t="shared" ca="1" si="123"/>
        <v>0</v>
      </c>
      <c r="BE2349" s="191" t="e">
        <f ca="1">(OFFSET(Pinlist!$E$1,BC2349,0)-$BN$16)*$BN$19</f>
        <v>#N/A</v>
      </c>
      <c r="BF2349" s="192" t="e">
        <f ca="1">(OFFSET(Pinlist!$F$1,BC2349,0)-$BO$16)*$BO$19</f>
        <v>#N/A</v>
      </c>
      <c r="BG2349" s="1098" t="str">
        <f ca="1">IF(LEFT(BD2349,2)="RF",OFFSET(Pinlist!$D$1,Chart!BC2349,0)&amp;"_"&amp;OFFSET(Pinlist!$G$1,Chart!BC2349,0),"")</f>
        <v/>
      </c>
      <c r="BH2349" s="1098"/>
    </row>
    <row r="2350" spans="53:60" x14ac:dyDescent="0.2">
      <c r="BA2350" s="518">
        <f t="shared" ca="1" si="121"/>
        <v>61</v>
      </c>
      <c r="BB2350" s="174">
        <f t="shared" ca="1" si="122"/>
        <v>2287</v>
      </c>
      <c r="BC2350" s="525" t="e">
        <f ca="1">MATCH(BD2350,OFFSET(Pinlist!$A$2,BC2349*(BA2350=BA2349),0,$BM$23,1),0)+BC2349*(BA2350=BA2349)</f>
        <v>#N/A</v>
      </c>
      <c r="BD2350" s="167">
        <f t="shared" ca="1" si="123"/>
        <v>0</v>
      </c>
      <c r="BE2350" s="191" t="e">
        <f ca="1">(OFFSET(Pinlist!$E$1,BC2350,0)-$BN$16)*$BN$19</f>
        <v>#N/A</v>
      </c>
      <c r="BF2350" s="192" t="e">
        <f ca="1">(OFFSET(Pinlist!$F$1,BC2350,0)-$BO$16)*$BO$19</f>
        <v>#N/A</v>
      </c>
      <c r="BG2350" s="1098" t="str">
        <f ca="1">IF(LEFT(BD2350,2)="RF",OFFSET(Pinlist!$D$1,Chart!BC2350,0)&amp;"_"&amp;OFFSET(Pinlist!$G$1,Chart!BC2350,0),"")</f>
        <v/>
      </c>
      <c r="BH2350" s="1098"/>
    </row>
    <row r="2351" spans="53:60" x14ac:dyDescent="0.2">
      <c r="BA2351" s="518">
        <f t="shared" ca="1" si="121"/>
        <v>61</v>
      </c>
      <c r="BB2351" s="174">
        <f t="shared" ca="1" si="122"/>
        <v>2288</v>
      </c>
      <c r="BC2351" s="525" t="e">
        <f ca="1">MATCH(BD2351,OFFSET(Pinlist!$A$2,BC2350*(BA2351=BA2350),0,$BM$23,1),0)+BC2350*(BA2351=BA2350)</f>
        <v>#N/A</v>
      </c>
      <c r="BD2351" s="167">
        <f t="shared" ca="1" si="123"/>
        <v>0</v>
      </c>
      <c r="BE2351" s="191" t="e">
        <f ca="1">(OFFSET(Pinlist!$E$1,BC2351,0)-$BN$16)*$BN$19</f>
        <v>#N/A</v>
      </c>
      <c r="BF2351" s="192" t="e">
        <f ca="1">(OFFSET(Pinlist!$F$1,BC2351,0)-$BO$16)*$BO$19</f>
        <v>#N/A</v>
      </c>
      <c r="BG2351" s="1098" t="str">
        <f ca="1">IF(LEFT(BD2351,2)="RF",OFFSET(Pinlist!$D$1,Chart!BC2351,0)&amp;"_"&amp;OFFSET(Pinlist!$G$1,Chart!BC2351,0),"")</f>
        <v/>
      </c>
      <c r="BH2351" s="1098"/>
    </row>
    <row r="2352" spans="53:60" x14ac:dyDescent="0.2">
      <c r="BA2352" s="518">
        <f t="shared" ca="1" si="121"/>
        <v>61</v>
      </c>
      <c r="BB2352" s="174">
        <f t="shared" ca="1" si="122"/>
        <v>2289</v>
      </c>
      <c r="BC2352" s="525" t="e">
        <f ca="1">MATCH(BD2352,OFFSET(Pinlist!$A$2,BC2351*(BA2352=BA2351),0,$BM$23,1),0)+BC2351*(BA2352=BA2351)</f>
        <v>#N/A</v>
      </c>
      <c r="BD2352" s="167">
        <f t="shared" ca="1" si="123"/>
        <v>0</v>
      </c>
      <c r="BE2352" s="191" t="e">
        <f ca="1">(OFFSET(Pinlist!$E$1,BC2352,0)-$BN$16)*$BN$19</f>
        <v>#N/A</v>
      </c>
      <c r="BF2352" s="192" t="e">
        <f ca="1">(OFFSET(Pinlist!$F$1,BC2352,0)-$BO$16)*$BO$19</f>
        <v>#N/A</v>
      </c>
      <c r="BG2352" s="1098" t="str">
        <f ca="1">IF(LEFT(BD2352,2)="RF",OFFSET(Pinlist!$D$1,Chart!BC2352,0)&amp;"_"&amp;OFFSET(Pinlist!$G$1,Chart!BC2352,0),"")</f>
        <v/>
      </c>
      <c r="BH2352" s="1098"/>
    </row>
    <row r="2353" spans="53:60" x14ac:dyDescent="0.2">
      <c r="BA2353" s="518">
        <f t="shared" ca="1" si="121"/>
        <v>61</v>
      </c>
      <c r="BB2353" s="174">
        <f t="shared" ca="1" si="122"/>
        <v>2290</v>
      </c>
      <c r="BC2353" s="525" t="e">
        <f ca="1">MATCH(BD2353,OFFSET(Pinlist!$A$2,BC2352*(BA2353=BA2352),0,$BM$23,1),0)+BC2352*(BA2353=BA2352)</f>
        <v>#N/A</v>
      </c>
      <c r="BD2353" s="167">
        <f t="shared" ca="1" si="123"/>
        <v>0</v>
      </c>
      <c r="BE2353" s="191" t="e">
        <f ca="1">(OFFSET(Pinlist!$E$1,BC2353,0)-$BN$16)*$BN$19</f>
        <v>#N/A</v>
      </c>
      <c r="BF2353" s="192" t="e">
        <f ca="1">(OFFSET(Pinlist!$F$1,BC2353,0)-$BO$16)*$BO$19</f>
        <v>#N/A</v>
      </c>
      <c r="BG2353" s="1098" t="str">
        <f ca="1">IF(LEFT(BD2353,2)="RF",OFFSET(Pinlist!$D$1,Chart!BC2353,0)&amp;"_"&amp;OFFSET(Pinlist!$G$1,Chart!BC2353,0),"")</f>
        <v/>
      </c>
      <c r="BH2353" s="1098"/>
    </row>
    <row r="2354" spans="53:60" x14ac:dyDescent="0.2">
      <c r="BA2354" s="518">
        <f t="shared" ca="1" si="121"/>
        <v>61</v>
      </c>
      <c r="BB2354" s="174">
        <f t="shared" ca="1" si="122"/>
        <v>2291</v>
      </c>
      <c r="BC2354" s="525" t="e">
        <f ca="1">MATCH(BD2354,OFFSET(Pinlist!$A$2,BC2353*(BA2354=BA2353),0,$BM$23,1),0)+BC2353*(BA2354=BA2353)</f>
        <v>#N/A</v>
      </c>
      <c r="BD2354" s="167">
        <f t="shared" ca="1" si="123"/>
        <v>0</v>
      </c>
      <c r="BE2354" s="191" t="e">
        <f ca="1">(OFFSET(Pinlist!$E$1,BC2354,0)-$BN$16)*$BN$19</f>
        <v>#N/A</v>
      </c>
      <c r="BF2354" s="192" t="e">
        <f ca="1">(OFFSET(Pinlist!$F$1,BC2354,0)-$BO$16)*$BO$19</f>
        <v>#N/A</v>
      </c>
      <c r="BG2354" s="1098" t="str">
        <f ca="1">IF(LEFT(BD2354,2)="RF",OFFSET(Pinlist!$D$1,Chart!BC2354,0)&amp;"_"&amp;OFFSET(Pinlist!$G$1,Chart!BC2354,0),"")</f>
        <v/>
      </c>
      <c r="BH2354" s="1098"/>
    </row>
    <row r="2355" spans="53:60" x14ac:dyDescent="0.2">
      <c r="BA2355" s="518">
        <f t="shared" ca="1" si="121"/>
        <v>61</v>
      </c>
      <c r="BB2355" s="174">
        <f t="shared" ca="1" si="122"/>
        <v>2292</v>
      </c>
      <c r="BC2355" s="525" t="e">
        <f ca="1">MATCH(BD2355,OFFSET(Pinlist!$A$2,BC2354*(BA2355=BA2354),0,$BM$23,1),0)+BC2354*(BA2355=BA2354)</f>
        <v>#N/A</v>
      </c>
      <c r="BD2355" s="167">
        <f t="shared" ca="1" si="123"/>
        <v>0</v>
      </c>
      <c r="BE2355" s="191" t="e">
        <f ca="1">(OFFSET(Pinlist!$E$1,BC2355,0)-$BN$16)*$BN$19</f>
        <v>#N/A</v>
      </c>
      <c r="BF2355" s="192" t="e">
        <f ca="1">(OFFSET(Pinlist!$F$1,BC2355,0)-$BO$16)*$BO$19</f>
        <v>#N/A</v>
      </c>
      <c r="BG2355" s="1098" t="str">
        <f ca="1">IF(LEFT(BD2355,2)="RF",OFFSET(Pinlist!$D$1,Chart!BC2355,0)&amp;"_"&amp;OFFSET(Pinlist!$G$1,Chart!BC2355,0),"")</f>
        <v/>
      </c>
      <c r="BH2355" s="1098"/>
    </row>
    <row r="2356" spans="53:60" x14ac:dyDescent="0.2">
      <c r="BA2356" s="518">
        <f t="shared" ca="1" si="121"/>
        <v>61</v>
      </c>
      <c r="BB2356" s="174">
        <f t="shared" ca="1" si="122"/>
        <v>2293</v>
      </c>
      <c r="BC2356" s="525" t="e">
        <f ca="1">MATCH(BD2356,OFFSET(Pinlist!$A$2,BC2355*(BA2356=BA2355),0,$BM$23,1),0)+BC2355*(BA2356=BA2355)</f>
        <v>#N/A</v>
      </c>
      <c r="BD2356" s="167">
        <f t="shared" ca="1" si="123"/>
        <v>0</v>
      </c>
      <c r="BE2356" s="191" t="e">
        <f ca="1">(OFFSET(Pinlist!$E$1,BC2356,0)-$BN$16)*$BN$19</f>
        <v>#N/A</v>
      </c>
      <c r="BF2356" s="192" t="e">
        <f ca="1">(OFFSET(Pinlist!$F$1,BC2356,0)-$BO$16)*$BO$19</f>
        <v>#N/A</v>
      </c>
      <c r="BG2356" s="1098" t="str">
        <f ca="1">IF(LEFT(BD2356,2)="RF",OFFSET(Pinlist!$D$1,Chart!BC2356,0)&amp;"_"&amp;OFFSET(Pinlist!$G$1,Chart!BC2356,0),"")</f>
        <v/>
      </c>
      <c r="BH2356" s="1098"/>
    </row>
    <row r="2357" spans="53:60" x14ac:dyDescent="0.2">
      <c r="BA2357" s="518">
        <f t="shared" ca="1" si="121"/>
        <v>61</v>
      </c>
      <c r="BB2357" s="174">
        <f t="shared" ca="1" si="122"/>
        <v>2294</v>
      </c>
      <c r="BC2357" s="525" t="e">
        <f ca="1">MATCH(BD2357,OFFSET(Pinlist!$A$2,BC2356*(BA2357=BA2356),0,$BM$23,1),0)+BC2356*(BA2357=BA2356)</f>
        <v>#N/A</v>
      </c>
      <c r="BD2357" s="167">
        <f t="shared" ca="1" si="123"/>
        <v>0</v>
      </c>
      <c r="BE2357" s="191" t="e">
        <f ca="1">(OFFSET(Pinlist!$E$1,BC2357,0)-$BN$16)*$BN$19</f>
        <v>#N/A</v>
      </c>
      <c r="BF2357" s="192" t="e">
        <f ca="1">(OFFSET(Pinlist!$F$1,BC2357,0)-$BO$16)*$BO$19</f>
        <v>#N/A</v>
      </c>
      <c r="BG2357" s="1098" t="str">
        <f ca="1">IF(LEFT(BD2357,2)="RF",OFFSET(Pinlist!$D$1,Chart!BC2357,0)&amp;"_"&amp;OFFSET(Pinlist!$G$1,Chart!BC2357,0),"")</f>
        <v/>
      </c>
      <c r="BH2357" s="1098"/>
    </row>
    <row r="2358" spans="53:60" x14ac:dyDescent="0.2">
      <c r="BA2358" s="518">
        <f t="shared" ca="1" si="121"/>
        <v>61</v>
      </c>
      <c r="BB2358" s="174">
        <f t="shared" ca="1" si="122"/>
        <v>2295</v>
      </c>
      <c r="BC2358" s="525" t="e">
        <f ca="1">MATCH(BD2358,OFFSET(Pinlist!$A$2,BC2357*(BA2358=BA2357),0,$BM$23,1),0)+BC2357*(BA2358=BA2357)</f>
        <v>#N/A</v>
      </c>
      <c r="BD2358" s="167">
        <f t="shared" ca="1" si="123"/>
        <v>0</v>
      </c>
      <c r="BE2358" s="191" t="e">
        <f ca="1">(OFFSET(Pinlist!$E$1,BC2358,0)-$BN$16)*$BN$19</f>
        <v>#N/A</v>
      </c>
      <c r="BF2358" s="192" t="e">
        <f ca="1">(OFFSET(Pinlist!$F$1,BC2358,0)-$BO$16)*$BO$19</f>
        <v>#N/A</v>
      </c>
      <c r="BG2358" s="1098" t="str">
        <f ca="1">IF(LEFT(BD2358,2)="RF",OFFSET(Pinlist!$D$1,Chart!BC2358,0)&amp;"_"&amp;OFFSET(Pinlist!$G$1,Chart!BC2358,0),"")</f>
        <v/>
      </c>
      <c r="BH2358" s="1098"/>
    </row>
    <row r="2359" spans="53:60" x14ac:dyDescent="0.2">
      <c r="BA2359" s="518">
        <f t="shared" ca="1" si="121"/>
        <v>61</v>
      </c>
      <c r="BB2359" s="174">
        <f t="shared" ca="1" si="122"/>
        <v>2296</v>
      </c>
      <c r="BC2359" s="525" t="e">
        <f ca="1">MATCH(BD2359,OFFSET(Pinlist!$A$2,BC2358*(BA2359=BA2358),0,$BM$23,1),0)+BC2358*(BA2359=BA2358)</f>
        <v>#N/A</v>
      </c>
      <c r="BD2359" s="167">
        <f t="shared" ca="1" si="123"/>
        <v>0</v>
      </c>
      <c r="BE2359" s="191" t="e">
        <f ca="1">(OFFSET(Pinlist!$E$1,BC2359,0)-$BN$16)*$BN$19</f>
        <v>#N/A</v>
      </c>
      <c r="BF2359" s="192" t="e">
        <f ca="1">(OFFSET(Pinlist!$F$1,BC2359,0)-$BO$16)*$BO$19</f>
        <v>#N/A</v>
      </c>
      <c r="BG2359" s="1098" t="str">
        <f ca="1">IF(LEFT(BD2359,2)="RF",OFFSET(Pinlist!$D$1,Chart!BC2359,0)&amp;"_"&amp;OFFSET(Pinlist!$G$1,Chart!BC2359,0),"")</f>
        <v/>
      </c>
      <c r="BH2359" s="1098"/>
    </row>
    <row r="2360" spans="53:60" x14ac:dyDescent="0.2">
      <c r="BA2360" s="518">
        <f t="shared" ca="1" si="121"/>
        <v>61</v>
      </c>
      <c r="BB2360" s="174">
        <f t="shared" ca="1" si="122"/>
        <v>2297</v>
      </c>
      <c r="BC2360" s="525" t="e">
        <f ca="1">MATCH(BD2360,OFFSET(Pinlist!$A$2,BC2359*(BA2360=BA2359),0,$BM$23,1),0)+BC2359*(BA2360=BA2359)</f>
        <v>#N/A</v>
      </c>
      <c r="BD2360" s="167">
        <f t="shared" ca="1" si="123"/>
        <v>0</v>
      </c>
      <c r="BE2360" s="191" t="e">
        <f ca="1">(OFFSET(Pinlist!$E$1,BC2360,0)-$BN$16)*$BN$19</f>
        <v>#N/A</v>
      </c>
      <c r="BF2360" s="192" t="e">
        <f ca="1">(OFFSET(Pinlist!$F$1,BC2360,0)-$BO$16)*$BO$19</f>
        <v>#N/A</v>
      </c>
      <c r="BG2360" s="1098" t="str">
        <f ca="1">IF(LEFT(BD2360,2)="RF",OFFSET(Pinlist!$D$1,Chart!BC2360,0)&amp;"_"&amp;OFFSET(Pinlist!$G$1,Chart!BC2360,0),"")</f>
        <v/>
      </c>
      <c r="BH2360" s="1098"/>
    </row>
    <row r="2361" spans="53:60" x14ac:dyDescent="0.2">
      <c r="BA2361" s="518">
        <f t="shared" ca="1" si="121"/>
        <v>61</v>
      </c>
      <c r="BB2361" s="174">
        <f t="shared" ca="1" si="122"/>
        <v>2298</v>
      </c>
      <c r="BC2361" s="525" t="e">
        <f ca="1">MATCH(BD2361,OFFSET(Pinlist!$A$2,BC2360*(BA2361=BA2360),0,$BM$23,1),0)+BC2360*(BA2361=BA2360)</f>
        <v>#N/A</v>
      </c>
      <c r="BD2361" s="167">
        <f t="shared" ca="1" si="123"/>
        <v>0</v>
      </c>
      <c r="BE2361" s="191" t="e">
        <f ca="1">(OFFSET(Pinlist!$E$1,BC2361,0)-$BN$16)*$BN$19</f>
        <v>#N/A</v>
      </c>
      <c r="BF2361" s="192" t="e">
        <f ca="1">(OFFSET(Pinlist!$F$1,BC2361,0)-$BO$16)*$BO$19</f>
        <v>#N/A</v>
      </c>
      <c r="BG2361" s="1098" t="str">
        <f ca="1">IF(LEFT(BD2361,2)="RF",OFFSET(Pinlist!$D$1,Chart!BC2361,0)&amp;"_"&amp;OFFSET(Pinlist!$G$1,Chart!BC2361,0),"")</f>
        <v/>
      </c>
      <c r="BH2361" s="1098"/>
    </row>
    <row r="2362" spans="53:60" x14ac:dyDescent="0.2">
      <c r="BA2362" s="518">
        <f t="shared" ca="1" si="121"/>
        <v>61</v>
      </c>
      <c r="BB2362" s="174">
        <f t="shared" ca="1" si="122"/>
        <v>2299</v>
      </c>
      <c r="BC2362" s="525" t="e">
        <f ca="1">MATCH(BD2362,OFFSET(Pinlist!$A$2,BC2361*(BA2362=BA2361),0,$BM$23,1),0)+BC2361*(BA2362=BA2361)</f>
        <v>#N/A</v>
      </c>
      <c r="BD2362" s="167">
        <f t="shared" ca="1" si="123"/>
        <v>0</v>
      </c>
      <c r="BE2362" s="191" t="e">
        <f ca="1">(OFFSET(Pinlist!$E$1,BC2362,0)-$BN$16)*$BN$19</f>
        <v>#N/A</v>
      </c>
      <c r="BF2362" s="192" t="e">
        <f ca="1">(OFFSET(Pinlist!$F$1,BC2362,0)-$BO$16)*$BO$19</f>
        <v>#N/A</v>
      </c>
      <c r="BG2362" s="1098" t="str">
        <f ca="1">IF(LEFT(BD2362,2)="RF",OFFSET(Pinlist!$D$1,Chart!BC2362,0)&amp;"_"&amp;OFFSET(Pinlist!$G$1,Chart!BC2362,0),"")</f>
        <v/>
      </c>
      <c r="BH2362" s="1098"/>
    </row>
    <row r="2363" spans="53:60" x14ac:dyDescent="0.2">
      <c r="BA2363" s="518">
        <f t="shared" ca="1" si="121"/>
        <v>61</v>
      </c>
      <c r="BB2363" s="174">
        <f t="shared" ca="1" si="122"/>
        <v>2300</v>
      </c>
      <c r="BC2363" s="525" t="e">
        <f ca="1">MATCH(BD2363,OFFSET(Pinlist!$A$2,BC2362*(BA2363=BA2362),0,$BM$23,1),0)+BC2362*(BA2363=BA2362)</f>
        <v>#N/A</v>
      </c>
      <c r="BD2363" s="167">
        <f t="shared" ca="1" si="123"/>
        <v>0</v>
      </c>
      <c r="BE2363" s="191" t="e">
        <f ca="1">(OFFSET(Pinlist!$E$1,BC2363,0)-$BN$16)*$BN$19</f>
        <v>#N/A</v>
      </c>
      <c r="BF2363" s="192" t="e">
        <f ca="1">(OFFSET(Pinlist!$F$1,BC2363,0)-$BO$16)*$BO$19</f>
        <v>#N/A</v>
      </c>
      <c r="BG2363" s="1098" t="str">
        <f ca="1">IF(LEFT(BD2363,2)="RF",OFFSET(Pinlist!$D$1,Chart!BC2363,0)&amp;"_"&amp;OFFSET(Pinlist!$G$1,Chart!BC2363,0),"")</f>
        <v/>
      </c>
      <c r="BH2363" s="1098"/>
    </row>
    <row r="2364" spans="53:60" x14ac:dyDescent="0.2">
      <c r="BA2364" s="518">
        <f t="shared" ca="1" si="121"/>
        <v>61</v>
      </c>
      <c r="BB2364" s="174">
        <f t="shared" ca="1" si="122"/>
        <v>2301</v>
      </c>
      <c r="BC2364" s="525" t="e">
        <f ca="1">MATCH(BD2364,OFFSET(Pinlist!$A$2,BC2363*(BA2364=BA2363),0,$BM$23,1),0)+BC2363*(BA2364=BA2363)</f>
        <v>#N/A</v>
      </c>
      <c r="BD2364" s="167">
        <f t="shared" ca="1" si="123"/>
        <v>0</v>
      </c>
      <c r="BE2364" s="191" t="e">
        <f ca="1">(OFFSET(Pinlist!$E$1,BC2364,0)-$BN$16)*$BN$19</f>
        <v>#N/A</v>
      </c>
      <c r="BF2364" s="192" t="e">
        <f ca="1">(OFFSET(Pinlist!$F$1,BC2364,0)-$BO$16)*$BO$19</f>
        <v>#N/A</v>
      </c>
      <c r="BG2364" s="1098" t="str">
        <f ca="1">IF(LEFT(BD2364,2)="RF",OFFSET(Pinlist!$D$1,Chart!BC2364,0)&amp;"_"&amp;OFFSET(Pinlist!$G$1,Chart!BC2364,0),"")</f>
        <v/>
      </c>
      <c r="BH2364" s="1098"/>
    </row>
    <row r="2365" spans="53:60" x14ac:dyDescent="0.2">
      <c r="BA2365" s="518">
        <f t="shared" ca="1" si="121"/>
        <v>61</v>
      </c>
      <c r="BB2365" s="174">
        <f t="shared" ca="1" si="122"/>
        <v>2302</v>
      </c>
      <c r="BC2365" s="525" t="e">
        <f ca="1">MATCH(BD2365,OFFSET(Pinlist!$A$2,BC2364*(BA2365=BA2364),0,$BM$23,1),0)+BC2364*(BA2365=BA2364)</f>
        <v>#N/A</v>
      </c>
      <c r="BD2365" s="167">
        <f t="shared" ca="1" si="123"/>
        <v>0</v>
      </c>
      <c r="BE2365" s="191" t="e">
        <f ca="1">(OFFSET(Pinlist!$E$1,BC2365,0)-$BN$16)*$BN$19</f>
        <v>#N/A</v>
      </c>
      <c r="BF2365" s="192" t="e">
        <f ca="1">(OFFSET(Pinlist!$F$1,BC2365,0)-$BO$16)*$BO$19</f>
        <v>#N/A</v>
      </c>
      <c r="BG2365" s="1098" t="str">
        <f ca="1">IF(LEFT(BD2365,2)="RF",OFFSET(Pinlist!$D$1,Chart!BC2365,0)&amp;"_"&amp;OFFSET(Pinlist!$G$1,Chart!BC2365,0),"")</f>
        <v/>
      </c>
      <c r="BH2365" s="1098"/>
    </row>
    <row r="2366" spans="53:60" x14ac:dyDescent="0.2">
      <c r="BA2366" s="518">
        <f t="shared" ca="1" si="121"/>
        <v>61</v>
      </c>
      <c r="BB2366" s="174">
        <f t="shared" ca="1" si="122"/>
        <v>2303</v>
      </c>
      <c r="BC2366" s="525" t="e">
        <f ca="1">MATCH(BD2366,OFFSET(Pinlist!$A$2,BC2365*(BA2366=BA2365),0,$BM$23,1),0)+BC2365*(BA2366=BA2365)</f>
        <v>#N/A</v>
      </c>
      <c r="BD2366" s="167">
        <f t="shared" ca="1" si="123"/>
        <v>0</v>
      </c>
      <c r="BE2366" s="191" t="e">
        <f ca="1">(OFFSET(Pinlist!$E$1,BC2366,0)-$BN$16)*$BN$19</f>
        <v>#N/A</v>
      </c>
      <c r="BF2366" s="192" t="e">
        <f ca="1">(OFFSET(Pinlist!$F$1,BC2366,0)-$BO$16)*$BO$19</f>
        <v>#N/A</v>
      </c>
      <c r="BG2366" s="1098" t="str">
        <f ca="1">IF(LEFT(BD2366,2)="RF",OFFSET(Pinlist!$D$1,Chart!BC2366,0)&amp;"_"&amp;OFFSET(Pinlist!$G$1,Chart!BC2366,0),"")</f>
        <v/>
      </c>
      <c r="BH2366" s="1098"/>
    </row>
    <row r="2367" spans="53:60" x14ac:dyDescent="0.2">
      <c r="BA2367" s="518">
        <f t="shared" ca="1" si="121"/>
        <v>61</v>
      </c>
      <c r="BB2367" s="174">
        <f t="shared" ca="1" si="122"/>
        <v>2304</v>
      </c>
      <c r="BC2367" s="525" t="e">
        <f ca="1">MATCH(BD2367,OFFSET(Pinlist!$A$2,BC2366*(BA2367=BA2366),0,$BM$23,1),0)+BC2366*(BA2367=BA2366)</f>
        <v>#N/A</v>
      </c>
      <c r="BD2367" s="167">
        <f t="shared" ca="1" si="123"/>
        <v>0</v>
      </c>
      <c r="BE2367" s="191" t="e">
        <f ca="1">(OFFSET(Pinlist!$E$1,BC2367,0)-$BN$16)*$BN$19</f>
        <v>#N/A</v>
      </c>
      <c r="BF2367" s="192" t="e">
        <f ca="1">(OFFSET(Pinlist!$F$1,BC2367,0)-$BO$16)*$BO$19</f>
        <v>#N/A</v>
      </c>
      <c r="BG2367" s="1098" t="str">
        <f ca="1">IF(LEFT(BD2367,2)="RF",OFFSET(Pinlist!$D$1,Chart!BC2367,0)&amp;"_"&amp;OFFSET(Pinlist!$G$1,Chart!BC2367,0),"")</f>
        <v/>
      </c>
      <c r="BH2367" s="1098"/>
    </row>
    <row r="2368" spans="53:60" x14ac:dyDescent="0.2">
      <c r="BA2368" s="518">
        <f t="shared" ca="1" si="121"/>
        <v>61</v>
      </c>
      <c r="BB2368" s="174">
        <f t="shared" ca="1" si="122"/>
        <v>2305</v>
      </c>
      <c r="BC2368" s="525" t="e">
        <f ca="1">MATCH(BD2368,OFFSET(Pinlist!$A$2,BC2367*(BA2368=BA2367),0,$BM$23,1),0)+BC2367*(BA2368=BA2367)</f>
        <v>#N/A</v>
      </c>
      <c r="BD2368" s="167">
        <f t="shared" ca="1" si="123"/>
        <v>0</v>
      </c>
      <c r="BE2368" s="191" t="e">
        <f ca="1">(OFFSET(Pinlist!$E$1,BC2368,0)-$BN$16)*$BN$19</f>
        <v>#N/A</v>
      </c>
      <c r="BF2368" s="192" t="e">
        <f ca="1">(OFFSET(Pinlist!$F$1,BC2368,0)-$BO$16)*$BO$19</f>
        <v>#N/A</v>
      </c>
      <c r="BG2368" s="1098" t="str">
        <f ca="1">IF(LEFT(BD2368,2)="RF",OFFSET(Pinlist!$D$1,Chart!BC2368,0)&amp;"_"&amp;OFFSET(Pinlist!$G$1,Chart!BC2368,0),"")</f>
        <v/>
      </c>
      <c r="BH2368" s="1098"/>
    </row>
    <row r="2369" spans="53:60" x14ac:dyDescent="0.2">
      <c r="BA2369" s="518">
        <f t="shared" ca="1" si="121"/>
        <v>61</v>
      </c>
      <c r="BB2369" s="174">
        <f t="shared" ca="1" si="122"/>
        <v>2306</v>
      </c>
      <c r="BC2369" s="525" t="e">
        <f ca="1">MATCH(BD2369,OFFSET(Pinlist!$A$2,BC2368*(BA2369=BA2368),0,$BM$23,1),0)+BC2368*(BA2369=BA2368)</f>
        <v>#N/A</v>
      </c>
      <c r="BD2369" s="167">
        <f t="shared" ca="1" si="123"/>
        <v>0</v>
      </c>
      <c r="BE2369" s="191" t="e">
        <f ca="1">(OFFSET(Pinlist!$E$1,BC2369,0)-$BN$16)*$BN$19</f>
        <v>#N/A</v>
      </c>
      <c r="BF2369" s="192" t="e">
        <f ca="1">(OFFSET(Pinlist!$F$1,BC2369,0)-$BO$16)*$BO$19</f>
        <v>#N/A</v>
      </c>
      <c r="BG2369" s="1098" t="str">
        <f ca="1">IF(LEFT(BD2369,2)="RF",OFFSET(Pinlist!$D$1,Chart!BC2369,0)&amp;"_"&amp;OFFSET(Pinlist!$G$1,Chart!BC2369,0),"")</f>
        <v/>
      </c>
      <c r="BH2369" s="1098"/>
    </row>
    <row r="2370" spans="53:60" x14ac:dyDescent="0.2">
      <c r="BA2370" s="518">
        <f t="shared" ca="1" si="121"/>
        <v>61</v>
      </c>
      <c r="BB2370" s="174">
        <f t="shared" ca="1" si="122"/>
        <v>2307</v>
      </c>
      <c r="BC2370" s="525" t="e">
        <f ca="1">MATCH(BD2370,OFFSET(Pinlist!$A$2,BC2369*(BA2370=BA2369),0,$BM$23,1),0)+BC2369*(BA2370=BA2369)</f>
        <v>#N/A</v>
      </c>
      <c r="BD2370" s="167">
        <f t="shared" ca="1" si="123"/>
        <v>0</v>
      </c>
      <c r="BE2370" s="191" t="e">
        <f ca="1">(OFFSET(Pinlist!$E$1,BC2370,0)-$BN$16)*$BN$19</f>
        <v>#N/A</v>
      </c>
      <c r="BF2370" s="192" t="e">
        <f ca="1">(OFFSET(Pinlist!$F$1,BC2370,0)-$BO$16)*$BO$19</f>
        <v>#N/A</v>
      </c>
      <c r="BG2370" s="1098" t="str">
        <f ca="1">IF(LEFT(BD2370,2)="RF",OFFSET(Pinlist!$D$1,Chart!BC2370,0)&amp;"_"&amp;OFFSET(Pinlist!$G$1,Chart!BC2370,0),"")</f>
        <v/>
      </c>
      <c r="BH2370" s="1098"/>
    </row>
    <row r="2371" spans="53:60" x14ac:dyDescent="0.2">
      <c r="BA2371" s="518">
        <f t="shared" ca="1" si="121"/>
        <v>61</v>
      </c>
      <c r="BB2371" s="174">
        <f t="shared" ca="1" si="122"/>
        <v>2308</v>
      </c>
      <c r="BC2371" s="525" t="e">
        <f ca="1">MATCH(BD2371,OFFSET(Pinlist!$A$2,BC2370*(BA2371=BA2370),0,$BM$23,1),0)+BC2370*(BA2371=BA2370)</f>
        <v>#N/A</v>
      </c>
      <c r="BD2371" s="167">
        <f t="shared" ca="1" si="123"/>
        <v>0</v>
      </c>
      <c r="BE2371" s="191" t="e">
        <f ca="1">(OFFSET(Pinlist!$E$1,BC2371,0)-$BN$16)*$BN$19</f>
        <v>#N/A</v>
      </c>
      <c r="BF2371" s="192" t="e">
        <f ca="1">(OFFSET(Pinlist!$F$1,BC2371,0)-$BO$16)*$BO$19</f>
        <v>#N/A</v>
      </c>
      <c r="BG2371" s="1098" t="str">
        <f ca="1">IF(LEFT(BD2371,2)="RF",OFFSET(Pinlist!$D$1,Chart!BC2371,0)&amp;"_"&amp;OFFSET(Pinlist!$G$1,Chart!BC2371,0),"")</f>
        <v/>
      </c>
      <c r="BH2371" s="1098"/>
    </row>
    <row r="2372" spans="53:60" x14ac:dyDescent="0.2">
      <c r="BA2372" s="518">
        <f t="shared" ref="BA2372:BA2435" ca="1" si="124">BA2371+(BB2371=OFFSET($BZ$3,BA2371,0))</f>
        <v>61</v>
      </c>
      <c r="BB2372" s="174">
        <f t="shared" ref="BB2372:BB2435" ca="1" si="125">IF(BA2372=BA2371,BB2371+1,1)</f>
        <v>2309</v>
      </c>
      <c r="BC2372" s="525" t="e">
        <f ca="1">MATCH(BD2372,OFFSET(Pinlist!$A$2,BC2371*(BA2372=BA2371),0,$BM$23,1),0)+BC2371*(BA2372=BA2371)</f>
        <v>#N/A</v>
      </c>
      <c r="BD2372" s="167">
        <f t="shared" ref="BD2372:BD2435" ca="1" si="126">OFFSET($BY$3,BA2372,0)</f>
        <v>0</v>
      </c>
      <c r="BE2372" s="191" t="e">
        <f ca="1">(OFFSET(Pinlist!$E$1,BC2372,0)-$BN$16)*$BN$19</f>
        <v>#N/A</v>
      </c>
      <c r="BF2372" s="192" t="e">
        <f ca="1">(OFFSET(Pinlist!$F$1,BC2372,0)-$BO$16)*$BO$19</f>
        <v>#N/A</v>
      </c>
      <c r="BG2372" s="1098" t="str">
        <f ca="1">IF(LEFT(BD2372,2)="RF",OFFSET(Pinlist!$D$1,Chart!BC2372,0)&amp;"_"&amp;OFFSET(Pinlist!$G$1,Chart!BC2372,0),"")</f>
        <v/>
      </c>
      <c r="BH2372" s="1098"/>
    </row>
    <row r="2373" spans="53:60" x14ac:dyDescent="0.2">
      <c r="BA2373" s="518">
        <f t="shared" ca="1" si="124"/>
        <v>61</v>
      </c>
      <c r="BB2373" s="174">
        <f t="shared" ca="1" si="125"/>
        <v>2310</v>
      </c>
      <c r="BC2373" s="525" t="e">
        <f ca="1">MATCH(BD2373,OFFSET(Pinlist!$A$2,BC2372*(BA2373=BA2372),0,$BM$23,1),0)+BC2372*(BA2373=BA2372)</f>
        <v>#N/A</v>
      </c>
      <c r="BD2373" s="167">
        <f t="shared" ca="1" si="126"/>
        <v>0</v>
      </c>
      <c r="BE2373" s="191" t="e">
        <f ca="1">(OFFSET(Pinlist!$E$1,BC2373,0)-$BN$16)*$BN$19</f>
        <v>#N/A</v>
      </c>
      <c r="BF2373" s="192" t="e">
        <f ca="1">(OFFSET(Pinlist!$F$1,BC2373,0)-$BO$16)*$BO$19</f>
        <v>#N/A</v>
      </c>
      <c r="BG2373" s="1098" t="str">
        <f ca="1">IF(LEFT(BD2373,2)="RF",OFFSET(Pinlist!$D$1,Chart!BC2373,0)&amp;"_"&amp;OFFSET(Pinlist!$G$1,Chart!BC2373,0),"")</f>
        <v/>
      </c>
      <c r="BH2373" s="1098"/>
    </row>
    <row r="2374" spans="53:60" x14ac:dyDescent="0.2">
      <c r="BA2374" s="518">
        <f t="shared" ca="1" si="124"/>
        <v>61</v>
      </c>
      <c r="BB2374" s="174">
        <f t="shared" ca="1" si="125"/>
        <v>2311</v>
      </c>
      <c r="BC2374" s="525" t="e">
        <f ca="1">MATCH(BD2374,OFFSET(Pinlist!$A$2,BC2373*(BA2374=BA2373),0,$BM$23,1),0)+BC2373*(BA2374=BA2373)</f>
        <v>#N/A</v>
      </c>
      <c r="BD2374" s="167">
        <f t="shared" ca="1" si="126"/>
        <v>0</v>
      </c>
      <c r="BE2374" s="191" t="e">
        <f ca="1">(OFFSET(Pinlist!$E$1,BC2374,0)-$BN$16)*$BN$19</f>
        <v>#N/A</v>
      </c>
      <c r="BF2374" s="192" t="e">
        <f ca="1">(OFFSET(Pinlist!$F$1,BC2374,0)-$BO$16)*$BO$19</f>
        <v>#N/A</v>
      </c>
      <c r="BG2374" s="1098" t="str">
        <f ca="1">IF(LEFT(BD2374,2)="RF",OFFSET(Pinlist!$D$1,Chart!BC2374,0)&amp;"_"&amp;OFFSET(Pinlist!$G$1,Chart!BC2374,0),"")</f>
        <v/>
      </c>
      <c r="BH2374" s="1098"/>
    </row>
    <row r="2375" spans="53:60" x14ac:dyDescent="0.2">
      <c r="BA2375" s="518">
        <f t="shared" ca="1" si="124"/>
        <v>61</v>
      </c>
      <c r="BB2375" s="174">
        <f t="shared" ca="1" si="125"/>
        <v>2312</v>
      </c>
      <c r="BC2375" s="525" t="e">
        <f ca="1">MATCH(BD2375,OFFSET(Pinlist!$A$2,BC2374*(BA2375=BA2374),0,$BM$23,1),0)+BC2374*(BA2375=BA2374)</f>
        <v>#N/A</v>
      </c>
      <c r="BD2375" s="167">
        <f t="shared" ca="1" si="126"/>
        <v>0</v>
      </c>
      <c r="BE2375" s="191" t="e">
        <f ca="1">(OFFSET(Pinlist!$E$1,BC2375,0)-$BN$16)*$BN$19</f>
        <v>#N/A</v>
      </c>
      <c r="BF2375" s="192" t="e">
        <f ca="1">(OFFSET(Pinlist!$F$1,BC2375,0)-$BO$16)*$BO$19</f>
        <v>#N/A</v>
      </c>
      <c r="BG2375" s="1098" t="str">
        <f ca="1">IF(LEFT(BD2375,2)="RF",OFFSET(Pinlist!$D$1,Chart!BC2375,0)&amp;"_"&amp;OFFSET(Pinlist!$G$1,Chart!BC2375,0),"")</f>
        <v/>
      </c>
      <c r="BH2375" s="1098"/>
    </row>
    <row r="2376" spans="53:60" x14ac:dyDescent="0.2">
      <c r="BA2376" s="518">
        <f t="shared" ca="1" si="124"/>
        <v>61</v>
      </c>
      <c r="BB2376" s="174">
        <f t="shared" ca="1" si="125"/>
        <v>2313</v>
      </c>
      <c r="BC2376" s="525" t="e">
        <f ca="1">MATCH(BD2376,OFFSET(Pinlist!$A$2,BC2375*(BA2376=BA2375),0,$BM$23,1),0)+BC2375*(BA2376=BA2375)</f>
        <v>#N/A</v>
      </c>
      <c r="BD2376" s="167">
        <f t="shared" ca="1" si="126"/>
        <v>0</v>
      </c>
      <c r="BE2376" s="191" t="e">
        <f ca="1">(OFFSET(Pinlist!$E$1,BC2376,0)-$BN$16)*$BN$19</f>
        <v>#N/A</v>
      </c>
      <c r="BF2376" s="192" t="e">
        <f ca="1">(OFFSET(Pinlist!$F$1,BC2376,0)-$BO$16)*$BO$19</f>
        <v>#N/A</v>
      </c>
      <c r="BG2376" s="1098" t="str">
        <f ca="1">IF(LEFT(BD2376,2)="RF",OFFSET(Pinlist!$D$1,Chart!BC2376,0)&amp;"_"&amp;OFFSET(Pinlist!$G$1,Chart!BC2376,0),"")</f>
        <v/>
      </c>
      <c r="BH2376" s="1098"/>
    </row>
    <row r="2377" spans="53:60" x14ac:dyDescent="0.2">
      <c r="BA2377" s="518">
        <f t="shared" ca="1" si="124"/>
        <v>61</v>
      </c>
      <c r="BB2377" s="174">
        <f t="shared" ca="1" si="125"/>
        <v>2314</v>
      </c>
      <c r="BC2377" s="525" t="e">
        <f ca="1">MATCH(BD2377,OFFSET(Pinlist!$A$2,BC2376*(BA2377=BA2376),0,$BM$23,1),0)+BC2376*(BA2377=BA2376)</f>
        <v>#N/A</v>
      </c>
      <c r="BD2377" s="167">
        <f t="shared" ca="1" si="126"/>
        <v>0</v>
      </c>
      <c r="BE2377" s="191" t="e">
        <f ca="1">(OFFSET(Pinlist!$E$1,BC2377,0)-$BN$16)*$BN$19</f>
        <v>#N/A</v>
      </c>
      <c r="BF2377" s="192" t="e">
        <f ca="1">(OFFSET(Pinlist!$F$1,BC2377,0)-$BO$16)*$BO$19</f>
        <v>#N/A</v>
      </c>
      <c r="BG2377" s="1098" t="str">
        <f ca="1">IF(LEFT(BD2377,2)="RF",OFFSET(Pinlist!$D$1,Chart!BC2377,0)&amp;"_"&amp;OFFSET(Pinlist!$G$1,Chart!BC2377,0),"")</f>
        <v/>
      </c>
      <c r="BH2377" s="1098"/>
    </row>
    <row r="2378" spans="53:60" x14ac:dyDescent="0.2">
      <c r="BA2378" s="518">
        <f t="shared" ca="1" si="124"/>
        <v>61</v>
      </c>
      <c r="BB2378" s="174">
        <f t="shared" ca="1" si="125"/>
        <v>2315</v>
      </c>
      <c r="BC2378" s="525" t="e">
        <f ca="1">MATCH(BD2378,OFFSET(Pinlist!$A$2,BC2377*(BA2378=BA2377),0,$BM$23,1),0)+BC2377*(BA2378=BA2377)</f>
        <v>#N/A</v>
      </c>
      <c r="BD2378" s="167">
        <f t="shared" ca="1" si="126"/>
        <v>0</v>
      </c>
      <c r="BE2378" s="191" t="e">
        <f ca="1">(OFFSET(Pinlist!$E$1,BC2378,0)-$BN$16)*$BN$19</f>
        <v>#N/A</v>
      </c>
      <c r="BF2378" s="192" t="e">
        <f ca="1">(OFFSET(Pinlist!$F$1,BC2378,0)-$BO$16)*$BO$19</f>
        <v>#N/A</v>
      </c>
      <c r="BG2378" s="1098" t="str">
        <f ca="1">IF(LEFT(BD2378,2)="RF",OFFSET(Pinlist!$D$1,Chart!BC2378,0)&amp;"_"&amp;OFFSET(Pinlist!$G$1,Chart!BC2378,0),"")</f>
        <v/>
      </c>
      <c r="BH2378" s="1098"/>
    </row>
    <row r="2379" spans="53:60" x14ac:dyDescent="0.2">
      <c r="BA2379" s="518">
        <f t="shared" ca="1" si="124"/>
        <v>61</v>
      </c>
      <c r="BB2379" s="174">
        <f t="shared" ca="1" si="125"/>
        <v>2316</v>
      </c>
      <c r="BC2379" s="525" t="e">
        <f ca="1">MATCH(BD2379,OFFSET(Pinlist!$A$2,BC2378*(BA2379=BA2378),0,$BM$23,1),0)+BC2378*(BA2379=BA2378)</f>
        <v>#N/A</v>
      </c>
      <c r="BD2379" s="167">
        <f t="shared" ca="1" si="126"/>
        <v>0</v>
      </c>
      <c r="BE2379" s="191" t="e">
        <f ca="1">(OFFSET(Pinlist!$E$1,BC2379,0)-$BN$16)*$BN$19</f>
        <v>#N/A</v>
      </c>
      <c r="BF2379" s="192" t="e">
        <f ca="1">(OFFSET(Pinlist!$F$1,BC2379,0)-$BO$16)*$BO$19</f>
        <v>#N/A</v>
      </c>
      <c r="BG2379" s="1098" t="str">
        <f ca="1">IF(LEFT(BD2379,2)="RF",OFFSET(Pinlist!$D$1,Chart!BC2379,0)&amp;"_"&amp;OFFSET(Pinlist!$G$1,Chart!BC2379,0),"")</f>
        <v/>
      </c>
      <c r="BH2379" s="1098"/>
    </row>
    <row r="2380" spans="53:60" x14ac:dyDescent="0.2">
      <c r="BA2380" s="518">
        <f t="shared" ca="1" si="124"/>
        <v>61</v>
      </c>
      <c r="BB2380" s="174">
        <f t="shared" ca="1" si="125"/>
        <v>2317</v>
      </c>
      <c r="BC2380" s="525" t="e">
        <f ca="1">MATCH(BD2380,OFFSET(Pinlist!$A$2,BC2379*(BA2380=BA2379),0,$BM$23,1),0)+BC2379*(BA2380=BA2379)</f>
        <v>#N/A</v>
      </c>
      <c r="BD2380" s="167">
        <f t="shared" ca="1" si="126"/>
        <v>0</v>
      </c>
      <c r="BE2380" s="191" t="e">
        <f ca="1">(OFFSET(Pinlist!$E$1,BC2380,0)-$BN$16)*$BN$19</f>
        <v>#N/A</v>
      </c>
      <c r="BF2380" s="192" t="e">
        <f ca="1">(OFFSET(Pinlist!$F$1,BC2380,0)-$BO$16)*$BO$19</f>
        <v>#N/A</v>
      </c>
      <c r="BG2380" s="1098" t="str">
        <f ca="1">IF(LEFT(BD2380,2)="RF",OFFSET(Pinlist!$D$1,Chart!BC2380,0)&amp;"_"&amp;OFFSET(Pinlist!$G$1,Chart!BC2380,0),"")</f>
        <v/>
      </c>
      <c r="BH2380" s="1098"/>
    </row>
    <row r="2381" spans="53:60" x14ac:dyDescent="0.2">
      <c r="BA2381" s="518">
        <f t="shared" ca="1" si="124"/>
        <v>61</v>
      </c>
      <c r="BB2381" s="174">
        <f t="shared" ca="1" si="125"/>
        <v>2318</v>
      </c>
      <c r="BC2381" s="525" t="e">
        <f ca="1">MATCH(BD2381,OFFSET(Pinlist!$A$2,BC2380*(BA2381=BA2380),0,$BM$23,1),0)+BC2380*(BA2381=BA2380)</f>
        <v>#N/A</v>
      </c>
      <c r="BD2381" s="167">
        <f t="shared" ca="1" si="126"/>
        <v>0</v>
      </c>
      <c r="BE2381" s="191" t="e">
        <f ca="1">(OFFSET(Pinlist!$E$1,BC2381,0)-$BN$16)*$BN$19</f>
        <v>#N/A</v>
      </c>
      <c r="BF2381" s="192" t="e">
        <f ca="1">(OFFSET(Pinlist!$F$1,BC2381,0)-$BO$16)*$BO$19</f>
        <v>#N/A</v>
      </c>
      <c r="BG2381" s="1098" t="str">
        <f ca="1">IF(LEFT(BD2381,2)="RF",OFFSET(Pinlist!$D$1,Chart!BC2381,0)&amp;"_"&amp;OFFSET(Pinlist!$G$1,Chart!BC2381,0),"")</f>
        <v/>
      </c>
      <c r="BH2381" s="1098"/>
    </row>
    <row r="2382" spans="53:60" x14ac:dyDescent="0.2">
      <c r="BA2382" s="518">
        <f t="shared" ca="1" si="124"/>
        <v>61</v>
      </c>
      <c r="BB2382" s="174">
        <f t="shared" ca="1" si="125"/>
        <v>2319</v>
      </c>
      <c r="BC2382" s="525" t="e">
        <f ca="1">MATCH(BD2382,OFFSET(Pinlist!$A$2,BC2381*(BA2382=BA2381),0,$BM$23,1),0)+BC2381*(BA2382=BA2381)</f>
        <v>#N/A</v>
      </c>
      <c r="BD2382" s="167">
        <f t="shared" ca="1" si="126"/>
        <v>0</v>
      </c>
      <c r="BE2382" s="191" t="e">
        <f ca="1">(OFFSET(Pinlist!$E$1,BC2382,0)-$BN$16)*$BN$19</f>
        <v>#N/A</v>
      </c>
      <c r="BF2382" s="192" t="e">
        <f ca="1">(OFFSET(Pinlist!$F$1,BC2382,0)-$BO$16)*$BO$19</f>
        <v>#N/A</v>
      </c>
      <c r="BG2382" s="1098" t="str">
        <f ca="1">IF(LEFT(BD2382,2)="RF",OFFSET(Pinlist!$D$1,Chart!BC2382,0)&amp;"_"&amp;OFFSET(Pinlist!$G$1,Chart!BC2382,0),"")</f>
        <v/>
      </c>
      <c r="BH2382" s="1098"/>
    </row>
    <row r="2383" spans="53:60" x14ac:dyDescent="0.2">
      <c r="BA2383" s="518">
        <f t="shared" ca="1" si="124"/>
        <v>61</v>
      </c>
      <c r="BB2383" s="174">
        <f t="shared" ca="1" si="125"/>
        <v>2320</v>
      </c>
      <c r="BC2383" s="525" t="e">
        <f ca="1">MATCH(BD2383,OFFSET(Pinlist!$A$2,BC2382*(BA2383=BA2382),0,$BM$23,1),0)+BC2382*(BA2383=BA2382)</f>
        <v>#N/A</v>
      </c>
      <c r="BD2383" s="167">
        <f t="shared" ca="1" si="126"/>
        <v>0</v>
      </c>
      <c r="BE2383" s="191" t="e">
        <f ca="1">(OFFSET(Pinlist!$E$1,BC2383,0)-$BN$16)*$BN$19</f>
        <v>#N/A</v>
      </c>
      <c r="BF2383" s="192" t="e">
        <f ca="1">(OFFSET(Pinlist!$F$1,BC2383,0)-$BO$16)*$BO$19</f>
        <v>#N/A</v>
      </c>
      <c r="BG2383" s="1098" t="str">
        <f ca="1">IF(LEFT(BD2383,2)="RF",OFFSET(Pinlist!$D$1,Chart!BC2383,0)&amp;"_"&amp;OFFSET(Pinlist!$G$1,Chart!BC2383,0),"")</f>
        <v/>
      </c>
      <c r="BH2383" s="1098"/>
    </row>
    <row r="2384" spans="53:60" x14ac:dyDescent="0.2">
      <c r="BA2384" s="518">
        <f t="shared" ca="1" si="124"/>
        <v>61</v>
      </c>
      <c r="BB2384" s="174">
        <f t="shared" ca="1" si="125"/>
        <v>2321</v>
      </c>
      <c r="BC2384" s="525" t="e">
        <f ca="1">MATCH(BD2384,OFFSET(Pinlist!$A$2,BC2383*(BA2384=BA2383),0,$BM$23,1),0)+BC2383*(BA2384=BA2383)</f>
        <v>#N/A</v>
      </c>
      <c r="BD2384" s="167">
        <f t="shared" ca="1" si="126"/>
        <v>0</v>
      </c>
      <c r="BE2384" s="191" t="e">
        <f ca="1">(OFFSET(Pinlist!$E$1,BC2384,0)-$BN$16)*$BN$19</f>
        <v>#N/A</v>
      </c>
      <c r="BF2384" s="192" t="e">
        <f ca="1">(OFFSET(Pinlist!$F$1,BC2384,0)-$BO$16)*$BO$19</f>
        <v>#N/A</v>
      </c>
      <c r="BG2384" s="1098" t="str">
        <f ca="1">IF(LEFT(BD2384,2)="RF",OFFSET(Pinlist!$D$1,Chart!BC2384,0)&amp;"_"&amp;OFFSET(Pinlist!$G$1,Chart!BC2384,0),"")</f>
        <v/>
      </c>
      <c r="BH2384" s="1098"/>
    </row>
    <row r="2385" spans="53:60" x14ac:dyDescent="0.2">
      <c r="BA2385" s="518">
        <f t="shared" ca="1" si="124"/>
        <v>61</v>
      </c>
      <c r="BB2385" s="174">
        <f t="shared" ca="1" si="125"/>
        <v>2322</v>
      </c>
      <c r="BC2385" s="525" t="e">
        <f ca="1">MATCH(BD2385,OFFSET(Pinlist!$A$2,BC2384*(BA2385=BA2384),0,$BM$23,1),0)+BC2384*(BA2385=BA2384)</f>
        <v>#N/A</v>
      </c>
      <c r="BD2385" s="167">
        <f t="shared" ca="1" si="126"/>
        <v>0</v>
      </c>
      <c r="BE2385" s="191" t="e">
        <f ca="1">(OFFSET(Pinlist!$E$1,BC2385,0)-$BN$16)*$BN$19</f>
        <v>#N/A</v>
      </c>
      <c r="BF2385" s="192" t="e">
        <f ca="1">(OFFSET(Pinlist!$F$1,BC2385,0)-$BO$16)*$BO$19</f>
        <v>#N/A</v>
      </c>
      <c r="BG2385" s="1098" t="str">
        <f ca="1">IF(LEFT(BD2385,2)="RF",OFFSET(Pinlist!$D$1,Chart!BC2385,0)&amp;"_"&amp;OFFSET(Pinlist!$G$1,Chart!BC2385,0),"")</f>
        <v/>
      </c>
      <c r="BH2385" s="1098"/>
    </row>
    <row r="2386" spans="53:60" x14ac:dyDescent="0.2">
      <c r="BA2386" s="518">
        <f t="shared" ca="1" si="124"/>
        <v>61</v>
      </c>
      <c r="BB2386" s="174">
        <f t="shared" ca="1" si="125"/>
        <v>2323</v>
      </c>
      <c r="BC2386" s="525" t="e">
        <f ca="1">MATCH(BD2386,OFFSET(Pinlist!$A$2,BC2385*(BA2386=BA2385),0,$BM$23,1),0)+BC2385*(BA2386=BA2385)</f>
        <v>#N/A</v>
      </c>
      <c r="BD2386" s="167">
        <f t="shared" ca="1" si="126"/>
        <v>0</v>
      </c>
      <c r="BE2386" s="191" t="e">
        <f ca="1">(OFFSET(Pinlist!$E$1,BC2386,0)-$BN$16)*$BN$19</f>
        <v>#N/A</v>
      </c>
      <c r="BF2386" s="192" t="e">
        <f ca="1">(OFFSET(Pinlist!$F$1,BC2386,0)-$BO$16)*$BO$19</f>
        <v>#N/A</v>
      </c>
      <c r="BG2386" s="1098" t="str">
        <f ca="1">IF(LEFT(BD2386,2)="RF",OFFSET(Pinlist!$D$1,Chart!BC2386,0)&amp;"_"&amp;OFFSET(Pinlist!$G$1,Chart!BC2386,0),"")</f>
        <v/>
      </c>
      <c r="BH2386" s="1098"/>
    </row>
    <row r="2387" spans="53:60" x14ac:dyDescent="0.2">
      <c r="BA2387" s="518">
        <f t="shared" ca="1" si="124"/>
        <v>61</v>
      </c>
      <c r="BB2387" s="174">
        <f t="shared" ca="1" si="125"/>
        <v>2324</v>
      </c>
      <c r="BC2387" s="525" t="e">
        <f ca="1">MATCH(BD2387,OFFSET(Pinlist!$A$2,BC2386*(BA2387=BA2386),0,$BM$23,1),0)+BC2386*(BA2387=BA2386)</f>
        <v>#N/A</v>
      </c>
      <c r="BD2387" s="167">
        <f t="shared" ca="1" si="126"/>
        <v>0</v>
      </c>
      <c r="BE2387" s="191" t="e">
        <f ca="1">(OFFSET(Pinlist!$E$1,BC2387,0)-$BN$16)*$BN$19</f>
        <v>#N/A</v>
      </c>
      <c r="BF2387" s="192" t="e">
        <f ca="1">(OFFSET(Pinlist!$F$1,BC2387,0)-$BO$16)*$BO$19</f>
        <v>#N/A</v>
      </c>
      <c r="BG2387" s="1098" t="str">
        <f ca="1">IF(LEFT(BD2387,2)="RF",OFFSET(Pinlist!$D$1,Chart!BC2387,0)&amp;"_"&amp;OFFSET(Pinlist!$G$1,Chart!BC2387,0),"")</f>
        <v/>
      </c>
      <c r="BH2387" s="1098"/>
    </row>
    <row r="2388" spans="53:60" x14ac:dyDescent="0.2">
      <c r="BA2388" s="518">
        <f t="shared" ca="1" si="124"/>
        <v>61</v>
      </c>
      <c r="BB2388" s="174">
        <f t="shared" ca="1" si="125"/>
        <v>2325</v>
      </c>
      <c r="BC2388" s="525" t="e">
        <f ca="1">MATCH(BD2388,OFFSET(Pinlist!$A$2,BC2387*(BA2388=BA2387),0,$BM$23,1),0)+BC2387*(BA2388=BA2387)</f>
        <v>#N/A</v>
      </c>
      <c r="BD2388" s="167">
        <f t="shared" ca="1" si="126"/>
        <v>0</v>
      </c>
      <c r="BE2388" s="191" t="e">
        <f ca="1">(OFFSET(Pinlist!$E$1,BC2388,0)-$BN$16)*$BN$19</f>
        <v>#N/A</v>
      </c>
      <c r="BF2388" s="192" t="e">
        <f ca="1">(OFFSET(Pinlist!$F$1,BC2388,0)-$BO$16)*$BO$19</f>
        <v>#N/A</v>
      </c>
      <c r="BG2388" s="1098" t="str">
        <f ca="1">IF(LEFT(BD2388,2)="RF",OFFSET(Pinlist!$D$1,Chart!BC2388,0)&amp;"_"&amp;OFFSET(Pinlist!$G$1,Chart!BC2388,0),"")</f>
        <v/>
      </c>
      <c r="BH2388" s="1098"/>
    </row>
    <row r="2389" spans="53:60" x14ac:dyDescent="0.2">
      <c r="BA2389" s="518">
        <f t="shared" ca="1" si="124"/>
        <v>61</v>
      </c>
      <c r="BB2389" s="174">
        <f t="shared" ca="1" si="125"/>
        <v>2326</v>
      </c>
      <c r="BC2389" s="525" t="e">
        <f ca="1">MATCH(BD2389,OFFSET(Pinlist!$A$2,BC2388*(BA2389=BA2388),0,$BM$23,1),0)+BC2388*(BA2389=BA2388)</f>
        <v>#N/A</v>
      </c>
      <c r="BD2389" s="167">
        <f t="shared" ca="1" si="126"/>
        <v>0</v>
      </c>
      <c r="BE2389" s="191" t="e">
        <f ca="1">(OFFSET(Pinlist!$E$1,BC2389,0)-$BN$16)*$BN$19</f>
        <v>#N/A</v>
      </c>
      <c r="BF2389" s="192" t="e">
        <f ca="1">(OFFSET(Pinlist!$F$1,BC2389,0)-$BO$16)*$BO$19</f>
        <v>#N/A</v>
      </c>
      <c r="BG2389" s="1098" t="str">
        <f ca="1">IF(LEFT(BD2389,2)="RF",OFFSET(Pinlist!$D$1,Chart!BC2389,0)&amp;"_"&amp;OFFSET(Pinlist!$G$1,Chart!BC2389,0),"")</f>
        <v/>
      </c>
      <c r="BH2389" s="1098"/>
    </row>
    <row r="2390" spans="53:60" x14ac:dyDescent="0.2">
      <c r="BA2390" s="518">
        <f t="shared" ca="1" si="124"/>
        <v>61</v>
      </c>
      <c r="BB2390" s="174">
        <f t="shared" ca="1" si="125"/>
        <v>2327</v>
      </c>
      <c r="BC2390" s="525" t="e">
        <f ca="1">MATCH(BD2390,OFFSET(Pinlist!$A$2,BC2389*(BA2390=BA2389),0,$BM$23,1),0)+BC2389*(BA2390=BA2389)</f>
        <v>#N/A</v>
      </c>
      <c r="BD2390" s="167">
        <f t="shared" ca="1" si="126"/>
        <v>0</v>
      </c>
      <c r="BE2390" s="191" t="e">
        <f ca="1">(OFFSET(Pinlist!$E$1,BC2390,0)-$BN$16)*$BN$19</f>
        <v>#N/A</v>
      </c>
      <c r="BF2390" s="192" t="e">
        <f ca="1">(OFFSET(Pinlist!$F$1,BC2390,0)-$BO$16)*$BO$19</f>
        <v>#N/A</v>
      </c>
      <c r="BG2390" s="1098" t="str">
        <f ca="1">IF(LEFT(BD2390,2)="RF",OFFSET(Pinlist!$D$1,Chart!BC2390,0)&amp;"_"&amp;OFFSET(Pinlist!$G$1,Chart!BC2390,0),"")</f>
        <v/>
      </c>
      <c r="BH2390" s="1098"/>
    </row>
    <row r="2391" spans="53:60" x14ac:dyDescent="0.2">
      <c r="BA2391" s="518">
        <f t="shared" ca="1" si="124"/>
        <v>61</v>
      </c>
      <c r="BB2391" s="174">
        <f t="shared" ca="1" si="125"/>
        <v>2328</v>
      </c>
      <c r="BC2391" s="525" t="e">
        <f ca="1">MATCH(BD2391,OFFSET(Pinlist!$A$2,BC2390*(BA2391=BA2390),0,$BM$23,1),0)+BC2390*(BA2391=BA2390)</f>
        <v>#N/A</v>
      </c>
      <c r="BD2391" s="167">
        <f t="shared" ca="1" si="126"/>
        <v>0</v>
      </c>
      <c r="BE2391" s="191" t="e">
        <f ca="1">(OFFSET(Pinlist!$E$1,BC2391,0)-$BN$16)*$BN$19</f>
        <v>#N/A</v>
      </c>
      <c r="BF2391" s="192" t="e">
        <f ca="1">(OFFSET(Pinlist!$F$1,BC2391,0)-$BO$16)*$BO$19</f>
        <v>#N/A</v>
      </c>
      <c r="BG2391" s="1098" t="str">
        <f ca="1">IF(LEFT(BD2391,2)="RF",OFFSET(Pinlist!$D$1,Chart!BC2391,0)&amp;"_"&amp;OFFSET(Pinlist!$G$1,Chart!BC2391,0),"")</f>
        <v/>
      </c>
      <c r="BH2391" s="1098"/>
    </row>
    <row r="2392" spans="53:60" x14ac:dyDescent="0.2">
      <c r="BA2392" s="518">
        <f t="shared" ca="1" si="124"/>
        <v>61</v>
      </c>
      <c r="BB2392" s="174">
        <f t="shared" ca="1" si="125"/>
        <v>2329</v>
      </c>
      <c r="BC2392" s="525" t="e">
        <f ca="1">MATCH(BD2392,OFFSET(Pinlist!$A$2,BC2391*(BA2392=BA2391),0,$BM$23,1),0)+BC2391*(BA2392=BA2391)</f>
        <v>#N/A</v>
      </c>
      <c r="BD2392" s="167">
        <f t="shared" ca="1" si="126"/>
        <v>0</v>
      </c>
      <c r="BE2392" s="191" t="e">
        <f ca="1">(OFFSET(Pinlist!$E$1,BC2392,0)-$BN$16)*$BN$19</f>
        <v>#N/A</v>
      </c>
      <c r="BF2392" s="192" t="e">
        <f ca="1">(OFFSET(Pinlist!$F$1,BC2392,0)-$BO$16)*$BO$19</f>
        <v>#N/A</v>
      </c>
      <c r="BG2392" s="1098" t="str">
        <f ca="1">IF(LEFT(BD2392,2)="RF",OFFSET(Pinlist!$D$1,Chart!BC2392,0)&amp;"_"&amp;OFFSET(Pinlist!$G$1,Chart!BC2392,0),"")</f>
        <v/>
      </c>
      <c r="BH2392" s="1098"/>
    </row>
    <row r="2393" spans="53:60" x14ac:dyDescent="0.2">
      <c r="BA2393" s="518">
        <f t="shared" ca="1" si="124"/>
        <v>61</v>
      </c>
      <c r="BB2393" s="174">
        <f t="shared" ca="1" si="125"/>
        <v>2330</v>
      </c>
      <c r="BC2393" s="525" t="e">
        <f ca="1">MATCH(BD2393,OFFSET(Pinlist!$A$2,BC2392*(BA2393=BA2392),0,$BM$23,1),0)+BC2392*(BA2393=BA2392)</f>
        <v>#N/A</v>
      </c>
      <c r="BD2393" s="167">
        <f t="shared" ca="1" si="126"/>
        <v>0</v>
      </c>
      <c r="BE2393" s="191" t="e">
        <f ca="1">(OFFSET(Pinlist!$E$1,BC2393,0)-$BN$16)*$BN$19</f>
        <v>#N/A</v>
      </c>
      <c r="BF2393" s="192" t="e">
        <f ca="1">(OFFSET(Pinlist!$F$1,BC2393,0)-$BO$16)*$BO$19</f>
        <v>#N/A</v>
      </c>
      <c r="BG2393" s="1098" t="str">
        <f ca="1">IF(LEFT(BD2393,2)="RF",OFFSET(Pinlist!$D$1,Chart!BC2393,0)&amp;"_"&amp;OFFSET(Pinlist!$G$1,Chart!BC2393,0),"")</f>
        <v/>
      </c>
      <c r="BH2393" s="1098"/>
    </row>
    <row r="2394" spans="53:60" x14ac:dyDescent="0.2">
      <c r="BA2394" s="518">
        <f t="shared" ca="1" si="124"/>
        <v>61</v>
      </c>
      <c r="BB2394" s="174">
        <f t="shared" ca="1" si="125"/>
        <v>2331</v>
      </c>
      <c r="BC2394" s="525" t="e">
        <f ca="1">MATCH(BD2394,OFFSET(Pinlist!$A$2,BC2393*(BA2394=BA2393),0,$BM$23,1),0)+BC2393*(BA2394=BA2393)</f>
        <v>#N/A</v>
      </c>
      <c r="BD2394" s="167">
        <f t="shared" ca="1" si="126"/>
        <v>0</v>
      </c>
      <c r="BE2394" s="191" t="e">
        <f ca="1">(OFFSET(Pinlist!$E$1,BC2394,0)-$BN$16)*$BN$19</f>
        <v>#N/A</v>
      </c>
      <c r="BF2394" s="192" t="e">
        <f ca="1">(OFFSET(Pinlist!$F$1,BC2394,0)-$BO$16)*$BO$19</f>
        <v>#N/A</v>
      </c>
      <c r="BG2394" s="1098" t="str">
        <f ca="1">IF(LEFT(BD2394,2)="RF",OFFSET(Pinlist!$D$1,Chart!BC2394,0)&amp;"_"&amp;OFFSET(Pinlist!$G$1,Chart!BC2394,0),"")</f>
        <v/>
      </c>
      <c r="BH2394" s="1098"/>
    </row>
    <row r="2395" spans="53:60" x14ac:dyDescent="0.2">
      <c r="BA2395" s="518">
        <f t="shared" ca="1" si="124"/>
        <v>61</v>
      </c>
      <c r="BB2395" s="174">
        <f t="shared" ca="1" si="125"/>
        <v>2332</v>
      </c>
      <c r="BC2395" s="525" t="e">
        <f ca="1">MATCH(BD2395,OFFSET(Pinlist!$A$2,BC2394*(BA2395=BA2394),0,$BM$23,1),0)+BC2394*(BA2395=BA2394)</f>
        <v>#N/A</v>
      </c>
      <c r="BD2395" s="167">
        <f t="shared" ca="1" si="126"/>
        <v>0</v>
      </c>
      <c r="BE2395" s="191" t="e">
        <f ca="1">(OFFSET(Pinlist!$E$1,BC2395,0)-$BN$16)*$BN$19</f>
        <v>#N/A</v>
      </c>
      <c r="BF2395" s="192" t="e">
        <f ca="1">(OFFSET(Pinlist!$F$1,BC2395,0)-$BO$16)*$BO$19</f>
        <v>#N/A</v>
      </c>
      <c r="BG2395" s="1098" t="str">
        <f ca="1">IF(LEFT(BD2395,2)="RF",OFFSET(Pinlist!$D$1,Chart!BC2395,0)&amp;"_"&amp;OFFSET(Pinlist!$G$1,Chart!BC2395,0),"")</f>
        <v/>
      </c>
      <c r="BH2395" s="1098"/>
    </row>
    <row r="2396" spans="53:60" x14ac:dyDescent="0.2">
      <c r="BA2396" s="518">
        <f t="shared" ca="1" si="124"/>
        <v>61</v>
      </c>
      <c r="BB2396" s="174">
        <f t="shared" ca="1" si="125"/>
        <v>2333</v>
      </c>
      <c r="BC2396" s="525" t="e">
        <f ca="1">MATCH(BD2396,OFFSET(Pinlist!$A$2,BC2395*(BA2396=BA2395),0,$BM$23,1),0)+BC2395*(BA2396=BA2395)</f>
        <v>#N/A</v>
      </c>
      <c r="BD2396" s="167">
        <f t="shared" ca="1" si="126"/>
        <v>0</v>
      </c>
      <c r="BE2396" s="191" t="e">
        <f ca="1">(OFFSET(Pinlist!$E$1,BC2396,0)-$BN$16)*$BN$19</f>
        <v>#N/A</v>
      </c>
      <c r="BF2396" s="192" t="e">
        <f ca="1">(OFFSET(Pinlist!$F$1,BC2396,0)-$BO$16)*$BO$19</f>
        <v>#N/A</v>
      </c>
      <c r="BG2396" s="1098" t="str">
        <f ca="1">IF(LEFT(BD2396,2)="RF",OFFSET(Pinlist!$D$1,Chart!BC2396,0)&amp;"_"&amp;OFFSET(Pinlist!$G$1,Chart!BC2396,0),"")</f>
        <v/>
      </c>
      <c r="BH2396" s="1098"/>
    </row>
    <row r="2397" spans="53:60" x14ac:dyDescent="0.2">
      <c r="BA2397" s="518">
        <f t="shared" ca="1" si="124"/>
        <v>61</v>
      </c>
      <c r="BB2397" s="174">
        <f t="shared" ca="1" si="125"/>
        <v>2334</v>
      </c>
      <c r="BC2397" s="525" t="e">
        <f ca="1">MATCH(BD2397,OFFSET(Pinlist!$A$2,BC2396*(BA2397=BA2396),0,$BM$23,1),0)+BC2396*(BA2397=BA2396)</f>
        <v>#N/A</v>
      </c>
      <c r="BD2397" s="167">
        <f t="shared" ca="1" si="126"/>
        <v>0</v>
      </c>
      <c r="BE2397" s="191" t="e">
        <f ca="1">(OFFSET(Pinlist!$E$1,BC2397,0)-$BN$16)*$BN$19</f>
        <v>#N/A</v>
      </c>
      <c r="BF2397" s="192" t="e">
        <f ca="1">(OFFSET(Pinlist!$F$1,BC2397,0)-$BO$16)*$BO$19</f>
        <v>#N/A</v>
      </c>
      <c r="BG2397" s="1098" t="str">
        <f ca="1">IF(LEFT(BD2397,2)="RF",OFFSET(Pinlist!$D$1,Chart!BC2397,0)&amp;"_"&amp;OFFSET(Pinlist!$G$1,Chart!BC2397,0),"")</f>
        <v/>
      </c>
      <c r="BH2397" s="1098"/>
    </row>
    <row r="2398" spans="53:60" x14ac:dyDescent="0.2">
      <c r="BA2398" s="518">
        <f t="shared" ca="1" si="124"/>
        <v>61</v>
      </c>
      <c r="BB2398" s="174">
        <f t="shared" ca="1" si="125"/>
        <v>2335</v>
      </c>
      <c r="BC2398" s="525" t="e">
        <f ca="1">MATCH(BD2398,OFFSET(Pinlist!$A$2,BC2397*(BA2398=BA2397),0,$BM$23,1),0)+BC2397*(BA2398=BA2397)</f>
        <v>#N/A</v>
      </c>
      <c r="BD2398" s="167">
        <f t="shared" ca="1" si="126"/>
        <v>0</v>
      </c>
      <c r="BE2398" s="191" t="e">
        <f ca="1">(OFFSET(Pinlist!$E$1,BC2398,0)-$BN$16)*$BN$19</f>
        <v>#N/A</v>
      </c>
      <c r="BF2398" s="192" t="e">
        <f ca="1">(OFFSET(Pinlist!$F$1,BC2398,0)-$BO$16)*$BO$19</f>
        <v>#N/A</v>
      </c>
      <c r="BG2398" s="1098" t="str">
        <f ca="1">IF(LEFT(BD2398,2)="RF",OFFSET(Pinlist!$D$1,Chart!BC2398,0)&amp;"_"&amp;OFFSET(Pinlist!$G$1,Chart!BC2398,0),"")</f>
        <v/>
      </c>
      <c r="BH2398" s="1098"/>
    </row>
    <row r="2399" spans="53:60" x14ac:dyDescent="0.2">
      <c r="BA2399" s="518">
        <f t="shared" ca="1" si="124"/>
        <v>61</v>
      </c>
      <c r="BB2399" s="174">
        <f t="shared" ca="1" si="125"/>
        <v>2336</v>
      </c>
      <c r="BC2399" s="525" t="e">
        <f ca="1">MATCH(BD2399,OFFSET(Pinlist!$A$2,BC2398*(BA2399=BA2398),0,$BM$23,1),0)+BC2398*(BA2399=BA2398)</f>
        <v>#N/A</v>
      </c>
      <c r="BD2399" s="167">
        <f t="shared" ca="1" si="126"/>
        <v>0</v>
      </c>
      <c r="BE2399" s="191" t="e">
        <f ca="1">(OFFSET(Pinlist!$E$1,BC2399,0)-$BN$16)*$BN$19</f>
        <v>#N/A</v>
      </c>
      <c r="BF2399" s="192" t="e">
        <f ca="1">(OFFSET(Pinlist!$F$1,BC2399,0)-$BO$16)*$BO$19</f>
        <v>#N/A</v>
      </c>
      <c r="BG2399" s="1098" t="str">
        <f ca="1">IF(LEFT(BD2399,2)="RF",OFFSET(Pinlist!$D$1,Chart!BC2399,0)&amp;"_"&amp;OFFSET(Pinlist!$G$1,Chart!BC2399,0),"")</f>
        <v/>
      </c>
      <c r="BH2399" s="1098"/>
    </row>
    <row r="2400" spans="53:60" x14ac:dyDescent="0.2">
      <c r="BA2400" s="518">
        <f t="shared" ca="1" si="124"/>
        <v>61</v>
      </c>
      <c r="BB2400" s="174">
        <f t="shared" ca="1" si="125"/>
        <v>2337</v>
      </c>
      <c r="BC2400" s="525" t="e">
        <f ca="1">MATCH(BD2400,OFFSET(Pinlist!$A$2,BC2399*(BA2400=BA2399),0,$BM$23,1),0)+BC2399*(BA2400=BA2399)</f>
        <v>#N/A</v>
      </c>
      <c r="BD2400" s="167">
        <f t="shared" ca="1" si="126"/>
        <v>0</v>
      </c>
      <c r="BE2400" s="191" t="e">
        <f ca="1">(OFFSET(Pinlist!$E$1,BC2400,0)-$BN$16)*$BN$19</f>
        <v>#N/A</v>
      </c>
      <c r="BF2400" s="192" t="e">
        <f ca="1">(OFFSET(Pinlist!$F$1,BC2400,0)-$BO$16)*$BO$19</f>
        <v>#N/A</v>
      </c>
      <c r="BG2400" s="1098" t="str">
        <f ca="1">IF(LEFT(BD2400,2)="RF",OFFSET(Pinlist!$D$1,Chart!BC2400,0)&amp;"_"&amp;OFFSET(Pinlist!$G$1,Chart!BC2400,0),"")</f>
        <v/>
      </c>
      <c r="BH2400" s="1098"/>
    </row>
    <row r="2401" spans="53:60" x14ac:dyDescent="0.2">
      <c r="BA2401" s="518">
        <f t="shared" ca="1" si="124"/>
        <v>61</v>
      </c>
      <c r="BB2401" s="174">
        <f t="shared" ca="1" si="125"/>
        <v>2338</v>
      </c>
      <c r="BC2401" s="525" t="e">
        <f ca="1">MATCH(BD2401,OFFSET(Pinlist!$A$2,BC2400*(BA2401=BA2400),0,$BM$23,1),0)+BC2400*(BA2401=BA2400)</f>
        <v>#N/A</v>
      </c>
      <c r="BD2401" s="167">
        <f t="shared" ca="1" si="126"/>
        <v>0</v>
      </c>
      <c r="BE2401" s="191" t="e">
        <f ca="1">(OFFSET(Pinlist!$E$1,BC2401,0)-$BN$16)*$BN$19</f>
        <v>#N/A</v>
      </c>
      <c r="BF2401" s="192" t="e">
        <f ca="1">(OFFSET(Pinlist!$F$1,BC2401,0)-$BO$16)*$BO$19</f>
        <v>#N/A</v>
      </c>
      <c r="BG2401" s="1098" t="str">
        <f ca="1">IF(LEFT(BD2401,2)="RF",OFFSET(Pinlist!$D$1,Chart!BC2401,0)&amp;"_"&amp;OFFSET(Pinlist!$G$1,Chart!BC2401,0),"")</f>
        <v/>
      </c>
      <c r="BH2401" s="1098"/>
    </row>
    <row r="2402" spans="53:60" x14ac:dyDescent="0.2">
      <c r="BA2402" s="518">
        <f t="shared" ca="1" si="124"/>
        <v>61</v>
      </c>
      <c r="BB2402" s="174">
        <f t="shared" ca="1" si="125"/>
        <v>2339</v>
      </c>
      <c r="BC2402" s="525" t="e">
        <f ca="1">MATCH(BD2402,OFFSET(Pinlist!$A$2,BC2401*(BA2402=BA2401),0,$BM$23,1),0)+BC2401*(BA2402=BA2401)</f>
        <v>#N/A</v>
      </c>
      <c r="BD2402" s="167">
        <f t="shared" ca="1" si="126"/>
        <v>0</v>
      </c>
      <c r="BE2402" s="191" t="e">
        <f ca="1">(OFFSET(Pinlist!$E$1,BC2402,0)-$BN$16)*$BN$19</f>
        <v>#N/A</v>
      </c>
      <c r="BF2402" s="192" t="e">
        <f ca="1">(OFFSET(Pinlist!$F$1,BC2402,0)-$BO$16)*$BO$19</f>
        <v>#N/A</v>
      </c>
      <c r="BG2402" s="1098" t="str">
        <f ca="1">IF(LEFT(BD2402,2)="RF",OFFSET(Pinlist!$D$1,Chart!BC2402,0)&amp;"_"&amp;OFFSET(Pinlist!$G$1,Chart!BC2402,0),"")</f>
        <v/>
      </c>
      <c r="BH2402" s="1098"/>
    </row>
    <row r="2403" spans="53:60" x14ac:dyDescent="0.2">
      <c r="BA2403" s="518">
        <f t="shared" ca="1" si="124"/>
        <v>61</v>
      </c>
      <c r="BB2403" s="174">
        <f t="shared" ca="1" si="125"/>
        <v>2340</v>
      </c>
      <c r="BC2403" s="525" t="e">
        <f ca="1">MATCH(BD2403,OFFSET(Pinlist!$A$2,BC2402*(BA2403=BA2402),0,$BM$23,1),0)+BC2402*(BA2403=BA2402)</f>
        <v>#N/A</v>
      </c>
      <c r="BD2403" s="167">
        <f t="shared" ca="1" si="126"/>
        <v>0</v>
      </c>
      <c r="BE2403" s="191" t="e">
        <f ca="1">(OFFSET(Pinlist!$E$1,BC2403,0)-$BN$16)*$BN$19</f>
        <v>#N/A</v>
      </c>
      <c r="BF2403" s="192" t="e">
        <f ca="1">(OFFSET(Pinlist!$F$1,BC2403,0)-$BO$16)*$BO$19</f>
        <v>#N/A</v>
      </c>
      <c r="BG2403" s="1098" t="str">
        <f ca="1">IF(LEFT(BD2403,2)="RF",OFFSET(Pinlist!$D$1,Chart!BC2403,0)&amp;"_"&amp;OFFSET(Pinlist!$G$1,Chart!BC2403,0),"")</f>
        <v/>
      </c>
      <c r="BH2403" s="1098"/>
    </row>
    <row r="2404" spans="53:60" x14ac:dyDescent="0.2">
      <c r="BA2404" s="518">
        <f t="shared" ca="1" si="124"/>
        <v>61</v>
      </c>
      <c r="BB2404" s="174">
        <f t="shared" ca="1" si="125"/>
        <v>2341</v>
      </c>
      <c r="BC2404" s="525" t="e">
        <f ca="1">MATCH(BD2404,OFFSET(Pinlist!$A$2,BC2403*(BA2404=BA2403),0,$BM$23,1),0)+BC2403*(BA2404=BA2403)</f>
        <v>#N/A</v>
      </c>
      <c r="BD2404" s="167">
        <f t="shared" ca="1" si="126"/>
        <v>0</v>
      </c>
      <c r="BE2404" s="191" t="e">
        <f ca="1">(OFFSET(Pinlist!$E$1,BC2404,0)-$BN$16)*$BN$19</f>
        <v>#N/A</v>
      </c>
      <c r="BF2404" s="192" t="e">
        <f ca="1">(OFFSET(Pinlist!$F$1,BC2404,0)-$BO$16)*$BO$19</f>
        <v>#N/A</v>
      </c>
      <c r="BG2404" s="1098" t="str">
        <f ca="1">IF(LEFT(BD2404,2)="RF",OFFSET(Pinlist!$D$1,Chart!BC2404,0)&amp;"_"&amp;OFFSET(Pinlist!$G$1,Chart!BC2404,0),"")</f>
        <v/>
      </c>
      <c r="BH2404" s="1098"/>
    </row>
    <row r="2405" spans="53:60" x14ac:dyDescent="0.2">
      <c r="BA2405" s="518">
        <f t="shared" ca="1" si="124"/>
        <v>61</v>
      </c>
      <c r="BB2405" s="174">
        <f t="shared" ca="1" si="125"/>
        <v>2342</v>
      </c>
      <c r="BC2405" s="525" t="e">
        <f ca="1">MATCH(BD2405,OFFSET(Pinlist!$A$2,BC2404*(BA2405=BA2404),0,$BM$23,1),0)+BC2404*(BA2405=BA2404)</f>
        <v>#N/A</v>
      </c>
      <c r="BD2405" s="167">
        <f t="shared" ca="1" si="126"/>
        <v>0</v>
      </c>
      <c r="BE2405" s="191" t="e">
        <f ca="1">(OFFSET(Pinlist!$E$1,BC2405,0)-$BN$16)*$BN$19</f>
        <v>#N/A</v>
      </c>
      <c r="BF2405" s="192" t="e">
        <f ca="1">(OFFSET(Pinlist!$F$1,BC2405,0)-$BO$16)*$BO$19</f>
        <v>#N/A</v>
      </c>
      <c r="BG2405" s="1098" t="str">
        <f ca="1">IF(LEFT(BD2405,2)="RF",OFFSET(Pinlist!$D$1,Chart!BC2405,0)&amp;"_"&amp;OFFSET(Pinlist!$G$1,Chart!BC2405,0),"")</f>
        <v/>
      </c>
      <c r="BH2405" s="1098"/>
    </row>
    <row r="2406" spans="53:60" x14ac:dyDescent="0.2">
      <c r="BA2406" s="518">
        <f t="shared" ca="1" si="124"/>
        <v>61</v>
      </c>
      <c r="BB2406" s="174">
        <f t="shared" ca="1" si="125"/>
        <v>2343</v>
      </c>
      <c r="BC2406" s="525" t="e">
        <f ca="1">MATCH(BD2406,OFFSET(Pinlist!$A$2,BC2405*(BA2406=BA2405),0,$BM$23,1),0)+BC2405*(BA2406=BA2405)</f>
        <v>#N/A</v>
      </c>
      <c r="BD2406" s="167">
        <f t="shared" ca="1" si="126"/>
        <v>0</v>
      </c>
      <c r="BE2406" s="191" t="e">
        <f ca="1">(OFFSET(Pinlist!$E$1,BC2406,0)-$BN$16)*$BN$19</f>
        <v>#N/A</v>
      </c>
      <c r="BF2406" s="192" t="e">
        <f ca="1">(OFFSET(Pinlist!$F$1,BC2406,0)-$BO$16)*$BO$19</f>
        <v>#N/A</v>
      </c>
      <c r="BG2406" s="1098" t="str">
        <f ca="1">IF(LEFT(BD2406,2)="RF",OFFSET(Pinlist!$D$1,Chart!BC2406,0)&amp;"_"&amp;OFFSET(Pinlist!$G$1,Chart!BC2406,0),"")</f>
        <v/>
      </c>
      <c r="BH2406" s="1098"/>
    </row>
    <row r="2407" spans="53:60" x14ac:dyDescent="0.2">
      <c r="BA2407" s="518">
        <f t="shared" ca="1" si="124"/>
        <v>61</v>
      </c>
      <c r="BB2407" s="174">
        <f t="shared" ca="1" si="125"/>
        <v>2344</v>
      </c>
      <c r="BC2407" s="525" t="e">
        <f ca="1">MATCH(BD2407,OFFSET(Pinlist!$A$2,BC2406*(BA2407=BA2406),0,$BM$23,1),0)+BC2406*(BA2407=BA2406)</f>
        <v>#N/A</v>
      </c>
      <c r="BD2407" s="167">
        <f t="shared" ca="1" si="126"/>
        <v>0</v>
      </c>
      <c r="BE2407" s="191" t="e">
        <f ca="1">(OFFSET(Pinlist!$E$1,BC2407,0)-$BN$16)*$BN$19</f>
        <v>#N/A</v>
      </c>
      <c r="BF2407" s="192" t="e">
        <f ca="1">(OFFSET(Pinlist!$F$1,BC2407,0)-$BO$16)*$BO$19</f>
        <v>#N/A</v>
      </c>
      <c r="BG2407" s="1098" t="str">
        <f ca="1">IF(LEFT(BD2407,2)="RF",OFFSET(Pinlist!$D$1,Chart!BC2407,0)&amp;"_"&amp;OFFSET(Pinlist!$G$1,Chart!BC2407,0),"")</f>
        <v/>
      </c>
      <c r="BH2407" s="1098"/>
    </row>
    <row r="2408" spans="53:60" x14ac:dyDescent="0.2">
      <c r="BA2408" s="518">
        <f t="shared" ca="1" si="124"/>
        <v>61</v>
      </c>
      <c r="BB2408" s="174">
        <f t="shared" ca="1" si="125"/>
        <v>2345</v>
      </c>
      <c r="BC2408" s="525" t="e">
        <f ca="1">MATCH(BD2408,OFFSET(Pinlist!$A$2,BC2407*(BA2408=BA2407),0,$BM$23,1),0)+BC2407*(BA2408=BA2407)</f>
        <v>#N/A</v>
      </c>
      <c r="BD2408" s="167">
        <f t="shared" ca="1" si="126"/>
        <v>0</v>
      </c>
      <c r="BE2408" s="191" t="e">
        <f ca="1">(OFFSET(Pinlist!$E$1,BC2408,0)-$BN$16)*$BN$19</f>
        <v>#N/A</v>
      </c>
      <c r="BF2408" s="192" t="e">
        <f ca="1">(OFFSET(Pinlist!$F$1,BC2408,0)-$BO$16)*$BO$19</f>
        <v>#N/A</v>
      </c>
      <c r="BG2408" s="1098" t="str">
        <f ca="1">IF(LEFT(BD2408,2)="RF",OFFSET(Pinlist!$D$1,Chart!BC2408,0)&amp;"_"&amp;OFFSET(Pinlist!$G$1,Chart!BC2408,0),"")</f>
        <v/>
      </c>
      <c r="BH2408" s="1098"/>
    </row>
    <row r="2409" spans="53:60" x14ac:dyDescent="0.2">
      <c r="BA2409" s="518">
        <f t="shared" ca="1" si="124"/>
        <v>61</v>
      </c>
      <c r="BB2409" s="174">
        <f t="shared" ca="1" si="125"/>
        <v>2346</v>
      </c>
      <c r="BC2409" s="525" t="e">
        <f ca="1">MATCH(BD2409,OFFSET(Pinlist!$A$2,BC2408*(BA2409=BA2408),0,$BM$23,1),0)+BC2408*(BA2409=BA2408)</f>
        <v>#N/A</v>
      </c>
      <c r="BD2409" s="167">
        <f t="shared" ca="1" si="126"/>
        <v>0</v>
      </c>
      <c r="BE2409" s="191" t="e">
        <f ca="1">(OFFSET(Pinlist!$E$1,BC2409,0)-$BN$16)*$BN$19</f>
        <v>#N/A</v>
      </c>
      <c r="BF2409" s="192" t="e">
        <f ca="1">(OFFSET(Pinlist!$F$1,BC2409,0)-$BO$16)*$BO$19</f>
        <v>#N/A</v>
      </c>
      <c r="BG2409" s="1098" t="str">
        <f ca="1">IF(LEFT(BD2409,2)="RF",OFFSET(Pinlist!$D$1,Chart!BC2409,0)&amp;"_"&amp;OFFSET(Pinlist!$G$1,Chart!BC2409,0),"")</f>
        <v/>
      </c>
      <c r="BH2409" s="1098"/>
    </row>
    <row r="2410" spans="53:60" x14ac:dyDescent="0.2">
      <c r="BA2410" s="518">
        <f t="shared" ca="1" si="124"/>
        <v>61</v>
      </c>
      <c r="BB2410" s="174">
        <f t="shared" ca="1" si="125"/>
        <v>2347</v>
      </c>
      <c r="BC2410" s="525" t="e">
        <f ca="1">MATCH(BD2410,OFFSET(Pinlist!$A$2,BC2409*(BA2410=BA2409),0,$BM$23,1),0)+BC2409*(BA2410=BA2409)</f>
        <v>#N/A</v>
      </c>
      <c r="BD2410" s="167">
        <f t="shared" ca="1" si="126"/>
        <v>0</v>
      </c>
      <c r="BE2410" s="191" t="e">
        <f ca="1">(OFFSET(Pinlist!$E$1,BC2410,0)-$BN$16)*$BN$19</f>
        <v>#N/A</v>
      </c>
      <c r="BF2410" s="192" t="e">
        <f ca="1">(OFFSET(Pinlist!$F$1,BC2410,0)-$BO$16)*$BO$19</f>
        <v>#N/A</v>
      </c>
      <c r="BG2410" s="1098" t="str">
        <f ca="1">IF(LEFT(BD2410,2)="RF",OFFSET(Pinlist!$D$1,Chart!BC2410,0)&amp;"_"&amp;OFFSET(Pinlist!$G$1,Chart!BC2410,0),"")</f>
        <v/>
      </c>
      <c r="BH2410" s="1098"/>
    </row>
    <row r="2411" spans="53:60" x14ac:dyDescent="0.2">
      <c r="BA2411" s="518">
        <f t="shared" ca="1" si="124"/>
        <v>61</v>
      </c>
      <c r="BB2411" s="174">
        <f t="shared" ca="1" si="125"/>
        <v>2348</v>
      </c>
      <c r="BC2411" s="525" t="e">
        <f ca="1">MATCH(BD2411,OFFSET(Pinlist!$A$2,BC2410*(BA2411=BA2410),0,$BM$23,1),0)+BC2410*(BA2411=BA2410)</f>
        <v>#N/A</v>
      </c>
      <c r="BD2411" s="167">
        <f t="shared" ca="1" si="126"/>
        <v>0</v>
      </c>
      <c r="BE2411" s="191" t="e">
        <f ca="1">(OFFSET(Pinlist!$E$1,BC2411,0)-$BN$16)*$BN$19</f>
        <v>#N/A</v>
      </c>
      <c r="BF2411" s="192" t="e">
        <f ca="1">(OFFSET(Pinlist!$F$1,BC2411,0)-$BO$16)*$BO$19</f>
        <v>#N/A</v>
      </c>
      <c r="BG2411" s="1098" t="str">
        <f ca="1">IF(LEFT(BD2411,2)="RF",OFFSET(Pinlist!$D$1,Chart!BC2411,0)&amp;"_"&amp;OFFSET(Pinlist!$G$1,Chart!BC2411,0),"")</f>
        <v/>
      </c>
      <c r="BH2411" s="1098"/>
    </row>
    <row r="2412" spans="53:60" x14ac:dyDescent="0.2">
      <c r="BA2412" s="518">
        <f t="shared" ca="1" si="124"/>
        <v>61</v>
      </c>
      <c r="BB2412" s="174">
        <f t="shared" ca="1" si="125"/>
        <v>2349</v>
      </c>
      <c r="BC2412" s="525" t="e">
        <f ca="1">MATCH(BD2412,OFFSET(Pinlist!$A$2,BC2411*(BA2412=BA2411),0,$BM$23,1),0)+BC2411*(BA2412=BA2411)</f>
        <v>#N/A</v>
      </c>
      <c r="BD2412" s="167">
        <f t="shared" ca="1" si="126"/>
        <v>0</v>
      </c>
      <c r="BE2412" s="191" t="e">
        <f ca="1">(OFFSET(Pinlist!$E$1,BC2412,0)-$BN$16)*$BN$19</f>
        <v>#N/A</v>
      </c>
      <c r="BF2412" s="192" t="e">
        <f ca="1">(OFFSET(Pinlist!$F$1,BC2412,0)-$BO$16)*$BO$19</f>
        <v>#N/A</v>
      </c>
      <c r="BG2412" s="1098" t="str">
        <f ca="1">IF(LEFT(BD2412,2)="RF",OFFSET(Pinlist!$D$1,Chart!BC2412,0)&amp;"_"&amp;OFFSET(Pinlist!$G$1,Chart!BC2412,0),"")</f>
        <v/>
      </c>
      <c r="BH2412" s="1098"/>
    </row>
    <row r="2413" spans="53:60" x14ac:dyDescent="0.2">
      <c r="BA2413" s="518">
        <f t="shared" ca="1" si="124"/>
        <v>61</v>
      </c>
      <c r="BB2413" s="174">
        <f t="shared" ca="1" si="125"/>
        <v>2350</v>
      </c>
      <c r="BC2413" s="525" t="e">
        <f ca="1">MATCH(BD2413,OFFSET(Pinlist!$A$2,BC2412*(BA2413=BA2412),0,$BM$23,1),0)+BC2412*(BA2413=BA2412)</f>
        <v>#N/A</v>
      </c>
      <c r="BD2413" s="167">
        <f t="shared" ca="1" si="126"/>
        <v>0</v>
      </c>
      <c r="BE2413" s="191" t="e">
        <f ca="1">(OFFSET(Pinlist!$E$1,BC2413,0)-$BN$16)*$BN$19</f>
        <v>#N/A</v>
      </c>
      <c r="BF2413" s="192" t="e">
        <f ca="1">(OFFSET(Pinlist!$F$1,BC2413,0)-$BO$16)*$BO$19</f>
        <v>#N/A</v>
      </c>
      <c r="BG2413" s="1098" t="str">
        <f ca="1">IF(LEFT(BD2413,2)="RF",OFFSET(Pinlist!$D$1,Chart!BC2413,0)&amp;"_"&amp;OFFSET(Pinlist!$G$1,Chart!BC2413,0),"")</f>
        <v/>
      </c>
      <c r="BH2413" s="1098"/>
    </row>
    <row r="2414" spans="53:60" x14ac:dyDescent="0.2">
      <c r="BA2414" s="518">
        <f t="shared" ca="1" si="124"/>
        <v>61</v>
      </c>
      <c r="BB2414" s="174">
        <f t="shared" ca="1" si="125"/>
        <v>2351</v>
      </c>
      <c r="BC2414" s="525" t="e">
        <f ca="1">MATCH(BD2414,OFFSET(Pinlist!$A$2,BC2413*(BA2414=BA2413),0,$BM$23,1),0)+BC2413*(BA2414=BA2413)</f>
        <v>#N/A</v>
      </c>
      <c r="BD2414" s="167">
        <f t="shared" ca="1" si="126"/>
        <v>0</v>
      </c>
      <c r="BE2414" s="191" t="e">
        <f ca="1">(OFFSET(Pinlist!$E$1,BC2414,0)-$BN$16)*$BN$19</f>
        <v>#N/A</v>
      </c>
      <c r="BF2414" s="192" t="e">
        <f ca="1">(OFFSET(Pinlist!$F$1,BC2414,0)-$BO$16)*$BO$19</f>
        <v>#N/A</v>
      </c>
      <c r="BG2414" s="1098" t="str">
        <f ca="1">IF(LEFT(BD2414,2)="RF",OFFSET(Pinlist!$D$1,Chart!BC2414,0)&amp;"_"&amp;OFFSET(Pinlist!$G$1,Chart!BC2414,0),"")</f>
        <v/>
      </c>
      <c r="BH2414" s="1098"/>
    </row>
    <row r="2415" spans="53:60" x14ac:dyDescent="0.2">
      <c r="BA2415" s="518">
        <f t="shared" ca="1" si="124"/>
        <v>61</v>
      </c>
      <c r="BB2415" s="174">
        <f t="shared" ca="1" si="125"/>
        <v>2352</v>
      </c>
      <c r="BC2415" s="525" t="e">
        <f ca="1">MATCH(BD2415,OFFSET(Pinlist!$A$2,BC2414*(BA2415=BA2414),0,$BM$23,1),0)+BC2414*(BA2415=BA2414)</f>
        <v>#N/A</v>
      </c>
      <c r="BD2415" s="167">
        <f t="shared" ca="1" si="126"/>
        <v>0</v>
      </c>
      <c r="BE2415" s="191" t="e">
        <f ca="1">(OFFSET(Pinlist!$E$1,BC2415,0)-$BN$16)*$BN$19</f>
        <v>#N/A</v>
      </c>
      <c r="BF2415" s="192" t="e">
        <f ca="1">(OFFSET(Pinlist!$F$1,BC2415,0)-$BO$16)*$BO$19</f>
        <v>#N/A</v>
      </c>
      <c r="BG2415" s="1098" t="str">
        <f ca="1">IF(LEFT(BD2415,2)="RF",OFFSET(Pinlist!$D$1,Chart!BC2415,0)&amp;"_"&amp;OFFSET(Pinlist!$G$1,Chart!BC2415,0),"")</f>
        <v/>
      </c>
      <c r="BH2415" s="1098"/>
    </row>
    <row r="2416" spans="53:60" x14ac:dyDescent="0.2">
      <c r="BA2416" s="518">
        <f t="shared" ca="1" si="124"/>
        <v>61</v>
      </c>
      <c r="BB2416" s="174">
        <f t="shared" ca="1" si="125"/>
        <v>2353</v>
      </c>
      <c r="BC2416" s="525" t="e">
        <f ca="1">MATCH(BD2416,OFFSET(Pinlist!$A$2,BC2415*(BA2416=BA2415),0,$BM$23,1),0)+BC2415*(BA2416=BA2415)</f>
        <v>#N/A</v>
      </c>
      <c r="BD2416" s="167">
        <f t="shared" ca="1" si="126"/>
        <v>0</v>
      </c>
      <c r="BE2416" s="191" t="e">
        <f ca="1">(OFFSET(Pinlist!$E$1,BC2416,0)-$BN$16)*$BN$19</f>
        <v>#N/A</v>
      </c>
      <c r="BF2416" s="192" t="e">
        <f ca="1">(OFFSET(Pinlist!$F$1,BC2416,0)-$BO$16)*$BO$19</f>
        <v>#N/A</v>
      </c>
      <c r="BG2416" s="1098" t="str">
        <f ca="1">IF(LEFT(BD2416,2)="RF",OFFSET(Pinlist!$D$1,Chart!BC2416,0)&amp;"_"&amp;OFFSET(Pinlist!$G$1,Chart!BC2416,0),"")</f>
        <v/>
      </c>
      <c r="BH2416" s="1098"/>
    </row>
    <row r="2417" spans="53:60" x14ac:dyDescent="0.2">
      <c r="BA2417" s="518">
        <f t="shared" ca="1" si="124"/>
        <v>61</v>
      </c>
      <c r="BB2417" s="174">
        <f t="shared" ca="1" si="125"/>
        <v>2354</v>
      </c>
      <c r="BC2417" s="525" t="e">
        <f ca="1">MATCH(BD2417,OFFSET(Pinlist!$A$2,BC2416*(BA2417=BA2416),0,$BM$23,1),0)+BC2416*(BA2417=BA2416)</f>
        <v>#N/A</v>
      </c>
      <c r="BD2417" s="167">
        <f t="shared" ca="1" si="126"/>
        <v>0</v>
      </c>
      <c r="BE2417" s="191" t="e">
        <f ca="1">(OFFSET(Pinlist!$E$1,BC2417,0)-$BN$16)*$BN$19</f>
        <v>#N/A</v>
      </c>
      <c r="BF2417" s="192" t="e">
        <f ca="1">(OFFSET(Pinlist!$F$1,BC2417,0)-$BO$16)*$BO$19</f>
        <v>#N/A</v>
      </c>
      <c r="BG2417" s="1098" t="str">
        <f ca="1">IF(LEFT(BD2417,2)="RF",OFFSET(Pinlist!$D$1,Chart!BC2417,0)&amp;"_"&amp;OFFSET(Pinlist!$G$1,Chart!BC2417,0),"")</f>
        <v/>
      </c>
      <c r="BH2417" s="1098"/>
    </row>
    <row r="2418" spans="53:60" x14ac:dyDescent="0.2">
      <c r="BA2418" s="518">
        <f t="shared" ca="1" si="124"/>
        <v>61</v>
      </c>
      <c r="BB2418" s="174">
        <f t="shared" ca="1" si="125"/>
        <v>2355</v>
      </c>
      <c r="BC2418" s="525" t="e">
        <f ca="1">MATCH(BD2418,OFFSET(Pinlist!$A$2,BC2417*(BA2418=BA2417),0,$BM$23,1),0)+BC2417*(BA2418=BA2417)</f>
        <v>#N/A</v>
      </c>
      <c r="BD2418" s="167">
        <f t="shared" ca="1" si="126"/>
        <v>0</v>
      </c>
      <c r="BE2418" s="191" t="e">
        <f ca="1">(OFFSET(Pinlist!$E$1,BC2418,0)-$BN$16)*$BN$19</f>
        <v>#N/A</v>
      </c>
      <c r="BF2418" s="192" t="e">
        <f ca="1">(OFFSET(Pinlist!$F$1,BC2418,0)-$BO$16)*$BO$19</f>
        <v>#N/A</v>
      </c>
      <c r="BG2418" s="1098" t="str">
        <f ca="1">IF(LEFT(BD2418,2)="RF",OFFSET(Pinlist!$D$1,Chart!BC2418,0)&amp;"_"&amp;OFFSET(Pinlist!$G$1,Chart!BC2418,0),"")</f>
        <v/>
      </c>
      <c r="BH2418" s="1098"/>
    </row>
    <row r="2419" spans="53:60" x14ac:dyDescent="0.2">
      <c r="BA2419" s="518">
        <f t="shared" ca="1" si="124"/>
        <v>61</v>
      </c>
      <c r="BB2419" s="174">
        <f t="shared" ca="1" si="125"/>
        <v>2356</v>
      </c>
      <c r="BC2419" s="525" t="e">
        <f ca="1">MATCH(BD2419,OFFSET(Pinlist!$A$2,BC2418*(BA2419=BA2418),0,$BM$23,1),0)+BC2418*(BA2419=BA2418)</f>
        <v>#N/A</v>
      </c>
      <c r="BD2419" s="167">
        <f t="shared" ca="1" si="126"/>
        <v>0</v>
      </c>
      <c r="BE2419" s="191" t="e">
        <f ca="1">(OFFSET(Pinlist!$E$1,BC2419,0)-$BN$16)*$BN$19</f>
        <v>#N/A</v>
      </c>
      <c r="BF2419" s="192" t="e">
        <f ca="1">(OFFSET(Pinlist!$F$1,BC2419,0)-$BO$16)*$BO$19</f>
        <v>#N/A</v>
      </c>
      <c r="BG2419" s="1098" t="str">
        <f ca="1">IF(LEFT(BD2419,2)="RF",OFFSET(Pinlist!$D$1,Chart!BC2419,0)&amp;"_"&amp;OFFSET(Pinlist!$G$1,Chart!BC2419,0),"")</f>
        <v/>
      </c>
      <c r="BH2419" s="1098"/>
    </row>
    <row r="2420" spans="53:60" x14ac:dyDescent="0.2">
      <c r="BA2420" s="518">
        <f t="shared" ca="1" si="124"/>
        <v>61</v>
      </c>
      <c r="BB2420" s="174">
        <f t="shared" ca="1" si="125"/>
        <v>2357</v>
      </c>
      <c r="BC2420" s="525" t="e">
        <f ca="1">MATCH(BD2420,OFFSET(Pinlist!$A$2,BC2419*(BA2420=BA2419),0,$BM$23,1),0)+BC2419*(BA2420=BA2419)</f>
        <v>#N/A</v>
      </c>
      <c r="BD2420" s="167">
        <f t="shared" ca="1" si="126"/>
        <v>0</v>
      </c>
      <c r="BE2420" s="191" t="e">
        <f ca="1">(OFFSET(Pinlist!$E$1,BC2420,0)-$BN$16)*$BN$19</f>
        <v>#N/A</v>
      </c>
      <c r="BF2420" s="192" t="e">
        <f ca="1">(OFFSET(Pinlist!$F$1,BC2420,0)-$BO$16)*$BO$19</f>
        <v>#N/A</v>
      </c>
      <c r="BG2420" s="1098" t="str">
        <f ca="1">IF(LEFT(BD2420,2)="RF",OFFSET(Pinlist!$D$1,Chart!BC2420,0)&amp;"_"&amp;OFFSET(Pinlist!$G$1,Chart!BC2420,0),"")</f>
        <v/>
      </c>
      <c r="BH2420" s="1098"/>
    </row>
    <row r="2421" spans="53:60" x14ac:dyDescent="0.2">
      <c r="BA2421" s="518">
        <f t="shared" ca="1" si="124"/>
        <v>61</v>
      </c>
      <c r="BB2421" s="174">
        <f t="shared" ca="1" si="125"/>
        <v>2358</v>
      </c>
      <c r="BC2421" s="525" t="e">
        <f ca="1">MATCH(BD2421,OFFSET(Pinlist!$A$2,BC2420*(BA2421=BA2420),0,$BM$23,1),0)+BC2420*(BA2421=BA2420)</f>
        <v>#N/A</v>
      </c>
      <c r="BD2421" s="167">
        <f t="shared" ca="1" si="126"/>
        <v>0</v>
      </c>
      <c r="BE2421" s="191" t="e">
        <f ca="1">(OFFSET(Pinlist!$E$1,BC2421,0)-$BN$16)*$BN$19</f>
        <v>#N/A</v>
      </c>
      <c r="BF2421" s="192" t="e">
        <f ca="1">(OFFSET(Pinlist!$F$1,BC2421,0)-$BO$16)*$BO$19</f>
        <v>#N/A</v>
      </c>
      <c r="BG2421" s="1098" t="str">
        <f ca="1">IF(LEFT(BD2421,2)="RF",OFFSET(Pinlist!$D$1,Chart!BC2421,0)&amp;"_"&amp;OFFSET(Pinlist!$G$1,Chart!BC2421,0),"")</f>
        <v/>
      </c>
      <c r="BH2421" s="1098"/>
    </row>
    <row r="2422" spans="53:60" x14ac:dyDescent="0.2">
      <c r="BA2422" s="518">
        <f t="shared" ca="1" si="124"/>
        <v>61</v>
      </c>
      <c r="BB2422" s="174">
        <f t="shared" ca="1" si="125"/>
        <v>2359</v>
      </c>
      <c r="BC2422" s="525" t="e">
        <f ca="1">MATCH(BD2422,OFFSET(Pinlist!$A$2,BC2421*(BA2422=BA2421),0,$BM$23,1),0)+BC2421*(BA2422=BA2421)</f>
        <v>#N/A</v>
      </c>
      <c r="BD2422" s="167">
        <f t="shared" ca="1" si="126"/>
        <v>0</v>
      </c>
      <c r="BE2422" s="191" t="e">
        <f ca="1">(OFFSET(Pinlist!$E$1,BC2422,0)-$BN$16)*$BN$19</f>
        <v>#N/A</v>
      </c>
      <c r="BF2422" s="192" t="e">
        <f ca="1">(OFFSET(Pinlist!$F$1,BC2422,0)-$BO$16)*$BO$19</f>
        <v>#N/A</v>
      </c>
      <c r="BG2422" s="1098" t="str">
        <f ca="1">IF(LEFT(BD2422,2)="RF",OFFSET(Pinlist!$D$1,Chart!BC2422,0)&amp;"_"&amp;OFFSET(Pinlist!$G$1,Chart!BC2422,0),"")</f>
        <v/>
      </c>
      <c r="BH2422" s="1098"/>
    </row>
    <row r="2423" spans="53:60" x14ac:dyDescent="0.2">
      <c r="BA2423" s="518">
        <f t="shared" ca="1" si="124"/>
        <v>61</v>
      </c>
      <c r="BB2423" s="174">
        <f t="shared" ca="1" si="125"/>
        <v>2360</v>
      </c>
      <c r="BC2423" s="525" t="e">
        <f ca="1">MATCH(BD2423,OFFSET(Pinlist!$A$2,BC2422*(BA2423=BA2422),0,$BM$23,1),0)+BC2422*(BA2423=BA2422)</f>
        <v>#N/A</v>
      </c>
      <c r="BD2423" s="167">
        <f t="shared" ca="1" si="126"/>
        <v>0</v>
      </c>
      <c r="BE2423" s="191" t="e">
        <f ca="1">(OFFSET(Pinlist!$E$1,BC2423,0)-$BN$16)*$BN$19</f>
        <v>#N/A</v>
      </c>
      <c r="BF2423" s="192" t="e">
        <f ca="1">(OFFSET(Pinlist!$F$1,BC2423,0)-$BO$16)*$BO$19</f>
        <v>#N/A</v>
      </c>
      <c r="BG2423" s="1098" t="str">
        <f ca="1">IF(LEFT(BD2423,2)="RF",OFFSET(Pinlist!$D$1,Chart!BC2423,0)&amp;"_"&amp;OFFSET(Pinlist!$G$1,Chart!BC2423,0),"")</f>
        <v/>
      </c>
      <c r="BH2423" s="1098"/>
    </row>
    <row r="2424" spans="53:60" x14ac:dyDescent="0.2">
      <c r="BA2424" s="518">
        <f t="shared" ca="1" si="124"/>
        <v>61</v>
      </c>
      <c r="BB2424" s="174">
        <f t="shared" ca="1" si="125"/>
        <v>2361</v>
      </c>
      <c r="BC2424" s="525" t="e">
        <f ca="1">MATCH(BD2424,OFFSET(Pinlist!$A$2,BC2423*(BA2424=BA2423),0,$BM$23,1),0)+BC2423*(BA2424=BA2423)</f>
        <v>#N/A</v>
      </c>
      <c r="BD2424" s="167">
        <f t="shared" ca="1" si="126"/>
        <v>0</v>
      </c>
      <c r="BE2424" s="191" t="e">
        <f ca="1">(OFFSET(Pinlist!$E$1,BC2424,0)-$BN$16)*$BN$19</f>
        <v>#N/A</v>
      </c>
      <c r="BF2424" s="192" t="e">
        <f ca="1">(OFFSET(Pinlist!$F$1,BC2424,0)-$BO$16)*$BO$19</f>
        <v>#N/A</v>
      </c>
      <c r="BG2424" s="1098" t="str">
        <f ca="1">IF(LEFT(BD2424,2)="RF",OFFSET(Pinlist!$D$1,Chart!BC2424,0)&amp;"_"&amp;OFFSET(Pinlist!$G$1,Chart!BC2424,0),"")</f>
        <v/>
      </c>
      <c r="BH2424" s="1098"/>
    </row>
    <row r="2425" spans="53:60" x14ac:dyDescent="0.2">
      <c r="BA2425" s="518">
        <f t="shared" ca="1" si="124"/>
        <v>61</v>
      </c>
      <c r="BB2425" s="174">
        <f t="shared" ca="1" si="125"/>
        <v>2362</v>
      </c>
      <c r="BC2425" s="525" t="e">
        <f ca="1">MATCH(BD2425,OFFSET(Pinlist!$A$2,BC2424*(BA2425=BA2424),0,$BM$23,1),0)+BC2424*(BA2425=BA2424)</f>
        <v>#N/A</v>
      </c>
      <c r="BD2425" s="167">
        <f t="shared" ca="1" si="126"/>
        <v>0</v>
      </c>
      <c r="BE2425" s="191" t="e">
        <f ca="1">(OFFSET(Pinlist!$E$1,BC2425,0)-$BN$16)*$BN$19</f>
        <v>#N/A</v>
      </c>
      <c r="BF2425" s="192" t="e">
        <f ca="1">(OFFSET(Pinlist!$F$1,BC2425,0)-$BO$16)*$BO$19</f>
        <v>#N/A</v>
      </c>
      <c r="BG2425" s="1098" t="str">
        <f ca="1">IF(LEFT(BD2425,2)="RF",OFFSET(Pinlist!$D$1,Chart!BC2425,0)&amp;"_"&amp;OFFSET(Pinlist!$G$1,Chart!BC2425,0),"")</f>
        <v/>
      </c>
      <c r="BH2425" s="1098"/>
    </row>
    <row r="2426" spans="53:60" x14ac:dyDescent="0.2">
      <c r="BA2426" s="518">
        <f t="shared" ca="1" si="124"/>
        <v>61</v>
      </c>
      <c r="BB2426" s="174">
        <f t="shared" ca="1" si="125"/>
        <v>2363</v>
      </c>
      <c r="BC2426" s="525" t="e">
        <f ca="1">MATCH(BD2426,OFFSET(Pinlist!$A$2,BC2425*(BA2426=BA2425),0,$BM$23,1),0)+BC2425*(BA2426=BA2425)</f>
        <v>#N/A</v>
      </c>
      <c r="BD2426" s="167">
        <f t="shared" ca="1" si="126"/>
        <v>0</v>
      </c>
      <c r="BE2426" s="191" t="e">
        <f ca="1">(OFFSET(Pinlist!$E$1,BC2426,0)-$BN$16)*$BN$19</f>
        <v>#N/A</v>
      </c>
      <c r="BF2426" s="192" t="e">
        <f ca="1">(OFFSET(Pinlist!$F$1,BC2426,0)-$BO$16)*$BO$19</f>
        <v>#N/A</v>
      </c>
      <c r="BG2426" s="1098" t="str">
        <f ca="1">IF(LEFT(BD2426,2)="RF",OFFSET(Pinlist!$D$1,Chart!BC2426,0)&amp;"_"&amp;OFFSET(Pinlist!$G$1,Chart!BC2426,0),"")</f>
        <v/>
      </c>
      <c r="BH2426" s="1098"/>
    </row>
    <row r="2427" spans="53:60" x14ac:dyDescent="0.2">
      <c r="BA2427" s="518">
        <f t="shared" ca="1" si="124"/>
        <v>61</v>
      </c>
      <c r="BB2427" s="174">
        <f t="shared" ca="1" si="125"/>
        <v>2364</v>
      </c>
      <c r="BC2427" s="525" t="e">
        <f ca="1">MATCH(BD2427,OFFSET(Pinlist!$A$2,BC2426*(BA2427=BA2426),0,$BM$23,1),0)+BC2426*(BA2427=BA2426)</f>
        <v>#N/A</v>
      </c>
      <c r="BD2427" s="167">
        <f t="shared" ca="1" si="126"/>
        <v>0</v>
      </c>
      <c r="BE2427" s="191" t="e">
        <f ca="1">(OFFSET(Pinlist!$E$1,BC2427,0)-$BN$16)*$BN$19</f>
        <v>#N/A</v>
      </c>
      <c r="BF2427" s="192" t="e">
        <f ca="1">(OFFSET(Pinlist!$F$1,BC2427,0)-$BO$16)*$BO$19</f>
        <v>#N/A</v>
      </c>
      <c r="BG2427" s="1098" t="str">
        <f ca="1">IF(LEFT(BD2427,2)="RF",OFFSET(Pinlist!$D$1,Chart!BC2427,0)&amp;"_"&amp;OFFSET(Pinlist!$G$1,Chart!BC2427,0),"")</f>
        <v/>
      </c>
      <c r="BH2427" s="1098"/>
    </row>
    <row r="2428" spans="53:60" x14ac:dyDescent="0.2">
      <c r="BA2428" s="518">
        <f t="shared" ca="1" si="124"/>
        <v>61</v>
      </c>
      <c r="BB2428" s="174">
        <f t="shared" ca="1" si="125"/>
        <v>2365</v>
      </c>
      <c r="BC2428" s="525" t="e">
        <f ca="1">MATCH(BD2428,OFFSET(Pinlist!$A$2,BC2427*(BA2428=BA2427),0,$BM$23,1),0)+BC2427*(BA2428=BA2427)</f>
        <v>#N/A</v>
      </c>
      <c r="BD2428" s="167">
        <f t="shared" ca="1" si="126"/>
        <v>0</v>
      </c>
      <c r="BE2428" s="191" t="e">
        <f ca="1">(OFFSET(Pinlist!$E$1,BC2428,0)-$BN$16)*$BN$19</f>
        <v>#N/A</v>
      </c>
      <c r="BF2428" s="192" t="e">
        <f ca="1">(OFFSET(Pinlist!$F$1,BC2428,0)-$BO$16)*$BO$19</f>
        <v>#N/A</v>
      </c>
      <c r="BG2428" s="1098" t="str">
        <f ca="1">IF(LEFT(BD2428,2)="RF",OFFSET(Pinlist!$D$1,Chart!BC2428,0)&amp;"_"&amp;OFFSET(Pinlist!$G$1,Chart!BC2428,0),"")</f>
        <v/>
      </c>
      <c r="BH2428" s="1098"/>
    </row>
    <row r="2429" spans="53:60" x14ac:dyDescent="0.2">
      <c r="BA2429" s="518">
        <f t="shared" ca="1" si="124"/>
        <v>61</v>
      </c>
      <c r="BB2429" s="174">
        <f t="shared" ca="1" si="125"/>
        <v>2366</v>
      </c>
      <c r="BC2429" s="525" t="e">
        <f ca="1">MATCH(BD2429,OFFSET(Pinlist!$A$2,BC2428*(BA2429=BA2428),0,$BM$23,1),0)+BC2428*(BA2429=BA2428)</f>
        <v>#N/A</v>
      </c>
      <c r="BD2429" s="167">
        <f t="shared" ca="1" si="126"/>
        <v>0</v>
      </c>
      <c r="BE2429" s="191" t="e">
        <f ca="1">(OFFSET(Pinlist!$E$1,BC2429,0)-$BN$16)*$BN$19</f>
        <v>#N/A</v>
      </c>
      <c r="BF2429" s="192" t="e">
        <f ca="1">(OFFSET(Pinlist!$F$1,BC2429,0)-$BO$16)*$BO$19</f>
        <v>#N/A</v>
      </c>
      <c r="BG2429" s="1098" t="str">
        <f ca="1">IF(LEFT(BD2429,2)="RF",OFFSET(Pinlist!$D$1,Chart!BC2429,0)&amp;"_"&amp;OFFSET(Pinlist!$G$1,Chart!BC2429,0),"")</f>
        <v/>
      </c>
      <c r="BH2429" s="1098"/>
    </row>
    <row r="2430" spans="53:60" x14ac:dyDescent="0.2">
      <c r="BA2430" s="518">
        <f t="shared" ca="1" si="124"/>
        <v>61</v>
      </c>
      <c r="BB2430" s="174">
        <f t="shared" ca="1" si="125"/>
        <v>2367</v>
      </c>
      <c r="BC2430" s="525" t="e">
        <f ca="1">MATCH(BD2430,OFFSET(Pinlist!$A$2,BC2429*(BA2430=BA2429),0,$BM$23,1),0)+BC2429*(BA2430=BA2429)</f>
        <v>#N/A</v>
      </c>
      <c r="BD2430" s="167">
        <f t="shared" ca="1" si="126"/>
        <v>0</v>
      </c>
      <c r="BE2430" s="191" t="e">
        <f ca="1">(OFFSET(Pinlist!$E$1,BC2430,0)-$BN$16)*$BN$19</f>
        <v>#N/A</v>
      </c>
      <c r="BF2430" s="192" t="e">
        <f ca="1">(OFFSET(Pinlist!$F$1,BC2430,0)-$BO$16)*$BO$19</f>
        <v>#N/A</v>
      </c>
      <c r="BG2430" s="1098" t="str">
        <f ca="1">IF(LEFT(BD2430,2)="RF",OFFSET(Pinlist!$D$1,Chart!BC2430,0)&amp;"_"&amp;OFFSET(Pinlist!$G$1,Chart!BC2430,0),"")</f>
        <v/>
      </c>
      <c r="BH2430" s="1098"/>
    </row>
    <row r="2431" spans="53:60" x14ac:dyDescent="0.2">
      <c r="BA2431" s="518">
        <f t="shared" ca="1" si="124"/>
        <v>61</v>
      </c>
      <c r="BB2431" s="174">
        <f t="shared" ca="1" si="125"/>
        <v>2368</v>
      </c>
      <c r="BC2431" s="525" t="e">
        <f ca="1">MATCH(BD2431,OFFSET(Pinlist!$A$2,BC2430*(BA2431=BA2430),0,$BM$23,1),0)+BC2430*(BA2431=BA2430)</f>
        <v>#N/A</v>
      </c>
      <c r="BD2431" s="167">
        <f t="shared" ca="1" si="126"/>
        <v>0</v>
      </c>
      <c r="BE2431" s="191" t="e">
        <f ca="1">(OFFSET(Pinlist!$E$1,BC2431,0)-$BN$16)*$BN$19</f>
        <v>#N/A</v>
      </c>
      <c r="BF2431" s="192" t="e">
        <f ca="1">(OFFSET(Pinlist!$F$1,BC2431,0)-$BO$16)*$BO$19</f>
        <v>#N/A</v>
      </c>
      <c r="BG2431" s="1098" t="str">
        <f ca="1">IF(LEFT(BD2431,2)="RF",OFFSET(Pinlist!$D$1,Chart!BC2431,0)&amp;"_"&amp;OFFSET(Pinlist!$G$1,Chart!BC2431,0),"")</f>
        <v/>
      </c>
      <c r="BH2431" s="1098"/>
    </row>
    <row r="2432" spans="53:60" x14ac:dyDescent="0.2">
      <c r="BA2432" s="518">
        <f t="shared" ca="1" si="124"/>
        <v>61</v>
      </c>
      <c r="BB2432" s="174">
        <f t="shared" ca="1" si="125"/>
        <v>2369</v>
      </c>
      <c r="BC2432" s="525" t="e">
        <f ca="1">MATCH(BD2432,OFFSET(Pinlist!$A$2,BC2431*(BA2432=BA2431),0,$BM$23,1),0)+BC2431*(BA2432=BA2431)</f>
        <v>#N/A</v>
      </c>
      <c r="BD2432" s="167">
        <f t="shared" ca="1" si="126"/>
        <v>0</v>
      </c>
      <c r="BE2432" s="191" t="e">
        <f ca="1">(OFFSET(Pinlist!$E$1,BC2432,0)-$BN$16)*$BN$19</f>
        <v>#N/A</v>
      </c>
      <c r="BF2432" s="192" t="e">
        <f ca="1">(OFFSET(Pinlist!$F$1,BC2432,0)-$BO$16)*$BO$19</f>
        <v>#N/A</v>
      </c>
      <c r="BG2432" s="1098" t="str">
        <f ca="1">IF(LEFT(BD2432,2)="RF",OFFSET(Pinlist!$D$1,Chart!BC2432,0)&amp;"_"&amp;OFFSET(Pinlist!$G$1,Chart!BC2432,0),"")</f>
        <v/>
      </c>
      <c r="BH2432" s="1098"/>
    </row>
    <row r="2433" spans="53:60" x14ac:dyDescent="0.2">
      <c r="BA2433" s="518">
        <f t="shared" ca="1" si="124"/>
        <v>61</v>
      </c>
      <c r="BB2433" s="174">
        <f t="shared" ca="1" si="125"/>
        <v>2370</v>
      </c>
      <c r="BC2433" s="525" t="e">
        <f ca="1">MATCH(BD2433,OFFSET(Pinlist!$A$2,BC2432*(BA2433=BA2432),0,$BM$23,1),0)+BC2432*(BA2433=BA2432)</f>
        <v>#N/A</v>
      </c>
      <c r="BD2433" s="167">
        <f t="shared" ca="1" si="126"/>
        <v>0</v>
      </c>
      <c r="BE2433" s="191" t="e">
        <f ca="1">(OFFSET(Pinlist!$E$1,BC2433,0)-$BN$16)*$BN$19</f>
        <v>#N/A</v>
      </c>
      <c r="BF2433" s="192" t="e">
        <f ca="1">(OFFSET(Pinlist!$F$1,BC2433,0)-$BO$16)*$BO$19</f>
        <v>#N/A</v>
      </c>
      <c r="BG2433" s="1098" t="str">
        <f ca="1">IF(LEFT(BD2433,2)="RF",OFFSET(Pinlist!$D$1,Chart!BC2433,0)&amp;"_"&amp;OFFSET(Pinlist!$G$1,Chart!BC2433,0),"")</f>
        <v/>
      </c>
      <c r="BH2433" s="1098"/>
    </row>
    <row r="2434" spans="53:60" x14ac:dyDescent="0.2">
      <c r="BA2434" s="518">
        <f t="shared" ca="1" si="124"/>
        <v>61</v>
      </c>
      <c r="BB2434" s="174">
        <f t="shared" ca="1" si="125"/>
        <v>2371</v>
      </c>
      <c r="BC2434" s="525" t="e">
        <f ca="1">MATCH(BD2434,OFFSET(Pinlist!$A$2,BC2433*(BA2434=BA2433),0,$BM$23,1),0)+BC2433*(BA2434=BA2433)</f>
        <v>#N/A</v>
      </c>
      <c r="BD2434" s="167">
        <f t="shared" ca="1" si="126"/>
        <v>0</v>
      </c>
      <c r="BE2434" s="191" t="e">
        <f ca="1">(OFFSET(Pinlist!$E$1,BC2434,0)-$BN$16)*$BN$19</f>
        <v>#N/A</v>
      </c>
      <c r="BF2434" s="192" t="e">
        <f ca="1">(OFFSET(Pinlist!$F$1,BC2434,0)-$BO$16)*$BO$19</f>
        <v>#N/A</v>
      </c>
      <c r="BG2434" s="1098" t="str">
        <f ca="1">IF(LEFT(BD2434,2)="RF",OFFSET(Pinlist!$D$1,Chart!BC2434,0)&amp;"_"&amp;OFFSET(Pinlist!$G$1,Chart!BC2434,0),"")</f>
        <v/>
      </c>
      <c r="BH2434" s="1098"/>
    </row>
    <row r="2435" spans="53:60" x14ac:dyDescent="0.2">
      <c r="BA2435" s="518">
        <f t="shared" ca="1" si="124"/>
        <v>61</v>
      </c>
      <c r="BB2435" s="174">
        <f t="shared" ca="1" si="125"/>
        <v>2372</v>
      </c>
      <c r="BC2435" s="525" t="e">
        <f ca="1">MATCH(BD2435,OFFSET(Pinlist!$A$2,BC2434*(BA2435=BA2434),0,$BM$23,1),0)+BC2434*(BA2435=BA2434)</f>
        <v>#N/A</v>
      </c>
      <c r="BD2435" s="167">
        <f t="shared" ca="1" si="126"/>
        <v>0</v>
      </c>
      <c r="BE2435" s="191" t="e">
        <f ca="1">(OFFSET(Pinlist!$E$1,BC2435,0)-$BN$16)*$BN$19</f>
        <v>#N/A</v>
      </c>
      <c r="BF2435" s="192" t="e">
        <f ca="1">(OFFSET(Pinlist!$F$1,BC2435,0)-$BO$16)*$BO$19</f>
        <v>#N/A</v>
      </c>
      <c r="BG2435" s="1098" t="str">
        <f ca="1">IF(LEFT(BD2435,2)="RF",OFFSET(Pinlist!$D$1,Chart!BC2435,0)&amp;"_"&amp;OFFSET(Pinlist!$G$1,Chart!BC2435,0),"")</f>
        <v/>
      </c>
      <c r="BH2435" s="1098"/>
    </row>
    <row r="2436" spans="53:60" x14ac:dyDescent="0.2">
      <c r="BA2436" s="518">
        <f t="shared" ref="BA2436:BA2499" ca="1" si="127">BA2435+(BB2435=OFFSET($BZ$3,BA2435,0))</f>
        <v>61</v>
      </c>
      <c r="BB2436" s="174">
        <f t="shared" ref="BB2436:BB2499" ca="1" si="128">IF(BA2436=BA2435,BB2435+1,1)</f>
        <v>2373</v>
      </c>
      <c r="BC2436" s="525" t="e">
        <f ca="1">MATCH(BD2436,OFFSET(Pinlist!$A$2,BC2435*(BA2436=BA2435),0,$BM$23,1),0)+BC2435*(BA2436=BA2435)</f>
        <v>#N/A</v>
      </c>
      <c r="BD2436" s="167">
        <f t="shared" ref="BD2436:BD2499" ca="1" si="129">OFFSET($BY$3,BA2436,0)</f>
        <v>0</v>
      </c>
      <c r="BE2436" s="191" t="e">
        <f ca="1">(OFFSET(Pinlist!$E$1,BC2436,0)-$BN$16)*$BN$19</f>
        <v>#N/A</v>
      </c>
      <c r="BF2436" s="192" t="e">
        <f ca="1">(OFFSET(Pinlist!$F$1,BC2436,0)-$BO$16)*$BO$19</f>
        <v>#N/A</v>
      </c>
      <c r="BG2436" s="1098" t="str">
        <f ca="1">IF(LEFT(BD2436,2)="RF",OFFSET(Pinlist!$D$1,Chart!BC2436,0)&amp;"_"&amp;OFFSET(Pinlist!$G$1,Chart!BC2436,0),"")</f>
        <v/>
      </c>
      <c r="BH2436" s="1098"/>
    </row>
    <row r="2437" spans="53:60" x14ac:dyDescent="0.2">
      <c r="BA2437" s="518">
        <f t="shared" ca="1" si="127"/>
        <v>61</v>
      </c>
      <c r="BB2437" s="174">
        <f t="shared" ca="1" si="128"/>
        <v>2374</v>
      </c>
      <c r="BC2437" s="525" t="e">
        <f ca="1">MATCH(BD2437,OFFSET(Pinlist!$A$2,BC2436*(BA2437=BA2436),0,$BM$23,1),0)+BC2436*(BA2437=BA2436)</f>
        <v>#N/A</v>
      </c>
      <c r="BD2437" s="167">
        <f t="shared" ca="1" si="129"/>
        <v>0</v>
      </c>
      <c r="BE2437" s="191" t="e">
        <f ca="1">(OFFSET(Pinlist!$E$1,BC2437,0)-$BN$16)*$BN$19</f>
        <v>#N/A</v>
      </c>
      <c r="BF2437" s="192" t="e">
        <f ca="1">(OFFSET(Pinlist!$F$1,BC2437,0)-$BO$16)*$BO$19</f>
        <v>#N/A</v>
      </c>
      <c r="BG2437" s="1098" t="str">
        <f ca="1">IF(LEFT(BD2437,2)="RF",OFFSET(Pinlist!$D$1,Chart!BC2437,0)&amp;"_"&amp;OFFSET(Pinlist!$G$1,Chart!BC2437,0),"")</f>
        <v/>
      </c>
      <c r="BH2437" s="1098"/>
    </row>
    <row r="2438" spans="53:60" x14ac:dyDescent="0.2">
      <c r="BA2438" s="518">
        <f t="shared" ca="1" si="127"/>
        <v>61</v>
      </c>
      <c r="BB2438" s="174">
        <f t="shared" ca="1" si="128"/>
        <v>2375</v>
      </c>
      <c r="BC2438" s="525" t="e">
        <f ca="1">MATCH(BD2438,OFFSET(Pinlist!$A$2,BC2437*(BA2438=BA2437),0,$BM$23,1),0)+BC2437*(BA2438=BA2437)</f>
        <v>#N/A</v>
      </c>
      <c r="BD2438" s="167">
        <f t="shared" ca="1" si="129"/>
        <v>0</v>
      </c>
      <c r="BE2438" s="191" t="e">
        <f ca="1">(OFFSET(Pinlist!$E$1,BC2438,0)-$BN$16)*$BN$19</f>
        <v>#N/A</v>
      </c>
      <c r="BF2438" s="192" t="e">
        <f ca="1">(OFFSET(Pinlist!$F$1,BC2438,0)-$BO$16)*$BO$19</f>
        <v>#N/A</v>
      </c>
      <c r="BG2438" s="1098" t="str">
        <f ca="1">IF(LEFT(BD2438,2)="RF",OFFSET(Pinlist!$D$1,Chart!BC2438,0)&amp;"_"&amp;OFFSET(Pinlist!$G$1,Chart!BC2438,0),"")</f>
        <v/>
      </c>
      <c r="BH2438" s="1098"/>
    </row>
    <row r="2439" spans="53:60" x14ac:dyDescent="0.2">
      <c r="BA2439" s="518">
        <f t="shared" ca="1" si="127"/>
        <v>61</v>
      </c>
      <c r="BB2439" s="174">
        <f t="shared" ca="1" si="128"/>
        <v>2376</v>
      </c>
      <c r="BC2439" s="525" t="e">
        <f ca="1">MATCH(BD2439,OFFSET(Pinlist!$A$2,BC2438*(BA2439=BA2438),0,$BM$23,1),0)+BC2438*(BA2439=BA2438)</f>
        <v>#N/A</v>
      </c>
      <c r="BD2439" s="167">
        <f t="shared" ca="1" si="129"/>
        <v>0</v>
      </c>
      <c r="BE2439" s="191" t="e">
        <f ca="1">(OFFSET(Pinlist!$E$1,BC2439,0)-$BN$16)*$BN$19</f>
        <v>#N/A</v>
      </c>
      <c r="BF2439" s="192" t="e">
        <f ca="1">(OFFSET(Pinlist!$F$1,BC2439,0)-$BO$16)*$BO$19</f>
        <v>#N/A</v>
      </c>
      <c r="BG2439" s="1098" t="str">
        <f ca="1">IF(LEFT(BD2439,2)="RF",OFFSET(Pinlist!$D$1,Chart!BC2439,0)&amp;"_"&amp;OFFSET(Pinlist!$G$1,Chart!BC2439,0),"")</f>
        <v/>
      </c>
      <c r="BH2439" s="1098"/>
    </row>
    <row r="2440" spans="53:60" x14ac:dyDescent="0.2">
      <c r="BA2440" s="518">
        <f t="shared" ca="1" si="127"/>
        <v>61</v>
      </c>
      <c r="BB2440" s="174">
        <f t="shared" ca="1" si="128"/>
        <v>2377</v>
      </c>
      <c r="BC2440" s="525" t="e">
        <f ca="1">MATCH(BD2440,OFFSET(Pinlist!$A$2,BC2439*(BA2440=BA2439),0,$BM$23,1),0)+BC2439*(BA2440=BA2439)</f>
        <v>#N/A</v>
      </c>
      <c r="BD2440" s="167">
        <f t="shared" ca="1" si="129"/>
        <v>0</v>
      </c>
      <c r="BE2440" s="191" t="e">
        <f ca="1">(OFFSET(Pinlist!$E$1,BC2440,0)-$BN$16)*$BN$19</f>
        <v>#N/A</v>
      </c>
      <c r="BF2440" s="192" t="e">
        <f ca="1">(OFFSET(Pinlist!$F$1,BC2440,0)-$BO$16)*$BO$19</f>
        <v>#N/A</v>
      </c>
      <c r="BG2440" s="1098" t="str">
        <f ca="1">IF(LEFT(BD2440,2)="RF",OFFSET(Pinlist!$D$1,Chart!BC2440,0)&amp;"_"&amp;OFFSET(Pinlist!$G$1,Chart!BC2440,0),"")</f>
        <v/>
      </c>
      <c r="BH2440" s="1098"/>
    </row>
    <row r="2441" spans="53:60" x14ac:dyDescent="0.2">
      <c r="BA2441" s="518">
        <f t="shared" ca="1" si="127"/>
        <v>61</v>
      </c>
      <c r="BB2441" s="174">
        <f t="shared" ca="1" si="128"/>
        <v>2378</v>
      </c>
      <c r="BC2441" s="525" t="e">
        <f ca="1">MATCH(BD2441,OFFSET(Pinlist!$A$2,BC2440*(BA2441=BA2440),0,$BM$23,1),0)+BC2440*(BA2441=BA2440)</f>
        <v>#N/A</v>
      </c>
      <c r="BD2441" s="167">
        <f t="shared" ca="1" si="129"/>
        <v>0</v>
      </c>
      <c r="BE2441" s="191" t="e">
        <f ca="1">(OFFSET(Pinlist!$E$1,BC2441,0)-$BN$16)*$BN$19</f>
        <v>#N/A</v>
      </c>
      <c r="BF2441" s="192" t="e">
        <f ca="1">(OFFSET(Pinlist!$F$1,BC2441,0)-$BO$16)*$BO$19</f>
        <v>#N/A</v>
      </c>
      <c r="BG2441" s="1098" t="str">
        <f ca="1">IF(LEFT(BD2441,2)="RF",OFFSET(Pinlist!$D$1,Chart!BC2441,0)&amp;"_"&amp;OFFSET(Pinlist!$G$1,Chart!BC2441,0),"")</f>
        <v/>
      </c>
      <c r="BH2441" s="1098"/>
    </row>
    <row r="2442" spans="53:60" x14ac:dyDescent="0.2">
      <c r="BA2442" s="518">
        <f t="shared" ca="1" si="127"/>
        <v>61</v>
      </c>
      <c r="BB2442" s="174">
        <f t="shared" ca="1" si="128"/>
        <v>2379</v>
      </c>
      <c r="BC2442" s="525" t="e">
        <f ca="1">MATCH(BD2442,OFFSET(Pinlist!$A$2,BC2441*(BA2442=BA2441),0,$BM$23,1),0)+BC2441*(BA2442=BA2441)</f>
        <v>#N/A</v>
      </c>
      <c r="BD2442" s="167">
        <f t="shared" ca="1" si="129"/>
        <v>0</v>
      </c>
      <c r="BE2442" s="191" t="e">
        <f ca="1">(OFFSET(Pinlist!$E$1,BC2442,0)-$BN$16)*$BN$19</f>
        <v>#N/A</v>
      </c>
      <c r="BF2442" s="192" t="e">
        <f ca="1">(OFFSET(Pinlist!$F$1,BC2442,0)-$BO$16)*$BO$19</f>
        <v>#N/A</v>
      </c>
      <c r="BG2442" s="1098" t="str">
        <f ca="1">IF(LEFT(BD2442,2)="RF",OFFSET(Pinlist!$D$1,Chart!BC2442,0)&amp;"_"&amp;OFFSET(Pinlist!$G$1,Chart!BC2442,0),"")</f>
        <v/>
      </c>
      <c r="BH2442" s="1098"/>
    </row>
    <row r="2443" spans="53:60" x14ac:dyDescent="0.2">
      <c r="BA2443" s="518">
        <f t="shared" ca="1" si="127"/>
        <v>61</v>
      </c>
      <c r="BB2443" s="174">
        <f t="shared" ca="1" si="128"/>
        <v>2380</v>
      </c>
      <c r="BC2443" s="525" t="e">
        <f ca="1">MATCH(BD2443,OFFSET(Pinlist!$A$2,BC2442*(BA2443=BA2442),0,$BM$23,1),0)+BC2442*(BA2443=BA2442)</f>
        <v>#N/A</v>
      </c>
      <c r="BD2443" s="167">
        <f t="shared" ca="1" si="129"/>
        <v>0</v>
      </c>
      <c r="BE2443" s="191" t="e">
        <f ca="1">(OFFSET(Pinlist!$E$1,BC2443,0)-$BN$16)*$BN$19</f>
        <v>#N/A</v>
      </c>
      <c r="BF2443" s="192" t="e">
        <f ca="1">(OFFSET(Pinlist!$F$1,BC2443,0)-$BO$16)*$BO$19</f>
        <v>#N/A</v>
      </c>
      <c r="BG2443" s="1098" t="str">
        <f ca="1">IF(LEFT(BD2443,2)="RF",OFFSET(Pinlist!$D$1,Chart!BC2443,0)&amp;"_"&amp;OFFSET(Pinlist!$G$1,Chart!BC2443,0),"")</f>
        <v/>
      </c>
      <c r="BH2443" s="1098"/>
    </row>
    <row r="2444" spans="53:60" x14ac:dyDescent="0.2">
      <c r="BA2444" s="518">
        <f t="shared" ca="1" si="127"/>
        <v>61</v>
      </c>
      <c r="BB2444" s="174">
        <f t="shared" ca="1" si="128"/>
        <v>2381</v>
      </c>
      <c r="BC2444" s="525" t="e">
        <f ca="1">MATCH(BD2444,OFFSET(Pinlist!$A$2,BC2443*(BA2444=BA2443),0,$BM$23,1),0)+BC2443*(BA2444=BA2443)</f>
        <v>#N/A</v>
      </c>
      <c r="BD2444" s="167">
        <f t="shared" ca="1" si="129"/>
        <v>0</v>
      </c>
      <c r="BE2444" s="191" t="e">
        <f ca="1">(OFFSET(Pinlist!$E$1,BC2444,0)-$BN$16)*$BN$19</f>
        <v>#N/A</v>
      </c>
      <c r="BF2444" s="192" t="e">
        <f ca="1">(OFFSET(Pinlist!$F$1,BC2444,0)-$BO$16)*$BO$19</f>
        <v>#N/A</v>
      </c>
      <c r="BG2444" s="1098" t="str">
        <f ca="1">IF(LEFT(BD2444,2)="RF",OFFSET(Pinlist!$D$1,Chart!BC2444,0)&amp;"_"&amp;OFFSET(Pinlist!$G$1,Chart!BC2444,0),"")</f>
        <v/>
      </c>
      <c r="BH2444" s="1098"/>
    </row>
    <row r="2445" spans="53:60" x14ac:dyDescent="0.2">
      <c r="BA2445" s="518">
        <f t="shared" ca="1" si="127"/>
        <v>61</v>
      </c>
      <c r="BB2445" s="174">
        <f t="shared" ca="1" si="128"/>
        <v>2382</v>
      </c>
      <c r="BC2445" s="525" t="e">
        <f ca="1">MATCH(BD2445,OFFSET(Pinlist!$A$2,BC2444*(BA2445=BA2444),0,$BM$23,1),0)+BC2444*(BA2445=BA2444)</f>
        <v>#N/A</v>
      </c>
      <c r="BD2445" s="167">
        <f t="shared" ca="1" si="129"/>
        <v>0</v>
      </c>
      <c r="BE2445" s="191" t="e">
        <f ca="1">(OFFSET(Pinlist!$E$1,BC2445,0)-$BN$16)*$BN$19</f>
        <v>#N/A</v>
      </c>
      <c r="BF2445" s="192" t="e">
        <f ca="1">(OFFSET(Pinlist!$F$1,BC2445,0)-$BO$16)*$BO$19</f>
        <v>#N/A</v>
      </c>
      <c r="BG2445" s="1098" t="str">
        <f ca="1">IF(LEFT(BD2445,2)="RF",OFFSET(Pinlist!$D$1,Chart!BC2445,0)&amp;"_"&amp;OFFSET(Pinlist!$G$1,Chart!BC2445,0),"")</f>
        <v/>
      </c>
      <c r="BH2445" s="1098"/>
    </row>
    <row r="2446" spans="53:60" x14ac:dyDescent="0.2">
      <c r="BA2446" s="518">
        <f t="shared" ca="1" si="127"/>
        <v>61</v>
      </c>
      <c r="BB2446" s="174">
        <f t="shared" ca="1" si="128"/>
        <v>2383</v>
      </c>
      <c r="BC2446" s="525" t="e">
        <f ca="1">MATCH(BD2446,OFFSET(Pinlist!$A$2,BC2445*(BA2446=BA2445),0,$BM$23,1),0)+BC2445*(BA2446=BA2445)</f>
        <v>#N/A</v>
      </c>
      <c r="BD2446" s="167">
        <f t="shared" ca="1" si="129"/>
        <v>0</v>
      </c>
      <c r="BE2446" s="191" t="e">
        <f ca="1">(OFFSET(Pinlist!$E$1,BC2446,0)-$BN$16)*$BN$19</f>
        <v>#N/A</v>
      </c>
      <c r="BF2446" s="192" t="e">
        <f ca="1">(OFFSET(Pinlist!$F$1,BC2446,0)-$BO$16)*$BO$19</f>
        <v>#N/A</v>
      </c>
      <c r="BG2446" s="1098" t="str">
        <f ca="1">IF(LEFT(BD2446,2)="RF",OFFSET(Pinlist!$D$1,Chart!BC2446,0)&amp;"_"&amp;OFFSET(Pinlist!$G$1,Chart!BC2446,0),"")</f>
        <v/>
      </c>
      <c r="BH2446" s="1098"/>
    </row>
    <row r="2447" spans="53:60" x14ac:dyDescent="0.2">
      <c r="BA2447" s="518">
        <f t="shared" ca="1" si="127"/>
        <v>61</v>
      </c>
      <c r="BB2447" s="174">
        <f t="shared" ca="1" si="128"/>
        <v>2384</v>
      </c>
      <c r="BC2447" s="525" t="e">
        <f ca="1">MATCH(BD2447,OFFSET(Pinlist!$A$2,BC2446*(BA2447=BA2446),0,$BM$23,1),0)+BC2446*(BA2447=BA2446)</f>
        <v>#N/A</v>
      </c>
      <c r="BD2447" s="167">
        <f t="shared" ca="1" si="129"/>
        <v>0</v>
      </c>
      <c r="BE2447" s="191" t="e">
        <f ca="1">(OFFSET(Pinlist!$E$1,BC2447,0)-$BN$16)*$BN$19</f>
        <v>#N/A</v>
      </c>
      <c r="BF2447" s="192" t="e">
        <f ca="1">(OFFSET(Pinlist!$F$1,BC2447,0)-$BO$16)*$BO$19</f>
        <v>#N/A</v>
      </c>
      <c r="BG2447" s="1098" t="str">
        <f ca="1">IF(LEFT(BD2447,2)="RF",OFFSET(Pinlist!$D$1,Chart!BC2447,0)&amp;"_"&amp;OFFSET(Pinlist!$G$1,Chart!BC2447,0),"")</f>
        <v/>
      </c>
      <c r="BH2447" s="1098"/>
    </row>
    <row r="2448" spans="53:60" x14ac:dyDescent="0.2">
      <c r="BA2448" s="518">
        <f t="shared" ca="1" si="127"/>
        <v>61</v>
      </c>
      <c r="BB2448" s="174">
        <f t="shared" ca="1" si="128"/>
        <v>2385</v>
      </c>
      <c r="BC2448" s="525" t="e">
        <f ca="1">MATCH(BD2448,OFFSET(Pinlist!$A$2,BC2447*(BA2448=BA2447),0,$BM$23,1),0)+BC2447*(BA2448=BA2447)</f>
        <v>#N/A</v>
      </c>
      <c r="BD2448" s="167">
        <f t="shared" ca="1" si="129"/>
        <v>0</v>
      </c>
      <c r="BE2448" s="191" t="e">
        <f ca="1">(OFFSET(Pinlist!$E$1,BC2448,0)-$BN$16)*$BN$19</f>
        <v>#N/A</v>
      </c>
      <c r="BF2448" s="192" t="e">
        <f ca="1">(OFFSET(Pinlist!$F$1,BC2448,0)-$BO$16)*$BO$19</f>
        <v>#N/A</v>
      </c>
      <c r="BG2448" s="1098" t="str">
        <f ca="1">IF(LEFT(BD2448,2)="RF",OFFSET(Pinlist!$D$1,Chart!BC2448,0)&amp;"_"&amp;OFFSET(Pinlist!$G$1,Chart!BC2448,0),"")</f>
        <v/>
      </c>
      <c r="BH2448" s="1098"/>
    </row>
    <row r="2449" spans="53:60" x14ac:dyDescent="0.2">
      <c r="BA2449" s="518">
        <f t="shared" ca="1" si="127"/>
        <v>61</v>
      </c>
      <c r="BB2449" s="174">
        <f t="shared" ca="1" si="128"/>
        <v>2386</v>
      </c>
      <c r="BC2449" s="525" t="e">
        <f ca="1">MATCH(BD2449,OFFSET(Pinlist!$A$2,BC2448*(BA2449=BA2448),0,$BM$23,1),0)+BC2448*(BA2449=BA2448)</f>
        <v>#N/A</v>
      </c>
      <c r="BD2449" s="167">
        <f t="shared" ca="1" si="129"/>
        <v>0</v>
      </c>
      <c r="BE2449" s="191" t="e">
        <f ca="1">(OFFSET(Pinlist!$E$1,BC2449,0)-$BN$16)*$BN$19</f>
        <v>#N/A</v>
      </c>
      <c r="BF2449" s="192" t="e">
        <f ca="1">(OFFSET(Pinlist!$F$1,BC2449,0)-$BO$16)*$BO$19</f>
        <v>#N/A</v>
      </c>
      <c r="BG2449" s="1098" t="str">
        <f ca="1">IF(LEFT(BD2449,2)="RF",OFFSET(Pinlist!$D$1,Chart!BC2449,0)&amp;"_"&amp;OFFSET(Pinlist!$G$1,Chart!BC2449,0),"")</f>
        <v/>
      </c>
      <c r="BH2449" s="1098"/>
    </row>
    <row r="2450" spans="53:60" x14ac:dyDescent="0.2">
      <c r="BA2450" s="518">
        <f t="shared" ca="1" si="127"/>
        <v>61</v>
      </c>
      <c r="BB2450" s="174">
        <f t="shared" ca="1" si="128"/>
        <v>2387</v>
      </c>
      <c r="BC2450" s="525" t="e">
        <f ca="1">MATCH(BD2450,OFFSET(Pinlist!$A$2,BC2449*(BA2450=BA2449),0,$BM$23,1),0)+BC2449*(BA2450=BA2449)</f>
        <v>#N/A</v>
      </c>
      <c r="BD2450" s="167">
        <f t="shared" ca="1" si="129"/>
        <v>0</v>
      </c>
      <c r="BE2450" s="191" t="e">
        <f ca="1">(OFFSET(Pinlist!$E$1,BC2450,0)-$BN$16)*$BN$19</f>
        <v>#N/A</v>
      </c>
      <c r="BF2450" s="192" t="e">
        <f ca="1">(OFFSET(Pinlist!$F$1,BC2450,0)-$BO$16)*$BO$19</f>
        <v>#N/A</v>
      </c>
      <c r="BG2450" s="1098" t="str">
        <f ca="1">IF(LEFT(BD2450,2)="RF",OFFSET(Pinlist!$D$1,Chart!BC2450,0)&amp;"_"&amp;OFFSET(Pinlist!$G$1,Chart!BC2450,0),"")</f>
        <v/>
      </c>
      <c r="BH2450" s="1098"/>
    </row>
    <row r="2451" spans="53:60" x14ac:dyDescent="0.2">
      <c r="BA2451" s="518">
        <f t="shared" ca="1" si="127"/>
        <v>61</v>
      </c>
      <c r="BB2451" s="174">
        <f t="shared" ca="1" si="128"/>
        <v>2388</v>
      </c>
      <c r="BC2451" s="525" t="e">
        <f ca="1">MATCH(BD2451,OFFSET(Pinlist!$A$2,BC2450*(BA2451=BA2450),0,$BM$23,1),0)+BC2450*(BA2451=BA2450)</f>
        <v>#N/A</v>
      </c>
      <c r="BD2451" s="167">
        <f t="shared" ca="1" si="129"/>
        <v>0</v>
      </c>
      <c r="BE2451" s="191" t="e">
        <f ca="1">(OFFSET(Pinlist!$E$1,BC2451,0)-$BN$16)*$BN$19</f>
        <v>#N/A</v>
      </c>
      <c r="BF2451" s="192" t="e">
        <f ca="1">(OFFSET(Pinlist!$F$1,BC2451,0)-$BO$16)*$BO$19</f>
        <v>#N/A</v>
      </c>
      <c r="BG2451" s="1098" t="str">
        <f ca="1">IF(LEFT(BD2451,2)="RF",OFFSET(Pinlist!$D$1,Chart!BC2451,0)&amp;"_"&amp;OFFSET(Pinlist!$G$1,Chart!BC2451,0),"")</f>
        <v/>
      </c>
      <c r="BH2451" s="1098"/>
    </row>
    <row r="2452" spans="53:60" x14ac:dyDescent="0.2">
      <c r="BA2452" s="518">
        <f t="shared" ca="1" si="127"/>
        <v>61</v>
      </c>
      <c r="BB2452" s="174">
        <f t="shared" ca="1" si="128"/>
        <v>2389</v>
      </c>
      <c r="BC2452" s="525" t="e">
        <f ca="1">MATCH(BD2452,OFFSET(Pinlist!$A$2,BC2451*(BA2452=BA2451),0,$BM$23,1),0)+BC2451*(BA2452=BA2451)</f>
        <v>#N/A</v>
      </c>
      <c r="BD2452" s="167">
        <f t="shared" ca="1" si="129"/>
        <v>0</v>
      </c>
      <c r="BE2452" s="191" t="e">
        <f ca="1">(OFFSET(Pinlist!$E$1,BC2452,0)-$BN$16)*$BN$19</f>
        <v>#N/A</v>
      </c>
      <c r="BF2452" s="192" t="e">
        <f ca="1">(OFFSET(Pinlist!$F$1,BC2452,0)-$BO$16)*$BO$19</f>
        <v>#N/A</v>
      </c>
      <c r="BG2452" s="1098" t="str">
        <f ca="1">IF(LEFT(BD2452,2)="RF",OFFSET(Pinlist!$D$1,Chart!BC2452,0)&amp;"_"&amp;OFFSET(Pinlist!$G$1,Chart!BC2452,0),"")</f>
        <v/>
      </c>
      <c r="BH2452" s="1098"/>
    </row>
    <row r="2453" spans="53:60" x14ac:dyDescent="0.2">
      <c r="BA2453" s="518">
        <f t="shared" ca="1" si="127"/>
        <v>61</v>
      </c>
      <c r="BB2453" s="174">
        <f t="shared" ca="1" si="128"/>
        <v>2390</v>
      </c>
      <c r="BC2453" s="525" t="e">
        <f ca="1">MATCH(BD2453,OFFSET(Pinlist!$A$2,BC2452*(BA2453=BA2452),0,$BM$23,1),0)+BC2452*(BA2453=BA2452)</f>
        <v>#N/A</v>
      </c>
      <c r="BD2453" s="167">
        <f t="shared" ca="1" si="129"/>
        <v>0</v>
      </c>
      <c r="BE2453" s="191" t="e">
        <f ca="1">(OFFSET(Pinlist!$E$1,BC2453,0)-$BN$16)*$BN$19</f>
        <v>#N/A</v>
      </c>
      <c r="BF2453" s="192" t="e">
        <f ca="1">(OFFSET(Pinlist!$F$1,BC2453,0)-$BO$16)*$BO$19</f>
        <v>#N/A</v>
      </c>
      <c r="BG2453" s="1098" t="str">
        <f ca="1">IF(LEFT(BD2453,2)="RF",OFFSET(Pinlist!$D$1,Chart!BC2453,0)&amp;"_"&amp;OFFSET(Pinlist!$G$1,Chart!BC2453,0),"")</f>
        <v/>
      </c>
      <c r="BH2453" s="1098"/>
    </row>
    <row r="2454" spans="53:60" x14ac:dyDescent="0.2">
      <c r="BA2454" s="518">
        <f t="shared" ca="1" si="127"/>
        <v>61</v>
      </c>
      <c r="BB2454" s="174">
        <f t="shared" ca="1" si="128"/>
        <v>2391</v>
      </c>
      <c r="BC2454" s="525" t="e">
        <f ca="1">MATCH(BD2454,OFFSET(Pinlist!$A$2,BC2453*(BA2454=BA2453),0,$BM$23,1),0)+BC2453*(BA2454=BA2453)</f>
        <v>#N/A</v>
      </c>
      <c r="BD2454" s="167">
        <f t="shared" ca="1" si="129"/>
        <v>0</v>
      </c>
      <c r="BE2454" s="191" t="e">
        <f ca="1">(OFFSET(Pinlist!$E$1,BC2454,0)-$BN$16)*$BN$19</f>
        <v>#N/A</v>
      </c>
      <c r="BF2454" s="192" t="e">
        <f ca="1">(OFFSET(Pinlist!$F$1,BC2454,0)-$BO$16)*$BO$19</f>
        <v>#N/A</v>
      </c>
      <c r="BG2454" s="1098" t="str">
        <f ca="1">IF(LEFT(BD2454,2)="RF",OFFSET(Pinlist!$D$1,Chart!BC2454,0)&amp;"_"&amp;OFFSET(Pinlist!$G$1,Chart!BC2454,0),"")</f>
        <v/>
      </c>
      <c r="BH2454" s="1098"/>
    </row>
    <row r="2455" spans="53:60" x14ac:dyDescent="0.2">
      <c r="BA2455" s="518">
        <f t="shared" ca="1" si="127"/>
        <v>61</v>
      </c>
      <c r="BB2455" s="174">
        <f t="shared" ca="1" si="128"/>
        <v>2392</v>
      </c>
      <c r="BC2455" s="525" t="e">
        <f ca="1">MATCH(BD2455,OFFSET(Pinlist!$A$2,BC2454*(BA2455=BA2454),0,$BM$23,1),0)+BC2454*(BA2455=BA2454)</f>
        <v>#N/A</v>
      </c>
      <c r="BD2455" s="167">
        <f t="shared" ca="1" si="129"/>
        <v>0</v>
      </c>
      <c r="BE2455" s="191" t="e">
        <f ca="1">(OFFSET(Pinlist!$E$1,BC2455,0)-$BN$16)*$BN$19</f>
        <v>#N/A</v>
      </c>
      <c r="BF2455" s="192" t="e">
        <f ca="1">(OFFSET(Pinlist!$F$1,BC2455,0)-$BO$16)*$BO$19</f>
        <v>#N/A</v>
      </c>
      <c r="BG2455" s="1098" t="str">
        <f ca="1">IF(LEFT(BD2455,2)="RF",OFFSET(Pinlist!$D$1,Chart!BC2455,0)&amp;"_"&amp;OFFSET(Pinlist!$G$1,Chart!BC2455,0),"")</f>
        <v/>
      </c>
      <c r="BH2455" s="1098"/>
    </row>
    <row r="2456" spans="53:60" x14ac:dyDescent="0.2">
      <c r="BA2456" s="518">
        <f t="shared" ca="1" si="127"/>
        <v>61</v>
      </c>
      <c r="BB2456" s="174">
        <f t="shared" ca="1" si="128"/>
        <v>2393</v>
      </c>
      <c r="BC2456" s="525" t="e">
        <f ca="1">MATCH(BD2456,OFFSET(Pinlist!$A$2,BC2455*(BA2456=BA2455),0,$BM$23,1),0)+BC2455*(BA2456=BA2455)</f>
        <v>#N/A</v>
      </c>
      <c r="BD2456" s="167">
        <f t="shared" ca="1" si="129"/>
        <v>0</v>
      </c>
      <c r="BE2456" s="191" t="e">
        <f ca="1">(OFFSET(Pinlist!$E$1,BC2456,0)-$BN$16)*$BN$19</f>
        <v>#N/A</v>
      </c>
      <c r="BF2456" s="192" t="e">
        <f ca="1">(OFFSET(Pinlist!$F$1,BC2456,0)-$BO$16)*$BO$19</f>
        <v>#N/A</v>
      </c>
      <c r="BG2456" s="1098" t="str">
        <f ca="1">IF(LEFT(BD2456,2)="RF",OFFSET(Pinlist!$D$1,Chart!BC2456,0)&amp;"_"&amp;OFFSET(Pinlist!$G$1,Chart!BC2456,0),"")</f>
        <v/>
      </c>
      <c r="BH2456" s="1098"/>
    </row>
    <row r="2457" spans="53:60" x14ac:dyDescent="0.2">
      <c r="BA2457" s="518">
        <f t="shared" ca="1" si="127"/>
        <v>61</v>
      </c>
      <c r="BB2457" s="174">
        <f t="shared" ca="1" si="128"/>
        <v>2394</v>
      </c>
      <c r="BC2457" s="525" t="e">
        <f ca="1">MATCH(BD2457,OFFSET(Pinlist!$A$2,BC2456*(BA2457=BA2456),0,$BM$23,1),0)+BC2456*(BA2457=BA2456)</f>
        <v>#N/A</v>
      </c>
      <c r="BD2457" s="167">
        <f t="shared" ca="1" si="129"/>
        <v>0</v>
      </c>
      <c r="BE2457" s="191" t="e">
        <f ca="1">(OFFSET(Pinlist!$E$1,BC2457,0)-$BN$16)*$BN$19</f>
        <v>#N/A</v>
      </c>
      <c r="BF2457" s="192" t="e">
        <f ca="1">(OFFSET(Pinlist!$F$1,BC2457,0)-$BO$16)*$BO$19</f>
        <v>#N/A</v>
      </c>
      <c r="BG2457" s="1098" t="str">
        <f ca="1">IF(LEFT(BD2457,2)="RF",OFFSET(Pinlist!$D$1,Chart!BC2457,0)&amp;"_"&amp;OFFSET(Pinlist!$G$1,Chart!BC2457,0),"")</f>
        <v/>
      </c>
      <c r="BH2457" s="1098"/>
    </row>
    <row r="2458" spans="53:60" x14ac:dyDescent="0.2">
      <c r="BA2458" s="518">
        <f t="shared" ca="1" si="127"/>
        <v>61</v>
      </c>
      <c r="BB2458" s="174">
        <f t="shared" ca="1" si="128"/>
        <v>2395</v>
      </c>
      <c r="BC2458" s="525" t="e">
        <f ca="1">MATCH(BD2458,OFFSET(Pinlist!$A$2,BC2457*(BA2458=BA2457),0,$BM$23,1),0)+BC2457*(BA2458=BA2457)</f>
        <v>#N/A</v>
      </c>
      <c r="BD2458" s="167">
        <f t="shared" ca="1" si="129"/>
        <v>0</v>
      </c>
      <c r="BE2458" s="191" t="e">
        <f ca="1">(OFFSET(Pinlist!$E$1,BC2458,0)-$BN$16)*$BN$19</f>
        <v>#N/A</v>
      </c>
      <c r="BF2458" s="192" t="e">
        <f ca="1">(OFFSET(Pinlist!$F$1,BC2458,0)-$BO$16)*$BO$19</f>
        <v>#N/A</v>
      </c>
      <c r="BG2458" s="1098" t="str">
        <f ca="1">IF(LEFT(BD2458,2)="RF",OFFSET(Pinlist!$D$1,Chart!BC2458,0)&amp;"_"&amp;OFFSET(Pinlist!$G$1,Chart!BC2458,0),"")</f>
        <v/>
      </c>
      <c r="BH2458" s="1098"/>
    </row>
    <row r="2459" spans="53:60" x14ac:dyDescent="0.2">
      <c r="BA2459" s="518">
        <f t="shared" ca="1" si="127"/>
        <v>61</v>
      </c>
      <c r="BB2459" s="174">
        <f t="shared" ca="1" si="128"/>
        <v>2396</v>
      </c>
      <c r="BC2459" s="525" t="e">
        <f ca="1">MATCH(BD2459,OFFSET(Pinlist!$A$2,BC2458*(BA2459=BA2458),0,$BM$23,1),0)+BC2458*(BA2459=BA2458)</f>
        <v>#N/A</v>
      </c>
      <c r="BD2459" s="167">
        <f t="shared" ca="1" si="129"/>
        <v>0</v>
      </c>
      <c r="BE2459" s="191" t="e">
        <f ca="1">(OFFSET(Pinlist!$E$1,BC2459,0)-$BN$16)*$BN$19</f>
        <v>#N/A</v>
      </c>
      <c r="BF2459" s="192" t="e">
        <f ca="1">(OFFSET(Pinlist!$F$1,BC2459,0)-$BO$16)*$BO$19</f>
        <v>#N/A</v>
      </c>
      <c r="BG2459" s="1098" t="str">
        <f ca="1">IF(LEFT(BD2459,2)="RF",OFFSET(Pinlist!$D$1,Chart!BC2459,0)&amp;"_"&amp;OFFSET(Pinlist!$G$1,Chart!BC2459,0),"")</f>
        <v/>
      </c>
      <c r="BH2459" s="1098"/>
    </row>
    <row r="2460" spans="53:60" x14ac:dyDescent="0.2">
      <c r="BA2460" s="518">
        <f t="shared" ca="1" si="127"/>
        <v>61</v>
      </c>
      <c r="BB2460" s="174">
        <f t="shared" ca="1" si="128"/>
        <v>2397</v>
      </c>
      <c r="BC2460" s="525" t="e">
        <f ca="1">MATCH(BD2460,OFFSET(Pinlist!$A$2,BC2459*(BA2460=BA2459),0,$BM$23,1),0)+BC2459*(BA2460=BA2459)</f>
        <v>#N/A</v>
      </c>
      <c r="BD2460" s="167">
        <f t="shared" ca="1" si="129"/>
        <v>0</v>
      </c>
      <c r="BE2460" s="191" t="e">
        <f ca="1">(OFFSET(Pinlist!$E$1,BC2460,0)-$BN$16)*$BN$19</f>
        <v>#N/A</v>
      </c>
      <c r="BF2460" s="192" t="e">
        <f ca="1">(OFFSET(Pinlist!$F$1,BC2460,0)-$BO$16)*$BO$19</f>
        <v>#N/A</v>
      </c>
      <c r="BG2460" s="1098" t="str">
        <f ca="1">IF(LEFT(BD2460,2)="RF",OFFSET(Pinlist!$D$1,Chart!BC2460,0)&amp;"_"&amp;OFFSET(Pinlist!$G$1,Chart!BC2460,0),"")</f>
        <v/>
      </c>
      <c r="BH2460" s="1098"/>
    </row>
    <row r="2461" spans="53:60" x14ac:dyDescent="0.2">
      <c r="BA2461" s="518">
        <f t="shared" ca="1" si="127"/>
        <v>61</v>
      </c>
      <c r="BB2461" s="174">
        <f t="shared" ca="1" si="128"/>
        <v>2398</v>
      </c>
      <c r="BC2461" s="525" t="e">
        <f ca="1">MATCH(BD2461,OFFSET(Pinlist!$A$2,BC2460*(BA2461=BA2460),0,$BM$23,1),0)+BC2460*(BA2461=BA2460)</f>
        <v>#N/A</v>
      </c>
      <c r="BD2461" s="167">
        <f t="shared" ca="1" si="129"/>
        <v>0</v>
      </c>
      <c r="BE2461" s="191" t="e">
        <f ca="1">(OFFSET(Pinlist!$E$1,BC2461,0)-$BN$16)*$BN$19</f>
        <v>#N/A</v>
      </c>
      <c r="BF2461" s="192" t="e">
        <f ca="1">(OFFSET(Pinlist!$F$1,BC2461,0)-$BO$16)*$BO$19</f>
        <v>#N/A</v>
      </c>
      <c r="BG2461" s="1098" t="str">
        <f ca="1">IF(LEFT(BD2461,2)="RF",OFFSET(Pinlist!$D$1,Chart!BC2461,0)&amp;"_"&amp;OFFSET(Pinlist!$G$1,Chart!BC2461,0),"")</f>
        <v/>
      </c>
      <c r="BH2461" s="1098"/>
    </row>
    <row r="2462" spans="53:60" x14ac:dyDescent="0.2">
      <c r="BA2462" s="518">
        <f t="shared" ca="1" si="127"/>
        <v>61</v>
      </c>
      <c r="BB2462" s="174">
        <f t="shared" ca="1" si="128"/>
        <v>2399</v>
      </c>
      <c r="BC2462" s="525" t="e">
        <f ca="1">MATCH(BD2462,OFFSET(Pinlist!$A$2,BC2461*(BA2462=BA2461),0,$BM$23,1),0)+BC2461*(BA2462=BA2461)</f>
        <v>#N/A</v>
      </c>
      <c r="BD2462" s="167">
        <f t="shared" ca="1" si="129"/>
        <v>0</v>
      </c>
      <c r="BE2462" s="191" t="e">
        <f ca="1">(OFFSET(Pinlist!$E$1,BC2462,0)-$BN$16)*$BN$19</f>
        <v>#N/A</v>
      </c>
      <c r="BF2462" s="192" t="e">
        <f ca="1">(OFFSET(Pinlist!$F$1,BC2462,0)-$BO$16)*$BO$19</f>
        <v>#N/A</v>
      </c>
      <c r="BG2462" s="1098" t="str">
        <f ca="1">IF(LEFT(BD2462,2)="RF",OFFSET(Pinlist!$D$1,Chart!BC2462,0)&amp;"_"&amp;OFFSET(Pinlist!$G$1,Chart!BC2462,0),"")</f>
        <v/>
      </c>
      <c r="BH2462" s="1098"/>
    </row>
    <row r="2463" spans="53:60" x14ac:dyDescent="0.2">
      <c r="BA2463" s="518">
        <f t="shared" ca="1" si="127"/>
        <v>61</v>
      </c>
      <c r="BB2463" s="174">
        <f t="shared" ca="1" si="128"/>
        <v>2400</v>
      </c>
      <c r="BC2463" s="525" t="e">
        <f ca="1">MATCH(BD2463,OFFSET(Pinlist!$A$2,BC2462*(BA2463=BA2462),0,$BM$23,1),0)+BC2462*(BA2463=BA2462)</f>
        <v>#N/A</v>
      </c>
      <c r="BD2463" s="167">
        <f t="shared" ca="1" si="129"/>
        <v>0</v>
      </c>
      <c r="BE2463" s="191" t="e">
        <f ca="1">(OFFSET(Pinlist!$E$1,BC2463,0)-$BN$16)*$BN$19</f>
        <v>#N/A</v>
      </c>
      <c r="BF2463" s="192" t="e">
        <f ca="1">(OFFSET(Pinlist!$F$1,BC2463,0)-$BO$16)*$BO$19</f>
        <v>#N/A</v>
      </c>
      <c r="BG2463" s="1098" t="str">
        <f ca="1">IF(LEFT(BD2463,2)="RF",OFFSET(Pinlist!$D$1,Chart!BC2463,0)&amp;"_"&amp;OFFSET(Pinlist!$G$1,Chart!BC2463,0),"")</f>
        <v/>
      </c>
      <c r="BH2463" s="1098"/>
    </row>
    <row r="2464" spans="53:60" x14ac:dyDescent="0.2">
      <c r="BA2464" s="518">
        <f t="shared" ca="1" si="127"/>
        <v>61</v>
      </c>
      <c r="BB2464" s="174">
        <f t="shared" ca="1" si="128"/>
        <v>2401</v>
      </c>
      <c r="BC2464" s="525" t="e">
        <f ca="1">MATCH(BD2464,OFFSET(Pinlist!$A$2,BC2463*(BA2464=BA2463),0,$BM$23,1),0)+BC2463*(BA2464=BA2463)</f>
        <v>#N/A</v>
      </c>
      <c r="BD2464" s="167">
        <f t="shared" ca="1" si="129"/>
        <v>0</v>
      </c>
      <c r="BE2464" s="191" t="e">
        <f ca="1">(OFFSET(Pinlist!$E$1,BC2464,0)-$BN$16)*$BN$19</f>
        <v>#N/A</v>
      </c>
      <c r="BF2464" s="192" t="e">
        <f ca="1">(OFFSET(Pinlist!$F$1,BC2464,0)-$BO$16)*$BO$19</f>
        <v>#N/A</v>
      </c>
      <c r="BG2464" s="1098" t="str">
        <f ca="1">IF(LEFT(BD2464,2)="RF",OFFSET(Pinlist!$D$1,Chart!BC2464,0)&amp;"_"&amp;OFFSET(Pinlist!$G$1,Chart!BC2464,0),"")</f>
        <v/>
      </c>
      <c r="BH2464" s="1098"/>
    </row>
    <row r="2465" spans="53:60" x14ac:dyDescent="0.2">
      <c r="BA2465" s="518">
        <f t="shared" ca="1" si="127"/>
        <v>61</v>
      </c>
      <c r="BB2465" s="174">
        <f t="shared" ca="1" si="128"/>
        <v>2402</v>
      </c>
      <c r="BC2465" s="525" t="e">
        <f ca="1">MATCH(BD2465,OFFSET(Pinlist!$A$2,BC2464*(BA2465=BA2464),0,$BM$23,1),0)+BC2464*(BA2465=BA2464)</f>
        <v>#N/A</v>
      </c>
      <c r="BD2465" s="167">
        <f t="shared" ca="1" si="129"/>
        <v>0</v>
      </c>
      <c r="BE2465" s="191" t="e">
        <f ca="1">(OFFSET(Pinlist!$E$1,BC2465,0)-$BN$16)*$BN$19</f>
        <v>#N/A</v>
      </c>
      <c r="BF2465" s="192" t="e">
        <f ca="1">(OFFSET(Pinlist!$F$1,BC2465,0)-$BO$16)*$BO$19</f>
        <v>#N/A</v>
      </c>
      <c r="BG2465" s="1098" t="str">
        <f ca="1">IF(LEFT(BD2465,2)="RF",OFFSET(Pinlist!$D$1,Chart!BC2465,0)&amp;"_"&amp;OFFSET(Pinlist!$G$1,Chart!BC2465,0),"")</f>
        <v/>
      </c>
      <c r="BH2465" s="1098"/>
    </row>
    <row r="2466" spans="53:60" x14ac:dyDescent="0.2">
      <c r="BA2466" s="518">
        <f t="shared" ca="1" si="127"/>
        <v>61</v>
      </c>
      <c r="BB2466" s="174">
        <f t="shared" ca="1" si="128"/>
        <v>2403</v>
      </c>
      <c r="BC2466" s="525" t="e">
        <f ca="1">MATCH(BD2466,OFFSET(Pinlist!$A$2,BC2465*(BA2466=BA2465),0,$BM$23,1),0)+BC2465*(BA2466=BA2465)</f>
        <v>#N/A</v>
      </c>
      <c r="BD2466" s="167">
        <f t="shared" ca="1" si="129"/>
        <v>0</v>
      </c>
      <c r="BE2466" s="191" t="e">
        <f ca="1">(OFFSET(Pinlist!$E$1,BC2466,0)-$BN$16)*$BN$19</f>
        <v>#N/A</v>
      </c>
      <c r="BF2466" s="192" t="e">
        <f ca="1">(OFFSET(Pinlist!$F$1,BC2466,0)-$BO$16)*$BO$19</f>
        <v>#N/A</v>
      </c>
      <c r="BG2466" s="1098" t="str">
        <f ca="1">IF(LEFT(BD2466,2)="RF",OFFSET(Pinlist!$D$1,Chart!BC2466,0)&amp;"_"&amp;OFFSET(Pinlist!$G$1,Chart!BC2466,0),"")</f>
        <v/>
      </c>
      <c r="BH2466" s="1098"/>
    </row>
    <row r="2467" spans="53:60" x14ac:dyDescent="0.2">
      <c r="BA2467" s="518">
        <f t="shared" ca="1" si="127"/>
        <v>61</v>
      </c>
      <c r="BB2467" s="174">
        <f t="shared" ca="1" si="128"/>
        <v>2404</v>
      </c>
      <c r="BC2467" s="525" t="e">
        <f ca="1">MATCH(BD2467,OFFSET(Pinlist!$A$2,BC2466*(BA2467=BA2466),0,$BM$23,1),0)+BC2466*(BA2467=BA2466)</f>
        <v>#N/A</v>
      </c>
      <c r="BD2467" s="167">
        <f t="shared" ca="1" si="129"/>
        <v>0</v>
      </c>
      <c r="BE2467" s="191" t="e">
        <f ca="1">(OFFSET(Pinlist!$E$1,BC2467,0)-$BN$16)*$BN$19</f>
        <v>#N/A</v>
      </c>
      <c r="BF2467" s="192" t="e">
        <f ca="1">(OFFSET(Pinlist!$F$1,BC2467,0)-$BO$16)*$BO$19</f>
        <v>#N/A</v>
      </c>
      <c r="BG2467" s="1098" t="str">
        <f ca="1">IF(LEFT(BD2467,2)="RF",OFFSET(Pinlist!$D$1,Chart!BC2467,0)&amp;"_"&amp;OFFSET(Pinlist!$G$1,Chart!BC2467,0),"")</f>
        <v/>
      </c>
      <c r="BH2467" s="1098"/>
    </row>
    <row r="2468" spans="53:60" x14ac:dyDescent="0.2">
      <c r="BA2468" s="518">
        <f t="shared" ca="1" si="127"/>
        <v>61</v>
      </c>
      <c r="BB2468" s="174">
        <f t="shared" ca="1" si="128"/>
        <v>2405</v>
      </c>
      <c r="BC2468" s="525" t="e">
        <f ca="1">MATCH(BD2468,OFFSET(Pinlist!$A$2,BC2467*(BA2468=BA2467),0,$BM$23,1),0)+BC2467*(BA2468=BA2467)</f>
        <v>#N/A</v>
      </c>
      <c r="BD2468" s="167">
        <f t="shared" ca="1" si="129"/>
        <v>0</v>
      </c>
      <c r="BE2468" s="191" t="e">
        <f ca="1">(OFFSET(Pinlist!$E$1,BC2468,0)-$BN$16)*$BN$19</f>
        <v>#N/A</v>
      </c>
      <c r="BF2468" s="192" t="e">
        <f ca="1">(OFFSET(Pinlist!$F$1,BC2468,0)-$BO$16)*$BO$19</f>
        <v>#N/A</v>
      </c>
      <c r="BG2468" s="1098" t="str">
        <f ca="1">IF(LEFT(BD2468,2)="RF",OFFSET(Pinlist!$D$1,Chart!BC2468,0)&amp;"_"&amp;OFFSET(Pinlist!$G$1,Chart!BC2468,0),"")</f>
        <v/>
      </c>
      <c r="BH2468" s="1098"/>
    </row>
    <row r="2469" spans="53:60" x14ac:dyDescent="0.2">
      <c r="BA2469" s="518">
        <f t="shared" ca="1" si="127"/>
        <v>61</v>
      </c>
      <c r="BB2469" s="174">
        <f t="shared" ca="1" si="128"/>
        <v>2406</v>
      </c>
      <c r="BC2469" s="525" t="e">
        <f ca="1">MATCH(BD2469,OFFSET(Pinlist!$A$2,BC2468*(BA2469=BA2468),0,$BM$23,1),0)+BC2468*(BA2469=BA2468)</f>
        <v>#N/A</v>
      </c>
      <c r="BD2469" s="167">
        <f t="shared" ca="1" si="129"/>
        <v>0</v>
      </c>
      <c r="BE2469" s="191" t="e">
        <f ca="1">(OFFSET(Pinlist!$E$1,BC2469,0)-$BN$16)*$BN$19</f>
        <v>#N/A</v>
      </c>
      <c r="BF2469" s="192" t="e">
        <f ca="1">(OFFSET(Pinlist!$F$1,BC2469,0)-$BO$16)*$BO$19</f>
        <v>#N/A</v>
      </c>
      <c r="BG2469" s="1098" t="str">
        <f ca="1">IF(LEFT(BD2469,2)="RF",OFFSET(Pinlist!$D$1,Chart!BC2469,0)&amp;"_"&amp;OFFSET(Pinlist!$G$1,Chart!BC2469,0),"")</f>
        <v/>
      </c>
      <c r="BH2469" s="1098"/>
    </row>
    <row r="2470" spans="53:60" x14ac:dyDescent="0.2">
      <c r="BA2470" s="518">
        <f t="shared" ca="1" si="127"/>
        <v>61</v>
      </c>
      <c r="BB2470" s="174">
        <f t="shared" ca="1" si="128"/>
        <v>2407</v>
      </c>
      <c r="BC2470" s="525" t="e">
        <f ca="1">MATCH(BD2470,OFFSET(Pinlist!$A$2,BC2469*(BA2470=BA2469),0,$BM$23,1),0)+BC2469*(BA2470=BA2469)</f>
        <v>#N/A</v>
      </c>
      <c r="BD2470" s="167">
        <f t="shared" ca="1" si="129"/>
        <v>0</v>
      </c>
      <c r="BE2470" s="191" t="e">
        <f ca="1">(OFFSET(Pinlist!$E$1,BC2470,0)-$BN$16)*$BN$19</f>
        <v>#N/A</v>
      </c>
      <c r="BF2470" s="192" t="e">
        <f ca="1">(OFFSET(Pinlist!$F$1,BC2470,0)-$BO$16)*$BO$19</f>
        <v>#N/A</v>
      </c>
      <c r="BG2470" s="1098" t="str">
        <f ca="1">IF(LEFT(BD2470,2)="RF",OFFSET(Pinlist!$D$1,Chart!BC2470,0)&amp;"_"&amp;OFFSET(Pinlist!$G$1,Chart!BC2470,0),"")</f>
        <v/>
      </c>
      <c r="BH2470" s="1098"/>
    </row>
    <row r="2471" spans="53:60" x14ac:dyDescent="0.2">
      <c r="BA2471" s="518">
        <f t="shared" ca="1" si="127"/>
        <v>61</v>
      </c>
      <c r="BB2471" s="174">
        <f t="shared" ca="1" si="128"/>
        <v>2408</v>
      </c>
      <c r="BC2471" s="525" t="e">
        <f ca="1">MATCH(BD2471,OFFSET(Pinlist!$A$2,BC2470*(BA2471=BA2470),0,$BM$23,1),0)+BC2470*(BA2471=BA2470)</f>
        <v>#N/A</v>
      </c>
      <c r="BD2471" s="167">
        <f t="shared" ca="1" si="129"/>
        <v>0</v>
      </c>
      <c r="BE2471" s="191" t="e">
        <f ca="1">(OFFSET(Pinlist!$E$1,BC2471,0)-$BN$16)*$BN$19</f>
        <v>#N/A</v>
      </c>
      <c r="BF2471" s="192" t="e">
        <f ca="1">(OFFSET(Pinlist!$F$1,BC2471,0)-$BO$16)*$BO$19</f>
        <v>#N/A</v>
      </c>
      <c r="BG2471" s="1098" t="str">
        <f ca="1">IF(LEFT(BD2471,2)="RF",OFFSET(Pinlist!$D$1,Chart!BC2471,0)&amp;"_"&amp;OFFSET(Pinlist!$G$1,Chart!BC2471,0),"")</f>
        <v/>
      </c>
      <c r="BH2471" s="1098"/>
    </row>
    <row r="2472" spans="53:60" x14ac:dyDescent="0.2">
      <c r="BA2472" s="518">
        <f t="shared" ca="1" si="127"/>
        <v>61</v>
      </c>
      <c r="BB2472" s="174">
        <f t="shared" ca="1" si="128"/>
        <v>2409</v>
      </c>
      <c r="BC2472" s="525" t="e">
        <f ca="1">MATCH(BD2472,OFFSET(Pinlist!$A$2,BC2471*(BA2472=BA2471),0,$BM$23,1),0)+BC2471*(BA2472=BA2471)</f>
        <v>#N/A</v>
      </c>
      <c r="BD2472" s="167">
        <f t="shared" ca="1" si="129"/>
        <v>0</v>
      </c>
      <c r="BE2472" s="191" t="e">
        <f ca="1">(OFFSET(Pinlist!$E$1,BC2472,0)-$BN$16)*$BN$19</f>
        <v>#N/A</v>
      </c>
      <c r="BF2472" s="192" t="e">
        <f ca="1">(OFFSET(Pinlist!$F$1,BC2472,0)-$BO$16)*$BO$19</f>
        <v>#N/A</v>
      </c>
      <c r="BG2472" s="1098" t="str">
        <f ca="1">IF(LEFT(BD2472,2)="RF",OFFSET(Pinlist!$D$1,Chart!BC2472,0)&amp;"_"&amp;OFFSET(Pinlist!$G$1,Chart!BC2472,0),"")</f>
        <v/>
      </c>
      <c r="BH2472" s="1098"/>
    </row>
    <row r="2473" spans="53:60" x14ac:dyDescent="0.2">
      <c r="BA2473" s="518">
        <f t="shared" ca="1" si="127"/>
        <v>61</v>
      </c>
      <c r="BB2473" s="174">
        <f t="shared" ca="1" si="128"/>
        <v>2410</v>
      </c>
      <c r="BC2473" s="525" t="e">
        <f ca="1">MATCH(BD2473,OFFSET(Pinlist!$A$2,BC2472*(BA2473=BA2472),0,$BM$23,1),0)+BC2472*(BA2473=BA2472)</f>
        <v>#N/A</v>
      </c>
      <c r="BD2473" s="167">
        <f t="shared" ca="1" si="129"/>
        <v>0</v>
      </c>
      <c r="BE2473" s="191" t="e">
        <f ca="1">(OFFSET(Pinlist!$E$1,BC2473,0)-$BN$16)*$BN$19</f>
        <v>#N/A</v>
      </c>
      <c r="BF2473" s="192" t="e">
        <f ca="1">(OFFSET(Pinlist!$F$1,BC2473,0)-$BO$16)*$BO$19</f>
        <v>#N/A</v>
      </c>
      <c r="BG2473" s="1098" t="str">
        <f ca="1">IF(LEFT(BD2473,2)="RF",OFFSET(Pinlist!$D$1,Chart!BC2473,0)&amp;"_"&amp;OFFSET(Pinlist!$G$1,Chart!BC2473,0),"")</f>
        <v/>
      </c>
      <c r="BH2473" s="1098"/>
    </row>
    <row r="2474" spans="53:60" x14ac:dyDescent="0.2">
      <c r="BA2474" s="518">
        <f t="shared" ca="1" si="127"/>
        <v>61</v>
      </c>
      <c r="BB2474" s="174">
        <f t="shared" ca="1" si="128"/>
        <v>2411</v>
      </c>
      <c r="BC2474" s="525" t="e">
        <f ca="1">MATCH(BD2474,OFFSET(Pinlist!$A$2,BC2473*(BA2474=BA2473),0,$BM$23,1),0)+BC2473*(BA2474=BA2473)</f>
        <v>#N/A</v>
      </c>
      <c r="BD2474" s="167">
        <f t="shared" ca="1" si="129"/>
        <v>0</v>
      </c>
      <c r="BE2474" s="191" t="e">
        <f ca="1">(OFFSET(Pinlist!$E$1,BC2474,0)-$BN$16)*$BN$19</f>
        <v>#N/A</v>
      </c>
      <c r="BF2474" s="192" t="e">
        <f ca="1">(OFFSET(Pinlist!$F$1,BC2474,0)-$BO$16)*$BO$19</f>
        <v>#N/A</v>
      </c>
      <c r="BG2474" s="1098" t="str">
        <f ca="1">IF(LEFT(BD2474,2)="RF",OFFSET(Pinlist!$D$1,Chart!BC2474,0)&amp;"_"&amp;OFFSET(Pinlist!$G$1,Chart!BC2474,0),"")</f>
        <v/>
      </c>
      <c r="BH2474" s="1098"/>
    </row>
    <row r="2475" spans="53:60" x14ac:dyDescent="0.2">
      <c r="BA2475" s="518">
        <f t="shared" ca="1" si="127"/>
        <v>61</v>
      </c>
      <c r="BB2475" s="174">
        <f t="shared" ca="1" si="128"/>
        <v>2412</v>
      </c>
      <c r="BC2475" s="525" t="e">
        <f ca="1">MATCH(BD2475,OFFSET(Pinlist!$A$2,BC2474*(BA2475=BA2474),0,$BM$23,1),0)+BC2474*(BA2475=BA2474)</f>
        <v>#N/A</v>
      </c>
      <c r="BD2475" s="167">
        <f t="shared" ca="1" si="129"/>
        <v>0</v>
      </c>
      <c r="BE2475" s="191" t="e">
        <f ca="1">(OFFSET(Pinlist!$E$1,BC2475,0)-$BN$16)*$BN$19</f>
        <v>#N/A</v>
      </c>
      <c r="BF2475" s="192" t="e">
        <f ca="1">(OFFSET(Pinlist!$F$1,BC2475,0)-$BO$16)*$BO$19</f>
        <v>#N/A</v>
      </c>
      <c r="BG2475" s="1098" t="str">
        <f ca="1">IF(LEFT(BD2475,2)="RF",OFFSET(Pinlist!$D$1,Chart!BC2475,0)&amp;"_"&amp;OFFSET(Pinlist!$G$1,Chart!BC2475,0),"")</f>
        <v/>
      </c>
      <c r="BH2475" s="1098"/>
    </row>
    <row r="2476" spans="53:60" x14ac:dyDescent="0.2">
      <c r="BA2476" s="518">
        <f t="shared" ca="1" si="127"/>
        <v>61</v>
      </c>
      <c r="BB2476" s="174">
        <f t="shared" ca="1" si="128"/>
        <v>2413</v>
      </c>
      <c r="BC2476" s="525" t="e">
        <f ca="1">MATCH(BD2476,OFFSET(Pinlist!$A$2,BC2475*(BA2476=BA2475),0,$BM$23,1),0)+BC2475*(BA2476=BA2475)</f>
        <v>#N/A</v>
      </c>
      <c r="BD2476" s="167">
        <f t="shared" ca="1" si="129"/>
        <v>0</v>
      </c>
      <c r="BE2476" s="191" t="e">
        <f ca="1">(OFFSET(Pinlist!$E$1,BC2476,0)-$BN$16)*$BN$19</f>
        <v>#N/A</v>
      </c>
      <c r="BF2476" s="192" t="e">
        <f ca="1">(OFFSET(Pinlist!$F$1,BC2476,0)-$BO$16)*$BO$19</f>
        <v>#N/A</v>
      </c>
      <c r="BG2476" s="1098" t="str">
        <f ca="1">IF(LEFT(BD2476,2)="RF",OFFSET(Pinlist!$D$1,Chart!BC2476,0)&amp;"_"&amp;OFFSET(Pinlist!$G$1,Chart!BC2476,0),"")</f>
        <v/>
      </c>
      <c r="BH2476" s="1098"/>
    </row>
    <row r="2477" spans="53:60" x14ac:dyDescent="0.2">
      <c r="BA2477" s="518">
        <f t="shared" ca="1" si="127"/>
        <v>61</v>
      </c>
      <c r="BB2477" s="174">
        <f t="shared" ca="1" si="128"/>
        <v>2414</v>
      </c>
      <c r="BC2477" s="525" t="e">
        <f ca="1">MATCH(BD2477,OFFSET(Pinlist!$A$2,BC2476*(BA2477=BA2476),0,$BM$23,1),0)+BC2476*(BA2477=BA2476)</f>
        <v>#N/A</v>
      </c>
      <c r="BD2477" s="167">
        <f t="shared" ca="1" si="129"/>
        <v>0</v>
      </c>
      <c r="BE2477" s="191" t="e">
        <f ca="1">(OFFSET(Pinlist!$E$1,BC2477,0)-$BN$16)*$BN$19</f>
        <v>#N/A</v>
      </c>
      <c r="BF2477" s="192" t="e">
        <f ca="1">(OFFSET(Pinlist!$F$1,BC2477,0)-$BO$16)*$BO$19</f>
        <v>#N/A</v>
      </c>
      <c r="BG2477" s="1098" t="str">
        <f ca="1">IF(LEFT(BD2477,2)="RF",OFFSET(Pinlist!$D$1,Chart!BC2477,0)&amp;"_"&amp;OFFSET(Pinlist!$G$1,Chart!BC2477,0),"")</f>
        <v/>
      </c>
      <c r="BH2477" s="1098"/>
    </row>
    <row r="2478" spans="53:60" x14ac:dyDescent="0.2">
      <c r="BA2478" s="518">
        <f t="shared" ca="1" si="127"/>
        <v>61</v>
      </c>
      <c r="BB2478" s="174">
        <f t="shared" ca="1" si="128"/>
        <v>2415</v>
      </c>
      <c r="BC2478" s="525" t="e">
        <f ca="1">MATCH(BD2478,OFFSET(Pinlist!$A$2,BC2477*(BA2478=BA2477),0,$BM$23,1),0)+BC2477*(BA2478=BA2477)</f>
        <v>#N/A</v>
      </c>
      <c r="BD2478" s="167">
        <f t="shared" ca="1" si="129"/>
        <v>0</v>
      </c>
      <c r="BE2478" s="191" t="e">
        <f ca="1">(OFFSET(Pinlist!$E$1,BC2478,0)-$BN$16)*$BN$19</f>
        <v>#N/A</v>
      </c>
      <c r="BF2478" s="192" t="e">
        <f ca="1">(OFFSET(Pinlist!$F$1,BC2478,0)-$BO$16)*$BO$19</f>
        <v>#N/A</v>
      </c>
      <c r="BG2478" s="1098" t="str">
        <f ca="1">IF(LEFT(BD2478,2)="RF",OFFSET(Pinlist!$D$1,Chart!BC2478,0)&amp;"_"&amp;OFFSET(Pinlist!$G$1,Chart!BC2478,0),"")</f>
        <v/>
      </c>
      <c r="BH2478" s="1098"/>
    </row>
    <row r="2479" spans="53:60" x14ac:dyDescent="0.2">
      <c r="BA2479" s="518">
        <f t="shared" ca="1" si="127"/>
        <v>61</v>
      </c>
      <c r="BB2479" s="174">
        <f t="shared" ca="1" si="128"/>
        <v>2416</v>
      </c>
      <c r="BC2479" s="525" t="e">
        <f ca="1">MATCH(BD2479,OFFSET(Pinlist!$A$2,BC2478*(BA2479=BA2478),0,$BM$23,1),0)+BC2478*(BA2479=BA2478)</f>
        <v>#N/A</v>
      </c>
      <c r="BD2479" s="167">
        <f t="shared" ca="1" si="129"/>
        <v>0</v>
      </c>
      <c r="BE2479" s="191" t="e">
        <f ca="1">(OFFSET(Pinlist!$E$1,BC2479,0)-$BN$16)*$BN$19</f>
        <v>#N/A</v>
      </c>
      <c r="BF2479" s="192" t="e">
        <f ca="1">(OFFSET(Pinlist!$F$1,BC2479,0)-$BO$16)*$BO$19</f>
        <v>#N/A</v>
      </c>
      <c r="BG2479" s="1098" t="str">
        <f ca="1">IF(LEFT(BD2479,2)="RF",OFFSET(Pinlist!$D$1,Chart!BC2479,0)&amp;"_"&amp;OFFSET(Pinlist!$G$1,Chart!BC2479,0),"")</f>
        <v/>
      </c>
      <c r="BH2479" s="1098"/>
    </row>
    <row r="2480" spans="53:60" x14ac:dyDescent="0.2">
      <c r="BA2480" s="518">
        <f t="shared" ca="1" si="127"/>
        <v>61</v>
      </c>
      <c r="BB2480" s="174">
        <f t="shared" ca="1" si="128"/>
        <v>2417</v>
      </c>
      <c r="BC2480" s="525" t="e">
        <f ca="1">MATCH(BD2480,OFFSET(Pinlist!$A$2,BC2479*(BA2480=BA2479),0,$BM$23,1),0)+BC2479*(BA2480=BA2479)</f>
        <v>#N/A</v>
      </c>
      <c r="BD2480" s="167">
        <f t="shared" ca="1" si="129"/>
        <v>0</v>
      </c>
      <c r="BE2480" s="191" t="e">
        <f ca="1">(OFFSET(Pinlist!$E$1,BC2480,0)-$BN$16)*$BN$19</f>
        <v>#N/A</v>
      </c>
      <c r="BF2480" s="192" t="e">
        <f ca="1">(OFFSET(Pinlist!$F$1,BC2480,0)-$BO$16)*$BO$19</f>
        <v>#N/A</v>
      </c>
      <c r="BG2480" s="1098" t="str">
        <f ca="1">IF(LEFT(BD2480,2)="RF",OFFSET(Pinlist!$D$1,Chart!BC2480,0)&amp;"_"&amp;OFFSET(Pinlist!$G$1,Chart!BC2480,0),"")</f>
        <v/>
      </c>
      <c r="BH2480" s="1098"/>
    </row>
    <row r="2481" spans="53:60" x14ac:dyDescent="0.2">
      <c r="BA2481" s="518">
        <f t="shared" ca="1" si="127"/>
        <v>61</v>
      </c>
      <c r="BB2481" s="174">
        <f t="shared" ca="1" si="128"/>
        <v>2418</v>
      </c>
      <c r="BC2481" s="525" t="e">
        <f ca="1">MATCH(BD2481,OFFSET(Pinlist!$A$2,BC2480*(BA2481=BA2480),0,$BM$23,1),0)+BC2480*(BA2481=BA2480)</f>
        <v>#N/A</v>
      </c>
      <c r="BD2481" s="167">
        <f t="shared" ca="1" si="129"/>
        <v>0</v>
      </c>
      <c r="BE2481" s="191" t="e">
        <f ca="1">(OFFSET(Pinlist!$E$1,BC2481,0)-$BN$16)*$BN$19</f>
        <v>#N/A</v>
      </c>
      <c r="BF2481" s="192" t="e">
        <f ca="1">(OFFSET(Pinlist!$F$1,BC2481,0)-$BO$16)*$BO$19</f>
        <v>#N/A</v>
      </c>
      <c r="BG2481" s="1098" t="str">
        <f ca="1">IF(LEFT(BD2481,2)="RF",OFFSET(Pinlist!$D$1,Chart!BC2481,0)&amp;"_"&amp;OFFSET(Pinlist!$G$1,Chart!BC2481,0),"")</f>
        <v/>
      </c>
      <c r="BH2481" s="1098"/>
    </row>
    <row r="2482" spans="53:60" x14ac:dyDescent="0.2">
      <c r="BA2482" s="518">
        <f t="shared" ca="1" si="127"/>
        <v>61</v>
      </c>
      <c r="BB2482" s="174">
        <f t="shared" ca="1" si="128"/>
        <v>2419</v>
      </c>
      <c r="BC2482" s="525" t="e">
        <f ca="1">MATCH(BD2482,OFFSET(Pinlist!$A$2,BC2481*(BA2482=BA2481),0,$BM$23,1),0)+BC2481*(BA2482=BA2481)</f>
        <v>#N/A</v>
      </c>
      <c r="BD2482" s="167">
        <f t="shared" ca="1" si="129"/>
        <v>0</v>
      </c>
      <c r="BE2482" s="191" t="e">
        <f ca="1">(OFFSET(Pinlist!$E$1,BC2482,0)-$BN$16)*$BN$19</f>
        <v>#N/A</v>
      </c>
      <c r="BF2482" s="192" t="e">
        <f ca="1">(OFFSET(Pinlist!$F$1,BC2482,0)-$BO$16)*$BO$19</f>
        <v>#N/A</v>
      </c>
      <c r="BG2482" s="1098" t="str">
        <f ca="1">IF(LEFT(BD2482,2)="RF",OFFSET(Pinlist!$D$1,Chart!BC2482,0)&amp;"_"&amp;OFFSET(Pinlist!$G$1,Chart!BC2482,0),"")</f>
        <v/>
      </c>
      <c r="BH2482" s="1098"/>
    </row>
    <row r="2483" spans="53:60" x14ac:dyDescent="0.2">
      <c r="BA2483" s="518">
        <f t="shared" ca="1" si="127"/>
        <v>61</v>
      </c>
      <c r="BB2483" s="174">
        <f t="shared" ca="1" si="128"/>
        <v>2420</v>
      </c>
      <c r="BC2483" s="525" t="e">
        <f ca="1">MATCH(BD2483,OFFSET(Pinlist!$A$2,BC2482*(BA2483=BA2482),0,$BM$23,1),0)+BC2482*(BA2483=BA2482)</f>
        <v>#N/A</v>
      </c>
      <c r="BD2483" s="167">
        <f t="shared" ca="1" si="129"/>
        <v>0</v>
      </c>
      <c r="BE2483" s="191" t="e">
        <f ca="1">(OFFSET(Pinlist!$E$1,BC2483,0)-$BN$16)*$BN$19</f>
        <v>#N/A</v>
      </c>
      <c r="BF2483" s="192" t="e">
        <f ca="1">(OFFSET(Pinlist!$F$1,BC2483,0)-$BO$16)*$BO$19</f>
        <v>#N/A</v>
      </c>
      <c r="BG2483" s="1098" t="str">
        <f ca="1">IF(LEFT(BD2483,2)="RF",OFFSET(Pinlist!$D$1,Chart!BC2483,0)&amp;"_"&amp;OFFSET(Pinlist!$G$1,Chart!BC2483,0),"")</f>
        <v/>
      </c>
      <c r="BH2483" s="1098"/>
    </row>
    <row r="2484" spans="53:60" x14ac:dyDescent="0.2">
      <c r="BA2484" s="518">
        <f t="shared" ca="1" si="127"/>
        <v>61</v>
      </c>
      <c r="BB2484" s="174">
        <f t="shared" ca="1" si="128"/>
        <v>2421</v>
      </c>
      <c r="BC2484" s="525" t="e">
        <f ca="1">MATCH(BD2484,OFFSET(Pinlist!$A$2,BC2483*(BA2484=BA2483),0,$BM$23,1),0)+BC2483*(BA2484=BA2483)</f>
        <v>#N/A</v>
      </c>
      <c r="BD2484" s="167">
        <f t="shared" ca="1" si="129"/>
        <v>0</v>
      </c>
      <c r="BE2484" s="191" t="e">
        <f ca="1">(OFFSET(Pinlist!$E$1,BC2484,0)-$BN$16)*$BN$19</f>
        <v>#N/A</v>
      </c>
      <c r="BF2484" s="192" t="e">
        <f ca="1">(OFFSET(Pinlist!$F$1,BC2484,0)-$BO$16)*$BO$19</f>
        <v>#N/A</v>
      </c>
      <c r="BG2484" s="1098" t="str">
        <f ca="1">IF(LEFT(BD2484,2)="RF",OFFSET(Pinlist!$D$1,Chart!BC2484,0)&amp;"_"&amp;OFFSET(Pinlist!$G$1,Chart!BC2484,0),"")</f>
        <v/>
      </c>
      <c r="BH2484" s="1098"/>
    </row>
    <row r="2485" spans="53:60" x14ac:dyDescent="0.2">
      <c r="BA2485" s="518">
        <f t="shared" ca="1" si="127"/>
        <v>61</v>
      </c>
      <c r="BB2485" s="174">
        <f t="shared" ca="1" si="128"/>
        <v>2422</v>
      </c>
      <c r="BC2485" s="525" t="e">
        <f ca="1">MATCH(BD2485,OFFSET(Pinlist!$A$2,BC2484*(BA2485=BA2484),0,$BM$23,1),0)+BC2484*(BA2485=BA2484)</f>
        <v>#N/A</v>
      </c>
      <c r="BD2485" s="167">
        <f t="shared" ca="1" si="129"/>
        <v>0</v>
      </c>
      <c r="BE2485" s="191" t="e">
        <f ca="1">(OFFSET(Pinlist!$E$1,BC2485,0)-$BN$16)*$BN$19</f>
        <v>#N/A</v>
      </c>
      <c r="BF2485" s="192" t="e">
        <f ca="1">(OFFSET(Pinlist!$F$1,BC2485,0)-$BO$16)*$BO$19</f>
        <v>#N/A</v>
      </c>
      <c r="BG2485" s="1098" t="str">
        <f ca="1">IF(LEFT(BD2485,2)="RF",OFFSET(Pinlist!$D$1,Chart!BC2485,0)&amp;"_"&amp;OFFSET(Pinlist!$G$1,Chart!BC2485,0),"")</f>
        <v/>
      </c>
      <c r="BH2485" s="1098"/>
    </row>
    <row r="2486" spans="53:60" x14ac:dyDescent="0.2">
      <c r="BA2486" s="518">
        <f t="shared" ca="1" si="127"/>
        <v>61</v>
      </c>
      <c r="BB2486" s="174">
        <f t="shared" ca="1" si="128"/>
        <v>2423</v>
      </c>
      <c r="BC2486" s="525" t="e">
        <f ca="1">MATCH(BD2486,OFFSET(Pinlist!$A$2,BC2485*(BA2486=BA2485),0,$BM$23,1),0)+BC2485*(BA2486=BA2485)</f>
        <v>#N/A</v>
      </c>
      <c r="BD2486" s="167">
        <f t="shared" ca="1" si="129"/>
        <v>0</v>
      </c>
      <c r="BE2486" s="191" t="e">
        <f ca="1">(OFFSET(Pinlist!$E$1,BC2486,0)-$BN$16)*$BN$19</f>
        <v>#N/A</v>
      </c>
      <c r="BF2486" s="192" t="e">
        <f ca="1">(OFFSET(Pinlist!$F$1,BC2486,0)-$BO$16)*$BO$19</f>
        <v>#N/A</v>
      </c>
      <c r="BG2486" s="1098" t="str">
        <f ca="1">IF(LEFT(BD2486,2)="RF",OFFSET(Pinlist!$D$1,Chart!BC2486,0)&amp;"_"&amp;OFFSET(Pinlist!$G$1,Chart!BC2486,0),"")</f>
        <v/>
      </c>
      <c r="BH2486" s="1098"/>
    </row>
    <row r="2487" spans="53:60" x14ac:dyDescent="0.2">
      <c r="BA2487" s="518">
        <f t="shared" ca="1" si="127"/>
        <v>61</v>
      </c>
      <c r="BB2487" s="174">
        <f t="shared" ca="1" si="128"/>
        <v>2424</v>
      </c>
      <c r="BC2487" s="525" t="e">
        <f ca="1">MATCH(BD2487,OFFSET(Pinlist!$A$2,BC2486*(BA2487=BA2486),0,$BM$23,1),0)+BC2486*(BA2487=BA2486)</f>
        <v>#N/A</v>
      </c>
      <c r="BD2487" s="167">
        <f t="shared" ca="1" si="129"/>
        <v>0</v>
      </c>
      <c r="BE2487" s="191" t="e">
        <f ca="1">(OFFSET(Pinlist!$E$1,BC2487,0)-$BN$16)*$BN$19</f>
        <v>#N/A</v>
      </c>
      <c r="BF2487" s="192" t="e">
        <f ca="1">(OFFSET(Pinlist!$F$1,BC2487,0)-$BO$16)*$BO$19</f>
        <v>#N/A</v>
      </c>
      <c r="BG2487" s="1098" t="str">
        <f ca="1">IF(LEFT(BD2487,2)="RF",OFFSET(Pinlist!$D$1,Chart!BC2487,0)&amp;"_"&amp;OFFSET(Pinlist!$G$1,Chart!BC2487,0),"")</f>
        <v/>
      </c>
      <c r="BH2487" s="1098"/>
    </row>
    <row r="2488" spans="53:60" x14ac:dyDescent="0.2">
      <c r="BA2488" s="518">
        <f t="shared" ca="1" si="127"/>
        <v>61</v>
      </c>
      <c r="BB2488" s="174">
        <f t="shared" ca="1" si="128"/>
        <v>2425</v>
      </c>
      <c r="BC2488" s="525" t="e">
        <f ca="1">MATCH(BD2488,OFFSET(Pinlist!$A$2,BC2487*(BA2488=BA2487),0,$BM$23,1),0)+BC2487*(BA2488=BA2487)</f>
        <v>#N/A</v>
      </c>
      <c r="BD2488" s="167">
        <f t="shared" ca="1" si="129"/>
        <v>0</v>
      </c>
      <c r="BE2488" s="191" t="e">
        <f ca="1">(OFFSET(Pinlist!$E$1,BC2488,0)-$BN$16)*$BN$19</f>
        <v>#N/A</v>
      </c>
      <c r="BF2488" s="192" t="e">
        <f ca="1">(OFFSET(Pinlist!$F$1,BC2488,0)-$BO$16)*$BO$19</f>
        <v>#N/A</v>
      </c>
      <c r="BG2488" s="1098" t="str">
        <f ca="1">IF(LEFT(BD2488,2)="RF",OFFSET(Pinlist!$D$1,Chart!BC2488,0)&amp;"_"&amp;OFFSET(Pinlist!$G$1,Chart!BC2488,0),"")</f>
        <v/>
      </c>
      <c r="BH2488" s="1098"/>
    </row>
    <row r="2489" spans="53:60" x14ac:dyDescent="0.2">
      <c r="BA2489" s="518">
        <f t="shared" ca="1" si="127"/>
        <v>61</v>
      </c>
      <c r="BB2489" s="174">
        <f t="shared" ca="1" si="128"/>
        <v>2426</v>
      </c>
      <c r="BC2489" s="525" t="e">
        <f ca="1">MATCH(BD2489,OFFSET(Pinlist!$A$2,BC2488*(BA2489=BA2488),0,$BM$23,1),0)+BC2488*(BA2489=BA2488)</f>
        <v>#N/A</v>
      </c>
      <c r="BD2489" s="167">
        <f t="shared" ca="1" si="129"/>
        <v>0</v>
      </c>
      <c r="BE2489" s="191" t="e">
        <f ca="1">(OFFSET(Pinlist!$E$1,BC2489,0)-$BN$16)*$BN$19</f>
        <v>#N/A</v>
      </c>
      <c r="BF2489" s="192" t="e">
        <f ca="1">(OFFSET(Pinlist!$F$1,BC2489,0)-$BO$16)*$BO$19</f>
        <v>#N/A</v>
      </c>
      <c r="BG2489" s="1098" t="str">
        <f ca="1">IF(LEFT(BD2489,2)="RF",OFFSET(Pinlist!$D$1,Chart!BC2489,0)&amp;"_"&amp;OFFSET(Pinlist!$G$1,Chart!BC2489,0),"")</f>
        <v/>
      </c>
      <c r="BH2489" s="1098"/>
    </row>
    <row r="2490" spans="53:60" x14ac:dyDescent="0.2">
      <c r="BA2490" s="518">
        <f t="shared" ca="1" si="127"/>
        <v>61</v>
      </c>
      <c r="BB2490" s="174">
        <f t="shared" ca="1" si="128"/>
        <v>2427</v>
      </c>
      <c r="BC2490" s="525" t="e">
        <f ca="1">MATCH(BD2490,OFFSET(Pinlist!$A$2,BC2489*(BA2490=BA2489),0,$BM$23,1),0)+BC2489*(BA2490=BA2489)</f>
        <v>#N/A</v>
      </c>
      <c r="BD2490" s="167">
        <f t="shared" ca="1" si="129"/>
        <v>0</v>
      </c>
      <c r="BE2490" s="191" t="e">
        <f ca="1">(OFFSET(Pinlist!$E$1,BC2490,0)-$BN$16)*$BN$19</f>
        <v>#N/A</v>
      </c>
      <c r="BF2490" s="192" t="e">
        <f ca="1">(OFFSET(Pinlist!$F$1,BC2490,0)-$BO$16)*$BO$19</f>
        <v>#N/A</v>
      </c>
      <c r="BG2490" s="1098" t="str">
        <f ca="1">IF(LEFT(BD2490,2)="RF",OFFSET(Pinlist!$D$1,Chart!BC2490,0)&amp;"_"&amp;OFFSET(Pinlist!$G$1,Chart!BC2490,0),"")</f>
        <v/>
      </c>
      <c r="BH2490" s="1098"/>
    </row>
    <row r="2491" spans="53:60" x14ac:dyDescent="0.2">
      <c r="BA2491" s="518">
        <f t="shared" ca="1" si="127"/>
        <v>61</v>
      </c>
      <c r="BB2491" s="174">
        <f t="shared" ca="1" si="128"/>
        <v>2428</v>
      </c>
      <c r="BC2491" s="525" t="e">
        <f ca="1">MATCH(BD2491,OFFSET(Pinlist!$A$2,BC2490*(BA2491=BA2490),0,$BM$23,1),0)+BC2490*(BA2491=BA2490)</f>
        <v>#N/A</v>
      </c>
      <c r="BD2491" s="167">
        <f t="shared" ca="1" si="129"/>
        <v>0</v>
      </c>
      <c r="BE2491" s="191" t="e">
        <f ca="1">(OFFSET(Pinlist!$E$1,BC2491,0)-$BN$16)*$BN$19</f>
        <v>#N/A</v>
      </c>
      <c r="BF2491" s="192" t="e">
        <f ca="1">(OFFSET(Pinlist!$F$1,BC2491,0)-$BO$16)*$BO$19</f>
        <v>#N/A</v>
      </c>
      <c r="BG2491" s="1098" t="str">
        <f ca="1">IF(LEFT(BD2491,2)="RF",OFFSET(Pinlist!$D$1,Chart!BC2491,0)&amp;"_"&amp;OFFSET(Pinlist!$G$1,Chart!BC2491,0),"")</f>
        <v/>
      </c>
      <c r="BH2491" s="1098"/>
    </row>
    <row r="2492" spans="53:60" x14ac:dyDescent="0.2">
      <c r="BA2492" s="518">
        <f t="shared" ca="1" si="127"/>
        <v>61</v>
      </c>
      <c r="BB2492" s="174">
        <f t="shared" ca="1" si="128"/>
        <v>2429</v>
      </c>
      <c r="BC2492" s="525" t="e">
        <f ca="1">MATCH(BD2492,OFFSET(Pinlist!$A$2,BC2491*(BA2492=BA2491),0,$BM$23,1),0)+BC2491*(BA2492=BA2491)</f>
        <v>#N/A</v>
      </c>
      <c r="BD2492" s="167">
        <f t="shared" ca="1" si="129"/>
        <v>0</v>
      </c>
      <c r="BE2492" s="191" t="e">
        <f ca="1">(OFFSET(Pinlist!$E$1,BC2492,0)-$BN$16)*$BN$19</f>
        <v>#N/A</v>
      </c>
      <c r="BF2492" s="192" t="e">
        <f ca="1">(OFFSET(Pinlist!$F$1,BC2492,0)-$BO$16)*$BO$19</f>
        <v>#N/A</v>
      </c>
      <c r="BG2492" s="1098" t="str">
        <f ca="1">IF(LEFT(BD2492,2)="RF",OFFSET(Pinlist!$D$1,Chart!BC2492,0)&amp;"_"&amp;OFFSET(Pinlist!$G$1,Chart!BC2492,0),"")</f>
        <v/>
      </c>
      <c r="BH2492" s="1098"/>
    </row>
    <row r="2493" spans="53:60" x14ac:dyDescent="0.2">
      <c r="BA2493" s="518">
        <f t="shared" ca="1" si="127"/>
        <v>61</v>
      </c>
      <c r="BB2493" s="174">
        <f t="shared" ca="1" si="128"/>
        <v>2430</v>
      </c>
      <c r="BC2493" s="525" t="e">
        <f ca="1">MATCH(BD2493,OFFSET(Pinlist!$A$2,BC2492*(BA2493=BA2492),0,$BM$23,1),0)+BC2492*(BA2493=BA2492)</f>
        <v>#N/A</v>
      </c>
      <c r="BD2493" s="167">
        <f t="shared" ca="1" si="129"/>
        <v>0</v>
      </c>
      <c r="BE2493" s="191" t="e">
        <f ca="1">(OFFSET(Pinlist!$E$1,BC2493,0)-$BN$16)*$BN$19</f>
        <v>#N/A</v>
      </c>
      <c r="BF2493" s="192" t="e">
        <f ca="1">(OFFSET(Pinlist!$F$1,BC2493,0)-$BO$16)*$BO$19</f>
        <v>#N/A</v>
      </c>
      <c r="BG2493" s="1098" t="str">
        <f ca="1">IF(LEFT(BD2493,2)="RF",OFFSET(Pinlist!$D$1,Chart!BC2493,0)&amp;"_"&amp;OFFSET(Pinlist!$G$1,Chart!BC2493,0),"")</f>
        <v/>
      </c>
      <c r="BH2493" s="1098"/>
    </row>
    <row r="2494" spans="53:60" x14ac:dyDescent="0.2">
      <c r="BA2494" s="518">
        <f t="shared" ca="1" si="127"/>
        <v>61</v>
      </c>
      <c r="BB2494" s="174">
        <f t="shared" ca="1" si="128"/>
        <v>2431</v>
      </c>
      <c r="BC2494" s="525" t="e">
        <f ca="1">MATCH(BD2494,OFFSET(Pinlist!$A$2,BC2493*(BA2494=BA2493),0,$BM$23,1),0)+BC2493*(BA2494=BA2493)</f>
        <v>#N/A</v>
      </c>
      <c r="BD2494" s="167">
        <f t="shared" ca="1" si="129"/>
        <v>0</v>
      </c>
      <c r="BE2494" s="191" t="e">
        <f ca="1">(OFFSET(Pinlist!$E$1,BC2494,0)-$BN$16)*$BN$19</f>
        <v>#N/A</v>
      </c>
      <c r="BF2494" s="192" t="e">
        <f ca="1">(OFFSET(Pinlist!$F$1,BC2494,0)-$BO$16)*$BO$19</f>
        <v>#N/A</v>
      </c>
      <c r="BG2494" s="1098" t="str">
        <f ca="1">IF(LEFT(BD2494,2)="RF",OFFSET(Pinlist!$D$1,Chart!BC2494,0)&amp;"_"&amp;OFFSET(Pinlist!$G$1,Chart!BC2494,0),"")</f>
        <v/>
      </c>
      <c r="BH2494" s="1098"/>
    </row>
    <row r="2495" spans="53:60" x14ac:dyDescent="0.2">
      <c r="BA2495" s="518">
        <f t="shared" ca="1" si="127"/>
        <v>61</v>
      </c>
      <c r="BB2495" s="174">
        <f t="shared" ca="1" si="128"/>
        <v>2432</v>
      </c>
      <c r="BC2495" s="525" t="e">
        <f ca="1">MATCH(BD2495,OFFSET(Pinlist!$A$2,BC2494*(BA2495=BA2494),0,$BM$23,1),0)+BC2494*(BA2495=BA2494)</f>
        <v>#N/A</v>
      </c>
      <c r="BD2495" s="167">
        <f t="shared" ca="1" si="129"/>
        <v>0</v>
      </c>
      <c r="BE2495" s="191" t="e">
        <f ca="1">(OFFSET(Pinlist!$E$1,BC2495,0)-$BN$16)*$BN$19</f>
        <v>#N/A</v>
      </c>
      <c r="BF2495" s="192" t="e">
        <f ca="1">(OFFSET(Pinlist!$F$1,BC2495,0)-$BO$16)*$BO$19</f>
        <v>#N/A</v>
      </c>
      <c r="BG2495" s="1098" t="str">
        <f ca="1">IF(LEFT(BD2495,2)="RF",OFFSET(Pinlist!$D$1,Chart!BC2495,0)&amp;"_"&amp;OFFSET(Pinlist!$G$1,Chart!BC2495,0),"")</f>
        <v/>
      </c>
      <c r="BH2495" s="1098"/>
    </row>
    <row r="2496" spans="53:60" x14ac:dyDescent="0.2">
      <c r="BA2496" s="518">
        <f t="shared" ca="1" si="127"/>
        <v>61</v>
      </c>
      <c r="BB2496" s="174">
        <f t="shared" ca="1" si="128"/>
        <v>2433</v>
      </c>
      <c r="BC2496" s="525" t="e">
        <f ca="1">MATCH(BD2496,OFFSET(Pinlist!$A$2,BC2495*(BA2496=BA2495),0,$BM$23,1),0)+BC2495*(BA2496=BA2495)</f>
        <v>#N/A</v>
      </c>
      <c r="BD2496" s="167">
        <f t="shared" ca="1" si="129"/>
        <v>0</v>
      </c>
      <c r="BE2496" s="191" t="e">
        <f ca="1">(OFFSET(Pinlist!$E$1,BC2496,0)-$BN$16)*$BN$19</f>
        <v>#N/A</v>
      </c>
      <c r="BF2496" s="192" t="e">
        <f ca="1">(OFFSET(Pinlist!$F$1,BC2496,0)-$BO$16)*$BO$19</f>
        <v>#N/A</v>
      </c>
      <c r="BG2496" s="1098" t="str">
        <f ca="1">IF(LEFT(BD2496,2)="RF",OFFSET(Pinlist!$D$1,Chart!BC2496,0)&amp;"_"&amp;OFFSET(Pinlist!$G$1,Chart!BC2496,0),"")</f>
        <v/>
      </c>
      <c r="BH2496" s="1098"/>
    </row>
    <row r="2497" spans="53:60" x14ac:dyDescent="0.2">
      <c r="BA2497" s="518">
        <f t="shared" ca="1" si="127"/>
        <v>61</v>
      </c>
      <c r="BB2497" s="174">
        <f t="shared" ca="1" si="128"/>
        <v>2434</v>
      </c>
      <c r="BC2497" s="525" t="e">
        <f ca="1">MATCH(BD2497,OFFSET(Pinlist!$A$2,BC2496*(BA2497=BA2496),0,$BM$23,1),0)+BC2496*(BA2497=BA2496)</f>
        <v>#N/A</v>
      </c>
      <c r="BD2497" s="167">
        <f t="shared" ca="1" si="129"/>
        <v>0</v>
      </c>
      <c r="BE2497" s="191" t="e">
        <f ca="1">(OFFSET(Pinlist!$E$1,BC2497,0)-$BN$16)*$BN$19</f>
        <v>#N/A</v>
      </c>
      <c r="BF2497" s="192" t="e">
        <f ca="1">(OFFSET(Pinlist!$F$1,BC2497,0)-$BO$16)*$BO$19</f>
        <v>#N/A</v>
      </c>
      <c r="BG2497" s="1098" t="str">
        <f ca="1">IF(LEFT(BD2497,2)="RF",OFFSET(Pinlist!$D$1,Chart!BC2497,0)&amp;"_"&amp;OFFSET(Pinlist!$G$1,Chart!BC2497,0),"")</f>
        <v/>
      </c>
      <c r="BH2497" s="1098"/>
    </row>
    <row r="2498" spans="53:60" x14ac:dyDescent="0.2">
      <c r="BA2498" s="518">
        <f t="shared" ca="1" si="127"/>
        <v>61</v>
      </c>
      <c r="BB2498" s="174">
        <f t="shared" ca="1" si="128"/>
        <v>2435</v>
      </c>
      <c r="BC2498" s="525" t="e">
        <f ca="1">MATCH(BD2498,OFFSET(Pinlist!$A$2,BC2497*(BA2498=BA2497),0,$BM$23,1),0)+BC2497*(BA2498=BA2497)</f>
        <v>#N/A</v>
      </c>
      <c r="BD2498" s="167">
        <f t="shared" ca="1" si="129"/>
        <v>0</v>
      </c>
      <c r="BE2498" s="191" t="e">
        <f ca="1">(OFFSET(Pinlist!$E$1,BC2498,0)-$BN$16)*$BN$19</f>
        <v>#N/A</v>
      </c>
      <c r="BF2498" s="192" t="e">
        <f ca="1">(OFFSET(Pinlist!$F$1,BC2498,0)-$BO$16)*$BO$19</f>
        <v>#N/A</v>
      </c>
      <c r="BG2498" s="1098" t="str">
        <f ca="1">IF(LEFT(BD2498,2)="RF",OFFSET(Pinlist!$D$1,Chart!BC2498,0)&amp;"_"&amp;OFFSET(Pinlist!$G$1,Chart!BC2498,0),"")</f>
        <v/>
      </c>
      <c r="BH2498" s="1098"/>
    </row>
    <row r="2499" spans="53:60" x14ac:dyDescent="0.2">
      <c r="BA2499" s="518">
        <f t="shared" ca="1" si="127"/>
        <v>61</v>
      </c>
      <c r="BB2499" s="174">
        <f t="shared" ca="1" si="128"/>
        <v>2436</v>
      </c>
      <c r="BC2499" s="525" t="e">
        <f ca="1">MATCH(BD2499,OFFSET(Pinlist!$A$2,BC2498*(BA2499=BA2498),0,$BM$23,1),0)+BC2498*(BA2499=BA2498)</f>
        <v>#N/A</v>
      </c>
      <c r="BD2499" s="167">
        <f t="shared" ca="1" si="129"/>
        <v>0</v>
      </c>
      <c r="BE2499" s="191" t="e">
        <f ca="1">(OFFSET(Pinlist!$E$1,BC2499,0)-$BN$16)*$BN$19</f>
        <v>#N/A</v>
      </c>
      <c r="BF2499" s="192" t="e">
        <f ca="1">(OFFSET(Pinlist!$F$1,BC2499,0)-$BO$16)*$BO$19</f>
        <v>#N/A</v>
      </c>
      <c r="BG2499" s="1098" t="str">
        <f ca="1">IF(LEFT(BD2499,2)="RF",OFFSET(Pinlist!$D$1,Chart!BC2499,0)&amp;"_"&amp;OFFSET(Pinlist!$G$1,Chart!BC2499,0),"")</f>
        <v/>
      </c>
      <c r="BH2499" s="1098"/>
    </row>
    <row r="2500" spans="53:60" x14ac:dyDescent="0.2">
      <c r="BA2500" s="518">
        <f t="shared" ref="BA2500:BA2563" ca="1" si="130">BA2499+(BB2499=OFFSET($BZ$3,BA2499,0))</f>
        <v>61</v>
      </c>
      <c r="BB2500" s="174">
        <f t="shared" ref="BB2500:BB2563" ca="1" si="131">IF(BA2500=BA2499,BB2499+1,1)</f>
        <v>2437</v>
      </c>
      <c r="BC2500" s="525" t="e">
        <f ca="1">MATCH(BD2500,OFFSET(Pinlist!$A$2,BC2499*(BA2500=BA2499),0,$BM$23,1),0)+BC2499*(BA2500=BA2499)</f>
        <v>#N/A</v>
      </c>
      <c r="BD2500" s="167">
        <f t="shared" ref="BD2500:BD2563" ca="1" si="132">OFFSET($BY$3,BA2500,0)</f>
        <v>0</v>
      </c>
      <c r="BE2500" s="191" t="e">
        <f ca="1">(OFFSET(Pinlist!$E$1,BC2500,0)-$BN$16)*$BN$19</f>
        <v>#N/A</v>
      </c>
      <c r="BF2500" s="192" t="e">
        <f ca="1">(OFFSET(Pinlist!$F$1,BC2500,0)-$BO$16)*$BO$19</f>
        <v>#N/A</v>
      </c>
      <c r="BG2500" s="1098" t="str">
        <f ca="1">IF(LEFT(BD2500,2)="RF",OFFSET(Pinlist!$D$1,Chart!BC2500,0)&amp;"_"&amp;OFFSET(Pinlist!$G$1,Chart!BC2500,0),"")</f>
        <v/>
      </c>
      <c r="BH2500" s="1098"/>
    </row>
    <row r="2501" spans="53:60" x14ac:dyDescent="0.2">
      <c r="BA2501" s="518">
        <f t="shared" ca="1" si="130"/>
        <v>61</v>
      </c>
      <c r="BB2501" s="174">
        <f t="shared" ca="1" si="131"/>
        <v>2438</v>
      </c>
      <c r="BC2501" s="525" t="e">
        <f ca="1">MATCH(BD2501,OFFSET(Pinlist!$A$2,BC2500*(BA2501=BA2500),0,$BM$23,1),0)+BC2500*(BA2501=BA2500)</f>
        <v>#N/A</v>
      </c>
      <c r="BD2501" s="167">
        <f t="shared" ca="1" si="132"/>
        <v>0</v>
      </c>
      <c r="BE2501" s="191" t="e">
        <f ca="1">(OFFSET(Pinlist!$E$1,BC2501,0)-$BN$16)*$BN$19</f>
        <v>#N/A</v>
      </c>
      <c r="BF2501" s="192" t="e">
        <f ca="1">(OFFSET(Pinlist!$F$1,BC2501,0)-$BO$16)*$BO$19</f>
        <v>#N/A</v>
      </c>
      <c r="BG2501" s="1098" t="str">
        <f ca="1">IF(LEFT(BD2501,2)="RF",OFFSET(Pinlist!$D$1,Chart!BC2501,0)&amp;"_"&amp;OFFSET(Pinlist!$G$1,Chart!BC2501,0),"")</f>
        <v/>
      </c>
      <c r="BH2501" s="1098"/>
    </row>
    <row r="2502" spans="53:60" x14ac:dyDescent="0.2">
      <c r="BA2502" s="518">
        <f t="shared" ca="1" si="130"/>
        <v>61</v>
      </c>
      <c r="BB2502" s="174">
        <f t="shared" ca="1" si="131"/>
        <v>2439</v>
      </c>
      <c r="BC2502" s="525" t="e">
        <f ca="1">MATCH(BD2502,OFFSET(Pinlist!$A$2,BC2501*(BA2502=BA2501),0,$BM$23,1),0)+BC2501*(BA2502=BA2501)</f>
        <v>#N/A</v>
      </c>
      <c r="BD2502" s="167">
        <f t="shared" ca="1" si="132"/>
        <v>0</v>
      </c>
      <c r="BE2502" s="191" t="e">
        <f ca="1">(OFFSET(Pinlist!$E$1,BC2502,0)-$BN$16)*$BN$19</f>
        <v>#N/A</v>
      </c>
      <c r="BF2502" s="192" t="e">
        <f ca="1">(OFFSET(Pinlist!$F$1,BC2502,0)-$BO$16)*$BO$19</f>
        <v>#N/A</v>
      </c>
      <c r="BG2502" s="1098" t="str">
        <f ca="1">IF(LEFT(BD2502,2)="RF",OFFSET(Pinlist!$D$1,Chart!BC2502,0)&amp;"_"&amp;OFFSET(Pinlist!$G$1,Chart!BC2502,0),"")</f>
        <v/>
      </c>
      <c r="BH2502" s="1098"/>
    </row>
    <row r="2503" spans="53:60" x14ac:dyDescent="0.2">
      <c r="BA2503" s="518">
        <f t="shared" ca="1" si="130"/>
        <v>61</v>
      </c>
      <c r="BB2503" s="174">
        <f t="shared" ca="1" si="131"/>
        <v>2440</v>
      </c>
      <c r="BC2503" s="525" t="e">
        <f ca="1">MATCH(BD2503,OFFSET(Pinlist!$A$2,BC2502*(BA2503=BA2502),0,$BM$23,1),0)+BC2502*(BA2503=BA2502)</f>
        <v>#N/A</v>
      </c>
      <c r="BD2503" s="167">
        <f t="shared" ca="1" si="132"/>
        <v>0</v>
      </c>
      <c r="BE2503" s="191" t="e">
        <f ca="1">(OFFSET(Pinlist!$E$1,BC2503,0)-$BN$16)*$BN$19</f>
        <v>#N/A</v>
      </c>
      <c r="BF2503" s="192" t="e">
        <f ca="1">(OFFSET(Pinlist!$F$1,BC2503,0)-$BO$16)*$BO$19</f>
        <v>#N/A</v>
      </c>
      <c r="BG2503" s="1098" t="str">
        <f ca="1">IF(LEFT(BD2503,2)="RF",OFFSET(Pinlist!$D$1,Chart!BC2503,0)&amp;"_"&amp;OFFSET(Pinlist!$G$1,Chart!BC2503,0),"")</f>
        <v/>
      </c>
      <c r="BH2503" s="1098"/>
    </row>
    <row r="2504" spans="53:60" x14ac:dyDescent="0.2">
      <c r="BA2504" s="518">
        <f t="shared" ca="1" si="130"/>
        <v>61</v>
      </c>
      <c r="BB2504" s="174">
        <f t="shared" ca="1" si="131"/>
        <v>2441</v>
      </c>
      <c r="BC2504" s="525" t="e">
        <f ca="1">MATCH(BD2504,OFFSET(Pinlist!$A$2,BC2503*(BA2504=BA2503),0,$BM$23,1),0)+BC2503*(BA2504=BA2503)</f>
        <v>#N/A</v>
      </c>
      <c r="BD2504" s="167">
        <f t="shared" ca="1" si="132"/>
        <v>0</v>
      </c>
      <c r="BE2504" s="191" t="e">
        <f ca="1">(OFFSET(Pinlist!$E$1,BC2504,0)-$BN$16)*$BN$19</f>
        <v>#N/A</v>
      </c>
      <c r="BF2504" s="192" t="e">
        <f ca="1">(OFFSET(Pinlist!$F$1,BC2504,0)-$BO$16)*$BO$19</f>
        <v>#N/A</v>
      </c>
      <c r="BG2504" s="1098" t="str">
        <f ca="1">IF(LEFT(BD2504,2)="RF",OFFSET(Pinlist!$D$1,Chart!BC2504,0)&amp;"_"&amp;OFFSET(Pinlist!$G$1,Chart!BC2504,0),"")</f>
        <v/>
      </c>
      <c r="BH2504" s="1098"/>
    </row>
    <row r="2505" spans="53:60" x14ac:dyDescent="0.2">
      <c r="BA2505" s="518">
        <f t="shared" ca="1" si="130"/>
        <v>61</v>
      </c>
      <c r="BB2505" s="174">
        <f t="shared" ca="1" si="131"/>
        <v>2442</v>
      </c>
      <c r="BC2505" s="525" t="e">
        <f ca="1">MATCH(BD2505,OFFSET(Pinlist!$A$2,BC2504*(BA2505=BA2504),0,$BM$23,1),0)+BC2504*(BA2505=BA2504)</f>
        <v>#N/A</v>
      </c>
      <c r="BD2505" s="167">
        <f t="shared" ca="1" si="132"/>
        <v>0</v>
      </c>
      <c r="BE2505" s="191" t="e">
        <f ca="1">(OFFSET(Pinlist!$E$1,BC2505,0)-$BN$16)*$BN$19</f>
        <v>#N/A</v>
      </c>
      <c r="BF2505" s="192" t="e">
        <f ca="1">(OFFSET(Pinlist!$F$1,BC2505,0)-$BO$16)*$BO$19</f>
        <v>#N/A</v>
      </c>
      <c r="BG2505" s="1098" t="str">
        <f ca="1">IF(LEFT(BD2505,2)="RF",OFFSET(Pinlist!$D$1,Chart!BC2505,0)&amp;"_"&amp;OFFSET(Pinlist!$G$1,Chart!BC2505,0),"")</f>
        <v/>
      </c>
      <c r="BH2505" s="1098"/>
    </row>
    <row r="2506" spans="53:60" x14ac:dyDescent="0.2">
      <c r="BA2506" s="518">
        <f t="shared" ca="1" si="130"/>
        <v>61</v>
      </c>
      <c r="BB2506" s="174">
        <f t="shared" ca="1" si="131"/>
        <v>2443</v>
      </c>
      <c r="BC2506" s="525" t="e">
        <f ca="1">MATCH(BD2506,OFFSET(Pinlist!$A$2,BC2505*(BA2506=BA2505),0,$BM$23,1),0)+BC2505*(BA2506=BA2505)</f>
        <v>#N/A</v>
      </c>
      <c r="BD2506" s="167">
        <f t="shared" ca="1" si="132"/>
        <v>0</v>
      </c>
      <c r="BE2506" s="191" t="e">
        <f ca="1">(OFFSET(Pinlist!$E$1,BC2506,0)-$BN$16)*$BN$19</f>
        <v>#N/A</v>
      </c>
      <c r="BF2506" s="192" t="e">
        <f ca="1">(OFFSET(Pinlist!$F$1,BC2506,0)-$BO$16)*$BO$19</f>
        <v>#N/A</v>
      </c>
      <c r="BG2506" s="1098" t="str">
        <f ca="1">IF(LEFT(BD2506,2)="RF",OFFSET(Pinlist!$D$1,Chart!BC2506,0)&amp;"_"&amp;OFFSET(Pinlist!$G$1,Chart!BC2506,0),"")</f>
        <v/>
      </c>
      <c r="BH2506" s="1098"/>
    </row>
    <row r="2507" spans="53:60" x14ac:dyDescent="0.2">
      <c r="BA2507" s="518">
        <f t="shared" ca="1" si="130"/>
        <v>61</v>
      </c>
      <c r="BB2507" s="174">
        <f t="shared" ca="1" si="131"/>
        <v>2444</v>
      </c>
      <c r="BC2507" s="525" t="e">
        <f ca="1">MATCH(BD2507,OFFSET(Pinlist!$A$2,BC2506*(BA2507=BA2506),0,$BM$23,1),0)+BC2506*(BA2507=BA2506)</f>
        <v>#N/A</v>
      </c>
      <c r="BD2507" s="167">
        <f t="shared" ca="1" si="132"/>
        <v>0</v>
      </c>
      <c r="BE2507" s="191" t="e">
        <f ca="1">(OFFSET(Pinlist!$E$1,BC2507,0)-$BN$16)*$BN$19</f>
        <v>#N/A</v>
      </c>
      <c r="BF2507" s="192" t="e">
        <f ca="1">(OFFSET(Pinlist!$F$1,BC2507,0)-$BO$16)*$BO$19</f>
        <v>#N/A</v>
      </c>
      <c r="BG2507" s="1098" t="str">
        <f ca="1">IF(LEFT(BD2507,2)="RF",OFFSET(Pinlist!$D$1,Chart!BC2507,0)&amp;"_"&amp;OFFSET(Pinlist!$G$1,Chart!BC2507,0),"")</f>
        <v/>
      </c>
      <c r="BH2507" s="1098"/>
    </row>
    <row r="2508" spans="53:60" x14ac:dyDescent="0.2">
      <c r="BA2508" s="518">
        <f t="shared" ca="1" si="130"/>
        <v>61</v>
      </c>
      <c r="BB2508" s="174">
        <f t="shared" ca="1" si="131"/>
        <v>2445</v>
      </c>
      <c r="BC2508" s="525" t="e">
        <f ca="1">MATCH(BD2508,OFFSET(Pinlist!$A$2,BC2507*(BA2508=BA2507),0,$BM$23,1),0)+BC2507*(BA2508=BA2507)</f>
        <v>#N/A</v>
      </c>
      <c r="BD2508" s="167">
        <f t="shared" ca="1" si="132"/>
        <v>0</v>
      </c>
      <c r="BE2508" s="191" t="e">
        <f ca="1">(OFFSET(Pinlist!$E$1,BC2508,0)-$BN$16)*$BN$19</f>
        <v>#N/A</v>
      </c>
      <c r="BF2508" s="192" t="e">
        <f ca="1">(OFFSET(Pinlist!$F$1,BC2508,0)-$BO$16)*$BO$19</f>
        <v>#N/A</v>
      </c>
      <c r="BG2508" s="1098" t="str">
        <f ca="1">IF(LEFT(BD2508,2)="RF",OFFSET(Pinlist!$D$1,Chart!BC2508,0)&amp;"_"&amp;OFFSET(Pinlist!$G$1,Chart!BC2508,0),"")</f>
        <v/>
      </c>
      <c r="BH2508" s="1098"/>
    </row>
    <row r="2509" spans="53:60" x14ac:dyDescent="0.2">
      <c r="BA2509" s="518">
        <f t="shared" ca="1" si="130"/>
        <v>61</v>
      </c>
      <c r="BB2509" s="174">
        <f t="shared" ca="1" si="131"/>
        <v>2446</v>
      </c>
      <c r="BC2509" s="525" t="e">
        <f ca="1">MATCH(BD2509,OFFSET(Pinlist!$A$2,BC2508*(BA2509=BA2508),0,$BM$23,1),0)+BC2508*(BA2509=BA2508)</f>
        <v>#N/A</v>
      </c>
      <c r="BD2509" s="167">
        <f t="shared" ca="1" si="132"/>
        <v>0</v>
      </c>
      <c r="BE2509" s="191" t="e">
        <f ca="1">(OFFSET(Pinlist!$E$1,BC2509,0)-$BN$16)*$BN$19</f>
        <v>#N/A</v>
      </c>
      <c r="BF2509" s="192" t="e">
        <f ca="1">(OFFSET(Pinlist!$F$1,BC2509,0)-$BO$16)*$BO$19</f>
        <v>#N/A</v>
      </c>
      <c r="BG2509" s="1098" t="str">
        <f ca="1">IF(LEFT(BD2509,2)="RF",OFFSET(Pinlist!$D$1,Chart!BC2509,0)&amp;"_"&amp;OFFSET(Pinlist!$G$1,Chart!BC2509,0),"")</f>
        <v/>
      </c>
      <c r="BH2509" s="1098"/>
    </row>
    <row r="2510" spans="53:60" x14ac:dyDescent="0.2">
      <c r="BA2510" s="518">
        <f t="shared" ca="1" si="130"/>
        <v>61</v>
      </c>
      <c r="BB2510" s="174">
        <f t="shared" ca="1" si="131"/>
        <v>2447</v>
      </c>
      <c r="BC2510" s="525" t="e">
        <f ca="1">MATCH(BD2510,OFFSET(Pinlist!$A$2,BC2509*(BA2510=BA2509),0,$BM$23,1),0)+BC2509*(BA2510=BA2509)</f>
        <v>#N/A</v>
      </c>
      <c r="BD2510" s="167">
        <f t="shared" ca="1" si="132"/>
        <v>0</v>
      </c>
      <c r="BE2510" s="191" t="e">
        <f ca="1">(OFFSET(Pinlist!$E$1,BC2510,0)-$BN$16)*$BN$19</f>
        <v>#N/A</v>
      </c>
      <c r="BF2510" s="192" t="e">
        <f ca="1">(OFFSET(Pinlist!$F$1,BC2510,0)-$BO$16)*$BO$19</f>
        <v>#N/A</v>
      </c>
      <c r="BG2510" s="1098" t="str">
        <f ca="1">IF(LEFT(BD2510,2)="RF",OFFSET(Pinlist!$D$1,Chart!BC2510,0)&amp;"_"&amp;OFFSET(Pinlist!$G$1,Chart!BC2510,0),"")</f>
        <v/>
      </c>
      <c r="BH2510" s="1098"/>
    </row>
    <row r="2511" spans="53:60" x14ac:dyDescent="0.2">
      <c r="BA2511" s="518">
        <f t="shared" ca="1" si="130"/>
        <v>61</v>
      </c>
      <c r="BB2511" s="174">
        <f t="shared" ca="1" si="131"/>
        <v>2448</v>
      </c>
      <c r="BC2511" s="525" t="e">
        <f ca="1">MATCH(BD2511,OFFSET(Pinlist!$A$2,BC2510*(BA2511=BA2510),0,$BM$23,1),0)+BC2510*(BA2511=BA2510)</f>
        <v>#N/A</v>
      </c>
      <c r="BD2511" s="167">
        <f t="shared" ca="1" si="132"/>
        <v>0</v>
      </c>
      <c r="BE2511" s="191" t="e">
        <f ca="1">(OFFSET(Pinlist!$E$1,BC2511,0)-$BN$16)*$BN$19</f>
        <v>#N/A</v>
      </c>
      <c r="BF2511" s="192" t="e">
        <f ca="1">(OFFSET(Pinlist!$F$1,BC2511,0)-$BO$16)*$BO$19</f>
        <v>#N/A</v>
      </c>
      <c r="BG2511" s="1098" t="str">
        <f ca="1">IF(LEFT(BD2511,2)="RF",OFFSET(Pinlist!$D$1,Chart!BC2511,0)&amp;"_"&amp;OFFSET(Pinlist!$G$1,Chart!BC2511,0),"")</f>
        <v/>
      </c>
      <c r="BH2511" s="1098"/>
    </row>
    <row r="2512" spans="53:60" x14ac:dyDescent="0.2">
      <c r="BA2512" s="518">
        <f t="shared" ca="1" si="130"/>
        <v>61</v>
      </c>
      <c r="BB2512" s="174">
        <f t="shared" ca="1" si="131"/>
        <v>2449</v>
      </c>
      <c r="BC2512" s="525" t="e">
        <f ca="1">MATCH(BD2512,OFFSET(Pinlist!$A$2,BC2511*(BA2512=BA2511),0,$BM$23,1),0)+BC2511*(BA2512=BA2511)</f>
        <v>#N/A</v>
      </c>
      <c r="BD2512" s="167">
        <f t="shared" ca="1" si="132"/>
        <v>0</v>
      </c>
      <c r="BE2512" s="191" t="e">
        <f ca="1">(OFFSET(Pinlist!$E$1,BC2512,0)-$BN$16)*$BN$19</f>
        <v>#N/A</v>
      </c>
      <c r="BF2512" s="192" t="e">
        <f ca="1">(OFFSET(Pinlist!$F$1,BC2512,0)-$BO$16)*$BO$19</f>
        <v>#N/A</v>
      </c>
      <c r="BG2512" s="1098" t="str">
        <f ca="1">IF(LEFT(BD2512,2)="RF",OFFSET(Pinlist!$D$1,Chart!BC2512,0)&amp;"_"&amp;OFFSET(Pinlist!$G$1,Chart!BC2512,0),"")</f>
        <v/>
      </c>
      <c r="BH2512" s="1098"/>
    </row>
    <row r="2513" spans="53:60" x14ac:dyDescent="0.2">
      <c r="BA2513" s="518">
        <f t="shared" ca="1" si="130"/>
        <v>61</v>
      </c>
      <c r="BB2513" s="174">
        <f t="shared" ca="1" si="131"/>
        <v>2450</v>
      </c>
      <c r="BC2513" s="525" t="e">
        <f ca="1">MATCH(BD2513,OFFSET(Pinlist!$A$2,BC2512*(BA2513=BA2512),0,$BM$23,1),0)+BC2512*(BA2513=BA2512)</f>
        <v>#N/A</v>
      </c>
      <c r="BD2513" s="167">
        <f t="shared" ca="1" si="132"/>
        <v>0</v>
      </c>
      <c r="BE2513" s="191" t="e">
        <f ca="1">(OFFSET(Pinlist!$E$1,BC2513,0)-$BN$16)*$BN$19</f>
        <v>#N/A</v>
      </c>
      <c r="BF2513" s="192" t="e">
        <f ca="1">(OFFSET(Pinlist!$F$1,BC2513,0)-$BO$16)*$BO$19</f>
        <v>#N/A</v>
      </c>
      <c r="BG2513" s="1098" t="str">
        <f ca="1">IF(LEFT(BD2513,2)="RF",OFFSET(Pinlist!$D$1,Chart!BC2513,0)&amp;"_"&amp;OFFSET(Pinlist!$G$1,Chart!BC2513,0),"")</f>
        <v/>
      </c>
      <c r="BH2513" s="1098"/>
    </row>
    <row r="2514" spans="53:60" x14ac:dyDescent="0.2">
      <c r="BA2514" s="518">
        <f t="shared" ca="1" si="130"/>
        <v>61</v>
      </c>
      <c r="BB2514" s="174">
        <f t="shared" ca="1" si="131"/>
        <v>2451</v>
      </c>
      <c r="BC2514" s="525" t="e">
        <f ca="1">MATCH(BD2514,OFFSET(Pinlist!$A$2,BC2513*(BA2514=BA2513),0,$BM$23,1),0)+BC2513*(BA2514=BA2513)</f>
        <v>#N/A</v>
      </c>
      <c r="BD2514" s="167">
        <f t="shared" ca="1" si="132"/>
        <v>0</v>
      </c>
      <c r="BE2514" s="191" t="e">
        <f ca="1">(OFFSET(Pinlist!$E$1,BC2514,0)-$BN$16)*$BN$19</f>
        <v>#N/A</v>
      </c>
      <c r="BF2514" s="192" t="e">
        <f ca="1">(OFFSET(Pinlist!$F$1,BC2514,0)-$BO$16)*$BO$19</f>
        <v>#N/A</v>
      </c>
      <c r="BG2514" s="1098" t="str">
        <f ca="1">IF(LEFT(BD2514,2)="RF",OFFSET(Pinlist!$D$1,Chart!BC2514,0)&amp;"_"&amp;OFFSET(Pinlist!$G$1,Chart!BC2514,0),"")</f>
        <v/>
      </c>
      <c r="BH2514" s="1098"/>
    </row>
    <row r="2515" spans="53:60" x14ac:dyDescent="0.2">
      <c r="BA2515" s="518">
        <f t="shared" ca="1" si="130"/>
        <v>61</v>
      </c>
      <c r="BB2515" s="174">
        <f t="shared" ca="1" si="131"/>
        <v>2452</v>
      </c>
      <c r="BC2515" s="525" t="e">
        <f ca="1">MATCH(BD2515,OFFSET(Pinlist!$A$2,BC2514*(BA2515=BA2514),0,$BM$23,1),0)+BC2514*(BA2515=BA2514)</f>
        <v>#N/A</v>
      </c>
      <c r="BD2515" s="167">
        <f t="shared" ca="1" si="132"/>
        <v>0</v>
      </c>
      <c r="BE2515" s="191" t="e">
        <f ca="1">(OFFSET(Pinlist!$E$1,BC2515,0)-$BN$16)*$BN$19</f>
        <v>#N/A</v>
      </c>
      <c r="BF2515" s="192" t="e">
        <f ca="1">(OFFSET(Pinlist!$F$1,BC2515,0)-$BO$16)*$BO$19</f>
        <v>#N/A</v>
      </c>
      <c r="BG2515" s="1098" t="str">
        <f ca="1">IF(LEFT(BD2515,2)="RF",OFFSET(Pinlist!$D$1,Chart!BC2515,0)&amp;"_"&amp;OFFSET(Pinlist!$G$1,Chart!BC2515,0),"")</f>
        <v/>
      </c>
      <c r="BH2515" s="1098"/>
    </row>
    <row r="2516" spans="53:60" x14ac:dyDescent="0.2">
      <c r="BA2516" s="518">
        <f t="shared" ca="1" si="130"/>
        <v>61</v>
      </c>
      <c r="BB2516" s="174">
        <f t="shared" ca="1" si="131"/>
        <v>2453</v>
      </c>
      <c r="BC2516" s="525" t="e">
        <f ca="1">MATCH(BD2516,OFFSET(Pinlist!$A$2,BC2515*(BA2516=BA2515),0,$BM$23,1),0)+BC2515*(BA2516=BA2515)</f>
        <v>#N/A</v>
      </c>
      <c r="BD2516" s="167">
        <f t="shared" ca="1" si="132"/>
        <v>0</v>
      </c>
      <c r="BE2516" s="191" t="e">
        <f ca="1">(OFFSET(Pinlist!$E$1,BC2516,0)-$BN$16)*$BN$19</f>
        <v>#N/A</v>
      </c>
      <c r="BF2516" s="192" t="e">
        <f ca="1">(OFFSET(Pinlist!$F$1,BC2516,0)-$BO$16)*$BO$19</f>
        <v>#N/A</v>
      </c>
      <c r="BG2516" s="1098" t="str">
        <f ca="1">IF(LEFT(BD2516,2)="RF",OFFSET(Pinlist!$D$1,Chart!BC2516,0)&amp;"_"&amp;OFFSET(Pinlist!$G$1,Chart!BC2516,0),"")</f>
        <v/>
      </c>
      <c r="BH2516" s="1098"/>
    </row>
    <row r="2517" spans="53:60" x14ac:dyDescent="0.2">
      <c r="BA2517" s="518">
        <f t="shared" ca="1" si="130"/>
        <v>61</v>
      </c>
      <c r="BB2517" s="174">
        <f t="shared" ca="1" si="131"/>
        <v>2454</v>
      </c>
      <c r="BC2517" s="525" t="e">
        <f ca="1">MATCH(BD2517,OFFSET(Pinlist!$A$2,BC2516*(BA2517=BA2516),0,$BM$23,1),0)+BC2516*(BA2517=BA2516)</f>
        <v>#N/A</v>
      </c>
      <c r="BD2517" s="167">
        <f t="shared" ca="1" si="132"/>
        <v>0</v>
      </c>
      <c r="BE2517" s="191" t="e">
        <f ca="1">(OFFSET(Pinlist!$E$1,BC2517,0)-$BN$16)*$BN$19</f>
        <v>#N/A</v>
      </c>
      <c r="BF2517" s="192" t="e">
        <f ca="1">(OFFSET(Pinlist!$F$1,BC2517,0)-$BO$16)*$BO$19</f>
        <v>#N/A</v>
      </c>
      <c r="BG2517" s="1098" t="str">
        <f ca="1">IF(LEFT(BD2517,2)="RF",OFFSET(Pinlist!$D$1,Chart!BC2517,0)&amp;"_"&amp;OFFSET(Pinlist!$G$1,Chart!BC2517,0),"")</f>
        <v/>
      </c>
      <c r="BH2517" s="1098"/>
    </row>
    <row r="2518" spans="53:60" x14ac:dyDescent="0.2">
      <c r="BA2518" s="518">
        <f t="shared" ca="1" si="130"/>
        <v>61</v>
      </c>
      <c r="BB2518" s="174">
        <f t="shared" ca="1" si="131"/>
        <v>2455</v>
      </c>
      <c r="BC2518" s="525" t="e">
        <f ca="1">MATCH(BD2518,OFFSET(Pinlist!$A$2,BC2517*(BA2518=BA2517),0,$BM$23,1),0)+BC2517*(BA2518=BA2517)</f>
        <v>#N/A</v>
      </c>
      <c r="BD2518" s="167">
        <f t="shared" ca="1" si="132"/>
        <v>0</v>
      </c>
      <c r="BE2518" s="191" t="e">
        <f ca="1">(OFFSET(Pinlist!$E$1,BC2518,0)-$BN$16)*$BN$19</f>
        <v>#N/A</v>
      </c>
      <c r="BF2518" s="192" t="e">
        <f ca="1">(OFFSET(Pinlist!$F$1,BC2518,0)-$BO$16)*$BO$19</f>
        <v>#N/A</v>
      </c>
      <c r="BG2518" s="1098" t="str">
        <f ca="1">IF(LEFT(BD2518,2)="RF",OFFSET(Pinlist!$D$1,Chart!BC2518,0)&amp;"_"&amp;OFFSET(Pinlist!$G$1,Chart!BC2518,0),"")</f>
        <v/>
      </c>
      <c r="BH2518" s="1098"/>
    </row>
    <row r="2519" spans="53:60" x14ac:dyDescent="0.2">
      <c r="BA2519" s="518">
        <f t="shared" ca="1" si="130"/>
        <v>61</v>
      </c>
      <c r="BB2519" s="174">
        <f t="shared" ca="1" si="131"/>
        <v>2456</v>
      </c>
      <c r="BC2519" s="525" t="e">
        <f ca="1">MATCH(BD2519,OFFSET(Pinlist!$A$2,BC2518*(BA2519=BA2518),0,$BM$23,1),0)+BC2518*(BA2519=BA2518)</f>
        <v>#N/A</v>
      </c>
      <c r="BD2519" s="167">
        <f t="shared" ca="1" si="132"/>
        <v>0</v>
      </c>
      <c r="BE2519" s="191" t="e">
        <f ca="1">(OFFSET(Pinlist!$E$1,BC2519,0)-$BN$16)*$BN$19</f>
        <v>#N/A</v>
      </c>
      <c r="BF2519" s="192" t="e">
        <f ca="1">(OFFSET(Pinlist!$F$1,BC2519,0)-$BO$16)*$BO$19</f>
        <v>#N/A</v>
      </c>
      <c r="BG2519" s="1098" t="str">
        <f ca="1">IF(LEFT(BD2519,2)="RF",OFFSET(Pinlist!$D$1,Chart!BC2519,0)&amp;"_"&amp;OFFSET(Pinlist!$G$1,Chart!BC2519,0),"")</f>
        <v/>
      </c>
      <c r="BH2519" s="1098"/>
    </row>
    <row r="2520" spans="53:60" x14ac:dyDescent="0.2">
      <c r="BA2520" s="518">
        <f t="shared" ca="1" si="130"/>
        <v>61</v>
      </c>
      <c r="BB2520" s="174">
        <f t="shared" ca="1" si="131"/>
        <v>2457</v>
      </c>
      <c r="BC2520" s="525" t="e">
        <f ca="1">MATCH(BD2520,OFFSET(Pinlist!$A$2,BC2519*(BA2520=BA2519),0,$BM$23,1),0)+BC2519*(BA2520=BA2519)</f>
        <v>#N/A</v>
      </c>
      <c r="BD2520" s="167">
        <f t="shared" ca="1" si="132"/>
        <v>0</v>
      </c>
      <c r="BE2520" s="191" t="e">
        <f ca="1">(OFFSET(Pinlist!$E$1,BC2520,0)-$BN$16)*$BN$19</f>
        <v>#N/A</v>
      </c>
      <c r="BF2520" s="192" t="e">
        <f ca="1">(OFFSET(Pinlist!$F$1,BC2520,0)-$BO$16)*$BO$19</f>
        <v>#N/A</v>
      </c>
      <c r="BG2520" s="1098" t="str">
        <f ca="1">IF(LEFT(BD2520,2)="RF",OFFSET(Pinlist!$D$1,Chart!BC2520,0)&amp;"_"&amp;OFFSET(Pinlist!$G$1,Chart!BC2520,0),"")</f>
        <v/>
      </c>
      <c r="BH2520" s="1098"/>
    </row>
    <row r="2521" spans="53:60" x14ac:dyDescent="0.2">
      <c r="BA2521" s="518">
        <f t="shared" ca="1" si="130"/>
        <v>61</v>
      </c>
      <c r="BB2521" s="174">
        <f t="shared" ca="1" si="131"/>
        <v>2458</v>
      </c>
      <c r="BC2521" s="525" t="e">
        <f ca="1">MATCH(BD2521,OFFSET(Pinlist!$A$2,BC2520*(BA2521=BA2520),0,$BM$23,1),0)+BC2520*(BA2521=BA2520)</f>
        <v>#N/A</v>
      </c>
      <c r="BD2521" s="167">
        <f t="shared" ca="1" si="132"/>
        <v>0</v>
      </c>
      <c r="BE2521" s="191" t="e">
        <f ca="1">(OFFSET(Pinlist!$E$1,BC2521,0)-$BN$16)*$BN$19</f>
        <v>#N/A</v>
      </c>
      <c r="BF2521" s="192" t="e">
        <f ca="1">(OFFSET(Pinlist!$F$1,BC2521,0)-$BO$16)*$BO$19</f>
        <v>#N/A</v>
      </c>
      <c r="BG2521" s="1098" t="str">
        <f ca="1">IF(LEFT(BD2521,2)="RF",OFFSET(Pinlist!$D$1,Chart!BC2521,0)&amp;"_"&amp;OFFSET(Pinlist!$G$1,Chart!BC2521,0),"")</f>
        <v/>
      </c>
      <c r="BH2521" s="1098"/>
    </row>
    <row r="2522" spans="53:60" x14ac:dyDescent="0.2">
      <c r="BA2522" s="518">
        <f t="shared" ca="1" si="130"/>
        <v>61</v>
      </c>
      <c r="BB2522" s="174">
        <f t="shared" ca="1" si="131"/>
        <v>2459</v>
      </c>
      <c r="BC2522" s="525" t="e">
        <f ca="1">MATCH(BD2522,OFFSET(Pinlist!$A$2,BC2521*(BA2522=BA2521),0,$BM$23,1),0)+BC2521*(BA2522=BA2521)</f>
        <v>#N/A</v>
      </c>
      <c r="BD2522" s="167">
        <f t="shared" ca="1" si="132"/>
        <v>0</v>
      </c>
      <c r="BE2522" s="191" t="e">
        <f ca="1">(OFFSET(Pinlist!$E$1,BC2522,0)-$BN$16)*$BN$19</f>
        <v>#N/A</v>
      </c>
      <c r="BF2522" s="192" t="e">
        <f ca="1">(OFFSET(Pinlist!$F$1,BC2522,0)-$BO$16)*$BO$19</f>
        <v>#N/A</v>
      </c>
      <c r="BG2522" s="1098" t="str">
        <f ca="1">IF(LEFT(BD2522,2)="RF",OFFSET(Pinlist!$D$1,Chart!BC2522,0)&amp;"_"&amp;OFFSET(Pinlist!$G$1,Chart!BC2522,0),"")</f>
        <v/>
      </c>
      <c r="BH2522" s="1098"/>
    </row>
    <row r="2523" spans="53:60" x14ac:dyDescent="0.2">
      <c r="BA2523" s="518">
        <f t="shared" ca="1" si="130"/>
        <v>61</v>
      </c>
      <c r="BB2523" s="174">
        <f t="shared" ca="1" si="131"/>
        <v>2460</v>
      </c>
      <c r="BC2523" s="525" t="e">
        <f ca="1">MATCH(BD2523,OFFSET(Pinlist!$A$2,BC2522*(BA2523=BA2522),0,$BM$23,1),0)+BC2522*(BA2523=BA2522)</f>
        <v>#N/A</v>
      </c>
      <c r="BD2523" s="167">
        <f t="shared" ca="1" si="132"/>
        <v>0</v>
      </c>
      <c r="BE2523" s="191" t="e">
        <f ca="1">(OFFSET(Pinlist!$E$1,BC2523,0)-$BN$16)*$BN$19</f>
        <v>#N/A</v>
      </c>
      <c r="BF2523" s="192" t="e">
        <f ca="1">(OFFSET(Pinlist!$F$1,BC2523,0)-$BO$16)*$BO$19</f>
        <v>#N/A</v>
      </c>
      <c r="BG2523" s="1098" t="str">
        <f ca="1">IF(LEFT(BD2523,2)="RF",OFFSET(Pinlist!$D$1,Chart!BC2523,0)&amp;"_"&amp;OFFSET(Pinlist!$G$1,Chart!BC2523,0),"")</f>
        <v/>
      </c>
      <c r="BH2523" s="1098"/>
    </row>
    <row r="2524" spans="53:60" x14ac:dyDescent="0.2">
      <c r="BA2524" s="518">
        <f t="shared" ca="1" si="130"/>
        <v>61</v>
      </c>
      <c r="BB2524" s="174">
        <f t="shared" ca="1" si="131"/>
        <v>2461</v>
      </c>
      <c r="BC2524" s="525" t="e">
        <f ca="1">MATCH(BD2524,OFFSET(Pinlist!$A$2,BC2523*(BA2524=BA2523),0,$BM$23,1),0)+BC2523*(BA2524=BA2523)</f>
        <v>#N/A</v>
      </c>
      <c r="BD2524" s="167">
        <f t="shared" ca="1" si="132"/>
        <v>0</v>
      </c>
      <c r="BE2524" s="191" t="e">
        <f ca="1">(OFFSET(Pinlist!$E$1,BC2524,0)-$BN$16)*$BN$19</f>
        <v>#N/A</v>
      </c>
      <c r="BF2524" s="192" t="e">
        <f ca="1">(OFFSET(Pinlist!$F$1,BC2524,0)-$BO$16)*$BO$19</f>
        <v>#N/A</v>
      </c>
      <c r="BG2524" s="1098" t="str">
        <f ca="1">IF(LEFT(BD2524,2)="RF",OFFSET(Pinlist!$D$1,Chart!BC2524,0)&amp;"_"&amp;OFFSET(Pinlist!$G$1,Chart!BC2524,0),"")</f>
        <v/>
      </c>
      <c r="BH2524" s="1098"/>
    </row>
    <row r="2525" spans="53:60" x14ac:dyDescent="0.2">
      <c r="BA2525" s="518">
        <f t="shared" ca="1" si="130"/>
        <v>61</v>
      </c>
      <c r="BB2525" s="174">
        <f t="shared" ca="1" si="131"/>
        <v>2462</v>
      </c>
      <c r="BC2525" s="525" t="e">
        <f ca="1">MATCH(BD2525,OFFSET(Pinlist!$A$2,BC2524*(BA2525=BA2524),0,$BM$23,1),0)+BC2524*(BA2525=BA2524)</f>
        <v>#N/A</v>
      </c>
      <c r="BD2525" s="167">
        <f t="shared" ca="1" si="132"/>
        <v>0</v>
      </c>
      <c r="BE2525" s="191" t="e">
        <f ca="1">(OFFSET(Pinlist!$E$1,BC2525,0)-$BN$16)*$BN$19</f>
        <v>#N/A</v>
      </c>
      <c r="BF2525" s="192" t="e">
        <f ca="1">(OFFSET(Pinlist!$F$1,BC2525,0)-$BO$16)*$BO$19</f>
        <v>#N/A</v>
      </c>
      <c r="BG2525" s="1098" t="str">
        <f ca="1">IF(LEFT(BD2525,2)="RF",OFFSET(Pinlist!$D$1,Chart!BC2525,0)&amp;"_"&amp;OFFSET(Pinlist!$G$1,Chart!BC2525,0),"")</f>
        <v/>
      </c>
      <c r="BH2525" s="1098"/>
    </row>
    <row r="2526" spans="53:60" x14ac:dyDescent="0.2">
      <c r="BA2526" s="518">
        <f t="shared" ca="1" si="130"/>
        <v>61</v>
      </c>
      <c r="BB2526" s="174">
        <f t="shared" ca="1" si="131"/>
        <v>2463</v>
      </c>
      <c r="BC2526" s="525" t="e">
        <f ca="1">MATCH(BD2526,OFFSET(Pinlist!$A$2,BC2525*(BA2526=BA2525),0,$BM$23,1),0)+BC2525*(BA2526=BA2525)</f>
        <v>#N/A</v>
      </c>
      <c r="BD2526" s="167">
        <f t="shared" ca="1" si="132"/>
        <v>0</v>
      </c>
      <c r="BE2526" s="191" t="e">
        <f ca="1">(OFFSET(Pinlist!$E$1,BC2526,0)-$BN$16)*$BN$19</f>
        <v>#N/A</v>
      </c>
      <c r="BF2526" s="192" t="e">
        <f ca="1">(OFFSET(Pinlist!$F$1,BC2526,0)-$BO$16)*$BO$19</f>
        <v>#N/A</v>
      </c>
      <c r="BG2526" s="1098" t="str">
        <f ca="1">IF(LEFT(BD2526,2)="RF",OFFSET(Pinlist!$D$1,Chart!BC2526,0)&amp;"_"&amp;OFFSET(Pinlist!$G$1,Chart!BC2526,0),"")</f>
        <v/>
      </c>
      <c r="BH2526" s="1098"/>
    </row>
    <row r="2527" spans="53:60" x14ac:dyDescent="0.2">
      <c r="BA2527" s="518">
        <f t="shared" ca="1" si="130"/>
        <v>61</v>
      </c>
      <c r="BB2527" s="174">
        <f t="shared" ca="1" si="131"/>
        <v>2464</v>
      </c>
      <c r="BC2527" s="525" t="e">
        <f ca="1">MATCH(BD2527,OFFSET(Pinlist!$A$2,BC2526*(BA2527=BA2526),0,$BM$23,1),0)+BC2526*(BA2527=BA2526)</f>
        <v>#N/A</v>
      </c>
      <c r="BD2527" s="167">
        <f t="shared" ca="1" si="132"/>
        <v>0</v>
      </c>
      <c r="BE2527" s="191" t="e">
        <f ca="1">(OFFSET(Pinlist!$E$1,BC2527,0)-$BN$16)*$BN$19</f>
        <v>#N/A</v>
      </c>
      <c r="BF2527" s="192" t="e">
        <f ca="1">(OFFSET(Pinlist!$F$1,BC2527,0)-$BO$16)*$BO$19</f>
        <v>#N/A</v>
      </c>
      <c r="BG2527" s="1098" t="str">
        <f ca="1">IF(LEFT(BD2527,2)="RF",OFFSET(Pinlist!$D$1,Chart!BC2527,0)&amp;"_"&amp;OFFSET(Pinlist!$G$1,Chart!BC2527,0),"")</f>
        <v/>
      </c>
      <c r="BH2527" s="1098"/>
    </row>
    <row r="2528" spans="53:60" x14ac:dyDescent="0.2">
      <c r="BA2528" s="518">
        <f t="shared" ca="1" si="130"/>
        <v>61</v>
      </c>
      <c r="BB2528" s="174">
        <f t="shared" ca="1" si="131"/>
        <v>2465</v>
      </c>
      <c r="BC2528" s="525" t="e">
        <f ca="1">MATCH(BD2528,OFFSET(Pinlist!$A$2,BC2527*(BA2528=BA2527),0,$BM$23,1),0)+BC2527*(BA2528=BA2527)</f>
        <v>#N/A</v>
      </c>
      <c r="BD2528" s="167">
        <f t="shared" ca="1" si="132"/>
        <v>0</v>
      </c>
      <c r="BE2528" s="191" t="e">
        <f ca="1">(OFFSET(Pinlist!$E$1,BC2528,0)-$BN$16)*$BN$19</f>
        <v>#N/A</v>
      </c>
      <c r="BF2528" s="192" t="e">
        <f ca="1">(OFFSET(Pinlist!$F$1,BC2528,0)-$BO$16)*$BO$19</f>
        <v>#N/A</v>
      </c>
      <c r="BG2528" s="1098" t="str">
        <f ca="1">IF(LEFT(BD2528,2)="RF",OFFSET(Pinlist!$D$1,Chart!BC2528,0)&amp;"_"&amp;OFFSET(Pinlist!$G$1,Chart!BC2528,0),"")</f>
        <v/>
      </c>
      <c r="BH2528" s="1098"/>
    </row>
    <row r="2529" spans="53:60" x14ac:dyDescent="0.2">
      <c r="BA2529" s="518">
        <f t="shared" ca="1" si="130"/>
        <v>61</v>
      </c>
      <c r="BB2529" s="174">
        <f t="shared" ca="1" si="131"/>
        <v>2466</v>
      </c>
      <c r="BC2529" s="525" t="e">
        <f ca="1">MATCH(BD2529,OFFSET(Pinlist!$A$2,BC2528*(BA2529=BA2528),0,$BM$23,1),0)+BC2528*(BA2529=BA2528)</f>
        <v>#N/A</v>
      </c>
      <c r="BD2529" s="167">
        <f t="shared" ca="1" si="132"/>
        <v>0</v>
      </c>
      <c r="BE2529" s="191" t="e">
        <f ca="1">(OFFSET(Pinlist!$E$1,BC2529,0)-$BN$16)*$BN$19</f>
        <v>#N/A</v>
      </c>
      <c r="BF2529" s="192" t="e">
        <f ca="1">(OFFSET(Pinlist!$F$1,BC2529,0)-$BO$16)*$BO$19</f>
        <v>#N/A</v>
      </c>
      <c r="BG2529" s="1098" t="str">
        <f ca="1">IF(LEFT(BD2529,2)="RF",OFFSET(Pinlist!$D$1,Chart!BC2529,0)&amp;"_"&amp;OFFSET(Pinlist!$G$1,Chart!BC2529,0),"")</f>
        <v/>
      </c>
      <c r="BH2529" s="1098"/>
    </row>
    <row r="2530" spans="53:60" x14ac:dyDescent="0.2">
      <c r="BA2530" s="518">
        <f t="shared" ca="1" si="130"/>
        <v>61</v>
      </c>
      <c r="BB2530" s="174">
        <f t="shared" ca="1" si="131"/>
        <v>2467</v>
      </c>
      <c r="BC2530" s="525" t="e">
        <f ca="1">MATCH(BD2530,OFFSET(Pinlist!$A$2,BC2529*(BA2530=BA2529),0,$BM$23,1),0)+BC2529*(BA2530=BA2529)</f>
        <v>#N/A</v>
      </c>
      <c r="BD2530" s="167">
        <f t="shared" ca="1" si="132"/>
        <v>0</v>
      </c>
      <c r="BE2530" s="191" t="e">
        <f ca="1">(OFFSET(Pinlist!$E$1,BC2530,0)-$BN$16)*$BN$19</f>
        <v>#N/A</v>
      </c>
      <c r="BF2530" s="192" t="e">
        <f ca="1">(OFFSET(Pinlist!$F$1,BC2530,0)-$BO$16)*$BO$19</f>
        <v>#N/A</v>
      </c>
      <c r="BG2530" s="1098" t="str">
        <f ca="1">IF(LEFT(BD2530,2)="RF",OFFSET(Pinlist!$D$1,Chart!BC2530,0)&amp;"_"&amp;OFFSET(Pinlist!$G$1,Chart!BC2530,0),"")</f>
        <v/>
      </c>
      <c r="BH2530" s="1098"/>
    </row>
    <row r="2531" spans="53:60" x14ac:dyDescent="0.2">
      <c r="BA2531" s="518">
        <f t="shared" ca="1" si="130"/>
        <v>61</v>
      </c>
      <c r="BB2531" s="174">
        <f t="shared" ca="1" si="131"/>
        <v>2468</v>
      </c>
      <c r="BC2531" s="525" t="e">
        <f ca="1">MATCH(BD2531,OFFSET(Pinlist!$A$2,BC2530*(BA2531=BA2530),0,$BM$23,1),0)+BC2530*(BA2531=BA2530)</f>
        <v>#N/A</v>
      </c>
      <c r="BD2531" s="167">
        <f t="shared" ca="1" si="132"/>
        <v>0</v>
      </c>
      <c r="BE2531" s="191" t="e">
        <f ca="1">(OFFSET(Pinlist!$E$1,BC2531,0)-$BN$16)*$BN$19</f>
        <v>#N/A</v>
      </c>
      <c r="BF2531" s="192" t="e">
        <f ca="1">(OFFSET(Pinlist!$F$1,BC2531,0)-$BO$16)*$BO$19</f>
        <v>#N/A</v>
      </c>
      <c r="BG2531" s="1098" t="str">
        <f ca="1">IF(LEFT(BD2531,2)="RF",OFFSET(Pinlist!$D$1,Chart!BC2531,0)&amp;"_"&amp;OFFSET(Pinlist!$G$1,Chart!BC2531,0),"")</f>
        <v/>
      </c>
      <c r="BH2531" s="1098"/>
    </row>
    <row r="2532" spans="53:60" x14ac:dyDescent="0.2">
      <c r="BA2532" s="518">
        <f t="shared" ca="1" si="130"/>
        <v>61</v>
      </c>
      <c r="BB2532" s="174">
        <f t="shared" ca="1" si="131"/>
        <v>2469</v>
      </c>
      <c r="BC2532" s="525" t="e">
        <f ca="1">MATCH(BD2532,OFFSET(Pinlist!$A$2,BC2531*(BA2532=BA2531),0,$BM$23,1),0)+BC2531*(BA2532=BA2531)</f>
        <v>#N/A</v>
      </c>
      <c r="BD2532" s="167">
        <f t="shared" ca="1" si="132"/>
        <v>0</v>
      </c>
      <c r="BE2532" s="191" t="e">
        <f ca="1">(OFFSET(Pinlist!$E$1,BC2532,0)-$BN$16)*$BN$19</f>
        <v>#N/A</v>
      </c>
      <c r="BF2532" s="192" t="e">
        <f ca="1">(OFFSET(Pinlist!$F$1,BC2532,0)-$BO$16)*$BO$19</f>
        <v>#N/A</v>
      </c>
      <c r="BG2532" s="1098" t="str">
        <f ca="1">IF(LEFT(BD2532,2)="RF",OFFSET(Pinlist!$D$1,Chart!BC2532,0)&amp;"_"&amp;OFFSET(Pinlist!$G$1,Chart!BC2532,0),"")</f>
        <v/>
      </c>
      <c r="BH2532" s="1098"/>
    </row>
    <row r="2533" spans="53:60" x14ac:dyDescent="0.2">
      <c r="BA2533" s="518">
        <f t="shared" ca="1" si="130"/>
        <v>61</v>
      </c>
      <c r="BB2533" s="174">
        <f t="shared" ca="1" si="131"/>
        <v>2470</v>
      </c>
      <c r="BC2533" s="525" t="e">
        <f ca="1">MATCH(BD2533,OFFSET(Pinlist!$A$2,BC2532*(BA2533=BA2532),0,$BM$23,1),0)+BC2532*(BA2533=BA2532)</f>
        <v>#N/A</v>
      </c>
      <c r="BD2533" s="167">
        <f t="shared" ca="1" si="132"/>
        <v>0</v>
      </c>
      <c r="BE2533" s="191" t="e">
        <f ca="1">(OFFSET(Pinlist!$E$1,BC2533,0)-$BN$16)*$BN$19</f>
        <v>#N/A</v>
      </c>
      <c r="BF2533" s="192" t="e">
        <f ca="1">(OFFSET(Pinlist!$F$1,BC2533,0)-$BO$16)*$BO$19</f>
        <v>#N/A</v>
      </c>
      <c r="BG2533" s="1098" t="str">
        <f ca="1">IF(LEFT(BD2533,2)="RF",OFFSET(Pinlist!$D$1,Chart!BC2533,0)&amp;"_"&amp;OFFSET(Pinlist!$G$1,Chart!BC2533,0),"")</f>
        <v/>
      </c>
      <c r="BH2533" s="1098"/>
    </row>
    <row r="2534" spans="53:60" x14ac:dyDescent="0.2">
      <c r="BA2534" s="518">
        <f t="shared" ca="1" si="130"/>
        <v>61</v>
      </c>
      <c r="BB2534" s="174">
        <f t="shared" ca="1" si="131"/>
        <v>2471</v>
      </c>
      <c r="BC2534" s="525" t="e">
        <f ca="1">MATCH(BD2534,OFFSET(Pinlist!$A$2,BC2533*(BA2534=BA2533),0,$BM$23,1),0)+BC2533*(BA2534=BA2533)</f>
        <v>#N/A</v>
      </c>
      <c r="BD2534" s="167">
        <f t="shared" ca="1" si="132"/>
        <v>0</v>
      </c>
      <c r="BE2534" s="191" t="e">
        <f ca="1">(OFFSET(Pinlist!$E$1,BC2534,0)-$BN$16)*$BN$19</f>
        <v>#N/A</v>
      </c>
      <c r="BF2534" s="192" t="e">
        <f ca="1">(OFFSET(Pinlist!$F$1,BC2534,0)-$BO$16)*$BO$19</f>
        <v>#N/A</v>
      </c>
      <c r="BG2534" s="1098" t="str">
        <f ca="1">IF(LEFT(BD2534,2)="RF",OFFSET(Pinlist!$D$1,Chart!BC2534,0)&amp;"_"&amp;OFFSET(Pinlist!$G$1,Chart!BC2534,0),"")</f>
        <v/>
      </c>
      <c r="BH2534" s="1098"/>
    </row>
    <row r="2535" spans="53:60" x14ac:dyDescent="0.2">
      <c r="BA2535" s="518">
        <f t="shared" ca="1" si="130"/>
        <v>61</v>
      </c>
      <c r="BB2535" s="174">
        <f t="shared" ca="1" si="131"/>
        <v>2472</v>
      </c>
      <c r="BC2535" s="525" t="e">
        <f ca="1">MATCH(BD2535,OFFSET(Pinlist!$A$2,BC2534*(BA2535=BA2534),0,$BM$23,1),0)+BC2534*(BA2535=BA2534)</f>
        <v>#N/A</v>
      </c>
      <c r="BD2535" s="167">
        <f t="shared" ca="1" si="132"/>
        <v>0</v>
      </c>
      <c r="BE2535" s="191" t="e">
        <f ca="1">(OFFSET(Pinlist!$E$1,BC2535,0)-$BN$16)*$BN$19</f>
        <v>#N/A</v>
      </c>
      <c r="BF2535" s="192" t="e">
        <f ca="1">(OFFSET(Pinlist!$F$1,BC2535,0)-$BO$16)*$BO$19</f>
        <v>#N/A</v>
      </c>
      <c r="BG2535" s="1098" t="str">
        <f ca="1">IF(LEFT(BD2535,2)="RF",OFFSET(Pinlist!$D$1,Chart!BC2535,0)&amp;"_"&amp;OFFSET(Pinlist!$G$1,Chart!BC2535,0),"")</f>
        <v/>
      </c>
      <c r="BH2535" s="1098"/>
    </row>
    <row r="2536" spans="53:60" x14ac:dyDescent="0.2">
      <c r="BA2536" s="518">
        <f t="shared" ca="1" si="130"/>
        <v>61</v>
      </c>
      <c r="BB2536" s="174">
        <f t="shared" ca="1" si="131"/>
        <v>2473</v>
      </c>
      <c r="BC2536" s="525" t="e">
        <f ca="1">MATCH(BD2536,OFFSET(Pinlist!$A$2,BC2535*(BA2536=BA2535),0,$BM$23,1),0)+BC2535*(BA2536=BA2535)</f>
        <v>#N/A</v>
      </c>
      <c r="BD2536" s="167">
        <f t="shared" ca="1" si="132"/>
        <v>0</v>
      </c>
      <c r="BE2536" s="191" t="e">
        <f ca="1">(OFFSET(Pinlist!$E$1,BC2536,0)-$BN$16)*$BN$19</f>
        <v>#N/A</v>
      </c>
      <c r="BF2536" s="192" t="e">
        <f ca="1">(OFFSET(Pinlist!$F$1,BC2536,0)-$BO$16)*$BO$19</f>
        <v>#N/A</v>
      </c>
      <c r="BG2536" s="1098" t="str">
        <f ca="1">IF(LEFT(BD2536,2)="RF",OFFSET(Pinlist!$D$1,Chart!BC2536,0)&amp;"_"&amp;OFFSET(Pinlist!$G$1,Chart!BC2536,0),"")</f>
        <v/>
      </c>
      <c r="BH2536" s="1098"/>
    </row>
    <row r="2537" spans="53:60" x14ac:dyDescent="0.2">
      <c r="BA2537" s="518">
        <f t="shared" ca="1" si="130"/>
        <v>61</v>
      </c>
      <c r="BB2537" s="174">
        <f t="shared" ca="1" si="131"/>
        <v>2474</v>
      </c>
      <c r="BC2537" s="525" t="e">
        <f ca="1">MATCH(BD2537,OFFSET(Pinlist!$A$2,BC2536*(BA2537=BA2536),0,$BM$23,1),0)+BC2536*(BA2537=BA2536)</f>
        <v>#N/A</v>
      </c>
      <c r="BD2537" s="167">
        <f t="shared" ca="1" si="132"/>
        <v>0</v>
      </c>
      <c r="BE2537" s="191" t="e">
        <f ca="1">(OFFSET(Pinlist!$E$1,BC2537,0)-$BN$16)*$BN$19</f>
        <v>#N/A</v>
      </c>
      <c r="BF2537" s="192" t="e">
        <f ca="1">(OFFSET(Pinlist!$F$1,BC2537,0)-$BO$16)*$BO$19</f>
        <v>#N/A</v>
      </c>
      <c r="BG2537" s="1098" t="str">
        <f ca="1">IF(LEFT(BD2537,2)="RF",OFFSET(Pinlist!$D$1,Chart!BC2537,0)&amp;"_"&amp;OFFSET(Pinlist!$G$1,Chart!BC2537,0),"")</f>
        <v/>
      </c>
      <c r="BH2537" s="1098"/>
    </row>
    <row r="2538" spans="53:60" x14ac:dyDescent="0.2">
      <c r="BA2538" s="518">
        <f t="shared" ca="1" si="130"/>
        <v>61</v>
      </c>
      <c r="BB2538" s="174">
        <f t="shared" ca="1" si="131"/>
        <v>2475</v>
      </c>
      <c r="BC2538" s="525" t="e">
        <f ca="1">MATCH(BD2538,OFFSET(Pinlist!$A$2,BC2537*(BA2538=BA2537),0,$BM$23,1),0)+BC2537*(BA2538=BA2537)</f>
        <v>#N/A</v>
      </c>
      <c r="BD2538" s="167">
        <f t="shared" ca="1" si="132"/>
        <v>0</v>
      </c>
      <c r="BE2538" s="191" t="e">
        <f ca="1">(OFFSET(Pinlist!$E$1,BC2538,0)-$BN$16)*$BN$19</f>
        <v>#N/A</v>
      </c>
      <c r="BF2538" s="192" t="e">
        <f ca="1">(OFFSET(Pinlist!$F$1,BC2538,0)-$BO$16)*$BO$19</f>
        <v>#N/A</v>
      </c>
      <c r="BG2538" s="1098" t="str">
        <f ca="1">IF(LEFT(BD2538,2)="RF",OFFSET(Pinlist!$D$1,Chart!BC2538,0)&amp;"_"&amp;OFFSET(Pinlist!$G$1,Chart!BC2538,0),"")</f>
        <v/>
      </c>
      <c r="BH2538" s="1098"/>
    </row>
    <row r="2539" spans="53:60" x14ac:dyDescent="0.2">
      <c r="BA2539" s="518">
        <f t="shared" ca="1" si="130"/>
        <v>61</v>
      </c>
      <c r="BB2539" s="174">
        <f t="shared" ca="1" si="131"/>
        <v>2476</v>
      </c>
      <c r="BC2539" s="525" t="e">
        <f ca="1">MATCH(BD2539,OFFSET(Pinlist!$A$2,BC2538*(BA2539=BA2538),0,$BM$23,1),0)+BC2538*(BA2539=BA2538)</f>
        <v>#N/A</v>
      </c>
      <c r="BD2539" s="167">
        <f t="shared" ca="1" si="132"/>
        <v>0</v>
      </c>
      <c r="BE2539" s="191" t="e">
        <f ca="1">(OFFSET(Pinlist!$E$1,BC2539,0)-$BN$16)*$BN$19</f>
        <v>#N/A</v>
      </c>
      <c r="BF2539" s="192" t="e">
        <f ca="1">(OFFSET(Pinlist!$F$1,BC2539,0)-$BO$16)*$BO$19</f>
        <v>#N/A</v>
      </c>
      <c r="BG2539" s="1098" t="str">
        <f ca="1">IF(LEFT(BD2539,2)="RF",OFFSET(Pinlist!$D$1,Chart!BC2539,0)&amp;"_"&amp;OFFSET(Pinlist!$G$1,Chart!BC2539,0),"")</f>
        <v/>
      </c>
      <c r="BH2539" s="1098"/>
    </row>
    <row r="2540" spans="53:60" x14ac:dyDescent="0.2">
      <c r="BA2540" s="518">
        <f t="shared" ca="1" si="130"/>
        <v>61</v>
      </c>
      <c r="BB2540" s="174">
        <f t="shared" ca="1" si="131"/>
        <v>2477</v>
      </c>
      <c r="BC2540" s="525" t="e">
        <f ca="1">MATCH(BD2540,OFFSET(Pinlist!$A$2,BC2539*(BA2540=BA2539),0,$BM$23,1),0)+BC2539*(BA2540=BA2539)</f>
        <v>#N/A</v>
      </c>
      <c r="BD2540" s="167">
        <f t="shared" ca="1" si="132"/>
        <v>0</v>
      </c>
      <c r="BE2540" s="191" t="e">
        <f ca="1">(OFFSET(Pinlist!$E$1,BC2540,0)-$BN$16)*$BN$19</f>
        <v>#N/A</v>
      </c>
      <c r="BF2540" s="192" t="e">
        <f ca="1">(OFFSET(Pinlist!$F$1,BC2540,0)-$BO$16)*$BO$19</f>
        <v>#N/A</v>
      </c>
      <c r="BG2540" s="1098" t="str">
        <f ca="1">IF(LEFT(BD2540,2)="RF",OFFSET(Pinlist!$D$1,Chart!BC2540,0)&amp;"_"&amp;OFFSET(Pinlist!$G$1,Chart!BC2540,0),"")</f>
        <v/>
      </c>
      <c r="BH2540" s="1098"/>
    </row>
    <row r="2541" spans="53:60" x14ac:dyDescent="0.2">
      <c r="BA2541" s="518">
        <f t="shared" ca="1" si="130"/>
        <v>61</v>
      </c>
      <c r="BB2541" s="174">
        <f t="shared" ca="1" si="131"/>
        <v>2478</v>
      </c>
      <c r="BC2541" s="525" t="e">
        <f ca="1">MATCH(BD2541,OFFSET(Pinlist!$A$2,BC2540*(BA2541=BA2540),0,$BM$23,1),0)+BC2540*(BA2541=BA2540)</f>
        <v>#N/A</v>
      </c>
      <c r="BD2541" s="167">
        <f t="shared" ca="1" si="132"/>
        <v>0</v>
      </c>
      <c r="BE2541" s="191" t="e">
        <f ca="1">(OFFSET(Pinlist!$E$1,BC2541,0)-$BN$16)*$BN$19</f>
        <v>#N/A</v>
      </c>
      <c r="BF2541" s="192" t="e">
        <f ca="1">(OFFSET(Pinlist!$F$1,BC2541,0)-$BO$16)*$BO$19</f>
        <v>#N/A</v>
      </c>
      <c r="BG2541" s="1098" t="str">
        <f ca="1">IF(LEFT(BD2541,2)="RF",OFFSET(Pinlist!$D$1,Chart!BC2541,0)&amp;"_"&amp;OFFSET(Pinlist!$G$1,Chart!BC2541,0),"")</f>
        <v/>
      </c>
      <c r="BH2541" s="1098"/>
    </row>
    <row r="2542" spans="53:60" x14ac:dyDescent="0.2">
      <c r="BA2542" s="518">
        <f t="shared" ca="1" si="130"/>
        <v>61</v>
      </c>
      <c r="BB2542" s="174">
        <f t="shared" ca="1" si="131"/>
        <v>2479</v>
      </c>
      <c r="BC2542" s="525" t="e">
        <f ca="1">MATCH(BD2542,OFFSET(Pinlist!$A$2,BC2541*(BA2542=BA2541),0,$BM$23,1),0)+BC2541*(BA2542=BA2541)</f>
        <v>#N/A</v>
      </c>
      <c r="BD2542" s="167">
        <f t="shared" ca="1" si="132"/>
        <v>0</v>
      </c>
      <c r="BE2542" s="191" t="e">
        <f ca="1">(OFFSET(Pinlist!$E$1,BC2542,0)-$BN$16)*$BN$19</f>
        <v>#N/A</v>
      </c>
      <c r="BF2542" s="192" t="e">
        <f ca="1">(OFFSET(Pinlist!$F$1,BC2542,0)-$BO$16)*$BO$19</f>
        <v>#N/A</v>
      </c>
      <c r="BG2542" s="1098" t="str">
        <f ca="1">IF(LEFT(BD2542,2)="RF",OFFSET(Pinlist!$D$1,Chart!BC2542,0)&amp;"_"&amp;OFFSET(Pinlist!$G$1,Chart!BC2542,0),"")</f>
        <v/>
      </c>
      <c r="BH2542" s="1098"/>
    </row>
    <row r="2543" spans="53:60" x14ac:dyDescent="0.2">
      <c r="BA2543" s="518">
        <f t="shared" ca="1" si="130"/>
        <v>61</v>
      </c>
      <c r="BB2543" s="174">
        <f t="shared" ca="1" si="131"/>
        <v>2480</v>
      </c>
      <c r="BC2543" s="525" t="e">
        <f ca="1">MATCH(BD2543,OFFSET(Pinlist!$A$2,BC2542*(BA2543=BA2542),0,$BM$23,1),0)+BC2542*(BA2543=BA2542)</f>
        <v>#N/A</v>
      </c>
      <c r="BD2543" s="167">
        <f t="shared" ca="1" si="132"/>
        <v>0</v>
      </c>
      <c r="BE2543" s="191" t="e">
        <f ca="1">(OFFSET(Pinlist!$E$1,BC2543,0)-$BN$16)*$BN$19</f>
        <v>#N/A</v>
      </c>
      <c r="BF2543" s="192" t="e">
        <f ca="1">(OFFSET(Pinlist!$F$1,BC2543,0)-$BO$16)*$BO$19</f>
        <v>#N/A</v>
      </c>
      <c r="BG2543" s="1098" t="str">
        <f ca="1">IF(LEFT(BD2543,2)="RF",OFFSET(Pinlist!$D$1,Chart!BC2543,0)&amp;"_"&amp;OFFSET(Pinlist!$G$1,Chart!BC2543,0),"")</f>
        <v/>
      </c>
      <c r="BH2543" s="1098"/>
    </row>
    <row r="2544" spans="53:60" x14ac:dyDescent="0.2">
      <c r="BA2544" s="518">
        <f t="shared" ca="1" si="130"/>
        <v>61</v>
      </c>
      <c r="BB2544" s="174">
        <f t="shared" ca="1" si="131"/>
        <v>2481</v>
      </c>
      <c r="BC2544" s="525" t="e">
        <f ca="1">MATCH(BD2544,OFFSET(Pinlist!$A$2,BC2543*(BA2544=BA2543),0,$BM$23,1),0)+BC2543*(BA2544=BA2543)</f>
        <v>#N/A</v>
      </c>
      <c r="BD2544" s="167">
        <f t="shared" ca="1" si="132"/>
        <v>0</v>
      </c>
      <c r="BE2544" s="191" t="e">
        <f ca="1">(OFFSET(Pinlist!$E$1,BC2544,0)-$BN$16)*$BN$19</f>
        <v>#N/A</v>
      </c>
      <c r="BF2544" s="192" t="e">
        <f ca="1">(OFFSET(Pinlist!$F$1,BC2544,0)-$BO$16)*$BO$19</f>
        <v>#N/A</v>
      </c>
      <c r="BG2544" s="1098" t="str">
        <f ca="1">IF(LEFT(BD2544,2)="RF",OFFSET(Pinlist!$D$1,Chart!BC2544,0)&amp;"_"&amp;OFFSET(Pinlist!$G$1,Chart!BC2544,0),"")</f>
        <v/>
      </c>
      <c r="BH2544" s="1098"/>
    </row>
    <row r="2545" spans="53:60" x14ac:dyDescent="0.2">
      <c r="BA2545" s="518">
        <f t="shared" ca="1" si="130"/>
        <v>61</v>
      </c>
      <c r="BB2545" s="174">
        <f t="shared" ca="1" si="131"/>
        <v>2482</v>
      </c>
      <c r="BC2545" s="525" t="e">
        <f ca="1">MATCH(BD2545,OFFSET(Pinlist!$A$2,BC2544*(BA2545=BA2544),0,$BM$23,1),0)+BC2544*(BA2545=BA2544)</f>
        <v>#N/A</v>
      </c>
      <c r="BD2545" s="167">
        <f t="shared" ca="1" si="132"/>
        <v>0</v>
      </c>
      <c r="BE2545" s="191" t="e">
        <f ca="1">(OFFSET(Pinlist!$E$1,BC2545,0)-$BN$16)*$BN$19</f>
        <v>#N/A</v>
      </c>
      <c r="BF2545" s="192" t="e">
        <f ca="1">(OFFSET(Pinlist!$F$1,BC2545,0)-$BO$16)*$BO$19</f>
        <v>#N/A</v>
      </c>
      <c r="BG2545" s="1098" t="str">
        <f ca="1">IF(LEFT(BD2545,2)="RF",OFFSET(Pinlist!$D$1,Chart!BC2545,0)&amp;"_"&amp;OFFSET(Pinlist!$G$1,Chart!BC2545,0),"")</f>
        <v/>
      </c>
      <c r="BH2545" s="1098"/>
    </row>
    <row r="2546" spans="53:60" x14ac:dyDescent="0.2">
      <c r="BA2546" s="518">
        <f t="shared" ca="1" si="130"/>
        <v>61</v>
      </c>
      <c r="BB2546" s="174">
        <f t="shared" ca="1" si="131"/>
        <v>2483</v>
      </c>
      <c r="BC2546" s="525" t="e">
        <f ca="1">MATCH(BD2546,OFFSET(Pinlist!$A$2,BC2545*(BA2546=BA2545),0,$BM$23,1),0)+BC2545*(BA2546=BA2545)</f>
        <v>#N/A</v>
      </c>
      <c r="BD2546" s="167">
        <f t="shared" ca="1" si="132"/>
        <v>0</v>
      </c>
      <c r="BE2546" s="191" t="e">
        <f ca="1">(OFFSET(Pinlist!$E$1,BC2546,0)-$BN$16)*$BN$19</f>
        <v>#N/A</v>
      </c>
      <c r="BF2546" s="192" t="e">
        <f ca="1">(OFFSET(Pinlist!$F$1,BC2546,0)-$BO$16)*$BO$19</f>
        <v>#N/A</v>
      </c>
      <c r="BG2546" s="1098" t="str">
        <f ca="1">IF(LEFT(BD2546,2)="RF",OFFSET(Pinlist!$D$1,Chart!BC2546,0)&amp;"_"&amp;OFFSET(Pinlist!$G$1,Chart!BC2546,0),"")</f>
        <v/>
      </c>
      <c r="BH2546" s="1098"/>
    </row>
    <row r="2547" spans="53:60" x14ac:dyDescent="0.2">
      <c r="BA2547" s="518">
        <f t="shared" ca="1" si="130"/>
        <v>61</v>
      </c>
      <c r="BB2547" s="174">
        <f t="shared" ca="1" si="131"/>
        <v>2484</v>
      </c>
      <c r="BC2547" s="525" t="e">
        <f ca="1">MATCH(BD2547,OFFSET(Pinlist!$A$2,BC2546*(BA2547=BA2546),0,$BM$23,1),0)+BC2546*(BA2547=BA2546)</f>
        <v>#N/A</v>
      </c>
      <c r="BD2547" s="167">
        <f t="shared" ca="1" si="132"/>
        <v>0</v>
      </c>
      <c r="BE2547" s="191" t="e">
        <f ca="1">(OFFSET(Pinlist!$E$1,BC2547,0)-$BN$16)*$BN$19</f>
        <v>#N/A</v>
      </c>
      <c r="BF2547" s="192" t="e">
        <f ca="1">(OFFSET(Pinlist!$F$1,BC2547,0)-$BO$16)*$BO$19</f>
        <v>#N/A</v>
      </c>
      <c r="BG2547" s="1098" t="str">
        <f ca="1">IF(LEFT(BD2547,2)="RF",OFFSET(Pinlist!$D$1,Chart!BC2547,0)&amp;"_"&amp;OFFSET(Pinlist!$G$1,Chart!BC2547,0),"")</f>
        <v/>
      </c>
      <c r="BH2547" s="1098"/>
    </row>
    <row r="2548" spans="53:60" x14ac:dyDescent="0.2">
      <c r="BA2548" s="518">
        <f t="shared" ca="1" si="130"/>
        <v>61</v>
      </c>
      <c r="BB2548" s="174">
        <f t="shared" ca="1" si="131"/>
        <v>2485</v>
      </c>
      <c r="BC2548" s="525" t="e">
        <f ca="1">MATCH(BD2548,OFFSET(Pinlist!$A$2,BC2547*(BA2548=BA2547),0,$BM$23,1),0)+BC2547*(BA2548=BA2547)</f>
        <v>#N/A</v>
      </c>
      <c r="BD2548" s="167">
        <f t="shared" ca="1" si="132"/>
        <v>0</v>
      </c>
      <c r="BE2548" s="191" t="e">
        <f ca="1">(OFFSET(Pinlist!$E$1,BC2548,0)-$BN$16)*$BN$19</f>
        <v>#N/A</v>
      </c>
      <c r="BF2548" s="192" t="e">
        <f ca="1">(OFFSET(Pinlist!$F$1,BC2548,0)-$BO$16)*$BO$19</f>
        <v>#N/A</v>
      </c>
      <c r="BG2548" s="1098" t="str">
        <f ca="1">IF(LEFT(BD2548,2)="RF",OFFSET(Pinlist!$D$1,Chart!BC2548,0)&amp;"_"&amp;OFFSET(Pinlist!$G$1,Chart!BC2548,0),"")</f>
        <v/>
      </c>
      <c r="BH2548" s="1098"/>
    </row>
    <row r="2549" spans="53:60" x14ac:dyDescent="0.2">
      <c r="BA2549" s="518">
        <f t="shared" ca="1" si="130"/>
        <v>61</v>
      </c>
      <c r="BB2549" s="174">
        <f t="shared" ca="1" si="131"/>
        <v>2486</v>
      </c>
      <c r="BC2549" s="525" t="e">
        <f ca="1">MATCH(BD2549,OFFSET(Pinlist!$A$2,BC2548*(BA2549=BA2548),0,$BM$23,1),0)+BC2548*(BA2549=BA2548)</f>
        <v>#N/A</v>
      </c>
      <c r="BD2549" s="167">
        <f t="shared" ca="1" si="132"/>
        <v>0</v>
      </c>
      <c r="BE2549" s="191" t="e">
        <f ca="1">(OFFSET(Pinlist!$E$1,BC2549,0)-$BN$16)*$BN$19</f>
        <v>#N/A</v>
      </c>
      <c r="BF2549" s="192" t="e">
        <f ca="1">(OFFSET(Pinlist!$F$1,BC2549,0)-$BO$16)*$BO$19</f>
        <v>#N/A</v>
      </c>
      <c r="BG2549" s="1098" t="str">
        <f ca="1">IF(LEFT(BD2549,2)="RF",OFFSET(Pinlist!$D$1,Chart!BC2549,0)&amp;"_"&amp;OFFSET(Pinlist!$G$1,Chart!BC2549,0),"")</f>
        <v/>
      </c>
      <c r="BH2549" s="1098"/>
    </row>
    <row r="2550" spans="53:60" x14ac:dyDescent="0.2">
      <c r="BA2550" s="518">
        <f t="shared" ca="1" si="130"/>
        <v>61</v>
      </c>
      <c r="BB2550" s="174">
        <f t="shared" ca="1" si="131"/>
        <v>2487</v>
      </c>
      <c r="BC2550" s="525" t="e">
        <f ca="1">MATCH(BD2550,OFFSET(Pinlist!$A$2,BC2549*(BA2550=BA2549),0,$BM$23,1),0)+BC2549*(BA2550=BA2549)</f>
        <v>#N/A</v>
      </c>
      <c r="BD2550" s="167">
        <f t="shared" ca="1" si="132"/>
        <v>0</v>
      </c>
      <c r="BE2550" s="191" t="e">
        <f ca="1">(OFFSET(Pinlist!$E$1,BC2550,0)-$BN$16)*$BN$19</f>
        <v>#N/A</v>
      </c>
      <c r="BF2550" s="192" t="e">
        <f ca="1">(OFFSET(Pinlist!$F$1,BC2550,0)-$BO$16)*$BO$19</f>
        <v>#N/A</v>
      </c>
      <c r="BG2550" s="1098" t="str">
        <f ca="1">IF(LEFT(BD2550,2)="RF",OFFSET(Pinlist!$D$1,Chart!BC2550,0)&amp;"_"&amp;OFFSET(Pinlist!$G$1,Chart!BC2550,0),"")</f>
        <v/>
      </c>
      <c r="BH2550" s="1098"/>
    </row>
    <row r="2551" spans="53:60" x14ac:dyDescent="0.2">
      <c r="BA2551" s="518">
        <f t="shared" ca="1" si="130"/>
        <v>61</v>
      </c>
      <c r="BB2551" s="174">
        <f t="shared" ca="1" si="131"/>
        <v>2488</v>
      </c>
      <c r="BC2551" s="525" t="e">
        <f ca="1">MATCH(BD2551,OFFSET(Pinlist!$A$2,BC2550*(BA2551=BA2550),0,$BM$23,1),0)+BC2550*(BA2551=BA2550)</f>
        <v>#N/A</v>
      </c>
      <c r="BD2551" s="167">
        <f t="shared" ca="1" si="132"/>
        <v>0</v>
      </c>
      <c r="BE2551" s="191" t="e">
        <f ca="1">(OFFSET(Pinlist!$E$1,BC2551,0)-$BN$16)*$BN$19</f>
        <v>#N/A</v>
      </c>
      <c r="BF2551" s="192" t="e">
        <f ca="1">(OFFSET(Pinlist!$F$1,BC2551,0)-$BO$16)*$BO$19</f>
        <v>#N/A</v>
      </c>
      <c r="BG2551" s="1098" t="str">
        <f ca="1">IF(LEFT(BD2551,2)="RF",OFFSET(Pinlist!$D$1,Chart!BC2551,0)&amp;"_"&amp;OFFSET(Pinlist!$G$1,Chart!BC2551,0),"")</f>
        <v/>
      </c>
      <c r="BH2551" s="1098"/>
    </row>
    <row r="2552" spans="53:60" x14ac:dyDescent="0.2">
      <c r="BA2552" s="518">
        <f t="shared" ca="1" si="130"/>
        <v>61</v>
      </c>
      <c r="BB2552" s="174">
        <f t="shared" ca="1" si="131"/>
        <v>2489</v>
      </c>
      <c r="BC2552" s="525" t="e">
        <f ca="1">MATCH(BD2552,OFFSET(Pinlist!$A$2,BC2551*(BA2552=BA2551),0,$BM$23,1),0)+BC2551*(BA2552=BA2551)</f>
        <v>#N/A</v>
      </c>
      <c r="BD2552" s="167">
        <f t="shared" ca="1" si="132"/>
        <v>0</v>
      </c>
      <c r="BE2552" s="191" t="e">
        <f ca="1">(OFFSET(Pinlist!$E$1,BC2552,0)-$BN$16)*$BN$19</f>
        <v>#N/A</v>
      </c>
      <c r="BF2552" s="192" t="e">
        <f ca="1">(OFFSET(Pinlist!$F$1,BC2552,0)-$BO$16)*$BO$19</f>
        <v>#N/A</v>
      </c>
      <c r="BG2552" s="1098" t="str">
        <f ca="1">IF(LEFT(BD2552,2)="RF",OFFSET(Pinlist!$D$1,Chart!BC2552,0)&amp;"_"&amp;OFFSET(Pinlist!$G$1,Chart!BC2552,0),"")</f>
        <v/>
      </c>
      <c r="BH2552" s="1098"/>
    </row>
    <row r="2553" spans="53:60" x14ac:dyDescent="0.2">
      <c r="BA2553" s="518">
        <f t="shared" ca="1" si="130"/>
        <v>61</v>
      </c>
      <c r="BB2553" s="174">
        <f t="shared" ca="1" si="131"/>
        <v>2490</v>
      </c>
      <c r="BC2553" s="525" t="e">
        <f ca="1">MATCH(BD2553,OFFSET(Pinlist!$A$2,BC2552*(BA2553=BA2552),0,$BM$23,1),0)+BC2552*(BA2553=BA2552)</f>
        <v>#N/A</v>
      </c>
      <c r="BD2553" s="167">
        <f t="shared" ca="1" si="132"/>
        <v>0</v>
      </c>
      <c r="BE2553" s="191" t="e">
        <f ca="1">(OFFSET(Pinlist!$E$1,BC2553,0)-$BN$16)*$BN$19</f>
        <v>#N/A</v>
      </c>
      <c r="BF2553" s="192" t="e">
        <f ca="1">(OFFSET(Pinlist!$F$1,BC2553,0)-$BO$16)*$BO$19</f>
        <v>#N/A</v>
      </c>
      <c r="BG2553" s="1098" t="str">
        <f ca="1">IF(LEFT(BD2553,2)="RF",OFFSET(Pinlist!$D$1,Chart!BC2553,0)&amp;"_"&amp;OFFSET(Pinlist!$G$1,Chart!BC2553,0),"")</f>
        <v/>
      </c>
      <c r="BH2553" s="1098"/>
    </row>
    <row r="2554" spans="53:60" x14ac:dyDescent="0.2">
      <c r="BA2554" s="518">
        <f t="shared" ca="1" si="130"/>
        <v>61</v>
      </c>
      <c r="BB2554" s="174">
        <f t="shared" ca="1" si="131"/>
        <v>2491</v>
      </c>
      <c r="BC2554" s="525" t="e">
        <f ca="1">MATCH(BD2554,OFFSET(Pinlist!$A$2,BC2553*(BA2554=BA2553),0,$BM$23,1),0)+BC2553*(BA2554=BA2553)</f>
        <v>#N/A</v>
      </c>
      <c r="BD2554" s="167">
        <f t="shared" ca="1" si="132"/>
        <v>0</v>
      </c>
      <c r="BE2554" s="191" t="e">
        <f ca="1">(OFFSET(Pinlist!$E$1,BC2554,0)-$BN$16)*$BN$19</f>
        <v>#N/A</v>
      </c>
      <c r="BF2554" s="192" t="e">
        <f ca="1">(OFFSET(Pinlist!$F$1,BC2554,0)-$BO$16)*$BO$19</f>
        <v>#N/A</v>
      </c>
      <c r="BG2554" s="1098" t="str">
        <f ca="1">IF(LEFT(BD2554,2)="RF",OFFSET(Pinlist!$D$1,Chart!BC2554,0)&amp;"_"&amp;OFFSET(Pinlist!$G$1,Chart!BC2554,0),"")</f>
        <v/>
      </c>
      <c r="BH2554" s="1098"/>
    </row>
    <row r="2555" spans="53:60" x14ac:dyDescent="0.2">
      <c r="BA2555" s="518">
        <f t="shared" ca="1" si="130"/>
        <v>61</v>
      </c>
      <c r="BB2555" s="174">
        <f t="shared" ca="1" si="131"/>
        <v>2492</v>
      </c>
      <c r="BC2555" s="525" t="e">
        <f ca="1">MATCH(BD2555,OFFSET(Pinlist!$A$2,BC2554*(BA2555=BA2554),0,$BM$23,1),0)+BC2554*(BA2555=BA2554)</f>
        <v>#N/A</v>
      </c>
      <c r="BD2555" s="167">
        <f t="shared" ca="1" si="132"/>
        <v>0</v>
      </c>
      <c r="BE2555" s="191" t="e">
        <f ca="1">(OFFSET(Pinlist!$E$1,BC2555,0)-$BN$16)*$BN$19</f>
        <v>#N/A</v>
      </c>
      <c r="BF2555" s="192" t="e">
        <f ca="1">(OFFSET(Pinlist!$F$1,BC2555,0)-$BO$16)*$BO$19</f>
        <v>#N/A</v>
      </c>
      <c r="BG2555" s="1098" t="str">
        <f ca="1">IF(LEFT(BD2555,2)="RF",OFFSET(Pinlist!$D$1,Chart!BC2555,0)&amp;"_"&amp;OFFSET(Pinlist!$G$1,Chart!BC2555,0),"")</f>
        <v/>
      </c>
      <c r="BH2555" s="1098"/>
    </row>
    <row r="2556" spans="53:60" x14ac:dyDescent="0.2">
      <c r="BA2556" s="518">
        <f t="shared" ca="1" si="130"/>
        <v>61</v>
      </c>
      <c r="BB2556" s="174">
        <f t="shared" ca="1" si="131"/>
        <v>2493</v>
      </c>
      <c r="BC2556" s="525" t="e">
        <f ca="1">MATCH(BD2556,OFFSET(Pinlist!$A$2,BC2555*(BA2556=BA2555),0,$BM$23,1),0)+BC2555*(BA2556=BA2555)</f>
        <v>#N/A</v>
      </c>
      <c r="BD2556" s="167">
        <f t="shared" ca="1" si="132"/>
        <v>0</v>
      </c>
      <c r="BE2556" s="191" t="e">
        <f ca="1">(OFFSET(Pinlist!$E$1,BC2556,0)-$BN$16)*$BN$19</f>
        <v>#N/A</v>
      </c>
      <c r="BF2556" s="192" t="e">
        <f ca="1">(OFFSET(Pinlist!$F$1,BC2556,0)-$BO$16)*$BO$19</f>
        <v>#N/A</v>
      </c>
      <c r="BG2556" s="1098" t="str">
        <f ca="1">IF(LEFT(BD2556,2)="RF",OFFSET(Pinlist!$D$1,Chart!BC2556,0)&amp;"_"&amp;OFFSET(Pinlist!$G$1,Chart!BC2556,0),"")</f>
        <v/>
      </c>
      <c r="BH2556" s="1098"/>
    </row>
    <row r="2557" spans="53:60" x14ac:dyDescent="0.2">
      <c r="BA2557" s="518">
        <f t="shared" ca="1" si="130"/>
        <v>61</v>
      </c>
      <c r="BB2557" s="174">
        <f t="shared" ca="1" si="131"/>
        <v>2494</v>
      </c>
      <c r="BC2557" s="525" t="e">
        <f ca="1">MATCH(BD2557,OFFSET(Pinlist!$A$2,BC2556*(BA2557=BA2556),0,$BM$23,1),0)+BC2556*(BA2557=BA2556)</f>
        <v>#N/A</v>
      </c>
      <c r="BD2557" s="167">
        <f t="shared" ca="1" si="132"/>
        <v>0</v>
      </c>
      <c r="BE2557" s="191" t="e">
        <f ca="1">(OFFSET(Pinlist!$E$1,BC2557,0)-$BN$16)*$BN$19</f>
        <v>#N/A</v>
      </c>
      <c r="BF2557" s="192" t="e">
        <f ca="1">(OFFSET(Pinlist!$F$1,BC2557,0)-$BO$16)*$BO$19</f>
        <v>#N/A</v>
      </c>
      <c r="BG2557" s="1098" t="str">
        <f ca="1">IF(LEFT(BD2557,2)="RF",OFFSET(Pinlist!$D$1,Chart!BC2557,0)&amp;"_"&amp;OFFSET(Pinlist!$G$1,Chart!BC2557,0),"")</f>
        <v/>
      </c>
      <c r="BH2557" s="1098"/>
    </row>
    <row r="2558" spans="53:60" x14ac:dyDescent="0.2">
      <c r="BA2558" s="518">
        <f t="shared" ca="1" si="130"/>
        <v>61</v>
      </c>
      <c r="BB2558" s="174">
        <f t="shared" ca="1" si="131"/>
        <v>2495</v>
      </c>
      <c r="BC2558" s="525" t="e">
        <f ca="1">MATCH(BD2558,OFFSET(Pinlist!$A$2,BC2557*(BA2558=BA2557),0,$BM$23,1),0)+BC2557*(BA2558=BA2557)</f>
        <v>#N/A</v>
      </c>
      <c r="BD2558" s="167">
        <f t="shared" ca="1" si="132"/>
        <v>0</v>
      </c>
      <c r="BE2558" s="191" t="e">
        <f ca="1">(OFFSET(Pinlist!$E$1,BC2558,0)-$BN$16)*$BN$19</f>
        <v>#N/A</v>
      </c>
      <c r="BF2558" s="192" t="e">
        <f ca="1">(OFFSET(Pinlist!$F$1,BC2558,0)-$BO$16)*$BO$19</f>
        <v>#N/A</v>
      </c>
      <c r="BG2558" s="1098" t="str">
        <f ca="1">IF(LEFT(BD2558,2)="RF",OFFSET(Pinlist!$D$1,Chart!BC2558,0)&amp;"_"&amp;OFFSET(Pinlist!$G$1,Chart!BC2558,0),"")</f>
        <v/>
      </c>
      <c r="BH2558" s="1098"/>
    </row>
    <row r="2559" spans="53:60" x14ac:dyDescent="0.2">
      <c r="BA2559" s="518">
        <f t="shared" ca="1" si="130"/>
        <v>61</v>
      </c>
      <c r="BB2559" s="174">
        <f t="shared" ca="1" si="131"/>
        <v>2496</v>
      </c>
      <c r="BC2559" s="525" t="e">
        <f ca="1">MATCH(BD2559,OFFSET(Pinlist!$A$2,BC2558*(BA2559=BA2558),0,$BM$23,1),0)+BC2558*(BA2559=BA2558)</f>
        <v>#N/A</v>
      </c>
      <c r="BD2559" s="167">
        <f t="shared" ca="1" si="132"/>
        <v>0</v>
      </c>
      <c r="BE2559" s="191" t="e">
        <f ca="1">(OFFSET(Pinlist!$E$1,BC2559,0)-$BN$16)*$BN$19</f>
        <v>#N/A</v>
      </c>
      <c r="BF2559" s="192" t="e">
        <f ca="1">(OFFSET(Pinlist!$F$1,BC2559,0)-$BO$16)*$BO$19</f>
        <v>#N/A</v>
      </c>
      <c r="BG2559" s="1098" t="str">
        <f ca="1">IF(LEFT(BD2559,2)="RF",OFFSET(Pinlist!$D$1,Chart!BC2559,0)&amp;"_"&amp;OFFSET(Pinlist!$G$1,Chart!BC2559,0),"")</f>
        <v/>
      </c>
      <c r="BH2559" s="1098"/>
    </row>
    <row r="2560" spans="53:60" x14ac:dyDescent="0.2">
      <c r="BA2560" s="518">
        <f t="shared" ca="1" si="130"/>
        <v>61</v>
      </c>
      <c r="BB2560" s="174">
        <f t="shared" ca="1" si="131"/>
        <v>2497</v>
      </c>
      <c r="BC2560" s="525" t="e">
        <f ca="1">MATCH(BD2560,OFFSET(Pinlist!$A$2,BC2559*(BA2560=BA2559),0,$BM$23,1),0)+BC2559*(BA2560=BA2559)</f>
        <v>#N/A</v>
      </c>
      <c r="BD2560" s="167">
        <f t="shared" ca="1" si="132"/>
        <v>0</v>
      </c>
      <c r="BE2560" s="191" t="e">
        <f ca="1">(OFFSET(Pinlist!$E$1,BC2560,0)-$BN$16)*$BN$19</f>
        <v>#N/A</v>
      </c>
      <c r="BF2560" s="192" t="e">
        <f ca="1">(OFFSET(Pinlist!$F$1,BC2560,0)-$BO$16)*$BO$19</f>
        <v>#N/A</v>
      </c>
      <c r="BG2560" s="1098" t="str">
        <f ca="1">IF(LEFT(BD2560,2)="RF",OFFSET(Pinlist!$D$1,Chart!BC2560,0)&amp;"_"&amp;OFFSET(Pinlist!$G$1,Chart!BC2560,0),"")</f>
        <v/>
      </c>
      <c r="BH2560" s="1098"/>
    </row>
    <row r="2561" spans="53:60" x14ac:dyDescent="0.2">
      <c r="BA2561" s="518">
        <f t="shared" ca="1" si="130"/>
        <v>61</v>
      </c>
      <c r="BB2561" s="174">
        <f t="shared" ca="1" si="131"/>
        <v>2498</v>
      </c>
      <c r="BC2561" s="525" t="e">
        <f ca="1">MATCH(BD2561,OFFSET(Pinlist!$A$2,BC2560*(BA2561=BA2560),0,$BM$23,1),0)+BC2560*(BA2561=BA2560)</f>
        <v>#N/A</v>
      </c>
      <c r="BD2561" s="167">
        <f t="shared" ca="1" si="132"/>
        <v>0</v>
      </c>
      <c r="BE2561" s="191" t="e">
        <f ca="1">(OFFSET(Pinlist!$E$1,BC2561,0)-$BN$16)*$BN$19</f>
        <v>#N/A</v>
      </c>
      <c r="BF2561" s="192" t="e">
        <f ca="1">(OFFSET(Pinlist!$F$1,BC2561,0)-$BO$16)*$BO$19</f>
        <v>#N/A</v>
      </c>
      <c r="BG2561" s="1098" t="str">
        <f ca="1">IF(LEFT(BD2561,2)="RF",OFFSET(Pinlist!$D$1,Chart!BC2561,0)&amp;"_"&amp;OFFSET(Pinlist!$G$1,Chart!BC2561,0),"")</f>
        <v/>
      </c>
      <c r="BH2561" s="1098"/>
    </row>
    <row r="2562" spans="53:60" x14ac:dyDescent="0.2">
      <c r="BA2562" s="518">
        <f t="shared" ca="1" si="130"/>
        <v>61</v>
      </c>
      <c r="BB2562" s="174">
        <f t="shared" ca="1" si="131"/>
        <v>2499</v>
      </c>
      <c r="BC2562" s="525" t="e">
        <f ca="1">MATCH(BD2562,OFFSET(Pinlist!$A$2,BC2561*(BA2562=BA2561),0,$BM$23,1),0)+BC2561*(BA2562=BA2561)</f>
        <v>#N/A</v>
      </c>
      <c r="BD2562" s="167">
        <f t="shared" ca="1" si="132"/>
        <v>0</v>
      </c>
      <c r="BE2562" s="191" t="e">
        <f ca="1">(OFFSET(Pinlist!$E$1,BC2562,0)-$BN$16)*$BN$19</f>
        <v>#N/A</v>
      </c>
      <c r="BF2562" s="192" t="e">
        <f ca="1">(OFFSET(Pinlist!$F$1,BC2562,0)-$BO$16)*$BO$19</f>
        <v>#N/A</v>
      </c>
      <c r="BG2562" s="1098" t="str">
        <f ca="1">IF(LEFT(BD2562,2)="RF",OFFSET(Pinlist!$D$1,Chart!BC2562,0)&amp;"_"&amp;OFFSET(Pinlist!$G$1,Chart!BC2562,0),"")</f>
        <v/>
      </c>
      <c r="BH2562" s="1098"/>
    </row>
    <row r="2563" spans="53:60" x14ac:dyDescent="0.2">
      <c r="BA2563" s="518">
        <f t="shared" ca="1" si="130"/>
        <v>61</v>
      </c>
      <c r="BB2563" s="174">
        <f t="shared" ca="1" si="131"/>
        <v>2500</v>
      </c>
      <c r="BC2563" s="525" t="e">
        <f ca="1">MATCH(BD2563,OFFSET(Pinlist!$A$2,BC2562*(BA2563=BA2562),0,$BM$23,1),0)+BC2562*(BA2563=BA2562)</f>
        <v>#N/A</v>
      </c>
      <c r="BD2563" s="167">
        <f t="shared" ca="1" si="132"/>
        <v>0</v>
      </c>
      <c r="BE2563" s="191" t="e">
        <f ca="1">(OFFSET(Pinlist!$E$1,BC2563,0)-$BN$16)*$BN$19</f>
        <v>#N/A</v>
      </c>
      <c r="BF2563" s="192" t="e">
        <f ca="1">(OFFSET(Pinlist!$F$1,BC2563,0)-$BO$16)*$BO$19</f>
        <v>#N/A</v>
      </c>
      <c r="BG2563" s="1098" t="str">
        <f ca="1">IF(LEFT(BD2563,2)="RF",OFFSET(Pinlist!$D$1,Chart!BC2563,0)&amp;"_"&amp;OFFSET(Pinlist!$G$1,Chart!BC2563,0),"")</f>
        <v/>
      </c>
      <c r="BH2563" s="1098"/>
    </row>
    <row r="2564" spans="53:60" x14ac:dyDescent="0.2">
      <c r="BA2564" s="518">
        <f t="shared" ref="BA2564:BA2627" ca="1" si="133">BA2563+(BB2563=OFFSET($BZ$3,BA2563,0))</f>
        <v>61</v>
      </c>
      <c r="BB2564" s="174">
        <f t="shared" ref="BB2564:BB2627" ca="1" si="134">IF(BA2564=BA2563,BB2563+1,1)</f>
        <v>2501</v>
      </c>
      <c r="BC2564" s="525" t="e">
        <f ca="1">MATCH(BD2564,OFFSET(Pinlist!$A$2,BC2563*(BA2564=BA2563),0,$BM$23,1),0)+BC2563*(BA2564=BA2563)</f>
        <v>#N/A</v>
      </c>
      <c r="BD2564" s="167">
        <f t="shared" ref="BD2564:BD2627" ca="1" si="135">OFFSET($BY$3,BA2564,0)</f>
        <v>0</v>
      </c>
      <c r="BE2564" s="191" t="e">
        <f ca="1">(OFFSET(Pinlist!$E$1,BC2564,0)-$BN$16)*$BN$19</f>
        <v>#N/A</v>
      </c>
      <c r="BF2564" s="192" t="e">
        <f ca="1">(OFFSET(Pinlist!$F$1,BC2564,0)-$BO$16)*$BO$19</f>
        <v>#N/A</v>
      </c>
      <c r="BG2564" s="1098" t="str">
        <f ca="1">IF(LEFT(BD2564,2)="RF",OFFSET(Pinlist!$D$1,Chart!BC2564,0)&amp;"_"&amp;OFFSET(Pinlist!$G$1,Chart!BC2564,0),"")</f>
        <v/>
      </c>
      <c r="BH2564" s="1098"/>
    </row>
    <row r="2565" spans="53:60" x14ac:dyDescent="0.2">
      <c r="BA2565" s="518">
        <f t="shared" ca="1" si="133"/>
        <v>61</v>
      </c>
      <c r="BB2565" s="174">
        <f t="shared" ca="1" si="134"/>
        <v>2502</v>
      </c>
      <c r="BC2565" s="525" t="e">
        <f ca="1">MATCH(BD2565,OFFSET(Pinlist!$A$2,BC2564*(BA2565=BA2564),0,$BM$23,1),0)+BC2564*(BA2565=BA2564)</f>
        <v>#N/A</v>
      </c>
      <c r="BD2565" s="167">
        <f t="shared" ca="1" si="135"/>
        <v>0</v>
      </c>
      <c r="BE2565" s="191" t="e">
        <f ca="1">(OFFSET(Pinlist!$E$1,BC2565,0)-$BN$16)*$BN$19</f>
        <v>#N/A</v>
      </c>
      <c r="BF2565" s="192" t="e">
        <f ca="1">(OFFSET(Pinlist!$F$1,BC2565,0)-$BO$16)*$BO$19</f>
        <v>#N/A</v>
      </c>
      <c r="BG2565" s="1098" t="str">
        <f ca="1">IF(LEFT(BD2565,2)="RF",OFFSET(Pinlist!$D$1,Chart!BC2565,0)&amp;"_"&amp;OFFSET(Pinlist!$G$1,Chart!BC2565,0),"")</f>
        <v/>
      </c>
      <c r="BH2565" s="1098"/>
    </row>
    <row r="2566" spans="53:60" x14ac:dyDescent="0.2">
      <c r="BA2566" s="518">
        <f t="shared" ca="1" si="133"/>
        <v>61</v>
      </c>
      <c r="BB2566" s="174">
        <f t="shared" ca="1" si="134"/>
        <v>2503</v>
      </c>
      <c r="BC2566" s="525" t="e">
        <f ca="1">MATCH(BD2566,OFFSET(Pinlist!$A$2,BC2565*(BA2566=BA2565),0,$BM$23,1),0)+BC2565*(BA2566=BA2565)</f>
        <v>#N/A</v>
      </c>
      <c r="BD2566" s="167">
        <f t="shared" ca="1" si="135"/>
        <v>0</v>
      </c>
      <c r="BE2566" s="191" t="e">
        <f ca="1">(OFFSET(Pinlist!$E$1,BC2566,0)-$BN$16)*$BN$19</f>
        <v>#N/A</v>
      </c>
      <c r="BF2566" s="192" t="e">
        <f ca="1">(OFFSET(Pinlist!$F$1,BC2566,0)-$BO$16)*$BO$19</f>
        <v>#N/A</v>
      </c>
      <c r="BG2566" s="1098" t="str">
        <f ca="1">IF(LEFT(BD2566,2)="RF",OFFSET(Pinlist!$D$1,Chart!BC2566,0)&amp;"_"&amp;OFFSET(Pinlist!$G$1,Chart!BC2566,0),"")</f>
        <v/>
      </c>
      <c r="BH2566" s="1098"/>
    </row>
    <row r="2567" spans="53:60" x14ac:dyDescent="0.2">
      <c r="BA2567" s="518">
        <f t="shared" ca="1" si="133"/>
        <v>61</v>
      </c>
      <c r="BB2567" s="174">
        <f t="shared" ca="1" si="134"/>
        <v>2504</v>
      </c>
      <c r="BC2567" s="525" t="e">
        <f ca="1">MATCH(BD2567,OFFSET(Pinlist!$A$2,BC2566*(BA2567=BA2566),0,$BM$23,1),0)+BC2566*(BA2567=BA2566)</f>
        <v>#N/A</v>
      </c>
      <c r="BD2567" s="167">
        <f t="shared" ca="1" si="135"/>
        <v>0</v>
      </c>
      <c r="BE2567" s="191" t="e">
        <f ca="1">(OFFSET(Pinlist!$E$1,BC2567,0)-$BN$16)*$BN$19</f>
        <v>#N/A</v>
      </c>
      <c r="BF2567" s="192" t="e">
        <f ca="1">(OFFSET(Pinlist!$F$1,BC2567,0)-$BO$16)*$BO$19</f>
        <v>#N/A</v>
      </c>
      <c r="BG2567" s="1098" t="str">
        <f ca="1">IF(LEFT(BD2567,2)="RF",OFFSET(Pinlist!$D$1,Chart!BC2567,0)&amp;"_"&amp;OFFSET(Pinlist!$G$1,Chart!BC2567,0),"")</f>
        <v/>
      </c>
      <c r="BH2567" s="1098"/>
    </row>
    <row r="2568" spans="53:60" x14ac:dyDescent="0.2">
      <c r="BA2568" s="518">
        <f t="shared" ca="1" si="133"/>
        <v>61</v>
      </c>
      <c r="BB2568" s="174">
        <f t="shared" ca="1" si="134"/>
        <v>2505</v>
      </c>
      <c r="BC2568" s="525" t="e">
        <f ca="1">MATCH(BD2568,OFFSET(Pinlist!$A$2,BC2567*(BA2568=BA2567),0,$BM$23,1),0)+BC2567*(BA2568=BA2567)</f>
        <v>#N/A</v>
      </c>
      <c r="BD2568" s="167">
        <f t="shared" ca="1" si="135"/>
        <v>0</v>
      </c>
      <c r="BE2568" s="191" t="e">
        <f ca="1">(OFFSET(Pinlist!$E$1,BC2568,0)-$BN$16)*$BN$19</f>
        <v>#N/A</v>
      </c>
      <c r="BF2568" s="192" t="e">
        <f ca="1">(OFFSET(Pinlist!$F$1,BC2568,0)-$BO$16)*$BO$19</f>
        <v>#N/A</v>
      </c>
      <c r="BG2568" s="1098" t="str">
        <f ca="1">IF(LEFT(BD2568,2)="RF",OFFSET(Pinlist!$D$1,Chart!BC2568,0)&amp;"_"&amp;OFFSET(Pinlist!$G$1,Chart!BC2568,0),"")</f>
        <v/>
      </c>
      <c r="BH2568" s="1098"/>
    </row>
    <row r="2569" spans="53:60" x14ac:dyDescent="0.2">
      <c r="BA2569" s="518">
        <f t="shared" ca="1" si="133"/>
        <v>61</v>
      </c>
      <c r="BB2569" s="174">
        <f t="shared" ca="1" si="134"/>
        <v>2506</v>
      </c>
      <c r="BC2569" s="525" t="e">
        <f ca="1">MATCH(BD2569,OFFSET(Pinlist!$A$2,BC2568*(BA2569=BA2568),0,$BM$23,1),0)+BC2568*(BA2569=BA2568)</f>
        <v>#N/A</v>
      </c>
      <c r="BD2569" s="167">
        <f t="shared" ca="1" si="135"/>
        <v>0</v>
      </c>
      <c r="BE2569" s="191" t="e">
        <f ca="1">(OFFSET(Pinlist!$E$1,BC2569,0)-$BN$16)*$BN$19</f>
        <v>#N/A</v>
      </c>
      <c r="BF2569" s="192" t="e">
        <f ca="1">(OFFSET(Pinlist!$F$1,BC2569,0)-$BO$16)*$BO$19</f>
        <v>#N/A</v>
      </c>
      <c r="BG2569" s="1098" t="str">
        <f ca="1">IF(LEFT(BD2569,2)="RF",OFFSET(Pinlist!$D$1,Chart!BC2569,0)&amp;"_"&amp;OFFSET(Pinlist!$G$1,Chart!BC2569,0),"")</f>
        <v/>
      </c>
      <c r="BH2569" s="1098"/>
    </row>
    <row r="2570" spans="53:60" x14ac:dyDescent="0.2">
      <c r="BA2570" s="518">
        <f t="shared" ca="1" si="133"/>
        <v>61</v>
      </c>
      <c r="BB2570" s="174">
        <f t="shared" ca="1" si="134"/>
        <v>2507</v>
      </c>
      <c r="BC2570" s="525" t="e">
        <f ca="1">MATCH(BD2570,OFFSET(Pinlist!$A$2,BC2569*(BA2570=BA2569),0,$BM$23,1),0)+BC2569*(BA2570=BA2569)</f>
        <v>#N/A</v>
      </c>
      <c r="BD2570" s="167">
        <f t="shared" ca="1" si="135"/>
        <v>0</v>
      </c>
      <c r="BE2570" s="191" t="e">
        <f ca="1">(OFFSET(Pinlist!$E$1,BC2570,0)-$BN$16)*$BN$19</f>
        <v>#N/A</v>
      </c>
      <c r="BF2570" s="192" t="e">
        <f ca="1">(OFFSET(Pinlist!$F$1,BC2570,0)-$BO$16)*$BO$19</f>
        <v>#N/A</v>
      </c>
      <c r="BG2570" s="1098" t="str">
        <f ca="1">IF(LEFT(BD2570,2)="RF",OFFSET(Pinlist!$D$1,Chart!BC2570,0)&amp;"_"&amp;OFFSET(Pinlist!$G$1,Chart!BC2570,0),"")</f>
        <v/>
      </c>
      <c r="BH2570" s="1098"/>
    </row>
    <row r="2571" spans="53:60" x14ac:dyDescent="0.2">
      <c r="BA2571" s="518">
        <f t="shared" ca="1" si="133"/>
        <v>61</v>
      </c>
      <c r="BB2571" s="174">
        <f t="shared" ca="1" si="134"/>
        <v>2508</v>
      </c>
      <c r="BC2571" s="525" t="e">
        <f ca="1">MATCH(BD2571,OFFSET(Pinlist!$A$2,BC2570*(BA2571=BA2570),0,$BM$23,1),0)+BC2570*(BA2571=BA2570)</f>
        <v>#N/A</v>
      </c>
      <c r="BD2571" s="167">
        <f t="shared" ca="1" si="135"/>
        <v>0</v>
      </c>
      <c r="BE2571" s="191" t="e">
        <f ca="1">(OFFSET(Pinlist!$E$1,BC2571,0)-$BN$16)*$BN$19</f>
        <v>#N/A</v>
      </c>
      <c r="BF2571" s="192" t="e">
        <f ca="1">(OFFSET(Pinlist!$F$1,BC2571,0)-$BO$16)*$BO$19</f>
        <v>#N/A</v>
      </c>
      <c r="BG2571" s="1098" t="str">
        <f ca="1">IF(LEFT(BD2571,2)="RF",OFFSET(Pinlist!$D$1,Chart!BC2571,0)&amp;"_"&amp;OFFSET(Pinlist!$G$1,Chart!BC2571,0),"")</f>
        <v/>
      </c>
      <c r="BH2571" s="1098"/>
    </row>
    <row r="2572" spans="53:60" x14ac:dyDescent="0.2">
      <c r="BA2572" s="518">
        <f t="shared" ca="1" si="133"/>
        <v>61</v>
      </c>
      <c r="BB2572" s="174">
        <f t="shared" ca="1" si="134"/>
        <v>2509</v>
      </c>
      <c r="BC2572" s="525" t="e">
        <f ca="1">MATCH(BD2572,OFFSET(Pinlist!$A$2,BC2571*(BA2572=BA2571),0,$BM$23,1),0)+BC2571*(BA2572=BA2571)</f>
        <v>#N/A</v>
      </c>
      <c r="BD2572" s="167">
        <f t="shared" ca="1" si="135"/>
        <v>0</v>
      </c>
      <c r="BE2572" s="191" t="e">
        <f ca="1">(OFFSET(Pinlist!$E$1,BC2572,0)-$BN$16)*$BN$19</f>
        <v>#N/A</v>
      </c>
      <c r="BF2572" s="192" t="e">
        <f ca="1">(OFFSET(Pinlist!$F$1,BC2572,0)-$BO$16)*$BO$19</f>
        <v>#N/A</v>
      </c>
      <c r="BG2572" s="1098" t="str">
        <f ca="1">IF(LEFT(BD2572,2)="RF",OFFSET(Pinlist!$D$1,Chart!BC2572,0)&amp;"_"&amp;OFFSET(Pinlist!$G$1,Chart!BC2572,0),"")</f>
        <v/>
      </c>
      <c r="BH2572" s="1098"/>
    </row>
    <row r="2573" spans="53:60" x14ac:dyDescent="0.2">
      <c r="BA2573" s="518">
        <f t="shared" ca="1" si="133"/>
        <v>61</v>
      </c>
      <c r="BB2573" s="174">
        <f t="shared" ca="1" si="134"/>
        <v>2510</v>
      </c>
      <c r="BC2573" s="525" t="e">
        <f ca="1">MATCH(BD2573,OFFSET(Pinlist!$A$2,BC2572*(BA2573=BA2572),0,$BM$23,1),0)+BC2572*(BA2573=BA2572)</f>
        <v>#N/A</v>
      </c>
      <c r="BD2573" s="167">
        <f t="shared" ca="1" si="135"/>
        <v>0</v>
      </c>
      <c r="BE2573" s="191" t="e">
        <f ca="1">(OFFSET(Pinlist!$E$1,BC2573,0)-$BN$16)*$BN$19</f>
        <v>#N/A</v>
      </c>
      <c r="BF2573" s="192" t="e">
        <f ca="1">(OFFSET(Pinlist!$F$1,BC2573,0)-$BO$16)*$BO$19</f>
        <v>#N/A</v>
      </c>
      <c r="BG2573" s="1098" t="str">
        <f ca="1">IF(LEFT(BD2573,2)="RF",OFFSET(Pinlist!$D$1,Chart!BC2573,0)&amp;"_"&amp;OFFSET(Pinlist!$G$1,Chart!BC2573,0),"")</f>
        <v/>
      </c>
      <c r="BH2573" s="1098"/>
    </row>
    <row r="2574" spans="53:60" x14ac:dyDescent="0.2">
      <c r="BA2574" s="518">
        <f t="shared" ca="1" si="133"/>
        <v>61</v>
      </c>
      <c r="BB2574" s="174">
        <f t="shared" ca="1" si="134"/>
        <v>2511</v>
      </c>
      <c r="BC2574" s="525" t="e">
        <f ca="1">MATCH(BD2574,OFFSET(Pinlist!$A$2,BC2573*(BA2574=BA2573),0,$BM$23,1),0)+BC2573*(BA2574=BA2573)</f>
        <v>#N/A</v>
      </c>
      <c r="BD2574" s="167">
        <f t="shared" ca="1" si="135"/>
        <v>0</v>
      </c>
      <c r="BE2574" s="191" t="e">
        <f ca="1">(OFFSET(Pinlist!$E$1,BC2574,0)-$BN$16)*$BN$19</f>
        <v>#N/A</v>
      </c>
      <c r="BF2574" s="192" t="e">
        <f ca="1">(OFFSET(Pinlist!$F$1,BC2574,0)-$BO$16)*$BO$19</f>
        <v>#N/A</v>
      </c>
      <c r="BG2574" s="1098" t="str">
        <f ca="1">IF(LEFT(BD2574,2)="RF",OFFSET(Pinlist!$D$1,Chart!BC2574,0)&amp;"_"&amp;OFFSET(Pinlist!$G$1,Chart!BC2574,0),"")</f>
        <v/>
      </c>
      <c r="BH2574" s="1098"/>
    </row>
    <row r="2575" spans="53:60" x14ac:dyDescent="0.2">
      <c r="BA2575" s="518">
        <f t="shared" ca="1" si="133"/>
        <v>61</v>
      </c>
      <c r="BB2575" s="174">
        <f t="shared" ca="1" si="134"/>
        <v>2512</v>
      </c>
      <c r="BC2575" s="525" t="e">
        <f ca="1">MATCH(BD2575,OFFSET(Pinlist!$A$2,BC2574*(BA2575=BA2574),0,$BM$23,1),0)+BC2574*(BA2575=BA2574)</f>
        <v>#N/A</v>
      </c>
      <c r="BD2575" s="167">
        <f t="shared" ca="1" si="135"/>
        <v>0</v>
      </c>
      <c r="BE2575" s="191" t="e">
        <f ca="1">(OFFSET(Pinlist!$E$1,BC2575,0)-$BN$16)*$BN$19</f>
        <v>#N/A</v>
      </c>
      <c r="BF2575" s="192" t="e">
        <f ca="1">(OFFSET(Pinlist!$F$1,BC2575,0)-$BO$16)*$BO$19</f>
        <v>#N/A</v>
      </c>
      <c r="BG2575" s="1098" t="str">
        <f ca="1">IF(LEFT(BD2575,2)="RF",OFFSET(Pinlist!$D$1,Chart!BC2575,0)&amp;"_"&amp;OFFSET(Pinlist!$G$1,Chart!BC2575,0),"")</f>
        <v/>
      </c>
      <c r="BH2575" s="1098"/>
    </row>
    <row r="2576" spans="53:60" x14ac:dyDescent="0.2">
      <c r="BA2576" s="518">
        <f t="shared" ca="1" si="133"/>
        <v>61</v>
      </c>
      <c r="BB2576" s="174">
        <f t="shared" ca="1" si="134"/>
        <v>2513</v>
      </c>
      <c r="BC2576" s="525" t="e">
        <f ca="1">MATCH(BD2576,OFFSET(Pinlist!$A$2,BC2575*(BA2576=BA2575),0,$BM$23,1),0)+BC2575*(BA2576=BA2575)</f>
        <v>#N/A</v>
      </c>
      <c r="BD2576" s="167">
        <f t="shared" ca="1" si="135"/>
        <v>0</v>
      </c>
      <c r="BE2576" s="191" t="e">
        <f ca="1">(OFFSET(Pinlist!$E$1,BC2576,0)-$BN$16)*$BN$19</f>
        <v>#N/A</v>
      </c>
      <c r="BF2576" s="192" t="e">
        <f ca="1">(OFFSET(Pinlist!$F$1,BC2576,0)-$BO$16)*$BO$19</f>
        <v>#N/A</v>
      </c>
      <c r="BG2576" s="1098" t="str">
        <f ca="1">IF(LEFT(BD2576,2)="RF",OFFSET(Pinlist!$D$1,Chart!BC2576,0)&amp;"_"&amp;OFFSET(Pinlist!$G$1,Chart!BC2576,0),"")</f>
        <v/>
      </c>
      <c r="BH2576" s="1098"/>
    </row>
    <row r="2577" spans="53:60" x14ac:dyDescent="0.2">
      <c r="BA2577" s="518">
        <f t="shared" ca="1" si="133"/>
        <v>61</v>
      </c>
      <c r="BB2577" s="174">
        <f t="shared" ca="1" si="134"/>
        <v>2514</v>
      </c>
      <c r="BC2577" s="525" t="e">
        <f ca="1">MATCH(BD2577,OFFSET(Pinlist!$A$2,BC2576*(BA2577=BA2576),0,$BM$23,1),0)+BC2576*(BA2577=BA2576)</f>
        <v>#N/A</v>
      </c>
      <c r="BD2577" s="167">
        <f t="shared" ca="1" si="135"/>
        <v>0</v>
      </c>
      <c r="BE2577" s="191" t="e">
        <f ca="1">(OFFSET(Pinlist!$E$1,BC2577,0)-$BN$16)*$BN$19</f>
        <v>#N/A</v>
      </c>
      <c r="BF2577" s="192" t="e">
        <f ca="1">(OFFSET(Pinlist!$F$1,BC2577,0)-$BO$16)*$BO$19</f>
        <v>#N/A</v>
      </c>
      <c r="BG2577" s="1098" t="str">
        <f ca="1">IF(LEFT(BD2577,2)="RF",OFFSET(Pinlist!$D$1,Chart!BC2577,0)&amp;"_"&amp;OFFSET(Pinlist!$G$1,Chart!BC2577,0),"")</f>
        <v/>
      </c>
      <c r="BH2577" s="1098"/>
    </row>
    <row r="2578" spans="53:60" x14ac:dyDescent="0.2">
      <c r="BA2578" s="518">
        <f t="shared" ca="1" si="133"/>
        <v>61</v>
      </c>
      <c r="BB2578" s="174">
        <f t="shared" ca="1" si="134"/>
        <v>2515</v>
      </c>
      <c r="BC2578" s="525" t="e">
        <f ca="1">MATCH(BD2578,OFFSET(Pinlist!$A$2,BC2577*(BA2578=BA2577),0,$BM$23,1),0)+BC2577*(BA2578=BA2577)</f>
        <v>#N/A</v>
      </c>
      <c r="BD2578" s="167">
        <f t="shared" ca="1" si="135"/>
        <v>0</v>
      </c>
      <c r="BE2578" s="191" t="e">
        <f ca="1">(OFFSET(Pinlist!$E$1,BC2578,0)-$BN$16)*$BN$19</f>
        <v>#N/A</v>
      </c>
      <c r="BF2578" s="192" t="e">
        <f ca="1">(OFFSET(Pinlist!$F$1,BC2578,0)-$BO$16)*$BO$19</f>
        <v>#N/A</v>
      </c>
      <c r="BG2578" s="1098" t="str">
        <f ca="1">IF(LEFT(BD2578,2)="RF",OFFSET(Pinlist!$D$1,Chart!BC2578,0)&amp;"_"&amp;OFFSET(Pinlist!$G$1,Chart!BC2578,0),"")</f>
        <v/>
      </c>
      <c r="BH2578" s="1098"/>
    </row>
    <row r="2579" spans="53:60" x14ac:dyDescent="0.2">
      <c r="BA2579" s="518">
        <f t="shared" ca="1" si="133"/>
        <v>61</v>
      </c>
      <c r="BB2579" s="174">
        <f t="shared" ca="1" si="134"/>
        <v>2516</v>
      </c>
      <c r="BC2579" s="525" t="e">
        <f ca="1">MATCH(BD2579,OFFSET(Pinlist!$A$2,BC2578*(BA2579=BA2578),0,$BM$23,1),0)+BC2578*(BA2579=BA2578)</f>
        <v>#N/A</v>
      </c>
      <c r="BD2579" s="167">
        <f t="shared" ca="1" si="135"/>
        <v>0</v>
      </c>
      <c r="BE2579" s="191" t="e">
        <f ca="1">(OFFSET(Pinlist!$E$1,BC2579,0)-$BN$16)*$BN$19</f>
        <v>#N/A</v>
      </c>
      <c r="BF2579" s="192" t="e">
        <f ca="1">(OFFSET(Pinlist!$F$1,BC2579,0)-$BO$16)*$BO$19</f>
        <v>#N/A</v>
      </c>
      <c r="BG2579" s="1098" t="str">
        <f ca="1">IF(LEFT(BD2579,2)="RF",OFFSET(Pinlist!$D$1,Chart!BC2579,0)&amp;"_"&amp;OFFSET(Pinlist!$G$1,Chart!BC2579,0),"")</f>
        <v/>
      </c>
      <c r="BH2579" s="1098"/>
    </row>
    <row r="2580" spans="53:60" x14ac:dyDescent="0.2">
      <c r="BA2580" s="518">
        <f t="shared" ca="1" si="133"/>
        <v>61</v>
      </c>
      <c r="BB2580" s="174">
        <f t="shared" ca="1" si="134"/>
        <v>2517</v>
      </c>
      <c r="BC2580" s="525" t="e">
        <f ca="1">MATCH(BD2580,OFFSET(Pinlist!$A$2,BC2579*(BA2580=BA2579),0,$BM$23,1),0)+BC2579*(BA2580=BA2579)</f>
        <v>#N/A</v>
      </c>
      <c r="BD2580" s="167">
        <f t="shared" ca="1" si="135"/>
        <v>0</v>
      </c>
      <c r="BE2580" s="191" t="e">
        <f ca="1">(OFFSET(Pinlist!$E$1,BC2580,0)-$BN$16)*$BN$19</f>
        <v>#N/A</v>
      </c>
      <c r="BF2580" s="192" t="e">
        <f ca="1">(OFFSET(Pinlist!$F$1,BC2580,0)-$BO$16)*$BO$19</f>
        <v>#N/A</v>
      </c>
      <c r="BG2580" s="1098" t="str">
        <f ca="1">IF(LEFT(BD2580,2)="RF",OFFSET(Pinlist!$D$1,Chart!BC2580,0)&amp;"_"&amp;OFFSET(Pinlist!$G$1,Chart!BC2580,0),"")</f>
        <v/>
      </c>
      <c r="BH2580" s="1098"/>
    </row>
    <row r="2581" spans="53:60" x14ac:dyDescent="0.2">
      <c r="BA2581" s="518">
        <f t="shared" ca="1" si="133"/>
        <v>61</v>
      </c>
      <c r="BB2581" s="174">
        <f t="shared" ca="1" si="134"/>
        <v>2518</v>
      </c>
      <c r="BC2581" s="525" t="e">
        <f ca="1">MATCH(BD2581,OFFSET(Pinlist!$A$2,BC2580*(BA2581=BA2580),0,$BM$23,1),0)+BC2580*(BA2581=BA2580)</f>
        <v>#N/A</v>
      </c>
      <c r="BD2581" s="167">
        <f t="shared" ca="1" si="135"/>
        <v>0</v>
      </c>
      <c r="BE2581" s="191" t="e">
        <f ca="1">(OFFSET(Pinlist!$E$1,BC2581,0)-$BN$16)*$BN$19</f>
        <v>#N/A</v>
      </c>
      <c r="BF2581" s="192" t="e">
        <f ca="1">(OFFSET(Pinlist!$F$1,BC2581,0)-$BO$16)*$BO$19</f>
        <v>#N/A</v>
      </c>
      <c r="BG2581" s="1098" t="str">
        <f ca="1">IF(LEFT(BD2581,2)="RF",OFFSET(Pinlist!$D$1,Chart!BC2581,0)&amp;"_"&amp;OFFSET(Pinlist!$G$1,Chart!BC2581,0),"")</f>
        <v/>
      </c>
      <c r="BH2581" s="1098"/>
    </row>
    <row r="2582" spans="53:60" x14ac:dyDescent="0.2">
      <c r="BA2582" s="518">
        <f t="shared" ca="1" si="133"/>
        <v>61</v>
      </c>
      <c r="BB2582" s="174">
        <f t="shared" ca="1" si="134"/>
        <v>2519</v>
      </c>
      <c r="BC2582" s="525" t="e">
        <f ca="1">MATCH(BD2582,OFFSET(Pinlist!$A$2,BC2581*(BA2582=BA2581),0,$BM$23,1),0)+BC2581*(BA2582=BA2581)</f>
        <v>#N/A</v>
      </c>
      <c r="BD2582" s="167">
        <f t="shared" ca="1" si="135"/>
        <v>0</v>
      </c>
      <c r="BE2582" s="191" t="e">
        <f ca="1">(OFFSET(Pinlist!$E$1,BC2582,0)-$BN$16)*$BN$19</f>
        <v>#N/A</v>
      </c>
      <c r="BF2582" s="192" t="e">
        <f ca="1">(OFFSET(Pinlist!$F$1,BC2582,0)-$BO$16)*$BO$19</f>
        <v>#N/A</v>
      </c>
      <c r="BG2582" s="1098" t="str">
        <f ca="1">IF(LEFT(BD2582,2)="RF",OFFSET(Pinlist!$D$1,Chart!BC2582,0)&amp;"_"&amp;OFFSET(Pinlist!$G$1,Chart!BC2582,0),"")</f>
        <v/>
      </c>
      <c r="BH2582" s="1098"/>
    </row>
    <row r="2583" spans="53:60" x14ac:dyDescent="0.2">
      <c r="BA2583" s="518">
        <f t="shared" ca="1" si="133"/>
        <v>61</v>
      </c>
      <c r="BB2583" s="174">
        <f t="shared" ca="1" si="134"/>
        <v>2520</v>
      </c>
      <c r="BC2583" s="525" t="e">
        <f ca="1">MATCH(BD2583,OFFSET(Pinlist!$A$2,BC2582*(BA2583=BA2582),0,$BM$23,1),0)+BC2582*(BA2583=BA2582)</f>
        <v>#N/A</v>
      </c>
      <c r="BD2583" s="167">
        <f t="shared" ca="1" si="135"/>
        <v>0</v>
      </c>
      <c r="BE2583" s="191" t="e">
        <f ca="1">(OFFSET(Pinlist!$E$1,BC2583,0)-$BN$16)*$BN$19</f>
        <v>#N/A</v>
      </c>
      <c r="BF2583" s="192" t="e">
        <f ca="1">(OFFSET(Pinlist!$F$1,BC2583,0)-$BO$16)*$BO$19</f>
        <v>#N/A</v>
      </c>
      <c r="BG2583" s="1098" t="str">
        <f ca="1">IF(LEFT(BD2583,2)="RF",OFFSET(Pinlist!$D$1,Chart!BC2583,0)&amp;"_"&amp;OFFSET(Pinlist!$G$1,Chart!BC2583,0),"")</f>
        <v/>
      </c>
      <c r="BH2583" s="1098"/>
    </row>
    <row r="2584" spans="53:60" x14ac:dyDescent="0.2">
      <c r="BA2584" s="518">
        <f t="shared" ca="1" si="133"/>
        <v>61</v>
      </c>
      <c r="BB2584" s="174">
        <f t="shared" ca="1" si="134"/>
        <v>2521</v>
      </c>
      <c r="BC2584" s="525" t="e">
        <f ca="1">MATCH(BD2584,OFFSET(Pinlist!$A$2,BC2583*(BA2584=BA2583),0,$BM$23,1),0)+BC2583*(BA2584=BA2583)</f>
        <v>#N/A</v>
      </c>
      <c r="BD2584" s="167">
        <f t="shared" ca="1" si="135"/>
        <v>0</v>
      </c>
      <c r="BE2584" s="191" t="e">
        <f ca="1">(OFFSET(Pinlist!$E$1,BC2584,0)-$BN$16)*$BN$19</f>
        <v>#N/A</v>
      </c>
      <c r="BF2584" s="192" t="e">
        <f ca="1">(OFFSET(Pinlist!$F$1,BC2584,0)-$BO$16)*$BO$19</f>
        <v>#N/A</v>
      </c>
      <c r="BG2584" s="1098" t="str">
        <f ca="1">IF(LEFT(BD2584,2)="RF",OFFSET(Pinlist!$D$1,Chart!BC2584,0)&amp;"_"&amp;OFFSET(Pinlist!$G$1,Chart!BC2584,0),"")</f>
        <v/>
      </c>
      <c r="BH2584" s="1098"/>
    </row>
    <row r="2585" spans="53:60" x14ac:dyDescent="0.2">
      <c r="BA2585" s="518">
        <f t="shared" ca="1" si="133"/>
        <v>61</v>
      </c>
      <c r="BB2585" s="174">
        <f t="shared" ca="1" si="134"/>
        <v>2522</v>
      </c>
      <c r="BC2585" s="525" t="e">
        <f ca="1">MATCH(BD2585,OFFSET(Pinlist!$A$2,BC2584*(BA2585=BA2584),0,$BM$23,1),0)+BC2584*(BA2585=BA2584)</f>
        <v>#N/A</v>
      </c>
      <c r="BD2585" s="167">
        <f t="shared" ca="1" si="135"/>
        <v>0</v>
      </c>
      <c r="BE2585" s="191" t="e">
        <f ca="1">(OFFSET(Pinlist!$E$1,BC2585,0)-$BN$16)*$BN$19</f>
        <v>#N/A</v>
      </c>
      <c r="BF2585" s="192" t="e">
        <f ca="1">(OFFSET(Pinlist!$F$1,BC2585,0)-$BO$16)*$BO$19</f>
        <v>#N/A</v>
      </c>
      <c r="BG2585" s="1098" t="str">
        <f ca="1">IF(LEFT(BD2585,2)="RF",OFFSET(Pinlist!$D$1,Chart!BC2585,0)&amp;"_"&amp;OFFSET(Pinlist!$G$1,Chart!BC2585,0),"")</f>
        <v/>
      </c>
      <c r="BH2585" s="1098"/>
    </row>
    <row r="2586" spans="53:60" x14ac:dyDescent="0.2">
      <c r="BA2586" s="518">
        <f t="shared" ca="1" si="133"/>
        <v>61</v>
      </c>
      <c r="BB2586" s="174">
        <f t="shared" ca="1" si="134"/>
        <v>2523</v>
      </c>
      <c r="BC2586" s="525" t="e">
        <f ca="1">MATCH(BD2586,OFFSET(Pinlist!$A$2,BC2585*(BA2586=BA2585),0,$BM$23,1),0)+BC2585*(BA2586=BA2585)</f>
        <v>#N/A</v>
      </c>
      <c r="BD2586" s="167">
        <f t="shared" ca="1" si="135"/>
        <v>0</v>
      </c>
      <c r="BE2586" s="191" t="e">
        <f ca="1">(OFFSET(Pinlist!$E$1,BC2586,0)-$BN$16)*$BN$19</f>
        <v>#N/A</v>
      </c>
      <c r="BF2586" s="192" t="e">
        <f ca="1">(OFFSET(Pinlist!$F$1,BC2586,0)-$BO$16)*$BO$19</f>
        <v>#N/A</v>
      </c>
      <c r="BG2586" s="1098" t="str">
        <f ca="1">IF(LEFT(BD2586,2)="RF",OFFSET(Pinlist!$D$1,Chart!BC2586,0)&amp;"_"&amp;OFFSET(Pinlist!$G$1,Chart!BC2586,0),"")</f>
        <v/>
      </c>
      <c r="BH2586" s="1098"/>
    </row>
    <row r="2587" spans="53:60" x14ac:dyDescent="0.2">
      <c r="BA2587" s="518">
        <f t="shared" ca="1" si="133"/>
        <v>61</v>
      </c>
      <c r="BB2587" s="174">
        <f t="shared" ca="1" si="134"/>
        <v>2524</v>
      </c>
      <c r="BC2587" s="525" t="e">
        <f ca="1">MATCH(BD2587,OFFSET(Pinlist!$A$2,BC2586*(BA2587=BA2586),0,$BM$23,1),0)+BC2586*(BA2587=BA2586)</f>
        <v>#N/A</v>
      </c>
      <c r="BD2587" s="167">
        <f t="shared" ca="1" si="135"/>
        <v>0</v>
      </c>
      <c r="BE2587" s="191" t="e">
        <f ca="1">(OFFSET(Pinlist!$E$1,BC2587,0)-$BN$16)*$BN$19</f>
        <v>#N/A</v>
      </c>
      <c r="BF2587" s="192" t="e">
        <f ca="1">(OFFSET(Pinlist!$F$1,BC2587,0)-$BO$16)*$BO$19</f>
        <v>#N/A</v>
      </c>
      <c r="BG2587" s="1098" t="str">
        <f ca="1">IF(LEFT(BD2587,2)="RF",OFFSET(Pinlist!$D$1,Chart!BC2587,0)&amp;"_"&amp;OFFSET(Pinlist!$G$1,Chart!BC2587,0),"")</f>
        <v/>
      </c>
      <c r="BH2587" s="1098"/>
    </row>
    <row r="2588" spans="53:60" x14ac:dyDescent="0.2">
      <c r="BA2588" s="518">
        <f t="shared" ca="1" si="133"/>
        <v>61</v>
      </c>
      <c r="BB2588" s="174">
        <f t="shared" ca="1" si="134"/>
        <v>2525</v>
      </c>
      <c r="BC2588" s="525" t="e">
        <f ca="1">MATCH(BD2588,OFFSET(Pinlist!$A$2,BC2587*(BA2588=BA2587),0,$BM$23,1),0)+BC2587*(BA2588=BA2587)</f>
        <v>#N/A</v>
      </c>
      <c r="BD2588" s="167">
        <f t="shared" ca="1" si="135"/>
        <v>0</v>
      </c>
      <c r="BE2588" s="191" t="e">
        <f ca="1">(OFFSET(Pinlist!$E$1,BC2588,0)-$BN$16)*$BN$19</f>
        <v>#N/A</v>
      </c>
      <c r="BF2588" s="192" t="e">
        <f ca="1">(OFFSET(Pinlist!$F$1,BC2588,0)-$BO$16)*$BO$19</f>
        <v>#N/A</v>
      </c>
      <c r="BG2588" s="1098" t="str">
        <f ca="1">IF(LEFT(BD2588,2)="RF",OFFSET(Pinlist!$D$1,Chart!BC2588,0)&amp;"_"&amp;OFFSET(Pinlist!$G$1,Chart!BC2588,0),"")</f>
        <v/>
      </c>
      <c r="BH2588" s="1098"/>
    </row>
    <row r="2589" spans="53:60" x14ac:dyDescent="0.2">
      <c r="BA2589" s="518">
        <f t="shared" ca="1" si="133"/>
        <v>61</v>
      </c>
      <c r="BB2589" s="174">
        <f t="shared" ca="1" si="134"/>
        <v>2526</v>
      </c>
      <c r="BC2589" s="525" t="e">
        <f ca="1">MATCH(BD2589,OFFSET(Pinlist!$A$2,BC2588*(BA2589=BA2588),0,$BM$23,1),0)+BC2588*(BA2589=BA2588)</f>
        <v>#N/A</v>
      </c>
      <c r="BD2589" s="167">
        <f t="shared" ca="1" si="135"/>
        <v>0</v>
      </c>
      <c r="BE2589" s="191" t="e">
        <f ca="1">(OFFSET(Pinlist!$E$1,BC2589,0)-$BN$16)*$BN$19</f>
        <v>#N/A</v>
      </c>
      <c r="BF2589" s="192" t="e">
        <f ca="1">(OFFSET(Pinlist!$F$1,BC2589,0)-$BO$16)*$BO$19</f>
        <v>#N/A</v>
      </c>
      <c r="BG2589" s="1098" t="str">
        <f ca="1">IF(LEFT(BD2589,2)="RF",OFFSET(Pinlist!$D$1,Chart!BC2589,0)&amp;"_"&amp;OFFSET(Pinlist!$G$1,Chart!BC2589,0),"")</f>
        <v/>
      </c>
      <c r="BH2589" s="1098"/>
    </row>
    <row r="2590" spans="53:60" x14ac:dyDescent="0.2">
      <c r="BA2590" s="518">
        <f t="shared" ca="1" si="133"/>
        <v>61</v>
      </c>
      <c r="BB2590" s="174">
        <f t="shared" ca="1" si="134"/>
        <v>2527</v>
      </c>
      <c r="BC2590" s="525" t="e">
        <f ca="1">MATCH(BD2590,OFFSET(Pinlist!$A$2,BC2589*(BA2590=BA2589),0,$BM$23,1),0)+BC2589*(BA2590=BA2589)</f>
        <v>#N/A</v>
      </c>
      <c r="BD2590" s="167">
        <f t="shared" ca="1" si="135"/>
        <v>0</v>
      </c>
      <c r="BE2590" s="191" t="e">
        <f ca="1">(OFFSET(Pinlist!$E$1,BC2590,0)-$BN$16)*$BN$19</f>
        <v>#N/A</v>
      </c>
      <c r="BF2590" s="192" t="e">
        <f ca="1">(OFFSET(Pinlist!$F$1,BC2590,0)-$BO$16)*$BO$19</f>
        <v>#N/A</v>
      </c>
      <c r="BG2590" s="1098" t="str">
        <f ca="1">IF(LEFT(BD2590,2)="RF",OFFSET(Pinlist!$D$1,Chart!BC2590,0)&amp;"_"&amp;OFFSET(Pinlist!$G$1,Chart!BC2590,0),"")</f>
        <v/>
      </c>
      <c r="BH2590" s="1098"/>
    </row>
    <row r="2591" spans="53:60" x14ac:dyDescent="0.2">
      <c r="BA2591" s="518">
        <f t="shared" ca="1" si="133"/>
        <v>61</v>
      </c>
      <c r="BB2591" s="174">
        <f t="shared" ca="1" si="134"/>
        <v>2528</v>
      </c>
      <c r="BC2591" s="525" t="e">
        <f ca="1">MATCH(BD2591,OFFSET(Pinlist!$A$2,BC2590*(BA2591=BA2590),0,$BM$23,1),0)+BC2590*(BA2591=BA2590)</f>
        <v>#N/A</v>
      </c>
      <c r="BD2591" s="167">
        <f t="shared" ca="1" si="135"/>
        <v>0</v>
      </c>
      <c r="BE2591" s="191" t="e">
        <f ca="1">(OFFSET(Pinlist!$E$1,BC2591,0)-$BN$16)*$BN$19</f>
        <v>#N/A</v>
      </c>
      <c r="BF2591" s="192" t="e">
        <f ca="1">(OFFSET(Pinlist!$F$1,BC2591,0)-$BO$16)*$BO$19</f>
        <v>#N/A</v>
      </c>
      <c r="BG2591" s="1098" t="str">
        <f ca="1">IF(LEFT(BD2591,2)="RF",OFFSET(Pinlist!$D$1,Chart!BC2591,0)&amp;"_"&amp;OFFSET(Pinlist!$G$1,Chart!BC2591,0),"")</f>
        <v/>
      </c>
      <c r="BH2591" s="1098"/>
    </row>
    <row r="2592" spans="53:60" x14ac:dyDescent="0.2">
      <c r="BA2592" s="518">
        <f t="shared" ca="1" si="133"/>
        <v>61</v>
      </c>
      <c r="BB2592" s="174">
        <f t="shared" ca="1" si="134"/>
        <v>2529</v>
      </c>
      <c r="BC2592" s="525" t="e">
        <f ca="1">MATCH(BD2592,OFFSET(Pinlist!$A$2,BC2591*(BA2592=BA2591),0,$BM$23,1),0)+BC2591*(BA2592=BA2591)</f>
        <v>#N/A</v>
      </c>
      <c r="BD2592" s="167">
        <f t="shared" ca="1" si="135"/>
        <v>0</v>
      </c>
      <c r="BE2592" s="191" t="e">
        <f ca="1">(OFFSET(Pinlist!$E$1,BC2592,0)-$BN$16)*$BN$19</f>
        <v>#N/A</v>
      </c>
      <c r="BF2592" s="192" t="e">
        <f ca="1">(OFFSET(Pinlist!$F$1,BC2592,0)-$BO$16)*$BO$19</f>
        <v>#N/A</v>
      </c>
      <c r="BG2592" s="1098" t="str">
        <f ca="1">IF(LEFT(BD2592,2)="RF",OFFSET(Pinlist!$D$1,Chart!BC2592,0)&amp;"_"&amp;OFFSET(Pinlist!$G$1,Chart!BC2592,0),"")</f>
        <v/>
      </c>
      <c r="BH2592" s="1098"/>
    </row>
    <row r="2593" spans="53:60" x14ac:dyDescent="0.2">
      <c r="BA2593" s="518">
        <f t="shared" ca="1" si="133"/>
        <v>61</v>
      </c>
      <c r="BB2593" s="174">
        <f t="shared" ca="1" si="134"/>
        <v>2530</v>
      </c>
      <c r="BC2593" s="525" t="e">
        <f ca="1">MATCH(BD2593,OFFSET(Pinlist!$A$2,BC2592*(BA2593=BA2592),0,$BM$23,1),0)+BC2592*(BA2593=BA2592)</f>
        <v>#N/A</v>
      </c>
      <c r="BD2593" s="167">
        <f t="shared" ca="1" si="135"/>
        <v>0</v>
      </c>
      <c r="BE2593" s="191" t="e">
        <f ca="1">(OFFSET(Pinlist!$E$1,BC2593,0)-$BN$16)*$BN$19</f>
        <v>#N/A</v>
      </c>
      <c r="BF2593" s="192" t="e">
        <f ca="1">(OFFSET(Pinlist!$F$1,BC2593,0)-$BO$16)*$BO$19</f>
        <v>#N/A</v>
      </c>
      <c r="BG2593" s="1098" t="str">
        <f ca="1">IF(LEFT(BD2593,2)="RF",OFFSET(Pinlist!$D$1,Chart!BC2593,0)&amp;"_"&amp;OFFSET(Pinlist!$G$1,Chart!BC2593,0),"")</f>
        <v/>
      </c>
      <c r="BH2593" s="1098"/>
    </row>
    <row r="2594" spans="53:60" x14ac:dyDescent="0.2">
      <c r="BA2594" s="518">
        <f t="shared" ca="1" si="133"/>
        <v>61</v>
      </c>
      <c r="BB2594" s="174">
        <f t="shared" ca="1" si="134"/>
        <v>2531</v>
      </c>
      <c r="BC2594" s="525" t="e">
        <f ca="1">MATCH(BD2594,OFFSET(Pinlist!$A$2,BC2593*(BA2594=BA2593),0,$BM$23,1),0)+BC2593*(BA2594=BA2593)</f>
        <v>#N/A</v>
      </c>
      <c r="BD2594" s="167">
        <f t="shared" ca="1" si="135"/>
        <v>0</v>
      </c>
      <c r="BE2594" s="191" t="e">
        <f ca="1">(OFFSET(Pinlist!$E$1,BC2594,0)-$BN$16)*$BN$19</f>
        <v>#N/A</v>
      </c>
      <c r="BF2594" s="192" t="e">
        <f ca="1">(OFFSET(Pinlist!$F$1,BC2594,0)-$BO$16)*$BO$19</f>
        <v>#N/A</v>
      </c>
      <c r="BG2594" s="1098" t="str">
        <f ca="1">IF(LEFT(BD2594,2)="RF",OFFSET(Pinlist!$D$1,Chart!BC2594,0)&amp;"_"&amp;OFFSET(Pinlist!$G$1,Chart!BC2594,0),"")</f>
        <v/>
      </c>
      <c r="BH2594" s="1098"/>
    </row>
    <row r="2595" spans="53:60" x14ac:dyDescent="0.2">
      <c r="BA2595" s="518">
        <f t="shared" ca="1" si="133"/>
        <v>61</v>
      </c>
      <c r="BB2595" s="174">
        <f t="shared" ca="1" si="134"/>
        <v>2532</v>
      </c>
      <c r="BC2595" s="525" t="e">
        <f ca="1">MATCH(BD2595,OFFSET(Pinlist!$A$2,BC2594*(BA2595=BA2594),0,$BM$23,1),0)+BC2594*(BA2595=BA2594)</f>
        <v>#N/A</v>
      </c>
      <c r="BD2595" s="167">
        <f t="shared" ca="1" si="135"/>
        <v>0</v>
      </c>
      <c r="BE2595" s="191" t="e">
        <f ca="1">(OFFSET(Pinlist!$E$1,BC2595,0)-$BN$16)*$BN$19</f>
        <v>#N/A</v>
      </c>
      <c r="BF2595" s="192" t="e">
        <f ca="1">(OFFSET(Pinlist!$F$1,BC2595,0)-$BO$16)*$BO$19</f>
        <v>#N/A</v>
      </c>
      <c r="BG2595" s="1098" t="str">
        <f ca="1">IF(LEFT(BD2595,2)="RF",OFFSET(Pinlist!$D$1,Chart!BC2595,0)&amp;"_"&amp;OFFSET(Pinlist!$G$1,Chart!BC2595,0),"")</f>
        <v/>
      </c>
      <c r="BH2595" s="1098"/>
    </row>
    <row r="2596" spans="53:60" x14ac:dyDescent="0.2">
      <c r="BA2596" s="518">
        <f t="shared" ca="1" si="133"/>
        <v>61</v>
      </c>
      <c r="BB2596" s="174">
        <f t="shared" ca="1" si="134"/>
        <v>2533</v>
      </c>
      <c r="BC2596" s="525" t="e">
        <f ca="1">MATCH(BD2596,OFFSET(Pinlist!$A$2,BC2595*(BA2596=BA2595),0,$BM$23,1),0)+BC2595*(BA2596=BA2595)</f>
        <v>#N/A</v>
      </c>
      <c r="BD2596" s="167">
        <f t="shared" ca="1" si="135"/>
        <v>0</v>
      </c>
      <c r="BE2596" s="191" t="e">
        <f ca="1">(OFFSET(Pinlist!$E$1,BC2596,0)-$BN$16)*$BN$19</f>
        <v>#N/A</v>
      </c>
      <c r="BF2596" s="192" t="e">
        <f ca="1">(OFFSET(Pinlist!$F$1,BC2596,0)-$BO$16)*$BO$19</f>
        <v>#N/A</v>
      </c>
      <c r="BG2596" s="1098" t="str">
        <f ca="1">IF(LEFT(BD2596,2)="RF",OFFSET(Pinlist!$D$1,Chart!BC2596,0)&amp;"_"&amp;OFFSET(Pinlist!$G$1,Chart!BC2596,0),"")</f>
        <v/>
      </c>
      <c r="BH2596" s="1098"/>
    </row>
    <row r="2597" spans="53:60" x14ac:dyDescent="0.2">
      <c r="BA2597" s="518">
        <f t="shared" ca="1" si="133"/>
        <v>61</v>
      </c>
      <c r="BB2597" s="174">
        <f t="shared" ca="1" si="134"/>
        <v>2534</v>
      </c>
      <c r="BC2597" s="525" t="e">
        <f ca="1">MATCH(BD2597,OFFSET(Pinlist!$A$2,BC2596*(BA2597=BA2596),0,$BM$23,1),0)+BC2596*(BA2597=BA2596)</f>
        <v>#N/A</v>
      </c>
      <c r="BD2597" s="167">
        <f t="shared" ca="1" si="135"/>
        <v>0</v>
      </c>
      <c r="BE2597" s="191" t="e">
        <f ca="1">(OFFSET(Pinlist!$E$1,BC2597,0)-$BN$16)*$BN$19</f>
        <v>#N/A</v>
      </c>
      <c r="BF2597" s="192" t="e">
        <f ca="1">(OFFSET(Pinlist!$F$1,BC2597,0)-$BO$16)*$BO$19</f>
        <v>#N/A</v>
      </c>
      <c r="BG2597" s="1098" t="str">
        <f ca="1">IF(LEFT(BD2597,2)="RF",OFFSET(Pinlist!$D$1,Chart!BC2597,0)&amp;"_"&amp;OFFSET(Pinlist!$G$1,Chart!BC2597,0),"")</f>
        <v/>
      </c>
      <c r="BH2597" s="1098"/>
    </row>
    <row r="2598" spans="53:60" x14ac:dyDescent="0.2">
      <c r="BA2598" s="518">
        <f t="shared" ca="1" si="133"/>
        <v>61</v>
      </c>
      <c r="BB2598" s="174">
        <f t="shared" ca="1" si="134"/>
        <v>2535</v>
      </c>
      <c r="BC2598" s="525" t="e">
        <f ca="1">MATCH(BD2598,OFFSET(Pinlist!$A$2,BC2597*(BA2598=BA2597),0,$BM$23,1),0)+BC2597*(BA2598=BA2597)</f>
        <v>#N/A</v>
      </c>
      <c r="BD2598" s="167">
        <f t="shared" ca="1" si="135"/>
        <v>0</v>
      </c>
      <c r="BE2598" s="191" t="e">
        <f ca="1">(OFFSET(Pinlist!$E$1,BC2598,0)-$BN$16)*$BN$19</f>
        <v>#N/A</v>
      </c>
      <c r="BF2598" s="192" t="e">
        <f ca="1">(OFFSET(Pinlist!$F$1,BC2598,0)-$BO$16)*$BO$19</f>
        <v>#N/A</v>
      </c>
      <c r="BG2598" s="1098" t="str">
        <f ca="1">IF(LEFT(BD2598,2)="RF",OFFSET(Pinlist!$D$1,Chart!BC2598,0)&amp;"_"&amp;OFFSET(Pinlist!$G$1,Chart!BC2598,0),"")</f>
        <v/>
      </c>
      <c r="BH2598" s="1098"/>
    </row>
    <row r="2599" spans="53:60" x14ac:dyDescent="0.2">
      <c r="BA2599" s="518">
        <f t="shared" ca="1" si="133"/>
        <v>61</v>
      </c>
      <c r="BB2599" s="174">
        <f t="shared" ca="1" si="134"/>
        <v>2536</v>
      </c>
      <c r="BC2599" s="525" t="e">
        <f ca="1">MATCH(BD2599,OFFSET(Pinlist!$A$2,BC2598*(BA2599=BA2598),0,$BM$23,1),0)+BC2598*(BA2599=BA2598)</f>
        <v>#N/A</v>
      </c>
      <c r="BD2599" s="167">
        <f t="shared" ca="1" si="135"/>
        <v>0</v>
      </c>
      <c r="BE2599" s="191" t="e">
        <f ca="1">(OFFSET(Pinlist!$E$1,BC2599,0)-$BN$16)*$BN$19</f>
        <v>#N/A</v>
      </c>
      <c r="BF2599" s="192" t="e">
        <f ca="1">(OFFSET(Pinlist!$F$1,BC2599,0)-$BO$16)*$BO$19</f>
        <v>#N/A</v>
      </c>
      <c r="BG2599" s="1098" t="str">
        <f ca="1">IF(LEFT(BD2599,2)="RF",OFFSET(Pinlist!$D$1,Chart!BC2599,0)&amp;"_"&amp;OFFSET(Pinlist!$G$1,Chart!BC2599,0),"")</f>
        <v/>
      </c>
      <c r="BH2599" s="1098"/>
    </row>
    <row r="2600" spans="53:60" x14ac:dyDescent="0.2">
      <c r="BA2600" s="518">
        <f t="shared" ca="1" si="133"/>
        <v>61</v>
      </c>
      <c r="BB2600" s="174">
        <f t="shared" ca="1" si="134"/>
        <v>2537</v>
      </c>
      <c r="BC2600" s="525" t="e">
        <f ca="1">MATCH(BD2600,OFFSET(Pinlist!$A$2,BC2599*(BA2600=BA2599),0,$BM$23,1),0)+BC2599*(BA2600=BA2599)</f>
        <v>#N/A</v>
      </c>
      <c r="BD2600" s="167">
        <f t="shared" ca="1" si="135"/>
        <v>0</v>
      </c>
      <c r="BE2600" s="191" t="e">
        <f ca="1">(OFFSET(Pinlist!$E$1,BC2600,0)-$BN$16)*$BN$19</f>
        <v>#N/A</v>
      </c>
      <c r="BF2600" s="192" t="e">
        <f ca="1">(OFFSET(Pinlist!$F$1,BC2600,0)-$BO$16)*$BO$19</f>
        <v>#N/A</v>
      </c>
      <c r="BG2600" s="1098" t="str">
        <f ca="1">IF(LEFT(BD2600,2)="RF",OFFSET(Pinlist!$D$1,Chart!BC2600,0)&amp;"_"&amp;OFFSET(Pinlist!$G$1,Chart!BC2600,0),"")</f>
        <v/>
      </c>
      <c r="BH2600" s="1098"/>
    </row>
    <row r="2601" spans="53:60" x14ac:dyDescent="0.2">
      <c r="BA2601" s="518">
        <f t="shared" ca="1" si="133"/>
        <v>61</v>
      </c>
      <c r="BB2601" s="174">
        <f t="shared" ca="1" si="134"/>
        <v>2538</v>
      </c>
      <c r="BC2601" s="525" t="e">
        <f ca="1">MATCH(BD2601,OFFSET(Pinlist!$A$2,BC2600*(BA2601=BA2600),0,$BM$23,1),0)+BC2600*(BA2601=BA2600)</f>
        <v>#N/A</v>
      </c>
      <c r="BD2601" s="167">
        <f t="shared" ca="1" si="135"/>
        <v>0</v>
      </c>
      <c r="BE2601" s="191" t="e">
        <f ca="1">(OFFSET(Pinlist!$E$1,BC2601,0)-$BN$16)*$BN$19</f>
        <v>#N/A</v>
      </c>
      <c r="BF2601" s="192" t="e">
        <f ca="1">(OFFSET(Pinlist!$F$1,BC2601,0)-$BO$16)*$BO$19</f>
        <v>#N/A</v>
      </c>
      <c r="BG2601" s="1098" t="str">
        <f ca="1">IF(LEFT(BD2601,2)="RF",OFFSET(Pinlist!$D$1,Chart!BC2601,0)&amp;"_"&amp;OFFSET(Pinlist!$G$1,Chart!BC2601,0),"")</f>
        <v/>
      </c>
      <c r="BH2601" s="1098"/>
    </row>
    <row r="2602" spans="53:60" x14ac:dyDescent="0.2">
      <c r="BA2602" s="518">
        <f t="shared" ca="1" si="133"/>
        <v>61</v>
      </c>
      <c r="BB2602" s="174">
        <f t="shared" ca="1" si="134"/>
        <v>2539</v>
      </c>
      <c r="BC2602" s="525" t="e">
        <f ca="1">MATCH(BD2602,OFFSET(Pinlist!$A$2,BC2601*(BA2602=BA2601),0,$BM$23,1),0)+BC2601*(BA2602=BA2601)</f>
        <v>#N/A</v>
      </c>
      <c r="BD2602" s="167">
        <f t="shared" ca="1" si="135"/>
        <v>0</v>
      </c>
      <c r="BE2602" s="191" t="e">
        <f ca="1">(OFFSET(Pinlist!$E$1,BC2602,0)-$BN$16)*$BN$19</f>
        <v>#N/A</v>
      </c>
      <c r="BF2602" s="192" t="e">
        <f ca="1">(OFFSET(Pinlist!$F$1,BC2602,0)-$BO$16)*$BO$19</f>
        <v>#N/A</v>
      </c>
      <c r="BG2602" s="1098" t="str">
        <f ca="1">IF(LEFT(BD2602,2)="RF",OFFSET(Pinlist!$D$1,Chart!BC2602,0)&amp;"_"&amp;OFFSET(Pinlist!$G$1,Chart!BC2602,0),"")</f>
        <v/>
      </c>
      <c r="BH2602" s="1098"/>
    </row>
    <row r="2603" spans="53:60" x14ac:dyDescent="0.2">
      <c r="BA2603" s="518">
        <f t="shared" ca="1" si="133"/>
        <v>61</v>
      </c>
      <c r="BB2603" s="174">
        <f t="shared" ca="1" si="134"/>
        <v>2540</v>
      </c>
      <c r="BC2603" s="525" t="e">
        <f ca="1">MATCH(BD2603,OFFSET(Pinlist!$A$2,BC2602*(BA2603=BA2602),0,$BM$23,1),0)+BC2602*(BA2603=BA2602)</f>
        <v>#N/A</v>
      </c>
      <c r="BD2603" s="167">
        <f t="shared" ca="1" si="135"/>
        <v>0</v>
      </c>
      <c r="BE2603" s="191" t="e">
        <f ca="1">(OFFSET(Pinlist!$E$1,BC2603,0)-$BN$16)*$BN$19</f>
        <v>#N/A</v>
      </c>
      <c r="BF2603" s="192" t="e">
        <f ca="1">(OFFSET(Pinlist!$F$1,BC2603,0)-$BO$16)*$BO$19</f>
        <v>#N/A</v>
      </c>
      <c r="BG2603" s="1098" t="str">
        <f ca="1">IF(LEFT(BD2603,2)="RF",OFFSET(Pinlist!$D$1,Chart!BC2603,0)&amp;"_"&amp;OFFSET(Pinlist!$G$1,Chart!BC2603,0),"")</f>
        <v/>
      </c>
      <c r="BH2603" s="1098"/>
    </row>
    <row r="2604" spans="53:60" x14ac:dyDescent="0.2">
      <c r="BA2604" s="518">
        <f t="shared" ca="1" si="133"/>
        <v>61</v>
      </c>
      <c r="BB2604" s="174">
        <f t="shared" ca="1" si="134"/>
        <v>2541</v>
      </c>
      <c r="BC2604" s="525" t="e">
        <f ca="1">MATCH(BD2604,OFFSET(Pinlist!$A$2,BC2603*(BA2604=BA2603),0,$BM$23,1),0)+BC2603*(BA2604=BA2603)</f>
        <v>#N/A</v>
      </c>
      <c r="BD2604" s="167">
        <f t="shared" ca="1" si="135"/>
        <v>0</v>
      </c>
      <c r="BE2604" s="191" t="e">
        <f ca="1">(OFFSET(Pinlist!$E$1,BC2604,0)-$BN$16)*$BN$19</f>
        <v>#N/A</v>
      </c>
      <c r="BF2604" s="192" t="e">
        <f ca="1">(OFFSET(Pinlist!$F$1,BC2604,0)-$BO$16)*$BO$19</f>
        <v>#N/A</v>
      </c>
      <c r="BG2604" s="1098" t="str">
        <f ca="1">IF(LEFT(BD2604,2)="RF",OFFSET(Pinlist!$D$1,Chart!BC2604,0)&amp;"_"&amp;OFFSET(Pinlist!$G$1,Chart!BC2604,0),"")</f>
        <v/>
      </c>
      <c r="BH2604" s="1098"/>
    </row>
    <row r="2605" spans="53:60" x14ac:dyDescent="0.2">
      <c r="BA2605" s="518">
        <f t="shared" ca="1" si="133"/>
        <v>61</v>
      </c>
      <c r="BB2605" s="174">
        <f t="shared" ca="1" si="134"/>
        <v>2542</v>
      </c>
      <c r="BC2605" s="525" t="e">
        <f ca="1">MATCH(BD2605,OFFSET(Pinlist!$A$2,BC2604*(BA2605=BA2604),0,$BM$23,1),0)+BC2604*(BA2605=BA2604)</f>
        <v>#N/A</v>
      </c>
      <c r="BD2605" s="167">
        <f t="shared" ca="1" si="135"/>
        <v>0</v>
      </c>
      <c r="BE2605" s="191" t="e">
        <f ca="1">(OFFSET(Pinlist!$E$1,BC2605,0)-$BN$16)*$BN$19</f>
        <v>#N/A</v>
      </c>
      <c r="BF2605" s="192" t="e">
        <f ca="1">(OFFSET(Pinlist!$F$1,BC2605,0)-$BO$16)*$BO$19</f>
        <v>#N/A</v>
      </c>
      <c r="BG2605" s="1098" t="str">
        <f ca="1">IF(LEFT(BD2605,2)="RF",OFFSET(Pinlist!$D$1,Chart!BC2605,0)&amp;"_"&amp;OFFSET(Pinlist!$G$1,Chart!BC2605,0),"")</f>
        <v/>
      </c>
      <c r="BH2605" s="1098"/>
    </row>
    <row r="2606" spans="53:60" x14ac:dyDescent="0.2">
      <c r="BA2606" s="518">
        <f t="shared" ca="1" si="133"/>
        <v>61</v>
      </c>
      <c r="BB2606" s="174">
        <f t="shared" ca="1" si="134"/>
        <v>2543</v>
      </c>
      <c r="BC2606" s="525" t="e">
        <f ca="1">MATCH(BD2606,OFFSET(Pinlist!$A$2,BC2605*(BA2606=BA2605),0,$BM$23,1),0)+BC2605*(BA2606=BA2605)</f>
        <v>#N/A</v>
      </c>
      <c r="BD2606" s="167">
        <f t="shared" ca="1" si="135"/>
        <v>0</v>
      </c>
      <c r="BE2606" s="191" t="e">
        <f ca="1">(OFFSET(Pinlist!$E$1,BC2606,0)-$BN$16)*$BN$19</f>
        <v>#N/A</v>
      </c>
      <c r="BF2606" s="192" t="e">
        <f ca="1">(OFFSET(Pinlist!$F$1,BC2606,0)-$BO$16)*$BO$19</f>
        <v>#N/A</v>
      </c>
      <c r="BG2606" s="1098" t="str">
        <f ca="1">IF(LEFT(BD2606,2)="RF",OFFSET(Pinlist!$D$1,Chart!BC2606,0)&amp;"_"&amp;OFFSET(Pinlist!$G$1,Chart!BC2606,0),"")</f>
        <v/>
      </c>
      <c r="BH2606" s="1098"/>
    </row>
    <row r="2607" spans="53:60" x14ac:dyDescent="0.2">
      <c r="BA2607" s="518">
        <f t="shared" ca="1" si="133"/>
        <v>61</v>
      </c>
      <c r="BB2607" s="174">
        <f t="shared" ca="1" si="134"/>
        <v>2544</v>
      </c>
      <c r="BC2607" s="525" t="e">
        <f ca="1">MATCH(BD2607,OFFSET(Pinlist!$A$2,BC2606*(BA2607=BA2606),0,$BM$23,1),0)+BC2606*(BA2607=BA2606)</f>
        <v>#N/A</v>
      </c>
      <c r="BD2607" s="167">
        <f t="shared" ca="1" si="135"/>
        <v>0</v>
      </c>
      <c r="BE2607" s="191" t="e">
        <f ca="1">(OFFSET(Pinlist!$E$1,BC2607,0)-$BN$16)*$BN$19</f>
        <v>#N/A</v>
      </c>
      <c r="BF2607" s="192" t="e">
        <f ca="1">(OFFSET(Pinlist!$F$1,BC2607,0)-$BO$16)*$BO$19</f>
        <v>#N/A</v>
      </c>
      <c r="BG2607" s="1098" t="str">
        <f ca="1">IF(LEFT(BD2607,2)="RF",OFFSET(Pinlist!$D$1,Chart!BC2607,0)&amp;"_"&amp;OFFSET(Pinlist!$G$1,Chart!BC2607,0),"")</f>
        <v/>
      </c>
      <c r="BH2607" s="1098"/>
    </row>
    <row r="2608" spans="53:60" x14ac:dyDescent="0.2">
      <c r="BA2608" s="518">
        <f t="shared" ca="1" si="133"/>
        <v>61</v>
      </c>
      <c r="BB2608" s="174">
        <f t="shared" ca="1" si="134"/>
        <v>2545</v>
      </c>
      <c r="BC2608" s="525" t="e">
        <f ca="1">MATCH(BD2608,OFFSET(Pinlist!$A$2,BC2607*(BA2608=BA2607),0,$BM$23,1),0)+BC2607*(BA2608=BA2607)</f>
        <v>#N/A</v>
      </c>
      <c r="BD2608" s="167">
        <f t="shared" ca="1" si="135"/>
        <v>0</v>
      </c>
      <c r="BE2608" s="191" t="e">
        <f ca="1">(OFFSET(Pinlist!$E$1,BC2608,0)-$BN$16)*$BN$19</f>
        <v>#N/A</v>
      </c>
      <c r="BF2608" s="192" t="e">
        <f ca="1">(OFFSET(Pinlist!$F$1,BC2608,0)-$BO$16)*$BO$19</f>
        <v>#N/A</v>
      </c>
      <c r="BG2608" s="1098" t="str">
        <f ca="1">IF(LEFT(BD2608,2)="RF",OFFSET(Pinlist!$D$1,Chart!BC2608,0)&amp;"_"&amp;OFFSET(Pinlist!$G$1,Chart!BC2608,0),"")</f>
        <v/>
      </c>
      <c r="BH2608" s="1098"/>
    </row>
    <row r="2609" spans="53:60" x14ac:dyDescent="0.2">
      <c r="BA2609" s="518">
        <f t="shared" ca="1" si="133"/>
        <v>61</v>
      </c>
      <c r="BB2609" s="174">
        <f t="shared" ca="1" si="134"/>
        <v>2546</v>
      </c>
      <c r="BC2609" s="525" t="e">
        <f ca="1">MATCH(BD2609,OFFSET(Pinlist!$A$2,BC2608*(BA2609=BA2608),0,$BM$23,1),0)+BC2608*(BA2609=BA2608)</f>
        <v>#N/A</v>
      </c>
      <c r="BD2609" s="167">
        <f t="shared" ca="1" si="135"/>
        <v>0</v>
      </c>
      <c r="BE2609" s="191" t="e">
        <f ca="1">(OFFSET(Pinlist!$E$1,BC2609,0)-$BN$16)*$BN$19</f>
        <v>#N/A</v>
      </c>
      <c r="BF2609" s="192" t="e">
        <f ca="1">(OFFSET(Pinlist!$F$1,BC2609,0)-$BO$16)*$BO$19</f>
        <v>#N/A</v>
      </c>
      <c r="BG2609" s="1098" t="str">
        <f ca="1">IF(LEFT(BD2609,2)="RF",OFFSET(Pinlist!$D$1,Chart!BC2609,0)&amp;"_"&amp;OFFSET(Pinlist!$G$1,Chart!BC2609,0),"")</f>
        <v/>
      </c>
      <c r="BH2609" s="1098"/>
    </row>
    <row r="2610" spans="53:60" x14ac:dyDescent="0.2">
      <c r="BA2610" s="518">
        <f t="shared" ca="1" si="133"/>
        <v>61</v>
      </c>
      <c r="BB2610" s="174">
        <f t="shared" ca="1" si="134"/>
        <v>2547</v>
      </c>
      <c r="BC2610" s="525" t="e">
        <f ca="1">MATCH(BD2610,OFFSET(Pinlist!$A$2,BC2609*(BA2610=BA2609),0,$BM$23,1),0)+BC2609*(BA2610=BA2609)</f>
        <v>#N/A</v>
      </c>
      <c r="BD2610" s="167">
        <f t="shared" ca="1" si="135"/>
        <v>0</v>
      </c>
      <c r="BE2610" s="191" t="e">
        <f ca="1">(OFFSET(Pinlist!$E$1,BC2610,0)-$BN$16)*$BN$19</f>
        <v>#N/A</v>
      </c>
      <c r="BF2610" s="192" t="e">
        <f ca="1">(OFFSET(Pinlist!$F$1,BC2610,0)-$BO$16)*$BO$19</f>
        <v>#N/A</v>
      </c>
      <c r="BG2610" s="1098" t="str">
        <f ca="1">IF(LEFT(BD2610,2)="RF",OFFSET(Pinlist!$D$1,Chart!BC2610,0)&amp;"_"&amp;OFFSET(Pinlist!$G$1,Chart!BC2610,0),"")</f>
        <v/>
      </c>
      <c r="BH2610" s="1098"/>
    </row>
    <row r="2611" spans="53:60" x14ac:dyDescent="0.2">
      <c r="BA2611" s="518">
        <f t="shared" ca="1" si="133"/>
        <v>61</v>
      </c>
      <c r="BB2611" s="174">
        <f t="shared" ca="1" si="134"/>
        <v>2548</v>
      </c>
      <c r="BC2611" s="525" t="e">
        <f ca="1">MATCH(BD2611,OFFSET(Pinlist!$A$2,BC2610*(BA2611=BA2610),0,$BM$23,1),0)+BC2610*(BA2611=BA2610)</f>
        <v>#N/A</v>
      </c>
      <c r="BD2611" s="167">
        <f t="shared" ca="1" si="135"/>
        <v>0</v>
      </c>
      <c r="BE2611" s="191" t="e">
        <f ca="1">(OFFSET(Pinlist!$E$1,BC2611,0)-$BN$16)*$BN$19</f>
        <v>#N/A</v>
      </c>
      <c r="BF2611" s="192" t="e">
        <f ca="1">(OFFSET(Pinlist!$F$1,BC2611,0)-$BO$16)*$BO$19</f>
        <v>#N/A</v>
      </c>
      <c r="BG2611" s="1098" t="str">
        <f ca="1">IF(LEFT(BD2611,2)="RF",OFFSET(Pinlist!$D$1,Chart!BC2611,0)&amp;"_"&amp;OFFSET(Pinlist!$G$1,Chart!BC2611,0),"")</f>
        <v/>
      </c>
      <c r="BH2611" s="1098"/>
    </row>
    <row r="2612" spans="53:60" x14ac:dyDescent="0.2">
      <c r="BA2612" s="518">
        <f t="shared" ca="1" si="133"/>
        <v>61</v>
      </c>
      <c r="BB2612" s="174">
        <f t="shared" ca="1" si="134"/>
        <v>2549</v>
      </c>
      <c r="BC2612" s="525" t="e">
        <f ca="1">MATCH(BD2612,OFFSET(Pinlist!$A$2,BC2611*(BA2612=BA2611),0,$BM$23,1),0)+BC2611*(BA2612=BA2611)</f>
        <v>#N/A</v>
      </c>
      <c r="BD2612" s="167">
        <f t="shared" ca="1" si="135"/>
        <v>0</v>
      </c>
      <c r="BE2612" s="191" t="e">
        <f ca="1">(OFFSET(Pinlist!$E$1,BC2612,0)-$BN$16)*$BN$19</f>
        <v>#N/A</v>
      </c>
      <c r="BF2612" s="192" t="e">
        <f ca="1">(OFFSET(Pinlist!$F$1,BC2612,0)-$BO$16)*$BO$19</f>
        <v>#N/A</v>
      </c>
      <c r="BG2612" s="1098" t="str">
        <f ca="1">IF(LEFT(BD2612,2)="RF",OFFSET(Pinlist!$D$1,Chart!BC2612,0)&amp;"_"&amp;OFFSET(Pinlist!$G$1,Chart!BC2612,0),"")</f>
        <v/>
      </c>
      <c r="BH2612" s="1098"/>
    </row>
    <row r="2613" spans="53:60" x14ac:dyDescent="0.2">
      <c r="BA2613" s="518">
        <f t="shared" ca="1" si="133"/>
        <v>61</v>
      </c>
      <c r="BB2613" s="174">
        <f t="shared" ca="1" si="134"/>
        <v>2550</v>
      </c>
      <c r="BC2613" s="525" t="e">
        <f ca="1">MATCH(BD2613,OFFSET(Pinlist!$A$2,BC2612*(BA2613=BA2612),0,$BM$23,1),0)+BC2612*(BA2613=BA2612)</f>
        <v>#N/A</v>
      </c>
      <c r="BD2613" s="167">
        <f t="shared" ca="1" si="135"/>
        <v>0</v>
      </c>
      <c r="BE2613" s="191" t="e">
        <f ca="1">(OFFSET(Pinlist!$E$1,BC2613,0)-$BN$16)*$BN$19</f>
        <v>#N/A</v>
      </c>
      <c r="BF2613" s="192" t="e">
        <f ca="1">(OFFSET(Pinlist!$F$1,BC2613,0)-$BO$16)*$BO$19</f>
        <v>#N/A</v>
      </c>
      <c r="BG2613" s="1098" t="str">
        <f ca="1">IF(LEFT(BD2613,2)="RF",OFFSET(Pinlist!$D$1,Chart!BC2613,0)&amp;"_"&amp;OFFSET(Pinlist!$G$1,Chart!BC2613,0),"")</f>
        <v/>
      </c>
      <c r="BH2613" s="1098"/>
    </row>
    <row r="2614" spans="53:60" x14ac:dyDescent="0.2">
      <c r="BA2614" s="518">
        <f t="shared" ca="1" si="133"/>
        <v>61</v>
      </c>
      <c r="BB2614" s="174">
        <f t="shared" ca="1" si="134"/>
        <v>2551</v>
      </c>
      <c r="BC2614" s="525" t="e">
        <f ca="1">MATCH(BD2614,OFFSET(Pinlist!$A$2,BC2613*(BA2614=BA2613),0,$BM$23,1),0)+BC2613*(BA2614=BA2613)</f>
        <v>#N/A</v>
      </c>
      <c r="BD2614" s="167">
        <f t="shared" ca="1" si="135"/>
        <v>0</v>
      </c>
      <c r="BE2614" s="191" t="e">
        <f ca="1">(OFFSET(Pinlist!$E$1,BC2614,0)-$BN$16)*$BN$19</f>
        <v>#N/A</v>
      </c>
      <c r="BF2614" s="192" t="e">
        <f ca="1">(OFFSET(Pinlist!$F$1,BC2614,0)-$BO$16)*$BO$19</f>
        <v>#N/A</v>
      </c>
      <c r="BG2614" s="1098" t="str">
        <f ca="1">IF(LEFT(BD2614,2)="RF",OFFSET(Pinlist!$D$1,Chart!BC2614,0)&amp;"_"&amp;OFFSET(Pinlist!$G$1,Chart!BC2614,0),"")</f>
        <v/>
      </c>
      <c r="BH2614" s="1098"/>
    </row>
    <row r="2615" spans="53:60" x14ac:dyDescent="0.2">
      <c r="BA2615" s="518">
        <f t="shared" ca="1" si="133"/>
        <v>61</v>
      </c>
      <c r="BB2615" s="174">
        <f t="shared" ca="1" si="134"/>
        <v>2552</v>
      </c>
      <c r="BC2615" s="525" t="e">
        <f ca="1">MATCH(BD2615,OFFSET(Pinlist!$A$2,BC2614*(BA2615=BA2614),0,$BM$23,1),0)+BC2614*(BA2615=BA2614)</f>
        <v>#N/A</v>
      </c>
      <c r="BD2615" s="167">
        <f t="shared" ca="1" si="135"/>
        <v>0</v>
      </c>
      <c r="BE2615" s="191" t="e">
        <f ca="1">(OFFSET(Pinlist!$E$1,BC2615,0)-$BN$16)*$BN$19</f>
        <v>#N/A</v>
      </c>
      <c r="BF2615" s="192" t="e">
        <f ca="1">(OFFSET(Pinlist!$F$1,BC2615,0)-$BO$16)*$BO$19</f>
        <v>#N/A</v>
      </c>
      <c r="BG2615" s="1098" t="str">
        <f ca="1">IF(LEFT(BD2615,2)="RF",OFFSET(Pinlist!$D$1,Chart!BC2615,0)&amp;"_"&amp;OFFSET(Pinlist!$G$1,Chart!BC2615,0),"")</f>
        <v/>
      </c>
      <c r="BH2615" s="1098"/>
    </row>
    <row r="2616" spans="53:60" x14ac:dyDescent="0.2">
      <c r="BA2616" s="518">
        <f t="shared" ca="1" si="133"/>
        <v>61</v>
      </c>
      <c r="BB2616" s="174">
        <f t="shared" ca="1" si="134"/>
        <v>2553</v>
      </c>
      <c r="BC2616" s="525" t="e">
        <f ca="1">MATCH(BD2616,OFFSET(Pinlist!$A$2,BC2615*(BA2616=BA2615),0,$BM$23,1),0)+BC2615*(BA2616=BA2615)</f>
        <v>#N/A</v>
      </c>
      <c r="BD2616" s="167">
        <f t="shared" ca="1" si="135"/>
        <v>0</v>
      </c>
      <c r="BE2616" s="191" t="e">
        <f ca="1">(OFFSET(Pinlist!$E$1,BC2616,0)-$BN$16)*$BN$19</f>
        <v>#N/A</v>
      </c>
      <c r="BF2616" s="192" t="e">
        <f ca="1">(OFFSET(Pinlist!$F$1,BC2616,0)-$BO$16)*$BO$19</f>
        <v>#N/A</v>
      </c>
      <c r="BG2616" s="1098" t="str">
        <f ca="1">IF(LEFT(BD2616,2)="RF",OFFSET(Pinlist!$D$1,Chart!BC2616,0)&amp;"_"&amp;OFFSET(Pinlist!$G$1,Chart!BC2616,0),"")</f>
        <v/>
      </c>
      <c r="BH2616" s="1098"/>
    </row>
    <row r="2617" spans="53:60" x14ac:dyDescent="0.2">
      <c r="BA2617" s="518">
        <f t="shared" ca="1" si="133"/>
        <v>61</v>
      </c>
      <c r="BB2617" s="174">
        <f t="shared" ca="1" si="134"/>
        <v>2554</v>
      </c>
      <c r="BC2617" s="525" t="e">
        <f ca="1">MATCH(BD2617,OFFSET(Pinlist!$A$2,BC2616*(BA2617=BA2616),0,$BM$23,1),0)+BC2616*(BA2617=BA2616)</f>
        <v>#N/A</v>
      </c>
      <c r="BD2617" s="167">
        <f t="shared" ca="1" si="135"/>
        <v>0</v>
      </c>
      <c r="BE2617" s="191" t="e">
        <f ca="1">(OFFSET(Pinlist!$E$1,BC2617,0)-$BN$16)*$BN$19</f>
        <v>#N/A</v>
      </c>
      <c r="BF2617" s="192" t="e">
        <f ca="1">(OFFSET(Pinlist!$F$1,BC2617,0)-$BO$16)*$BO$19</f>
        <v>#N/A</v>
      </c>
      <c r="BG2617" s="1098" t="str">
        <f ca="1">IF(LEFT(BD2617,2)="RF",OFFSET(Pinlist!$D$1,Chart!BC2617,0)&amp;"_"&amp;OFFSET(Pinlist!$G$1,Chart!BC2617,0),"")</f>
        <v/>
      </c>
      <c r="BH2617" s="1098"/>
    </row>
    <row r="2618" spans="53:60" x14ac:dyDescent="0.2">
      <c r="BA2618" s="518">
        <f t="shared" ca="1" si="133"/>
        <v>61</v>
      </c>
      <c r="BB2618" s="174">
        <f t="shared" ca="1" si="134"/>
        <v>2555</v>
      </c>
      <c r="BC2618" s="525" t="e">
        <f ca="1">MATCH(BD2618,OFFSET(Pinlist!$A$2,BC2617*(BA2618=BA2617),0,$BM$23,1),0)+BC2617*(BA2618=BA2617)</f>
        <v>#N/A</v>
      </c>
      <c r="BD2618" s="167">
        <f t="shared" ca="1" si="135"/>
        <v>0</v>
      </c>
      <c r="BE2618" s="191" t="e">
        <f ca="1">(OFFSET(Pinlist!$E$1,BC2618,0)-$BN$16)*$BN$19</f>
        <v>#N/A</v>
      </c>
      <c r="BF2618" s="192" t="e">
        <f ca="1">(OFFSET(Pinlist!$F$1,BC2618,0)-$BO$16)*$BO$19</f>
        <v>#N/A</v>
      </c>
      <c r="BG2618" s="1098" t="str">
        <f ca="1">IF(LEFT(BD2618,2)="RF",OFFSET(Pinlist!$D$1,Chart!BC2618,0)&amp;"_"&amp;OFFSET(Pinlist!$G$1,Chart!BC2618,0),"")</f>
        <v/>
      </c>
      <c r="BH2618" s="1098"/>
    </row>
    <row r="2619" spans="53:60" x14ac:dyDescent="0.2">
      <c r="BA2619" s="518">
        <f t="shared" ca="1" si="133"/>
        <v>61</v>
      </c>
      <c r="BB2619" s="174">
        <f t="shared" ca="1" si="134"/>
        <v>2556</v>
      </c>
      <c r="BC2619" s="525" t="e">
        <f ca="1">MATCH(BD2619,OFFSET(Pinlist!$A$2,BC2618*(BA2619=BA2618),0,$BM$23,1),0)+BC2618*(BA2619=BA2618)</f>
        <v>#N/A</v>
      </c>
      <c r="BD2619" s="167">
        <f t="shared" ca="1" si="135"/>
        <v>0</v>
      </c>
      <c r="BE2619" s="191" t="e">
        <f ca="1">(OFFSET(Pinlist!$E$1,BC2619,0)-$BN$16)*$BN$19</f>
        <v>#N/A</v>
      </c>
      <c r="BF2619" s="192" t="e">
        <f ca="1">(OFFSET(Pinlist!$F$1,BC2619,0)-$BO$16)*$BO$19</f>
        <v>#N/A</v>
      </c>
      <c r="BG2619" s="1098" t="str">
        <f ca="1">IF(LEFT(BD2619,2)="RF",OFFSET(Pinlist!$D$1,Chart!BC2619,0)&amp;"_"&amp;OFFSET(Pinlist!$G$1,Chart!BC2619,0),"")</f>
        <v/>
      </c>
      <c r="BH2619" s="1098"/>
    </row>
    <row r="2620" spans="53:60" x14ac:dyDescent="0.2">
      <c r="BA2620" s="518">
        <f t="shared" ca="1" si="133"/>
        <v>61</v>
      </c>
      <c r="BB2620" s="174">
        <f t="shared" ca="1" si="134"/>
        <v>2557</v>
      </c>
      <c r="BC2620" s="525" t="e">
        <f ca="1">MATCH(BD2620,OFFSET(Pinlist!$A$2,BC2619*(BA2620=BA2619),0,$BM$23,1),0)+BC2619*(BA2620=BA2619)</f>
        <v>#N/A</v>
      </c>
      <c r="BD2620" s="167">
        <f t="shared" ca="1" si="135"/>
        <v>0</v>
      </c>
      <c r="BE2620" s="191" t="e">
        <f ca="1">(OFFSET(Pinlist!$E$1,BC2620,0)-$BN$16)*$BN$19</f>
        <v>#N/A</v>
      </c>
      <c r="BF2620" s="192" t="e">
        <f ca="1">(OFFSET(Pinlist!$F$1,BC2620,0)-$BO$16)*$BO$19</f>
        <v>#N/A</v>
      </c>
      <c r="BG2620" s="1098" t="str">
        <f ca="1">IF(LEFT(BD2620,2)="RF",OFFSET(Pinlist!$D$1,Chart!BC2620,0)&amp;"_"&amp;OFFSET(Pinlist!$G$1,Chart!BC2620,0),"")</f>
        <v/>
      </c>
      <c r="BH2620" s="1098"/>
    </row>
    <row r="2621" spans="53:60" x14ac:dyDescent="0.2">
      <c r="BA2621" s="518">
        <f t="shared" ca="1" si="133"/>
        <v>61</v>
      </c>
      <c r="BB2621" s="174">
        <f t="shared" ca="1" si="134"/>
        <v>2558</v>
      </c>
      <c r="BC2621" s="525" t="e">
        <f ca="1">MATCH(BD2621,OFFSET(Pinlist!$A$2,BC2620*(BA2621=BA2620),0,$BM$23,1),0)+BC2620*(BA2621=BA2620)</f>
        <v>#N/A</v>
      </c>
      <c r="BD2621" s="167">
        <f t="shared" ca="1" si="135"/>
        <v>0</v>
      </c>
      <c r="BE2621" s="191" t="e">
        <f ca="1">(OFFSET(Pinlist!$E$1,BC2621,0)-$BN$16)*$BN$19</f>
        <v>#N/A</v>
      </c>
      <c r="BF2621" s="192" t="e">
        <f ca="1">(OFFSET(Pinlist!$F$1,BC2621,0)-$BO$16)*$BO$19</f>
        <v>#N/A</v>
      </c>
      <c r="BG2621" s="1098" t="str">
        <f ca="1">IF(LEFT(BD2621,2)="RF",OFFSET(Pinlist!$D$1,Chart!BC2621,0)&amp;"_"&amp;OFFSET(Pinlist!$G$1,Chart!BC2621,0),"")</f>
        <v/>
      </c>
      <c r="BH2621" s="1098"/>
    </row>
    <row r="2622" spans="53:60" x14ac:dyDescent="0.2">
      <c r="BA2622" s="518">
        <f t="shared" ca="1" si="133"/>
        <v>61</v>
      </c>
      <c r="BB2622" s="174">
        <f t="shared" ca="1" si="134"/>
        <v>2559</v>
      </c>
      <c r="BC2622" s="525" t="e">
        <f ca="1">MATCH(BD2622,OFFSET(Pinlist!$A$2,BC2621*(BA2622=BA2621),0,$BM$23,1),0)+BC2621*(BA2622=BA2621)</f>
        <v>#N/A</v>
      </c>
      <c r="BD2622" s="167">
        <f t="shared" ca="1" si="135"/>
        <v>0</v>
      </c>
      <c r="BE2622" s="191" t="e">
        <f ca="1">(OFFSET(Pinlist!$E$1,BC2622,0)-$BN$16)*$BN$19</f>
        <v>#N/A</v>
      </c>
      <c r="BF2622" s="192" t="e">
        <f ca="1">(OFFSET(Pinlist!$F$1,BC2622,0)-$BO$16)*$BO$19</f>
        <v>#N/A</v>
      </c>
      <c r="BG2622" s="1098" t="str">
        <f ca="1">IF(LEFT(BD2622,2)="RF",OFFSET(Pinlist!$D$1,Chart!BC2622,0)&amp;"_"&amp;OFFSET(Pinlist!$G$1,Chart!BC2622,0),"")</f>
        <v/>
      </c>
      <c r="BH2622" s="1098"/>
    </row>
    <row r="2623" spans="53:60" x14ac:dyDescent="0.2">
      <c r="BA2623" s="518">
        <f t="shared" ca="1" si="133"/>
        <v>61</v>
      </c>
      <c r="BB2623" s="174">
        <f t="shared" ca="1" si="134"/>
        <v>2560</v>
      </c>
      <c r="BC2623" s="525" t="e">
        <f ca="1">MATCH(BD2623,OFFSET(Pinlist!$A$2,BC2622*(BA2623=BA2622),0,$BM$23,1),0)+BC2622*(BA2623=BA2622)</f>
        <v>#N/A</v>
      </c>
      <c r="BD2623" s="167">
        <f t="shared" ca="1" si="135"/>
        <v>0</v>
      </c>
      <c r="BE2623" s="191" t="e">
        <f ca="1">(OFFSET(Pinlist!$E$1,BC2623,0)-$BN$16)*$BN$19</f>
        <v>#N/A</v>
      </c>
      <c r="BF2623" s="192" t="e">
        <f ca="1">(OFFSET(Pinlist!$F$1,BC2623,0)-$BO$16)*$BO$19</f>
        <v>#N/A</v>
      </c>
      <c r="BG2623" s="1098" t="str">
        <f ca="1">IF(LEFT(BD2623,2)="RF",OFFSET(Pinlist!$D$1,Chart!BC2623,0)&amp;"_"&amp;OFFSET(Pinlist!$G$1,Chart!BC2623,0),"")</f>
        <v/>
      </c>
      <c r="BH2623" s="1098"/>
    </row>
    <row r="2624" spans="53:60" x14ac:dyDescent="0.2">
      <c r="BA2624" s="518">
        <f t="shared" ca="1" si="133"/>
        <v>61</v>
      </c>
      <c r="BB2624" s="174">
        <f t="shared" ca="1" si="134"/>
        <v>2561</v>
      </c>
      <c r="BC2624" s="525" t="e">
        <f ca="1">MATCH(BD2624,OFFSET(Pinlist!$A$2,BC2623*(BA2624=BA2623),0,$BM$23,1),0)+BC2623*(BA2624=BA2623)</f>
        <v>#N/A</v>
      </c>
      <c r="BD2624" s="167">
        <f t="shared" ca="1" si="135"/>
        <v>0</v>
      </c>
      <c r="BE2624" s="191" t="e">
        <f ca="1">(OFFSET(Pinlist!$E$1,BC2624,0)-$BN$16)*$BN$19</f>
        <v>#N/A</v>
      </c>
      <c r="BF2624" s="192" t="e">
        <f ca="1">(OFFSET(Pinlist!$F$1,BC2624,0)-$BO$16)*$BO$19</f>
        <v>#N/A</v>
      </c>
      <c r="BG2624" s="1098" t="str">
        <f ca="1">IF(LEFT(BD2624,2)="RF",OFFSET(Pinlist!$D$1,Chart!BC2624,0)&amp;"_"&amp;OFFSET(Pinlist!$G$1,Chart!BC2624,0),"")</f>
        <v/>
      </c>
      <c r="BH2624" s="1098"/>
    </row>
    <row r="2625" spans="53:60" x14ac:dyDescent="0.2">
      <c r="BA2625" s="518">
        <f t="shared" ca="1" si="133"/>
        <v>61</v>
      </c>
      <c r="BB2625" s="174">
        <f t="shared" ca="1" si="134"/>
        <v>2562</v>
      </c>
      <c r="BC2625" s="525" t="e">
        <f ca="1">MATCH(BD2625,OFFSET(Pinlist!$A$2,BC2624*(BA2625=BA2624),0,$BM$23,1),0)+BC2624*(BA2625=BA2624)</f>
        <v>#N/A</v>
      </c>
      <c r="BD2625" s="167">
        <f t="shared" ca="1" si="135"/>
        <v>0</v>
      </c>
      <c r="BE2625" s="191" t="e">
        <f ca="1">(OFFSET(Pinlist!$E$1,BC2625,0)-$BN$16)*$BN$19</f>
        <v>#N/A</v>
      </c>
      <c r="BF2625" s="192" t="e">
        <f ca="1">(OFFSET(Pinlist!$F$1,BC2625,0)-$BO$16)*$BO$19</f>
        <v>#N/A</v>
      </c>
      <c r="BG2625" s="1098" t="str">
        <f ca="1">IF(LEFT(BD2625,2)="RF",OFFSET(Pinlist!$D$1,Chart!BC2625,0)&amp;"_"&amp;OFFSET(Pinlist!$G$1,Chart!BC2625,0),"")</f>
        <v/>
      </c>
      <c r="BH2625" s="1098"/>
    </row>
    <row r="2626" spans="53:60" x14ac:dyDescent="0.2">
      <c r="BA2626" s="518">
        <f t="shared" ca="1" si="133"/>
        <v>61</v>
      </c>
      <c r="BB2626" s="174">
        <f t="shared" ca="1" si="134"/>
        <v>2563</v>
      </c>
      <c r="BC2626" s="525" t="e">
        <f ca="1">MATCH(BD2626,OFFSET(Pinlist!$A$2,BC2625*(BA2626=BA2625),0,$BM$23,1),0)+BC2625*(BA2626=BA2625)</f>
        <v>#N/A</v>
      </c>
      <c r="BD2626" s="167">
        <f t="shared" ca="1" si="135"/>
        <v>0</v>
      </c>
      <c r="BE2626" s="191" t="e">
        <f ca="1">(OFFSET(Pinlist!$E$1,BC2626,0)-$BN$16)*$BN$19</f>
        <v>#N/A</v>
      </c>
      <c r="BF2626" s="192" t="e">
        <f ca="1">(OFFSET(Pinlist!$F$1,BC2626,0)-$BO$16)*$BO$19</f>
        <v>#N/A</v>
      </c>
      <c r="BG2626" s="1098" t="str">
        <f ca="1">IF(LEFT(BD2626,2)="RF",OFFSET(Pinlist!$D$1,Chart!BC2626,0)&amp;"_"&amp;OFFSET(Pinlist!$G$1,Chart!BC2626,0),"")</f>
        <v/>
      </c>
      <c r="BH2626" s="1098"/>
    </row>
    <row r="2627" spans="53:60" x14ac:dyDescent="0.2">
      <c r="BA2627" s="518">
        <f t="shared" ca="1" si="133"/>
        <v>61</v>
      </c>
      <c r="BB2627" s="174">
        <f t="shared" ca="1" si="134"/>
        <v>2564</v>
      </c>
      <c r="BC2627" s="525" t="e">
        <f ca="1">MATCH(BD2627,OFFSET(Pinlist!$A$2,BC2626*(BA2627=BA2626),0,$BM$23,1),0)+BC2626*(BA2627=BA2626)</f>
        <v>#N/A</v>
      </c>
      <c r="BD2627" s="167">
        <f t="shared" ca="1" si="135"/>
        <v>0</v>
      </c>
      <c r="BE2627" s="191" t="e">
        <f ca="1">(OFFSET(Pinlist!$E$1,BC2627,0)-$BN$16)*$BN$19</f>
        <v>#N/A</v>
      </c>
      <c r="BF2627" s="192" t="e">
        <f ca="1">(OFFSET(Pinlist!$F$1,BC2627,0)-$BO$16)*$BO$19</f>
        <v>#N/A</v>
      </c>
      <c r="BG2627" s="1098" t="str">
        <f ca="1">IF(LEFT(BD2627,2)="RF",OFFSET(Pinlist!$D$1,Chart!BC2627,0)&amp;"_"&amp;OFFSET(Pinlist!$G$1,Chart!BC2627,0),"")</f>
        <v/>
      </c>
      <c r="BH2627" s="1098"/>
    </row>
    <row r="2628" spans="53:60" x14ac:dyDescent="0.2">
      <c r="BA2628" s="518">
        <f t="shared" ref="BA2628:BA2691" ca="1" si="136">BA2627+(BB2627=OFFSET($BZ$3,BA2627,0))</f>
        <v>61</v>
      </c>
      <c r="BB2628" s="174">
        <f t="shared" ref="BB2628:BB2691" ca="1" si="137">IF(BA2628=BA2627,BB2627+1,1)</f>
        <v>2565</v>
      </c>
      <c r="BC2628" s="525" t="e">
        <f ca="1">MATCH(BD2628,OFFSET(Pinlist!$A$2,BC2627*(BA2628=BA2627),0,$BM$23,1),0)+BC2627*(BA2628=BA2627)</f>
        <v>#N/A</v>
      </c>
      <c r="BD2628" s="167">
        <f t="shared" ref="BD2628:BD2691" ca="1" si="138">OFFSET($BY$3,BA2628,0)</f>
        <v>0</v>
      </c>
      <c r="BE2628" s="191" t="e">
        <f ca="1">(OFFSET(Pinlist!$E$1,BC2628,0)-$BN$16)*$BN$19</f>
        <v>#N/A</v>
      </c>
      <c r="BF2628" s="192" t="e">
        <f ca="1">(OFFSET(Pinlist!$F$1,BC2628,0)-$BO$16)*$BO$19</f>
        <v>#N/A</v>
      </c>
      <c r="BG2628" s="1098" t="str">
        <f ca="1">IF(LEFT(BD2628,2)="RF",OFFSET(Pinlist!$D$1,Chart!BC2628,0)&amp;"_"&amp;OFFSET(Pinlist!$G$1,Chart!BC2628,0),"")</f>
        <v/>
      </c>
      <c r="BH2628" s="1098"/>
    </row>
    <row r="2629" spans="53:60" x14ac:dyDescent="0.2">
      <c r="BA2629" s="518">
        <f t="shared" ca="1" si="136"/>
        <v>61</v>
      </c>
      <c r="BB2629" s="174">
        <f t="shared" ca="1" si="137"/>
        <v>2566</v>
      </c>
      <c r="BC2629" s="525" t="e">
        <f ca="1">MATCH(BD2629,OFFSET(Pinlist!$A$2,BC2628*(BA2629=BA2628),0,$BM$23,1),0)+BC2628*(BA2629=BA2628)</f>
        <v>#N/A</v>
      </c>
      <c r="BD2629" s="167">
        <f t="shared" ca="1" si="138"/>
        <v>0</v>
      </c>
      <c r="BE2629" s="191" t="e">
        <f ca="1">(OFFSET(Pinlist!$E$1,BC2629,0)-$BN$16)*$BN$19</f>
        <v>#N/A</v>
      </c>
      <c r="BF2629" s="192" t="e">
        <f ca="1">(OFFSET(Pinlist!$F$1,BC2629,0)-$BO$16)*$BO$19</f>
        <v>#N/A</v>
      </c>
      <c r="BG2629" s="1098" t="str">
        <f ca="1">IF(LEFT(BD2629,2)="RF",OFFSET(Pinlist!$D$1,Chart!BC2629,0)&amp;"_"&amp;OFFSET(Pinlist!$G$1,Chart!BC2629,0),"")</f>
        <v/>
      </c>
      <c r="BH2629" s="1098"/>
    </row>
    <row r="2630" spans="53:60" x14ac:dyDescent="0.2">
      <c r="BA2630" s="518">
        <f t="shared" ca="1" si="136"/>
        <v>61</v>
      </c>
      <c r="BB2630" s="174">
        <f t="shared" ca="1" si="137"/>
        <v>2567</v>
      </c>
      <c r="BC2630" s="525" t="e">
        <f ca="1">MATCH(BD2630,OFFSET(Pinlist!$A$2,BC2629*(BA2630=BA2629),0,$BM$23,1),0)+BC2629*(BA2630=BA2629)</f>
        <v>#N/A</v>
      </c>
      <c r="BD2630" s="167">
        <f t="shared" ca="1" si="138"/>
        <v>0</v>
      </c>
      <c r="BE2630" s="191" t="e">
        <f ca="1">(OFFSET(Pinlist!$E$1,BC2630,0)-$BN$16)*$BN$19</f>
        <v>#N/A</v>
      </c>
      <c r="BF2630" s="192" t="e">
        <f ca="1">(OFFSET(Pinlist!$F$1,BC2630,0)-$BO$16)*$BO$19</f>
        <v>#N/A</v>
      </c>
      <c r="BG2630" s="1098" t="str">
        <f ca="1">IF(LEFT(BD2630,2)="RF",OFFSET(Pinlist!$D$1,Chart!BC2630,0)&amp;"_"&amp;OFFSET(Pinlist!$G$1,Chart!BC2630,0),"")</f>
        <v/>
      </c>
      <c r="BH2630" s="1098"/>
    </row>
    <row r="2631" spans="53:60" x14ac:dyDescent="0.2">
      <c r="BA2631" s="518">
        <f t="shared" ca="1" si="136"/>
        <v>61</v>
      </c>
      <c r="BB2631" s="174">
        <f t="shared" ca="1" si="137"/>
        <v>2568</v>
      </c>
      <c r="BC2631" s="525" t="e">
        <f ca="1">MATCH(BD2631,OFFSET(Pinlist!$A$2,BC2630*(BA2631=BA2630),0,$BM$23,1),0)+BC2630*(BA2631=BA2630)</f>
        <v>#N/A</v>
      </c>
      <c r="BD2631" s="167">
        <f t="shared" ca="1" si="138"/>
        <v>0</v>
      </c>
      <c r="BE2631" s="191" t="e">
        <f ca="1">(OFFSET(Pinlist!$E$1,BC2631,0)-$BN$16)*$BN$19</f>
        <v>#N/A</v>
      </c>
      <c r="BF2631" s="192" t="e">
        <f ca="1">(OFFSET(Pinlist!$F$1,BC2631,0)-$BO$16)*$BO$19</f>
        <v>#N/A</v>
      </c>
      <c r="BG2631" s="1098" t="str">
        <f ca="1">IF(LEFT(BD2631,2)="RF",OFFSET(Pinlist!$D$1,Chart!BC2631,0)&amp;"_"&amp;OFFSET(Pinlist!$G$1,Chart!BC2631,0),"")</f>
        <v/>
      </c>
      <c r="BH2631" s="1098"/>
    </row>
    <row r="2632" spans="53:60" x14ac:dyDescent="0.2">
      <c r="BA2632" s="518">
        <f t="shared" ca="1" si="136"/>
        <v>61</v>
      </c>
      <c r="BB2632" s="174">
        <f t="shared" ca="1" si="137"/>
        <v>2569</v>
      </c>
      <c r="BC2632" s="525" t="e">
        <f ca="1">MATCH(BD2632,OFFSET(Pinlist!$A$2,BC2631*(BA2632=BA2631),0,$BM$23,1),0)+BC2631*(BA2632=BA2631)</f>
        <v>#N/A</v>
      </c>
      <c r="BD2632" s="167">
        <f t="shared" ca="1" si="138"/>
        <v>0</v>
      </c>
      <c r="BE2632" s="191" t="e">
        <f ca="1">(OFFSET(Pinlist!$E$1,BC2632,0)-$BN$16)*$BN$19</f>
        <v>#N/A</v>
      </c>
      <c r="BF2632" s="192" t="e">
        <f ca="1">(OFFSET(Pinlist!$F$1,BC2632,0)-$BO$16)*$BO$19</f>
        <v>#N/A</v>
      </c>
      <c r="BG2632" s="1098" t="str">
        <f ca="1">IF(LEFT(BD2632,2)="RF",OFFSET(Pinlist!$D$1,Chart!BC2632,0)&amp;"_"&amp;OFFSET(Pinlist!$G$1,Chart!BC2632,0),"")</f>
        <v/>
      </c>
      <c r="BH2632" s="1098"/>
    </row>
    <row r="2633" spans="53:60" x14ac:dyDescent="0.2">
      <c r="BA2633" s="518">
        <f t="shared" ca="1" si="136"/>
        <v>61</v>
      </c>
      <c r="BB2633" s="174">
        <f t="shared" ca="1" si="137"/>
        <v>2570</v>
      </c>
      <c r="BC2633" s="525" t="e">
        <f ca="1">MATCH(BD2633,OFFSET(Pinlist!$A$2,BC2632*(BA2633=BA2632),0,$BM$23,1),0)+BC2632*(BA2633=BA2632)</f>
        <v>#N/A</v>
      </c>
      <c r="BD2633" s="167">
        <f t="shared" ca="1" si="138"/>
        <v>0</v>
      </c>
      <c r="BE2633" s="191" t="e">
        <f ca="1">(OFFSET(Pinlist!$E$1,BC2633,0)-$BN$16)*$BN$19</f>
        <v>#N/A</v>
      </c>
      <c r="BF2633" s="192" t="e">
        <f ca="1">(OFFSET(Pinlist!$F$1,BC2633,0)-$BO$16)*$BO$19</f>
        <v>#N/A</v>
      </c>
      <c r="BG2633" s="1098" t="str">
        <f ca="1">IF(LEFT(BD2633,2)="RF",OFFSET(Pinlist!$D$1,Chart!BC2633,0)&amp;"_"&amp;OFFSET(Pinlist!$G$1,Chart!BC2633,0),"")</f>
        <v/>
      </c>
      <c r="BH2633" s="1098"/>
    </row>
    <row r="2634" spans="53:60" x14ac:dyDescent="0.2">
      <c r="BA2634" s="518">
        <f t="shared" ca="1" si="136"/>
        <v>61</v>
      </c>
      <c r="BB2634" s="174">
        <f t="shared" ca="1" si="137"/>
        <v>2571</v>
      </c>
      <c r="BC2634" s="525" t="e">
        <f ca="1">MATCH(BD2634,OFFSET(Pinlist!$A$2,BC2633*(BA2634=BA2633),0,$BM$23,1),0)+BC2633*(BA2634=BA2633)</f>
        <v>#N/A</v>
      </c>
      <c r="BD2634" s="167">
        <f t="shared" ca="1" si="138"/>
        <v>0</v>
      </c>
      <c r="BE2634" s="191" t="e">
        <f ca="1">(OFFSET(Pinlist!$E$1,BC2634,0)-$BN$16)*$BN$19</f>
        <v>#N/A</v>
      </c>
      <c r="BF2634" s="192" t="e">
        <f ca="1">(OFFSET(Pinlist!$F$1,BC2634,0)-$BO$16)*$BO$19</f>
        <v>#N/A</v>
      </c>
      <c r="BG2634" s="1098" t="str">
        <f ca="1">IF(LEFT(BD2634,2)="RF",OFFSET(Pinlist!$D$1,Chart!BC2634,0)&amp;"_"&amp;OFFSET(Pinlist!$G$1,Chart!BC2634,0),"")</f>
        <v/>
      </c>
      <c r="BH2634" s="1098"/>
    </row>
    <row r="2635" spans="53:60" x14ac:dyDescent="0.2">
      <c r="BA2635" s="518">
        <f t="shared" ca="1" si="136"/>
        <v>61</v>
      </c>
      <c r="BB2635" s="174">
        <f t="shared" ca="1" si="137"/>
        <v>2572</v>
      </c>
      <c r="BC2635" s="525" t="e">
        <f ca="1">MATCH(BD2635,OFFSET(Pinlist!$A$2,BC2634*(BA2635=BA2634),0,$BM$23,1),0)+BC2634*(BA2635=BA2634)</f>
        <v>#N/A</v>
      </c>
      <c r="BD2635" s="167">
        <f t="shared" ca="1" si="138"/>
        <v>0</v>
      </c>
      <c r="BE2635" s="191" t="e">
        <f ca="1">(OFFSET(Pinlist!$E$1,BC2635,0)-$BN$16)*$BN$19</f>
        <v>#N/A</v>
      </c>
      <c r="BF2635" s="192" t="e">
        <f ca="1">(OFFSET(Pinlist!$F$1,BC2635,0)-$BO$16)*$BO$19</f>
        <v>#N/A</v>
      </c>
      <c r="BG2635" s="1098" t="str">
        <f ca="1">IF(LEFT(BD2635,2)="RF",OFFSET(Pinlist!$D$1,Chart!BC2635,0)&amp;"_"&amp;OFFSET(Pinlist!$G$1,Chart!BC2635,0),"")</f>
        <v/>
      </c>
      <c r="BH2635" s="1098"/>
    </row>
    <row r="2636" spans="53:60" x14ac:dyDescent="0.2">
      <c r="BA2636" s="518">
        <f t="shared" ca="1" si="136"/>
        <v>61</v>
      </c>
      <c r="BB2636" s="174">
        <f t="shared" ca="1" si="137"/>
        <v>2573</v>
      </c>
      <c r="BC2636" s="525" t="e">
        <f ca="1">MATCH(BD2636,OFFSET(Pinlist!$A$2,BC2635*(BA2636=BA2635),0,$BM$23,1),0)+BC2635*(BA2636=BA2635)</f>
        <v>#N/A</v>
      </c>
      <c r="BD2636" s="167">
        <f t="shared" ca="1" si="138"/>
        <v>0</v>
      </c>
      <c r="BE2636" s="191" t="e">
        <f ca="1">(OFFSET(Pinlist!$E$1,BC2636,0)-$BN$16)*$BN$19</f>
        <v>#N/A</v>
      </c>
      <c r="BF2636" s="192" t="e">
        <f ca="1">(OFFSET(Pinlist!$F$1,BC2636,0)-$BO$16)*$BO$19</f>
        <v>#N/A</v>
      </c>
      <c r="BG2636" s="1098" t="str">
        <f ca="1">IF(LEFT(BD2636,2)="RF",OFFSET(Pinlist!$D$1,Chart!BC2636,0)&amp;"_"&amp;OFFSET(Pinlist!$G$1,Chart!BC2636,0),"")</f>
        <v/>
      </c>
      <c r="BH2636" s="1098"/>
    </row>
    <row r="2637" spans="53:60" x14ac:dyDescent="0.2">
      <c r="BA2637" s="518">
        <f t="shared" ca="1" si="136"/>
        <v>61</v>
      </c>
      <c r="BB2637" s="174">
        <f t="shared" ca="1" si="137"/>
        <v>2574</v>
      </c>
      <c r="BC2637" s="525" t="e">
        <f ca="1">MATCH(BD2637,OFFSET(Pinlist!$A$2,BC2636*(BA2637=BA2636),0,$BM$23,1),0)+BC2636*(BA2637=BA2636)</f>
        <v>#N/A</v>
      </c>
      <c r="BD2637" s="167">
        <f t="shared" ca="1" si="138"/>
        <v>0</v>
      </c>
      <c r="BE2637" s="191" t="e">
        <f ca="1">(OFFSET(Pinlist!$E$1,BC2637,0)-$BN$16)*$BN$19</f>
        <v>#N/A</v>
      </c>
      <c r="BF2637" s="192" t="e">
        <f ca="1">(OFFSET(Pinlist!$F$1,BC2637,0)-$BO$16)*$BO$19</f>
        <v>#N/A</v>
      </c>
      <c r="BG2637" s="1098" t="str">
        <f ca="1">IF(LEFT(BD2637,2)="RF",OFFSET(Pinlist!$D$1,Chart!BC2637,0)&amp;"_"&amp;OFFSET(Pinlist!$G$1,Chart!BC2637,0),"")</f>
        <v/>
      </c>
      <c r="BH2637" s="1098"/>
    </row>
    <row r="2638" spans="53:60" x14ac:dyDescent="0.2">
      <c r="BA2638" s="518">
        <f t="shared" ca="1" si="136"/>
        <v>61</v>
      </c>
      <c r="BB2638" s="174">
        <f t="shared" ca="1" si="137"/>
        <v>2575</v>
      </c>
      <c r="BC2638" s="525" t="e">
        <f ca="1">MATCH(BD2638,OFFSET(Pinlist!$A$2,BC2637*(BA2638=BA2637),0,$BM$23,1),0)+BC2637*(BA2638=BA2637)</f>
        <v>#N/A</v>
      </c>
      <c r="BD2638" s="167">
        <f t="shared" ca="1" si="138"/>
        <v>0</v>
      </c>
      <c r="BE2638" s="191" t="e">
        <f ca="1">(OFFSET(Pinlist!$E$1,BC2638,0)-$BN$16)*$BN$19</f>
        <v>#N/A</v>
      </c>
      <c r="BF2638" s="192" t="e">
        <f ca="1">(OFFSET(Pinlist!$F$1,BC2638,0)-$BO$16)*$BO$19</f>
        <v>#N/A</v>
      </c>
      <c r="BG2638" s="1098" t="str">
        <f ca="1">IF(LEFT(BD2638,2)="RF",OFFSET(Pinlist!$D$1,Chart!BC2638,0)&amp;"_"&amp;OFFSET(Pinlist!$G$1,Chart!BC2638,0),"")</f>
        <v/>
      </c>
      <c r="BH2638" s="1098"/>
    </row>
    <row r="2639" spans="53:60" x14ac:dyDescent="0.2">
      <c r="BA2639" s="518">
        <f t="shared" ca="1" si="136"/>
        <v>61</v>
      </c>
      <c r="BB2639" s="174">
        <f t="shared" ca="1" si="137"/>
        <v>2576</v>
      </c>
      <c r="BC2639" s="525" t="e">
        <f ca="1">MATCH(BD2639,OFFSET(Pinlist!$A$2,BC2638*(BA2639=BA2638),0,$BM$23,1),0)+BC2638*(BA2639=BA2638)</f>
        <v>#N/A</v>
      </c>
      <c r="BD2639" s="167">
        <f t="shared" ca="1" si="138"/>
        <v>0</v>
      </c>
      <c r="BE2639" s="191" t="e">
        <f ca="1">(OFFSET(Pinlist!$E$1,BC2639,0)-$BN$16)*$BN$19</f>
        <v>#N/A</v>
      </c>
      <c r="BF2639" s="192" t="e">
        <f ca="1">(OFFSET(Pinlist!$F$1,BC2639,0)-$BO$16)*$BO$19</f>
        <v>#N/A</v>
      </c>
      <c r="BG2639" s="1098" t="str">
        <f ca="1">IF(LEFT(BD2639,2)="RF",OFFSET(Pinlist!$D$1,Chart!BC2639,0)&amp;"_"&amp;OFFSET(Pinlist!$G$1,Chart!BC2639,0),"")</f>
        <v/>
      </c>
      <c r="BH2639" s="1098"/>
    </row>
    <row r="2640" spans="53:60" x14ac:dyDescent="0.2">
      <c r="BA2640" s="518">
        <f t="shared" ca="1" si="136"/>
        <v>61</v>
      </c>
      <c r="BB2640" s="174">
        <f t="shared" ca="1" si="137"/>
        <v>2577</v>
      </c>
      <c r="BC2640" s="525" t="e">
        <f ca="1">MATCH(BD2640,OFFSET(Pinlist!$A$2,BC2639*(BA2640=BA2639),0,$BM$23,1),0)+BC2639*(BA2640=BA2639)</f>
        <v>#N/A</v>
      </c>
      <c r="BD2640" s="167">
        <f t="shared" ca="1" si="138"/>
        <v>0</v>
      </c>
      <c r="BE2640" s="191" t="e">
        <f ca="1">(OFFSET(Pinlist!$E$1,BC2640,0)-$BN$16)*$BN$19</f>
        <v>#N/A</v>
      </c>
      <c r="BF2640" s="192" t="e">
        <f ca="1">(OFFSET(Pinlist!$F$1,BC2640,0)-$BO$16)*$BO$19</f>
        <v>#N/A</v>
      </c>
      <c r="BG2640" s="1098" t="str">
        <f ca="1">IF(LEFT(BD2640,2)="RF",OFFSET(Pinlist!$D$1,Chart!BC2640,0)&amp;"_"&amp;OFFSET(Pinlist!$G$1,Chart!BC2640,0),"")</f>
        <v/>
      </c>
      <c r="BH2640" s="1098"/>
    </row>
    <row r="2641" spans="53:60" x14ac:dyDescent="0.2">
      <c r="BA2641" s="518">
        <f t="shared" ca="1" si="136"/>
        <v>61</v>
      </c>
      <c r="BB2641" s="174">
        <f t="shared" ca="1" si="137"/>
        <v>2578</v>
      </c>
      <c r="BC2641" s="525" t="e">
        <f ca="1">MATCH(BD2641,OFFSET(Pinlist!$A$2,BC2640*(BA2641=BA2640),0,$BM$23,1),0)+BC2640*(BA2641=BA2640)</f>
        <v>#N/A</v>
      </c>
      <c r="BD2641" s="167">
        <f t="shared" ca="1" si="138"/>
        <v>0</v>
      </c>
      <c r="BE2641" s="191" t="e">
        <f ca="1">(OFFSET(Pinlist!$E$1,BC2641,0)-$BN$16)*$BN$19</f>
        <v>#N/A</v>
      </c>
      <c r="BF2641" s="192" t="e">
        <f ca="1">(OFFSET(Pinlist!$F$1,BC2641,0)-$BO$16)*$BO$19</f>
        <v>#N/A</v>
      </c>
      <c r="BG2641" s="1098" t="str">
        <f ca="1">IF(LEFT(BD2641,2)="RF",OFFSET(Pinlist!$D$1,Chart!BC2641,0)&amp;"_"&amp;OFFSET(Pinlist!$G$1,Chart!BC2641,0),"")</f>
        <v/>
      </c>
      <c r="BH2641" s="1098"/>
    </row>
    <row r="2642" spans="53:60" x14ac:dyDescent="0.2">
      <c r="BA2642" s="518">
        <f t="shared" ca="1" si="136"/>
        <v>61</v>
      </c>
      <c r="BB2642" s="174">
        <f t="shared" ca="1" si="137"/>
        <v>2579</v>
      </c>
      <c r="BC2642" s="525" t="e">
        <f ca="1">MATCH(BD2642,OFFSET(Pinlist!$A$2,BC2641*(BA2642=BA2641),0,$BM$23,1),0)+BC2641*(BA2642=BA2641)</f>
        <v>#N/A</v>
      </c>
      <c r="BD2642" s="167">
        <f t="shared" ca="1" si="138"/>
        <v>0</v>
      </c>
      <c r="BE2642" s="191" t="e">
        <f ca="1">(OFFSET(Pinlist!$E$1,BC2642,0)-$BN$16)*$BN$19</f>
        <v>#N/A</v>
      </c>
      <c r="BF2642" s="192" t="e">
        <f ca="1">(OFFSET(Pinlist!$F$1,BC2642,0)-$BO$16)*$BO$19</f>
        <v>#N/A</v>
      </c>
      <c r="BG2642" s="1098" t="str">
        <f ca="1">IF(LEFT(BD2642,2)="RF",OFFSET(Pinlist!$D$1,Chart!BC2642,0)&amp;"_"&amp;OFFSET(Pinlist!$G$1,Chart!BC2642,0),"")</f>
        <v/>
      </c>
      <c r="BH2642" s="1098"/>
    </row>
    <row r="2643" spans="53:60" x14ac:dyDescent="0.2">
      <c r="BA2643" s="518">
        <f t="shared" ca="1" si="136"/>
        <v>61</v>
      </c>
      <c r="BB2643" s="174">
        <f t="shared" ca="1" si="137"/>
        <v>2580</v>
      </c>
      <c r="BC2643" s="525" t="e">
        <f ca="1">MATCH(BD2643,OFFSET(Pinlist!$A$2,BC2642*(BA2643=BA2642),0,$BM$23,1),0)+BC2642*(BA2643=BA2642)</f>
        <v>#N/A</v>
      </c>
      <c r="BD2643" s="167">
        <f t="shared" ca="1" si="138"/>
        <v>0</v>
      </c>
      <c r="BE2643" s="191" t="e">
        <f ca="1">(OFFSET(Pinlist!$E$1,BC2643,0)-$BN$16)*$BN$19</f>
        <v>#N/A</v>
      </c>
      <c r="BF2643" s="192" t="e">
        <f ca="1">(OFFSET(Pinlist!$F$1,BC2643,0)-$BO$16)*$BO$19</f>
        <v>#N/A</v>
      </c>
      <c r="BG2643" s="1098" t="str">
        <f ca="1">IF(LEFT(BD2643,2)="RF",OFFSET(Pinlist!$D$1,Chart!BC2643,0)&amp;"_"&amp;OFFSET(Pinlist!$G$1,Chart!BC2643,0),"")</f>
        <v/>
      </c>
      <c r="BH2643" s="1098"/>
    </row>
    <row r="2644" spans="53:60" x14ac:dyDescent="0.2">
      <c r="BA2644" s="518">
        <f t="shared" ca="1" si="136"/>
        <v>61</v>
      </c>
      <c r="BB2644" s="174">
        <f t="shared" ca="1" si="137"/>
        <v>2581</v>
      </c>
      <c r="BC2644" s="525" t="e">
        <f ca="1">MATCH(BD2644,OFFSET(Pinlist!$A$2,BC2643*(BA2644=BA2643),0,$BM$23,1),0)+BC2643*(BA2644=BA2643)</f>
        <v>#N/A</v>
      </c>
      <c r="BD2644" s="167">
        <f t="shared" ca="1" si="138"/>
        <v>0</v>
      </c>
      <c r="BE2644" s="191" t="e">
        <f ca="1">(OFFSET(Pinlist!$E$1,BC2644,0)-$BN$16)*$BN$19</f>
        <v>#N/A</v>
      </c>
      <c r="BF2644" s="192" t="e">
        <f ca="1">(OFFSET(Pinlist!$F$1,BC2644,0)-$BO$16)*$BO$19</f>
        <v>#N/A</v>
      </c>
      <c r="BG2644" s="1098" t="str">
        <f ca="1">IF(LEFT(BD2644,2)="RF",OFFSET(Pinlist!$D$1,Chart!BC2644,0)&amp;"_"&amp;OFFSET(Pinlist!$G$1,Chart!BC2644,0),"")</f>
        <v/>
      </c>
      <c r="BH2644" s="1098"/>
    </row>
    <row r="2645" spans="53:60" x14ac:dyDescent="0.2">
      <c r="BA2645" s="518">
        <f t="shared" ca="1" si="136"/>
        <v>61</v>
      </c>
      <c r="BB2645" s="174">
        <f t="shared" ca="1" si="137"/>
        <v>2582</v>
      </c>
      <c r="BC2645" s="525" t="e">
        <f ca="1">MATCH(BD2645,OFFSET(Pinlist!$A$2,BC2644*(BA2645=BA2644),0,$BM$23,1),0)+BC2644*(BA2645=BA2644)</f>
        <v>#N/A</v>
      </c>
      <c r="BD2645" s="167">
        <f t="shared" ca="1" si="138"/>
        <v>0</v>
      </c>
      <c r="BE2645" s="191" t="e">
        <f ca="1">(OFFSET(Pinlist!$E$1,BC2645,0)-$BN$16)*$BN$19</f>
        <v>#N/A</v>
      </c>
      <c r="BF2645" s="192" t="e">
        <f ca="1">(OFFSET(Pinlist!$F$1,BC2645,0)-$BO$16)*$BO$19</f>
        <v>#N/A</v>
      </c>
      <c r="BG2645" s="1098" t="str">
        <f ca="1">IF(LEFT(BD2645,2)="RF",OFFSET(Pinlist!$D$1,Chart!BC2645,0)&amp;"_"&amp;OFFSET(Pinlist!$G$1,Chart!BC2645,0),"")</f>
        <v/>
      </c>
      <c r="BH2645" s="1098"/>
    </row>
    <row r="2646" spans="53:60" x14ac:dyDescent="0.2">
      <c r="BA2646" s="518">
        <f t="shared" ca="1" si="136"/>
        <v>61</v>
      </c>
      <c r="BB2646" s="174">
        <f t="shared" ca="1" si="137"/>
        <v>2583</v>
      </c>
      <c r="BC2646" s="525" t="e">
        <f ca="1">MATCH(BD2646,OFFSET(Pinlist!$A$2,BC2645*(BA2646=BA2645),0,$BM$23,1),0)+BC2645*(BA2646=BA2645)</f>
        <v>#N/A</v>
      </c>
      <c r="BD2646" s="167">
        <f t="shared" ca="1" si="138"/>
        <v>0</v>
      </c>
      <c r="BE2646" s="191" t="e">
        <f ca="1">(OFFSET(Pinlist!$E$1,BC2646,0)-$BN$16)*$BN$19</f>
        <v>#N/A</v>
      </c>
      <c r="BF2646" s="192" t="e">
        <f ca="1">(OFFSET(Pinlist!$F$1,BC2646,0)-$BO$16)*$BO$19</f>
        <v>#N/A</v>
      </c>
      <c r="BG2646" s="1098" t="str">
        <f ca="1">IF(LEFT(BD2646,2)="RF",OFFSET(Pinlist!$D$1,Chart!BC2646,0)&amp;"_"&amp;OFFSET(Pinlist!$G$1,Chart!BC2646,0),"")</f>
        <v/>
      </c>
      <c r="BH2646" s="1098"/>
    </row>
    <row r="2647" spans="53:60" x14ac:dyDescent="0.2">
      <c r="BA2647" s="518">
        <f t="shared" ca="1" si="136"/>
        <v>61</v>
      </c>
      <c r="BB2647" s="174">
        <f t="shared" ca="1" si="137"/>
        <v>2584</v>
      </c>
      <c r="BC2647" s="525" t="e">
        <f ca="1">MATCH(BD2647,OFFSET(Pinlist!$A$2,BC2646*(BA2647=BA2646),0,$BM$23,1),0)+BC2646*(BA2647=BA2646)</f>
        <v>#N/A</v>
      </c>
      <c r="BD2647" s="167">
        <f t="shared" ca="1" si="138"/>
        <v>0</v>
      </c>
      <c r="BE2647" s="191" t="e">
        <f ca="1">(OFFSET(Pinlist!$E$1,BC2647,0)-$BN$16)*$BN$19</f>
        <v>#N/A</v>
      </c>
      <c r="BF2647" s="192" t="e">
        <f ca="1">(OFFSET(Pinlist!$F$1,BC2647,0)-$BO$16)*$BO$19</f>
        <v>#N/A</v>
      </c>
      <c r="BG2647" s="1098" t="str">
        <f ca="1">IF(LEFT(BD2647,2)="RF",OFFSET(Pinlist!$D$1,Chart!BC2647,0)&amp;"_"&amp;OFFSET(Pinlist!$G$1,Chart!BC2647,0),"")</f>
        <v/>
      </c>
      <c r="BH2647" s="1098"/>
    </row>
    <row r="2648" spans="53:60" x14ac:dyDescent="0.2">
      <c r="BA2648" s="518">
        <f t="shared" ca="1" si="136"/>
        <v>61</v>
      </c>
      <c r="BB2648" s="174">
        <f t="shared" ca="1" si="137"/>
        <v>2585</v>
      </c>
      <c r="BC2648" s="525" t="e">
        <f ca="1">MATCH(BD2648,OFFSET(Pinlist!$A$2,BC2647*(BA2648=BA2647),0,$BM$23,1),0)+BC2647*(BA2648=BA2647)</f>
        <v>#N/A</v>
      </c>
      <c r="BD2648" s="167">
        <f t="shared" ca="1" si="138"/>
        <v>0</v>
      </c>
      <c r="BE2648" s="191" t="e">
        <f ca="1">(OFFSET(Pinlist!$E$1,BC2648,0)-$BN$16)*$BN$19</f>
        <v>#N/A</v>
      </c>
      <c r="BF2648" s="192" t="e">
        <f ca="1">(OFFSET(Pinlist!$F$1,BC2648,0)-$BO$16)*$BO$19</f>
        <v>#N/A</v>
      </c>
      <c r="BG2648" s="1098" t="str">
        <f ca="1">IF(LEFT(BD2648,2)="RF",OFFSET(Pinlist!$D$1,Chart!BC2648,0)&amp;"_"&amp;OFFSET(Pinlist!$G$1,Chart!BC2648,0),"")</f>
        <v/>
      </c>
      <c r="BH2648" s="1098"/>
    </row>
    <row r="2649" spans="53:60" x14ac:dyDescent="0.2">
      <c r="BA2649" s="518">
        <f t="shared" ca="1" si="136"/>
        <v>61</v>
      </c>
      <c r="BB2649" s="174">
        <f t="shared" ca="1" si="137"/>
        <v>2586</v>
      </c>
      <c r="BC2649" s="525" t="e">
        <f ca="1">MATCH(BD2649,OFFSET(Pinlist!$A$2,BC2648*(BA2649=BA2648),0,$BM$23,1),0)+BC2648*(BA2649=BA2648)</f>
        <v>#N/A</v>
      </c>
      <c r="BD2649" s="167">
        <f t="shared" ca="1" si="138"/>
        <v>0</v>
      </c>
      <c r="BE2649" s="191" t="e">
        <f ca="1">(OFFSET(Pinlist!$E$1,BC2649,0)-$BN$16)*$BN$19</f>
        <v>#N/A</v>
      </c>
      <c r="BF2649" s="192" t="e">
        <f ca="1">(OFFSET(Pinlist!$F$1,BC2649,0)-$BO$16)*$BO$19</f>
        <v>#N/A</v>
      </c>
      <c r="BG2649" s="1098" t="str">
        <f ca="1">IF(LEFT(BD2649,2)="RF",OFFSET(Pinlist!$D$1,Chart!BC2649,0)&amp;"_"&amp;OFFSET(Pinlist!$G$1,Chart!BC2649,0),"")</f>
        <v/>
      </c>
      <c r="BH2649" s="1098"/>
    </row>
    <row r="2650" spans="53:60" x14ac:dyDescent="0.2">
      <c r="BA2650" s="518">
        <f t="shared" ca="1" si="136"/>
        <v>61</v>
      </c>
      <c r="BB2650" s="174">
        <f t="shared" ca="1" si="137"/>
        <v>2587</v>
      </c>
      <c r="BC2650" s="525" t="e">
        <f ca="1">MATCH(BD2650,OFFSET(Pinlist!$A$2,BC2649*(BA2650=BA2649),0,$BM$23,1),0)+BC2649*(BA2650=BA2649)</f>
        <v>#N/A</v>
      </c>
      <c r="BD2650" s="167">
        <f t="shared" ca="1" si="138"/>
        <v>0</v>
      </c>
      <c r="BE2650" s="191" t="e">
        <f ca="1">(OFFSET(Pinlist!$E$1,BC2650,0)-$BN$16)*$BN$19</f>
        <v>#N/A</v>
      </c>
      <c r="BF2650" s="192" t="e">
        <f ca="1">(OFFSET(Pinlist!$F$1,BC2650,0)-$BO$16)*$BO$19</f>
        <v>#N/A</v>
      </c>
      <c r="BG2650" s="1098" t="str">
        <f ca="1">IF(LEFT(BD2650,2)="RF",OFFSET(Pinlist!$D$1,Chart!BC2650,0)&amp;"_"&amp;OFFSET(Pinlist!$G$1,Chart!BC2650,0),"")</f>
        <v/>
      </c>
      <c r="BH2650" s="1098"/>
    </row>
    <row r="2651" spans="53:60" x14ac:dyDescent="0.2">
      <c r="BA2651" s="518">
        <f t="shared" ca="1" si="136"/>
        <v>61</v>
      </c>
      <c r="BB2651" s="174">
        <f t="shared" ca="1" si="137"/>
        <v>2588</v>
      </c>
      <c r="BC2651" s="525" t="e">
        <f ca="1">MATCH(BD2651,OFFSET(Pinlist!$A$2,BC2650*(BA2651=BA2650),0,$BM$23,1),0)+BC2650*(BA2651=BA2650)</f>
        <v>#N/A</v>
      </c>
      <c r="BD2651" s="167">
        <f t="shared" ca="1" si="138"/>
        <v>0</v>
      </c>
      <c r="BE2651" s="191" t="e">
        <f ca="1">(OFFSET(Pinlist!$E$1,BC2651,0)-$BN$16)*$BN$19</f>
        <v>#N/A</v>
      </c>
      <c r="BF2651" s="192" t="e">
        <f ca="1">(OFFSET(Pinlist!$F$1,BC2651,0)-$BO$16)*$BO$19</f>
        <v>#N/A</v>
      </c>
      <c r="BG2651" s="1098" t="str">
        <f ca="1">IF(LEFT(BD2651,2)="RF",OFFSET(Pinlist!$D$1,Chart!BC2651,0)&amp;"_"&amp;OFFSET(Pinlist!$G$1,Chart!BC2651,0),"")</f>
        <v/>
      </c>
      <c r="BH2651" s="1098"/>
    </row>
    <row r="2652" spans="53:60" x14ac:dyDescent="0.2">
      <c r="BA2652" s="518">
        <f t="shared" ca="1" si="136"/>
        <v>61</v>
      </c>
      <c r="BB2652" s="174">
        <f t="shared" ca="1" si="137"/>
        <v>2589</v>
      </c>
      <c r="BC2652" s="525" t="e">
        <f ca="1">MATCH(BD2652,OFFSET(Pinlist!$A$2,BC2651*(BA2652=BA2651),0,$BM$23,1),0)+BC2651*(BA2652=BA2651)</f>
        <v>#N/A</v>
      </c>
      <c r="BD2652" s="167">
        <f t="shared" ca="1" si="138"/>
        <v>0</v>
      </c>
      <c r="BE2652" s="191" t="e">
        <f ca="1">(OFFSET(Pinlist!$E$1,BC2652,0)-$BN$16)*$BN$19</f>
        <v>#N/A</v>
      </c>
      <c r="BF2652" s="192" t="e">
        <f ca="1">(OFFSET(Pinlist!$F$1,BC2652,0)-$BO$16)*$BO$19</f>
        <v>#N/A</v>
      </c>
      <c r="BG2652" s="1098" t="str">
        <f ca="1">IF(LEFT(BD2652,2)="RF",OFFSET(Pinlist!$D$1,Chart!BC2652,0)&amp;"_"&amp;OFFSET(Pinlist!$G$1,Chart!BC2652,0),"")</f>
        <v/>
      </c>
      <c r="BH2652" s="1098"/>
    </row>
    <row r="2653" spans="53:60" x14ac:dyDescent="0.2">
      <c r="BA2653" s="518">
        <f t="shared" ca="1" si="136"/>
        <v>61</v>
      </c>
      <c r="BB2653" s="174">
        <f t="shared" ca="1" si="137"/>
        <v>2590</v>
      </c>
      <c r="BC2653" s="525" t="e">
        <f ca="1">MATCH(BD2653,OFFSET(Pinlist!$A$2,BC2652*(BA2653=BA2652),0,$BM$23,1),0)+BC2652*(BA2653=BA2652)</f>
        <v>#N/A</v>
      </c>
      <c r="BD2653" s="167">
        <f t="shared" ca="1" si="138"/>
        <v>0</v>
      </c>
      <c r="BE2653" s="191" t="e">
        <f ca="1">(OFFSET(Pinlist!$E$1,BC2653,0)-$BN$16)*$BN$19</f>
        <v>#N/A</v>
      </c>
      <c r="BF2653" s="192" t="e">
        <f ca="1">(OFFSET(Pinlist!$F$1,BC2653,0)-$BO$16)*$BO$19</f>
        <v>#N/A</v>
      </c>
      <c r="BG2653" s="1098" t="str">
        <f ca="1">IF(LEFT(BD2653,2)="RF",OFFSET(Pinlist!$D$1,Chart!BC2653,0)&amp;"_"&amp;OFFSET(Pinlist!$G$1,Chart!BC2653,0),"")</f>
        <v/>
      </c>
      <c r="BH2653" s="1098"/>
    </row>
    <row r="2654" spans="53:60" x14ac:dyDescent="0.2">
      <c r="BA2654" s="518">
        <f t="shared" ca="1" si="136"/>
        <v>61</v>
      </c>
      <c r="BB2654" s="174">
        <f t="shared" ca="1" si="137"/>
        <v>2591</v>
      </c>
      <c r="BC2654" s="525" t="e">
        <f ca="1">MATCH(BD2654,OFFSET(Pinlist!$A$2,BC2653*(BA2654=BA2653),0,$BM$23,1),0)+BC2653*(BA2654=BA2653)</f>
        <v>#N/A</v>
      </c>
      <c r="BD2654" s="167">
        <f t="shared" ca="1" si="138"/>
        <v>0</v>
      </c>
      <c r="BE2654" s="191" t="e">
        <f ca="1">(OFFSET(Pinlist!$E$1,BC2654,0)-$BN$16)*$BN$19</f>
        <v>#N/A</v>
      </c>
      <c r="BF2654" s="192" t="e">
        <f ca="1">(OFFSET(Pinlist!$F$1,BC2654,0)-$BO$16)*$BO$19</f>
        <v>#N/A</v>
      </c>
      <c r="BG2654" s="1098" t="str">
        <f ca="1">IF(LEFT(BD2654,2)="RF",OFFSET(Pinlist!$D$1,Chart!BC2654,0)&amp;"_"&amp;OFFSET(Pinlist!$G$1,Chart!BC2654,0),"")</f>
        <v/>
      </c>
      <c r="BH2654" s="1098"/>
    </row>
    <row r="2655" spans="53:60" x14ac:dyDescent="0.2">
      <c r="BA2655" s="518">
        <f t="shared" ca="1" si="136"/>
        <v>61</v>
      </c>
      <c r="BB2655" s="174">
        <f t="shared" ca="1" si="137"/>
        <v>2592</v>
      </c>
      <c r="BC2655" s="525" t="e">
        <f ca="1">MATCH(BD2655,OFFSET(Pinlist!$A$2,BC2654*(BA2655=BA2654),0,$BM$23,1),0)+BC2654*(BA2655=BA2654)</f>
        <v>#N/A</v>
      </c>
      <c r="BD2655" s="167">
        <f t="shared" ca="1" si="138"/>
        <v>0</v>
      </c>
      <c r="BE2655" s="191" t="e">
        <f ca="1">(OFFSET(Pinlist!$E$1,BC2655,0)-$BN$16)*$BN$19</f>
        <v>#N/A</v>
      </c>
      <c r="BF2655" s="192" t="e">
        <f ca="1">(OFFSET(Pinlist!$F$1,BC2655,0)-$BO$16)*$BO$19</f>
        <v>#N/A</v>
      </c>
      <c r="BG2655" s="1098" t="str">
        <f ca="1">IF(LEFT(BD2655,2)="RF",OFFSET(Pinlist!$D$1,Chart!BC2655,0)&amp;"_"&amp;OFFSET(Pinlist!$G$1,Chart!BC2655,0),"")</f>
        <v/>
      </c>
      <c r="BH2655" s="1098"/>
    </row>
    <row r="2656" spans="53:60" x14ac:dyDescent="0.2">
      <c r="BA2656" s="518">
        <f t="shared" ca="1" si="136"/>
        <v>61</v>
      </c>
      <c r="BB2656" s="174">
        <f t="shared" ca="1" si="137"/>
        <v>2593</v>
      </c>
      <c r="BC2656" s="525" t="e">
        <f ca="1">MATCH(BD2656,OFFSET(Pinlist!$A$2,BC2655*(BA2656=BA2655),0,$BM$23,1),0)+BC2655*(BA2656=BA2655)</f>
        <v>#N/A</v>
      </c>
      <c r="BD2656" s="167">
        <f t="shared" ca="1" si="138"/>
        <v>0</v>
      </c>
      <c r="BE2656" s="191" t="e">
        <f ca="1">(OFFSET(Pinlist!$E$1,BC2656,0)-$BN$16)*$BN$19</f>
        <v>#N/A</v>
      </c>
      <c r="BF2656" s="192" t="e">
        <f ca="1">(OFFSET(Pinlist!$F$1,BC2656,0)-$BO$16)*$BO$19</f>
        <v>#N/A</v>
      </c>
      <c r="BG2656" s="1098" t="str">
        <f ca="1">IF(LEFT(BD2656,2)="RF",OFFSET(Pinlist!$D$1,Chart!BC2656,0)&amp;"_"&amp;OFFSET(Pinlist!$G$1,Chart!BC2656,0),"")</f>
        <v/>
      </c>
      <c r="BH2656" s="1098"/>
    </row>
    <row r="2657" spans="53:60" x14ac:dyDescent="0.2">
      <c r="BA2657" s="518">
        <f t="shared" ca="1" si="136"/>
        <v>61</v>
      </c>
      <c r="BB2657" s="174">
        <f t="shared" ca="1" si="137"/>
        <v>2594</v>
      </c>
      <c r="BC2657" s="525" t="e">
        <f ca="1">MATCH(BD2657,OFFSET(Pinlist!$A$2,BC2656*(BA2657=BA2656),0,$BM$23,1),0)+BC2656*(BA2657=BA2656)</f>
        <v>#N/A</v>
      </c>
      <c r="BD2657" s="167">
        <f t="shared" ca="1" si="138"/>
        <v>0</v>
      </c>
      <c r="BE2657" s="191" t="e">
        <f ca="1">(OFFSET(Pinlist!$E$1,BC2657,0)-$BN$16)*$BN$19</f>
        <v>#N/A</v>
      </c>
      <c r="BF2657" s="192" t="e">
        <f ca="1">(OFFSET(Pinlist!$F$1,BC2657,0)-$BO$16)*$BO$19</f>
        <v>#N/A</v>
      </c>
      <c r="BG2657" s="1098" t="str">
        <f ca="1">IF(LEFT(BD2657,2)="RF",OFFSET(Pinlist!$D$1,Chart!BC2657,0)&amp;"_"&amp;OFFSET(Pinlist!$G$1,Chart!BC2657,0),"")</f>
        <v/>
      </c>
      <c r="BH2657" s="1098"/>
    </row>
    <row r="2658" spans="53:60" x14ac:dyDescent="0.2">
      <c r="BA2658" s="518">
        <f t="shared" ca="1" si="136"/>
        <v>61</v>
      </c>
      <c r="BB2658" s="174">
        <f t="shared" ca="1" si="137"/>
        <v>2595</v>
      </c>
      <c r="BC2658" s="525" t="e">
        <f ca="1">MATCH(BD2658,OFFSET(Pinlist!$A$2,BC2657*(BA2658=BA2657),0,$BM$23,1),0)+BC2657*(BA2658=BA2657)</f>
        <v>#N/A</v>
      </c>
      <c r="BD2658" s="167">
        <f t="shared" ca="1" si="138"/>
        <v>0</v>
      </c>
      <c r="BE2658" s="191" t="e">
        <f ca="1">(OFFSET(Pinlist!$E$1,BC2658,0)-$BN$16)*$BN$19</f>
        <v>#N/A</v>
      </c>
      <c r="BF2658" s="192" t="e">
        <f ca="1">(OFFSET(Pinlist!$F$1,BC2658,0)-$BO$16)*$BO$19</f>
        <v>#N/A</v>
      </c>
      <c r="BG2658" s="1098" t="str">
        <f ca="1">IF(LEFT(BD2658,2)="RF",OFFSET(Pinlist!$D$1,Chart!BC2658,0)&amp;"_"&amp;OFFSET(Pinlist!$G$1,Chart!BC2658,0),"")</f>
        <v/>
      </c>
      <c r="BH2658" s="1098"/>
    </row>
    <row r="2659" spans="53:60" x14ac:dyDescent="0.2">
      <c r="BA2659" s="518">
        <f t="shared" ca="1" si="136"/>
        <v>61</v>
      </c>
      <c r="BB2659" s="174">
        <f t="shared" ca="1" si="137"/>
        <v>2596</v>
      </c>
      <c r="BC2659" s="525" t="e">
        <f ca="1">MATCH(BD2659,OFFSET(Pinlist!$A$2,BC2658*(BA2659=BA2658),0,$BM$23,1),0)+BC2658*(BA2659=BA2658)</f>
        <v>#N/A</v>
      </c>
      <c r="BD2659" s="167">
        <f t="shared" ca="1" si="138"/>
        <v>0</v>
      </c>
      <c r="BE2659" s="191" t="e">
        <f ca="1">(OFFSET(Pinlist!$E$1,BC2659,0)-$BN$16)*$BN$19</f>
        <v>#N/A</v>
      </c>
      <c r="BF2659" s="192" t="e">
        <f ca="1">(OFFSET(Pinlist!$F$1,BC2659,0)-$BO$16)*$BO$19</f>
        <v>#N/A</v>
      </c>
      <c r="BG2659" s="1098" t="str">
        <f ca="1">IF(LEFT(BD2659,2)="RF",OFFSET(Pinlist!$D$1,Chart!BC2659,0)&amp;"_"&amp;OFFSET(Pinlist!$G$1,Chart!BC2659,0),"")</f>
        <v/>
      </c>
      <c r="BH2659" s="1098"/>
    </row>
    <row r="2660" spans="53:60" x14ac:dyDescent="0.2">
      <c r="BA2660" s="518">
        <f t="shared" ca="1" si="136"/>
        <v>61</v>
      </c>
      <c r="BB2660" s="174">
        <f t="shared" ca="1" si="137"/>
        <v>2597</v>
      </c>
      <c r="BC2660" s="525" t="e">
        <f ca="1">MATCH(BD2660,OFFSET(Pinlist!$A$2,BC2659*(BA2660=BA2659),0,$BM$23,1),0)+BC2659*(BA2660=BA2659)</f>
        <v>#N/A</v>
      </c>
      <c r="BD2660" s="167">
        <f t="shared" ca="1" si="138"/>
        <v>0</v>
      </c>
      <c r="BE2660" s="191" t="e">
        <f ca="1">(OFFSET(Pinlist!$E$1,BC2660,0)-$BN$16)*$BN$19</f>
        <v>#N/A</v>
      </c>
      <c r="BF2660" s="192" t="e">
        <f ca="1">(OFFSET(Pinlist!$F$1,BC2660,0)-$BO$16)*$BO$19</f>
        <v>#N/A</v>
      </c>
      <c r="BG2660" s="1098" t="str">
        <f ca="1">IF(LEFT(BD2660,2)="RF",OFFSET(Pinlist!$D$1,Chart!BC2660,0)&amp;"_"&amp;OFFSET(Pinlist!$G$1,Chart!BC2660,0),"")</f>
        <v/>
      </c>
      <c r="BH2660" s="1098"/>
    </row>
    <row r="2661" spans="53:60" x14ac:dyDescent="0.2">
      <c r="BA2661" s="518">
        <f t="shared" ca="1" si="136"/>
        <v>61</v>
      </c>
      <c r="BB2661" s="174">
        <f t="shared" ca="1" si="137"/>
        <v>2598</v>
      </c>
      <c r="BC2661" s="525" t="e">
        <f ca="1">MATCH(BD2661,OFFSET(Pinlist!$A$2,BC2660*(BA2661=BA2660),0,$BM$23,1),0)+BC2660*(BA2661=BA2660)</f>
        <v>#N/A</v>
      </c>
      <c r="BD2661" s="167">
        <f t="shared" ca="1" si="138"/>
        <v>0</v>
      </c>
      <c r="BE2661" s="191" t="e">
        <f ca="1">(OFFSET(Pinlist!$E$1,BC2661,0)-$BN$16)*$BN$19</f>
        <v>#N/A</v>
      </c>
      <c r="BF2661" s="192" t="e">
        <f ca="1">(OFFSET(Pinlist!$F$1,BC2661,0)-$BO$16)*$BO$19</f>
        <v>#N/A</v>
      </c>
      <c r="BG2661" s="1098" t="str">
        <f ca="1">IF(LEFT(BD2661,2)="RF",OFFSET(Pinlist!$D$1,Chart!BC2661,0)&amp;"_"&amp;OFFSET(Pinlist!$G$1,Chart!BC2661,0),"")</f>
        <v/>
      </c>
      <c r="BH2661" s="1098"/>
    </row>
    <row r="2662" spans="53:60" x14ac:dyDescent="0.2">
      <c r="BA2662" s="518">
        <f t="shared" ca="1" si="136"/>
        <v>61</v>
      </c>
      <c r="BB2662" s="174">
        <f t="shared" ca="1" si="137"/>
        <v>2599</v>
      </c>
      <c r="BC2662" s="525" t="e">
        <f ca="1">MATCH(BD2662,OFFSET(Pinlist!$A$2,BC2661*(BA2662=BA2661),0,$BM$23,1),0)+BC2661*(BA2662=BA2661)</f>
        <v>#N/A</v>
      </c>
      <c r="BD2662" s="167">
        <f t="shared" ca="1" si="138"/>
        <v>0</v>
      </c>
      <c r="BE2662" s="191" t="e">
        <f ca="1">(OFFSET(Pinlist!$E$1,BC2662,0)-$BN$16)*$BN$19</f>
        <v>#N/A</v>
      </c>
      <c r="BF2662" s="192" t="e">
        <f ca="1">(OFFSET(Pinlist!$F$1,BC2662,0)-$BO$16)*$BO$19</f>
        <v>#N/A</v>
      </c>
      <c r="BG2662" s="1098" t="str">
        <f ca="1">IF(LEFT(BD2662,2)="RF",OFFSET(Pinlist!$D$1,Chart!BC2662,0)&amp;"_"&amp;OFFSET(Pinlist!$G$1,Chart!BC2662,0),"")</f>
        <v/>
      </c>
      <c r="BH2662" s="1098"/>
    </row>
    <row r="2663" spans="53:60" x14ac:dyDescent="0.2">
      <c r="BA2663" s="518">
        <f t="shared" ca="1" si="136"/>
        <v>61</v>
      </c>
      <c r="BB2663" s="174">
        <f t="shared" ca="1" si="137"/>
        <v>2600</v>
      </c>
      <c r="BC2663" s="525" t="e">
        <f ca="1">MATCH(BD2663,OFFSET(Pinlist!$A$2,BC2662*(BA2663=BA2662),0,$BM$23,1),0)+BC2662*(BA2663=BA2662)</f>
        <v>#N/A</v>
      </c>
      <c r="BD2663" s="167">
        <f t="shared" ca="1" si="138"/>
        <v>0</v>
      </c>
      <c r="BE2663" s="191" t="e">
        <f ca="1">(OFFSET(Pinlist!$E$1,BC2663,0)-$BN$16)*$BN$19</f>
        <v>#N/A</v>
      </c>
      <c r="BF2663" s="192" t="e">
        <f ca="1">(OFFSET(Pinlist!$F$1,BC2663,0)-$BO$16)*$BO$19</f>
        <v>#N/A</v>
      </c>
      <c r="BG2663" s="1098" t="str">
        <f ca="1">IF(LEFT(BD2663,2)="RF",OFFSET(Pinlist!$D$1,Chart!BC2663,0)&amp;"_"&amp;OFFSET(Pinlist!$G$1,Chart!BC2663,0),"")</f>
        <v/>
      </c>
      <c r="BH2663" s="1098"/>
    </row>
    <row r="2664" spans="53:60" x14ac:dyDescent="0.2">
      <c r="BA2664" s="518">
        <f t="shared" ca="1" si="136"/>
        <v>61</v>
      </c>
      <c r="BB2664" s="174">
        <f t="shared" ca="1" si="137"/>
        <v>2601</v>
      </c>
      <c r="BC2664" s="525" t="e">
        <f ca="1">MATCH(BD2664,OFFSET(Pinlist!$A$2,BC2663*(BA2664=BA2663),0,$BM$23,1),0)+BC2663*(BA2664=BA2663)</f>
        <v>#N/A</v>
      </c>
      <c r="BD2664" s="167">
        <f t="shared" ca="1" si="138"/>
        <v>0</v>
      </c>
      <c r="BE2664" s="191" t="e">
        <f ca="1">(OFFSET(Pinlist!$E$1,BC2664,0)-$BN$16)*$BN$19</f>
        <v>#N/A</v>
      </c>
      <c r="BF2664" s="192" t="e">
        <f ca="1">(OFFSET(Pinlist!$F$1,BC2664,0)-$BO$16)*$BO$19</f>
        <v>#N/A</v>
      </c>
      <c r="BG2664" s="1098" t="str">
        <f ca="1">IF(LEFT(BD2664,2)="RF",OFFSET(Pinlist!$D$1,Chart!BC2664,0)&amp;"_"&amp;OFFSET(Pinlist!$G$1,Chart!BC2664,0),"")</f>
        <v/>
      </c>
      <c r="BH2664" s="1098"/>
    </row>
    <row r="2665" spans="53:60" x14ac:dyDescent="0.2">
      <c r="BA2665" s="518">
        <f t="shared" ca="1" si="136"/>
        <v>61</v>
      </c>
      <c r="BB2665" s="174">
        <f t="shared" ca="1" si="137"/>
        <v>2602</v>
      </c>
      <c r="BC2665" s="525" t="e">
        <f ca="1">MATCH(BD2665,OFFSET(Pinlist!$A$2,BC2664*(BA2665=BA2664),0,$BM$23,1),0)+BC2664*(BA2665=BA2664)</f>
        <v>#N/A</v>
      </c>
      <c r="BD2665" s="167">
        <f t="shared" ca="1" si="138"/>
        <v>0</v>
      </c>
      <c r="BE2665" s="191" t="e">
        <f ca="1">(OFFSET(Pinlist!$E$1,BC2665,0)-$BN$16)*$BN$19</f>
        <v>#N/A</v>
      </c>
      <c r="BF2665" s="192" t="e">
        <f ca="1">(OFFSET(Pinlist!$F$1,BC2665,0)-$BO$16)*$BO$19</f>
        <v>#N/A</v>
      </c>
      <c r="BG2665" s="1098" t="str">
        <f ca="1">IF(LEFT(BD2665,2)="RF",OFFSET(Pinlist!$D$1,Chart!BC2665,0)&amp;"_"&amp;OFFSET(Pinlist!$G$1,Chart!BC2665,0),"")</f>
        <v/>
      </c>
      <c r="BH2665" s="1098"/>
    </row>
    <row r="2666" spans="53:60" x14ac:dyDescent="0.2">
      <c r="BA2666" s="518">
        <f t="shared" ca="1" si="136"/>
        <v>61</v>
      </c>
      <c r="BB2666" s="174">
        <f t="shared" ca="1" si="137"/>
        <v>2603</v>
      </c>
      <c r="BC2666" s="525" t="e">
        <f ca="1">MATCH(BD2666,OFFSET(Pinlist!$A$2,BC2665*(BA2666=BA2665),0,$BM$23,1),0)+BC2665*(BA2666=BA2665)</f>
        <v>#N/A</v>
      </c>
      <c r="BD2666" s="167">
        <f t="shared" ca="1" si="138"/>
        <v>0</v>
      </c>
      <c r="BE2666" s="191" t="e">
        <f ca="1">(OFFSET(Pinlist!$E$1,BC2666,0)-$BN$16)*$BN$19</f>
        <v>#N/A</v>
      </c>
      <c r="BF2666" s="192" t="e">
        <f ca="1">(OFFSET(Pinlist!$F$1,BC2666,0)-$BO$16)*$BO$19</f>
        <v>#N/A</v>
      </c>
      <c r="BG2666" s="1098" t="str">
        <f ca="1">IF(LEFT(BD2666,2)="RF",OFFSET(Pinlist!$D$1,Chart!BC2666,0)&amp;"_"&amp;OFFSET(Pinlist!$G$1,Chart!BC2666,0),"")</f>
        <v/>
      </c>
      <c r="BH2666" s="1098"/>
    </row>
    <row r="2667" spans="53:60" x14ac:dyDescent="0.2">
      <c r="BA2667" s="518">
        <f t="shared" ca="1" si="136"/>
        <v>61</v>
      </c>
      <c r="BB2667" s="174">
        <f t="shared" ca="1" si="137"/>
        <v>2604</v>
      </c>
      <c r="BC2667" s="525" t="e">
        <f ca="1">MATCH(BD2667,OFFSET(Pinlist!$A$2,BC2666*(BA2667=BA2666),0,$BM$23,1),0)+BC2666*(BA2667=BA2666)</f>
        <v>#N/A</v>
      </c>
      <c r="BD2667" s="167">
        <f t="shared" ca="1" si="138"/>
        <v>0</v>
      </c>
      <c r="BE2667" s="191" t="e">
        <f ca="1">(OFFSET(Pinlist!$E$1,BC2667,0)-$BN$16)*$BN$19</f>
        <v>#N/A</v>
      </c>
      <c r="BF2667" s="192" t="e">
        <f ca="1">(OFFSET(Pinlist!$F$1,BC2667,0)-$BO$16)*$BO$19</f>
        <v>#N/A</v>
      </c>
      <c r="BG2667" s="1098" t="str">
        <f ca="1">IF(LEFT(BD2667,2)="RF",OFFSET(Pinlist!$D$1,Chart!BC2667,0)&amp;"_"&amp;OFFSET(Pinlist!$G$1,Chart!BC2667,0),"")</f>
        <v/>
      </c>
      <c r="BH2667" s="1098"/>
    </row>
    <row r="2668" spans="53:60" x14ac:dyDescent="0.2">
      <c r="BA2668" s="518">
        <f t="shared" ca="1" si="136"/>
        <v>61</v>
      </c>
      <c r="BB2668" s="174">
        <f t="shared" ca="1" si="137"/>
        <v>2605</v>
      </c>
      <c r="BC2668" s="525" t="e">
        <f ca="1">MATCH(BD2668,OFFSET(Pinlist!$A$2,BC2667*(BA2668=BA2667),0,$BM$23,1),0)+BC2667*(BA2668=BA2667)</f>
        <v>#N/A</v>
      </c>
      <c r="BD2668" s="167">
        <f t="shared" ca="1" si="138"/>
        <v>0</v>
      </c>
      <c r="BE2668" s="191" t="e">
        <f ca="1">(OFFSET(Pinlist!$E$1,BC2668,0)-$BN$16)*$BN$19</f>
        <v>#N/A</v>
      </c>
      <c r="BF2668" s="192" t="e">
        <f ca="1">(OFFSET(Pinlist!$F$1,BC2668,0)-$BO$16)*$BO$19</f>
        <v>#N/A</v>
      </c>
      <c r="BG2668" s="1098" t="str">
        <f ca="1">IF(LEFT(BD2668,2)="RF",OFFSET(Pinlist!$D$1,Chart!BC2668,0)&amp;"_"&amp;OFFSET(Pinlist!$G$1,Chart!BC2668,0),"")</f>
        <v/>
      </c>
      <c r="BH2668" s="1098"/>
    </row>
    <row r="2669" spans="53:60" x14ac:dyDescent="0.2">
      <c r="BA2669" s="518">
        <f t="shared" ca="1" si="136"/>
        <v>61</v>
      </c>
      <c r="BB2669" s="174">
        <f t="shared" ca="1" si="137"/>
        <v>2606</v>
      </c>
      <c r="BC2669" s="525" t="e">
        <f ca="1">MATCH(BD2669,OFFSET(Pinlist!$A$2,BC2668*(BA2669=BA2668),0,$BM$23,1),0)+BC2668*(BA2669=BA2668)</f>
        <v>#N/A</v>
      </c>
      <c r="BD2669" s="167">
        <f t="shared" ca="1" si="138"/>
        <v>0</v>
      </c>
      <c r="BE2669" s="191" t="e">
        <f ca="1">(OFFSET(Pinlist!$E$1,BC2669,0)-$BN$16)*$BN$19</f>
        <v>#N/A</v>
      </c>
      <c r="BF2669" s="192" t="e">
        <f ca="1">(OFFSET(Pinlist!$F$1,BC2669,0)-$BO$16)*$BO$19</f>
        <v>#N/A</v>
      </c>
      <c r="BG2669" s="1098" t="str">
        <f ca="1">IF(LEFT(BD2669,2)="RF",OFFSET(Pinlist!$D$1,Chart!BC2669,0)&amp;"_"&amp;OFFSET(Pinlist!$G$1,Chart!BC2669,0),"")</f>
        <v/>
      </c>
      <c r="BH2669" s="1098"/>
    </row>
    <row r="2670" spans="53:60" x14ac:dyDescent="0.2">
      <c r="BA2670" s="518">
        <f t="shared" ca="1" si="136"/>
        <v>61</v>
      </c>
      <c r="BB2670" s="174">
        <f t="shared" ca="1" si="137"/>
        <v>2607</v>
      </c>
      <c r="BC2670" s="525" t="e">
        <f ca="1">MATCH(BD2670,OFFSET(Pinlist!$A$2,BC2669*(BA2670=BA2669),0,$BM$23,1),0)+BC2669*(BA2670=BA2669)</f>
        <v>#N/A</v>
      </c>
      <c r="BD2670" s="167">
        <f t="shared" ca="1" si="138"/>
        <v>0</v>
      </c>
      <c r="BE2670" s="191" t="e">
        <f ca="1">(OFFSET(Pinlist!$E$1,BC2670,0)-$BN$16)*$BN$19</f>
        <v>#N/A</v>
      </c>
      <c r="BF2670" s="192" t="e">
        <f ca="1">(OFFSET(Pinlist!$F$1,BC2670,0)-$BO$16)*$BO$19</f>
        <v>#N/A</v>
      </c>
      <c r="BG2670" s="1098" t="str">
        <f ca="1">IF(LEFT(BD2670,2)="RF",OFFSET(Pinlist!$D$1,Chart!BC2670,0)&amp;"_"&amp;OFFSET(Pinlist!$G$1,Chart!BC2670,0),"")</f>
        <v/>
      </c>
      <c r="BH2670" s="1098"/>
    </row>
    <row r="2671" spans="53:60" x14ac:dyDescent="0.2">
      <c r="BA2671" s="518">
        <f t="shared" ca="1" si="136"/>
        <v>61</v>
      </c>
      <c r="BB2671" s="174">
        <f t="shared" ca="1" si="137"/>
        <v>2608</v>
      </c>
      <c r="BC2671" s="525" t="e">
        <f ca="1">MATCH(BD2671,OFFSET(Pinlist!$A$2,BC2670*(BA2671=BA2670),0,$BM$23,1),0)+BC2670*(BA2671=BA2670)</f>
        <v>#N/A</v>
      </c>
      <c r="BD2671" s="167">
        <f t="shared" ca="1" si="138"/>
        <v>0</v>
      </c>
      <c r="BE2671" s="191" t="e">
        <f ca="1">(OFFSET(Pinlist!$E$1,BC2671,0)-$BN$16)*$BN$19</f>
        <v>#N/A</v>
      </c>
      <c r="BF2671" s="192" t="e">
        <f ca="1">(OFFSET(Pinlist!$F$1,BC2671,0)-$BO$16)*$BO$19</f>
        <v>#N/A</v>
      </c>
      <c r="BG2671" s="1098" t="str">
        <f ca="1">IF(LEFT(BD2671,2)="RF",OFFSET(Pinlist!$D$1,Chart!BC2671,0)&amp;"_"&amp;OFFSET(Pinlist!$G$1,Chart!BC2671,0),"")</f>
        <v/>
      </c>
      <c r="BH2671" s="1098"/>
    </row>
    <row r="2672" spans="53:60" x14ac:dyDescent="0.2">
      <c r="BA2672" s="518">
        <f t="shared" ca="1" si="136"/>
        <v>61</v>
      </c>
      <c r="BB2672" s="174">
        <f t="shared" ca="1" si="137"/>
        <v>2609</v>
      </c>
      <c r="BC2672" s="525" t="e">
        <f ca="1">MATCH(BD2672,OFFSET(Pinlist!$A$2,BC2671*(BA2672=BA2671),0,$BM$23,1),0)+BC2671*(BA2672=BA2671)</f>
        <v>#N/A</v>
      </c>
      <c r="BD2672" s="167">
        <f t="shared" ca="1" si="138"/>
        <v>0</v>
      </c>
      <c r="BE2672" s="191" t="e">
        <f ca="1">(OFFSET(Pinlist!$E$1,BC2672,0)-$BN$16)*$BN$19</f>
        <v>#N/A</v>
      </c>
      <c r="BF2672" s="192" t="e">
        <f ca="1">(OFFSET(Pinlist!$F$1,BC2672,0)-$BO$16)*$BO$19</f>
        <v>#N/A</v>
      </c>
      <c r="BG2672" s="1098" t="str">
        <f ca="1">IF(LEFT(BD2672,2)="RF",OFFSET(Pinlist!$D$1,Chart!BC2672,0)&amp;"_"&amp;OFFSET(Pinlist!$G$1,Chart!BC2672,0),"")</f>
        <v/>
      </c>
      <c r="BH2672" s="1098"/>
    </row>
    <row r="2673" spans="53:60" x14ac:dyDescent="0.2">
      <c r="BA2673" s="518">
        <f t="shared" ca="1" si="136"/>
        <v>61</v>
      </c>
      <c r="BB2673" s="174">
        <f t="shared" ca="1" si="137"/>
        <v>2610</v>
      </c>
      <c r="BC2673" s="525" t="e">
        <f ca="1">MATCH(BD2673,OFFSET(Pinlist!$A$2,BC2672*(BA2673=BA2672),0,$BM$23,1),0)+BC2672*(BA2673=BA2672)</f>
        <v>#N/A</v>
      </c>
      <c r="BD2673" s="167">
        <f t="shared" ca="1" si="138"/>
        <v>0</v>
      </c>
      <c r="BE2673" s="191" t="e">
        <f ca="1">(OFFSET(Pinlist!$E$1,BC2673,0)-$BN$16)*$BN$19</f>
        <v>#N/A</v>
      </c>
      <c r="BF2673" s="192" t="e">
        <f ca="1">(OFFSET(Pinlist!$F$1,BC2673,0)-$BO$16)*$BO$19</f>
        <v>#N/A</v>
      </c>
      <c r="BG2673" s="1098" t="str">
        <f ca="1">IF(LEFT(BD2673,2)="RF",OFFSET(Pinlist!$D$1,Chart!BC2673,0)&amp;"_"&amp;OFFSET(Pinlist!$G$1,Chart!BC2673,0),"")</f>
        <v/>
      </c>
      <c r="BH2673" s="1098"/>
    </row>
    <row r="2674" spans="53:60" x14ac:dyDescent="0.2">
      <c r="BA2674" s="518">
        <f t="shared" ca="1" si="136"/>
        <v>61</v>
      </c>
      <c r="BB2674" s="174">
        <f t="shared" ca="1" si="137"/>
        <v>2611</v>
      </c>
      <c r="BC2674" s="525" t="e">
        <f ca="1">MATCH(BD2674,OFFSET(Pinlist!$A$2,BC2673*(BA2674=BA2673),0,$BM$23,1),0)+BC2673*(BA2674=BA2673)</f>
        <v>#N/A</v>
      </c>
      <c r="BD2674" s="167">
        <f t="shared" ca="1" si="138"/>
        <v>0</v>
      </c>
      <c r="BE2674" s="191" t="e">
        <f ca="1">(OFFSET(Pinlist!$E$1,BC2674,0)-$BN$16)*$BN$19</f>
        <v>#N/A</v>
      </c>
      <c r="BF2674" s="192" t="e">
        <f ca="1">(OFFSET(Pinlist!$F$1,BC2674,0)-$BO$16)*$BO$19</f>
        <v>#N/A</v>
      </c>
      <c r="BG2674" s="1098" t="str">
        <f ca="1">IF(LEFT(BD2674,2)="RF",OFFSET(Pinlist!$D$1,Chart!BC2674,0)&amp;"_"&amp;OFFSET(Pinlist!$G$1,Chart!BC2674,0),"")</f>
        <v/>
      </c>
      <c r="BH2674" s="1098"/>
    </row>
    <row r="2675" spans="53:60" x14ac:dyDescent="0.2">
      <c r="BA2675" s="518">
        <f t="shared" ca="1" si="136"/>
        <v>61</v>
      </c>
      <c r="BB2675" s="174">
        <f t="shared" ca="1" si="137"/>
        <v>2612</v>
      </c>
      <c r="BC2675" s="525" t="e">
        <f ca="1">MATCH(BD2675,OFFSET(Pinlist!$A$2,BC2674*(BA2675=BA2674),0,$BM$23,1),0)+BC2674*(BA2675=BA2674)</f>
        <v>#N/A</v>
      </c>
      <c r="BD2675" s="167">
        <f t="shared" ca="1" si="138"/>
        <v>0</v>
      </c>
      <c r="BE2675" s="191" t="e">
        <f ca="1">(OFFSET(Pinlist!$E$1,BC2675,0)-$BN$16)*$BN$19</f>
        <v>#N/A</v>
      </c>
      <c r="BF2675" s="192" t="e">
        <f ca="1">(OFFSET(Pinlist!$F$1,BC2675,0)-$BO$16)*$BO$19</f>
        <v>#N/A</v>
      </c>
      <c r="BG2675" s="1098" t="str">
        <f ca="1">IF(LEFT(BD2675,2)="RF",OFFSET(Pinlist!$D$1,Chart!BC2675,0)&amp;"_"&amp;OFFSET(Pinlist!$G$1,Chart!BC2675,0),"")</f>
        <v/>
      </c>
      <c r="BH2675" s="1098"/>
    </row>
    <row r="2676" spans="53:60" x14ac:dyDescent="0.2">
      <c r="BA2676" s="518">
        <f t="shared" ca="1" si="136"/>
        <v>61</v>
      </c>
      <c r="BB2676" s="174">
        <f t="shared" ca="1" si="137"/>
        <v>2613</v>
      </c>
      <c r="BC2676" s="525" t="e">
        <f ca="1">MATCH(BD2676,OFFSET(Pinlist!$A$2,BC2675*(BA2676=BA2675),0,$BM$23,1),0)+BC2675*(BA2676=BA2675)</f>
        <v>#N/A</v>
      </c>
      <c r="BD2676" s="167">
        <f t="shared" ca="1" si="138"/>
        <v>0</v>
      </c>
      <c r="BE2676" s="191" t="e">
        <f ca="1">(OFFSET(Pinlist!$E$1,BC2676,0)-$BN$16)*$BN$19</f>
        <v>#N/A</v>
      </c>
      <c r="BF2676" s="192" t="e">
        <f ca="1">(OFFSET(Pinlist!$F$1,BC2676,0)-$BO$16)*$BO$19</f>
        <v>#N/A</v>
      </c>
      <c r="BG2676" s="1098" t="str">
        <f ca="1">IF(LEFT(BD2676,2)="RF",OFFSET(Pinlist!$D$1,Chart!BC2676,0)&amp;"_"&amp;OFFSET(Pinlist!$G$1,Chart!BC2676,0),"")</f>
        <v/>
      </c>
      <c r="BH2676" s="1098"/>
    </row>
    <row r="2677" spans="53:60" x14ac:dyDescent="0.2">
      <c r="BA2677" s="518">
        <f t="shared" ca="1" si="136"/>
        <v>61</v>
      </c>
      <c r="BB2677" s="174">
        <f t="shared" ca="1" si="137"/>
        <v>2614</v>
      </c>
      <c r="BC2677" s="525" t="e">
        <f ca="1">MATCH(BD2677,OFFSET(Pinlist!$A$2,BC2676*(BA2677=BA2676),0,$BM$23,1),0)+BC2676*(BA2677=BA2676)</f>
        <v>#N/A</v>
      </c>
      <c r="BD2677" s="167">
        <f t="shared" ca="1" si="138"/>
        <v>0</v>
      </c>
      <c r="BE2677" s="191" t="e">
        <f ca="1">(OFFSET(Pinlist!$E$1,BC2677,0)-$BN$16)*$BN$19</f>
        <v>#N/A</v>
      </c>
      <c r="BF2677" s="192" t="e">
        <f ca="1">(OFFSET(Pinlist!$F$1,BC2677,0)-$BO$16)*$BO$19</f>
        <v>#N/A</v>
      </c>
      <c r="BG2677" s="1098" t="str">
        <f ca="1">IF(LEFT(BD2677,2)="RF",OFFSET(Pinlist!$D$1,Chart!BC2677,0)&amp;"_"&amp;OFFSET(Pinlist!$G$1,Chart!BC2677,0),"")</f>
        <v/>
      </c>
      <c r="BH2677" s="1098"/>
    </row>
    <row r="2678" spans="53:60" x14ac:dyDescent="0.2">
      <c r="BA2678" s="518">
        <f t="shared" ca="1" si="136"/>
        <v>61</v>
      </c>
      <c r="BB2678" s="174">
        <f t="shared" ca="1" si="137"/>
        <v>2615</v>
      </c>
      <c r="BC2678" s="525" t="e">
        <f ca="1">MATCH(BD2678,OFFSET(Pinlist!$A$2,BC2677*(BA2678=BA2677),0,$BM$23,1),0)+BC2677*(BA2678=BA2677)</f>
        <v>#N/A</v>
      </c>
      <c r="BD2678" s="167">
        <f t="shared" ca="1" si="138"/>
        <v>0</v>
      </c>
      <c r="BE2678" s="191" t="e">
        <f ca="1">(OFFSET(Pinlist!$E$1,BC2678,0)-$BN$16)*$BN$19</f>
        <v>#N/A</v>
      </c>
      <c r="BF2678" s="192" t="e">
        <f ca="1">(OFFSET(Pinlist!$F$1,BC2678,0)-$BO$16)*$BO$19</f>
        <v>#N/A</v>
      </c>
      <c r="BG2678" s="1098" t="str">
        <f ca="1">IF(LEFT(BD2678,2)="RF",OFFSET(Pinlist!$D$1,Chart!BC2678,0)&amp;"_"&amp;OFFSET(Pinlist!$G$1,Chart!BC2678,0),"")</f>
        <v/>
      </c>
      <c r="BH2678" s="1098"/>
    </row>
    <row r="2679" spans="53:60" x14ac:dyDescent="0.2">
      <c r="BA2679" s="518">
        <f t="shared" ca="1" si="136"/>
        <v>61</v>
      </c>
      <c r="BB2679" s="174">
        <f t="shared" ca="1" si="137"/>
        <v>2616</v>
      </c>
      <c r="BC2679" s="525" t="e">
        <f ca="1">MATCH(BD2679,OFFSET(Pinlist!$A$2,BC2678*(BA2679=BA2678),0,$BM$23,1),0)+BC2678*(BA2679=BA2678)</f>
        <v>#N/A</v>
      </c>
      <c r="BD2679" s="167">
        <f t="shared" ca="1" si="138"/>
        <v>0</v>
      </c>
      <c r="BE2679" s="191" t="e">
        <f ca="1">(OFFSET(Pinlist!$E$1,BC2679,0)-$BN$16)*$BN$19</f>
        <v>#N/A</v>
      </c>
      <c r="BF2679" s="192" t="e">
        <f ca="1">(OFFSET(Pinlist!$F$1,BC2679,0)-$BO$16)*$BO$19</f>
        <v>#N/A</v>
      </c>
      <c r="BG2679" s="1098" t="str">
        <f ca="1">IF(LEFT(BD2679,2)="RF",OFFSET(Pinlist!$D$1,Chart!BC2679,0)&amp;"_"&amp;OFFSET(Pinlist!$G$1,Chart!BC2679,0),"")</f>
        <v/>
      </c>
      <c r="BH2679" s="1098"/>
    </row>
    <row r="2680" spans="53:60" x14ac:dyDescent="0.2">
      <c r="BA2680" s="518">
        <f t="shared" ca="1" si="136"/>
        <v>61</v>
      </c>
      <c r="BB2680" s="174">
        <f t="shared" ca="1" si="137"/>
        <v>2617</v>
      </c>
      <c r="BC2680" s="525" t="e">
        <f ca="1">MATCH(BD2680,OFFSET(Pinlist!$A$2,BC2679*(BA2680=BA2679),0,$BM$23,1),0)+BC2679*(BA2680=BA2679)</f>
        <v>#N/A</v>
      </c>
      <c r="BD2680" s="167">
        <f t="shared" ca="1" si="138"/>
        <v>0</v>
      </c>
      <c r="BE2680" s="191" t="e">
        <f ca="1">(OFFSET(Pinlist!$E$1,BC2680,0)-$BN$16)*$BN$19</f>
        <v>#N/A</v>
      </c>
      <c r="BF2680" s="192" t="e">
        <f ca="1">(OFFSET(Pinlist!$F$1,BC2680,0)-$BO$16)*$BO$19</f>
        <v>#N/A</v>
      </c>
      <c r="BG2680" s="1098" t="str">
        <f ca="1">IF(LEFT(BD2680,2)="RF",OFFSET(Pinlist!$D$1,Chart!BC2680,0)&amp;"_"&amp;OFFSET(Pinlist!$G$1,Chart!BC2680,0),"")</f>
        <v/>
      </c>
      <c r="BH2680" s="1098"/>
    </row>
    <row r="2681" spans="53:60" x14ac:dyDescent="0.2">
      <c r="BA2681" s="518">
        <f t="shared" ca="1" si="136"/>
        <v>61</v>
      </c>
      <c r="BB2681" s="174">
        <f t="shared" ca="1" si="137"/>
        <v>2618</v>
      </c>
      <c r="BC2681" s="525" t="e">
        <f ca="1">MATCH(BD2681,OFFSET(Pinlist!$A$2,BC2680*(BA2681=BA2680),0,$BM$23,1),0)+BC2680*(BA2681=BA2680)</f>
        <v>#N/A</v>
      </c>
      <c r="BD2681" s="167">
        <f t="shared" ca="1" si="138"/>
        <v>0</v>
      </c>
      <c r="BE2681" s="191" t="e">
        <f ca="1">(OFFSET(Pinlist!$E$1,BC2681,0)-$BN$16)*$BN$19</f>
        <v>#N/A</v>
      </c>
      <c r="BF2681" s="192" t="e">
        <f ca="1">(OFFSET(Pinlist!$F$1,BC2681,0)-$BO$16)*$BO$19</f>
        <v>#N/A</v>
      </c>
      <c r="BG2681" s="1098" t="str">
        <f ca="1">IF(LEFT(BD2681,2)="RF",OFFSET(Pinlist!$D$1,Chart!BC2681,0)&amp;"_"&amp;OFFSET(Pinlist!$G$1,Chart!BC2681,0),"")</f>
        <v/>
      </c>
      <c r="BH2681" s="1098"/>
    </row>
    <row r="2682" spans="53:60" x14ac:dyDescent="0.2">
      <c r="BA2682" s="518">
        <f t="shared" ca="1" si="136"/>
        <v>61</v>
      </c>
      <c r="BB2682" s="174">
        <f t="shared" ca="1" si="137"/>
        <v>2619</v>
      </c>
      <c r="BC2682" s="525" t="e">
        <f ca="1">MATCH(BD2682,OFFSET(Pinlist!$A$2,BC2681*(BA2682=BA2681),0,$BM$23,1),0)+BC2681*(BA2682=BA2681)</f>
        <v>#N/A</v>
      </c>
      <c r="BD2682" s="167">
        <f t="shared" ca="1" si="138"/>
        <v>0</v>
      </c>
      <c r="BE2682" s="191" t="e">
        <f ca="1">(OFFSET(Pinlist!$E$1,BC2682,0)-$BN$16)*$BN$19</f>
        <v>#N/A</v>
      </c>
      <c r="BF2682" s="192" t="e">
        <f ca="1">(OFFSET(Pinlist!$F$1,BC2682,0)-$BO$16)*$BO$19</f>
        <v>#N/A</v>
      </c>
      <c r="BG2682" s="1098" t="str">
        <f ca="1">IF(LEFT(BD2682,2)="RF",OFFSET(Pinlist!$D$1,Chart!BC2682,0)&amp;"_"&amp;OFFSET(Pinlist!$G$1,Chart!BC2682,0),"")</f>
        <v/>
      </c>
      <c r="BH2682" s="1098"/>
    </row>
    <row r="2683" spans="53:60" x14ac:dyDescent="0.2">
      <c r="BA2683" s="518">
        <f t="shared" ca="1" si="136"/>
        <v>61</v>
      </c>
      <c r="BB2683" s="174">
        <f t="shared" ca="1" si="137"/>
        <v>2620</v>
      </c>
      <c r="BC2683" s="525" t="e">
        <f ca="1">MATCH(BD2683,OFFSET(Pinlist!$A$2,BC2682*(BA2683=BA2682),0,$BM$23,1),0)+BC2682*(BA2683=BA2682)</f>
        <v>#N/A</v>
      </c>
      <c r="BD2683" s="167">
        <f t="shared" ca="1" si="138"/>
        <v>0</v>
      </c>
      <c r="BE2683" s="191" t="e">
        <f ca="1">(OFFSET(Pinlist!$E$1,BC2683,0)-$BN$16)*$BN$19</f>
        <v>#N/A</v>
      </c>
      <c r="BF2683" s="192" t="e">
        <f ca="1">(OFFSET(Pinlist!$F$1,BC2683,0)-$BO$16)*$BO$19</f>
        <v>#N/A</v>
      </c>
      <c r="BG2683" s="1098" t="str">
        <f ca="1">IF(LEFT(BD2683,2)="RF",OFFSET(Pinlist!$D$1,Chart!BC2683,0)&amp;"_"&amp;OFFSET(Pinlist!$G$1,Chart!BC2683,0),"")</f>
        <v/>
      </c>
      <c r="BH2683" s="1098"/>
    </row>
    <row r="2684" spans="53:60" x14ac:dyDescent="0.2">
      <c r="BA2684" s="518">
        <f t="shared" ca="1" si="136"/>
        <v>61</v>
      </c>
      <c r="BB2684" s="174">
        <f t="shared" ca="1" si="137"/>
        <v>2621</v>
      </c>
      <c r="BC2684" s="525" t="e">
        <f ca="1">MATCH(BD2684,OFFSET(Pinlist!$A$2,BC2683*(BA2684=BA2683),0,$BM$23,1),0)+BC2683*(BA2684=BA2683)</f>
        <v>#N/A</v>
      </c>
      <c r="BD2684" s="167">
        <f t="shared" ca="1" si="138"/>
        <v>0</v>
      </c>
      <c r="BE2684" s="191" t="e">
        <f ca="1">(OFFSET(Pinlist!$E$1,BC2684,0)-$BN$16)*$BN$19</f>
        <v>#N/A</v>
      </c>
      <c r="BF2684" s="192" t="e">
        <f ca="1">(OFFSET(Pinlist!$F$1,BC2684,0)-$BO$16)*$BO$19</f>
        <v>#N/A</v>
      </c>
      <c r="BG2684" s="1098" t="str">
        <f ca="1">IF(LEFT(BD2684,2)="RF",OFFSET(Pinlist!$D$1,Chart!BC2684,0)&amp;"_"&amp;OFFSET(Pinlist!$G$1,Chart!BC2684,0),"")</f>
        <v/>
      </c>
      <c r="BH2684" s="1098"/>
    </row>
    <row r="2685" spans="53:60" x14ac:dyDescent="0.2">
      <c r="BA2685" s="518">
        <f t="shared" ca="1" si="136"/>
        <v>61</v>
      </c>
      <c r="BB2685" s="174">
        <f t="shared" ca="1" si="137"/>
        <v>2622</v>
      </c>
      <c r="BC2685" s="525" t="e">
        <f ca="1">MATCH(BD2685,OFFSET(Pinlist!$A$2,BC2684*(BA2685=BA2684),0,$BM$23,1),0)+BC2684*(BA2685=BA2684)</f>
        <v>#N/A</v>
      </c>
      <c r="BD2685" s="167">
        <f t="shared" ca="1" si="138"/>
        <v>0</v>
      </c>
      <c r="BE2685" s="191" t="e">
        <f ca="1">(OFFSET(Pinlist!$E$1,BC2685,0)-$BN$16)*$BN$19</f>
        <v>#N/A</v>
      </c>
      <c r="BF2685" s="192" t="e">
        <f ca="1">(OFFSET(Pinlist!$F$1,BC2685,0)-$BO$16)*$BO$19</f>
        <v>#N/A</v>
      </c>
      <c r="BG2685" s="1098" t="str">
        <f ca="1">IF(LEFT(BD2685,2)="RF",OFFSET(Pinlist!$D$1,Chart!BC2685,0)&amp;"_"&amp;OFFSET(Pinlist!$G$1,Chart!BC2685,0),"")</f>
        <v/>
      </c>
      <c r="BH2685" s="1098"/>
    </row>
    <row r="2686" spans="53:60" x14ac:dyDescent="0.2">
      <c r="BA2686" s="518">
        <f t="shared" ca="1" si="136"/>
        <v>61</v>
      </c>
      <c r="BB2686" s="174">
        <f t="shared" ca="1" si="137"/>
        <v>2623</v>
      </c>
      <c r="BC2686" s="525" t="e">
        <f ca="1">MATCH(BD2686,OFFSET(Pinlist!$A$2,BC2685*(BA2686=BA2685),0,$BM$23,1),0)+BC2685*(BA2686=BA2685)</f>
        <v>#N/A</v>
      </c>
      <c r="BD2686" s="167">
        <f t="shared" ca="1" si="138"/>
        <v>0</v>
      </c>
      <c r="BE2686" s="191" t="e">
        <f ca="1">(OFFSET(Pinlist!$E$1,BC2686,0)-$BN$16)*$BN$19</f>
        <v>#N/A</v>
      </c>
      <c r="BF2686" s="192" t="e">
        <f ca="1">(OFFSET(Pinlist!$F$1,BC2686,0)-$BO$16)*$BO$19</f>
        <v>#N/A</v>
      </c>
      <c r="BG2686" s="1098" t="str">
        <f ca="1">IF(LEFT(BD2686,2)="RF",OFFSET(Pinlist!$D$1,Chart!BC2686,0)&amp;"_"&amp;OFFSET(Pinlist!$G$1,Chart!BC2686,0),"")</f>
        <v/>
      </c>
      <c r="BH2686" s="1098"/>
    </row>
    <row r="2687" spans="53:60" x14ac:dyDescent="0.2">
      <c r="BA2687" s="518">
        <f t="shared" ca="1" si="136"/>
        <v>61</v>
      </c>
      <c r="BB2687" s="174">
        <f t="shared" ca="1" si="137"/>
        <v>2624</v>
      </c>
      <c r="BC2687" s="525" t="e">
        <f ca="1">MATCH(BD2687,OFFSET(Pinlist!$A$2,BC2686*(BA2687=BA2686),0,$BM$23,1),0)+BC2686*(BA2687=BA2686)</f>
        <v>#N/A</v>
      </c>
      <c r="BD2687" s="167">
        <f t="shared" ca="1" si="138"/>
        <v>0</v>
      </c>
      <c r="BE2687" s="191" t="e">
        <f ca="1">(OFFSET(Pinlist!$E$1,BC2687,0)-$BN$16)*$BN$19</f>
        <v>#N/A</v>
      </c>
      <c r="BF2687" s="192" t="e">
        <f ca="1">(OFFSET(Pinlist!$F$1,BC2687,0)-$BO$16)*$BO$19</f>
        <v>#N/A</v>
      </c>
      <c r="BG2687" s="1098" t="str">
        <f ca="1">IF(LEFT(BD2687,2)="RF",OFFSET(Pinlist!$D$1,Chart!BC2687,0)&amp;"_"&amp;OFFSET(Pinlist!$G$1,Chart!BC2687,0),"")</f>
        <v/>
      </c>
      <c r="BH2687" s="1098"/>
    </row>
    <row r="2688" spans="53:60" x14ac:dyDescent="0.2">
      <c r="BA2688" s="518">
        <f t="shared" ca="1" si="136"/>
        <v>61</v>
      </c>
      <c r="BB2688" s="174">
        <f t="shared" ca="1" si="137"/>
        <v>2625</v>
      </c>
      <c r="BC2688" s="525" t="e">
        <f ca="1">MATCH(BD2688,OFFSET(Pinlist!$A$2,BC2687*(BA2688=BA2687),0,$BM$23,1),0)+BC2687*(BA2688=BA2687)</f>
        <v>#N/A</v>
      </c>
      <c r="BD2688" s="167">
        <f t="shared" ca="1" si="138"/>
        <v>0</v>
      </c>
      <c r="BE2688" s="191" t="e">
        <f ca="1">(OFFSET(Pinlist!$E$1,BC2688,0)-$BN$16)*$BN$19</f>
        <v>#N/A</v>
      </c>
      <c r="BF2688" s="192" t="e">
        <f ca="1">(OFFSET(Pinlist!$F$1,BC2688,0)-$BO$16)*$BO$19</f>
        <v>#N/A</v>
      </c>
      <c r="BG2688" s="1098" t="str">
        <f ca="1">IF(LEFT(BD2688,2)="RF",OFFSET(Pinlist!$D$1,Chart!BC2688,0)&amp;"_"&amp;OFFSET(Pinlist!$G$1,Chart!BC2688,0),"")</f>
        <v/>
      </c>
      <c r="BH2688" s="1098"/>
    </row>
    <row r="2689" spans="53:60" x14ac:dyDescent="0.2">
      <c r="BA2689" s="518">
        <f t="shared" ca="1" si="136"/>
        <v>61</v>
      </c>
      <c r="BB2689" s="174">
        <f t="shared" ca="1" si="137"/>
        <v>2626</v>
      </c>
      <c r="BC2689" s="525" t="e">
        <f ca="1">MATCH(BD2689,OFFSET(Pinlist!$A$2,BC2688*(BA2689=BA2688),0,$BM$23,1),0)+BC2688*(BA2689=BA2688)</f>
        <v>#N/A</v>
      </c>
      <c r="BD2689" s="167">
        <f t="shared" ca="1" si="138"/>
        <v>0</v>
      </c>
      <c r="BE2689" s="191" t="e">
        <f ca="1">(OFFSET(Pinlist!$E$1,BC2689,0)-$BN$16)*$BN$19</f>
        <v>#N/A</v>
      </c>
      <c r="BF2689" s="192" t="e">
        <f ca="1">(OFFSET(Pinlist!$F$1,BC2689,0)-$BO$16)*$BO$19</f>
        <v>#N/A</v>
      </c>
      <c r="BG2689" s="1098" t="str">
        <f ca="1">IF(LEFT(BD2689,2)="RF",OFFSET(Pinlist!$D$1,Chart!BC2689,0)&amp;"_"&amp;OFFSET(Pinlist!$G$1,Chart!BC2689,0),"")</f>
        <v/>
      </c>
      <c r="BH2689" s="1098"/>
    </row>
    <row r="2690" spans="53:60" x14ac:dyDescent="0.2">
      <c r="BA2690" s="518">
        <f t="shared" ca="1" si="136"/>
        <v>61</v>
      </c>
      <c r="BB2690" s="174">
        <f t="shared" ca="1" si="137"/>
        <v>2627</v>
      </c>
      <c r="BC2690" s="525" t="e">
        <f ca="1">MATCH(BD2690,OFFSET(Pinlist!$A$2,BC2689*(BA2690=BA2689),0,$BM$23,1),0)+BC2689*(BA2690=BA2689)</f>
        <v>#N/A</v>
      </c>
      <c r="BD2690" s="167">
        <f t="shared" ca="1" si="138"/>
        <v>0</v>
      </c>
      <c r="BE2690" s="191" t="e">
        <f ca="1">(OFFSET(Pinlist!$E$1,BC2690,0)-$BN$16)*$BN$19</f>
        <v>#N/A</v>
      </c>
      <c r="BF2690" s="192" t="e">
        <f ca="1">(OFFSET(Pinlist!$F$1,BC2690,0)-$BO$16)*$BO$19</f>
        <v>#N/A</v>
      </c>
      <c r="BG2690" s="1098" t="str">
        <f ca="1">IF(LEFT(BD2690,2)="RF",OFFSET(Pinlist!$D$1,Chart!BC2690,0)&amp;"_"&amp;OFFSET(Pinlist!$G$1,Chart!BC2690,0),"")</f>
        <v/>
      </c>
      <c r="BH2690" s="1098"/>
    </row>
    <row r="2691" spans="53:60" x14ac:dyDescent="0.2">
      <c r="BA2691" s="518">
        <f t="shared" ca="1" si="136"/>
        <v>61</v>
      </c>
      <c r="BB2691" s="174">
        <f t="shared" ca="1" si="137"/>
        <v>2628</v>
      </c>
      <c r="BC2691" s="525" t="e">
        <f ca="1">MATCH(BD2691,OFFSET(Pinlist!$A$2,BC2690*(BA2691=BA2690),0,$BM$23,1),0)+BC2690*(BA2691=BA2690)</f>
        <v>#N/A</v>
      </c>
      <c r="BD2691" s="167">
        <f t="shared" ca="1" si="138"/>
        <v>0</v>
      </c>
      <c r="BE2691" s="191" t="e">
        <f ca="1">(OFFSET(Pinlist!$E$1,BC2691,0)-$BN$16)*$BN$19</f>
        <v>#N/A</v>
      </c>
      <c r="BF2691" s="192" t="e">
        <f ca="1">(OFFSET(Pinlist!$F$1,BC2691,0)-$BO$16)*$BO$19</f>
        <v>#N/A</v>
      </c>
      <c r="BG2691" s="1098" t="str">
        <f ca="1">IF(LEFT(BD2691,2)="RF",OFFSET(Pinlist!$D$1,Chart!BC2691,0)&amp;"_"&amp;OFFSET(Pinlist!$G$1,Chart!BC2691,0),"")</f>
        <v/>
      </c>
      <c r="BH2691" s="1098"/>
    </row>
    <row r="2692" spans="53:60" x14ac:dyDescent="0.2">
      <c r="BA2692" s="518">
        <f t="shared" ref="BA2692:BA2755" ca="1" si="139">BA2691+(BB2691=OFFSET($BZ$3,BA2691,0))</f>
        <v>61</v>
      </c>
      <c r="BB2692" s="174">
        <f t="shared" ref="BB2692:BB2755" ca="1" si="140">IF(BA2692=BA2691,BB2691+1,1)</f>
        <v>2629</v>
      </c>
      <c r="BC2692" s="525" t="e">
        <f ca="1">MATCH(BD2692,OFFSET(Pinlist!$A$2,BC2691*(BA2692=BA2691),0,$BM$23,1),0)+BC2691*(BA2692=BA2691)</f>
        <v>#N/A</v>
      </c>
      <c r="BD2692" s="167">
        <f t="shared" ref="BD2692:BD2755" ca="1" si="141">OFFSET($BY$3,BA2692,0)</f>
        <v>0</v>
      </c>
      <c r="BE2692" s="191" t="e">
        <f ca="1">(OFFSET(Pinlist!$E$1,BC2692,0)-$BN$16)*$BN$19</f>
        <v>#N/A</v>
      </c>
      <c r="BF2692" s="192" t="e">
        <f ca="1">(OFFSET(Pinlist!$F$1,BC2692,0)-$BO$16)*$BO$19</f>
        <v>#N/A</v>
      </c>
      <c r="BG2692" s="1098" t="str">
        <f ca="1">IF(LEFT(BD2692,2)="RF",OFFSET(Pinlist!$D$1,Chart!BC2692,0)&amp;"_"&amp;OFFSET(Pinlist!$G$1,Chart!BC2692,0),"")</f>
        <v/>
      </c>
      <c r="BH2692" s="1098"/>
    </row>
    <row r="2693" spans="53:60" x14ac:dyDescent="0.2">
      <c r="BA2693" s="518">
        <f t="shared" ca="1" si="139"/>
        <v>61</v>
      </c>
      <c r="BB2693" s="174">
        <f t="shared" ca="1" si="140"/>
        <v>2630</v>
      </c>
      <c r="BC2693" s="525" t="e">
        <f ca="1">MATCH(BD2693,OFFSET(Pinlist!$A$2,BC2692*(BA2693=BA2692),0,$BM$23,1),0)+BC2692*(BA2693=BA2692)</f>
        <v>#N/A</v>
      </c>
      <c r="BD2693" s="167">
        <f t="shared" ca="1" si="141"/>
        <v>0</v>
      </c>
      <c r="BE2693" s="191" t="e">
        <f ca="1">(OFFSET(Pinlist!$E$1,BC2693,0)-$BN$16)*$BN$19</f>
        <v>#N/A</v>
      </c>
      <c r="BF2693" s="192" t="e">
        <f ca="1">(OFFSET(Pinlist!$F$1,BC2693,0)-$BO$16)*$BO$19</f>
        <v>#N/A</v>
      </c>
      <c r="BG2693" s="1098" t="str">
        <f ca="1">IF(LEFT(BD2693,2)="RF",OFFSET(Pinlist!$D$1,Chart!BC2693,0)&amp;"_"&amp;OFFSET(Pinlist!$G$1,Chart!BC2693,0),"")</f>
        <v/>
      </c>
      <c r="BH2693" s="1098"/>
    </row>
    <row r="2694" spans="53:60" x14ac:dyDescent="0.2">
      <c r="BA2694" s="518">
        <f t="shared" ca="1" si="139"/>
        <v>61</v>
      </c>
      <c r="BB2694" s="174">
        <f t="shared" ca="1" si="140"/>
        <v>2631</v>
      </c>
      <c r="BC2694" s="525" t="e">
        <f ca="1">MATCH(BD2694,OFFSET(Pinlist!$A$2,BC2693*(BA2694=BA2693),0,$BM$23,1),0)+BC2693*(BA2694=BA2693)</f>
        <v>#N/A</v>
      </c>
      <c r="BD2694" s="167">
        <f t="shared" ca="1" si="141"/>
        <v>0</v>
      </c>
      <c r="BE2694" s="191" t="e">
        <f ca="1">(OFFSET(Pinlist!$E$1,BC2694,0)-$BN$16)*$BN$19</f>
        <v>#N/A</v>
      </c>
      <c r="BF2694" s="192" t="e">
        <f ca="1">(OFFSET(Pinlist!$F$1,BC2694,0)-$BO$16)*$BO$19</f>
        <v>#N/A</v>
      </c>
      <c r="BG2694" s="1098" t="str">
        <f ca="1">IF(LEFT(BD2694,2)="RF",OFFSET(Pinlist!$D$1,Chart!BC2694,0)&amp;"_"&amp;OFFSET(Pinlist!$G$1,Chart!BC2694,0),"")</f>
        <v/>
      </c>
      <c r="BH2694" s="1098"/>
    </row>
    <row r="2695" spans="53:60" x14ac:dyDescent="0.2">
      <c r="BA2695" s="518">
        <f t="shared" ca="1" si="139"/>
        <v>61</v>
      </c>
      <c r="BB2695" s="174">
        <f t="shared" ca="1" si="140"/>
        <v>2632</v>
      </c>
      <c r="BC2695" s="525" t="e">
        <f ca="1">MATCH(BD2695,OFFSET(Pinlist!$A$2,BC2694*(BA2695=BA2694),0,$BM$23,1),0)+BC2694*(BA2695=BA2694)</f>
        <v>#N/A</v>
      </c>
      <c r="BD2695" s="167">
        <f t="shared" ca="1" si="141"/>
        <v>0</v>
      </c>
      <c r="BE2695" s="191" t="e">
        <f ca="1">(OFFSET(Pinlist!$E$1,BC2695,0)-$BN$16)*$BN$19</f>
        <v>#N/A</v>
      </c>
      <c r="BF2695" s="192" t="e">
        <f ca="1">(OFFSET(Pinlist!$F$1,BC2695,0)-$BO$16)*$BO$19</f>
        <v>#N/A</v>
      </c>
      <c r="BG2695" s="1098" t="str">
        <f ca="1">IF(LEFT(BD2695,2)="RF",OFFSET(Pinlist!$D$1,Chart!BC2695,0)&amp;"_"&amp;OFFSET(Pinlist!$G$1,Chart!BC2695,0),"")</f>
        <v/>
      </c>
      <c r="BH2695" s="1098"/>
    </row>
    <row r="2696" spans="53:60" x14ac:dyDescent="0.2">
      <c r="BA2696" s="518">
        <f t="shared" ca="1" si="139"/>
        <v>61</v>
      </c>
      <c r="BB2696" s="174">
        <f t="shared" ca="1" si="140"/>
        <v>2633</v>
      </c>
      <c r="BC2696" s="525" t="e">
        <f ca="1">MATCH(BD2696,OFFSET(Pinlist!$A$2,BC2695*(BA2696=BA2695),0,$BM$23,1),0)+BC2695*(BA2696=BA2695)</f>
        <v>#N/A</v>
      </c>
      <c r="BD2696" s="167">
        <f t="shared" ca="1" si="141"/>
        <v>0</v>
      </c>
      <c r="BE2696" s="191" t="e">
        <f ca="1">(OFFSET(Pinlist!$E$1,BC2696,0)-$BN$16)*$BN$19</f>
        <v>#N/A</v>
      </c>
      <c r="BF2696" s="192" t="e">
        <f ca="1">(OFFSET(Pinlist!$F$1,BC2696,0)-$BO$16)*$BO$19</f>
        <v>#N/A</v>
      </c>
      <c r="BG2696" s="1098" t="str">
        <f ca="1">IF(LEFT(BD2696,2)="RF",OFFSET(Pinlist!$D$1,Chart!BC2696,0)&amp;"_"&amp;OFFSET(Pinlist!$G$1,Chart!BC2696,0),"")</f>
        <v/>
      </c>
      <c r="BH2696" s="1098"/>
    </row>
    <row r="2697" spans="53:60" x14ac:dyDescent="0.2">
      <c r="BA2697" s="518">
        <f t="shared" ca="1" si="139"/>
        <v>61</v>
      </c>
      <c r="BB2697" s="174">
        <f t="shared" ca="1" si="140"/>
        <v>2634</v>
      </c>
      <c r="BC2697" s="525" t="e">
        <f ca="1">MATCH(BD2697,OFFSET(Pinlist!$A$2,BC2696*(BA2697=BA2696),0,$BM$23,1),0)+BC2696*(BA2697=BA2696)</f>
        <v>#N/A</v>
      </c>
      <c r="BD2697" s="167">
        <f t="shared" ca="1" si="141"/>
        <v>0</v>
      </c>
      <c r="BE2697" s="191" t="e">
        <f ca="1">(OFFSET(Pinlist!$E$1,BC2697,0)-$BN$16)*$BN$19</f>
        <v>#N/A</v>
      </c>
      <c r="BF2697" s="192" t="e">
        <f ca="1">(OFFSET(Pinlist!$F$1,BC2697,0)-$BO$16)*$BO$19</f>
        <v>#N/A</v>
      </c>
      <c r="BG2697" s="1098" t="str">
        <f ca="1">IF(LEFT(BD2697,2)="RF",OFFSET(Pinlist!$D$1,Chart!BC2697,0)&amp;"_"&amp;OFFSET(Pinlist!$G$1,Chart!BC2697,0),"")</f>
        <v/>
      </c>
      <c r="BH2697" s="1098"/>
    </row>
    <row r="2698" spans="53:60" x14ac:dyDescent="0.2">
      <c r="BA2698" s="518">
        <f t="shared" ca="1" si="139"/>
        <v>61</v>
      </c>
      <c r="BB2698" s="174">
        <f t="shared" ca="1" si="140"/>
        <v>2635</v>
      </c>
      <c r="BC2698" s="525" t="e">
        <f ca="1">MATCH(BD2698,OFFSET(Pinlist!$A$2,BC2697*(BA2698=BA2697),0,$BM$23,1),0)+BC2697*(BA2698=BA2697)</f>
        <v>#N/A</v>
      </c>
      <c r="BD2698" s="167">
        <f t="shared" ca="1" si="141"/>
        <v>0</v>
      </c>
      <c r="BE2698" s="191" t="e">
        <f ca="1">(OFFSET(Pinlist!$E$1,BC2698,0)-$BN$16)*$BN$19</f>
        <v>#N/A</v>
      </c>
      <c r="BF2698" s="192" t="e">
        <f ca="1">(OFFSET(Pinlist!$F$1,BC2698,0)-$BO$16)*$BO$19</f>
        <v>#N/A</v>
      </c>
      <c r="BG2698" s="1098" t="str">
        <f ca="1">IF(LEFT(BD2698,2)="RF",OFFSET(Pinlist!$D$1,Chart!BC2698,0)&amp;"_"&amp;OFFSET(Pinlist!$G$1,Chart!BC2698,0),"")</f>
        <v/>
      </c>
      <c r="BH2698" s="1098"/>
    </row>
    <row r="2699" spans="53:60" x14ac:dyDescent="0.2">
      <c r="BA2699" s="518">
        <f t="shared" ca="1" si="139"/>
        <v>61</v>
      </c>
      <c r="BB2699" s="174">
        <f t="shared" ca="1" si="140"/>
        <v>2636</v>
      </c>
      <c r="BC2699" s="525" t="e">
        <f ca="1">MATCH(BD2699,OFFSET(Pinlist!$A$2,BC2698*(BA2699=BA2698),0,$BM$23,1),0)+BC2698*(BA2699=BA2698)</f>
        <v>#N/A</v>
      </c>
      <c r="BD2699" s="167">
        <f t="shared" ca="1" si="141"/>
        <v>0</v>
      </c>
      <c r="BE2699" s="191" t="e">
        <f ca="1">(OFFSET(Pinlist!$E$1,BC2699,0)-$BN$16)*$BN$19</f>
        <v>#N/A</v>
      </c>
      <c r="BF2699" s="192" t="e">
        <f ca="1">(OFFSET(Pinlist!$F$1,BC2699,0)-$BO$16)*$BO$19</f>
        <v>#N/A</v>
      </c>
      <c r="BG2699" s="1098" t="str">
        <f ca="1">IF(LEFT(BD2699,2)="RF",OFFSET(Pinlist!$D$1,Chart!BC2699,0)&amp;"_"&amp;OFFSET(Pinlist!$G$1,Chart!BC2699,0),"")</f>
        <v/>
      </c>
      <c r="BH2699" s="1098"/>
    </row>
    <row r="2700" spans="53:60" x14ac:dyDescent="0.2">
      <c r="BA2700" s="518">
        <f t="shared" ca="1" si="139"/>
        <v>61</v>
      </c>
      <c r="BB2700" s="174">
        <f t="shared" ca="1" si="140"/>
        <v>2637</v>
      </c>
      <c r="BC2700" s="525" t="e">
        <f ca="1">MATCH(BD2700,OFFSET(Pinlist!$A$2,BC2699*(BA2700=BA2699),0,$BM$23,1),0)+BC2699*(BA2700=BA2699)</f>
        <v>#N/A</v>
      </c>
      <c r="BD2700" s="167">
        <f t="shared" ca="1" si="141"/>
        <v>0</v>
      </c>
      <c r="BE2700" s="191" t="e">
        <f ca="1">(OFFSET(Pinlist!$E$1,BC2700,0)-$BN$16)*$BN$19</f>
        <v>#N/A</v>
      </c>
      <c r="BF2700" s="192" t="e">
        <f ca="1">(OFFSET(Pinlist!$F$1,BC2700,0)-$BO$16)*$BO$19</f>
        <v>#N/A</v>
      </c>
      <c r="BG2700" s="1098" t="str">
        <f ca="1">IF(LEFT(BD2700,2)="RF",OFFSET(Pinlist!$D$1,Chart!BC2700,0)&amp;"_"&amp;OFFSET(Pinlist!$G$1,Chart!BC2700,0),"")</f>
        <v/>
      </c>
      <c r="BH2700" s="1098"/>
    </row>
    <row r="2701" spans="53:60" x14ac:dyDescent="0.2">
      <c r="BA2701" s="518">
        <f t="shared" ca="1" si="139"/>
        <v>61</v>
      </c>
      <c r="BB2701" s="174">
        <f t="shared" ca="1" si="140"/>
        <v>2638</v>
      </c>
      <c r="BC2701" s="525" t="e">
        <f ca="1">MATCH(BD2701,OFFSET(Pinlist!$A$2,BC2700*(BA2701=BA2700),0,$BM$23,1),0)+BC2700*(BA2701=BA2700)</f>
        <v>#N/A</v>
      </c>
      <c r="BD2701" s="167">
        <f t="shared" ca="1" si="141"/>
        <v>0</v>
      </c>
      <c r="BE2701" s="191" t="e">
        <f ca="1">(OFFSET(Pinlist!$E$1,BC2701,0)-$BN$16)*$BN$19</f>
        <v>#N/A</v>
      </c>
      <c r="BF2701" s="192" t="e">
        <f ca="1">(OFFSET(Pinlist!$F$1,BC2701,0)-$BO$16)*$BO$19</f>
        <v>#N/A</v>
      </c>
      <c r="BG2701" s="1098" t="str">
        <f ca="1">IF(LEFT(BD2701,2)="RF",OFFSET(Pinlist!$D$1,Chart!BC2701,0)&amp;"_"&amp;OFFSET(Pinlist!$G$1,Chart!BC2701,0),"")</f>
        <v/>
      </c>
      <c r="BH2701" s="1098"/>
    </row>
    <row r="2702" spans="53:60" x14ac:dyDescent="0.2">
      <c r="BA2702" s="518">
        <f t="shared" ca="1" si="139"/>
        <v>61</v>
      </c>
      <c r="BB2702" s="174">
        <f t="shared" ca="1" si="140"/>
        <v>2639</v>
      </c>
      <c r="BC2702" s="525" t="e">
        <f ca="1">MATCH(BD2702,OFFSET(Pinlist!$A$2,BC2701*(BA2702=BA2701),0,$BM$23,1),0)+BC2701*(BA2702=BA2701)</f>
        <v>#N/A</v>
      </c>
      <c r="BD2702" s="167">
        <f t="shared" ca="1" si="141"/>
        <v>0</v>
      </c>
      <c r="BE2702" s="191" t="e">
        <f ca="1">(OFFSET(Pinlist!$E$1,BC2702,0)-$BN$16)*$BN$19</f>
        <v>#N/A</v>
      </c>
      <c r="BF2702" s="192" t="e">
        <f ca="1">(OFFSET(Pinlist!$F$1,BC2702,0)-$BO$16)*$BO$19</f>
        <v>#N/A</v>
      </c>
      <c r="BG2702" s="1098" t="str">
        <f ca="1">IF(LEFT(BD2702,2)="RF",OFFSET(Pinlist!$D$1,Chart!BC2702,0)&amp;"_"&amp;OFFSET(Pinlist!$G$1,Chart!BC2702,0),"")</f>
        <v/>
      </c>
      <c r="BH2702" s="1098"/>
    </row>
    <row r="2703" spans="53:60" x14ac:dyDescent="0.2">
      <c r="BA2703" s="518">
        <f t="shared" ca="1" si="139"/>
        <v>61</v>
      </c>
      <c r="BB2703" s="174">
        <f t="shared" ca="1" si="140"/>
        <v>2640</v>
      </c>
      <c r="BC2703" s="525" t="e">
        <f ca="1">MATCH(BD2703,OFFSET(Pinlist!$A$2,BC2702*(BA2703=BA2702),0,$BM$23,1),0)+BC2702*(BA2703=BA2702)</f>
        <v>#N/A</v>
      </c>
      <c r="BD2703" s="167">
        <f t="shared" ca="1" si="141"/>
        <v>0</v>
      </c>
      <c r="BE2703" s="191" t="e">
        <f ca="1">(OFFSET(Pinlist!$E$1,BC2703,0)-$BN$16)*$BN$19</f>
        <v>#N/A</v>
      </c>
      <c r="BF2703" s="192" t="e">
        <f ca="1">(OFFSET(Pinlist!$F$1,BC2703,0)-$BO$16)*$BO$19</f>
        <v>#N/A</v>
      </c>
      <c r="BG2703" s="1098" t="str">
        <f ca="1">IF(LEFT(BD2703,2)="RF",OFFSET(Pinlist!$D$1,Chart!BC2703,0)&amp;"_"&amp;OFFSET(Pinlist!$G$1,Chart!BC2703,0),"")</f>
        <v/>
      </c>
      <c r="BH2703" s="1098"/>
    </row>
    <row r="2704" spans="53:60" x14ac:dyDescent="0.2">
      <c r="BA2704" s="518">
        <f t="shared" ca="1" si="139"/>
        <v>61</v>
      </c>
      <c r="BB2704" s="174">
        <f t="shared" ca="1" si="140"/>
        <v>2641</v>
      </c>
      <c r="BC2704" s="525" t="e">
        <f ca="1">MATCH(BD2704,OFFSET(Pinlist!$A$2,BC2703*(BA2704=BA2703),0,$BM$23,1),0)+BC2703*(BA2704=BA2703)</f>
        <v>#N/A</v>
      </c>
      <c r="BD2704" s="167">
        <f t="shared" ca="1" si="141"/>
        <v>0</v>
      </c>
      <c r="BE2704" s="191" t="e">
        <f ca="1">(OFFSET(Pinlist!$E$1,BC2704,0)-$BN$16)*$BN$19</f>
        <v>#N/A</v>
      </c>
      <c r="BF2704" s="192" t="e">
        <f ca="1">(OFFSET(Pinlist!$F$1,BC2704,0)-$BO$16)*$BO$19</f>
        <v>#N/A</v>
      </c>
      <c r="BG2704" s="1098" t="str">
        <f ca="1">IF(LEFT(BD2704,2)="RF",OFFSET(Pinlist!$D$1,Chart!BC2704,0)&amp;"_"&amp;OFFSET(Pinlist!$G$1,Chart!BC2704,0),"")</f>
        <v/>
      </c>
      <c r="BH2704" s="1098"/>
    </row>
    <row r="2705" spans="53:60" x14ac:dyDescent="0.2">
      <c r="BA2705" s="518">
        <f t="shared" ca="1" si="139"/>
        <v>61</v>
      </c>
      <c r="BB2705" s="174">
        <f t="shared" ca="1" si="140"/>
        <v>2642</v>
      </c>
      <c r="BC2705" s="525" t="e">
        <f ca="1">MATCH(BD2705,OFFSET(Pinlist!$A$2,BC2704*(BA2705=BA2704),0,$BM$23,1),0)+BC2704*(BA2705=BA2704)</f>
        <v>#N/A</v>
      </c>
      <c r="BD2705" s="167">
        <f t="shared" ca="1" si="141"/>
        <v>0</v>
      </c>
      <c r="BE2705" s="191" t="e">
        <f ca="1">(OFFSET(Pinlist!$E$1,BC2705,0)-$BN$16)*$BN$19</f>
        <v>#N/A</v>
      </c>
      <c r="BF2705" s="192" t="e">
        <f ca="1">(OFFSET(Pinlist!$F$1,BC2705,0)-$BO$16)*$BO$19</f>
        <v>#N/A</v>
      </c>
      <c r="BG2705" s="1098" t="str">
        <f ca="1">IF(LEFT(BD2705,2)="RF",OFFSET(Pinlist!$D$1,Chart!BC2705,0)&amp;"_"&amp;OFFSET(Pinlist!$G$1,Chart!BC2705,0),"")</f>
        <v/>
      </c>
      <c r="BH2705" s="1098"/>
    </row>
    <row r="2706" spans="53:60" x14ac:dyDescent="0.2">
      <c r="BA2706" s="518">
        <f t="shared" ca="1" si="139"/>
        <v>61</v>
      </c>
      <c r="BB2706" s="174">
        <f t="shared" ca="1" si="140"/>
        <v>2643</v>
      </c>
      <c r="BC2706" s="525" t="e">
        <f ca="1">MATCH(BD2706,OFFSET(Pinlist!$A$2,BC2705*(BA2706=BA2705),0,$BM$23,1),0)+BC2705*(BA2706=BA2705)</f>
        <v>#N/A</v>
      </c>
      <c r="BD2706" s="167">
        <f t="shared" ca="1" si="141"/>
        <v>0</v>
      </c>
      <c r="BE2706" s="191" t="e">
        <f ca="1">(OFFSET(Pinlist!$E$1,BC2706,0)-$BN$16)*$BN$19</f>
        <v>#N/A</v>
      </c>
      <c r="BF2706" s="192" t="e">
        <f ca="1">(OFFSET(Pinlist!$F$1,BC2706,0)-$BO$16)*$BO$19</f>
        <v>#N/A</v>
      </c>
      <c r="BG2706" s="1098" t="str">
        <f ca="1">IF(LEFT(BD2706,2)="RF",OFFSET(Pinlist!$D$1,Chart!BC2706,0)&amp;"_"&amp;OFFSET(Pinlist!$G$1,Chart!BC2706,0),"")</f>
        <v/>
      </c>
      <c r="BH2706" s="1098"/>
    </row>
    <row r="2707" spans="53:60" x14ac:dyDescent="0.2">
      <c r="BA2707" s="518">
        <f t="shared" ca="1" si="139"/>
        <v>61</v>
      </c>
      <c r="BB2707" s="174">
        <f t="shared" ca="1" si="140"/>
        <v>2644</v>
      </c>
      <c r="BC2707" s="525" t="e">
        <f ca="1">MATCH(BD2707,OFFSET(Pinlist!$A$2,BC2706*(BA2707=BA2706),0,$BM$23,1),0)+BC2706*(BA2707=BA2706)</f>
        <v>#N/A</v>
      </c>
      <c r="BD2707" s="167">
        <f t="shared" ca="1" si="141"/>
        <v>0</v>
      </c>
      <c r="BE2707" s="191" t="e">
        <f ca="1">(OFFSET(Pinlist!$E$1,BC2707,0)-$BN$16)*$BN$19</f>
        <v>#N/A</v>
      </c>
      <c r="BF2707" s="192" t="e">
        <f ca="1">(OFFSET(Pinlist!$F$1,BC2707,0)-$BO$16)*$BO$19</f>
        <v>#N/A</v>
      </c>
      <c r="BG2707" s="1098" t="str">
        <f ca="1">IF(LEFT(BD2707,2)="RF",OFFSET(Pinlist!$D$1,Chart!BC2707,0)&amp;"_"&amp;OFFSET(Pinlist!$G$1,Chart!BC2707,0),"")</f>
        <v/>
      </c>
      <c r="BH2707" s="1098"/>
    </row>
    <row r="2708" spans="53:60" x14ac:dyDescent="0.2">
      <c r="BA2708" s="518">
        <f t="shared" ca="1" si="139"/>
        <v>61</v>
      </c>
      <c r="BB2708" s="174">
        <f t="shared" ca="1" si="140"/>
        <v>2645</v>
      </c>
      <c r="BC2708" s="525" t="e">
        <f ca="1">MATCH(BD2708,OFFSET(Pinlist!$A$2,BC2707*(BA2708=BA2707),0,$BM$23,1),0)+BC2707*(BA2708=BA2707)</f>
        <v>#N/A</v>
      </c>
      <c r="BD2708" s="167">
        <f t="shared" ca="1" si="141"/>
        <v>0</v>
      </c>
      <c r="BE2708" s="191" t="e">
        <f ca="1">(OFFSET(Pinlist!$E$1,BC2708,0)-$BN$16)*$BN$19</f>
        <v>#N/A</v>
      </c>
      <c r="BF2708" s="192" t="e">
        <f ca="1">(OFFSET(Pinlist!$F$1,BC2708,0)-$BO$16)*$BO$19</f>
        <v>#N/A</v>
      </c>
      <c r="BG2708" s="1098" t="str">
        <f ca="1">IF(LEFT(BD2708,2)="RF",OFFSET(Pinlist!$D$1,Chart!BC2708,0)&amp;"_"&amp;OFFSET(Pinlist!$G$1,Chart!BC2708,0),"")</f>
        <v/>
      </c>
      <c r="BH2708" s="1098"/>
    </row>
    <row r="2709" spans="53:60" x14ac:dyDescent="0.2">
      <c r="BA2709" s="518">
        <f t="shared" ca="1" si="139"/>
        <v>61</v>
      </c>
      <c r="BB2709" s="174">
        <f t="shared" ca="1" si="140"/>
        <v>2646</v>
      </c>
      <c r="BC2709" s="525" t="e">
        <f ca="1">MATCH(BD2709,OFFSET(Pinlist!$A$2,BC2708*(BA2709=BA2708),0,$BM$23,1),0)+BC2708*(BA2709=BA2708)</f>
        <v>#N/A</v>
      </c>
      <c r="BD2709" s="167">
        <f t="shared" ca="1" si="141"/>
        <v>0</v>
      </c>
      <c r="BE2709" s="191" t="e">
        <f ca="1">(OFFSET(Pinlist!$E$1,BC2709,0)-$BN$16)*$BN$19</f>
        <v>#N/A</v>
      </c>
      <c r="BF2709" s="192" t="e">
        <f ca="1">(OFFSET(Pinlist!$F$1,BC2709,0)-$BO$16)*$BO$19</f>
        <v>#N/A</v>
      </c>
      <c r="BG2709" s="1098" t="str">
        <f ca="1">IF(LEFT(BD2709,2)="RF",OFFSET(Pinlist!$D$1,Chart!BC2709,0)&amp;"_"&amp;OFFSET(Pinlist!$G$1,Chart!BC2709,0),"")</f>
        <v/>
      </c>
      <c r="BH2709" s="1098"/>
    </row>
    <row r="2710" spans="53:60" x14ac:dyDescent="0.2">
      <c r="BA2710" s="518">
        <f t="shared" ca="1" si="139"/>
        <v>61</v>
      </c>
      <c r="BB2710" s="174">
        <f t="shared" ca="1" si="140"/>
        <v>2647</v>
      </c>
      <c r="BC2710" s="525" t="e">
        <f ca="1">MATCH(BD2710,OFFSET(Pinlist!$A$2,BC2709*(BA2710=BA2709),0,$BM$23,1),0)+BC2709*(BA2710=BA2709)</f>
        <v>#N/A</v>
      </c>
      <c r="BD2710" s="167">
        <f t="shared" ca="1" si="141"/>
        <v>0</v>
      </c>
      <c r="BE2710" s="191" t="e">
        <f ca="1">(OFFSET(Pinlist!$E$1,BC2710,0)-$BN$16)*$BN$19</f>
        <v>#N/A</v>
      </c>
      <c r="BF2710" s="192" t="e">
        <f ca="1">(OFFSET(Pinlist!$F$1,BC2710,0)-$BO$16)*$BO$19</f>
        <v>#N/A</v>
      </c>
      <c r="BG2710" s="1098" t="str">
        <f ca="1">IF(LEFT(BD2710,2)="RF",OFFSET(Pinlist!$D$1,Chart!BC2710,0)&amp;"_"&amp;OFFSET(Pinlist!$G$1,Chart!BC2710,0),"")</f>
        <v/>
      </c>
      <c r="BH2710" s="1098"/>
    </row>
    <row r="2711" spans="53:60" x14ac:dyDescent="0.2">
      <c r="BA2711" s="518">
        <f t="shared" ca="1" si="139"/>
        <v>61</v>
      </c>
      <c r="BB2711" s="174">
        <f t="shared" ca="1" si="140"/>
        <v>2648</v>
      </c>
      <c r="BC2711" s="525" t="e">
        <f ca="1">MATCH(BD2711,OFFSET(Pinlist!$A$2,BC2710*(BA2711=BA2710),0,$BM$23,1),0)+BC2710*(BA2711=BA2710)</f>
        <v>#N/A</v>
      </c>
      <c r="BD2711" s="167">
        <f t="shared" ca="1" si="141"/>
        <v>0</v>
      </c>
      <c r="BE2711" s="191" t="e">
        <f ca="1">(OFFSET(Pinlist!$E$1,BC2711,0)-$BN$16)*$BN$19</f>
        <v>#N/A</v>
      </c>
      <c r="BF2711" s="192" t="e">
        <f ca="1">(OFFSET(Pinlist!$F$1,BC2711,0)-$BO$16)*$BO$19</f>
        <v>#N/A</v>
      </c>
      <c r="BG2711" s="1098" t="str">
        <f ca="1">IF(LEFT(BD2711,2)="RF",OFFSET(Pinlist!$D$1,Chart!BC2711,0)&amp;"_"&amp;OFFSET(Pinlist!$G$1,Chart!BC2711,0),"")</f>
        <v/>
      </c>
      <c r="BH2711" s="1098"/>
    </row>
    <row r="2712" spans="53:60" x14ac:dyDescent="0.2">
      <c r="BA2712" s="518">
        <f t="shared" ca="1" si="139"/>
        <v>61</v>
      </c>
      <c r="BB2712" s="174">
        <f t="shared" ca="1" si="140"/>
        <v>2649</v>
      </c>
      <c r="BC2712" s="525" t="e">
        <f ca="1">MATCH(BD2712,OFFSET(Pinlist!$A$2,BC2711*(BA2712=BA2711),0,$BM$23,1),0)+BC2711*(BA2712=BA2711)</f>
        <v>#N/A</v>
      </c>
      <c r="BD2712" s="167">
        <f t="shared" ca="1" si="141"/>
        <v>0</v>
      </c>
      <c r="BE2712" s="191" t="e">
        <f ca="1">(OFFSET(Pinlist!$E$1,BC2712,0)-$BN$16)*$BN$19</f>
        <v>#N/A</v>
      </c>
      <c r="BF2712" s="192" t="e">
        <f ca="1">(OFFSET(Pinlist!$F$1,BC2712,0)-$BO$16)*$BO$19</f>
        <v>#N/A</v>
      </c>
      <c r="BG2712" s="1098" t="str">
        <f ca="1">IF(LEFT(BD2712,2)="RF",OFFSET(Pinlist!$D$1,Chart!BC2712,0)&amp;"_"&amp;OFFSET(Pinlist!$G$1,Chart!BC2712,0),"")</f>
        <v/>
      </c>
      <c r="BH2712" s="1098"/>
    </row>
    <row r="2713" spans="53:60" x14ac:dyDescent="0.2">
      <c r="BA2713" s="518">
        <f t="shared" ca="1" si="139"/>
        <v>61</v>
      </c>
      <c r="BB2713" s="174">
        <f t="shared" ca="1" si="140"/>
        <v>2650</v>
      </c>
      <c r="BC2713" s="525" t="e">
        <f ca="1">MATCH(BD2713,OFFSET(Pinlist!$A$2,BC2712*(BA2713=BA2712),0,$BM$23,1),0)+BC2712*(BA2713=BA2712)</f>
        <v>#N/A</v>
      </c>
      <c r="BD2713" s="167">
        <f t="shared" ca="1" si="141"/>
        <v>0</v>
      </c>
      <c r="BE2713" s="191" t="e">
        <f ca="1">(OFFSET(Pinlist!$E$1,BC2713,0)-$BN$16)*$BN$19</f>
        <v>#N/A</v>
      </c>
      <c r="BF2713" s="192" t="e">
        <f ca="1">(OFFSET(Pinlist!$F$1,BC2713,0)-$BO$16)*$BO$19</f>
        <v>#N/A</v>
      </c>
      <c r="BG2713" s="1098" t="str">
        <f ca="1">IF(LEFT(BD2713,2)="RF",OFFSET(Pinlist!$D$1,Chart!BC2713,0)&amp;"_"&amp;OFFSET(Pinlist!$G$1,Chart!BC2713,0),"")</f>
        <v/>
      </c>
      <c r="BH2713" s="1098"/>
    </row>
    <row r="2714" spans="53:60" x14ac:dyDescent="0.2">
      <c r="BA2714" s="518">
        <f t="shared" ca="1" si="139"/>
        <v>61</v>
      </c>
      <c r="BB2714" s="174">
        <f t="shared" ca="1" si="140"/>
        <v>2651</v>
      </c>
      <c r="BC2714" s="525" t="e">
        <f ca="1">MATCH(BD2714,OFFSET(Pinlist!$A$2,BC2713*(BA2714=BA2713),0,$BM$23,1),0)+BC2713*(BA2714=BA2713)</f>
        <v>#N/A</v>
      </c>
      <c r="BD2714" s="167">
        <f t="shared" ca="1" si="141"/>
        <v>0</v>
      </c>
      <c r="BE2714" s="191" t="e">
        <f ca="1">(OFFSET(Pinlist!$E$1,BC2714,0)-$BN$16)*$BN$19</f>
        <v>#N/A</v>
      </c>
      <c r="BF2714" s="192" t="e">
        <f ca="1">(OFFSET(Pinlist!$F$1,BC2714,0)-$BO$16)*$BO$19</f>
        <v>#N/A</v>
      </c>
      <c r="BG2714" s="1098" t="str">
        <f ca="1">IF(LEFT(BD2714,2)="RF",OFFSET(Pinlist!$D$1,Chart!BC2714,0)&amp;"_"&amp;OFFSET(Pinlist!$G$1,Chart!BC2714,0),"")</f>
        <v/>
      </c>
      <c r="BH2714" s="1098"/>
    </row>
    <row r="2715" spans="53:60" x14ac:dyDescent="0.2">
      <c r="BA2715" s="518">
        <f t="shared" ca="1" si="139"/>
        <v>61</v>
      </c>
      <c r="BB2715" s="174">
        <f t="shared" ca="1" si="140"/>
        <v>2652</v>
      </c>
      <c r="BC2715" s="525" t="e">
        <f ca="1">MATCH(BD2715,OFFSET(Pinlist!$A$2,BC2714*(BA2715=BA2714),0,$BM$23,1),0)+BC2714*(BA2715=BA2714)</f>
        <v>#N/A</v>
      </c>
      <c r="BD2715" s="167">
        <f t="shared" ca="1" si="141"/>
        <v>0</v>
      </c>
      <c r="BE2715" s="191" t="e">
        <f ca="1">(OFFSET(Pinlist!$E$1,BC2715,0)-$BN$16)*$BN$19</f>
        <v>#N/A</v>
      </c>
      <c r="BF2715" s="192" t="e">
        <f ca="1">(OFFSET(Pinlist!$F$1,BC2715,0)-$BO$16)*$BO$19</f>
        <v>#N/A</v>
      </c>
      <c r="BG2715" s="1098" t="str">
        <f ca="1">IF(LEFT(BD2715,2)="RF",OFFSET(Pinlist!$D$1,Chart!BC2715,0)&amp;"_"&amp;OFFSET(Pinlist!$G$1,Chart!BC2715,0),"")</f>
        <v/>
      </c>
      <c r="BH2715" s="1098"/>
    </row>
    <row r="2716" spans="53:60" x14ac:dyDescent="0.2">
      <c r="BA2716" s="518">
        <f t="shared" ca="1" si="139"/>
        <v>61</v>
      </c>
      <c r="BB2716" s="174">
        <f t="shared" ca="1" si="140"/>
        <v>2653</v>
      </c>
      <c r="BC2716" s="525" t="e">
        <f ca="1">MATCH(BD2716,OFFSET(Pinlist!$A$2,BC2715*(BA2716=BA2715),0,$BM$23,1),0)+BC2715*(BA2716=BA2715)</f>
        <v>#N/A</v>
      </c>
      <c r="BD2716" s="167">
        <f t="shared" ca="1" si="141"/>
        <v>0</v>
      </c>
      <c r="BE2716" s="191" t="e">
        <f ca="1">(OFFSET(Pinlist!$E$1,BC2716,0)-$BN$16)*$BN$19</f>
        <v>#N/A</v>
      </c>
      <c r="BF2716" s="192" t="e">
        <f ca="1">(OFFSET(Pinlist!$F$1,BC2716,0)-$BO$16)*$BO$19</f>
        <v>#N/A</v>
      </c>
      <c r="BG2716" s="1098" t="str">
        <f ca="1">IF(LEFT(BD2716,2)="RF",OFFSET(Pinlist!$D$1,Chart!BC2716,0)&amp;"_"&amp;OFFSET(Pinlist!$G$1,Chart!BC2716,0),"")</f>
        <v/>
      </c>
      <c r="BH2716" s="1098"/>
    </row>
    <row r="2717" spans="53:60" x14ac:dyDescent="0.2">
      <c r="BA2717" s="518">
        <f t="shared" ca="1" si="139"/>
        <v>61</v>
      </c>
      <c r="BB2717" s="174">
        <f t="shared" ca="1" si="140"/>
        <v>2654</v>
      </c>
      <c r="BC2717" s="525" t="e">
        <f ca="1">MATCH(BD2717,OFFSET(Pinlist!$A$2,BC2716*(BA2717=BA2716),0,$BM$23,1),0)+BC2716*(BA2717=BA2716)</f>
        <v>#N/A</v>
      </c>
      <c r="BD2717" s="167">
        <f t="shared" ca="1" si="141"/>
        <v>0</v>
      </c>
      <c r="BE2717" s="191" t="e">
        <f ca="1">(OFFSET(Pinlist!$E$1,BC2717,0)-$BN$16)*$BN$19</f>
        <v>#N/A</v>
      </c>
      <c r="BF2717" s="192" t="e">
        <f ca="1">(OFFSET(Pinlist!$F$1,BC2717,0)-$BO$16)*$BO$19</f>
        <v>#N/A</v>
      </c>
      <c r="BG2717" s="1098" t="str">
        <f ca="1">IF(LEFT(BD2717,2)="RF",OFFSET(Pinlist!$D$1,Chart!BC2717,0)&amp;"_"&amp;OFFSET(Pinlist!$G$1,Chart!BC2717,0),"")</f>
        <v/>
      </c>
      <c r="BH2717" s="1098"/>
    </row>
    <row r="2718" spans="53:60" x14ac:dyDescent="0.2">
      <c r="BA2718" s="518">
        <f t="shared" ca="1" si="139"/>
        <v>61</v>
      </c>
      <c r="BB2718" s="174">
        <f t="shared" ca="1" si="140"/>
        <v>2655</v>
      </c>
      <c r="BC2718" s="525" t="e">
        <f ca="1">MATCH(BD2718,OFFSET(Pinlist!$A$2,BC2717*(BA2718=BA2717),0,$BM$23,1),0)+BC2717*(BA2718=BA2717)</f>
        <v>#N/A</v>
      </c>
      <c r="BD2718" s="167">
        <f t="shared" ca="1" si="141"/>
        <v>0</v>
      </c>
      <c r="BE2718" s="191" t="e">
        <f ca="1">(OFFSET(Pinlist!$E$1,BC2718,0)-$BN$16)*$BN$19</f>
        <v>#N/A</v>
      </c>
      <c r="BF2718" s="192" t="e">
        <f ca="1">(OFFSET(Pinlist!$F$1,BC2718,0)-$BO$16)*$BO$19</f>
        <v>#N/A</v>
      </c>
      <c r="BG2718" s="1098" t="str">
        <f ca="1">IF(LEFT(BD2718,2)="RF",OFFSET(Pinlist!$D$1,Chart!BC2718,0)&amp;"_"&amp;OFFSET(Pinlist!$G$1,Chart!BC2718,0),"")</f>
        <v/>
      </c>
      <c r="BH2718" s="1098"/>
    </row>
    <row r="2719" spans="53:60" x14ac:dyDescent="0.2">
      <c r="BA2719" s="518">
        <f t="shared" ca="1" si="139"/>
        <v>61</v>
      </c>
      <c r="BB2719" s="174">
        <f t="shared" ca="1" si="140"/>
        <v>2656</v>
      </c>
      <c r="BC2719" s="525" t="e">
        <f ca="1">MATCH(BD2719,OFFSET(Pinlist!$A$2,BC2718*(BA2719=BA2718),0,$BM$23,1),0)+BC2718*(BA2719=BA2718)</f>
        <v>#N/A</v>
      </c>
      <c r="BD2719" s="167">
        <f t="shared" ca="1" si="141"/>
        <v>0</v>
      </c>
      <c r="BE2719" s="191" t="e">
        <f ca="1">(OFFSET(Pinlist!$E$1,BC2719,0)-$BN$16)*$BN$19</f>
        <v>#N/A</v>
      </c>
      <c r="BF2719" s="192" t="e">
        <f ca="1">(OFFSET(Pinlist!$F$1,BC2719,0)-$BO$16)*$BO$19</f>
        <v>#N/A</v>
      </c>
      <c r="BG2719" s="1098" t="str">
        <f ca="1">IF(LEFT(BD2719,2)="RF",OFFSET(Pinlist!$D$1,Chart!BC2719,0)&amp;"_"&amp;OFFSET(Pinlist!$G$1,Chart!BC2719,0),"")</f>
        <v/>
      </c>
      <c r="BH2719" s="1098"/>
    </row>
    <row r="2720" spans="53:60" x14ac:dyDescent="0.2">
      <c r="BA2720" s="518">
        <f t="shared" ca="1" si="139"/>
        <v>61</v>
      </c>
      <c r="BB2720" s="174">
        <f t="shared" ca="1" si="140"/>
        <v>2657</v>
      </c>
      <c r="BC2720" s="525" t="e">
        <f ca="1">MATCH(BD2720,OFFSET(Pinlist!$A$2,BC2719*(BA2720=BA2719),0,$BM$23,1),0)+BC2719*(BA2720=BA2719)</f>
        <v>#N/A</v>
      </c>
      <c r="BD2720" s="167">
        <f t="shared" ca="1" si="141"/>
        <v>0</v>
      </c>
      <c r="BE2720" s="191" t="e">
        <f ca="1">(OFFSET(Pinlist!$E$1,BC2720,0)-$BN$16)*$BN$19</f>
        <v>#N/A</v>
      </c>
      <c r="BF2720" s="192" t="e">
        <f ca="1">(OFFSET(Pinlist!$F$1,BC2720,0)-$BO$16)*$BO$19</f>
        <v>#N/A</v>
      </c>
      <c r="BG2720" s="1098" t="str">
        <f ca="1">IF(LEFT(BD2720,2)="RF",OFFSET(Pinlist!$D$1,Chart!BC2720,0)&amp;"_"&amp;OFFSET(Pinlist!$G$1,Chart!BC2720,0),"")</f>
        <v/>
      </c>
      <c r="BH2720" s="1098"/>
    </row>
    <row r="2721" spans="53:60" x14ac:dyDescent="0.2">
      <c r="BA2721" s="518">
        <f t="shared" ca="1" si="139"/>
        <v>61</v>
      </c>
      <c r="BB2721" s="174">
        <f t="shared" ca="1" si="140"/>
        <v>2658</v>
      </c>
      <c r="BC2721" s="525" t="e">
        <f ca="1">MATCH(BD2721,OFFSET(Pinlist!$A$2,BC2720*(BA2721=BA2720),0,$BM$23,1),0)+BC2720*(BA2721=BA2720)</f>
        <v>#N/A</v>
      </c>
      <c r="BD2721" s="167">
        <f t="shared" ca="1" si="141"/>
        <v>0</v>
      </c>
      <c r="BE2721" s="191" t="e">
        <f ca="1">(OFFSET(Pinlist!$E$1,BC2721,0)-$BN$16)*$BN$19</f>
        <v>#N/A</v>
      </c>
      <c r="BF2721" s="192" t="e">
        <f ca="1">(OFFSET(Pinlist!$F$1,BC2721,0)-$BO$16)*$BO$19</f>
        <v>#N/A</v>
      </c>
      <c r="BG2721" s="1098" t="str">
        <f ca="1">IF(LEFT(BD2721,2)="RF",OFFSET(Pinlist!$D$1,Chart!BC2721,0)&amp;"_"&amp;OFFSET(Pinlist!$G$1,Chart!BC2721,0),"")</f>
        <v/>
      </c>
      <c r="BH2721" s="1098"/>
    </row>
    <row r="2722" spans="53:60" x14ac:dyDescent="0.2">
      <c r="BA2722" s="518">
        <f t="shared" ca="1" si="139"/>
        <v>61</v>
      </c>
      <c r="BB2722" s="174">
        <f t="shared" ca="1" si="140"/>
        <v>2659</v>
      </c>
      <c r="BC2722" s="525" t="e">
        <f ca="1">MATCH(BD2722,OFFSET(Pinlist!$A$2,BC2721*(BA2722=BA2721),0,$BM$23,1),0)+BC2721*(BA2722=BA2721)</f>
        <v>#N/A</v>
      </c>
      <c r="BD2722" s="167">
        <f t="shared" ca="1" si="141"/>
        <v>0</v>
      </c>
      <c r="BE2722" s="191" t="e">
        <f ca="1">(OFFSET(Pinlist!$E$1,BC2722,0)-$BN$16)*$BN$19</f>
        <v>#N/A</v>
      </c>
      <c r="BF2722" s="192" t="e">
        <f ca="1">(OFFSET(Pinlist!$F$1,BC2722,0)-$BO$16)*$BO$19</f>
        <v>#N/A</v>
      </c>
      <c r="BG2722" s="1098" t="str">
        <f ca="1">IF(LEFT(BD2722,2)="RF",OFFSET(Pinlist!$D$1,Chart!BC2722,0)&amp;"_"&amp;OFFSET(Pinlist!$G$1,Chart!BC2722,0),"")</f>
        <v/>
      </c>
      <c r="BH2722" s="1098"/>
    </row>
    <row r="2723" spans="53:60" x14ac:dyDescent="0.2">
      <c r="BA2723" s="518">
        <f t="shared" ca="1" si="139"/>
        <v>61</v>
      </c>
      <c r="BB2723" s="174">
        <f t="shared" ca="1" si="140"/>
        <v>2660</v>
      </c>
      <c r="BC2723" s="525" t="e">
        <f ca="1">MATCH(BD2723,OFFSET(Pinlist!$A$2,BC2722*(BA2723=BA2722),0,$BM$23,1),0)+BC2722*(BA2723=BA2722)</f>
        <v>#N/A</v>
      </c>
      <c r="BD2723" s="167">
        <f t="shared" ca="1" si="141"/>
        <v>0</v>
      </c>
      <c r="BE2723" s="191" t="e">
        <f ca="1">(OFFSET(Pinlist!$E$1,BC2723,0)-$BN$16)*$BN$19</f>
        <v>#N/A</v>
      </c>
      <c r="BF2723" s="192" t="e">
        <f ca="1">(OFFSET(Pinlist!$F$1,BC2723,0)-$BO$16)*$BO$19</f>
        <v>#N/A</v>
      </c>
      <c r="BG2723" s="1098" t="str">
        <f ca="1">IF(LEFT(BD2723,2)="RF",OFFSET(Pinlist!$D$1,Chart!BC2723,0)&amp;"_"&amp;OFFSET(Pinlist!$G$1,Chart!BC2723,0),"")</f>
        <v/>
      </c>
      <c r="BH2723" s="1098"/>
    </row>
    <row r="2724" spans="53:60" x14ac:dyDescent="0.2">
      <c r="BA2724" s="518">
        <f t="shared" ca="1" si="139"/>
        <v>61</v>
      </c>
      <c r="BB2724" s="174">
        <f t="shared" ca="1" si="140"/>
        <v>2661</v>
      </c>
      <c r="BC2724" s="525" t="e">
        <f ca="1">MATCH(BD2724,OFFSET(Pinlist!$A$2,BC2723*(BA2724=BA2723),0,$BM$23,1),0)+BC2723*(BA2724=BA2723)</f>
        <v>#N/A</v>
      </c>
      <c r="BD2724" s="167">
        <f t="shared" ca="1" si="141"/>
        <v>0</v>
      </c>
      <c r="BE2724" s="191" t="e">
        <f ca="1">(OFFSET(Pinlist!$E$1,BC2724,0)-$BN$16)*$BN$19</f>
        <v>#N/A</v>
      </c>
      <c r="BF2724" s="192" t="e">
        <f ca="1">(OFFSET(Pinlist!$F$1,BC2724,0)-$BO$16)*$BO$19</f>
        <v>#N/A</v>
      </c>
      <c r="BG2724" s="1098" t="str">
        <f ca="1">IF(LEFT(BD2724,2)="RF",OFFSET(Pinlist!$D$1,Chart!BC2724,0)&amp;"_"&amp;OFFSET(Pinlist!$G$1,Chart!BC2724,0),"")</f>
        <v/>
      </c>
      <c r="BH2724" s="1098"/>
    </row>
    <row r="2725" spans="53:60" x14ac:dyDescent="0.2">
      <c r="BA2725" s="518">
        <f t="shared" ca="1" si="139"/>
        <v>61</v>
      </c>
      <c r="BB2725" s="174">
        <f t="shared" ca="1" si="140"/>
        <v>2662</v>
      </c>
      <c r="BC2725" s="525" t="e">
        <f ca="1">MATCH(BD2725,OFFSET(Pinlist!$A$2,BC2724*(BA2725=BA2724),0,$BM$23,1),0)+BC2724*(BA2725=BA2724)</f>
        <v>#N/A</v>
      </c>
      <c r="BD2725" s="167">
        <f t="shared" ca="1" si="141"/>
        <v>0</v>
      </c>
      <c r="BE2725" s="191" t="e">
        <f ca="1">(OFFSET(Pinlist!$E$1,BC2725,0)-$BN$16)*$BN$19</f>
        <v>#N/A</v>
      </c>
      <c r="BF2725" s="192" t="e">
        <f ca="1">(OFFSET(Pinlist!$F$1,BC2725,0)-$BO$16)*$BO$19</f>
        <v>#N/A</v>
      </c>
      <c r="BG2725" s="1098" t="str">
        <f ca="1">IF(LEFT(BD2725,2)="RF",OFFSET(Pinlist!$D$1,Chart!BC2725,0)&amp;"_"&amp;OFFSET(Pinlist!$G$1,Chart!BC2725,0),"")</f>
        <v/>
      </c>
      <c r="BH2725" s="1098"/>
    </row>
    <row r="2726" spans="53:60" x14ac:dyDescent="0.2">
      <c r="BA2726" s="518">
        <f t="shared" ca="1" si="139"/>
        <v>61</v>
      </c>
      <c r="BB2726" s="174">
        <f t="shared" ca="1" si="140"/>
        <v>2663</v>
      </c>
      <c r="BC2726" s="525" t="e">
        <f ca="1">MATCH(BD2726,OFFSET(Pinlist!$A$2,BC2725*(BA2726=BA2725),0,$BM$23,1),0)+BC2725*(BA2726=BA2725)</f>
        <v>#N/A</v>
      </c>
      <c r="BD2726" s="167">
        <f t="shared" ca="1" si="141"/>
        <v>0</v>
      </c>
      <c r="BE2726" s="191" t="e">
        <f ca="1">(OFFSET(Pinlist!$E$1,BC2726,0)-$BN$16)*$BN$19</f>
        <v>#N/A</v>
      </c>
      <c r="BF2726" s="192" t="e">
        <f ca="1">(OFFSET(Pinlist!$F$1,BC2726,0)-$BO$16)*$BO$19</f>
        <v>#N/A</v>
      </c>
      <c r="BG2726" s="1098" t="str">
        <f ca="1">IF(LEFT(BD2726,2)="RF",OFFSET(Pinlist!$D$1,Chart!BC2726,0)&amp;"_"&amp;OFFSET(Pinlist!$G$1,Chart!BC2726,0),"")</f>
        <v/>
      </c>
      <c r="BH2726" s="1098"/>
    </row>
    <row r="2727" spans="53:60" x14ac:dyDescent="0.2">
      <c r="BA2727" s="518">
        <f t="shared" ca="1" si="139"/>
        <v>61</v>
      </c>
      <c r="BB2727" s="174">
        <f t="shared" ca="1" si="140"/>
        <v>2664</v>
      </c>
      <c r="BC2727" s="525" t="e">
        <f ca="1">MATCH(BD2727,OFFSET(Pinlist!$A$2,BC2726*(BA2727=BA2726),0,$BM$23,1),0)+BC2726*(BA2727=BA2726)</f>
        <v>#N/A</v>
      </c>
      <c r="BD2727" s="167">
        <f t="shared" ca="1" si="141"/>
        <v>0</v>
      </c>
      <c r="BE2727" s="191" t="e">
        <f ca="1">(OFFSET(Pinlist!$E$1,BC2727,0)-$BN$16)*$BN$19</f>
        <v>#N/A</v>
      </c>
      <c r="BF2727" s="192" t="e">
        <f ca="1">(OFFSET(Pinlist!$F$1,BC2727,0)-$BO$16)*$BO$19</f>
        <v>#N/A</v>
      </c>
      <c r="BG2727" s="1098" t="str">
        <f ca="1">IF(LEFT(BD2727,2)="RF",OFFSET(Pinlist!$D$1,Chart!BC2727,0)&amp;"_"&amp;OFFSET(Pinlist!$G$1,Chart!BC2727,0),"")</f>
        <v/>
      </c>
      <c r="BH2727" s="1098"/>
    </row>
    <row r="2728" spans="53:60" x14ac:dyDescent="0.2">
      <c r="BA2728" s="518">
        <f t="shared" ca="1" si="139"/>
        <v>61</v>
      </c>
      <c r="BB2728" s="174">
        <f t="shared" ca="1" si="140"/>
        <v>2665</v>
      </c>
      <c r="BC2728" s="525" t="e">
        <f ca="1">MATCH(BD2728,OFFSET(Pinlist!$A$2,BC2727*(BA2728=BA2727),0,$BM$23,1),0)+BC2727*(BA2728=BA2727)</f>
        <v>#N/A</v>
      </c>
      <c r="BD2728" s="167">
        <f t="shared" ca="1" si="141"/>
        <v>0</v>
      </c>
      <c r="BE2728" s="191" t="e">
        <f ca="1">(OFFSET(Pinlist!$E$1,BC2728,0)-$BN$16)*$BN$19</f>
        <v>#N/A</v>
      </c>
      <c r="BF2728" s="192" t="e">
        <f ca="1">(OFFSET(Pinlist!$F$1,BC2728,0)-$BO$16)*$BO$19</f>
        <v>#N/A</v>
      </c>
      <c r="BG2728" s="1098" t="str">
        <f ca="1">IF(LEFT(BD2728,2)="RF",OFFSET(Pinlist!$D$1,Chart!BC2728,0)&amp;"_"&amp;OFFSET(Pinlist!$G$1,Chart!BC2728,0),"")</f>
        <v/>
      </c>
      <c r="BH2728" s="1098"/>
    </row>
    <row r="2729" spans="53:60" x14ac:dyDescent="0.2">
      <c r="BA2729" s="518">
        <f t="shared" ca="1" si="139"/>
        <v>61</v>
      </c>
      <c r="BB2729" s="174">
        <f t="shared" ca="1" si="140"/>
        <v>2666</v>
      </c>
      <c r="BC2729" s="525" t="e">
        <f ca="1">MATCH(BD2729,OFFSET(Pinlist!$A$2,BC2728*(BA2729=BA2728),0,$BM$23,1),0)+BC2728*(BA2729=BA2728)</f>
        <v>#N/A</v>
      </c>
      <c r="BD2729" s="167">
        <f t="shared" ca="1" si="141"/>
        <v>0</v>
      </c>
      <c r="BE2729" s="191" t="e">
        <f ca="1">(OFFSET(Pinlist!$E$1,BC2729,0)-$BN$16)*$BN$19</f>
        <v>#N/A</v>
      </c>
      <c r="BF2729" s="192" t="e">
        <f ca="1">(OFFSET(Pinlist!$F$1,BC2729,0)-$BO$16)*$BO$19</f>
        <v>#N/A</v>
      </c>
      <c r="BG2729" s="1098" t="str">
        <f ca="1">IF(LEFT(BD2729,2)="RF",OFFSET(Pinlist!$D$1,Chart!BC2729,0)&amp;"_"&amp;OFFSET(Pinlist!$G$1,Chart!BC2729,0),"")</f>
        <v/>
      </c>
      <c r="BH2729" s="1098"/>
    </row>
    <row r="2730" spans="53:60" x14ac:dyDescent="0.2">
      <c r="BA2730" s="518">
        <f t="shared" ca="1" si="139"/>
        <v>61</v>
      </c>
      <c r="BB2730" s="174">
        <f t="shared" ca="1" si="140"/>
        <v>2667</v>
      </c>
      <c r="BC2730" s="525" t="e">
        <f ca="1">MATCH(BD2730,OFFSET(Pinlist!$A$2,BC2729*(BA2730=BA2729),0,$BM$23,1),0)+BC2729*(BA2730=BA2729)</f>
        <v>#N/A</v>
      </c>
      <c r="BD2730" s="167">
        <f t="shared" ca="1" si="141"/>
        <v>0</v>
      </c>
      <c r="BE2730" s="191" t="e">
        <f ca="1">(OFFSET(Pinlist!$E$1,BC2730,0)-$BN$16)*$BN$19</f>
        <v>#N/A</v>
      </c>
      <c r="BF2730" s="192" t="e">
        <f ca="1">(OFFSET(Pinlist!$F$1,BC2730,0)-$BO$16)*$BO$19</f>
        <v>#N/A</v>
      </c>
      <c r="BG2730" s="1098" t="str">
        <f ca="1">IF(LEFT(BD2730,2)="RF",OFFSET(Pinlist!$D$1,Chart!BC2730,0)&amp;"_"&amp;OFFSET(Pinlist!$G$1,Chart!BC2730,0),"")</f>
        <v/>
      </c>
      <c r="BH2730" s="1098"/>
    </row>
    <row r="2731" spans="53:60" x14ac:dyDescent="0.2">
      <c r="BA2731" s="518">
        <f t="shared" ca="1" si="139"/>
        <v>61</v>
      </c>
      <c r="BB2731" s="174">
        <f t="shared" ca="1" si="140"/>
        <v>2668</v>
      </c>
      <c r="BC2731" s="525" t="e">
        <f ca="1">MATCH(BD2731,OFFSET(Pinlist!$A$2,BC2730*(BA2731=BA2730),0,$BM$23,1),0)+BC2730*(BA2731=BA2730)</f>
        <v>#N/A</v>
      </c>
      <c r="BD2731" s="167">
        <f t="shared" ca="1" si="141"/>
        <v>0</v>
      </c>
      <c r="BE2731" s="191" t="e">
        <f ca="1">(OFFSET(Pinlist!$E$1,BC2731,0)-$BN$16)*$BN$19</f>
        <v>#N/A</v>
      </c>
      <c r="BF2731" s="192" t="e">
        <f ca="1">(OFFSET(Pinlist!$F$1,BC2731,0)-$BO$16)*$BO$19</f>
        <v>#N/A</v>
      </c>
      <c r="BG2731" s="1098" t="str">
        <f ca="1">IF(LEFT(BD2731,2)="RF",OFFSET(Pinlist!$D$1,Chart!BC2731,0)&amp;"_"&amp;OFFSET(Pinlist!$G$1,Chart!BC2731,0),"")</f>
        <v/>
      </c>
      <c r="BH2731" s="1098"/>
    </row>
    <row r="2732" spans="53:60" x14ac:dyDescent="0.2">
      <c r="BA2732" s="518">
        <f t="shared" ca="1" si="139"/>
        <v>61</v>
      </c>
      <c r="BB2732" s="174">
        <f t="shared" ca="1" si="140"/>
        <v>2669</v>
      </c>
      <c r="BC2732" s="525" t="e">
        <f ca="1">MATCH(BD2732,OFFSET(Pinlist!$A$2,BC2731*(BA2732=BA2731),0,$BM$23,1),0)+BC2731*(BA2732=BA2731)</f>
        <v>#N/A</v>
      </c>
      <c r="BD2732" s="167">
        <f t="shared" ca="1" si="141"/>
        <v>0</v>
      </c>
      <c r="BE2732" s="191" t="e">
        <f ca="1">(OFFSET(Pinlist!$E$1,BC2732,0)-$BN$16)*$BN$19</f>
        <v>#N/A</v>
      </c>
      <c r="BF2732" s="192" t="e">
        <f ca="1">(OFFSET(Pinlist!$F$1,BC2732,0)-$BO$16)*$BO$19</f>
        <v>#N/A</v>
      </c>
      <c r="BG2732" s="1098" t="str">
        <f ca="1">IF(LEFT(BD2732,2)="RF",OFFSET(Pinlist!$D$1,Chart!BC2732,0)&amp;"_"&amp;OFFSET(Pinlist!$G$1,Chart!BC2732,0),"")</f>
        <v/>
      </c>
      <c r="BH2732" s="1098"/>
    </row>
    <row r="2733" spans="53:60" x14ac:dyDescent="0.2">
      <c r="BA2733" s="518">
        <f t="shared" ca="1" si="139"/>
        <v>61</v>
      </c>
      <c r="BB2733" s="174">
        <f t="shared" ca="1" si="140"/>
        <v>2670</v>
      </c>
      <c r="BC2733" s="525" t="e">
        <f ca="1">MATCH(BD2733,OFFSET(Pinlist!$A$2,BC2732*(BA2733=BA2732),0,$BM$23,1),0)+BC2732*(BA2733=BA2732)</f>
        <v>#N/A</v>
      </c>
      <c r="BD2733" s="167">
        <f t="shared" ca="1" si="141"/>
        <v>0</v>
      </c>
      <c r="BE2733" s="191" t="e">
        <f ca="1">(OFFSET(Pinlist!$E$1,BC2733,0)-$BN$16)*$BN$19</f>
        <v>#N/A</v>
      </c>
      <c r="BF2733" s="192" t="e">
        <f ca="1">(OFFSET(Pinlist!$F$1,BC2733,0)-$BO$16)*$BO$19</f>
        <v>#N/A</v>
      </c>
      <c r="BG2733" s="1098" t="str">
        <f ca="1">IF(LEFT(BD2733,2)="RF",OFFSET(Pinlist!$D$1,Chart!BC2733,0)&amp;"_"&amp;OFFSET(Pinlist!$G$1,Chart!BC2733,0),"")</f>
        <v/>
      </c>
      <c r="BH2733" s="1098"/>
    </row>
    <row r="2734" spans="53:60" x14ac:dyDescent="0.2">
      <c r="BA2734" s="518">
        <f t="shared" ca="1" si="139"/>
        <v>61</v>
      </c>
      <c r="BB2734" s="174">
        <f t="shared" ca="1" si="140"/>
        <v>2671</v>
      </c>
      <c r="BC2734" s="525" t="e">
        <f ca="1">MATCH(BD2734,OFFSET(Pinlist!$A$2,BC2733*(BA2734=BA2733),0,$BM$23,1),0)+BC2733*(BA2734=BA2733)</f>
        <v>#N/A</v>
      </c>
      <c r="BD2734" s="167">
        <f t="shared" ca="1" si="141"/>
        <v>0</v>
      </c>
      <c r="BE2734" s="191" t="e">
        <f ca="1">(OFFSET(Pinlist!$E$1,BC2734,0)-$BN$16)*$BN$19</f>
        <v>#N/A</v>
      </c>
      <c r="BF2734" s="192" t="e">
        <f ca="1">(OFFSET(Pinlist!$F$1,BC2734,0)-$BO$16)*$BO$19</f>
        <v>#N/A</v>
      </c>
      <c r="BG2734" s="1098" t="str">
        <f ca="1">IF(LEFT(BD2734,2)="RF",OFFSET(Pinlist!$D$1,Chart!BC2734,0)&amp;"_"&amp;OFFSET(Pinlist!$G$1,Chart!BC2734,0),"")</f>
        <v/>
      </c>
      <c r="BH2734" s="1098"/>
    </row>
    <row r="2735" spans="53:60" x14ac:dyDescent="0.2">
      <c r="BA2735" s="518">
        <f t="shared" ca="1" si="139"/>
        <v>61</v>
      </c>
      <c r="BB2735" s="174">
        <f t="shared" ca="1" si="140"/>
        <v>2672</v>
      </c>
      <c r="BC2735" s="525" t="e">
        <f ca="1">MATCH(BD2735,OFFSET(Pinlist!$A$2,BC2734*(BA2735=BA2734),0,$BM$23,1),0)+BC2734*(BA2735=BA2734)</f>
        <v>#N/A</v>
      </c>
      <c r="BD2735" s="167">
        <f t="shared" ca="1" si="141"/>
        <v>0</v>
      </c>
      <c r="BE2735" s="191" t="e">
        <f ca="1">(OFFSET(Pinlist!$E$1,BC2735,0)-$BN$16)*$BN$19</f>
        <v>#N/A</v>
      </c>
      <c r="BF2735" s="192" t="e">
        <f ca="1">(OFFSET(Pinlist!$F$1,BC2735,0)-$BO$16)*$BO$19</f>
        <v>#N/A</v>
      </c>
      <c r="BG2735" s="1098" t="str">
        <f ca="1">IF(LEFT(BD2735,2)="RF",OFFSET(Pinlist!$D$1,Chart!BC2735,0)&amp;"_"&amp;OFFSET(Pinlist!$G$1,Chart!BC2735,0),"")</f>
        <v/>
      </c>
      <c r="BH2735" s="1098"/>
    </row>
    <row r="2736" spans="53:60" x14ac:dyDescent="0.2">
      <c r="BA2736" s="518">
        <f t="shared" ca="1" si="139"/>
        <v>61</v>
      </c>
      <c r="BB2736" s="174">
        <f t="shared" ca="1" si="140"/>
        <v>2673</v>
      </c>
      <c r="BC2736" s="525" t="e">
        <f ca="1">MATCH(BD2736,OFFSET(Pinlist!$A$2,BC2735*(BA2736=BA2735),0,$BM$23,1),0)+BC2735*(BA2736=BA2735)</f>
        <v>#N/A</v>
      </c>
      <c r="BD2736" s="167">
        <f t="shared" ca="1" si="141"/>
        <v>0</v>
      </c>
      <c r="BE2736" s="191" t="e">
        <f ca="1">(OFFSET(Pinlist!$E$1,BC2736,0)-$BN$16)*$BN$19</f>
        <v>#N/A</v>
      </c>
      <c r="BF2736" s="192" t="e">
        <f ca="1">(OFFSET(Pinlist!$F$1,BC2736,0)-$BO$16)*$BO$19</f>
        <v>#N/A</v>
      </c>
      <c r="BG2736" s="1098" t="str">
        <f ca="1">IF(LEFT(BD2736,2)="RF",OFFSET(Pinlist!$D$1,Chart!BC2736,0)&amp;"_"&amp;OFFSET(Pinlist!$G$1,Chart!BC2736,0),"")</f>
        <v/>
      </c>
      <c r="BH2736" s="1098"/>
    </row>
    <row r="2737" spans="53:60" x14ac:dyDescent="0.2">
      <c r="BA2737" s="518">
        <f t="shared" ca="1" si="139"/>
        <v>61</v>
      </c>
      <c r="BB2737" s="174">
        <f t="shared" ca="1" si="140"/>
        <v>2674</v>
      </c>
      <c r="BC2737" s="525" t="e">
        <f ca="1">MATCH(BD2737,OFFSET(Pinlist!$A$2,BC2736*(BA2737=BA2736),0,$BM$23,1),0)+BC2736*(BA2737=BA2736)</f>
        <v>#N/A</v>
      </c>
      <c r="BD2737" s="167">
        <f t="shared" ca="1" si="141"/>
        <v>0</v>
      </c>
      <c r="BE2737" s="191" t="e">
        <f ca="1">(OFFSET(Pinlist!$E$1,BC2737,0)-$BN$16)*$BN$19</f>
        <v>#N/A</v>
      </c>
      <c r="BF2737" s="192" t="e">
        <f ca="1">(OFFSET(Pinlist!$F$1,BC2737,0)-$BO$16)*$BO$19</f>
        <v>#N/A</v>
      </c>
      <c r="BG2737" s="1098" t="str">
        <f ca="1">IF(LEFT(BD2737,2)="RF",OFFSET(Pinlist!$D$1,Chart!BC2737,0)&amp;"_"&amp;OFFSET(Pinlist!$G$1,Chart!BC2737,0),"")</f>
        <v/>
      </c>
      <c r="BH2737" s="1098"/>
    </row>
    <row r="2738" spans="53:60" x14ac:dyDescent="0.2">
      <c r="BA2738" s="518">
        <f t="shared" ca="1" si="139"/>
        <v>61</v>
      </c>
      <c r="BB2738" s="174">
        <f t="shared" ca="1" si="140"/>
        <v>2675</v>
      </c>
      <c r="BC2738" s="525" t="e">
        <f ca="1">MATCH(BD2738,OFFSET(Pinlist!$A$2,BC2737*(BA2738=BA2737),0,$BM$23,1),0)+BC2737*(BA2738=BA2737)</f>
        <v>#N/A</v>
      </c>
      <c r="BD2738" s="167">
        <f t="shared" ca="1" si="141"/>
        <v>0</v>
      </c>
      <c r="BE2738" s="191" t="e">
        <f ca="1">(OFFSET(Pinlist!$E$1,BC2738,0)-$BN$16)*$BN$19</f>
        <v>#N/A</v>
      </c>
      <c r="BF2738" s="192" t="e">
        <f ca="1">(OFFSET(Pinlist!$F$1,BC2738,0)-$BO$16)*$BO$19</f>
        <v>#N/A</v>
      </c>
      <c r="BG2738" s="1098" t="str">
        <f ca="1">IF(LEFT(BD2738,2)="RF",OFFSET(Pinlist!$D$1,Chart!BC2738,0)&amp;"_"&amp;OFFSET(Pinlist!$G$1,Chart!BC2738,0),"")</f>
        <v/>
      </c>
      <c r="BH2738" s="1098"/>
    </row>
    <row r="2739" spans="53:60" x14ac:dyDescent="0.2">
      <c r="BA2739" s="518">
        <f t="shared" ca="1" si="139"/>
        <v>61</v>
      </c>
      <c r="BB2739" s="174">
        <f t="shared" ca="1" si="140"/>
        <v>2676</v>
      </c>
      <c r="BC2739" s="525" t="e">
        <f ca="1">MATCH(BD2739,OFFSET(Pinlist!$A$2,BC2738*(BA2739=BA2738),0,$BM$23,1),0)+BC2738*(BA2739=BA2738)</f>
        <v>#N/A</v>
      </c>
      <c r="BD2739" s="167">
        <f t="shared" ca="1" si="141"/>
        <v>0</v>
      </c>
      <c r="BE2739" s="191" t="e">
        <f ca="1">(OFFSET(Pinlist!$E$1,BC2739,0)-$BN$16)*$BN$19</f>
        <v>#N/A</v>
      </c>
      <c r="BF2739" s="192" t="e">
        <f ca="1">(OFFSET(Pinlist!$F$1,BC2739,0)-$BO$16)*$BO$19</f>
        <v>#N/A</v>
      </c>
      <c r="BG2739" s="1098" t="str">
        <f ca="1">IF(LEFT(BD2739,2)="RF",OFFSET(Pinlist!$D$1,Chart!BC2739,0)&amp;"_"&amp;OFFSET(Pinlist!$G$1,Chart!BC2739,0),"")</f>
        <v/>
      </c>
      <c r="BH2739" s="1098"/>
    </row>
    <row r="2740" spans="53:60" x14ac:dyDescent="0.2">
      <c r="BA2740" s="518">
        <f t="shared" ca="1" si="139"/>
        <v>61</v>
      </c>
      <c r="BB2740" s="174">
        <f t="shared" ca="1" si="140"/>
        <v>2677</v>
      </c>
      <c r="BC2740" s="525" t="e">
        <f ca="1">MATCH(BD2740,OFFSET(Pinlist!$A$2,BC2739*(BA2740=BA2739),0,$BM$23,1),0)+BC2739*(BA2740=BA2739)</f>
        <v>#N/A</v>
      </c>
      <c r="BD2740" s="167">
        <f t="shared" ca="1" si="141"/>
        <v>0</v>
      </c>
      <c r="BE2740" s="191" t="e">
        <f ca="1">(OFFSET(Pinlist!$E$1,BC2740,0)-$BN$16)*$BN$19</f>
        <v>#N/A</v>
      </c>
      <c r="BF2740" s="192" t="e">
        <f ca="1">(OFFSET(Pinlist!$F$1,BC2740,0)-$BO$16)*$BO$19</f>
        <v>#N/A</v>
      </c>
      <c r="BG2740" s="1098" t="str">
        <f ca="1">IF(LEFT(BD2740,2)="RF",OFFSET(Pinlist!$D$1,Chart!BC2740,0)&amp;"_"&amp;OFFSET(Pinlist!$G$1,Chart!BC2740,0),"")</f>
        <v/>
      </c>
      <c r="BH2740" s="1098"/>
    </row>
    <row r="2741" spans="53:60" x14ac:dyDescent="0.2">
      <c r="BA2741" s="518">
        <f t="shared" ca="1" si="139"/>
        <v>61</v>
      </c>
      <c r="BB2741" s="174">
        <f t="shared" ca="1" si="140"/>
        <v>2678</v>
      </c>
      <c r="BC2741" s="525" t="e">
        <f ca="1">MATCH(BD2741,OFFSET(Pinlist!$A$2,BC2740*(BA2741=BA2740),0,$BM$23,1),0)+BC2740*(BA2741=BA2740)</f>
        <v>#N/A</v>
      </c>
      <c r="BD2741" s="167">
        <f t="shared" ca="1" si="141"/>
        <v>0</v>
      </c>
      <c r="BE2741" s="191" t="e">
        <f ca="1">(OFFSET(Pinlist!$E$1,BC2741,0)-$BN$16)*$BN$19</f>
        <v>#N/A</v>
      </c>
      <c r="BF2741" s="192" t="e">
        <f ca="1">(OFFSET(Pinlist!$F$1,BC2741,0)-$BO$16)*$BO$19</f>
        <v>#N/A</v>
      </c>
      <c r="BG2741" s="1098" t="str">
        <f ca="1">IF(LEFT(BD2741,2)="RF",OFFSET(Pinlist!$D$1,Chart!BC2741,0)&amp;"_"&amp;OFFSET(Pinlist!$G$1,Chart!BC2741,0),"")</f>
        <v/>
      </c>
      <c r="BH2741" s="1098"/>
    </row>
    <row r="2742" spans="53:60" x14ac:dyDescent="0.2">
      <c r="BA2742" s="518">
        <f t="shared" ca="1" si="139"/>
        <v>61</v>
      </c>
      <c r="BB2742" s="174">
        <f t="shared" ca="1" si="140"/>
        <v>2679</v>
      </c>
      <c r="BC2742" s="525" t="e">
        <f ca="1">MATCH(BD2742,OFFSET(Pinlist!$A$2,BC2741*(BA2742=BA2741),0,$BM$23,1),0)+BC2741*(BA2742=BA2741)</f>
        <v>#N/A</v>
      </c>
      <c r="BD2742" s="167">
        <f t="shared" ca="1" si="141"/>
        <v>0</v>
      </c>
      <c r="BE2742" s="191" t="e">
        <f ca="1">(OFFSET(Pinlist!$E$1,BC2742,0)-$BN$16)*$BN$19</f>
        <v>#N/A</v>
      </c>
      <c r="BF2742" s="192" t="e">
        <f ca="1">(OFFSET(Pinlist!$F$1,BC2742,0)-$BO$16)*$BO$19</f>
        <v>#N/A</v>
      </c>
      <c r="BG2742" s="1098" t="str">
        <f ca="1">IF(LEFT(BD2742,2)="RF",OFFSET(Pinlist!$D$1,Chart!BC2742,0)&amp;"_"&amp;OFFSET(Pinlist!$G$1,Chart!BC2742,0),"")</f>
        <v/>
      </c>
      <c r="BH2742" s="1098"/>
    </row>
    <row r="2743" spans="53:60" x14ac:dyDescent="0.2">
      <c r="BA2743" s="518">
        <f t="shared" ca="1" si="139"/>
        <v>61</v>
      </c>
      <c r="BB2743" s="174">
        <f t="shared" ca="1" si="140"/>
        <v>2680</v>
      </c>
      <c r="BC2743" s="525" t="e">
        <f ca="1">MATCH(BD2743,OFFSET(Pinlist!$A$2,BC2742*(BA2743=BA2742),0,$BM$23,1),0)+BC2742*(BA2743=BA2742)</f>
        <v>#N/A</v>
      </c>
      <c r="BD2743" s="167">
        <f t="shared" ca="1" si="141"/>
        <v>0</v>
      </c>
      <c r="BE2743" s="191" t="e">
        <f ca="1">(OFFSET(Pinlist!$E$1,BC2743,0)-$BN$16)*$BN$19</f>
        <v>#N/A</v>
      </c>
      <c r="BF2743" s="192" t="e">
        <f ca="1">(OFFSET(Pinlist!$F$1,BC2743,0)-$BO$16)*$BO$19</f>
        <v>#N/A</v>
      </c>
      <c r="BG2743" s="1098" t="str">
        <f ca="1">IF(LEFT(BD2743,2)="RF",OFFSET(Pinlist!$D$1,Chart!BC2743,0)&amp;"_"&amp;OFFSET(Pinlist!$G$1,Chart!BC2743,0),"")</f>
        <v/>
      </c>
      <c r="BH2743" s="1098"/>
    </row>
    <row r="2744" spans="53:60" x14ac:dyDescent="0.2">
      <c r="BA2744" s="518">
        <f t="shared" ca="1" si="139"/>
        <v>61</v>
      </c>
      <c r="BB2744" s="174">
        <f t="shared" ca="1" si="140"/>
        <v>2681</v>
      </c>
      <c r="BC2744" s="525" t="e">
        <f ca="1">MATCH(BD2744,OFFSET(Pinlist!$A$2,BC2743*(BA2744=BA2743),0,$BM$23,1),0)+BC2743*(BA2744=BA2743)</f>
        <v>#N/A</v>
      </c>
      <c r="BD2744" s="167">
        <f t="shared" ca="1" si="141"/>
        <v>0</v>
      </c>
      <c r="BE2744" s="191" t="e">
        <f ca="1">(OFFSET(Pinlist!$E$1,BC2744,0)-$BN$16)*$BN$19</f>
        <v>#N/A</v>
      </c>
      <c r="BF2744" s="192" t="e">
        <f ca="1">(OFFSET(Pinlist!$F$1,BC2744,0)-$BO$16)*$BO$19</f>
        <v>#N/A</v>
      </c>
      <c r="BG2744" s="1098" t="str">
        <f ca="1">IF(LEFT(BD2744,2)="RF",OFFSET(Pinlist!$D$1,Chart!BC2744,0)&amp;"_"&amp;OFFSET(Pinlist!$G$1,Chart!BC2744,0),"")</f>
        <v/>
      </c>
      <c r="BH2744" s="1098"/>
    </row>
    <row r="2745" spans="53:60" x14ac:dyDescent="0.2">
      <c r="BA2745" s="518">
        <f t="shared" ca="1" si="139"/>
        <v>61</v>
      </c>
      <c r="BB2745" s="174">
        <f t="shared" ca="1" si="140"/>
        <v>2682</v>
      </c>
      <c r="BC2745" s="525" t="e">
        <f ca="1">MATCH(BD2745,OFFSET(Pinlist!$A$2,BC2744*(BA2745=BA2744),0,$BM$23,1),0)+BC2744*(BA2745=BA2744)</f>
        <v>#N/A</v>
      </c>
      <c r="BD2745" s="167">
        <f t="shared" ca="1" si="141"/>
        <v>0</v>
      </c>
      <c r="BE2745" s="191" t="e">
        <f ca="1">(OFFSET(Pinlist!$E$1,BC2745,0)-$BN$16)*$BN$19</f>
        <v>#N/A</v>
      </c>
      <c r="BF2745" s="192" t="e">
        <f ca="1">(OFFSET(Pinlist!$F$1,BC2745,0)-$BO$16)*$BO$19</f>
        <v>#N/A</v>
      </c>
      <c r="BG2745" s="1098" t="str">
        <f ca="1">IF(LEFT(BD2745,2)="RF",OFFSET(Pinlist!$D$1,Chart!BC2745,0)&amp;"_"&amp;OFFSET(Pinlist!$G$1,Chart!BC2745,0),"")</f>
        <v/>
      </c>
      <c r="BH2745" s="1098"/>
    </row>
    <row r="2746" spans="53:60" x14ac:dyDescent="0.2">
      <c r="BA2746" s="518">
        <f t="shared" ca="1" si="139"/>
        <v>61</v>
      </c>
      <c r="BB2746" s="174">
        <f t="shared" ca="1" si="140"/>
        <v>2683</v>
      </c>
      <c r="BC2746" s="525" t="e">
        <f ca="1">MATCH(BD2746,OFFSET(Pinlist!$A$2,BC2745*(BA2746=BA2745),0,$BM$23,1),0)+BC2745*(BA2746=BA2745)</f>
        <v>#N/A</v>
      </c>
      <c r="BD2746" s="167">
        <f t="shared" ca="1" si="141"/>
        <v>0</v>
      </c>
      <c r="BE2746" s="191" t="e">
        <f ca="1">(OFFSET(Pinlist!$E$1,BC2746,0)-$BN$16)*$BN$19</f>
        <v>#N/A</v>
      </c>
      <c r="BF2746" s="192" t="e">
        <f ca="1">(OFFSET(Pinlist!$F$1,BC2746,0)-$BO$16)*$BO$19</f>
        <v>#N/A</v>
      </c>
      <c r="BG2746" s="1098" t="str">
        <f ca="1">IF(LEFT(BD2746,2)="RF",OFFSET(Pinlist!$D$1,Chart!BC2746,0)&amp;"_"&amp;OFFSET(Pinlist!$G$1,Chart!BC2746,0),"")</f>
        <v/>
      </c>
      <c r="BH2746" s="1098"/>
    </row>
    <row r="2747" spans="53:60" x14ac:dyDescent="0.2">
      <c r="BA2747" s="518">
        <f t="shared" ca="1" si="139"/>
        <v>61</v>
      </c>
      <c r="BB2747" s="174">
        <f t="shared" ca="1" si="140"/>
        <v>2684</v>
      </c>
      <c r="BC2747" s="525" t="e">
        <f ca="1">MATCH(BD2747,OFFSET(Pinlist!$A$2,BC2746*(BA2747=BA2746),0,$BM$23,1),0)+BC2746*(BA2747=BA2746)</f>
        <v>#N/A</v>
      </c>
      <c r="BD2747" s="167">
        <f t="shared" ca="1" si="141"/>
        <v>0</v>
      </c>
      <c r="BE2747" s="191" t="e">
        <f ca="1">(OFFSET(Pinlist!$E$1,BC2747,0)-$BN$16)*$BN$19</f>
        <v>#N/A</v>
      </c>
      <c r="BF2747" s="192" t="e">
        <f ca="1">(OFFSET(Pinlist!$F$1,BC2747,0)-$BO$16)*$BO$19</f>
        <v>#N/A</v>
      </c>
      <c r="BG2747" s="1098" t="str">
        <f ca="1">IF(LEFT(BD2747,2)="RF",OFFSET(Pinlist!$D$1,Chart!BC2747,0)&amp;"_"&amp;OFFSET(Pinlist!$G$1,Chart!BC2747,0),"")</f>
        <v/>
      </c>
      <c r="BH2747" s="1098"/>
    </row>
    <row r="2748" spans="53:60" x14ac:dyDescent="0.2">
      <c r="BA2748" s="518">
        <f t="shared" ca="1" si="139"/>
        <v>61</v>
      </c>
      <c r="BB2748" s="174">
        <f t="shared" ca="1" si="140"/>
        <v>2685</v>
      </c>
      <c r="BC2748" s="525" t="e">
        <f ca="1">MATCH(BD2748,OFFSET(Pinlist!$A$2,BC2747*(BA2748=BA2747),0,$BM$23,1),0)+BC2747*(BA2748=BA2747)</f>
        <v>#N/A</v>
      </c>
      <c r="BD2748" s="167">
        <f t="shared" ca="1" si="141"/>
        <v>0</v>
      </c>
      <c r="BE2748" s="191" t="e">
        <f ca="1">(OFFSET(Pinlist!$E$1,BC2748,0)-$BN$16)*$BN$19</f>
        <v>#N/A</v>
      </c>
      <c r="BF2748" s="192" t="e">
        <f ca="1">(OFFSET(Pinlist!$F$1,BC2748,0)-$BO$16)*$BO$19</f>
        <v>#N/A</v>
      </c>
      <c r="BG2748" s="1098" t="str">
        <f ca="1">IF(LEFT(BD2748,2)="RF",OFFSET(Pinlist!$D$1,Chart!BC2748,0)&amp;"_"&amp;OFFSET(Pinlist!$G$1,Chart!BC2748,0),"")</f>
        <v/>
      </c>
      <c r="BH2748" s="1098"/>
    </row>
    <row r="2749" spans="53:60" x14ac:dyDescent="0.2">
      <c r="BA2749" s="518">
        <f t="shared" ca="1" si="139"/>
        <v>61</v>
      </c>
      <c r="BB2749" s="174">
        <f t="shared" ca="1" si="140"/>
        <v>2686</v>
      </c>
      <c r="BC2749" s="525" t="e">
        <f ca="1">MATCH(BD2749,OFFSET(Pinlist!$A$2,BC2748*(BA2749=BA2748),0,$BM$23,1),0)+BC2748*(BA2749=BA2748)</f>
        <v>#N/A</v>
      </c>
      <c r="BD2749" s="167">
        <f t="shared" ca="1" si="141"/>
        <v>0</v>
      </c>
      <c r="BE2749" s="191" t="e">
        <f ca="1">(OFFSET(Pinlist!$E$1,BC2749,0)-$BN$16)*$BN$19</f>
        <v>#N/A</v>
      </c>
      <c r="BF2749" s="192" t="e">
        <f ca="1">(OFFSET(Pinlist!$F$1,BC2749,0)-$BO$16)*$BO$19</f>
        <v>#N/A</v>
      </c>
      <c r="BG2749" s="1098" t="str">
        <f ca="1">IF(LEFT(BD2749,2)="RF",OFFSET(Pinlist!$D$1,Chart!BC2749,0)&amp;"_"&amp;OFFSET(Pinlist!$G$1,Chart!BC2749,0),"")</f>
        <v/>
      </c>
      <c r="BH2749" s="1098"/>
    </row>
    <row r="2750" spans="53:60" x14ac:dyDescent="0.2">
      <c r="BA2750" s="518">
        <f t="shared" ca="1" si="139"/>
        <v>61</v>
      </c>
      <c r="BB2750" s="174">
        <f t="shared" ca="1" si="140"/>
        <v>2687</v>
      </c>
      <c r="BC2750" s="525" t="e">
        <f ca="1">MATCH(BD2750,OFFSET(Pinlist!$A$2,BC2749*(BA2750=BA2749),0,$BM$23,1),0)+BC2749*(BA2750=BA2749)</f>
        <v>#N/A</v>
      </c>
      <c r="BD2750" s="167">
        <f t="shared" ca="1" si="141"/>
        <v>0</v>
      </c>
      <c r="BE2750" s="191" t="e">
        <f ca="1">(OFFSET(Pinlist!$E$1,BC2750,0)-$BN$16)*$BN$19</f>
        <v>#N/A</v>
      </c>
      <c r="BF2750" s="192" t="e">
        <f ca="1">(OFFSET(Pinlist!$F$1,BC2750,0)-$BO$16)*$BO$19</f>
        <v>#N/A</v>
      </c>
      <c r="BG2750" s="1098" t="str">
        <f ca="1">IF(LEFT(BD2750,2)="RF",OFFSET(Pinlist!$D$1,Chart!BC2750,0)&amp;"_"&amp;OFFSET(Pinlist!$G$1,Chart!BC2750,0),"")</f>
        <v/>
      </c>
      <c r="BH2750" s="1098"/>
    </row>
    <row r="2751" spans="53:60" x14ac:dyDescent="0.2">
      <c r="BA2751" s="518">
        <f t="shared" ca="1" si="139"/>
        <v>61</v>
      </c>
      <c r="BB2751" s="174">
        <f t="shared" ca="1" si="140"/>
        <v>2688</v>
      </c>
      <c r="BC2751" s="525" t="e">
        <f ca="1">MATCH(BD2751,OFFSET(Pinlist!$A$2,BC2750*(BA2751=BA2750),0,$BM$23,1),0)+BC2750*(BA2751=BA2750)</f>
        <v>#N/A</v>
      </c>
      <c r="BD2751" s="167">
        <f t="shared" ca="1" si="141"/>
        <v>0</v>
      </c>
      <c r="BE2751" s="191" t="e">
        <f ca="1">(OFFSET(Pinlist!$E$1,BC2751,0)-$BN$16)*$BN$19</f>
        <v>#N/A</v>
      </c>
      <c r="BF2751" s="192" t="e">
        <f ca="1">(OFFSET(Pinlist!$F$1,BC2751,0)-$BO$16)*$BO$19</f>
        <v>#N/A</v>
      </c>
      <c r="BG2751" s="1098" t="str">
        <f ca="1">IF(LEFT(BD2751,2)="RF",OFFSET(Pinlist!$D$1,Chart!BC2751,0)&amp;"_"&amp;OFFSET(Pinlist!$G$1,Chart!BC2751,0),"")</f>
        <v/>
      </c>
      <c r="BH2751" s="1098"/>
    </row>
    <row r="2752" spans="53:60" x14ac:dyDescent="0.2">
      <c r="BA2752" s="518">
        <f t="shared" ca="1" si="139"/>
        <v>61</v>
      </c>
      <c r="BB2752" s="174">
        <f t="shared" ca="1" si="140"/>
        <v>2689</v>
      </c>
      <c r="BC2752" s="525" t="e">
        <f ca="1">MATCH(BD2752,OFFSET(Pinlist!$A$2,BC2751*(BA2752=BA2751),0,$BM$23,1),0)+BC2751*(BA2752=BA2751)</f>
        <v>#N/A</v>
      </c>
      <c r="BD2752" s="167">
        <f t="shared" ca="1" si="141"/>
        <v>0</v>
      </c>
      <c r="BE2752" s="191" t="e">
        <f ca="1">(OFFSET(Pinlist!$E$1,BC2752,0)-$BN$16)*$BN$19</f>
        <v>#N/A</v>
      </c>
      <c r="BF2752" s="192" t="e">
        <f ca="1">(OFFSET(Pinlist!$F$1,BC2752,0)-$BO$16)*$BO$19</f>
        <v>#N/A</v>
      </c>
      <c r="BG2752" s="1098" t="str">
        <f ca="1">IF(LEFT(BD2752,2)="RF",OFFSET(Pinlist!$D$1,Chart!BC2752,0)&amp;"_"&amp;OFFSET(Pinlist!$G$1,Chart!BC2752,0),"")</f>
        <v/>
      </c>
      <c r="BH2752" s="1098"/>
    </row>
    <row r="2753" spans="53:60" x14ac:dyDescent="0.2">
      <c r="BA2753" s="518">
        <f t="shared" ca="1" si="139"/>
        <v>61</v>
      </c>
      <c r="BB2753" s="174">
        <f t="shared" ca="1" si="140"/>
        <v>2690</v>
      </c>
      <c r="BC2753" s="525" t="e">
        <f ca="1">MATCH(BD2753,OFFSET(Pinlist!$A$2,BC2752*(BA2753=BA2752),0,$BM$23,1),0)+BC2752*(BA2753=BA2752)</f>
        <v>#N/A</v>
      </c>
      <c r="BD2753" s="167">
        <f t="shared" ca="1" si="141"/>
        <v>0</v>
      </c>
      <c r="BE2753" s="191" t="e">
        <f ca="1">(OFFSET(Pinlist!$E$1,BC2753,0)-$BN$16)*$BN$19</f>
        <v>#N/A</v>
      </c>
      <c r="BF2753" s="192" t="e">
        <f ca="1">(OFFSET(Pinlist!$F$1,BC2753,0)-$BO$16)*$BO$19</f>
        <v>#N/A</v>
      </c>
      <c r="BG2753" s="1098" t="str">
        <f ca="1">IF(LEFT(BD2753,2)="RF",OFFSET(Pinlist!$D$1,Chart!BC2753,0)&amp;"_"&amp;OFFSET(Pinlist!$G$1,Chart!BC2753,0),"")</f>
        <v/>
      </c>
      <c r="BH2753" s="1098"/>
    </row>
    <row r="2754" spans="53:60" x14ac:dyDescent="0.2">
      <c r="BA2754" s="518">
        <f t="shared" ca="1" si="139"/>
        <v>61</v>
      </c>
      <c r="BB2754" s="174">
        <f t="shared" ca="1" si="140"/>
        <v>2691</v>
      </c>
      <c r="BC2754" s="525" t="e">
        <f ca="1">MATCH(BD2754,OFFSET(Pinlist!$A$2,BC2753*(BA2754=BA2753),0,$BM$23,1),0)+BC2753*(BA2754=BA2753)</f>
        <v>#N/A</v>
      </c>
      <c r="BD2754" s="167">
        <f t="shared" ca="1" si="141"/>
        <v>0</v>
      </c>
      <c r="BE2754" s="191" t="e">
        <f ca="1">(OFFSET(Pinlist!$E$1,BC2754,0)-$BN$16)*$BN$19</f>
        <v>#N/A</v>
      </c>
      <c r="BF2754" s="192" t="e">
        <f ca="1">(OFFSET(Pinlist!$F$1,BC2754,0)-$BO$16)*$BO$19</f>
        <v>#N/A</v>
      </c>
      <c r="BG2754" s="1098" t="str">
        <f ca="1">IF(LEFT(BD2754,2)="RF",OFFSET(Pinlist!$D$1,Chart!BC2754,0)&amp;"_"&amp;OFFSET(Pinlist!$G$1,Chart!BC2754,0),"")</f>
        <v/>
      </c>
      <c r="BH2754" s="1098"/>
    </row>
    <row r="2755" spans="53:60" x14ac:dyDescent="0.2">
      <c r="BA2755" s="518">
        <f t="shared" ca="1" si="139"/>
        <v>61</v>
      </c>
      <c r="BB2755" s="174">
        <f t="shared" ca="1" si="140"/>
        <v>2692</v>
      </c>
      <c r="BC2755" s="525" t="e">
        <f ca="1">MATCH(BD2755,OFFSET(Pinlist!$A$2,BC2754*(BA2755=BA2754),0,$BM$23,1),0)+BC2754*(BA2755=BA2754)</f>
        <v>#N/A</v>
      </c>
      <c r="BD2755" s="167">
        <f t="shared" ca="1" si="141"/>
        <v>0</v>
      </c>
      <c r="BE2755" s="191" t="e">
        <f ca="1">(OFFSET(Pinlist!$E$1,BC2755,0)-$BN$16)*$BN$19</f>
        <v>#N/A</v>
      </c>
      <c r="BF2755" s="192" t="e">
        <f ca="1">(OFFSET(Pinlist!$F$1,BC2755,0)-$BO$16)*$BO$19</f>
        <v>#N/A</v>
      </c>
      <c r="BG2755" s="1098" t="str">
        <f ca="1">IF(LEFT(BD2755,2)="RF",OFFSET(Pinlist!$D$1,Chart!BC2755,0)&amp;"_"&amp;OFFSET(Pinlist!$G$1,Chart!BC2755,0),"")</f>
        <v/>
      </c>
      <c r="BH2755" s="1098"/>
    </row>
    <row r="2756" spans="53:60" x14ac:dyDescent="0.2">
      <c r="BA2756" s="518">
        <f t="shared" ref="BA2756:BA2819" ca="1" si="142">BA2755+(BB2755=OFFSET($BZ$3,BA2755,0))</f>
        <v>61</v>
      </c>
      <c r="BB2756" s="174">
        <f t="shared" ref="BB2756:BB2819" ca="1" si="143">IF(BA2756=BA2755,BB2755+1,1)</f>
        <v>2693</v>
      </c>
      <c r="BC2756" s="525" t="e">
        <f ca="1">MATCH(BD2756,OFFSET(Pinlist!$A$2,BC2755*(BA2756=BA2755),0,$BM$23,1),0)+BC2755*(BA2756=BA2755)</f>
        <v>#N/A</v>
      </c>
      <c r="BD2756" s="167">
        <f t="shared" ref="BD2756:BD2819" ca="1" si="144">OFFSET($BY$3,BA2756,0)</f>
        <v>0</v>
      </c>
      <c r="BE2756" s="191" t="e">
        <f ca="1">(OFFSET(Pinlist!$E$1,BC2756,0)-$BN$16)*$BN$19</f>
        <v>#N/A</v>
      </c>
      <c r="BF2756" s="192" t="e">
        <f ca="1">(OFFSET(Pinlist!$F$1,BC2756,0)-$BO$16)*$BO$19</f>
        <v>#N/A</v>
      </c>
      <c r="BG2756" s="1098" t="str">
        <f ca="1">IF(LEFT(BD2756,2)="RF",OFFSET(Pinlist!$D$1,Chart!BC2756,0)&amp;"_"&amp;OFFSET(Pinlist!$G$1,Chart!BC2756,0),"")</f>
        <v/>
      </c>
      <c r="BH2756" s="1098"/>
    </row>
    <row r="2757" spans="53:60" x14ac:dyDescent="0.2">
      <c r="BA2757" s="518">
        <f t="shared" ca="1" si="142"/>
        <v>61</v>
      </c>
      <c r="BB2757" s="174">
        <f t="shared" ca="1" si="143"/>
        <v>2694</v>
      </c>
      <c r="BC2757" s="525" t="e">
        <f ca="1">MATCH(BD2757,OFFSET(Pinlist!$A$2,BC2756*(BA2757=BA2756),0,$BM$23,1),0)+BC2756*(BA2757=BA2756)</f>
        <v>#N/A</v>
      </c>
      <c r="BD2757" s="167">
        <f t="shared" ca="1" si="144"/>
        <v>0</v>
      </c>
      <c r="BE2757" s="191" t="e">
        <f ca="1">(OFFSET(Pinlist!$E$1,BC2757,0)-$BN$16)*$BN$19</f>
        <v>#N/A</v>
      </c>
      <c r="BF2757" s="192" t="e">
        <f ca="1">(OFFSET(Pinlist!$F$1,BC2757,0)-$BO$16)*$BO$19</f>
        <v>#N/A</v>
      </c>
      <c r="BG2757" s="1098" t="str">
        <f ca="1">IF(LEFT(BD2757,2)="RF",OFFSET(Pinlist!$D$1,Chart!BC2757,0)&amp;"_"&amp;OFFSET(Pinlist!$G$1,Chart!BC2757,0),"")</f>
        <v/>
      </c>
      <c r="BH2757" s="1098"/>
    </row>
    <row r="2758" spans="53:60" x14ac:dyDescent="0.2">
      <c r="BA2758" s="518">
        <f t="shared" ca="1" si="142"/>
        <v>61</v>
      </c>
      <c r="BB2758" s="174">
        <f t="shared" ca="1" si="143"/>
        <v>2695</v>
      </c>
      <c r="BC2758" s="525" t="e">
        <f ca="1">MATCH(BD2758,OFFSET(Pinlist!$A$2,BC2757*(BA2758=BA2757),0,$BM$23,1),0)+BC2757*(BA2758=BA2757)</f>
        <v>#N/A</v>
      </c>
      <c r="BD2758" s="167">
        <f t="shared" ca="1" si="144"/>
        <v>0</v>
      </c>
      <c r="BE2758" s="191" t="e">
        <f ca="1">(OFFSET(Pinlist!$E$1,BC2758,0)-$BN$16)*$BN$19</f>
        <v>#N/A</v>
      </c>
      <c r="BF2758" s="192" t="e">
        <f ca="1">(OFFSET(Pinlist!$F$1,BC2758,0)-$BO$16)*$BO$19</f>
        <v>#N/A</v>
      </c>
      <c r="BG2758" s="1098" t="str">
        <f ca="1">IF(LEFT(BD2758,2)="RF",OFFSET(Pinlist!$D$1,Chart!BC2758,0)&amp;"_"&amp;OFFSET(Pinlist!$G$1,Chart!BC2758,0),"")</f>
        <v/>
      </c>
      <c r="BH2758" s="1098"/>
    </row>
    <row r="2759" spans="53:60" x14ac:dyDescent="0.2">
      <c r="BA2759" s="518">
        <f t="shared" ca="1" si="142"/>
        <v>61</v>
      </c>
      <c r="BB2759" s="174">
        <f t="shared" ca="1" si="143"/>
        <v>2696</v>
      </c>
      <c r="BC2759" s="525" t="e">
        <f ca="1">MATCH(BD2759,OFFSET(Pinlist!$A$2,BC2758*(BA2759=BA2758),0,$BM$23,1),0)+BC2758*(BA2759=BA2758)</f>
        <v>#N/A</v>
      </c>
      <c r="BD2759" s="167">
        <f t="shared" ca="1" si="144"/>
        <v>0</v>
      </c>
      <c r="BE2759" s="191" t="e">
        <f ca="1">(OFFSET(Pinlist!$E$1,BC2759,0)-$BN$16)*$BN$19</f>
        <v>#N/A</v>
      </c>
      <c r="BF2759" s="192" t="e">
        <f ca="1">(OFFSET(Pinlist!$F$1,BC2759,0)-$BO$16)*$BO$19</f>
        <v>#N/A</v>
      </c>
      <c r="BG2759" s="1098" t="str">
        <f ca="1">IF(LEFT(BD2759,2)="RF",OFFSET(Pinlist!$D$1,Chart!BC2759,0)&amp;"_"&amp;OFFSET(Pinlist!$G$1,Chart!BC2759,0),"")</f>
        <v/>
      </c>
      <c r="BH2759" s="1098"/>
    </row>
    <row r="2760" spans="53:60" x14ac:dyDescent="0.2">
      <c r="BA2760" s="518">
        <f t="shared" ca="1" si="142"/>
        <v>61</v>
      </c>
      <c r="BB2760" s="174">
        <f t="shared" ca="1" si="143"/>
        <v>2697</v>
      </c>
      <c r="BC2760" s="525" t="e">
        <f ca="1">MATCH(BD2760,OFFSET(Pinlist!$A$2,BC2759*(BA2760=BA2759),0,$BM$23,1),0)+BC2759*(BA2760=BA2759)</f>
        <v>#N/A</v>
      </c>
      <c r="BD2760" s="167">
        <f t="shared" ca="1" si="144"/>
        <v>0</v>
      </c>
      <c r="BE2760" s="191" t="e">
        <f ca="1">(OFFSET(Pinlist!$E$1,BC2760,0)-$BN$16)*$BN$19</f>
        <v>#N/A</v>
      </c>
      <c r="BF2760" s="192" t="e">
        <f ca="1">(OFFSET(Pinlist!$F$1,BC2760,0)-$BO$16)*$BO$19</f>
        <v>#N/A</v>
      </c>
      <c r="BG2760" s="1098" t="str">
        <f ca="1">IF(LEFT(BD2760,2)="RF",OFFSET(Pinlist!$D$1,Chart!BC2760,0)&amp;"_"&amp;OFFSET(Pinlist!$G$1,Chart!BC2760,0),"")</f>
        <v/>
      </c>
      <c r="BH2760" s="1098"/>
    </row>
    <row r="2761" spans="53:60" x14ac:dyDescent="0.2">
      <c r="BA2761" s="518">
        <f t="shared" ca="1" si="142"/>
        <v>61</v>
      </c>
      <c r="BB2761" s="174">
        <f t="shared" ca="1" si="143"/>
        <v>2698</v>
      </c>
      <c r="BC2761" s="525" t="e">
        <f ca="1">MATCH(BD2761,OFFSET(Pinlist!$A$2,BC2760*(BA2761=BA2760),0,$BM$23,1),0)+BC2760*(BA2761=BA2760)</f>
        <v>#N/A</v>
      </c>
      <c r="BD2761" s="167">
        <f t="shared" ca="1" si="144"/>
        <v>0</v>
      </c>
      <c r="BE2761" s="191" t="e">
        <f ca="1">(OFFSET(Pinlist!$E$1,BC2761,0)-$BN$16)*$BN$19</f>
        <v>#N/A</v>
      </c>
      <c r="BF2761" s="192" t="e">
        <f ca="1">(OFFSET(Pinlist!$F$1,BC2761,0)-$BO$16)*$BO$19</f>
        <v>#N/A</v>
      </c>
      <c r="BG2761" s="1098" t="str">
        <f ca="1">IF(LEFT(BD2761,2)="RF",OFFSET(Pinlist!$D$1,Chart!BC2761,0)&amp;"_"&amp;OFFSET(Pinlist!$G$1,Chart!BC2761,0),"")</f>
        <v/>
      </c>
      <c r="BH2761" s="1098"/>
    </row>
    <row r="2762" spans="53:60" x14ac:dyDescent="0.2">
      <c r="BA2762" s="518">
        <f t="shared" ca="1" si="142"/>
        <v>61</v>
      </c>
      <c r="BB2762" s="174">
        <f t="shared" ca="1" si="143"/>
        <v>2699</v>
      </c>
      <c r="BC2762" s="525" t="e">
        <f ca="1">MATCH(BD2762,OFFSET(Pinlist!$A$2,BC2761*(BA2762=BA2761),0,$BM$23,1),0)+BC2761*(BA2762=BA2761)</f>
        <v>#N/A</v>
      </c>
      <c r="BD2762" s="167">
        <f t="shared" ca="1" si="144"/>
        <v>0</v>
      </c>
      <c r="BE2762" s="191" t="e">
        <f ca="1">(OFFSET(Pinlist!$E$1,BC2762,0)-$BN$16)*$BN$19</f>
        <v>#N/A</v>
      </c>
      <c r="BF2762" s="192" t="e">
        <f ca="1">(OFFSET(Pinlist!$F$1,BC2762,0)-$BO$16)*$BO$19</f>
        <v>#N/A</v>
      </c>
      <c r="BG2762" s="1098" t="str">
        <f ca="1">IF(LEFT(BD2762,2)="RF",OFFSET(Pinlist!$D$1,Chart!BC2762,0)&amp;"_"&amp;OFFSET(Pinlist!$G$1,Chart!BC2762,0),"")</f>
        <v/>
      </c>
      <c r="BH2762" s="1098"/>
    </row>
    <row r="2763" spans="53:60" x14ac:dyDescent="0.2">
      <c r="BA2763" s="518">
        <f t="shared" ca="1" si="142"/>
        <v>61</v>
      </c>
      <c r="BB2763" s="174">
        <f t="shared" ca="1" si="143"/>
        <v>2700</v>
      </c>
      <c r="BC2763" s="525" t="e">
        <f ca="1">MATCH(BD2763,OFFSET(Pinlist!$A$2,BC2762*(BA2763=BA2762),0,$BM$23,1),0)+BC2762*(BA2763=BA2762)</f>
        <v>#N/A</v>
      </c>
      <c r="BD2763" s="167">
        <f t="shared" ca="1" si="144"/>
        <v>0</v>
      </c>
      <c r="BE2763" s="191" t="e">
        <f ca="1">(OFFSET(Pinlist!$E$1,BC2763,0)-$BN$16)*$BN$19</f>
        <v>#N/A</v>
      </c>
      <c r="BF2763" s="192" t="e">
        <f ca="1">(OFFSET(Pinlist!$F$1,BC2763,0)-$BO$16)*$BO$19</f>
        <v>#N/A</v>
      </c>
      <c r="BG2763" s="1098" t="str">
        <f ca="1">IF(LEFT(BD2763,2)="RF",OFFSET(Pinlist!$D$1,Chart!BC2763,0)&amp;"_"&amp;OFFSET(Pinlist!$G$1,Chart!BC2763,0),"")</f>
        <v/>
      </c>
      <c r="BH2763" s="1098"/>
    </row>
    <row r="2764" spans="53:60" x14ac:dyDescent="0.2">
      <c r="BA2764" s="518">
        <f t="shared" ca="1" si="142"/>
        <v>61</v>
      </c>
      <c r="BB2764" s="174">
        <f t="shared" ca="1" si="143"/>
        <v>2701</v>
      </c>
      <c r="BC2764" s="525" t="e">
        <f ca="1">MATCH(BD2764,OFFSET(Pinlist!$A$2,BC2763*(BA2764=BA2763),0,$BM$23,1),0)+BC2763*(BA2764=BA2763)</f>
        <v>#N/A</v>
      </c>
      <c r="BD2764" s="167">
        <f t="shared" ca="1" si="144"/>
        <v>0</v>
      </c>
      <c r="BE2764" s="191" t="e">
        <f ca="1">(OFFSET(Pinlist!$E$1,BC2764,0)-$BN$16)*$BN$19</f>
        <v>#N/A</v>
      </c>
      <c r="BF2764" s="192" t="e">
        <f ca="1">(OFFSET(Pinlist!$F$1,BC2764,0)-$BO$16)*$BO$19</f>
        <v>#N/A</v>
      </c>
      <c r="BG2764" s="1098" t="str">
        <f ca="1">IF(LEFT(BD2764,2)="RF",OFFSET(Pinlist!$D$1,Chart!BC2764,0)&amp;"_"&amp;OFFSET(Pinlist!$G$1,Chart!BC2764,0),"")</f>
        <v/>
      </c>
      <c r="BH2764" s="1098"/>
    </row>
    <row r="2765" spans="53:60" x14ac:dyDescent="0.2">
      <c r="BA2765" s="518">
        <f t="shared" ca="1" si="142"/>
        <v>61</v>
      </c>
      <c r="BB2765" s="174">
        <f t="shared" ca="1" si="143"/>
        <v>2702</v>
      </c>
      <c r="BC2765" s="525" t="e">
        <f ca="1">MATCH(BD2765,OFFSET(Pinlist!$A$2,BC2764*(BA2765=BA2764),0,$BM$23,1),0)+BC2764*(BA2765=BA2764)</f>
        <v>#N/A</v>
      </c>
      <c r="BD2765" s="167">
        <f t="shared" ca="1" si="144"/>
        <v>0</v>
      </c>
      <c r="BE2765" s="191" t="e">
        <f ca="1">(OFFSET(Pinlist!$E$1,BC2765,0)-$BN$16)*$BN$19</f>
        <v>#N/A</v>
      </c>
      <c r="BF2765" s="192" t="e">
        <f ca="1">(OFFSET(Pinlist!$F$1,BC2765,0)-$BO$16)*$BO$19</f>
        <v>#N/A</v>
      </c>
      <c r="BG2765" s="1098" t="str">
        <f ca="1">IF(LEFT(BD2765,2)="RF",OFFSET(Pinlist!$D$1,Chart!BC2765,0)&amp;"_"&amp;OFFSET(Pinlist!$G$1,Chart!BC2765,0),"")</f>
        <v/>
      </c>
      <c r="BH2765" s="1098"/>
    </row>
    <row r="2766" spans="53:60" x14ac:dyDescent="0.2">
      <c r="BA2766" s="518">
        <f t="shared" ca="1" si="142"/>
        <v>61</v>
      </c>
      <c r="BB2766" s="174">
        <f t="shared" ca="1" si="143"/>
        <v>2703</v>
      </c>
      <c r="BC2766" s="525" t="e">
        <f ca="1">MATCH(BD2766,OFFSET(Pinlist!$A$2,BC2765*(BA2766=BA2765),0,$BM$23,1),0)+BC2765*(BA2766=BA2765)</f>
        <v>#N/A</v>
      </c>
      <c r="BD2766" s="167">
        <f t="shared" ca="1" si="144"/>
        <v>0</v>
      </c>
      <c r="BE2766" s="191" t="e">
        <f ca="1">(OFFSET(Pinlist!$E$1,BC2766,0)-$BN$16)*$BN$19</f>
        <v>#N/A</v>
      </c>
      <c r="BF2766" s="192" t="e">
        <f ca="1">(OFFSET(Pinlist!$F$1,BC2766,0)-$BO$16)*$BO$19</f>
        <v>#N/A</v>
      </c>
      <c r="BG2766" s="1098" t="str">
        <f ca="1">IF(LEFT(BD2766,2)="RF",OFFSET(Pinlist!$D$1,Chart!BC2766,0)&amp;"_"&amp;OFFSET(Pinlist!$G$1,Chart!BC2766,0),"")</f>
        <v/>
      </c>
      <c r="BH2766" s="1098"/>
    </row>
    <row r="2767" spans="53:60" x14ac:dyDescent="0.2">
      <c r="BA2767" s="518">
        <f t="shared" ca="1" si="142"/>
        <v>61</v>
      </c>
      <c r="BB2767" s="174">
        <f t="shared" ca="1" si="143"/>
        <v>2704</v>
      </c>
      <c r="BC2767" s="525" t="e">
        <f ca="1">MATCH(BD2767,OFFSET(Pinlist!$A$2,BC2766*(BA2767=BA2766),0,$BM$23,1),0)+BC2766*(BA2767=BA2766)</f>
        <v>#N/A</v>
      </c>
      <c r="BD2767" s="167">
        <f t="shared" ca="1" si="144"/>
        <v>0</v>
      </c>
      <c r="BE2767" s="191" t="e">
        <f ca="1">(OFFSET(Pinlist!$E$1,BC2767,0)-$BN$16)*$BN$19</f>
        <v>#N/A</v>
      </c>
      <c r="BF2767" s="192" t="e">
        <f ca="1">(OFFSET(Pinlist!$F$1,BC2767,0)-$BO$16)*$BO$19</f>
        <v>#N/A</v>
      </c>
      <c r="BG2767" s="1098" t="str">
        <f ca="1">IF(LEFT(BD2767,2)="RF",OFFSET(Pinlist!$D$1,Chart!BC2767,0)&amp;"_"&amp;OFFSET(Pinlist!$G$1,Chart!BC2767,0),"")</f>
        <v/>
      </c>
      <c r="BH2767" s="1098"/>
    </row>
    <row r="2768" spans="53:60" x14ac:dyDescent="0.2">
      <c r="BA2768" s="518">
        <f t="shared" ca="1" si="142"/>
        <v>61</v>
      </c>
      <c r="BB2768" s="174">
        <f t="shared" ca="1" si="143"/>
        <v>2705</v>
      </c>
      <c r="BC2768" s="525" t="e">
        <f ca="1">MATCH(BD2768,OFFSET(Pinlist!$A$2,BC2767*(BA2768=BA2767),0,$BM$23,1),0)+BC2767*(BA2768=BA2767)</f>
        <v>#N/A</v>
      </c>
      <c r="BD2768" s="167">
        <f t="shared" ca="1" si="144"/>
        <v>0</v>
      </c>
      <c r="BE2768" s="191" t="e">
        <f ca="1">(OFFSET(Pinlist!$E$1,BC2768,0)-$BN$16)*$BN$19</f>
        <v>#N/A</v>
      </c>
      <c r="BF2768" s="192" t="e">
        <f ca="1">(OFFSET(Pinlist!$F$1,BC2768,0)-$BO$16)*$BO$19</f>
        <v>#N/A</v>
      </c>
      <c r="BG2768" s="1098" t="str">
        <f ca="1">IF(LEFT(BD2768,2)="RF",OFFSET(Pinlist!$D$1,Chart!BC2768,0)&amp;"_"&amp;OFFSET(Pinlist!$G$1,Chart!BC2768,0),"")</f>
        <v/>
      </c>
      <c r="BH2768" s="1098"/>
    </row>
    <row r="2769" spans="53:60" x14ac:dyDescent="0.2">
      <c r="BA2769" s="518">
        <f t="shared" ca="1" si="142"/>
        <v>61</v>
      </c>
      <c r="BB2769" s="174">
        <f t="shared" ca="1" si="143"/>
        <v>2706</v>
      </c>
      <c r="BC2769" s="525" t="e">
        <f ca="1">MATCH(BD2769,OFFSET(Pinlist!$A$2,BC2768*(BA2769=BA2768),0,$BM$23,1),0)+BC2768*(BA2769=BA2768)</f>
        <v>#N/A</v>
      </c>
      <c r="BD2769" s="167">
        <f t="shared" ca="1" si="144"/>
        <v>0</v>
      </c>
      <c r="BE2769" s="191" t="e">
        <f ca="1">(OFFSET(Pinlist!$E$1,BC2769,0)-$BN$16)*$BN$19</f>
        <v>#N/A</v>
      </c>
      <c r="BF2769" s="192" t="e">
        <f ca="1">(OFFSET(Pinlist!$F$1,BC2769,0)-$BO$16)*$BO$19</f>
        <v>#N/A</v>
      </c>
      <c r="BG2769" s="1098" t="str">
        <f ca="1">IF(LEFT(BD2769,2)="RF",OFFSET(Pinlist!$D$1,Chart!BC2769,0)&amp;"_"&amp;OFFSET(Pinlist!$G$1,Chart!BC2769,0),"")</f>
        <v/>
      </c>
      <c r="BH2769" s="1098"/>
    </row>
    <row r="2770" spans="53:60" x14ac:dyDescent="0.2">
      <c r="BA2770" s="518">
        <f t="shared" ca="1" si="142"/>
        <v>61</v>
      </c>
      <c r="BB2770" s="174">
        <f t="shared" ca="1" si="143"/>
        <v>2707</v>
      </c>
      <c r="BC2770" s="525" t="e">
        <f ca="1">MATCH(BD2770,OFFSET(Pinlist!$A$2,BC2769*(BA2770=BA2769),0,$BM$23,1),0)+BC2769*(BA2770=BA2769)</f>
        <v>#N/A</v>
      </c>
      <c r="BD2770" s="167">
        <f t="shared" ca="1" si="144"/>
        <v>0</v>
      </c>
      <c r="BE2770" s="191" t="e">
        <f ca="1">(OFFSET(Pinlist!$E$1,BC2770,0)-$BN$16)*$BN$19</f>
        <v>#N/A</v>
      </c>
      <c r="BF2770" s="192" t="e">
        <f ca="1">(OFFSET(Pinlist!$F$1,BC2770,0)-$BO$16)*$BO$19</f>
        <v>#N/A</v>
      </c>
      <c r="BG2770" s="1098" t="str">
        <f ca="1">IF(LEFT(BD2770,2)="RF",OFFSET(Pinlist!$D$1,Chart!BC2770,0)&amp;"_"&amp;OFFSET(Pinlist!$G$1,Chart!BC2770,0),"")</f>
        <v/>
      </c>
      <c r="BH2770" s="1098"/>
    </row>
    <row r="2771" spans="53:60" x14ac:dyDescent="0.2">
      <c r="BA2771" s="518">
        <f t="shared" ca="1" si="142"/>
        <v>61</v>
      </c>
      <c r="BB2771" s="174">
        <f t="shared" ca="1" si="143"/>
        <v>2708</v>
      </c>
      <c r="BC2771" s="525" t="e">
        <f ca="1">MATCH(BD2771,OFFSET(Pinlist!$A$2,BC2770*(BA2771=BA2770),0,$BM$23,1),0)+BC2770*(BA2771=BA2770)</f>
        <v>#N/A</v>
      </c>
      <c r="BD2771" s="167">
        <f t="shared" ca="1" si="144"/>
        <v>0</v>
      </c>
      <c r="BE2771" s="191" t="e">
        <f ca="1">(OFFSET(Pinlist!$E$1,BC2771,0)-$BN$16)*$BN$19</f>
        <v>#N/A</v>
      </c>
      <c r="BF2771" s="192" t="e">
        <f ca="1">(OFFSET(Pinlist!$F$1,BC2771,0)-$BO$16)*$BO$19</f>
        <v>#N/A</v>
      </c>
      <c r="BG2771" s="1098" t="str">
        <f ca="1">IF(LEFT(BD2771,2)="RF",OFFSET(Pinlist!$D$1,Chart!BC2771,0)&amp;"_"&amp;OFFSET(Pinlist!$G$1,Chart!BC2771,0),"")</f>
        <v/>
      </c>
      <c r="BH2771" s="1098"/>
    </row>
    <row r="2772" spans="53:60" x14ac:dyDescent="0.2">
      <c r="BA2772" s="518">
        <f t="shared" ca="1" si="142"/>
        <v>61</v>
      </c>
      <c r="BB2772" s="174">
        <f t="shared" ca="1" si="143"/>
        <v>2709</v>
      </c>
      <c r="BC2772" s="525" t="e">
        <f ca="1">MATCH(BD2772,OFFSET(Pinlist!$A$2,BC2771*(BA2772=BA2771),0,$BM$23,1),0)+BC2771*(BA2772=BA2771)</f>
        <v>#N/A</v>
      </c>
      <c r="BD2772" s="167">
        <f t="shared" ca="1" si="144"/>
        <v>0</v>
      </c>
      <c r="BE2772" s="191" t="e">
        <f ca="1">(OFFSET(Pinlist!$E$1,BC2772,0)-$BN$16)*$BN$19</f>
        <v>#N/A</v>
      </c>
      <c r="BF2772" s="192" t="e">
        <f ca="1">(OFFSET(Pinlist!$F$1,BC2772,0)-$BO$16)*$BO$19</f>
        <v>#N/A</v>
      </c>
      <c r="BG2772" s="1098" t="str">
        <f ca="1">IF(LEFT(BD2772,2)="RF",OFFSET(Pinlist!$D$1,Chart!BC2772,0)&amp;"_"&amp;OFFSET(Pinlist!$G$1,Chart!BC2772,0),"")</f>
        <v/>
      </c>
      <c r="BH2772" s="1098"/>
    </row>
    <row r="2773" spans="53:60" x14ac:dyDescent="0.2">
      <c r="BA2773" s="518">
        <f t="shared" ca="1" si="142"/>
        <v>61</v>
      </c>
      <c r="BB2773" s="174">
        <f t="shared" ca="1" si="143"/>
        <v>2710</v>
      </c>
      <c r="BC2773" s="525" t="e">
        <f ca="1">MATCH(BD2773,OFFSET(Pinlist!$A$2,BC2772*(BA2773=BA2772),0,$BM$23,1),0)+BC2772*(BA2773=BA2772)</f>
        <v>#N/A</v>
      </c>
      <c r="BD2773" s="167">
        <f t="shared" ca="1" si="144"/>
        <v>0</v>
      </c>
      <c r="BE2773" s="191" t="e">
        <f ca="1">(OFFSET(Pinlist!$E$1,BC2773,0)-$BN$16)*$BN$19</f>
        <v>#N/A</v>
      </c>
      <c r="BF2773" s="192" t="e">
        <f ca="1">(OFFSET(Pinlist!$F$1,BC2773,0)-$BO$16)*$BO$19</f>
        <v>#N/A</v>
      </c>
      <c r="BG2773" s="1098" t="str">
        <f ca="1">IF(LEFT(BD2773,2)="RF",OFFSET(Pinlist!$D$1,Chart!BC2773,0)&amp;"_"&amp;OFFSET(Pinlist!$G$1,Chart!BC2773,0),"")</f>
        <v/>
      </c>
      <c r="BH2773" s="1098"/>
    </row>
    <row r="2774" spans="53:60" x14ac:dyDescent="0.2">
      <c r="BA2774" s="518">
        <f t="shared" ca="1" si="142"/>
        <v>61</v>
      </c>
      <c r="BB2774" s="174">
        <f t="shared" ca="1" si="143"/>
        <v>2711</v>
      </c>
      <c r="BC2774" s="525" t="e">
        <f ca="1">MATCH(BD2774,OFFSET(Pinlist!$A$2,BC2773*(BA2774=BA2773),0,$BM$23,1),0)+BC2773*(BA2774=BA2773)</f>
        <v>#N/A</v>
      </c>
      <c r="BD2774" s="167">
        <f t="shared" ca="1" si="144"/>
        <v>0</v>
      </c>
      <c r="BE2774" s="191" t="e">
        <f ca="1">(OFFSET(Pinlist!$E$1,BC2774,0)-$BN$16)*$BN$19</f>
        <v>#N/A</v>
      </c>
      <c r="BF2774" s="192" t="e">
        <f ca="1">(OFFSET(Pinlist!$F$1,BC2774,0)-$BO$16)*$BO$19</f>
        <v>#N/A</v>
      </c>
      <c r="BG2774" s="1098" t="str">
        <f ca="1">IF(LEFT(BD2774,2)="RF",OFFSET(Pinlist!$D$1,Chart!BC2774,0)&amp;"_"&amp;OFFSET(Pinlist!$G$1,Chart!BC2774,0),"")</f>
        <v/>
      </c>
      <c r="BH2774" s="1098"/>
    </row>
    <row r="2775" spans="53:60" x14ac:dyDescent="0.2">
      <c r="BA2775" s="518">
        <f t="shared" ca="1" si="142"/>
        <v>61</v>
      </c>
      <c r="BB2775" s="174">
        <f t="shared" ca="1" si="143"/>
        <v>2712</v>
      </c>
      <c r="BC2775" s="525" t="e">
        <f ca="1">MATCH(BD2775,OFFSET(Pinlist!$A$2,BC2774*(BA2775=BA2774),0,$BM$23,1),0)+BC2774*(BA2775=BA2774)</f>
        <v>#N/A</v>
      </c>
      <c r="BD2775" s="167">
        <f t="shared" ca="1" si="144"/>
        <v>0</v>
      </c>
      <c r="BE2775" s="191" t="e">
        <f ca="1">(OFFSET(Pinlist!$E$1,BC2775,0)-$BN$16)*$BN$19</f>
        <v>#N/A</v>
      </c>
      <c r="BF2775" s="192" t="e">
        <f ca="1">(OFFSET(Pinlist!$F$1,BC2775,0)-$BO$16)*$BO$19</f>
        <v>#N/A</v>
      </c>
      <c r="BG2775" s="1098" t="str">
        <f ca="1">IF(LEFT(BD2775,2)="RF",OFFSET(Pinlist!$D$1,Chart!BC2775,0)&amp;"_"&amp;OFFSET(Pinlist!$G$1,Chart!BC2775,0),"")</f>
        <v/>
      </c>
      <c r="BH2775" s="1098"/>
    </row>
    <row r="2776" spans="53:60" x14ac:dyDescent="0.2">
      <c r="BA2776" s="518">
        <f t="shared" ca="1" si="142"/>
        <v>61</v>
      </c>
      <c r="BB2776" s="174">
        <f t="shared" ca="1" si="143"/>
        <v>2713</v>
      </c>
      <c r="BC2776" s="525" t="e">
        <f ca="1">MATCH(BD2776,OFFSET(Pinlist!$A$2,BC2775*(BA2776=BA2775),0,$BM$23,1),0)+BC2775*(BA2776=BA2775)</f>
        <v>#N/A</v>
      </c>
      <c r="BD2776" s="167">
        <f t="shared" ca="1" si="144"/>
        <v>0</v>
      </c>
      <c r="BE2776" s="191" t="e">
        <f ca="1">(OFFSET(Pinlist!$E$1,BC2776,0)-$BN$16)*$BN$19</f>
        <v>#N/A</v>
      </c>
      <c r="BF2776" s="192" t="e">
        <f ca="1">(OFFSET(Pinlist!$F$1,BC2776,0)-$BO$16)*$BO$19</f>
        <v>#N/A</v>
      </c>
      <c r="BG2776" s="1098" t="str">
        <f ca="1">IF(LEFT(BD2776,2)="RF",OFFSET(Pinlist!$D$1,Chart!BC2776,0)&amp;"_"&amp;OFFSET(Pinlist!$G$1,Chart!BC2776,0),"")</f>
        <v/>
      </c>
      <c r="BH2776" s="1098"/>
    </row>
    <row r="2777" spans="53:60" x14ac:dyDescent="0.2">
      <c r="BA2777" s="518">
        <f t="shared" ca="1" si="142"/>
        <v>61</v>
      </c>
      <c r="BB2777" s="174">
        <f t="shared" ca="1" si="143"/>
        <v>2714</v>
      </c>
      <c r="BC2777" s="525" t="e">
        <f ca="1">MATCH(BD2777,OFFSET(Pinlist!$A$2,BC2776*(BA2777=BA2776),0,$BM$23,1),0)+BC2776*(BA2777=BA2776)</f>
        <v>#N/A</v>
      </c>
      <c r="BD2777" s="167">
        <f t="shared" ca="1" si="144"/>
        <v>0</v>
      </c>
      <c r="BE2777" s="191" t="e">
        <f ca="1">(OFFSET(Pinlist!$E$1,BC2777,0)-$BN$16)*$BN$19</f>
        <v>#N/A</v>
      </c>
      <c r="BF2777" s="192" t="e">
        <f ca="1">(OFFSET(Pinlist!$F$1,BC2777,0)-$BO$16)*$BO$19</f>
        <v>#N/A</v>
      </c>
      <c r="BG2777" s="1098" t="str">
        <f ca="1">IF(LEFT(BD2777,2)="RF",OFFSET(Pinlist!$D$1,Chart!BC2777,0)&amp;"_"&amp;OFFSET(Pinlist!$G$1,Chart!BC2777,0),"")</f>
        <v/>
      </c>
      <c r="BH2777" s="1098"/>
    </row>
    <row r="2778" spans="53:60" x14ac:dyDescent="0.2">
      <c r="BA2778" s="518">
        <f t="shared" ca="1" si="142"/>
        <v>61</v>
      </c>
      <c r="BB2778" s="174">
        <f t="shared" ca="1" si="143"/>
        <v>2715</v>
      </c>
      <c r="BC2778" s="525" t="e">
        <f ca="1">MATCH(BD2778,OFFSET(Pinlist!$A$2,BC2777*(BA2778=BA2777),0,$BM$23,1),0)+BC2777*(BA2778=BA2777)</f>
        <v>#N/A</v>
      </c>
      <c r="BD2778" s="167">
        <f t="shared" ca="1" si="144"/>
        <v>0</v>
      </c>
      <c r="BE2778" s="191" t="e">
        <f ca="1">(OFFSET(Pinlist!$E$1,BC2778,0)-$BN$16)*$BN$19</f>
        <v>#N/A</v>
      </c>
      <c r="BF2778" s="192" t="e">
        <f ca="1">(OFFSET(Pinlist!$F$1,BC2778,0)-$BO$16)*$BO$19</f>
        <v>#N/A</v>
      </c>
      <c r="BG2778" s="1098" t="str">
        <f ca="1">IF(LEFT(BD2778,2)="RF",OFFSET(Pinlist!$D$1,Chart!BC2778,0)&amp;"_"&amp;OFFSET(Pinlist!$G$1,Chart!BC2778,0),"")</f>
        <v/>
      </c>
      <c r="BH2778" s="1098"/>
    </row>
    <row r="2779" spans="53:60" x14ac:dyDescent="0.2">
      <c r="BA2779" s="518">
        <f t="shared" ca="1" si="142"/>
        <v>61</v>
      </c>
      <c r="BB2779" s="174">
        <f t="shared" ca="1" si="143"/>
        <v>2716</v>
      </c>
      <c r="BC2779" s="525" t="e">
        <f ca="1">MATCH(BD2779,OFFSET(Pinlist!$A$2,BC2778*(BA2779=BA2778),0,$BM$23,1),0)+BC2778*(BA2779=BA2778)</f>
        <v>#N/A</v>
      </c>
      <c r="BD2779" s="167">
        <f t="shared" ca="1" si="144"/>
        <v>0</v>
      </c>
      <c r="BE2779" s="191" t="e">
        <f ca="1">(OFFSET(Pinlist!$E$1,BC2779,0)-$BN$16)*$BN$19</f>
        <v>#N/A</v>
      </c>
      <c r="BF2779" s="192" t="e">
        <f ca="1">(OFFSET(Pinlist!$F$1,BC2779,0)-$BO$16)*$BO$19</f>
        <v>#N/A</v>
      </c>
      <c r="BG2779" s="1098" t="str">
        <f ca="1">IF(LEFT(BD2779,2)="RF",OFFSET(Pinlist!$D$1,Chart!BC2779,0)&amp;"_"&amp;OFFSET(Pinlist!$G$1,Chart!BC2779,0),"")</f>
        <v/>
      </c>
      <c r="BH2779" s="1098"/>
    </row>
    <row r="2780" spans="53:60" x14ac:dyDescent="0.2">
      <c r="BA2780" s="518">
        <f t="shared" ca="1" si="142"/>
        <v>61</v>
      </c>
      <c r="BB2780" s="174">
        <f t="shared" ca="1" si="143"/>
        <v>2717</v>
      </c>
      <c r="BC2780" s="525" t="e">
        <f ca="1">MATCH(BD2780,OFFSET(Pinlist!$A$2,BC2779*(BA2780=BA2779),0,$BM$23,1),0)+BC2779*(BA2780=BA2779)</f>
        <v>#N/A</v>
      </c>
      <c r="BD2780" s="167">
        <f t="shared" ca="1" si="144"/>
        <v>0</v>
      </c>
      <c r="BE2780" s="191" t="e">
        <f ca="1">(OFFSET(Pinlist!$E$1,BC2780,0)-$BN$16)*$BN$19</f>
        <v>#N/A</v>
      </c>
      <c r="BF2780" s="192" t="e">
        <f ca="1">(OFFSET(Pinlist!$F$1,BC2780,0)-$BO$16)*$BO$19</f>
        <v>#N/A</v>
      </c>
      <c r="BG2780" s="1098" t="str">
        <f ca="1">IF(LEFT(BD2780,2)="RF",OFFSET(Pinlist!$D$1,Chart!BC2780,0)&amp;"_"&amp;OFFSET(Pinlist!$G$1,Chart!BC2780,0),"")</f>
        <v/>
      </c>
      <c r="BH2780" s="1098"/>
    </row>
    <row r="2781" spans="53:60" x14ac:dyDescent="0.2">
      <c r="BA2781" s="518">
        <f t="shared" ca="1" si="142"/>
        <v>61</v>
      </c>
      <c r="BB2781" s="174">
        <f t="shared" ca="1" si="143"/>
        <v>2718</v>
      </c>
      <c r="BC2781" s="525" t="e">
        <f ca="1">MATCH(BD2781,OFFSET(Pinlist!$A$2,BC2780*(BA2781=BA2780),0,$BM$23,1),0)+BC2780*(BA2781=BA2780)</f>
        <v>#N/A</v>
      </c>
      <c r="BD2781" s="167">
        <f t="shared" ca="1" si="144"/>
        <v>0</v>
      </c>
      <c r="BE2781" s="191" t="e">
        <f ca="1">(OFFSET(Pinlist!$E$1,BC2781,0)-$BN$16)*$BN$19</f>
        <v>#N/A</v>
      </c>
      <c r="BF2781" s="192" t="e">
        <f ca="1">(OFFSET(Pinlist!$F$1,BC2781,0)-$BO$16)*$BO$19</f>
        <v>#N/A</v>
      </c>
      <c r="BG2781" s="1098" t="str">
        <f ca="1">IF(LEFT(BD2781,2)="RF",OFFSET(Pinlist!$D$1,Chart!BC2781,0)&amp;"_"&amp;OFFSET(Pinlist!$G$1,Chart!BC2781,0),"")</f>
        <v/>
      </c>
      <c r="BH2781" s="1098"/>
    </row>
    <row r="2782" spans="53:60" x14ac:dyDescent="0.2">
      <c r="BA2782" s="518">
        <f t="shared" ca="1" si="142"/>
        <v>61</v>
      </c>
      <c r="BB2782" s="174">
        <f t="shared" ca="1" si="143"/>
        <v>2719</v>
      </c>
      <c r="BC2782" s="525" t="e">
        <f ca="1">MATCH(BD2782,OFFSET(Pinlist!$A$2,BC2781*(BA2782=BA2781),0,$BM$23,1),0)+BC2781*(BA2782=BA2781)</f>
        <v>#N/A</v>
      </c>
      <c r="BD2782" s="167">
        <f t="shared" ca="1" si="144"/>
        <v>0</v>
      </c>
      <c r="BE2782" s="191" t="e">
        <f ca="1">(OFFSET(Pinlist!$E$1,BC2782,0)-$BN$16)*$BN$19</f>
        <v>#N/A</v>
      </c>
      <c r="BF2782" s="192" t="e">
        <f ca="1">(OFFSET(Pinlist!$F$1,BC2782,0)-$BO$16)*$BO$19</f>
        <v>#N/A</v>
      </c>
      <c r="BG2782" s="1098" t="str">
        <f ca="1">IF(LEFT(BD2782,2)="RF",OFFSET(Pinlist!$D$1,Chart!BC2782,0)&amp;"_"&amp;OFFSET(Pinlist!$G$1,Chart!BC2782,0),"")</f>
        <v/>
      </c>
      <c r="BH2782" s="1098"/>
    </row>
    <row r="2783" spans="53:60" x14ac:dyDescent="0.2">
      <c r="BA2783" s="518">
        <f t="shared" ca="1" si="142"/>
        <v>61</v>
      </c>
      <c r="BB2783" s="174">
        <f t="shared" ca="1" si="143"/>
        <v>2720</v>
      </c>
      <c r="BC2783" s="525" t="e">
        <f ca="1">MATCH(BD2783,OFFSET(Pinlist!$A$2,BC2782*(BA2783=BA2782),0,$BM$23,1),0)+BC2782*(BA2783=BA2782)</f>
        <v>#N/A</v>
      </c>
      <c r="BD2783" s="167">
        <f t="shared" ca="1" si="144"/>
        <v>0</v>
      </c>
      <c r="BE2783" s="191" t="e">
        <f ca="1">(OFFSET(Pinlist!$E$1,BC2783,0)-$BN$16)*$BN$19</f>
        <v>#N/A</v>
      </c>
      <c r="BF2783" s="192" t="e">
        <f ca="1">(OFFSET(Pinlist!$F$1,BC2783,0)-$BO$16)*$BO$19</f>
        <v>#N/A</v>
      </c>
      <c r="BG2783" s="1098" t="str">
        <f ca="1">IF(LEFT(BD2783,2)="RF",OFFSET(Pinlist!$D$1,Chart!BC2783,0)&amp;"_"&amp;OFFSET(Pinlist!$G$1,Chart!BC2783,0),"")</f>
        <v/>
      </c>
      <c r="BH2783" s="1098"/>
    </row>
    <row r="2784" spans="53:60" x14ac:dyDescent="0.2">
      <c r="BA2784" s="518">
        <f t="shared" ca="1" si="142"/>
        <v>61</v>
      </c>
      <c r="BB2784" s="174">
        <f t="shared" ca="1" si="143"/>
        <v>2721</v>
      </c>
      <c r="BC2784" s="525" t="e">
        <f ca="1">MATCH(BD2784,OFFSET(Pinlist!$A$2,BC2783*(BA2784=BA2783),0,$BM$23,1),0)+BC2783*(BA2784=BA2783)</f>
        <v>#N/A</v>
      </c>
      <c r="BD2784" s="167">
        <f t="shared" ca="1" si="144"/>
        <v>0</v>
      </c>
      <c r="BE2784" s="191" t="e">
        <f ca="1">(OFFSET(Pinlist!$E$1,BC2784,0)-$BN$16)*$BN$19</f>
        <v>#N/A</v>
      </c>
      <c r="BF2784" s="192" t="e">
        <f ca="1">(OFFSET(Pinlist!$F$1,BC2784,0)-$BO$16)*$BO$19</f>
        <v>#N/A</v>
      </c>
      <c r="BG2784" s="1098" t="str">
        <f ca="1">IF(LEFT(BD2784,2)="RF",OFFSET(Pinlist!$D$1,Chart!BC2784,0)&amp;"_"&amp;OFFSET(Pinlist!$G$1,Chart!BC2784,0),"")</f>
        <v/>
      </c>
      <c r="BH2784" s="1098"/>
    </row>
    <row r="2785" spans="53:60" x14ac:dyDescent="0.2">
      <c r="BA2785" s="518">
        <f t="shared" ca="1" si="142"/>
        <v>61</v>
      </c>
      <c r="BB2785" s="174">
        <f t="shared" ca="1" si="143"/>
        <v>2722</v>
      </c>
      <c r="BC2785" s="525" t="e">
        <f ca="1">MATCH(BD2785,OFFSET(Pinlist!$A$2,BC2784*(BA2785=BA2784),0,$BM$23,1),0)+BC2784*(BA2785=BA2784)</f>
        <v>#N/A</v>
      </c>
      <c r="BD2785" s="167">
        <f t="shared" ca="1" si="144"/>
        <v>0</v>
      </c>
      <c r="BE2785" s="191" t="e">
        <f ca="1">(OFFSET(Pinlist!$E$1,BC2785,0)-$BN$16)*$BN$19</f>
        <v>#N/A</v>
      </c>
      <c r="BF2785" s="192" t="e">
        <f ca="1">(OFFSET(Pinlist!$F$1,BC2785,0)-$BO$16)*$BO$19</f>
        <v>#N/A</v>
      </c>
      <c r="BG2785" s="1098" t="str">
        <f ca="1">IF(LEFT(BD2785,2)="RF",OFFSET(Pinlist!$D$1,Chart!BC2785,0)&amp;"_"&amp;OFFSET(Pinlist!$G$1,Chart!BC2785,0),"")</f>
        <v/>
      </c>
      <c r="BH2785" s="1098"/>
    </row>
    <row r="2786" spans="53:60" x14ac:dyDescent="0.2">
      <c r="BA2786" s="518">
        <f t="shared" ca="1" si="142"/>
        <v>61</v>
      </c>
      <c r="BB2786" s="174">
        <f t="shared" ca="1" si="143"/>
        <v>2723</v>
      </c>
      <c r="BC2786" s="525" t="e">
        <f ca="1">MATCH(BD2786,OFFSET(Pinlist!$A$2,BC2785*(BA2786=BA2785),0,$BM$23,1),0)+BC2785*(BA2786=BA2785)</f>
        <v>#N/A</v>
      </c>
      <c r="BD2786" s="167">
        <f t="shared" ca="1" si="144"/>
        <v>0</v>
      </c>
      <c r="BE2786" s="191" t="e">
        <f ca="1">(OFFSET(Pinlist!$E$1,BC2786,0)-$BN$16)*$BN$19</f>
        <v>#N/A</v>
      </c>
      <c r="BF2786" s="192" t="e">
        <f ca="1">(OFFSET(Pinlist!$F$1,BC2786,0)-$BO$16)*$BO$19</f>
        <v>#N/A</v>
      </c>
      <c r="BG2786" s="1098" t="str">
        <f ca="1">IF(LEFT(BD2786,2)="RF",OFFSET(Pinlist!$D$1,Chart!BC2786,0)&amp;"_"&amp;OFFSET(Pinlist!$G$1,Chart!BC2786,0),"")</f>
        <v/>
      </c>
      <c r="BH2786" s="1098"/>
    </row>
    <row r="2787" spans="53:60" x14ac:dyDescent="0.2">
      <c r="BA2787" s="518">
        <f t="shared" ca="1" si="142"/>
        <v>61</v>
      </c>
      <c r="BB2787" s="174">
        <f t="shared" ca="1" si="143"/>
        <v>2724</v>
      </c>
      <c r="BC2787" s="525" t="e">
        <f ca="1">MATCH(BD2787,OFFSET(Pinlist!$A$2,BC2786*(BA2787=BA2786),0,$BM$23,1),0)+BC2786*(BA2787=BA2786)</f>
        <v>#N/A</v>
      </c>
      <c r="BD2787" s="167">
        <f t="shared" ca="1" si="144"/>
        <v>0</v>
      </c>
      <c r="BE2787" s="191" t="e">
        <f ca="1">(OFFSET(Pinlist!$E$1,BC2787,0)-$BN$16)*$BN$19</f>
        <v>#N/A</v>
      </c>
      <c r="BF2787" s="192" t="e">
        <f ca="1">(OFFSET(Pinlist!$F$1,BC2787,0)-$BO$16)*$BO$19</f>
        <v>#N/A</v>
      </c>
      <c r="BG2787" s="1098" t="str">
        <f ca="1">IF(LEFT(BD2787,2)="RF",OFFSET(Pinlist!$D$1,Chart!BC2787,0)&amp;"_"&amp;OFFSET(Pinlist!$G$1,Chart!BC2787,0),"")</f>
        <v/>
      </c>
      <c r="BH2787" s="1098"/>
    </row>
    <row r="2788" spans="53:60" x14ac:dyDescent="0.2">
      <c r="BA2788" s="518">
        <f t="shared" ca="1" si="142"/>
        <v>61</v>
      </c>
      <c r="BB2788" s="174">
        <f t="shared" ca="1" si="143"/>
        <v>2725</v>
      </c>
      <c r="BC2788" s="525" t="e">
        <f ca="1">MATCH(BD2788,OFFSET(Pinlist!$A$2,BC2787*(BA2788=BA2787),0,$BM$23,1),0)+BC2787*(BA2788=BA2787)</f>
        <v>#N/A</v>
      </c>
      <c r="BD2788" s="167">
        <f t="shared" ca="1" si="144"/>
        <v>0</v>
      </c>
      <c r="BE2788" s="191" t="e">
        <f ca="1">(OFFSET(Pinlist!$E$1,BC2788,0)-$BN$16)*$BN$19</f>
        <v>#N/A</v>
      </c>
      <c r="BF2788" s="192" t="e">
        <f ca="1">(OFFSET(Pinlist!$F$1,BC2788,0)-$BO$16)*$BO$19</f>
        <v>#N/A</v>
      </c>
      <c r="BG2788" s="1098" t="str">
        <f ca="1">IF(LEFT(BD2788,2)="RF",OFFSET(Pinlist!$D$1,Chart!BC2788,0)&amp;"_"&amp;OFFSET(Pinlist!$G$1,Chart!BC2788,0),"")</f>
        <v/>
      </c>
      <c r="BH2788" s="1098"/>
    </row>
    <row r="2789" spans="53:60" x14ac:dyDescent="0.2">
      <c r="BA2789" s="518">
        <f t="shared" ca="1" si="142"/>
        <v>61</v>
      </c>
      <c r="BB2789" s="174">
        <f t="shared" ca="1" si="143"/>
        <v>2726</v>
      </c>
      <c r="BC2789" s="525" t="e">
        <f ca="1">MATCH(BD2789,OFFSET(Pinlist!$A$2,BC2788*(BA2789=BA2788),0,$BM$23,1),0)+BC2788*(BA2789=BA2788)</f>
        <v>#N/A</v>
      </c>
      <c r="BD2789" s="167">
        <f t="shared" ca="1" si="144"/>
        <v>0</v>
      </c>
      <c r="BE2789" s="191" t="e">
        <f ca="1">(OFFSET(Pinlist!$E$1,BC2789,0)-$BN$16)*$BN$19</f>
        <v>#N/A</v>
      </c>
      <c r="BF2789" s="192" t="e">
        <f ca="1">(OFFSET(Pinlist!$F$1,BC2789,0)-$BO$16)*$BO$19</f>
        <v>#N/A</v>
      </c>
      <c r="BG2789" s="1098" t="str">
        <f ca="1">IF(LEFT(BD2789,2)="RF",OFFSET(Pinlist!$D$1,Chart!BC2789,0)&amp;"_"&amp;OFFSET(Pinlist!$G$1,Chart!BC2789,0),"")</f>
        <v/>
      </c>
      <c r="BH2789" s="1098"/>
    </row>
    <row r="2790" spans="53:60" x14ac:dyDescent="0.2">
      <c r="BA2790" s="518">
        <f t="shared" ca="1" si="142"/>
        <v>61</v>
      </c>
      <c r="BB2790" s="174">
        <f t="shared" ca="1" si="143"/>
        <v>2727</v>
      </c>
      <c r="BC2790" s="525" t="e">
        <f ca="1">MATCH(BD2790,OFFSET(Pinlist!$A$2,BC2789*(BA2790=BA2789),0,$BM$23,1),0)+BC2789*(BA2790=BA2789)</f>
        <v>#N/A</v>
      </c>
      <c r="BD2790" s="167">
        <f t="shared" ca="1" si="144"/>
        <v>0</v>
      </c>
      <c r="BE2790" s="191" t="e">
        <f ca="1">(OFFSET(Pinlist!$E$1,BC2790,0)-$BN$16)*$BN$19</f>
        <v>#N/A</v>
      </c>
      <c r="BF2790" s="192" t="e">
        <f ca="1">(OFFSET(Pinlist!$F$1,BC2790,0)-$BO$16)*$BO$19</f>
        <v>#N/A</v>
      </c>
      <c r="BG2790" s="1098" t="str">
        <f ca="1">IF(LEFT(BD2790,2)="RF",OFFSET(Pinlist!$D$1,Chart!BC2790,0)&amp;"_"&amp;OFFSET(Pinlist!$G$1,Chart!BC2790,0),"")</f>
        <v/>
      </c>
      <c r="BH2790" s="1098"/>
    </row>
    <row r="2791" spans="53:60" x14ac:dyDescent="0.2">
      <c r="BA2791" s="518">
        <f t="shared" ca="1" si="142"/>
        <v>61</v>
      </c>
      <c r="BB2791" s="174">
        <f t="shared" ca="1" si="143"/>
        <v>2728</v>
      </c>
      <c r="BC2791" s="525" t="e">
        <f ca="1">MATCH(BD2791,OFFSET(Pinlist!$A$2,BC2790*(BA2791=BA2790),0,$BM$23,1),0)+BC2790*(BA2791=BA2790)</f>
        <v>#N/A</v>
      </c>
      <c r="BD2791" s="167">
        <f t="shared" ca="1" si="144"/>
        <v>0</v>
      </c>
      <c r="BE2791" s="191" t="e">
        <f ca="1">(OFFSET(Pinlist!$E$1,BC2791,0)-$BN$16)*$BN$19</f>
        <v>#N/A</v>
      </c>
      <c r="BF2791" s="192" t="e">
        <f ca="1">(OFFSET(Pinlist!$F$1,BC2791,0)-$BO$16)*$BO$19</f>
        <v>#N/A</v>
      </c>
      <c r="BG2791" s="1098" t="str">
        <f ca="1">IF(LEFT(BD2791,2)="RF",OFFSET(Pinlist!$D$1,Chart!BC2791,0)&amp;"_"&amp;OFFSET(Pinlist!$G$1,Chart!BC2791,0),"")</f>
        <v/>
      </c>
      <c r="BH2791" s="1098"/>
    </row>
    <row r="2792" spans="53:60" x14ac:dyDescent="0.2">
      <c r="BA2792" s="518">
        <f t="shared" ca="1" si="142"/>
        <v>61</v>
      </c>
      <c r="BB2792" s="174">
        <f t="shared" ca="1" si="143"/>
        <v>2729</v>
      </c>
      <c r="BC2792" s="525" t="e">
        <f ca="1">MATCH(BD2792,OFFSET(Pinlist!$A$2,BC2791*(BA2792=BA2791),0,$BM$23,1),0)+BC2791*(BA2792=BA2791)</f>
        <v>#N/A</v>
      </c>
      <c r="BD2792" s="167">
        <f t="shared" ca="1" si="144"/>
        <v>0</v>
      </c>
      <c r="BE2792" s="191" t="e">
        <f ca="1">(OFFSET(Pinlist!$E$1,BC2792,0)-$BN$16)*$BN$19</f>
        <v>#N/A</v>
      </c>
      <c r="BF2792" s="192" t="e">
        <f ca="1">(OFFSET(Pinlist!$F$1,BC2792,0)-$BO$16)*$BO$19</f>
        <v>#N/A</v>
      </c>
      <c r="BG2792" s="1098" t="str">
        <f ca="1">IF(LEFT(BD2792,2)="RF",OFFSET(Pinlist!$D$1,Chart!BC2792,0)&amp;"_"&amp;OFFSET(Pinlist!$G$1,Chart!BC2792,0),"")</f>
        <v/>
      </c>
      <c r="BH2792" s="1098"/>
    </row>
    <row r="2793" spans="53:60" x14ac:dyDescent="0.2">
      <c r="BA2793" s="518">
        <f t="shared" ca="1" si="142"/>
        <v>61</v>
      </c>
      <c r="BB2793" s="174">
        <f t="shared" ca="1" si="143"/>
        <v>2730</v>
      </c>
      <c r="BC2793" s="525" t="e">
        <f ca="1">MATCH(BD2793,OFFSET(Pinlist!$A$2,BC2792*(BA2793=BA2792),0,$BM$23,1),0)+BC2792*(BA2793=BA2792)</f>
        <v>#N/A</v>
      </c>
      <c r="BD2793" s="167">
        <f t="shared" ca="1" si="144"/>
        <v>0</v>
      </c>
      <c r="BE2793" s="191" t="e">
        <f ca="1">(OFFSET(Pinlist!$E$1,BC2793,0)-$BN$16)*$BN$19</f>
        <v>#N/A</v>
      </c>
      <c r="BF2793" s="192" t="e">
        <f ca="1">(OFFSET(Pinlist!$F$1,BC2793,0)-$BO$16)*$BO$19</f>
        <v>#N/A</v>
      </c>
      <c r="BG2793" s="1098" t="str">
        <f ca="1">IF(LEFT(BD2793,2)="RF",OFFSET(Pinlist!$D$1,Chart!BC2793,0)&amp;"_"&amp;OFFSET(Pinlist!$G$1,Chart!BC2793,0),"")</f>
        <v/>
      </c>
      <c r="BH2793" s="1098"/>
    </row>
    <row r="2794" spans="53:60" x14ac:dyDescent="0.2">
      <c r="BA2794" s="518">
        <f t="shared" ca="1" si="142"/>
        <v>61</v>
      </c>
      <c r="BB2794" s="174">
        <f t="shared" ca="1" si="143"/>
        <v>2731</v>
      </c>
      <c r="BC2794" s="525" t="e">
        <f ca="1">MATCH(BD2794,OFFSET(Pinlist!$A$2,BC2793*(BA2794=BA2793),0,$BM$23,1),0)+BC2793*(BA2794=BA2793)</f>
        <v>#N/A</v>
      </c>
      <c r="BD2794" s="167">
        <f t="shared" ca="1" si="144"/>
        <v>0</v>
      </c>
      <c r="BE2794" s="191" t="e">
        <f ca="1">(OFFSET(Pinlist!$E$1,BC2794,0)-$BN$16)*$BN$19</f>
        <v>#N/A</v>
      </c>
      <c r="BF2794" s="192" t="e">
        <f ca="1">(OFFSET(Pinlist!$F$1,BC2794,0)-$BO$16)*$BO$19</f>
        <v>#N/A</v>
      </c>
      <c r="BG2794" s="1098" t="str">
        <f ca="1">IF(LEFT(BD2794,2)="RF",OFFSET(Pinlist!$D$1,Chart!BC2794,0)&amp;"_"&amp;OFFSET(Pinlist!$G$1,Chart!BC2794,0),"")</f>
        <v/>
      </c>
      <c r="BH2794" s="1098"/>
    </row>
    <row r="2795" spans="53:60" x14ac:dyDescent="0.2">
      <c r="BA2795" s="518">
        <f t="shared" ca="1" si="142"/>
        <v>61</v>
      </c>
      <c r="BB2795" s="174">
        <f t="shared" ca="1" si="143"/>
        <v>2732</v>
      </c>
      <c r="BC2795" s="525" t="e">
        <f ca="1">MATCH(BD2795,OFFSET(Pinlist!$A$2,BC2794*(BA2795=BA2794),0,$BM$23,1),0)+BC2794*(BA2795=BA2794)</f>
        <v>#N/A</v>
      </c>
      <c r="BD2795" s="167">
        <f t="shared" ca="1" si="144"/>
        <v>0</v>
      </c>
      <c r="BE2795" s="191" t="e">
        <f ca="1">(OFFSET(Pinlist!$E$1,BC2795,0)-$BN$16)*$BN$19</f>
        <v>#N/A</v>
      </c>
      <c r="BF2795" s="192" t="e">
        <f ca="1">(OFFSET(Pinlist!$F$1,BC2795,0)-$BO$16)*$BO$19</f>
        <v>#N/A</v>
      </c>
      <c r="BG2795" s="1098" t="str">
        <f ca="1">IF(LEFT(BD2795,2)="RF",OFFSET(Pinlist!$D$1,Chart!BC2795,0)&amp;"_"&amp;OFFSET(Pinlist!$G$1,Chart!BC2795,0),"")</f>
        <v/>
      </c>
      <c r="BH2795" s="1098"/>
    </row>
    <row r="2796" spans="53:60" x14ac:dyDescent="0.2">
      <c r="BA2796" s="518">
        <f t="shared" ca="1" si="142"/>
        <v>61</v>
      </c>
      <c r="BB2796" s="174">
        <f t="shared" ca="1" si="143"/>
        <v>2733</v>
      </c>
      <c r="BC2796" s="525" t="e">
        <f ca="1">MATCH(BD2796,OFFSET(Pinlist!$A$2,BC2795*(BA2796=BA2795),0,$BM$23,1),0)+BC2795*(BA2796=BA2795)</f>
        <v>#N/A</v>
      </c>
      <c r="BD2796" s="167">
        <f t="shared" ca="1" si="144"/>
        <v>0</v>
      </c>
      <c r="BE2796" s="191" t="e">
        <f ca="1">(OFFSET(Pinlist!$E$1,BC2796,0)-$BN$16)*$BN$19</f>
        <v>#N/A</v>
      </c>
      <c r="BF2796" s="192" t="e">
        <f ca="1">(OFFSET(Pinlist!$F$1,BC2796,0)-$BO$16)*$BO$19</f>
        <v>#N/A</v>
      </c>
      <c r="BG2796" s="1098" t="str">
        <f ca="1">IF(LEFT(BD2796,2)="RF",OFFSET(Pinlist!$D$1,Chart!BC2796,0)&amp;"_"&amp;OFFSET(Pinlist!$G$1,Chart!BC2796,0),"")</f>
        <v/>
      </c>
      <c r="BH2796" s="1098"/>
    </row>
    <row r="2797" spans="53:60" x14ac:dyDescent="0.2">
      <c r="BA2797" s="518">
        <f t="shared" ca="1" si="142"/>
        <v>61</v>
      </c>
      <c r="BB2797" s="174">
        <f t="shared" ca="1" si="143"/>
        <v>2734</v>
      </c>
      <c r="BC2797" s="525" t="e">
        <f ca="1">MATCH(BD2797,OFFSET(Pinlist!$A$2,BC2796*(BA2797=BA2796),0,$BM$23,1),0)+BC2796*(BA2797=BA2796)</f>
        <v>#N/A</v>
      </c>
      <c r="BD2797" s="167">
        <f t="shared" ca="1" si="144"/>
        <v>0</v>
      </c>
      <c r="BE2797" s="191" t="e">
        <f ca="1">(OFFSET(Pinlist!$E$1,BC2797,0)-$BN$16)*$BN$19</f>
        <v>#N/A</v>
      </c>
      <c r="BF2797" s="192" t="e">
        <f ca="1">(OFFSET(Pinlist!$F$1,BC2797,0)-$BO$16)*$BO$19</f>
        <v>#N/A</v>
      </c>
      <c r="BG2797" s="1098" t="str">
        <f ca="1">IF(LEFT(BD2797,2)="RF",OFFSET(Pinlist!$D$1,Chart!BC2797,0)&amp;"_"&amp;OFFSET(Pinlist!$G$1,Chart!BC2797,0),"")</f>
        <v/>
      </c>
      <c r="BH2797" s="1098"/>
    </row>
    <row r="2798" spans="53:60" x14ac:dyDescent="0.2">
      <c r="BA2798" s="518">
        <f t="shared" ca="1" si="142"/>
        <v>61</v>
      </c>
      <c r="BB2798" s="174">
        <f t="shared" ca="1" si="143"/>
        <v>2735</v>
      </c>
      <c r="BC2798" s="525" t="e">
        <f ca="1">MATCH(BD2798,OFFSET(Pinlist!$A$2,BC2797*(BA2798=BA2797),0,$BM$23,1),0)+BC2797*(BA2798=BA2797)</f>
        <v>#N/A</v>
      </c>
      <c r="BD2798" s="167">
        <f t="shared" ca="1" si="144"/>
        <v>0</v>
      </c>
      <c r="BE2798" s="191" t="e">
        <f ca="1">(OFFSET(Pinlist!$E$1,BC2798,0)-$BN$16)*$BN$19</f>
        <v>#N/A</v>
      </c>
      <c r="BF2798" s="192" t="e">
        <f ca="1">(OFFSET(Pinlist!$F$1,BC2798,0)-$BO$16)*$BO$19</f>
        <v>#N/A</v>
      </c>
      <c r="BG2798" s="1098" t="str">
        <f ca="1">IF(LEFT(BD2798,2)="RF",OFFSET(Pinlist!$D$1,Chart!BC2798,0)&amp;"_"&amp;OFFSET(Pinlist!$G$1,Chart!BC2798,0),"")</f>
        <v/>
      </c>
      <c r="BH2798" s="1098"/>
    </row>
    <row r="2799" spans="53:60" x14ac:dyDescent="0.2">
      <c r="BA2799" s="518">
        <f t="shared" ca="1" si="142"/>
        <v>61</v>
      </c>
      <c r="BB2799" s="174">
        <f t="shared" ca="1" si="143"/>
        <v>2736</v>
      </c>
      <c r="BC2799" s="525" t="e">
        <f ca="1">MATCH(BD2799,OFFSET(Pinlist!$A$2,BC2798*(BA2799=BA2798),0,$BM$23,1),0)+BC2798*(BA2799=BA2798)</f>
        <v>#N/A</v>
      </c>
      <c r="BD2799" s="167">
        <f t="shared" ca="1" si="144"/>
        <v>0</v>
      </c>
      <c r="BE2799" s="191" t="e">
        <f ca="1">(OFFSET(Pinlist!$E$1,BC2799,0)-$BN$16)*$BN$19</f>
        <v>#N/A</v>
      </c>
      <c r="BF2799" s="192" t="e">
        <f ca="1">(OFFSET(Pinlist!$F$1,BC2799,0)-$BO$16)*$BO$19</f>
        <v>#N/A</v>
      </c>
      <c r="BG2799" s="1098" t="str">
        <f ca="1">IF(LEFT(BD2799,2)="RF",OFFSET(Pinlist!$D$1,Chart!BC2799,0)&amp;"_"&amp;OFFSET(Pinlist!$G$1,Chart!BC2799,0),"")</f>
        <v/>
      </c>
      <c r="BH2799" s="1098"/>
    </row>
    <row r="2800" spans="53:60" x14ac:dyDescent="0.2">
      <c r="BA2800" s="518">
        <f t="shared" ca="1" si="142"/>
        <v>61</v>
      </c>
      <c r="BB2800" s="174">
        <f t="shared" ca="1" si="143"/>
        <v>2737</v>
      </c>
      <c r="BC2800" s="525" t="e">
        <f ca="1">MATCH(BD2800,OFFSET(Pinlist!$A$2,BC2799*(BA2800=BA2799),0,$BM$23,1),0)+BC2799*(BA2800=BA2799)</f>
        <v>#N/A</v>
      </c>
      <c r="BD2800" s="167">
        <f t="shared" ca="1" si="144"/>
        <v>0</v>
      </c>
      <c r="BE2800" s="191" t="e">
        <f ca="1">(OFFSET(Pinlist!$E$1,BC2800,0)-$BN$16)*$BN$19</f>
        <v>#N/A</v>
      </c>
      <c r="BF2800" s="192" t="e">
        <f ca="1">(OFFSET(Pinlist!$F$1,BC2800,0)-$BO$16)*$BO$19</f>
        <v>#N/A</v>
      </c>
      <c r="BG2800" s="1098" t="str">
        <f ca="1">IF(LEFT(BD2800,2)="RF",OFFSET(Pinlist!$D$1,Chart!BC2800,0)&amp;"_"&amp;OFFSET(Pinlist!$G$1,Chart!BC2800,0),"")</f>
        <v/>
      </c>
      <c r="BH2800" s="1098"/>
    </row>
    <row r="2801" spans="53:60" x14ac:dyDescent="0.2">
      <c r="BA2801" s="518">
        <f t="shared" ca="1" si="142"/>
        <v>61</v>
      </c>
      <c r="BB2801" s="174">
        <f t="shared" ca="1" si="143"/>
        <v>2738</v>
      </c>
      <c r="BC2801" s="525" t="e">
        <f ca="1">MATCH(BD2801,OFFSET(Pinlist!$A$2,BC2800*(BA2801=BA2800),0,$BM$23,1),0)+BC2800*(BA2801=BA2800)</f>
        <v>#N/A</v>
      </c>
      <c r="BD2801" s="167">
        <f t="shared" ca="1" si="144"/>
        <v>0</v>
      </c>
      <c r="BE2801" s="191" t="e">
        <f ca="1">(OFFSET(Pinlist!$E$1,BC2801,0)-$BN$16)*$BN$19</f>
        <v>#N/A</v>
      </c>
      <c r="BF2801" s="192" t="e">
        <f ca="1">(OFFSET(Pinlist!$F$1,BC2801,0)-$BO$16)*$BO$19</f>
        <v>#N/A</v>
      </c>
      <c r="BG2801" s="1098" t="str">
        <f ca="1">IF(LEFT(BD2801,2)="RF",OFFSET(Pinlist!$D$1,Chart!BC2801,0)&amp;"_"&amp;OFFSET(Pinlist!$G$1,Chart!BC2801,0),"")</f>
        <v/>
      </c>
      <c r="BH2801" s="1098"/>
    </row>
    <row r="2802" spans="53:60" x14ac:dyDescent="0.2">
      <c r="BA2802" s="518">
        <f t="shared" ca="1" si="142"/>
        <v>61</v>
      </c>
      <c r="BB2802" s="174">
        <f t="shared" ca="1" si="143"/>
        <v>2739</v>
      </c>
      <c r="BC2802" s="525" t="e">
        <f ca="1">MATCH(BD2802,OFFSET(Pinlist!$A$2,BC2801*(BA2802=BA2801),0,$BM$23,1),0)+BC2801*(BA2802=BA2801)</f>
        <v>#N/A</v>
      </c>
      <c r="BD2802" s="167">
        <f t="shared" ca="1" si="144"/>
        <v>0</v>
      </c>
      <c r="BE2802" s="191" t="e">
        <f ca="1">(OFFSET(Pinlist!$E$1,BC2802,0)-$BN$16)*$BN$19</f>
        <v>#N/A</v>
      </c>
      <c r="BF2802" s="192" t="e">
        <f ca="1">(OFFSET(Pinlist!$F$1,BC2802,0)-$BO$16)*$BO$19</f>
        <v>#N/A</v>
      </c>
      <c r="BG2802" s="1098" t="str">
        <f ca="1">IF(LEFT(BD2802,2)="RF",OFFSET(Pinlist!$D$1,Chart!BC2802,0)&amp;"_"&amp;OFFSET(Pinlist!$G$1,Chart!BC2802,0),"")</f>
        <v/>
      </c>
      <c r="BH2802" s="1098"/>
    </row>
    <row r="2803" spans="53:60" x14ac:dyDescent="0.2">
      <c r="BA2803" s="518">
        <f t="shared" ca="1" si="142"/>
        <v>61</v>
      </c>
      <c r="BB2803" s="174">
        <f t="shared" ca="1" si="143"/>
        <v>2740</v>
      </c>
      <c r="BC2803" s="525" t="e">
        <f ca="1">MATCH(BD2803,OFFSET(Pinlist!$A$2,BC2802*(BA2803=BA2802),0,$BM$23,1),0)+BC2802*(BA2803=BA2802)</f>
        <v>#N/A</v>
      </c>
      <c r="BD2803" s="167">
        <f t="shared" ca="1" si="144"/>
        <v>0</v>
      </c>
      <c r="BE2803" s="191" t="e">
        <f ca="1">(OFFSET(Pinlist!$E$1,BC2803,0)-$BN$16)*$BN$19</f>
        <v>#N/A</v>
      </c>
      <c r="BF2803" s="192" t="e">
        <f ca="1">(OFFSET(Pinlist!$F$1,BC2803,0)-$BO$16)*$BO$19</f>
        <v>#N/A</v>
      </c>
      <c r="BG2803" s="1098" t="str">
        <f ca="1">IF(LEFT(BD2803,2)="RF",OFFSET(Pinlist!$D$1,Chart!BC2803,0)&amp;"_"&amp;OFFSET(Pinlist!$G$1,Chart!BC2803,0),"")</f>
        <v/>
      </c>
      <c r="BH2803" s="1098"/>
    </row>
    <row r="2804" spans="53:60" x14ac:dyDescent="0.2">
      <c r="BA2804" s="518">
        <f t="shared" ca="1" si="142"/>
        <v>61</v>
      </c>
      <c r="BB2804" s="174">
        <f t="shared" ca="1" si="143"/>
        <v>2741</v>
      </c>
      <c r="BC2804" s="525" t="e">
        <f ca="1">MATCH(BD2804,OFFSET(Pinlist!$A$2,BC2803*(BA2804=BA2803),0,$BM$23,1),0)+BC2803*(BA2804=BA2803)</f>
        <v>#N/A</v>
      </c>
      <c r="BD2804" s="167">
        <f t="shared" ca="1" si="144"/>
        <v>0</v>
      </c>
      <c r="BE2804" s="191" t="e">
        <f ca="1">(OFFSET(Pinlist!$E$1,BC2804,0)-$BN$16)*$BN$19</f>
        <v>#N/A</v>
      </c>
      <c r="BF2804" s="192" t="e">
        <f ca="1">(OFFSET(Pinlist!$F$1,BC2804,0)-$BO$16)*$BO$19</f>
        <v>#N/A</v>
      </c>
      <c r="BG2804" s="1098" t="str">
        <f ca="1">IF(LEFT(BD2804,2)="RF",OFFSET(Pinlist!$D$1,Chart!BC2804,0)&amp;"_"&amp;OFFSET(Pinlist!$G$1,Chart!BC2804,0),"")</f>
        <v/>
      </c>
      <c r="BH2804" s="1098"/>
    </row>
    <row r="2805" spans="53:60" x14ac:dyDescent="0.2">
      <c r="BA2805" s="518">
        <f t="shared" ca="1" si="142"/>
        <v>61</v>
      </c>
      <c r="BB2805" s="174">
        <f t="shared" ca="1" si="143"/>
        <v>2742</v>
      </c>
      <c r="BC2805" s="525" t="e">
        <f ca="1">MATCH(BD2805,OFFSET(Pinlist!$A$2,BC2804*(BA2805=BA2804),0,$BM$23,1),0)+BC2804*(BA2805=BA2804)</f>
        <v>#N/A</v>
      </c>
      <c r="BD2805" s="167">
        <f t="shared" ca="1" si="144"/>
        <v>0</v>
      </c>
      <c r="BE2805" s="191" t="e">
        <f ca="1">(OFFSET(Pinlist!$E$1,BC2805,0)-$BN$16)*$BN$19</f>
        <v>#N/A</v>
      </c>
      <c r="BF2805" s="192" t="e">
        <f ca="1">(OFFSET(Pinlist!$F$1,BC2805,0)-$BO$16)*$BO$19</f>
        <v>#N/A</v>
      </c>
      <c r="BG2805" s="1098" t="str">
        <f ca="1">IF(LEFT(BD2805,2)="RF",OFFSET(Pinlist!$D$1,Chart!BC2805,0)&amp;"_"&amp;OFFSET(Pinlist!$G$1,Chart!BC2805,0),"")</f>
        <v/>
      </c>
      <c r="BH2805" s="1098"/>
    </row>
    <row r="2806" spans="53:60" x14ac:dyDescent="0.2">
      <c r="BA2806" s="518">
        <f t="shared" ca="1" si="142"/>
        <v>61</v>
      </c>
      <c r="BB2806" s="174">
        <f t="shared" ca="1" si="143"/>
        <v>2743</v>
      </c>
      <c r="BC2806" s="525" t="e">
        <f ca="1">MATCH(BD2806,OFFSET(Pinlist!$A$2,BC2805*(BA2806=BA2805),0,$BM$23,1),0)+BC2805*(BA2806=BA2805)</f>
        <v>#N/A</v>
      </c>
      <c r="BD2806" s="167">
        <f t="shared" ca="1" si="144"/>
        <v>0</v>
      </c>
      <c r="BE2806" s="191" t="e">
        <f ca="1">(OFFSET(Pinlist!$E$1,BC2806,0)-$BN$16)*$BN$19</f>
        <v>#N/A</v>
      </c>
      <c r="BF2806" s="192" t="e">
        <f ca="1">(OFFSET(Pinlist!$F$1,BC2806,0)-$BO$16)*$BO$19</f>
        <v>#N/A</v>
      </c>
      <c r="BG2806" s="1098" t="str">
        <f ca="1">IF(LEFT(BD2806,2)="RF",OFFSET(Pinlist!$D$1,Chart!BC2806,0)&amp;"_"&amp;OFFSET(Pinlist!$G$1,Chart!BC2806,0),"")</f>
        <v/>
      </c>
      <c r="BH2806" s="1098"/>
    </row>
    <row r="2807" spans="53:60" x14ac:dyDescent="0.2">
      <c r="BA2807" s="518">
        <f t="shared" ca="1" si="142"/>
        <v>61</v>
      </c>
      <c r="BB2807" s="174">
        <f t="shared" ca="1" si="143"/>
        <v>2744</v>
      </c>
      <c r="BC2807" s="525" t="e">
        <f ca="1">MATCH(BD2807,OFFSET(Pinlist!$A$2,BC2806*(BA2807=BA2806),0,$BM$23,1),0)+BC2806*(BA2807=BA2806)</f>
        <v>#N/A</v>
      </c>
      <c r="BD2807" s="167">
        <f t="shared" ca="1" si="144"/>
        <v>0</v>
      </c>
      <c r="BE2807" s="191" t="e">
        <f ca="1">(OFFSET(Pinlist!$E$1,BC2807,0)-$BN$16)*$BN$19</f>
        <v>#N/A</v>
      </c>
      <c r="BF2807" s="192" t="e">
        <f ca="1">(OFFSET(Pinlist!$F$1,BC2807,0)-$BO$16)*$BO$19</f>
        <v>#N/A</v>
      </c>
      <c r="BG2807" s="1098" t="str">
        <f ca="1">IF(LEFT(BD2807,2)="RF",OFFSET(Pinlist!$D$1,Chart!BC2807,0)&amp;"_"&amp;OFFSET(Pinlist!$G$1,Chart!BC2807,0),"")</f>
        <v/>
      </c>
      <c r="BH2807" s="1098"/>
    </row>
    <row r="2808" spans="53:60" x14ac:dyDescent="0.2">
      <c r="BA2808" s="518">
        <f t="shared" ca="1" si="142"/>
        <v>61</v>
      </c>
      <c r="BB2808" s="174">
        <f t="shared" ca="1" si="143"/>
        <v>2745</v>
      </c>
      <c r="BC2808" s="525" t="e">
        <f ca="1">MATCH(BD2808,OFFSET(Pinlist!$A$2,BC2807*(BA2808=BA2807),0,$BM$23,1),0)+BC2807*(BA2808=BA2807)</f>
        <v>#N/A</v>
      </c>
      <c r="BD2808" s="167">
        <f t="shared" ca="1" si="144"/>
        <v>0</v>
      </c>
      <c r="BE2808" s="191" t="e">
        <f ca="1">(OFFSET(Pinlist!$E$1,BC2808,0)-$BN$16)*$BN$19</f>
        <v>#N/A</v>
      </c>
      <c r="BF2808" s="192" t="e">
        <f ca="1">(OFFSET(Pinlist!$F$1,BC2808,0)-$BO$16)*$BO$19</f>
        <v>#N/A</v>
      </c>
      <c r="BG2808" s="1098" t="str">
        <f ca="1">IF(LEFT(BD2808,2)="RF",OFFSET(Pinlist!$D$1,Chart!BC2808,0)&amp;"_"&amp;OFFSET(Pinlist!$G$1,Chart!BC2808,0),"")</f>
        <v/>
      </c>
      <c r="BH2808" s="1098"/>
    </row>
    <row r="2809" spans="53:60" x14ac:dyDescent="0.2">
      <c r="BA2809" s="518">
        <f t="shared" ca="1" si="142"/>
        <v>61</v>
      </c>
      <c r="BB2809" s="174">
        <f t="shared" ca="1" si="143"/>
        <v>2746</v>
      </c>
      <c r="BC2809" s="525" t="e">
        <f ca="1">MATCH(BD2809,OFFSET(Pinlist!$A$2,BC2808*(BA2809=BA2808),0,$BM$23,1),0)+BC2808*(BA2809=BA2808)</f>
        <v>#N/A</v>
      </c>
      <c r="BD2809" s="167">
        <f t="shared" ca="1" si="144"/>
        <v>0</v>
      </c>
      <c r="BE2809" s="191" t="e">
        <f ca="1">(OFFSET(Pinlist!$E$1,BC2809,0)-$BN$16)*$BN$19</f>
        <v>#N/A</v>
      </c>
      <c r="BF2809" s="192" t="e">
        <f ca="1">(OFFSET(Pinlist!$F$1,BC2809,0)-$BO$16)*$BO$19</f>
        <v>#N/A</v>
      </c>
      <c r="BG2809" s="1098" t="str">
        <f ca="1">IF(LEFT(BD2809,2)="RF",OFFSET(Pinlist!$D$1,Chart!BC2809,0)&amp;"_"&amp;OFFSET(Pinlist!$G$1,Chart!BC2809,0),"")</f>
        <v/>
      </c>
      <c r="BH2809" s="1098"/>
    </row>
    <row r="2810" spans="53:60" x14ac:dyDescent="0.2">
      <c r="BA2810" s="518">
        <f t="shared" ca="1" si="142"/>
        <v>61</v>
      </c>
      <c r="BB2810" s="174">
        <f t="shared" ca="1" si="143"/>
        <v>2747</v>
      </c>
      <c r="BC2810" s="525" t="e">
        <f ca="1">MATCH(BD2810,OFFSET(Pinlist!$A$2,BC2809*(BA2810=BA2809),0,$BM$23,1),0)+BC2809*(BA2810=BA2809)</f>
        <v>#N/A</v>
      </c>
      <c r="BD2810" s="167">
        <f t="shared" ca="1" si="144"/>
        <v>0</v>
      </c>
      <c r="BE2810" s="191" t="e">
        <f ca="1">(OFFSET(Pinlist!$E$1,BC2810,0)-$BN$16)*$BN$19</f>
        <v>#N/A</v>
      </c>
      <c r="BF2810" s="192" t="e">
        <f ca="1">(OFFSET(Pinlist!$F$1,BC2810,0)-$BO$16)*$BO$19</f>
        <v>#N/A</v>
      </c>
      <c r="BG2810" s="1098" t="str">
        <f ca="1">IF(LEFT(BD2810,2)="RF",OFFSET(Pinlist!$D$1,Chart!BC2810,0)&amp;"_"&amp;OFFSET(Pinlist!$G$1,Chart!BC2810,0),"")</f>
        <v/>
      </c>
      <c r="BH2810" s="1098"/>
    </row>
    <row r="2811" spans="53:60" x14ac:dyDescent="0.2">
      <c r="BA2811" s="518">
        <f t="shared" ca="1" si="142"/>
        <v>61</v>
      </c>
      <c r="BB2811" s="174">
        <f t="shared" ca="1" si="143"/>
        <v>2748</v>
      </c>
      <c r="BC2811" s="525" t="e">
        <f ca="1">MATCH(BD2811,OFFSET(Pinlist!$A$2,BC2810*(BA2811=BA2810),0,$BM$23,1),0)+BC2810*(BA2811=BA2810)</f>
        <v>#N/A</v>
      </c>
      <c r="BD2811" s="167">
        <f t="shared" ca="1" si="144"/>
        <v>0</v>
      </c>
      <c r="BE2811" s="191" t="e">
        <f ca="1">(OFFSET(Pinlist!$E$1,BC2811,0)-$BN$16)*$BN$19</f>
        <v>#N/A</v>
      </c>
      <c r="BF2811" s="192" t="e">
        <f ca="1">(OFFSET(Pinlist!$F$1,BC2811,0)-$BO$16)*$BO$19</f>
        <v>#N/A</v>
      </c>
      <c r="BG2811" s="1098" t="str">
        <f ca="1">IF(LEFT(BD2811,2)="RF",OFFSET(Pinlist!$D$1,Chart!BC2811,0)&amp;"_"&amp;OFFSET(Pinlist!$G$1,Chart!BC2811,0),"")</f>
        <v/>
      </c>
      <c r="BH2811" s="1098"/>
    </row>
    <row r="2812" spans="53:60" x14ac:dyDescent="0.2">
      <c r="BA2812" s="518">
        <f t="shared" ca="1" si="142"/>
        <v>61</v>
      </c>
      <c r="BB2812" s="174">
        <f t="shared" ca="1" si="143"/>
        <v>2749</v>
      </c>
      <c r="BC2812" s="525" t="e">
        <f ca="1">MATCH(BD2812,OFFSET(Pinlist!$A$2,BC2811*(BA2812=BA2811),0,$BM$23,1),0)+BC2811*(BA2812=BA2811)</f>
        <v>#N/A</v>
      </c>
      <c r="BD2812" s="167">
        <f t="shared" ca="1" si="144"/>
        <v>0</v>
      </c>
      <c r="BE2812" s="191" t="e">
        <f ca="1">(OFFSET(Pinlist!$E$1,BC2812,0)-$BN$16)*$BN$19</f>
        <v>#N/A</v>
      </c>
      <c r="BF2812" s="192" t="e">
        <f ca="1">(OFFSET(Pinlist!$F$1,BC2812,0)-$BO$16)*$BO$19</f>
        <v>#N/A</v>
      </c>
      <c r="BG2812" s="1098" t="str">
        <f ca="1">IF(LEFT(BD2812,2)="RF",OFFSET(Pinlist!$D$1,Chart!BC2812,0)&amp;"_"&amp;OFFSET(Pinlist!$G$1,Chart!BC2812,0),"")</f>
        <v/>
      </c>
      <c r="BH2812" s="1098"/>
    </row>
    <row r="2813" spans="53:60" x14ac:dyDescent="0.2">
      <c r="BA2813" s="518">
        <f t="shared" ca="1" si="142"/>
        <v>61</v>
      </c>
      <c r="BB2813" s="174">
        <f t="shared" ca="1" si="143"/>
        <v>2750</v>
      </c>
      <c r="BC2813" s="525" t="e">
        <f ca="1">MATCH(BD2813,OFFSET(Pinlist!$A$2,BC2812*(BA2813=BA2812),0,$BM$23,1),0)+BC2812*(BA2813=BA2812)</f>
        <v>#N/A</v>
      </c>
      <c r="BD2813" s="167">
        <f t="shared" ca="1" si="144"/>
        <v>0</v>
      </c>
      <c r="BE2813" s="191" t="e">
        <f ca="1">(OFFSET(Pinlist!$E$1,BC2813,0)-$BN$16)*$BN$19</f>
        <v>#N/A</v>
      </c>
      <c r="BF2813" s="192" t="e">
        <f ca="1">(OFFSET(Pinlist!$F$1,BC2813,0)-$BO$16)*$BO$19</f>
        <v>#N/A</v>
      </c>
      <c r="BG2813" s="1098" t="str">
        <f ca="1">IF(LEFT(BD2813,2)="RF",OFFSET(Pinlist!$D$1,Chart!BC2813,0)&amp;"_"&amp;OFFSET(Pinlist!$G$1,Chart!BC2813,0),"")</f>
        <v/>
      </c>
      <c r="BH2813" s="1098"/>
    </row>
    <row r="2814" spans="53:60" x14ac:dyDescent="0.2">
      <c r="BA2814" s="518">
        <f t="shared" ca="1" si="142"/>
        <v>61</v>
      </c>
      <c r="BB2814" s="174">
        <f t="shared" ca="1" si="143"/>
        <v>2751</v>
      </c>
      <c r="BC2814" s="525" t="e">
        <f ca="1">MATCH(BD2814,OFFSET(Pinlist!$A$2,BC2813*(BA2814=BA2813),0,$BM$23,1),0)+BC2813*(BA2814=BA2813)</f>
        <v>#N/A</v>
      </c>
      <c r="BD2814" s="167">
        <f t="shared" ca="1" si="144"/>
        <v>0</v>
      </c>
      <c r="BE2814" s="191" t="e">
        <f ca="1">(OFFSET(Pinlist!$E$1,BC2814,0)-$BN$16)*$BN$19</f>
        <v>#N/A</v>
      </c>
      <c r="BF2814" s="192" t="e">
        <f ca="1">(OFFSET(Pinlist!$F$1,BC2814,0)-$BO$16)*$BO$19</f>
        <v>#N/A</v>
      </c>
      <c r="BG2814" s="1098" t="str">
        <f ca="1">IF(LEFT(BD2814,2)="RF",OFFSET(Pinlist!$D$1,Chart!BC2814,0)&amp;"_"&amp;OFFSET(Pinlist!$G$1,Chart!BC2814,0),"")</f>
        <v/>
      </c>
      <c r="BH2814" s="1098"/>
    </row>
    <row r="2815" spans="53:60" x14ac:dyDescent="0.2">
      <c r="BA2815" s="518">
        <f t="shared" ca="1" si="142"/>
        <v>61</v>
      </c>
      <c r="BB2815" s="174">
        <f t="shared" ca="1" si="143"/>
        <v>2752</v>
      </c>
      <c r="BC2815" s="525" t="e">
        <f ca="1">MATCH(BD2815,OFFSET(Pinlist!$A$2,BC2814*(BA2815=BA2814),0,$BM$23,1),0)+BC2814*(BA2815=BA2814)</f>
        <v>#N/A</v>
      </c>
      <c r="BD2815" s="167">
        <f t="shared" ca="1" si="144"/>
        <v>0</v>
      </c>
      <c r="BE2815" s="191" t="e">
        <f ca="1">(OFFSET(Pinlist!$E$1,BC2815,0)-$BN$16)*$BN$19</f>
        <v>#N/A</v>
      </c>
      <c r="BF2815" s="192" t="e">
        <f ca="1">(OFFSET(Pinlist!$F$1,BC2815,0)-$BO$16)*$BO$19</f>
        <v>#N/A</v>
      </c>
      <c r="BG2815" s="1098" t="str">
        <f ca="1">IF(LEFT(BD2815,2)="RF",OFFSET(Pinlist!$D$1,Chart!BC2815,0)&amp;"_"&amp;OFFSET(Pinlist!$G$1,Chart!BC2815,0),"")</f>
        <v/>
      </c>
      <c r="BH2815" s="1098"/>
    </row>
    <row r="2816" spans="53:60" x14ac:dyDescent="0.2">
      <c r="BA2816" s="518">
        <f t="shared" ca="1" si="142"/>
        <v>61</v>
      </c>
      <c r="BB2816" s="174">
        <f t="shared" ca="1" si="143"/>
        <v>2753</v>
      </c>
      <c r="BC2816" s="525" t="e">
        <f ca="1">MATCH(BD2816,OFFSET(Pinlist!$A$2,BC2815*(BA2816=BA2815),0,$BM$23,1),0)+BC2815*(BA2816=BA2815)</f>
        <v>#N/A</v>
      </c>
      <c r="BD2816" s="167">
        <f t="shared" ca="1" si="144"/>
        <v>0</v>
      </c>
      <c r="BE2816" s="191" t="e">
        <f ca="1">(OFFSET(Pinlist!$E$1,BC2816,0)-$BN$16)*$BN$19</f>
        <v>#N/A</v>
      </c>
      <c r="BF2816" s="192" t="e">
        <f ca="1">(OFFSET(Pinlist!$F$1,BC2816,0)-$BO$16)*$BO$19</f>
        <v>#N/A</v>
      </c>
      <c r="BG2816" s="1098" t="str">
        <f ca="1">IF(LEFT(BD2816,2)="RF",OFFSET(Pinlist!$D$1,Chart!BC2816,0)&amp;"_"&amp;OFFSET(Pinlist!$G$1,Chart!BC2816,0),"")</f>
        <v/>
      </c>
      <c r="BH2816" s="1098"/>
    </row>
    <row r="2817" spans="53:60" x14ac:dyDescent="0.2">
      <c r="BA2817" s="518">
        <f t="shared" ca="1" si="142"/>
        <v>61</v>
      </c>
      <c r="BB2817" s="174">
        <f t="shared" ca="1" si="143"/>
        <v>2754</v>
      </c>
      <c r="BC2817" s="525" t="e">
        <f ca="1">MATCH(BD2817,OFFSET(Pinlist!$A$2,BC2816*(BA2817=BA2816),0,$BM$23,1),0)+BC2816*(BA2817=BA2816)</f>
        <v>#N/A</v>
      </c>
      <c r="BD2817" s="167">
        <f t="shared" ca="1" si="144"/>
        <v>0</v>
      </c>
      <c r="BE2817" s="191" t="e">
        <f ca="1">(OFFSET(Pinlist!$E$1,BC2817,0)-$BN$16)*$BN$19</f>
        <v>#N/A</v>
      </c>
      <c r="BF2817" s="192" t="e">
        <f ca="1">(OFFSET(Pinlist!$F$1,BC2817,0)-$BO$16)*$BO$19</f>
        <v>#N/A</v>
      </c>
      <c r="BG2817" s="1098" t="str">
        <f ca="1">IF(LEFT(BD2817,2)="RF",OFFSET(Pinlist!$D$1,Chart!BC2817,0)&amp;"_"&amp;OFFSET(Pinlist!$G$1,Chart!BC2817,0),"")</f>
        <v/>
      </c>
      <c r="BH2817" s="1098"/>
    </row>
    <row r="2818" spans="53:60" x14ac:dyDescent="0.2">
      <c r="BA2818" s="518">
        <f t="shared" ca="1" si="142"/>
        <v>61</v>
      </c>
      <c r="BB2818" s="174">
        <f t="shared" ca="1" si="143"/>
        <v>2755</v>
      </c>
      <c r="BC2818" s="525" t="e">
        <f ca="1">MATCH(BD2818,OFFSET(Pinlist!$A$2,BC2817*(BA2818=BA2817),0,$BM$23,1),0)+BC2817*(BA2818=BA2817)</f>
        <v>#N/A</v>
      </c>
      <c r="BD2818" s="167">
        <f t="shared" ca="1" si="144"/>
        <v>0</v>
      </c>
      <c r="BE2818" s="191" t="e">
        <f ca="1">(OFFSET(Pinlist!$E$1,BC2818,0)-$BN$16)*$BN$19</f>
        <v>#N/A</v>
      </c>
      <c r="BF2818" s="192" t="e">
        <f ca="1">(OFFSET(Pinlist!$F$1,BC2818,0)-$BO$16)*$BO$19</f>
        <v>#N/A</v>
      </c>
      <c r="BG2818" s="1098" t="str">
        <f ca="1">IF(LEFT(BD2818,2)="RF",OFFSET(Pinlist!$D$1,Chart!BC2818,0)&amp;"_"&amp;OFFSET(Pinlist!$G$1,Chart!BC2818,0),"")</f>
        <v/>
      </c>
      <c r="BH2818" s="1098"/>
    </row>
    <row r="2819" spans="53:60" x14ac:dyDescent="0.2">
      <c r="BA2819" s="518">
        <f t="shared" ca="1" si="142"/>
        <v>61</v>
      </c>
      <c r="BB2819" s="174">
        <f t="shared" ca="1" si="143"/>
        <v>2756</v>
      </c>
      <c r="BC2819" s="525" t="e">
        <f ca="1">MATCH(BD2819,OFFSET(Pinlist!$A$2,BC2818*(BA2819=BA2818),0,$BM$23,1),0)+BC2818*(BA2819=BA2818)</f>
        <v>#N/A</v>
      </c>
      <c r="BD2819" s="167">
        <f t="shared" ca="1" si="144"/>
        <v>0</v>
      </c>
      <c r="BE2819" s="191" t="e">
        <f ca="1">(OFFSET(Pinlist!$E$1,BC2819,0)-$BN$16)*$BN$19</f>
        <v>#N/A</v>
      </c>
      <c r="BF2819" s="192" t="e">
        <f ca="1">(OFFSET(Pinlist!$F$1,BC2819,0)-$BO$16)*$BO$19</f>
        <v>#N/A</v>
      </c>
      <c r="BG2819" s="1098" t="str">
        <f ca="1">IF(LEFT(BD2819,2)="RF",OFFSET(Pinlist!$D$1,Chart!BC2819,0)&amp;"_"&amp;OFFSET(Pinlist!$G$1,Chart!BC2819,0),"")</f>
        <v/>
      </c>
      <c r="BH2819" s="1098"/>
    </row>
    <row r="2820" spans="53:60" x14ac:dyDescent="0.2">
      <c r="BA2820" s="518">
        <f t="shared" ref="BA2820:BA2883" ca="1" si="145">BA2819+(BB2819=OFFSET($BZ$3,BA2819,0))</f>
        <v>61</v>
      </c>
      <c r="BB2820" s="174">
        <f t="shared" ref="BB2820:BB2883" ca="1" si="146">IF(BA2820=BA2819,BB2819+1,1)</f>
        <v>2757</v>
      </c>
      <c r="BC2820" s="525" t="e">
        <f ca="1">MATCH(BD2820,OFFSET(Pinlist!$A$2,BC2819*(BA2820=BA2819),0,$BM$23,1),0)+BC2819*(BA2820=BA2819)</f>
        <v>#N/A</v>
      </c>
      <c r="BD2820" s="167">
        <f t="shared" ref="BD2820:BD2883" ca="1" si="147">OFFSET($BY$3,BA2820,0)</f>
        <v>0</v>
      </c>
      <c r="BE2820" s="191" t="e">
        <f ca="1">(OFFSET(Pinlist!$E$1,BC2820,0)-$BN$16)*$BN$19</f>
        <v>#N/A</v>
      </c>
      <c r="BF2820" s="192" t="e">
        <f ca="1">(OFFSET(Pinlist!$F$1,BC2820,0)-$BO$16)*$BO$19</f>
        <v>#N/A</v>
      </c>
      <c r="BG2820" s="1098" t="str">
        <f ca="1">IF(LEFT(BD2820,2)="RF",OFFSET(Pinlist!$D$1,Chart!BC2820,0)&amp;"_"&amp;OFFSET(Pinlist!$G$1,Chart!BC2820,0),"")</f>
        <v/>
      </c>
      <c r="BH2820" s="1098"/>
    </row>
    <row r="2821" spans="53:60" x14ac:dyDescent="0.2">
      <c r="BA2821" s="518">
        <f t="shared" ca="1" si="145"/>
        <v>61</v>
      </c>
      <c r="BB2821" s="174">
        <f t="shared" ca="1" si="146"/>
        <v>2758</v>
      </c>
      <c r="BC2821" s="525" t="e">
        <f ca="1">MATCH(BD2821,OFFSET(Pinlist!$A$2,BC2820*(BA2821=BA2820),0,$BM$23,1),0)+BC2820*(BA2821=BA2820)</f>
        <v>#N/A</v>
      </c>
      <c r="BD2821" s="167">
        <f t="shared" ca="1" si="147"/>
        <v>0</v>
      </c>
      <c r="BE2821" s="191" t="e">
        <f ca="1">(OFFSET(Pinlist!$E$1,BC2821,0)-$BN$16)*$BN$19</f>
        <v>#N/A</v>
      </c>
      <c r="BF2821" s="192" t="e">
        <f ca="1">(OFFSET(Pinlist!$F$1,BC2821,0)-$BO$16)*$BO$19</f>
        <v>#N/A</v>
      </c>
      <c r="BG2821" s="1098" t="str">
        <f ca="1">IF(LEFT(BD2821,2)="RF",OFFSET(Pinlist!$D$1,Chart!BC2821,0)&amp;"_"&amp;OFFSET(Pinlist!$G$1,Chart!BC2821,0),"")</f>
        <v/>
      </c>
      <c r="BH2821" s="1098"/>
    </row>
    <row r="2822" spans="53:60" x14ac:dyDescent="0.2">
      <c r="BA2822" s="518">
        <f t="shared" ca="1" si="145"/>
        <v>61</v>
      </c>
      <c r="BB2822" s="174">
        <f t="shared" ca="1" si="146"/>
        <v>2759</v>
      </c>
      <c r="BC2822" s="525" t="e">
        <f ca="1">MATCH(BD2822,OFFSET(Pinlist!$A$2,BC2821*(BA2822=BA2821),0,$BM$23,1),0)+BC2821*(BA2822=BA2821)</f>
        <v>#N/A</v>
      </c>
      <c r="BD2822" s="167">
        <f t="shared" ca="1" si="147"/>
        <v>0</v>
      </c>
      <c r="BE2822" s="191" t="e">
        <f ca="1">(OFFSET(Pinlist!$E$1,BC2822,0)-$BN$16)*$BN$19</f>
        <v>#N/A</v>
      </c>
      <c r="BF2822" s="192" t="e">
        <f ca="1">(OFFSET(Pinlist!$F$1,BC2822,0)-$BO$16)*$BO$19</f>
        <v>#N/A</v>
      </c>
      <c r="BG2822" s="1098" t="str">
        <f ca="1">IF(LEFT(BD2822,2)="RF",OFFSET(Pinlist!$D$1,Chart!BC2822,0)&amp;"_"&amp;OFFSET(Pinlist!$G$1,Chart!BC2822,0),"")</f>
        <v/>
      </c>
      <c r="BH2822" s="1098"/>
    </row>
    <row r="2823" spans="53:60" x14ac:dyDescent="0.2">
      <c r="BA2823" s="518">
        <f t="shared" ca="1" si="145"/>
        <v>61</v>
      </c>
      <c r="BB2823" s="174">
        <f t="shared" ca="1" si="146"/>
        <v>2760</v>
      </c>
      <c r="BC2823" s="525" t="e">
        <f ca="1">MATCH(BD2823,OFFSET(Pinlist!$A$2,BC2822*(BA2823=BA2822),0,$BM$23,1),0)+BC2822*(BA2823=BA2822)</f>
        <v>#N/A</v>
      </c>
      <c r="BD2823" s="167">
        <f t="shared" ca="1" si="147"/>
        <v>0</v>
      </c>
      <c r="BE2823" s="191" t="e">
        <f ca="1">(OFFSET(Pinlist!$E$1,BC2823,0)-$BN$16)*$BN$19</f>
        <v>#N/A</v>
      </c>
      <c r="BF2823" s="192" t="e">
        <f ca="1">(OFFSET(Pinlist!$F$1,BC2823,0)-$BO$16)*$BO$19</f>
        <v>#N/A</v>
      </c>
      <c r="BG2823" s="1098" t="str">
        <f ca="1">IF(LEFT(BD2823,2)="RF",OFFSET(Pinlist!$D$1,Chart!BC2823,0)&amp;"_"&amp;OFFSET(Pinlist!$G$1,Chart!BC2823,0),"")</f>
        <v/>
      </c>
      <c r="BH2823" s="1098"/>
    </row>
    <row r="2824" spans="53:60" x14ac:dyDescent="0.2">
      <c r="BA2824" s="518">
        <f t="shared" ca="1" si="145"/>
        <v>61</v>
      </c>
      <c r="BB2824" s="174">
        <f t="shared" ca="1" si="146"/>
        <v>2761</v>
      </c>
      <c r="BC2824" s="525" t="e">
        <f ca="1">MATCH(BD2824,OFFSET(Pinlist!$A$2,BC2823*(BA2824=BA2823),0,$BM$23,1),0)+BC2823*(BA2824=BA2823)</f>
        <v>#N/A</v>
      </c>
      <c r="BD2824" s="167">
        <f t="shared" ca="1" si="147"/>
        <v>0</v>
      </c>
      <c r="BE2824" s="191" t="e">
        <f ca="1">(OFFSET(Pinlist!$E$1,BC2824,0)-$BN$16)*$BN$19</f>
        <v>#N/A</v>
      </c>
      <c r="BF2824" s="192" t="e">
        <f ca="1">(OFFSET(Pinlist!$F$1,BC2824,0)-$BO$16)*$BO$19</f>
        <v>#N/A</v>
      </c>
      <c r="BG2824" s="1098" t="str">
        <f ca="1">IF(LEFT(BD2824,2)="RF",OFFSET(Pinlist!$D$1,Chart!BC2824,0)&amp;"_"&amp;OFFSET(Pinlist!$G$1,Chart!BC2824,0),"")</f>
        <v/>
      </c>
      <c r="BH2824" s="1098"/>
    </row>
    <row r="2825" spans="53:60" x14ac:dyDescent="0.2">
      <c r="BA2825" s="518">
        <f t="shared" ca="1" si="145"/>
        <v>61</v>
      </c>
      <c r="BB2825" s="174">
        <f t="shared" ca="1" si="146"/>
        <v>2762</v>
      </c>
      <c r="BC2825" s="525" t="e">
        <f ca="1">MATCH(BD2825,OFFSET(Pinlist!$A$2,BC2824*(BA2825=BA2824),0,$BM$23,1),0)+BC2824*(BA2825=BA2824)</f>
        <v>#N/A</v>
      </c>
      <c r="BD2825" s="167">
        <f t="shared" ca="1" si="147"/>
        <v>0</v>
      </c>
      <c r="BE2825" s="191" t="e">
        <f ca="1">(OFFSET(Pinlist!$E$1,BC2825,0)-$BN$16)*$BN$19</f>
        <v>#N/A</v>
      </c>
      <c r="BF2825" s="192" t="e">
        <f ca="1">(OFFSET(Pinlist!$F$1,BC2825,0)-$BO$16)*$BO$19</f>
        <v>#N/A</v>
      </c>
      <c r="BG2825" s="1098" t="str">
        <f ca="1">IF(LEFT(BD2825,2)="RF",OFFSET(Pinlist!$D$1,Chart!BC2825,0)&amp;"_"&amp;OFFSET(Pinlist!$G$1,Chart!BC2825,0),"")</f>
        <v/>
      </c>
      <c r="BH2825" s="1098"/>
    </row>
    <row r="2826" spans="53:60" x14ac:dyDescent="0.2">
      <c r="BA2826" s="518">
        <f t="shared" ca="1" si="145"/>
        <v>61</v>
      </c>
      <c r="BB2826" s="174">
        <f t="shared" ca="1" si="146"/>
        <v>2763</v>
      </c>
      <c r="BC2826" s="525" t="e">
        <f ca="1">MATCH(BD2826,OFFSET(Pinlist!$A$2,BC2825*(BA2826=BA2825),0,$BM$23,1),0)+BC2825*(BA2826=BA2825)</f>
        <v>#N/A</v>
      </c>
      <c r="BD2826" s="167">
        <f t="shared" ca="1" si="147"/>
        <v>0</v>
      </c>
      <c r="BE2826" s="191" t="e">
        <f ca="1">(OFFSET(Pinlist!$E$1,BC2826,0)-$BN$16)*$BN$19</f>
        <v>#N/A</v>
      </c>
      <c r="BF2826" s="192" t="e">
        <f ca="1">(OFFSET(Pinlist!$F$1,BC2826,0)-$BO$16)*$BO$19</f>
        <v>#N/A</v>
      </c>
      <c r="BG2826" s="1098" t="str">
        <f ca="1">IF(LEFT(BD2826,2)="RF",OFFSET(Pinlist!$D$1,Chart!BC2826,0)&amp;"_"&amp;OFFSET(Pinlist!$G$1,Chart!BC2826,0),"")</f>
        <v/>
      </c>
      <c r="BH2826" s="1098"/>
    </row>
    <row r="2827" spans="53:60" x14ac:dyDescent="0.2">
      <c r="BA2827" s="518">
        <f t="shared" ca="1" si="145"/>
        <v>61</v>
      </c>
      <c r="BB2827" s="174">
        <f t="shared" ca="1" si="146"/>
        <v>2764</v>
      </c>
      <c r="BC2827" s="525" t="e">
        <f ca="1">MATCH(BD2827,OFFSET(Pinlist!$A$2,BC2826*(BA2827=BA2826),0,$BM$23,1),0)+BC2826*(BA2827=BA2826)</f>
        <v>#N/A</v>
      </c>
      <c r="BD2827" s="167">
        <f t="shared" ca="1" si="147"/>
        <v>0</v>
      </c>
      <c r="BE2827" s="191" t="e">
        <f ca="1">(OFFSET(Pinlist!$E$1,BC2827,0)-$BN$16)*$BN$19</f>
        <v>#N/A</v>
      </c>
      <c r="BF2827" s="192" t="e">
        <f ca="1">(OFFSET(Pinlist!$F$1,BC2827,0)-$BO$16)*$BO$19</f>
        <v>#N/A</v>
      </c>
      <c r="BG2827" s="1098" t="str">
        <f ca="1">IF(LEFT(BD2827,2)="RF",OFFSET(Pinlist!$D$1,Chart!BC2827,0)&amp;"_"&amp;OFFSET(Pinlist!$G$1,Chart!BC2827,0),"")</f>
        <v/>
      </c>
      <c r="BH2827" s="1098"/>
    </row>
    <row r="2828" spans="53:60" x14ac:dyDescent="0.2">
      <c r="BA2828" s="518">
        <f t="shared" ca="1" si="145"/>
        <v>61</v>
      </c>
      <c r="BB2828" s="174">
        <f t="shared" ca="1" si="146"/>
        <v>2765</v>
      </c>
      <c r="BC2828" s="525" t="e">
        <f ca="1">MATCH(BD2828,OFFSET(Pinlist!$A$2,BC2827*(BA2828=BA2827),0,$BM$23,1),0)+BC2827*(BA2828=BA2827)</f>
        <v>#N/A</v>
      </c>
      <c r="BD2828" s="167">
        <f t="shared" ca="1" si="147"/>
        <v>0</v>
      </c>
      <c r="BE2828" s="191" t="e">
        <f ca="1">(OFFSET(Pinlist!$E$1,BC2828,0)-$BN$16)*$BN$19</f>
        <v>#N/A</v>
      </c>
      <c r="BF2828" s="192" t="e">
        <f ca="1">(OFFSET(Pinlist!$F$1,BC2828,0)-$BO$16)*$BO$19</f>
        <v>#N/A</v>
      </c>
      <c r="BG2828" s="1098" t="str">
        <f ca="1">IF(LEFT(BD2828,2)="RF",OFFSET(Pinlist!$D$1,Chart!BC2828,0)&amp;"_"&amp;OFFSET(Pinlist!$G$1,Chart!BC2828,0),"")</f>
        <v/>
      </c>
      <c r="BH2828" s="1098"/>
    </row>
    <row r="2829" spans="53:60" x14ac:dyDescent="0.2">
      <c r="BA2829" s="518">
        <f t="shared" ca="1" si="145"/>
        <v>61</v>
      </c>
      <c r="BB2829" s="174">
        <f t="shared" ca="1" si="146"/>
        <v>2766</v>
      </c>
      <c r="BC2829" s="525" t="e">
        <f ca="1">MATCH(BD2829,OFFSET(Pinlist!$A$2,BC2828*(BA2829=BA2828),0,$BM$23,1),0)+BC2828*(BA2829=BA2828)</f>
        <v>#N/A</v>
      </c>
      <c r="BD2829" s="167">
        <f t="shared" ca="1" si="147"/>
        <v>0</v>
      </c>
      <c r="BE2829" s="191" t="e">
        <f ca="1">(OFFSET(Pinlist!$E$1,BC2829,0)-$BN$16)*$BN$19</f>
        <v>#N/A</v>
      </c>
      <c r="BF2829" s="192" t="e">
        <f ca="1">(OFFSET(Pinlist!$F$1,BC2829,0)-$BO$16)*$BO$19</f>
        <v>#N/A</v>
      </c>
      <c r="BG2829" s="1098" t="str">
        <f ca="1">IF(LEFT(BD2829,2)="RF",OFFSET(Pinlist!$D$1,Chart!BC2829,0)&amp;"_"&amp;OFFSET(Pinlist!$G$1,Chart!BC2829,0),"")</f>
        <v/>
      </c>
      <c r="BH2829" s="1098"/>
    </row>
    <row r="2830" spans="53:60" x14ac:dyDescent="0.2">
      <c r="BA2830" s="518">
        <f t="shared" ca="1" si="145"/>
        <v>61</v>
      </c>
      <c r="BB2830" s="174">
        <f t="shared" ca="1" si="146"/>
        <v>2767</v>
      </c>
      <c r="BC2830" s="525" t="e">
        <f ca="1">MATCH(BD2830,OFFSET(Pinlist!$A$2,BC2829*(BA2830=BA2829),0,$BM$23,1),0)+BC2829*(BA2830=BA2829)</f>
        <v>#N/A</v>
      </c>
      <c r="BD2830" s="167">
        <f t="shared" ca="1" si="147"/>
        <v>0</v>
      </c>
      <c r="BE2830" s="191" t="e">
        <f ca="1">(OFFSET(Pinlist!$E$1,BC2830,0)-$BN$16)*$BN$19</f>
        <v>#N/A</v>
      </c>
      <c r="BF2830" s="192" t="e">
        <f ca="1">(OFFSET(Pinlist!$F$1,BC2830,0)-$BO$16)*$BO$19</f>
        <v>#N/A</v>
      </c>
      <c r="BG2830" s="1098" t="str">
        <f ca="1">IF(LEFT(BD2830,2)="RF",OFFSET(Pinlist!$D$1,Chart!BC2830,0)&amp;"_"&amp;OFFSET(Pinlist!$G$1,Chart!BC2830,0),"")</f>
        <v/>
      </c>
      <c r="BH2830" s="1098"/>
    </row>
    <row r="2831" spans="53:60" x14ac:dyDescent="0.2">
      <c r="BA2831" s="518">
        <f t="shared" ca="1" si="145"/>
        <v>61</v>
      </c>
      <c r="BB2831" s="174">
        <f t="shared" ca="1" si="146"/>
        <v>2768</v>
      </c>
      <c r="BC2831" s="525" t="e">
        <f ca="1">MATCH(BD2831,OFFSET(Pinlist!$A$2,BC2830*(BA2831=BA2830),0,$BM$23,1),0)+BC2830*(BA2831=BA2830)</f>
        <v>#N/A</v>
      </c>
      <c r="BD2831" s="167">
        <f t="shared" ca="1" si="147"/>
        <v>0</v>
      </c>
      <c r="BE2831" s="191" t="e">
        <f ca="1">(OFFSET(Pinlist!$E$1,BC2831,0)-$BN$16)*$BN$19</f>
        <v>#N/A</v>
      </c>
      <c r="BF2831" s="192" t="e">
        <f ca="1">(OFFSET(Pinlist!$F$1,BC2831,0)-$BO$16)*$BO$19</f>
        <v>#N/A</v>
      </c>
      <c r="BG2831" s="1098" t="str">
        <f ca="1">IF(LEFT(BD2831,2)="RF",OFFSET(Pinlist!$D$1,Chart!BC2831,0)&amp;"_"&amp;OFFSET(Pinlist!$G$1,Chart!BC2831,0),"")</f>
        <v/>
      </c>
      <c r="BH2831" s="1098"/>
    </row>
    <row r="2832" spans="53:60" x14ac:dyDescent="0.2">
      <c r="BA2832" s="518">
        <f t="shared" ca="1" si="145"/>
        <v>61</v>
      </c>
      <c r="BB2832" s="174">
        <f t="shared" ca="1" si="146"/>
        <v>2769</v>
      </c>
      <c r="BC2832" s="525" t="e">
        <f ca="1">MATCH(BD2832,OFFSET(Pinlist!$A$2,BC2831*(BA2832=BA2831),0,$BM$23,1),0)+BC2831*(BA2832=BA2831)</f>
        <v>#N/A</v>
      </c>
      <c r="BD2832" s="167">
        <f t="shared" ca="1" si="147"/>
        <v>0</v>
      </c>
      <c r="BE2832" s="191" t="e">
        <f ca="1">(OFFSET(Pinlist!$E$1,BC2832,0)-$BN$16)*$BN$19</f>
        <v>#N/A</v>
      </c>
      <c r="BF2832" s="192" t="e">
        <f ca="1">(OFFSET(Pinlist!$F$1,BC2832,0)-$BO$16)*$BO$19</f>
        <v>#N/A</v>
      </c>
      <c r="BG2832" s="1098" t="str">
        <f ca="1">IF(LEFT(BD2832,2)="RF",OFFSET(Pinlist!$D$1,Chart!BC2832,0)&amp;"_"&amp;OFFSET(Pinlist!$G$1,Chart!BC2832,0),"")</f>
        <v/>
      </c>
      <c r="BH2832" s="1098"/>
    </row>
    <row r="2833" spans="53:60" x14ac:dyDescent="0.2">
      <c r="BA2833" s="518">
        <f t="shared" ca="1" si="145"/>
        <v>61</v>
      </c>
      <c r="BB2833" s="174">
        <f t="shared" ca="1" si="146"/>
        <v>2770</v>
      </c>
      <c r="BC2833" s="525" t="e">
        <f ca="1">MATCH(BD2833,OFFSET(Pinlist!$A$2,BC2832*(BA2833=BA2832),0,$BM$23,1),0)+BC2832*(BA2833=BA2832)</f>
        <v>#N/A</v>
      </c>
      <c r="BD2833" s="167">
        <f t="shared" ca="1" si="147"/>
        <v>0</v>
      </c>
      <c r="BE2833" s="191" t="e">
        <f ca="1">(OFFSET(Pinlist!$E$1,BC2833,0)-$BN$16)*$BN$19</f>
        <v>#N/A</v>
      </c>
      <c r="BF2833" s="192" t="e">
        <f ca="1">(OFFSET(Pinlist!$F$1,BC2833,0)-$BO$16)*$BO$19</f>
        <v>#N/A</v>
      </c>
      <c r="BG2833" s="1098" t="str">
        <f ca="1">IF(LEFT(BD2833,2)="RF",OFFSET(Pinlist!$D$1,Chart!BC2833,0)&amp;"_"&amp;OFFSET(Pinlist!$G$1,Chart!BC2833,0),"")</f>
        <v/>
      </c>
      <c r="BH2833" s="1098"/>
    </row>
    <row r="2834" spans="53:60" x14ac:dyDescent="0.2">
      <c r="BA2834" s="518">
        <f t="shared" ca="1" si="145"/>
        <v>61</v>
      </c>
      <c r="BB2834" s="174">
        <f t="shared" ca="1" si="146"/>
        <v>2771</v>
      </c>
      <c r="BC2834" s="525" t="e">
        <f ca="1">MATCH(BD2834,OFFSET(Pinlist!$A$2,BC2833*(BA2834=BA2833),0,$BM$23,1),0)+BC2833*(BA2834=BA2833)</f>
        <v>#N/A</v>
      </c>
      <c r="BD2834" s="167">
        <f t="shared" ca="1" si="147"/>
        <v>0</v>
      </c>
      <c r="BE2834" s="191" t="e">
        <f ca="1">(OFFSET(Pinlist!$E$1,BC2834,0)-$BN$16)*$BN$19</f>
        <v>#N/A</v>
      </c>
      <c r="BF2834" s="192" t="e">
        <f ca="1">(OFFSET(Pinlist!$F$1,BC2834,0)-$BO$16)*$BO$19</f>
        <v>#N/A</v>
      </c>
      <c r="BG2834" s="1098" t="str">
        <f ca="1">IF(LEFT(BD2834,2)="RF",OFFSET(Pinlist!$D$1,Chart!BC2834,0)&amp;"_"&amp;OFFSET(Pinlist!$G$1,Chart!BC2834,0),"")</f>
        <v/>
      </c>
      <c r="BH2834" s="1098"/>
    </row>
    <row r="2835" spans="53:60" x14ac:dyDescent="0.2">
      <c r="BA2835" s="518">
        <f t="shared" ca="1" si="145"/>
        <v>61</v>
      </c>
      <c r="BB2835" s="174">
        <f t="shared" ca="1" si="146"/>
        <v>2772</v>
      </c>
      <c r="BC2835" s="525" t="e">
        <f ca="1">MATCH(BD2835,OFFSET(Pinlist!$A$2,BC2834*(BA2835=BA2834),0,$BM$23,1),0)+BC2834*(BA2835=BA2834)</f>
        <v>#N/A</v>
      </c>
      <c r="BD2835" s="167">
        <f t="shared" ca="1" si="147"/>
        <v>0</v>
      </c>
      <c r="BE2835" s="191" t="e">
        <f ca="1">(OFFSET(Pinlist!$E$1,BC2835,0)-$BN$16)*$BN$19</f>
        <v>#N/A</v>
      </c>
      <c r="BF2835" s="192" t="e">
        <f ca="1">(OFFSET(Pinlist!$F$1,BC2835,0)-$BO$16)*$BO$19</f>
        <v>#N/A</v>
      </c>
      <c r="BG2835" s="1098" t="str">
        <f ca="1">IF(LEFT(BD2835,2)="RF",OFFSET(Pinlist!$D$1,Chart!BC2835,0)&amp;"_"&amp;OFFSET(Pinlist!$G$1,Chart!BC2835,0),"")</f>
        <v/>
      </c>
      <c r="BH2835" s="1098"/>
    </row>
    <row r="2836" spans="53:60" x14ac:dyDescent="0.2">
      <c r="BA2836" s="518">
        <f t="shared" ca="1" si="145"/>
        <v>61</v>
      </c>
      <c r="BB2836" s="174">
        <f t="shared" ca="1" si="146"/>
        <v>2773</v>
      </c>
      <c r="BC2836" s="525" t="e">
        <f ca="1">MATCH(BD2836,OFFSET(Pinlist!$A$2,BC2835*(BA2836=BA2835),0,$BM$23,1),0)+BC2835*(BA2836=BA2835)</f>
        <v>#N/A</v>
      </c>
      <c r="BD2836" s="167">
        <f t="shared" ca="1" si="147"/>
        <v>0</v>
      </c>
      <c r="BE2836" s="191" t="e">
        <f ca="1">(OFFSET(Pinlist!$E$1,BC2836,0)-$BN$16)*$BN$19</f>
        <v>#N/A</v>
      </c>
      <c r="BF2836" s="192" t="e">
        <f ca="1">(OFFSET(Pinlist!$F$1,BC2836,0)-$BO$16)*$BO$19</f>
        <v>#N/A</v>
      </c>
      <c r="BG2836" s="1098" t="str">
        <f ca="1">IF(LEFT(BD2836,2)="RF",OFFSET(Pinlist!$D$1,Chart!BC2836,0)&amp;"_"&amp;OFFSET(Pinlist!$G$1,Chart!BC2836,0),"")</f>
        <v/>
      </c>
      <c r="BH2836" s="1098"/>
    </row>
    <row r="2837" spans="53:60" x14ac:dyDescent="0.2">
      <c r="BA2837" s="518">
        <f t="shared" ca="1" si="145"/>
        <v>61</v>
      </c>
      <c r="BB2837" s="174">
        <f t="shared" ca="1" si="146"/>
        <v>2774</v>
      </c>
      <c r="BC2837" s="525" t="e">
        <f ca="1">MATCH(BD2837,OFFSET(Pinlist!$A$2,BC2836*(BA2837=BA2836),0,$BM$23,1),0)+BC2836*(BA2837=BA2836)</f>
        <v>#N/A</v>
      </c>
      <c r="BD2837" s="167">
        <f t="shared" ca="1" si="147"/>
        <v>0</v>
      </c>
      <c r="BE2837" s="191" t="e">
        <f ca="1">(OFFSET(Pinlist!$E$1,BC2837,0)-$BN$16)*$BN$19</f>
        <v>#N/A</v>
      </c>
      <c r="BF2837" s="192" t="e">
        <f ca="1">(OFFSET(Pinlist!$F$1,BC2837,0)-$BO$16)*$BO$19</f>
        <v>#N/A</v>
      </c>
      <c r="BG2837" s="1098" t="str">
        <f ca="1">IF(LEFT(BD2837,2)="RF",OFFSET(Pinlist!$D$1,Chart!BC2837,0)&amp;"_"&amp;OFFSET(Pinlist!$G$1,Chart!BC2837,0),"")</f>
        <v/>
      </c>
      <c r="BH2837" s="1098"/>
    </row>
    <row r="2838" spans="53:60" x14ac:dyDescent="0.2">
      <c r="BA2838" s="518">
        <f t="shared" ca="1" si="145"/>
        <v>61</v>
      </c>
      <c r="BB2838" s="174">
        <f t="shared" ca="1" si="146"/>
        <v>2775</v>
      </c>
      <c r="BC2838" s="525" t="e">
        <f ca="1">MATCH(BD2838,OFFSET(Pinlist!$A$2,BC2837*(BA2838=BA2837),0,$BM$23,1),0)+BC2837*(BA2838=BA2837)</f>
        <v>#N/A</v>
      </c>
      <c r="BD2838" s="167">
        <f t="shared" ca="1" si="147"/>
        <v>0</v>
      </c>
      <c r="BE2838" s="191" t="e">
        <f ca="1">(OFFSET(Pinlist!$E$1,BC2838,0)-$BN$16)*$BN$19</f>
        <v>#N/A</v>
      </c>
      <c r="BF2838" s="192" t="e">
        <f ca="1">(OFFSET(Pinlist!$F$1,BC2838,0)-$BO$16)*$BO$19</f>
        <v>#N/A</v>
      </c>
      <c r="BG2838" s="1098" t="str">
        <f ca="1">IF(LEFT(BD2838,2)="RF",OFFSET(Pinlist!$D$1,Chart!BC2838,0)&amp;"_"&amp;OFFSET(Pinlist!$G$1,Chart!BC2838,0),"")</f>
        <v/>
      </c>
      <c r="BH2838" s="1098"/>
    </row>
    <row r="2839" spans="53:60" x14ac:dyDescent="0.2">
      <c r="BA2839" s="518">
        <f t="shared" ca="1" si="145"/>
        <v>61</v>
      </c>
      <c r="BB2839" s="174">
        <f t="shared" ca="1" si="146"/>
        <v>2776</v>
      </c>
      <c r="BC2839" s="525" t="e">
        <f ca="1">MATCH(BD2839,OFFSET(Pinlist!$A$2,BC2838*(BA2839=BA2838),0,$BM$23,1),0)+BC2838*(BA2839=BA2838)</f>
        <v>#N/A</v>
      </c>
      <c r="BD2839" s="167">
        <f t="shared" ca="1" si="147"/>
        <v>0</v>
      </c>
      <c r="BE2839" s="191" t="e">
        <f ca="1">(OFFSET(Pinlist!$E$1,BC2839,0)-$BN$16)*$BN$19</f>
        <v>#N/A</v>
      </c>
      <c r="BF2839" s="192" t="e">
        <f ca="1">(OFFSET(Pinlist!$F$1,BC2839,0)-$BO$16)*$BO$19</f>
        <v>#N/A</v>
      </c>
      <c r="BG2839" s="1098" t="str">
        <f ca="1">IF(LEFT(BD2839,2)="RF",OFFSET(Pinlist!$D$1,Chart!BC2839,0)&amp;"_"&amp;OFFSET(Pinlist!$G$1,Chart!BC2839,0),"")</f>
        <v/>
      </c>
      <c r="BH2839" s="1098"/>
    </row>
    <row r="2840" spans="53:60" x14ac:dyDescent="0.2">
      <c r="BA2840" s="518">
        <f t="shared" ca="1" si="145"/>
        <v>61</v>
      </c>
      <c r="BB2840" s="174">
        <f t="shared" ca="1" si="146"/>
        <v>2777</v>
      </c>
      <c r="BC2840" s="525" t="e">
        <f ca="1">MATCH(BD2840,OFFSET(Pinlist!$A$2,BC2839*(BA2840=BA2839),0,$BM$23,1),0)+BC2839*(BA2840=BA2839)</f>
        <v>#N/A</v>
      </c>
      <c r="BD2840" s="167">
        <f t="shared" ca="1" si="147"/>
        <v>0</v>
      </c>
      <c r="BE2840" s="191" t="e">
        <f ca="1">(OFFSET(Pinlist!$E$1,BC2840,0)-$BN$16)*$BN$19</f>
        <v>#N/A</v>
      </c>
      <c r="BF2840" s="192" t="e">
        <f ca="1">(OFFSET(Pinlist!$F$1,BC2840,0)-$BO$16)*$BO$19</f>
        <v>#N/A</v>
      </c>
      <c r="BG2840" s="1098" t="str">
        <f ca="1">IF(LEFT(BD2840,2)="RF",OFFSET(Pinlist!$D$1,Chart!BC2840,0)&amp;"_"&amp;OFFSET(Pinlist!$G$1,Chart!BC2840,0),"")</f>
        <v/>
      </c>
      <c r="BH2840" s="1098"/>
    </row>
    <row r="2841" spans="53:60" x14ac:dyDescent="0.2">
      <c r="BA2841" s="518">
        <f t="shared" ca="1" si="145"/>
        <v>61</v>
      </c>
      <c r="BB2841" s="174">
        <f t="shared" ca="1" si="146"/>
        <v>2778</v>
      </c>
      <c r="BC2841" s="525" t="e">
        <f ca="1">MATCH(BD2841,OFFSET(Pinlist!$A$2,BC2840*(BA2841=BA2840),0,$BM$23,1),0)+BC2840*(BA2841=BA2840)</f>
        <v>#N/A</v>
      </c>
      <c r="BD2841" s="167">
        <f t="shared" ca="1" si="147"/>
        <v>0</v>
      </c>
      <c r="BE2841" s="191" t="e">
        <f ca="1">(OFFSET(Pinlist!$E$1,BC2841,0)-$BN$16)*$BN$19</f>
        <v>#N/A</v>
      </c>
      <c r="BF2841" s="192" t="e">
        <f ca="1">(OFFSET(Pinlist!$F$1,BC2841,0)-$BO$16)*$BO$19</f>
        <v>#N/A</v>
      </c>
      <c r="BG2841" s="1098" t="str">
        <f ca="1">IF(LEFT(BD2841,2)="RF",OFFSET(Pinlist!$D$1,Chart!BC2841,0)&amp;"_"&amp;OFFSET(Pinlist!$G$1,Chart!BC2841,0),"")</f>
        <v/>
      </c>
      <c r="BH2841" s="1098"/>
    </row>
    <row r="2842" spans="53:60" x14ac:dyDescent="0.2">
      <c r="BA2842" s="518">
        <f t="shared" ca="1" si="145"/>
        <v>61</v>
      </c>
      <c r="BB2842" s="174">
        <f t="shared" ca="1" si="146"/>
        <v>2779</v>
      </c>
      <c r="BC2842" s="525" t="e">
        <f ca="1">MATCH(BD2842,OFFSET(Pinlist!$A$2,BC2841*(BA2842=BA2841),0,$BM$23,1),0)+BC2841*(BA2842=BA2841)</f>
        <v>#N/A</v>
      </c>
      <c r="BD2842" s="167">
        <f t="shared" ca="1" si="147"/>
        <v>0</v>
      </c>
      <c r="BE2842" s="191" t="e">
        <f ca="1">(OFFSET(Pinlist!$E$1,BC2842,0)-$BN$16)*$BN$19</f>
        <v>#N/A</v>
      </c>
      <c r="BF2842" s="192" t="e">
        <f ca="1">(OFFSET(Pinlist!$F$1,BC2842,0)-$BO$16)*$BO$19</f>
        <v>#N/A</v>
      </c>
      <c r="BG2842" s="1098" t="str">
        <f ca="1">IF(LEFT(BD2842,2)="RF",OFFSET(Pinlist!$D$1,Chart!BC2842,0)&amp;"_"&amp;OFFSET(Pinlist!$G$1,Chart!BC2842,0),"")</f>
        <v/>
      </c>
      <c r="BH2842" s="1098"/>
    </row>
    <row r="2843" spans="53:60" x14ac:dyDescent="0.2">
      <c r="BA2843" s="518">
        <f t="shared" ca="1" si="145"/>
        <v>61</v>
      </c>
      <c r="BB2843" s="174">
        <f t="shared" ca="1" si="146"/>
        <v>2780</v>
      </c>
      <c r="BC2843" s="525" t="e">
        <f ca="1">MATCH(BD2843,OFFSET(Pinlist!$A$2,BC2842*(BA2843=BA2842),0,$BM$23,1),0)+BC2842*(BA2843=BA2842)</f>
        <v>#N/A</v>
      </c>
      <c r="BD2843" s="167">
        <f t="shared" ca="1" si="147"/>
        <v>0</v>
      </c>
      <c r="BE2843" s="191" t="e">
        <f ca="1">(OFFSET(Pinlist!$E$1,BC2843,0)-$BN$16)*$BN$19</f>
        <v>#N/A</v>
      </c>
      <c r="BF2843" s="192" t="e">
        <f ca="1">(OFFSET(Pinlist!$F$1,BC2843,0)-$BO$16)*$BO$19</f>
        <v>#N/A</v>
      </c>
      <c r="BG2843" s="1098" t="str">
        <f ca="1">IF(LEFT(BD2843,2)="RF",OFFSET(Pinlist!$D$1,Chart!BC2843,0)&amp;"_"&amp;OFFSET(Pinlist!$G$1,Chart!BC2843,0),"")</f>
        <v/>
      </c>
      <c r="BH2843" s="1098"/>
    </row>
    <row r="2844" spans="53:60" x14ac:dyDescent="0.2">
      <c r="BA2844" s="518">
        <f t="shared" ca="1" si="145"/>
        <v>61</v>
      </c>
      <c r="BB2844" s="174">
        <f t="shared" ca="1" si="146"/>
        <v>2781</v>
      </c>
      <c r="BC2844" s="525" t="e">
        <f ca="1">MATCH(BD2844,OFFSET(Pinlist!$A$2,BC2843*(BA2844=BA2843),0,$BM$23,1),0)+BC2843*(BA2844=BA2843)</f>
        <v>#N/A</v>
      </c>
      <c r="BD2844" s="167">
        <f t="shared" ca="1" si="147"/>
        <v>0</v>
      </c>
      <c r="BE2844" s="191" t="e">
        <f ca="1">(OFFSET(Pinlist!$E$1,BC2844,0)-$BN$16)*$BN$19</f>
        <v>#N/A</v>
      </c>
      <c r="BF2844" s="192" t="e">
        <f ca="1">(OFFSET(Pinlist!$F$1,BC2844,0)-$BO$16)*$BO$19</f>
        <v>#N/A</v>
      </c>
      <c r="BG2844" s="1098" t="str">
        <f ca="1">IF(LEFT(BD2844,2)="RF",OFFSET(Pinlist!$D$1,Chart!BC2844,0)&amp;"_"&amp;OFFSET(Pinlist!$G$1,Chart!BC2844,0),"")</f>
        <v/>
      </c>
      <c r="BH2844" s="1098"/>
    </row>
    <row r="2845" spans="53:60" x14ac:dyDescent="0.2">
      <c r="BA2845" s="518">
        <f t="shared" ca="1" si="145"/>
        <v>61</v>
      </c>
      <c r="BB2845" s="174">
        <f t="shared" ca="1" si="146"/>
        <v>2782</v>
      </c>
      <c r="BC2845" s="525" t="e">
        <f ca="1">MATCH(BD2845,OFFSET(Pinlist!$A$2,BC2844*(BA2845=BA2844),0,$BM$23,1),0)+BC2844*(BA2845=BA2844)</f>
        <v>#N/A</v>
      </c>
      <c r="BD2845" s="167">
        <f t="shared" ca="1" si="147"/>
        <v>0</v>
      </c>
      <c r="BE2845" s="191" t="e">
        <f ca="1">(OFFSET(Pinlist!$E$1,BC2845,0)-$BN$16)*$BN$19</f>
        <v>#N/A</v>
      </c>
      <c r="BF2845" s="192" t="e">
        <f ca="1">(OFFSET(Pinlist!$F$1,BC2845,0)-$BO$16)*$BO$19</f>
        <v>#N/A</v>
      </c>
      <c r="BG2845" s="1098" t="str">
        <f ca="1">IF(LEFT(BD2845,2)="RF",OFFSET(Pinlist!$D$1,Chart!BC2845,0)&amp;"_"&amp;OFFSET(Pinlist!$G$1,Chart!BC2845,0),"")</f>
        <v/>
      </c>
      <c r="BH2845" s="1098"/>
    </row>
    <row r="2846" spans="53:60" x14ac:dyDescent="0.2">
      <c r="BA2846" s="518">
        <f t="shared" ca="1" si="145"/>
        <v>61</v>
      </c>
      <c r="BB2846" s="174">
        <f t="shared" ca="1" si="146"/>
        <v>2783</v>
      </c>
      <c r="BC2846" s="525" t="e">
        <f ca="1">MATCH(BD2846,OFFSET(Pinlist!$A$2,BC2845*(BA2846=BA2845),0,$BM$23,1),0)+BC2845*(BA2846=BA2845)</f>
        <v>#N/A</v>
      </c>
      <c r="BD2846" s="167">
        <f t="shared" ca="1" si="147"/>
        <v>0</v>
      </c>
      <c r="BE2846" s="191" t="e">
        <f ca="1">(OFFSET(Pinlist!$E$1,BC2846,0)-$BN$16)*$BN$19</f>
        <v>#N/A</v>
      </c>
      <c r="BF2846" s="192" t="e">
        <f ca="1">(OFFSET(Pinlist!$F$1,BC2846,0)-$BO$16)*$BO$19</f>
        <v>#N/A</v>
      </c>
      <c r="BG2846" s="1098" t="str">
        <f ca="1">IF(LEFT(BD2846,2)="RF",OFFSET(Pinlist!$D$1,Chart!BC2846,0)&amp;"_"&amp;OFFSET(Pinlist!$G$1,Chart!BC2846,0),"")</f>
        <v/>
      </c>
      <c r="BH2846" s="1098"/>
    </row>
    <row r="2847" spans="53:60" x14ac:dyDescent="0.2">
      <c r="BA2847" s="518">
        <f t="shared" ca="1" si="145"/>
        <v>61</v>
      </c>
      <c r="BB2847" s="174">
        <f t="shared" ca="1" si="146"/>
        <v>2784</v>
      </c>
      <c r="BC2847" s="525" t="e">
        <f ca="1">MATCH(BD2847,OFFSET(Pinlist!$A$2,BC2846*(BA2847=BA2846),0,$BM$23,1),0)+BC2846*(BA2847=BA2846)</f>
        <v>#N/A</v>
      </c>
      <c r="BD2847" s="167">
        <f t="shared" ca="1" si="147"/>
        <v>0</v>
      </c>
      <c r="BE2847" s="191" t="e">
        <f ca="1">(OFFSET(Pinlist!$E$1,BC2847,0)-$BN$16)*$BN$19</f>
        <v>#N/A</v>
      </c>
      <c r="BF2847" s="192" t="e">
        <f ca="1">(OFFSET(Pinlist!$F$1,BC2847,0)-$BO$16)*$BO$19</f>
        <v>#N/A</v>
      </c>
      <c r="BG2847" s="1098" t="str">
        <f ca="1">IF(LEFT(BD2847,2)="RF",OFFSET(Pinlist!$D$1,Chart!BC2847,0)&amp;"_"&amp;OFFSET(Pinlist!$G$1,Chart!BC2847,0),"")</f>
        <v/>
      </c>
      <c r="BH2847" s="1098"/>
    </row>
    <row r="2848" spans="53:60" x14ac:dyDescent="0.2">
      <c r="BA2848" s="518">
        <f t="shared" ca="1" si="145"/>
        <v>61</v>
      </c>
      <c r="BB2848" s="174">
        <f t="shared" ca="1" si="146"/>
        <v>2785</v>
      </c>
      <c r="BC2848" s="525" t="e">
        <f ca="1">MATCH(BD2848,OFFSET(Pinlist!$A$2,BC2847*(BA2848=BA2847),0,$BM$23,1),0)+BC2847*(BA2848=BA2847)</f>
        <v>#N/A</v>
      </c>
      <c r="BD2848" s="167">
        <f t="shared" ca="1" si="147"/>
        <v>0</v>
      </c>
      <c r="BE2848" s="191" t="e">
        <f ca="1">(OFFSET(Pinlist!$E$1,BC2848,0)-$BN$16)*$BN$19</f>
        <v>#N/A</v>
      </c>
      <c r="BF2848" s="192" t="e">
        <f ca="1">(OFFSET(Pinlist!$F$1,BC2848,0)-$BO$16)*$BO$19</f>
        <v>#N/A</v>
      </c>
      <c r="BG2848" s="1098" t="str">
        <f ca="1">IF(LEFT(BD2848,2)="RF",OFFSET(Pinlist!$D$1,Chart!BC2848,0)&amp;"_"&amp;OFFSET(Pinlist!$G$1,Chart!BC2848,0),"")</f>
        <v/>
      </c>
      <c r="BH2848" s="1098"/>
    </row>
    <row r="2849" spans="53:60" x14ac:dyDescent="0.2">
      <c r="BA2849" s="518">
        <f t="shared" ca="1" si="145"/>
        <v>61</v>
      </c>
      <c r="BB2849" s="174">
        <f t="shared" ca="1" si="146"/>
        <v>2786</v>
      </c>
      <c r="BC2849" s="525" t="e">
        <f ca="1">MATCH(BD2849,OFFSET(Pinlist!$A$2,BC2848*(BA2849=BA2848),0,$BM$23,1),0)+BC2848*(BA2849=BA2848)</f>
        <v>#N/A</v>
      </c>
      <c r="BD2849" s="167">
        <f t="shared" ca="1" si="147"/>
        <v>0</v>
      </c>
      <c r="BE2849" s="191" t="e">
        <f ca="1">(OFFSET(Pinlist!$E$1,BC2849,0)-$BN$16)*$BN$19</f>
        <v>#N/A</v>
      </c>
      <c r="BF2849" s="192" t="e">
        <f ca="1">(OFFSET(Pinlist!$F$1,BC2849,0)-$BO$16)*$BO$19</f>
        <v>#N/A</v>
      </c>
      <c r="BG2849" s="1098" t="str">
        <f ca="1">IF(LEFT(BD2849,2)="RF",OFFSET(Pinlist!$D$1,Chart!BC2849,0)&amp;"_"&amp;OFFSET(Pinlist!$G$1,Chart!BC2849,0),"")</f>
        <v/>
      </c>
      <c r="BH2849" s="1098"/>
    </row>
    <row r="2850" spans="53:60" x14ac:dyDescent="0.2">
      <c r="BA2850" s="518">
        <f t="shared" ca="1" si="145"/>
        <v>61</v>
      </c>
      <c r="BB2850" s="174">
        <f t="shared" ca="1" si="146"/>
        <v>2787</v>
      </c>
      <c r="BC2850" s="525" t="e">
        <f ca="1">MATCH(BD2850,OFFSET(Pinlist!$A$2,BC2849*(BA2850=BA2849),0,$BM$23,1),0)+BC2849*(BA2850=BA2849)</f>
        <v>#N/A</v>
      </c>
      <c r="BD2850" s="167">
        <f t="shared" ca="1" si="147"/>
        <v>0</v>
      </c>
      <c r="BE2850" s="191" t="e">
        <f ca="1">(OFFSET(Pinlist!$E$1,BC2850,0)-$BN$16)*$BN$19</f>
        <v>#N/A</v>
      </c>
      <c r="BF2850" s="192" t="e">
        <f ca="1">(OFFSET(Pinlist!$F$1,BC2850,0)-$BO$16)*$BO$19</f>
        <v>#N/A</v>
      </c>
      <c r="BG2850" s="1098" t="str">
        <f ca="1">IF(LEFT(BD2850,2)="RF",OFFSET(Pinlist!$D$1,Chart!BC2850,0)&amp;"_"&amp;OFFSET(Pinlist!$G$1,Chart!BC2850,0),"")</f>
        <v/>
      </c>
      <c r="BH2850" s="1098"/>
    </row>
    <row r="2851" spans="53:60" x14ac:dyDescent="0.2">
      <c r="BA2851" s="518">
        <f t="shared" ca="1" si="145"/>
        <v>61</v>
      </c>
      <c r="BB2851" s="174">
        <f t="shared" ca="1" si="146"/>
        <v>2788</v>
      </c>
      <c r="BC2851" s="525" t="e">
        <f ca="1">MATCH(BD2851,OFFSET(Pinlist!$A$2,BC2850*(BA2851=BA2850),0,$BM$23,1),0)+BC2850*(BA2851=BA2850)</f>
        <v>#N/A</v>
      </c>
      <c r="BD2851" s="167">
        <f t="shared" ca="1" si="147"/>
        <v>0</v>
      </c>
      <c r="BE2851" s="191" t="e">
        <f ca="1">(OFFSET(Pinlist!$E$1,BC2851,0)-$BN$16)*$BN$19</f>
        <v>#N/A</v>
      </c>
      <c r="BF2851" s="192" t="e">
        <f ca="1">(OFFSET(Pinlist!$F$1,BC2851,0)-$BO$16)*$BO$19</f>
        <v>#N/A</v>
      </c>
      <c r="BG2851" s="1098" t="str">
        <f ca="1">IF(LEFT(BD2851,2)="RF",OFFSET(Pinlist!$D$1,Chart!BC2851,0)&amp;"_"&amp;OFFSET(Pinlist!$G$1,Chart!BC2851,0),"")</f>
        <v/>
      </c>
      <c r="BH2851" s="1098"/>
    </row>
    <row r="2852" spans="53:60" x14ac:dyDescent="0.2">
      <c r="BA2852" s="518">
        <f t="shared" ca="1" si="145"/>
        <v>61</v>
      </c>
      <c r="BB2852" s="174">
        <f t="shared" ca="1" si="146"/>
        <v>2789</v>
      </c>
      <c r="BC2852" s="525" t="e">
        <f ca="1">MATCH(BD2852,OFFSET(Pinlist!$A$2,BC2851*(BA2852=BA2851),0,$BM$23,1),0)+BC2851*(BA2852=BA2851)</f>
        <v>#N/A</v>
      </c>
      <c r="BD2852" s="167">
        <f t="shared" ca="1" si="147"/>
        <v>0</v>
      </c>
      <c r="BE2852" s="191" t="e">
        <f ca="1">(OFFSET(Pinlist!$E$1,BC2852,0)-$BN$16)*$BN$19</f>
        <v>#N/A</v>
      </c>
      <c r="BF2852" s="192" t="e">
        <f ca="1">(OFFSET(Pinlist!$F$1,BC2852,0)-$BO$16)*$BO$19</f>
        <v>#N/A</v>
      </c>
      <c r="BG2852" s="1098" t="str">
        <f ca="1">IF(LEFT(BD2852,2)="RF",OFFSET(Pinlist!$D$1,Chart!BC2852,0)&amp;"_"&amp;OFFSET(Pinlist!$G$1,Chart!BC2852,0),"")</f>
        <v/>
      </c>
      <c r="BH2852" s="1098"/>
    </row>
    <row r="2853" spans="53:60" x14ac:dyDescent="0.2">
      <c r="BA2853" s="518">
        <f t="shared" ca="1" si="145"/>
        <v>61</v>
      </c>
      <c r="BB2853" s="174">
        <f t="shared" ca="1" si="146"/>
        <v>2790</v>
      </c>
      <c r="BC2853" s="525" t="e">
        <f ca="1">MATCH(BD2853,OFFSET(Pinlist!$A$2,BC2852*(BA2853=BA2852),0,$BM$23,1),0)+BC2852*(BA2853=BA2852)</f>
        <v>#N/A</v>
      </c>
      <c r="BD2853" s="167">
        <f t="shared" ca="1" si="147"/>
        <v>0</v>
      </c>
      <c r="BE2853" s="191" t="e">
        <f ca="1">(OFFSET(Pinlist!$E$1,BC2853,0)-$BN$16)*$BN$19</f>
        <v>#N/A</v>
      </c>
      <c r="BF2853" s="192" t="e">
        <f ca="1">(OFFSET(Pinlist!$F$1,BC2853,0)-$BO$16)*$BO$19</f>
        <v>#N/A</v>
      </c>
      <c r="BG2853" s="1098" t="str">
        <f ca="1">IF(LEFT(BD2853,2)="RF",OFFSET(Pinlist!$D$1,Chart!BC2853,0)&amp;"_"&amp;OFFSET(Pinlist!$G$1,Chart!BC2853,0),"")</f>
        <v/>
      </c>
      <c r="BH2853" s="1098"/>
    </row>
    <row r="2854" spans="53:60" x14ac:dyDescent="0.2">
      <c r="BA2854" s="518">
        <f t="shared" ca="1" si="145"/>
        <v>61</v>
      </c>
      <c r="BB2854" s="174">
        <f t="shared" ca="1" si="146"/>
        <v>2791</v>
      </c>
      <c r="BC2854" s="525" t="e">
        <f ca="1">MATCH(BD2854,OFFSET(Pinlist!$A$2,BC2853*(BA2854=BA2853),0,$BM$23,1),0)+BC2853*(BA2854=BA2853)</f>
        <v>#N/A</v>
      </c>
      <c r="BD2854" s="167">
        <f t="shared" ca="1" si="147"/>
        <v>0</v>
      </c>
      <c r="BE2854" s="191" t="e">
        <f ca="1">(OFFSET(Pinlist!$E$1,BC2854,0)-$BN$16)*$BN$19</f>
        <v>#N/A</v>
      </c>
      <c r="BF2854" s="192" t="e">
        <f ca="1">(OFFSET(Pinlist!$F$1,BC2854,0)-$BO$16)*$BO$19</f>
        <v>#N/A</v>
      </c>
      <c r="BG2854" s="1098" t="str">
        <f ca="1">IF(LEFT(BD2854,2)="RF",OFFSET(Pinlist!$D$1,Chart!BC2854,0)&amp;"_"&amp;OFFSET(Pinlist!$G$1,Chart!BC2854,0),"")</f>
        <v/>
      </c>
      <c r="BH2854" s="1098"/>
    </row>
    <row r="2855" spans="53:60" x14ac:dyDescent="0.2">
      <c r="BA2855" s="518">
        <f t="shared" ca="1" si="145"/>
        <v>61</v>
      </c>
      <c r="BB2855" s="174">
        <f t="shared" ca="1" si="146"/>
        <v>2792</v>
      </c>
      <c r="BC2855" s="525" t="e">
        <f ca="1">MATCH(BD2855,OFFSET(Pinlist!$A$2,BC2854*(BA2855=BA2854),0,$BM$23,1),0)+BC2854*(BA2855=BA2854)</f>
        <v>#N/A</v>
      </c>
      <c r="BD2855" s="167">
        <f t="shared" ca="1" si="147"/>
        <v>0</v>
      </c>
      <c r="BE2855" s="191" t="e">
        <f ca="1">(OFFSET(Pinlist!$E$1,BC2855,0)-$BN$16)*$BN$19</f>
        <v>#N/A</v>
      </c>
      <c r="BF2855" s="192" t="e">
        <f ca="1">(OFFSET(Pinlist!$F$1,BC2855,0)-$BO$16)*$BO$19</f>
        <v>#N/A</v>
      </c>
      <c r="BG2855" s="1098" t="str">
        <f ca="1">IF(LEFT(BD2855,2)="RF",OFFSET(Pinlist!$D$1,Chart!BC2855,0)&amp;"_"&amp;OFFSET(Pinlist!$G$1,Chart!BC2855,0),"")</f>
        <v/>
      </c>
      <c r="BH2855" s="1098"/>
    </row>
    <row r="2856" spans="53:60" x14ac:dyDescent="0.2">
      <c r="BA2856" s="518">
        <f t="shared" ca="1" si="145"/>
        <v>61</v>
      </c>
      <c r="BB2856" s="174">
        <f t="shared" ca="1" si="146"/>
        <v>2793</v>
      </c>
      <c r="BC2856" s="525" t="e">
        <f ca="1">MATCH(BD2856,OFFSET(Pinlist!$A$2,BC2855*(BA2856=BA2855),0,$BM$23,1),0)+BC2855*(BA2856=BA2855)</f>
        <v>#N/A</v>
      </c>
      <c r="BD2856" s="167">
        <f t="shared" ca="1" si="147"/>
        <v>0</v>
      </c>
      <c r="BE2856" s="191" t="e">
        <f ca="1">(OFFSET(Pinlist!$E$1,BC2856,0)-$BN$16)*$BN$19</f>
        <v>#N/A</v>
      </c>
      <c r="BF2856" s="192" t="e">
        <f ca="1">(OFFSET(Pinlist!$F$1,BC2856,0)-$BO$16)*$BO$19</f>
        <v>#N/A</v>
      </c>
      <c r="BG2856" s="1098" t="str">
        <f ca="1">IF(LEFT(BD2856,2)="RF",OFFSET(Pinlist!$D$1,Chart!BC2856,0)&amp;"_"&amp;OFFSET(Pinlist!$G$1,Chart!BC2856,0),"")</f>
        <v/>
      </c>
      <c r="BH2856" s="1098"/>
    </row>
    <row r="2857" spans="53:60" x14ac:dyDescent="0.2">
      <c r="BA2857" s="518">
        <f t="shared" ca="1" si="145"/>
        <v>61</v>
      </c>
      <c r="BB2857" s="174">
        <f t="shared" ca="1" si="146"/>
        <v>2794</v>
      </c>
      <c r="BC2857" s="525" t="e">
        <f ca="1">MATCH(BD2857,OFFSET(Pinlist!$A$2,BC2856*(BA2857=BA2856),0,$BM$23,1),0)+BC2856*(BA2857=BA2856)</f>
        <v>#N/A</v>
      </c>
      <c r="BD2857" s="167">
        <f t="shared" ca="1" si="147"/>
        <v>0</v>
      </c>
      <c r="BE2857" s="191" t="e">
        <f ca="1">(OFFSET(Pinlist!$E$1,BC2857,0)-$BN$16)*$BN$19</f>
        <v>#N/A</v>
      </c>
      <c r="BF2857" s="192" t="e">
        <f ca="1">(OFFSET(Pinlist!$F$1,BC2857,0)-$BO$16)*$BO$19</f>
        <v>#N/A</v>
      </c>
      <c r="BG2857" s="1098" t="str">
        <f ca="1">IF(LEFT(BD2857,2)="RF",OFFSET(Pinlist!$D$1,Chart!BC2857,0)&amp;"_"&amp;OFFSET(Pinlist!$G$1,Chart!BC2857,0),"")</f>
        <v/>
      </c>
      <c r="BH2857" s="1098"/>
    </row>
    <row r="2858" spans="53:60" x14ac:dyDescent="0.2">
      <c r="BA2858" s="518">
        <f t="shared" ca="1" si="145"/>
        <v>61</v>
      </c>
      <c r="BB2858" s="174">
        <f t="shared" ca="1" si="146"/>
        <v>2795</v>
      </c>
      <c r="BC2858" s="525" t="e">
        <f ca="1">MATCH(BD2858,OFFSET(Pinlist!$A$2,BC2857*(BA2858=BA2857),0,$BM$23,1),0)+BC2857*(BA2858=BA2857)</f>
        <v>#N/A</v>
      </c>
      <c r="BD2858" s="167">
        <f t="shared" ca="1" si="147"/>
        <v>0</v>
      </c>
      <c r="BE2858" s="191" t="e">
        <f ca="1">(OFFSET(Pinlist!$E$1,BC2858,0)-$BN$16)*$BN$19</f>
        <v>#N/A</v>
      </c>
      <c r="BF2858" s="192" t="e">
        <f ca="1">(OFFSET(Pinlist!$F$1,BC2858,0)-$BO$16)*$BO$19</f>
        <v>#N/A</v>
      </c>
      <c r="BG2858" s="1098" t="str">
        <f ca="1">IF(LEFT(BD2858,2)="RF",OFFSET(Pinlist!$D$1,Chart!BC2858,0)&amp;"_"&amp;OFFSET(Pinlist!$G$1,Chart!BC2858,0),"")</f>
        <v/>
      </c>
      <c r="BH2858" s="1098"/>
    </row>
    <row r="2859" spans="53:60" x14ac:dyDescent="0.2">
      <c r="BA2859" s="518">
        <f t="shared" ca="1" si="145"/>
        <v>61</v>
      </c>
      <c r="BB2859" s="174">
        <f t="shared" ca="1" si="146"/>
        <v>2796</v>
      </c>
      <c r="BC2859" s="525" t="e">
        <f ca="1">MATCH(BD2859,OFFSET(Pinlist!$A$2,BC2858*(BA2859=BA2858),0,$BM$23,1),0)+BC2858*(BA2859=BA2858)</f>
        <v>#N/A</v>
      </c>
      <c r="BD2859" s="167">
        <f t="shared" ca="1" si="147"/>
        <v>0</v>
      </c>
      <c r="BE2859" s="191" t="e">
        <f ca="1">(OFFSET(Pinlist!$E$1,BC2859,0)-$BN$16)*$BN$19</f>
        <v>#N/A</v>
      </c>
      <c r="BF2859" s="192" t="e">
        <f ca="1">(OFFSET(Pinlist!$F$1,BC2859,0)-$BO$16)*$BO$19</f>
        <v>#N/A</v>
      </c>
      <c r="BG2859" s="1098" t="str">
        <f ca="1">IF(LEFT(BD2859,2)="RF",OFFSET(Pinlist!$D$1,Chart!BC2859,0)&amp;"_"&amp;OFFSET(Pinlist!$G$1,Chart!BC2859,0),"")</f>
        <v/>
      </c>
      <c r="BH2859" s="1098"/>
    </row>
    <row r="2860" spans="53:60" x14ac:dyDescent="0.2">
      <c r="BA2860" s="518">
        <f t="shared" ca="1" si="145"/>
        <v>61</v>
      </c>
      <c r="BB2860" s="174">
        <f t="shared" ca="1" si="146"/>
        <v>2797</v>
      </c>
      <c r="BC2860" s="525" t="e">
        <f ca="1">MATCH(BD2860,OFFSET(Pinlist!$A$2,BC2859*(BA2860=BA2859),0,$BM$23,1),0)+BC2859*(BA2860=BA2859)</f>
        <v>#N/A</v>
      </c>
      <c r="BD2860" s="167">
        <f t="shared" ca="1" si="147"/>
        <v>0</v>
      </c>
      <c r="BE2860" s="191" t="e">
        <f ca="1">(OFFSET(Pinlist!$E$1,BC2860,0)-$BN$16)*$BN$19</f>
        <v>#N/A</v>
      </c>
      <c r="BF2860" s="192" t="e">
        <f ca="1">(OFFSET(Pinlist!$F$1,BC2860,0)-$BO$16)*$BO$19</f>
        <v>#N/A</v>
      </c>
      <c r="BG2860" s="1098" t="str">
        <f ca="1">IF(LEFT(BD2860,2)="RF",OFFSET(Pinlist!$D$1,Chart!BC2860,0)&amp;"_"&amp;OFFSET(Pinlist!$G$1,Chart!BC2860,0),"")</f>
        <v/>
      </c>
      <c r="BH2860" s="1098"/>
    </row>
    <row r="2861" spans="53:60" x14ac:dyDescent="0.2">
      <c r="BA2861" s="518">
        <f t="shared" ca="1" si="145"/>
        <v>61</v>
      </c>
      <c r="BB2861" s="174">
        <f t="shared" ca="1" si="146"/>
        <v>2798</v>
      </c>
      <c r="BC2861" s="525" t="e">
        <f ca="1">MATCH(BD2861,OFFSET(Pinlist!$A$2,BC2860*(BA2861=BA2860),0,$BM$23,1),0)+BC2860*(BA2861=BA2860)</f>
        <v>#N/A</v>
      </c>
      <c r="BD2861" s="167">
        <f t="shared" ca="1" si="147"/>
        <v>0</v>
      </c>
      <c r="BE2861" s="191" t="e">
        <f ca="1">(OFFSET(Pinlist!$E$1,BC2861,0)-$BN$16)*$BN$19</f>
        <v>#N/A</v>
      </c>
      <c r="BF2861" s="192" t="e">
        <f ca="1">(OFFSET(Pinlist!$F$1,BC2861,0)-$BO$16)*$BO$19</f>
        <v>#N/A</v>
      </c>
      <c r="BG2861" s="1098" t="str">
        <f ca="1">IF(LEFT(BD2861,2)="RF",OFFSET(Pinlist!$D$1,Chart!BC2861,0)&amp;"_"&amp;OFFSET(Pinlist!$G$1,Chart!BC2861,0),"")</f>
        <v/>
      </c>
      <c r="BH2861" s="1098"/>
    </row>
    <row r="2862" spans="53:60" x14ac:dyDescent="0.2">
      <c r="BA2862" s="518">
        <f t="shared" ca="1" si="145"/>
        <v>61</v>
      </c>
      <c r="BB2862" s="174">
        <f t="shared" ca="1" si="146"/>
        <v>2799</v>
      </c>
      <c r="BC2862" s="525" t="e">
        <f ca="1">MATCH(BD2862,OFFSET(Pinlist!$A$2,BC2861*(BA2862=BA2861),0,$BM$23,1),0)+BC2861*(BA2862=BA2861)</f>
        <v>#N/A</v>
      </c>
      <c r="BD2862" s="167">
        <f t="shared" ca="1" si="147"/>
        <v>0</v>
      </c>
      <c r="BE2862" s="191" t="e">
        <f ca="1">(OFFSET(Pinlist!$E$1,BC2862,0)-$BN$16)*$BN$19</f>
        <v>#N/A</v>
      </c>
      <c r="BF2862" s="192" t="e">
        <f ca="1">(OFFSET(Pinlist!$F$1,BC2862,0)-$BO$16)*$BO$19</f>
        <v>#N/A</v>
      </c>
      <c r="BG2862" s="1098" t="str">
        <f ca="1">IF(LEFT(BD2862,2)="RF",OFFSET(Pinlist!$D$1,Chart!BC2862,0)&amp;"_"&amp;OFFSET(Pinlist!$G$1,Chart!BC2862,0),"")</f>
        <v/>
      </c>
      <c r="BH2862" s="1098"/>
    </row>
    <row r="2863" spans="53:60" x14ac:dyDescent="0.2">
      <c r="BA2863" s="518">
        <f t="shared" ca="1" si="145"/>
        <v>61</v>
      </c>
      <c r="BB2863" s="174">
        <f t="shared" ca="1" si="146"/>
        <v>2800</v>
      </c>
      <c r="BC2863" s="525" t="e">
        <f ca="1">MATCH(BD2863,OFFSET(Pinlist!$A$2,BC2862*(BA2863=BA2862),0,$BM$23,1),0)+BC2862*(BA2863=BA2862)</f>
        <v>#N/A</v>
      </c>
      <c r="BD2863" s="167">
        <f t="shared" ca="1" si="147"/>
        <v>0</v>
      </c>
      <c r="BE2863" s="191" t="e">
        <f ca="1">(OFFSET(Pinlist!$E$1,BC2863,0)-$BN$16)*$BN$19</f>
        <v>#N/A</v>
      </c>
      <c r="BF2863" s="192" t="e">
        <f ca="1">(OFFSET(Pinlist!$F$1,BC2863,0)-$BO$16)*$BO$19</f>
        <v>#N/A</v>
      </c>
      <c r="BG2863" s="1098" t="str">
        <f ca="1">IF(LEFT(BD2863,2)="RF",OFFSET(Pinlist!$D$1,Chart!BC2863,0)&amp;"_"&amp;OFFSET(Pinlist!$G$1,Chart!BC2863,0),"")</f>
        <v/>
      </c>
      <c r="BH2863" s="1098"/>
    </row>
    <row r="2864" spans="53:60" x14ac:dyDescent="0.2">
      <c r="BA2864" s="518">
        <f t="shared" ca="1" si="145"/>
        <v>61</v>
      </c>
      <c r="BB2864" s="174">
        <f t="shared" ca="1" si="146"/>
        <v>2801</v>
      </c>
      <c r="BC2864" s="525" t="e">
        <f ca="1">MATCH(BD2864,OFFSET(Pinlist!$A$2,BC2863*(BA2864=BA2863),0,$BM$23,1),0)+BC2863*(BA2864=BA2863)</f>
        <v>#N/A</v>
      </c>
      <c r="BD2864" s="167">
        <f t="shared" ca="1" si="147"/>
        <v>0</v>
      </c>
      <c r="BE2864" s="191" t="e">
        <f ca="1">(OFFSET(Pinlist!$E$1,BC2864,0)-$BN$16)*$BN$19</f>
        <v>#N/A</v>
      </c>
      <c r="BF2864" s="192" t="e">
        <f ca="1">(OFFSET(Pinlist!$F$1,BC2864,0)-$BO$16)*$BO$19</f>
        <v>#N/A</v>
      </c>
      <c r="BG2864" s="1098" t="str">
        <f ca="1">IF(LEFT(BD2864,2)="RF",OFFSET(Pinlist!$D$1,Chart!BC2864,0)&amp;"_"&amp;OFFSET(Pinlist!$G$1,Chart!BC2864,0),"")</f>
        <v/>
      </c>
      <c r="BH2864" s="1098"/>
    </row>
    <row r="2865" spans="53:60" x14ac:dyDescent="0.2">
      <c r="BA2865" s="518">
        <f t="shared" ca="1" si="145"/>
        <v>61</v>
      </c>
      <c r="BB2865" s="174">
        <f t="shared" ca="1" si="146"/>
        <v>2802</v>
      </c>
      <c r="BC2865" s="525" t="e">
        <f ca="1">MATCH(BD2865,OFFSET(Pinlist!$A$2,BC2864*(BA2865=BA2864),0,$BM$23,1),0)+BC2864*(BA2865=BA2864)</f>
        <v>#N/A</v>
      </c>
      <c r="BD2865" s="167">
        <f t="shared" ca="1" si="147"/>
        <v>0</v>
      </c>
      <c r="BE2865" s="191" t="e">
        <f ca="1">(OFFSET(Pinlist!$E$1,BC2865,0)-$BN$16)*$BN$19</f>
        <v>#N/A</v>
      </c>
      <c r="BF2865" s="192" t="e">
        <f ca="1">(OFFSET(Pinlist!$F$1,BC2865,0)-$BO$16)*$BO$19</f>
        <v>#N/A</v>
      </c>
      <c r="BG2865" s="1098" t="str">
        <f ca="1">IF(LEFT(BD2865,2)="RF",OFFSET(Pinlist!$D$1,Chart!BC2865,0)&amp;"_"&amp;OFFSET(Pinlist!$G$1,Chart!BC2865,0),"")</f>
        <v/>
      </c>
      <c r="BH2865" s="1098"/>
    </row>
    <row r="2866" spans="53:60" x14ac:dyDescent="0.2">
      <c r="BA2866" s="518">
        <f t="shared" ca="1" si="145"/>
        <v>61</v>
      </c>
      <c r="BB2866" s="174">
        <f t="shared" ca="1" si="146"/>
        <v>2803</v>
      </c>
      <c r="BC2866" s="525" t="e">
        <f ca="1">MATCH(BD2866,OFFSET(Pinlist!$A$2,BC2865*(BA2866=BA2865),0,$BM$23,1),0)+BC2865*(BA2866=BA2865)</f>
        <v>#N/A</v>
      </c>
      <c r="BD2866" s="167">
        <f t="shared" ca="1" si="147"/>
        <v>0</v>
      </c>
      <c r="BE2866" s="191" t="e">
        <f ca="1">(OFFSET(Pinlist!$E$1,BC2866,0)-$BN$16)*$BN$19</f>
        <v>#N/A</v>
      </c>
      <c r="BF2866" s="192" t="e">
        <f ca="1">(OFFSET(Pinlist!$F$1,BC2866,0)-$BO$16)*$BO$19</f>
        <v>#N/A</v>
      </c>
      <c r="BG2866" s="1098" t="str">
        <f ca="1">IF(LEFT(BD2866,2)="RF",OFFSET(Pinlist!$D$1,Chart!BC2866,0)&amp;"_"&amp;OFFSET(Pinlist!$G$1,Chart!BC2866,0),"")</f>
        <v/>
      </c>
      <c r="BH2866" s="1098"/>
    </row>
    <row r="2867" spans="53:60" x14ac:dyDescent="0.2">
      <c r="BA2867" s="518">
        <f t="shared" ca="1" si="145"/>
        <v>61</v>
      </c>
      <c r="BB2867" s="174">
        <f t="shared" ca="1" si="146"/>
        <v>2804</v>
      </c>
      <c r="BC2867" s="525" t="e">
        <f ca="1">MATCH(BD2867,OFFSET(Pinlist!$A$2,BC2866*(BA2867=BA2866),0,$BM$23,1),0)+BC2866*(BA2867=BA2866)</f>
        <v>#N/A</v>
      </c>
      <c r="BD2867" s="167">
        <f t="shared" ca="1" si="147"/>
        <v>0</v>
      </c>
      <c r="BE2867" s="191" t="e">
        <f ca="1">(OFFSET(Pinlist!$E$1,BC2867,0)-$BN$16)*$BN$19</f>
        <v>#N/A</v>
      </c>
      <c r="BF2867" s="192" t="e">
        <f ca="1">(OFFSET(Pinlist!$F$1,BC2867,0)-$BO$16)*$BO$19</f>
        <v>#N/A</v>
      </c>
      <c r="BG2867" s="1098" t="str">
        <f ca="1">IF(LEFT(BD2867,2)="RF",OFFSET(Pinlist!$D$1,Chart!BC2867,0)&amp;"_"&amp;OFFSET(Pinlist!$G$1,Chart!BC2867,0),"")</f>
        <v/>
      </c>
      <c r="BH2867" s="1098"/>
    </row>
    <row r="2868" spans="53:60" x14ac:dyDescent="0.2">
      <c r="BA2868" s="518">
        <f t="shared" ca="1" si="145"/>
        <v>61</v>
      </c>
      <c r="BB2868" s="174">
        <f t="shared" ca="1" si="146"/>
        <v>2805</v>
      </c>
      <c r="BC2868" s="525" t="e">
        <f ca="1">MATCH(BD2868,OFFSET(Pinlist!$A$2,BC2867*(BA2868=BA2867),0,$BM$23,1),0)+BC2867*(BA2868=BA2867)</f>
        <v>#N/A</v>
      </c>
      <c r="BD2868" s="167">
        <f t="shared" ca="1" si="147"/>
        <v>0</v>
      </c>
      <c r="BE2868" s="191" t="e">
        <f ca="1">(OFFSET(Pinlist!$E$1,BC2868,0)-$BN$16)*$BN$19</f>
        <v>#N/A</v>
      </c>
      <c r="BF2868" s="192" t="e">
        <f ca="1">(OFFSET(Pinlist!$F$1,BC2868,0)-$BO$16)*$BO$19</f>
        <v>#N/A</v>
      </c>
      <c r="BG2868" s="1098" t="str">
        <f ca="1">IF(LEFT(BD2868,2)="RF",OFFSET(Pinlist!$D$1,Chart!BC2868,0)&amp;"_"&amp;OFFSET(Pinlist!$G$1,Chart!BC2868,0),"")</f>
        <v/>
      </c>
      <c r="BH2868" s="1098"/>
    </row>
    <row r="2869" spans="53:60" x14ac:dyDescent="0.2">
      <c r="BA2869" s="518">
        <f t="shared" ca="1" si="145"/>
        <v>61</v>
      </c>
      <c r="BB2869" s="174">
        <f t="shared" ca="1" si="146"/>
        <v>2806</v>
      </c>
      <c r="BC2869" s="525" t="e">
        <f ca="1">MATCH(BD2869,OFFSET(Pinlist!$A$2,BC2868*(BA2869=BA2868),0,$BM$23,1),0)+BC2868*(BA2869=BA2868)</f>
        <v>#N/A</v>
      </c>
      <c r="BD2869" s="167">
        <f t="shared" ca="1" si="147"/>
        <v>0</v>
      </c>
      <c r="BE2869" s="191" t="e">
        <f ca="1">(OFFSET(Pinlist!$E$1,BC2869,0)-$BN$16)*$BN$19</f>
        <v>#N/A</v>
      </c>
      <c r="BF2869" s="192" t="e">
        <f ca="1">(OFFSET(Pinlist!$F$1,BC2869,0)-$BO$16)*$BO$19</f>
        <v>#N/A</v>
      </c>
      <c r="BG2869" s="1098" t="str">
        <f ca="1">IF(LEFT(BD2869,2)="RF",OFFSET(Pinlist!$D$1,Chart!BC2869,0)&amp;"_"&amp;OFFSET(Pinlist!$G$1,Chart!BC2869,0),"")</f>
        <v/>
      </c>
      <c r="BH2869" s="1098"/>
    </row>
    <row r="2870" spans="53:60" x14ac:dyDescent="0.2">
      <c r="BA2870" s="518">
        <f t="shared" ca="1" si="145"/>
        <v>61</v>
      </c>
      <c r="BB2870" s="174">
        <f t="shared" ca="1" si="146"/>
        <v>2807</v>
      </c>
      <c r="BC2870" s="525" t="e">
        <f ca="1">MATCH(BD2870,OFFSET(Pinlist!$A$2,BC2869*(BA2870=BA2869),0,$BM$23,1),0)+BC2869*(BA2870=BA2869)</f>
        <v>#N/A</v>
      </c>
      <c r="BD2870" s="167">
        <f t="shared" ca="1" si="147"/>
        <v>0</v>
      </c>
      <c r="BE2870" s="191" t="e">
        <f ca="1">(OFFSET(Pinlist!$E$1,BC2870,0)-$BN$16)*$BN$19</f>
        <v>#N/A</v>
      </c>
      <c r="BF2870" s="192" t="e">
        <f ca="1">(OFFSET(Pinlist!$F$1,BC2870,0)-$BO$16)*$BO$19</f>
        <v>#N/A</v>
      </c>
      <c r="BG2870" s="1098" t="str">
        <f ca="1">IF(LEFT(BD2870,2)="RF",OFFSET(Pinlist!$D$1,Chart!BC2870,0)&amp;"_"&amp;OFFSET(Pinlist!$G$1,Chart!BC2870,0),"")</f>
        <v/>
      </c>
      <c r="BH2870" s="1098"/>
    </row>
    <row r="2871" spans="53:60" x14ac:dyDescent="0.2">
      <c r="BA2871" s="518">
        <f t="shared" ca="1" si="145"/>
        <v>61</v>
      </c>
      <c r="BB2871" s="174">
        <f t="shared" ca="1" si="146"/>
        <v>2808</v>
      </c>
      <c r="BC2871" s="525" t="e">
        <f ca="1">MATCH(BD2871,OFFSET(Pinlist!$A$2,BC2870*(BA2871=BA2870),0,$BM$23,1),0)+BC2870*(BA2871=BA2870)</f>
        <v>#N/A</v>
      </c>
      <c r="BD2871" s="167">
        <f t="shared" ca="1" si="147"/>
        <v>0</v>
      </c>
      <c r="BE2871" s="191" t="e">
        <f ca="1">(OFFSET(Pinlist!$E$1,BC2871,0)-$BN$16)*$BN$19</f>
        <v>#N/A</v>
      </c>
      <c r="BF2871" s="192" t="e">
        <f ca="1">(OFFSET(Pinlist!$F$1,BC2871,0)-$BO$16)*$BO$19</f>
        <v>#N/A</v>
      </c>
      <c r="BG2871" s="1098" t="str">
        <f ca="1">IF(LEFT(BD2871,2)="RF",OFFSET(Pinlist!$D$1,Chart!BC2871,0)&amp;"_"&amp;OFFSET(Pinlist!$G$1,Chart!BC2871,0),"")</f>
        <v/>
      </c>
      <c r="BH2871" s="1098"/>
    </row>
    <row r="2872" spans="53:60" x14ac:dyDescent="0.2">
      <c r="BA2872" s="518">
        <f t="shared" ca="1" si="145"/>
        <v>61</v>
      </c>
      <c r="BB2872" s="174">
        <f t="shared" ca="1" si="146"/>
        <v>2809</v>
      </c>
      <c r="BC2872" s="525" t="e">
        <f ca="1">MATCH(BD2872,OFFSET(Pinlist!$A$2,BC2871*(BA2872=BA2871),0,$BM$23,1),0)+BC2871*(BA2872=BA2871)</f>
        <v>#N/A</v>
      </c>
      <c r="BD2872" s="167">
        <f t="shared" ca="1" si="147"/>
        <v>0</v>
      </c>
      <c r="BE2872" s="191" t="e">
        <f ca="1">(OFFSET(Pinlist!$E$1,BC2872,0)-$BN$16)*$BN$19</f>
        <v>#N/A</v>
      </c>
      <c r="BF2872" s="192" t="e">
        <f ca="1">(OFFSET(Pinlist!$F$1,BC2872,0)-$BO$16)*$BO$19</f>
        <v>#N/A</v>
      </c>
      <c r="BG2872" s="1098" t="str">
        <f ca="1">IF(LEFT(BD2872,2)="RF",OFFSET(Pinlist!$D$1,Chart!BC2872,0)&amp;"_"&amp;OFFSET(Pinlist!$G$1,Chart!BC2872,0),"")</f>
        <v/>
      </c>
      <c r="BH2872" s="1098"/>
    </row>
    <row r="2873" spans="53:60" x14ac:dyDescent="0.2">
      <c r="BA2873" s="518">
        <f t="shared" ca="1" si="145"/>
        <v>61</v>
      </c>
      <c r="BB2873" s="174">
        <f t="shared" ca="1" si="146"/>
        <v>2810</v>
      </c>
      <c r="BC2873" s="525" t="e">
        <f ca="1">MATCH(BD2873,OFFSET(Pinlist!$A$2,BC2872*(BA2873=BA2872),0,$BM$23,1),0)+BC2872*(BA2873=BA2872)</f>
        <v>#N/A</v>
      </c>
      <c r="BD2873" s="167">
        <f t="shared" ca="1" si="147"/>
        <v>0</v>
      </c>
      <c r="BE2873" s="191" t="e">
        <f ca="1">(OFFSET(Pinlist!$E$1,BC2873,0)-$BN$16)*$BN$19</f>
        <v>#N/A</v>
      </c>
      <c r="BF2873" s="192" t="e">
        <f ca="1">(OFFSET(Pinlist!$F$1,BC2873,0)-$BO$16)*$BO$19</f>
        <v>#N/A</v>
      </c>
      <c r="BG2873" s="1098" t="str">
        <f ca="1">IF(LEFT(BD2873,2)="RF",OFFSET(Pinlist!$D$1,Chart!BC2873,0)&amp;"_"&amp;OFFSET(Pinlist!$G$1,Chart!BC2873,0),"")</f>
        <v/>
      </c>
      <c r="BH2873" s="1098"/>
    </row>
    <row r="2874" spans="53:60" x14ac:dyDescent="0.2">
      <c r="BA2874" s="518">
        <f t="shared" ca="1" si="145"/>
        <v>61</v>
      </c>
      <c r="BB2874" s="174">
        <f t="shared" ca="1" si="146"/>
        <v>2811</v>
      </c>
      <c r="BC2874" s="525" t="e">
        <f ca="1">MATCH(BD2874,OFFSET(Pinlist!$A$2,BC2873*(BA2874=BA2873),0,$BM$23,1),0)+BC2873*(BA2874=BA2873)</f>
        <v>#N/A</v>
      </c>
      <c r="BD2874" s="167">
        <f t="shared" ca="1" si="147"/>
        <v>0</v>
      </c>
      <c r="BE2874" s="191" t="e">
        <f ca="1">(OFFSET(Pinlist!$E$1,BC2874,0)-$BN$16)*$BN$19</f>
        <v>#N/A</v>
      </c>
      <c r="BF2874" s="192" t="e">
        <f ca="1">(OFFSET(Pinlist!$F$1,BC2874,0)-$BO$16)*$BO$19</f>
        <v>#N/A</v>
      </c>
      <c r="BG2874" s="1098" t="str">
        <f ca="1">IF(LEFT(BD2874,2)="RF",OFFSET(Pinlist!$D$1,Chart!BC2874,0)&amp;"_"&amp;OFFSET(Pinlist!$G$1,Chart!BC2874,0),"")</f>
        <v/>
      </c>
      <c r="BH2874" s="1098"/>
    </row>
    <row r="2875" spans="53:60" x14ac:dyDescent="0.2">
      <c r="BA2875" s="518">
        <f t="shared" ca="1" si="145"/>
        <v>61</v>
      </c>
      <c r="BB2875" s="174">
        <f t="shared" ca="1" si="146"/>
        <v>2812</v>
      </c>
      <c r="BC2875" s="525" t="e">
        <f ca="1">MATCH(BD2875,OFFSET(Pinlist!$A$2,BC2874*(BA2875=BA2874),0,$BM$23,1),0)+BC2874*(BA2875=BA2874)</f>
        <v>#N/A</v>
      </c>
      <c r="BD2875" s="167">
        <f t="shared" ca="1" si="147"/>
        <v>0</v>
      </c>
      <c r="BE2875" s="191" t="e">
        <f ca="1">(OFFSET(Pinlist!$E$1,BC2875,0)-$BN$16)*$BN$19</f>
        <v>#N/A</v>
      </c>
      <c r="BF2875" s="192" t="e">
        <f ca="1">(OFFSET(Pinlist!$F$1,BC2875,0)-$BO$16)*$BO$19</f>
        <v>#N/A</v>
      </c>
      <c r="BG2875" s="1098" t="str">
        <f ca="1">IF(LEFT(BD2875,2)="RF",OFFSET(Pinlist!$D$1,Chart!BC2875,0)&amp;"_"&amp;OFFSET(Pinlist!$G$1,Chart!BC2875,0),"")</f>
        <v/>
      </c>
      <c r="BH2875" s="1098"/>
    </row>
    <row r="2876" spans="53:60" x14ac:dyDescent="0.2">
      <c r="BA2876" s="518">
        <f t="shared" ca="1" si="145"/>
        <v>61</v>
      </c>
      <c r="BB2876" s="174">
        <f t="shared" ca="1" si="146"/>
        <v>2813</v>
      </c>
      <c r="BC2876" s="525" t="e">
        <f ca="1">MATCH(BD2876,OFFSET(Pinlist!$A$2,BC2875*(BA2876=BA2875),0,$BM$23,1),0)+BC2875*(BA2876=BA2875)</f>
        <v>#N/A</v>
      </c>
      <c r="BD2876" s="167">
        <f t="shared" ca="1" si="147"/>
        <v>0</v>
      </c>
      <c r="BE2876" s="191" t="e">
        <f ca="1">(OFFSET(Pinlist!$E$1,BC2876,0)-$BN$16)*$BN$19</f>
        <v>#N/A</v>
      </c>
      <c r="BF2876" s="192" t="e">
        <f ca="1">(OFFSET(Pinlist!$F$1,BC2876,0)-$BO$16)*$BO$19</f>
        <v>#N/A</v>
      </c>
      <c r="BG2876" s="1098" t="str">
        <f ca="1">IF(LEFT(BD2876,2)="RF",OFFSET(Pinlist!$D$1,Chart!BC2876,0)&amp;"_"&amp;OFFSET(Pinlist!$G$1,Chart!BC2876,0),"")</f>
        <v/>
      </c>
      <c r="BH2876" s="1098"/>
    </row>
    <row r="2877" spans="53:60" x14ac:dyDescent="0.2">
      <c r="BA2877" s="518">
        <f t="shared" ca="1" si="145"/>
        <v>61</v>
      </c>
      <c r="BB2877" s="174">
        <f t="shared" ca="1" si="146"/>
        <v>2814</v>
      </c>
      <c r="BC2877" s="525" t="e">
        <f ca="1">MATCH(BD2877,OFFSET(Pinlist!$A$2,BC2876*(BA2877=BA2876),0,$BM$23,1),0)+BC2876*(BA2877=BA2876)</f>
        <v>#N/A</v>
      </c>
      <c r="BD2877" s="167">
        <f t="shared" ca="1" si="147"/>
        <v>0</v>
      </c>
      <c r="BE2877" s="191" t="e">
        <f ca="1">(OFFSET(Pinlist!$E$1,BC2877,0)-$BN$16)*$BN$19</f>
        <v>#N/A</v>
      </c>
      <c r="BF2877" s="192" t="e">
        <f ca="1">(OFFSET(Pinlist!$F$1,BC2877,0)-$BO$16)*$BO$19</f>
        <v>#N/A</v>
      </c>
      <c r="BG2877" s="1098" t="str">
        <f ca="1">IF(LEFT(BD2877,2)="RF",OFFSET(Pinlist!$D$1,Chart!BC2877,0)&amp;"_"&amp;OFFSET(Pinlist!$G$1,Chart!BC2877,0),"")</f>
        <v/>
      </c>
      <c r="BH2877" s="1098"/>
    </row>
    <row r="2878" spans="53:60" x14ac:dyDescent="0.2">
      <c r="BA2878" s="518">
        <f t="shared" ca="1" si="145"/>
        <v>61</v>
      </c>
      <c r="BB2878" s="174">
        <f t="shared" ca="1" si="146"/>
        <v>2815</v>
      </c>
      <c r="BC2878" s="525" t="e">
        <f ca="1">MATCH(BD2878,OFFSET(Pinlist!$A$2,BC2877*(BA2878=BA2877),0,$BM$23,1),0)+BC2877*(BA2878=BA2877)</f>
        <v>#N/A</v>
      </c>
      <c r="BD2878" s="167">
        <f t="shared" ca="1" si="147"/>
        <v>0</v>
      </c>
      <c r="BE2878" s="191" t="e">
        <f ca="1">(OFFSET(Pinlist!$E$1,BC2878,0)-$BN$16)*$BN$19</f>
        <v>#N/A</v>
      </c>
      <c r="BF2878" s="192" t="e">
        <f ca="1">(OFFSET(Pinlist!$F$1,BC2878,0)-$BO$16)*$BO$19</f>
        <v>#N/A</v>
      </c>
      <c r="BG2878" s="1098" t="str">
        <f ca="1">IF(LEFT(BD2878,2)="RF",OFFSET(Pinlist!$D$1,Chart!BC2878,0)&amp;"_"&amp;OFFSET(Pinlist!$G$1,Chart!BC2878,0),"")</f>
        <v/>
      </c>
      <c r="BH2878" s="1098"/>
    </row>
    <row r="2879" spans="53:60" x14ac:dyDescent="0.2">
      <c r="BA2879" s="518">
        <f t="shared" ca="1" si="145"/>
        <v>61</v>
      </c>
      <c r="BB2879" s="174">
        <f t="shared" ca="1" si="146"/>
        <v>2816</v>
      </c>
      <c r="BC2879" s="525" t="e">
        <f ca="1">MATCH(BD2879,OFFSET(Pinlist!$A$2,BC2878*(BA2879=BA2878),0,$BM$23,1),0)+BC2878*(BA2879=BA2878)</f>
        <v>#N/A</v>
      </c>
      <c r="BD2879" s="167">
        <f t="shared" ca="1" si="147"/>
        <v>0</v>
      </c>
      <c r="BE2879" s="191" t="e">
        <f ca="1">(OFFSET(Pinlist!$E$1,BC2879,0)-$BN$16)*$BN$19</f>
        <v>#N/A</v>
      </c>
      <c r="BF2879" s="192" t="e">
        <f ca="1">(OFFSET(Pinlist!$F$1,BC2879,0)-$BO$16)*$BO$19</f>
        <v>#N/A</v>
      </c>
      <c r="BG2879" s="1098" t="str">
        <f ca="1">IF(LEFT(BD2879,2)="RF",OFFSET(Pinlist!$D$1,Chart!BC2879,0)&amp;"_"&amp;OFFSET(Pinlist!$G$1,Chart!BC2879,0),"")</f>
        <v/>
      </c>
      <c r="BH2879" s="1098"/>
    </row>
    <row r="2880" spans="53:60" x14ac:dyDescent="0.2">
      <c r="BA2880" s="518">
        <f t="shared" ca="1" si="145"/>
        <v>61</v>
      </c>
      <c r="BB2880" s="174">
        <f t="shared" ca="1" si="146"/>
        <v>2817</v>
      </c>
      <c r="BC2880" s="525" t="e">
        <f ca="1">MATCH(BD2880,OFFSET(Pinlist!$A$2,BC2879*(BA2880=BA2879),0,$BM$23,1),0)+BC2879*(BA2880=BA2879)</f>
        <v>#N/A</v>
      </c>
      <c r="BD2880" s="167">
        <f t="shared" ca="1" si="147"/>
        <v>0</v>
      </c>
      <c r="BE2880" s="191" t="e">
        <f ca="1">(OFFSET(Pinlist!$E$1,BC2880,0)-$BN$16)*$BN$19</f>
        <v>#N/A</v>
      </c>
      <c r="BF2880" s="192" t="e">
        <f ca="1">(OFFSET(Pinlist!$F$1,BC2880,0)-$BO$16)*$BO$19</f>
        <v>#N/A</v>
      </c>
      <c r="BG2880" s="1098" t="str">
        <f ca="1">IF(LEFT(BD2880,2)="RF",OFFSET(Pinlist!$D$1,Chart!BC2880,0)&amp;"_"&amp;OFFSET(Pinlist!$G$1,Chart!BC2880,0),"")</f>
        <v/>
      </c>
      <c r="BH2880" s="1098"/>
    </row>
    <row r="2881" spans="53:60" x14ac:dyDescent="0.2">
      <c r="BA2881" s="518">
        <f t="shared" ca="1" si="145"/>
        <v>61</v>
      </c>
      <c r="BB2881" s="174">
        <f t="shared" ca="1" si="146"/>
        <v>2818</v>
      </c>
      <c r="BC2881" s="525" t="e">
        <f ca="1">MATCH(BD2881,OFFSET(Pinlist!$A$2,BC2880*(BA2881=BA2880),0,$BM$23,1),0)+BC2880*(BA2881=BA2880)</f>
        <v>#N/A</v>
      </c>
      <c r="BD2881" s="167">
        <f t="shared" ca="1" si="147"/>
        <v>0</v>
      </c>
      <c r="BE2881" s="191" t="e">
        <f ca="1">(OFFSET(Pinlist!$E$1,BC2881,0)-$BN$16)*$BN$19</f>
        <v>#N/A</v>
      </c>
      <c r="BF2881" s="192" t="e">
        <f ca="1">(OFFSET(Pinlist!$F$1,BC2881,0)-$BO$16)*$BO$19</f>
        <v>#N/A</v>
      </c>
      <c r="BG2881" s="1098" t="str">
        <f ca="1">IF(LEFT(BD2881,2)="RF",OFFSET(Pinlist!$D$1,Chart!BC2881,0)&amp;"_"&amp;OFFSET(Pinlist!$G$1,Chart!BC2881,0),"")</f>
        <v/>
      </c>
      <c r="BH2881" s="1098"/>
    </row>
    <row r="2882" spans="53:60" x14ac:dyDescent="0.2">
      <c r="BA2882" s="518">
        <f t="shared" ca="1" si="145"/>
        <v>61</v>
      </c>
      <c r="BB2882" s="174">
        <f t="shared" ca="1" si="146"/>
        <v>2819</v>
      </c>
      <c r="BC2882" s="525" t="e">
        <f ca="1">MATCH(BD2882,OFFSET(Pinlist!$A$2,BC2881*(BA2882=BA2881),0,$BM$23,1),0)+BC2881*(BA2882=BA2881)</f>
        <v>#N/A</v>
      </c>
      <c r="BD2882" s="167">
        <f t="shared" ca="1" si="147"/>
        <v>0</v>
      </c>
      <c r="BE2882" s="191" t="e">
        <f ca="1">(OFFSET(Pinlist!$E$1,BC2882,0)-$BN$16)*$BN$19</f>
        <v>#N/A</v>
      </c>
      <c r="BF2882" s="192" t="e">
        <f ca="1">(OFFSET(Pinlist!$F$1,BC2882,0)-$BO$16)*$BO$19</f>
        <v>#N/A</v>
      </c>
      <c r="BG2882" s="1098" t="str">
        <f ca="1">IF(LEFT(BD2882,2)="RF",OFFSET(Pinlist!$D$1,Chart!BC2882,0)&amp;"_"&amp;OFFSET(Pinlist!$G$1,Chart!BC2882,0),"")</f>
        <v/>
      </c>
      <c r="BH2882" s="1098"/>
    </row>
    <row r="2883" spans="53:60" x14ac:dyDescent="0.2">
      <c r="BA2883" s="518">
        <f t="shared" ca="1" si="145"/>
        <v>61</v>
      </c>
      <c r="BB2883" s="174">
        <f t="shared" ca="1" si="146"/>
        <v>2820</v>
      </c>
      <c r="BC2883" s="525" t="e">
        <f ca="1">MATCH(BD2883,OFFSET(Pinlist!$A$2,BC2882*(BA2883=BA2882),0,$BM$23,1),0)+BC2882*(BA2883=BA2882)</f>
        <v>#N/A</v>
      </c>
      <c r="BD2883" s="167">
        <f t="shared" ca="1" si="147"/>
        <v>0</v>
      </c>
      <c r="BE2883" s="191" t="e">
        <f ca="1">(OFFSET(Pinlist!$E$1,BC2883,0)-$BN$16)*$BN$19</f>
        <v>#N/A</v>
      </c>
      <c r="BF2883" s="192" t="e">
        <f ca="1">(OFFSET(Pinlist!$F$1,BC2883,0)-$BO$16)*$BO$19</f>
        <v>#N/A</v>
      </c>
      <c r="BG2883" s="1098" t="str">
        <f ca="1">IF(LEFT(BD2883,2)="RF",OFFSET(Pinlist!$D$1,Chart!BC2883,0)&amp;"_"&amp;OFFSET(Pinlist!$G$1,Chart!BC2883,0),"")</f>
        <v/>
      </c>
      <c r="BH2883" s="1098"/>
    </row>
    <row r="2884" spans="53:60" x14ac:dyDescent="0.2">
      <c r="BA2884" s="518">
        <f t="shared" ref="BA2884:BA2947" ca="1" si="148">BA2883+(BB2883=OFFSET($BZ$3,BA2883,0))</f>
        <v>61</v>
      </c>
      <c r="BB2884" s="174">
        <f t="shared" ref="BB2884:BB2947" ca="1" si="149">IF(BA2884=BA2883,BB2883+1,1)</f>
        <v>2821</v>
      </c>
      <c r="BC2884" s="525" t="e">
        <f ca="1">MATCH(BD2884,OFFSET(Pinlist!$A$2,BC2883*(BA2884=BA2883),0,$BM$23,1),0)+BC2883*(BA2884=BA2883)</f>
        <v>#N/A</v>
      </c>
      <c r="BD2884" s="167">
        <f t="shared" ref="BD2884:BD2947" ca="1" si="150">OFFSET($BY$3,BA2884,0)</f>
        <v>0</v>
      </c>
      <c r="BE2884" s="191" t="e">
        <f ca="1">(OFFSET(Pinlist!$E$1,BC2884,0)-$BN$16)*$BN$19</f>
        <v>#N/A</v>
      </c>
      <c r="BF2884" s="192" t="e">
        <f ca="1">(OFFSET(Pinlist!$F$1,BC2884,0)-$BO$16)*$BO$19</f>
        <v>#N/A</v>
      </c>
      <c r="BG2884" s="1098" t="str">
        <f ca="1">IF(LEFT(BD2884,2)="RF",OFFSET(Pinlist!$D$1,Chart!BC2884,0)&amp;"_"&amp;OFFSET(Pinlist!$G$1,Chart!BC2884,0),"")</f>
        <v/>
      </c>
      <c r="BH2884" s="1098"/>
    </row>
    <row r="2885" spans="53:60" x14ac:dyDescent="0.2">
      <c r="BA2885" s="518">
        <f t="shared" ca="1" si="148"/>
        <v>61</v>
      </c>
      <c r="BB2885" s="174">
        <f t="shared" ca="1" si="149"/>
        <v>2822</v>
      </c>
      <c r="BC2885" s="525" t="e">
        <f ca="1">MATCH(BD2885,OFFSET(Pinlist!$A$2,BC2884*(BA2885=BA2884),0,$BM$23,1),0)+BC2884*(BA2885=BA2884)</f>
        <v>#N/A</v>
      </c>
      <c r="BD2885" s="167">
        <f t="shared" ca="1" si="150"/>
        <v>0</v>
      </c>
      <c r="BE2885" s="191" t="e">
        <f ca="1">(OFFSET(Pinlist!$E$1,BC2885,0)-$BN$16)*$BN$19</f>
        <v>#N/A</v>
      </c>
      <c r="BF2885" s="192" t="e">
        <f ca="1">(OFFSET(Pinlist!$F$1,BC2885,0)-$BO$16)*$BO$19</f>
        <v>#N/A</v>
      </c>
      <c r="BG2885" s="1098" t="str">
        <f ca="1">IF(LEFT(BD2885,2)="RF",OFFSET(Pinlist!$D$1,Chart!BC2885,0)&amp;"_"&amp;OFFSET(Pinlist!$G$1,Chart!BC2885,0),"")</f>
        <v/>
      </c>
      <c r="BH2885" s="1098"/>
    </row>
    <row r="2886" spans="53:60" x14ac:dyDescent="0.2">
      <c r="BA2886" s="518">
        <f t="shared" ca="1" si="148"/>
        <v>61</v>
      </c>
      <c r="BB2886" s="174">
        <f t="shared" ca="1" si="149"/>
        <v>2823</v>
      </c>
      <c r="BC2886" s="525" t="e">
        <f ca="1">MATCH(BD2886,OFFSET(Pinlist!$A$2,BC2885*(BA2886=BA2885),0,$BM$23,1),0)+BC2885*(BA2886=BA2885)</f>
        <v>#N/A</v>
      </c>
      <c r="BD2886" s="167">
        <f t="shared" ca="1" si="150"/>
        <v>0</v>
      </c>
      <c r="BE2886" s="191" t="e">
        <f ca="1">(OFFSET(Pinlist!$E$1,BC2886,0)-$BN$16)*$BN$19</f>
        <v>#N/A</v>
      </c>
      <c r="BF2886" s="192" t="e">
        <f ca="1">(OFFSET(Pinlist!$F$1,BC2886,0)-$BO$16)*$BO$19</f>
        <v>#N/A</v>
      </c>
      <c r="BG2886" s="1098" t="str">
        <f ca="1">IF(LEFT(BD2886,2)="RF",OFFSET(Pinlist!$D$1,Chart!BC2886,0)&amp;"_"&amp;OFFSET(Pinlist!$G$1,Chart!BC2886,0),"")</f>
        <v/>
      </c>
      <c r="BH2886" s="1098"/>
    </row>
    <row r="2887" spans="53:60" x14ac:dyDescent="0.2">
      <c r="BA2887" s="518">
        <f t="shared" ca="1" si="148"/>
        <v>61</v>
      </c>
      <c r="BB2887" s="174">
        <f t="shared" ca="1" si="149"/>
        <v>2824</v>
      </c>
      <c r="BC2887" s="525" t="e">
        <f ca="1">MATCH(BD2887,OFFSET(Pinlist!$A$2,BC2886*(BA2887=BA2886),0,$BM$23,1),0)+BC2886*(BA2887=BA2886)</f>
        <v>#N/A</v>
      </c>
      <c r="BD2887" s="167">
        <f t="shared" ca="1" si="150"/>
        <v>0</v>
      </c>
      <c r="BE2887" s="191" t="e">
        <f ca="1">(OFFSET(Pinlist!$E$1,BC2887,0)-$BN$16)*$BN$19</f>
        <v>#N/A</v>
      </c>
      <c r="BF2887" s="192" t="e">
        <f ca="1">(OFFSET(Pinlist!$F$1,BC2887,0)-$BO$16)*$BO$19</f>
        <v>#N/A</v>
      </c>
      <c r="BG2887" s="1098" t="str">
        <f ca="1">IF(LEFT(BD2887,2)="RF",OFFSET(Pinlist!$D$1,Chart!BC2887,0)&amp;"_"&amp;OFFSET(Pinlist!$G$1,Chart!BC2887,0),"")</f>
        <v/>
      </c>
      <c r="BH2887" s="1098"/>
    </row>
    <row r="2888" spans="53:60" x14ac:dyDescent="0.2">
      <c r="BA2888" s="518">
        <f t="shared" ca="1" si="148"/>
        <v>61</v>
      </c>
      <c r="BB2888" s="174">
        <f t="shared" ca="1" si="149"/>
        <v>2825</v>
      </c>
      <c r="BC2888" s="525" t="e">
        <f ca="1">MATCH(BD2888,OFFSET(Pinlist!$A$2,BC2887*(BA2888=BA2887),0,$BM$23,1),0)+BC2887*(BA2888=BA2887)</f>
        <v>#N/A</v>
      </c>
      <c r="BD2888" s="167">
        <f t="shared" ca="1" si="150"/>
        <v>0</v>
      </c>
      <c r="BE2888" s="191" t="e">
        <f ca="1">(OFFSET(Pinlist!$E$1,BC2888,0)-$BN$16)*$BN$19</f>
        <v>#N/A</v>
      </c>
      <c r="BF2888" s="192" t="e">
        <f ca="1">(OFFSET(Pinlist!$F$1,BC2888,0)-$BO$16)*$BO$19</f>
        <v>#N/A</v>
      </c>
      <c r="BG2888" s="1098" t="str">
        <f ca="1">IF(LEFT(BD2888,2)="RF",OFFSET(Pinlist!$D$1,Chart!BC2888,0)&amp;"_"&amp;OFFSET(Pinlist!$G$1,Chart!BC2888,0),"")</f>
        <v/>
      </c>
      <c r="BH2888" s="1098"/>
    </row>
    <row r="2889" spans="53:60" x14ac:dyDescent="0.2">
      <c r="BA2889" s="518">
        <f t="shared" ca="1" si="148"/>
        <v>61</v>
      </c>
      <c r="BB2889" s="174">
        <f t="shared" ca="1" si="149"/>
        <v>2826</v>
      </c>
      <c r="BC2889" s="525" t="e">
        <f ca="1">MATCH(BD2889,OFFSET(Pinlist!$A$2,BC2888*(BA2889=BA2888),0,$BM$23,1),0)+BC2888*(BA2889=BA2888)</f>
        <v>#N/A</v>
      </c>
      <c r="BD2889" s="167">
        <f t="shared" ca="1" si="150"/>
        <v>0</v>
      </c>
      <c r="BE2889" s="191" t="e">
        <f ca="1">(OFFSET(Pinlist!$E$1,BC2889,0)-$BN$16)*$BN$19</f>
        <v>#N/A</v>
      </c>
      <c r="BF2889" s="192" t="e">
        <f ca="1">(OFFSET(Pinlist!$F$1,BC2889,0)-$BO$16)*$BO$19</f>
        <v>#N/A</v>
      </c>
      <c r="BG2889" s="1098" t="str">
        <f ca="1">IF(LEFT(BD2889,2)="RF",OFFSET(Pinlist!$D$1,Chart!BC2889,0)&amp;"_"&amp;OFFSET(Pinlist!$G$1,Chart!BC2889,0),"")</f>
        <v/>
      </c>
      <c r="BH2889" s="1098"/>
    </row>
    <row r="2890" spans="53:60" x14ac:dyDescent="0.2">
      <c r="BA2890" s="518">
        <f t="shared" ca="1" si="148"/>
        <v>61</v>
      </c>
      <c r="BB2890" s="174">
        <f t="shared" ca="1" si="149"/>
        <v>2827</v>
      </c>
      <c r="BC2890" s="525" t="e">
        <f ca="1">MATCH(BD2890,OFFSET(Pinlist!$A$2,BC2889*(BA2890=BA2889),0,$BM$23,1),0)+BC2889*(BA2890=BA2889)</f>
        <v>#N/A</v>
      </c>
      <c r="BD2890" s="167">
        <f t="shared" ca="1" si="150"/>
        <v>0</v>
      </c>
      <c r="BE2890" s="191" t="e">
        <f ca="1">(OFFSET(Pinlist!$E$1,BC2890,0)-$BN$16)*$BN$19</f>
        <v>#N/A</v>
      </c>
      <c r="BF2890" s="192" t="e">
        <f ca="1">(OFFSET(Pinlist!$F$1,BC2890,0)-$BO$16)*$BO$19</f>
        <v>#N/A</v>
      </c>
      <c r="BG2890" s="1098" t="str">
        <f ca="1">IF(LEFT(BD2890,2)="RF",OFFSET(Pinlist!$D$1,Chart!BC2890,0)&amp;"_"&amp;OFFSET(Pinlist!$G$1,Chart!BC2890,0),"")</f>
        <v/>
      </c>
      <c r="BH2890" s="1098"/>
    </row>
    <row r="2891" spans="53:60" x14ac:dyDescent="0.2">
      <c r="BA2891" s="518">
        <f t="shared" ca="1" si="148"/>
        <v>61</v>
      </c>
      <c r="BB2891" s="174">
        <f t="shared" ca="1" si="149"/>
        <v>2828</v>
      </c>
      <c r="BC2891" s="525" t="e">
        <f ca="1">MATCH(BD2891,OFFSET(Pinlist!$A$2,BC2890*(BA2891=BA2890),0,$BM$23,1),0)+BC2890*(BA2891=BA2890)</f>
        <v>#N/A</v>
      </c>
      <c r="BD2891" s="167">
        <f t="shared" ca="1" si="150"/>
        <v>0</v>
      </c>
      <c r="BE2891" s="191" t="e">
        <f ca="1">(OFFSET(Pinlist!$E$1,BC2891,0)-$BN$16)*$BN$19</f>
        <v>#N/A</v>
      </c>
      <c r="BF2891" s="192" t="e">
        <f ca="1">(OFFSET(Pinlist!$F$1,BC2891,0)-$BO$16)*$BO$19</f>
        <v>#N/A</v>
      </c>
      <c r="BG2891" s="1098" t="str">
        <f ca="1">IF(LEFT(BD2891,2)="RF",OFFSET(Pinlist!$D$1,Chart!BC2891,0)&amp;"_"&amp;OFFSET(Pinlist!$G$1,Chart!BC2891,0),"")</f>
        <v/>
      </c>
      <c r="BH2891" s="1098"/>
    </row>
    <row r="2892" spans="53:60" x14ac:dyDescent="0.2">
      <c r="BA2892" s="518">
        <f t="shared" ca="1" si="148"/>
        <v>61</v>
      </c>
      <c r="BB2892" s="174">
        <f t="shared" ca="1" si="149"/>
        <v>2829</v>
      </c>
      <c r="BC2892" s="525" t="e">
        <f ca="1">MATCH(BD2892,OFFSET(Pinlist!$A$2,BC2891*(BA2892=BA2891),0,$BM$23,1),0)+BC2891*(BA2892=BA2891)</f>
        <v>#N/A</v>
      </c>
      <c r="BD2892" s="167">
        <f t="shared" ca="1" si="150"/>
        <v>0</v>
      </c>
      <c r="BE2892" s="191" t="e">
        <f ca="1">(OFFSET(Pinlist!$E$1,BC2892,0)-$BN$16)*$BN$19</f>
        <v>#N/A</v>
      </c>
      <c r="BF2892" s="192" t="e">
        <f ca="1">(OFFSET(Pinlist!$F$1,BC2892,0)-$BO$16)*$BO$19</f>
        <v>#N/A</v>
      </c>
      <c r="BG2892" s="1098" t="str">
        <f ca="1">IF(LEFT(BD2892,2)="RF",OFFSET(Pinlist!$D$1,Chart!BC2892,0)&amp;"_"&amp;OFFSET(Pinlist!$G$1,Chart!BC2892,0),"")</f>
        <v/>
      </c>
      <c r="BH2892" s="1098"/>
    </row>
    <row r="2893" spans="53:60" x14ac:dyDescent="0.2">
      <c r="BA2893" s="518">
        <f t="shared" ca="1" si="148"/>
        <v>61</v>
      </c>
      <c r="BB2893" s="174">
        <f t="shared" ca="1" si="149"/>
        <v>2830</v>
      </c>
      <c r="BC2893" s="525" t="e">
        <f ca="1">MATCH(BD2893,OFFSET(Pinlist!$A$2,BC2892*(BA2893=BA2892),0,$BM$23,1),0)+BC2892*(BA2893=BA2892)</f>
        <v>#N/A</v>
      </c>
      <c r="BD2893" s="167">
        <f t="shared" ca="1" si="150"/>
        <v>0</v>
      </c>
      <c r="BE2893" s="191" t="e">
        <f ca="1">(OFFSET(Pinlist!$E$1,BC2893,0)-$BN$16)*$BN$19</f>
        <v>#N/A</v>
      </c>
      <c r="BF2893" s="192" t="e">
        <f ca="1">(OFFSET(Pinlist!$F$1,BC2893,0)-$BO$16)*$BO$19</f>
        <v>#N/A</v>
      </c>
      <c r="BG2893" s="1098" t="str">
        <f ca="1">IF(LEFT(BD2893,2)="RF",OFFSET(Pinlist!$D$1,Chart!BC2893,0)&amp;"_"&amp;OFFSET(Pinlist!$G$1,Chart!BC2893,0),"")</f>
        <v/>
      </c>
      <c r="BH2893" s="1098"/>
    </row>
    <row r="2894" spans="53:60" x14ac:dyDescent="0.2">
      <c r="BA2894" s="518">
        <f t="shared" ca="1" si="148"/>
        <v>61</v>
      </c>
      <c r="BB2894" s="174">
        <f t="shared" ca="1" si="149"/>
        <v>2831</v>
      </c>
      <c r="BC2894" s="525" t="e">
        <f ca="1">MATCH(BD2894,OFFSET(Pinlist!$A$2,BC2893*(BA2894=BA2893),0,$BM$23,1),0)+BC2893*(BA2894=BA2893)</f>
        <v>#N/A</v>
      </c>
      <c r="BD2894" s="167">
        <f t="shared" ca="1" si="150"/>
        <v>0</v>
      </c>
      <c r="BE2894" s="191" t="e">
        <f ca="1">(OFFSET(Pinlist!$E$1,BC2894,0)-$BN$16)*$BN$19</f>
        <v>#N/A</v>
      </c>
      <c r="BF2894" s="192" t="e">
        <f ca="1">(OFFSET(Pinlist!$F$1,BC2894,0)-$BO$16)*$BO$19</f>
        <v>#N/A</v>
      </c>
      <c r="BG2894" s="1098" t="str">
        <f ca="1">IF(LEFT(BD2894,2)="RF",OFFSET(Pinlist!$D$1,Chart!BC2894,0)&amp;"_"&amp;OFFSET(Pinlist!$G$1,Chart!BC2894,0),"")</f>
        <v/>
      </c>
      <c r="BH2894" s="1098"/>
    </row>
    <row r="2895" spans="53:60" x14ac:dyDescent="0.2">
      <c r="BA2895" s="518">
        <f t="shared" ca="1" si="148"/>
        <v>61</v>
      </c>
      <c r="BB2895" s="174">
        <f t="shared" ca="1" si="149"/>
        <v>2832</v>
      </c>
      <c r="BC2895" s="525" t="e">
        <f ca="1">MATCH(BD2895,OFFSET(Pinlist!$A$2,BC2894*(BA2895=BA2894),0,$BM$23,1),0)+BC2894*(BA2895=BA2894)</f>
        <v>#N/A</v>
      </c>
      <c r="BD2895" s="167">
        <f t="shared" ca="1" si="150"/>
        <v>0</v>
      </c>
      <c r="BE2895" s="191" t="e">
        <f ca="1">(OFFSET(Pinlist!$E$1,BC2895,0)-$BN$16)*$BN$19</f>
        <v>#N/A</v>
      </c>
      <c r="BF2895" s="192" t="e">
        <f ca="1">(OFFSET(Pinlist!$F$1,BC2895,0)-$BO$16)*$BO$19</f>
        <v>#N/A</v>
      </c>
      <c r="BG2895" s="1098" t="str">
        <f ca="1">IF(LEFT(BD2895,2)="RF",OFFSET(Pinlist!$D$1,Chart!BC2895,0)&amp;"_"&amp;OFFSET(Pinlist!$G$1,Chart!BC2895,0),"")</f>
        <v/>
      </c>
      <c r="BH2895" s="1098"/>
    </row>
    <row r="2896" spans="53:60" x14ac:dyDescent="0.2">
      <c r="BA2896" s="518">
        <f t="shared" ca="1" si="148"/>
        <v>61</v>
      </c>
      <c r="BB2896" s="174">
        <f t="shared" ca="1" si="149"/>
        <v>2833</v>
      </c>
      <c r="BC2896" s="525" t="e">
        <f ca="1">MATCH(BD2896,OFFSET(Pinlist!$A$2,BC2895*(BA2896=BA2895),0,$BM$23,1),0)+BC2895*(BA2896=BA2895)</f>
        <v>#N/A</v>
      </c>
      <c r="BD2896" s="167">
        <f t="shared" ca="1" si="150"/>
        <v>0</v>
      </c>
      <c r="BE2896" s="191" t="e">
        <f ca="1">(OFFSET(Pinlist!$E$1,BC2896,0)-$BN$16)*$BN$19</f>
        <v>#N/A</v>
      </c>
      <c r="BF2896" s="192" t="e">
        <f ca="1">(OFFSET(Pinlist!$F$1,BC2896,0)-$BO$16)*$BO$19</f>
        <v>#N/A</v>
      </c>
      <c r="BG2896" s="1098" t="str">
        <f ca="1">IF(LEFT(BD2896,2)="RF",OFFSET(Pinlist!$D$1,Chart!BC2896,0)&amp;"_"&amp;OFFSET(Pinlist!$G$1,Chart!BC2896,0),"")</f>
        <v/>
      </c>
      <c r="BH2896" s="1098"/>
    </row>
    <row r="2897" spans="53:60" x14ac:dyDescent="0.2">
      <c r="BA2897" s="518">
        <f t="shared" ca="1" si="148"/>
        <v>61</v>
      </c>
      <c r="BB2897" s="174">
        <f t="shared" ca="1" si="149"/>
        <v>2834</v>
      </c>
      <c r="BC2897" s="525" t="e">
        <f ca="1">MATCH(BD2897,OFFSET(Pinlist!$A$2,BC2896*(BA2897=BA2896),0,$BM$23,1),0)+BC2896*(BA2897=BA2896)</f>
        <v>#N/A</v>
      </c>
      <c r="BD2897" s="167">
        <f t="shared" ca="1" si="150"/>
        <v>0</v>
      </c>
      <c r="BE2897" s="191" t="e">
        <f ca="1">(OFFSET(Pinlist!$E$1,BC2897,0)-$BN$16)*$BN$19</f>
        <v>#N/A</v>
      </c>
      <c r="BF2897" s="192" t="e">
        <f ca="1">(OFFSET(Pinlist!$F$1,BC2897,0)-$BO$16)*$BO$19</f>
        <v>#N/A</v>
      </c>
      <c r="BG2897" s="1098" t="str">
        <f ca="1">IF(LEFT(BD2897,2)="RF",OFFSET(Pinlist!$D$1,Chart!BC2897,0)&amp;"_"&amp;OFFSET(Pinlist!$G$1,Chart!BC2897,0),"")</f>
        <v/>
      </c>
      <c r="BH2897" s="1098"/>
    </row>
    <row r="2898" spans="53:60" x14ac:dyDescent="0.2">
      <c r="BA2898" s="518">
        <f t="shared" ca="1" si="148"/>
        <v>61</v>
      </c>
      <c r="BB2898" s="174">
        <f t="shared" ca="1" si="149"/>
        <v>2835</v>
      </c>
      <c r="BC2898" s="525" t="e">
        <f ca="1">MATCH(BD2898,OFFSET(Pinlist!$A$2,BC2897*(BA2898=BA2897),0,$BM$23,1),0)+BC2897*(BA2898=BA2897)</f>
        <v>#N/A</v>
      </c>
      <c r="BD2898" s="167">
        <f t="shared" ca="1" si="150"/>
        <v>0</v>
      </c>
      <c r="BE2898" s="191" t="e">
        <f ca="1">(OFFSET(Pinlist!$E$1,BC2898,0)-$BN$16)*$BN$19</f>
        <v>#N/A</v>
      </c>
      <c r="BF2898" s="192" t="e">
        <f ca="1">(OFFSET(Pinlist!$F$1,BC2898,0)-$BO$16)*$BO$19</f>
        <v>#N/A</v>
      </c>
      <c r="BG2898" s="1098" t="str">
        <f ca="1">IF(LEFT(BD2898,2)="RF",OFFSET(Pinlist!$D$1,Chart!BC2898,0)&amp;"_"&amp;OFFSET(Pinlist!$G$1,Chart!BC2898,0),"")</f>
        <v/>
      </c>
      <c r="BH2898" s="1098"/>
    </row>
    <row r="2899" spans="53:60" x14ac:dyDescent="0.2">
      <c r="BA2899" s="518">
        <f t="shared" ca="1" si="148"/>
        <v>61</v>
      </c>
      <c r="BB2899" s="174">
        <f t="shared" ca="1" si="149"/>
        <v>2836</v>
      </c>
      <c r="BC2899" s="525" t="e">
        <f ca="1">MATCH(BD2899,OFFSET(Pinlist!$A$2,BC2898*(BA2899=BA2898),0,$BM$23,1),0)+BC2898*(BA2899=BA2898)</f>
        <v>#N/A</v>
      </c>
      <c r="BD2899" s="167">
        <f t="shared" ca="1" si="150"/>
        <v>0</v>
      </c>
      <c r="BE2899" s="191" t="e">
        <f ca="1">(OFFSET(Pinlist!$E$1,BC2899,0)-$BN$16)*$BN$19</f>
        <v>#N/A</v>
      </c>
      <c r="BF2899" s="192" t="e">
        <f ca="1">(OFFSET(Pinlist!$F$1,BC2899,0)-$BO$16)*$BO$19</f>
        <v>#N/A</v>
      </c>
      <c r="BG2899" s="1098" t="str">
        <f ca="1">IF(LEFT(BD2899,2)="RF",OFFSET(Pinlist!$D$1,Chart!BC2899,0)&amp;"_"&amp;OFFSET(Pinlist!$G$1,Chart!BC2899,0),"")</f>
        <v/>
      </c>
      <c r="BH2899" s="1098"/>
    </row>
    <row r="2900" spans="53:60" x14ac:dyDescent="0.2">
      <c r="BA2900" s="518">
        <f t="shared" ca="1" si="148"/>
        <v>61</v>
      </c>
      <c r="BB2900" s="174">
        <f t="shared" ca="1" si="149"/>
        <v>2837</v>
      </c>
      <c r="BC2900" s="525" t="e">
        <f ca="1">MATCH(BD2900,OFFSET(Pinlist!$A$2,BC2899*(BA2900=BA2899),0,$BM$23,1),0)+BC2899*(BA2900=BA2899)</f>
        <v>#N/A</v>
      </c>
      <c r="BD2900" s="167">
        <f t="shared" ca="1" si="150"/>
        <v>0</v>
      </c>
      <c r="BE2900" s="191" t="e">
        <f ca="1">(OFFSET(Pinlist!$E$1,BC2900,0)-$BN$16)*$BN$19</f>
        <v>#N/A</v>
      </c>
      <c r="BF2900" s="192" t="e">
        <f ca="1">(OFFSET(Pinlist!$F$1,BC2900,0)-$BO$16)*$BO$19</f>
        <v>#N/A</v>
      </c>
      <c r="BG2900" s="1098" t="str">
        <f ca="1">IF(LEFT(BD2900,2)="RF",OFFSET(Pinlist!$D$1,Chart!BC2900,0)&amp;"_"&amp;OFFSET(Pinlist!$G$1,Chart!BC2900,0),"")</f>
        <v/>
      </c>
      <c r="BH2900" s="1098"/>
    </row>
    <row r="2901" spans="53:60" x14ac:dyDescent="0.2">
      <c r="BA2901" s="518">
        <f t="shared" ca="1" si="148"/>
        <v>61</v>
      </c>
      <c r="BB2901" s="174">
        <f t="shared" ca="1" si="149"/>
        <v>2838</v>
      </c>
      <c r="BC2901" s="525" t="e">
        <f ca="1">MATCH(BD2901,OFFSET(Pinlist!$A$2,BC2900*(BA2901=BA2900),0,$BM$23,1),0)+BC2900*(BA2901=BA2900)</f>
        <v>#N/A</v>
      </c>
      <c r="BD2901" s="167">
        <f t="shared" ca="1" si="150"/>
        <v>0</v>
      </c>
      <c r="BE2901" s="191" t="e">
        <f ca="1">(OFFSET(Pinlist!$E$1,BC2901,0)-$BN$16)*$BN$19</f>
        <v>#N/A</v>
      </c>
      <c r="BF2901" s="192" t="e">
        <f ca="1">(OFFSET(Pinlist!$F$1,BC2901,0)-$BO$16)*$BO$19</f>
        <v>#N/A</v>
      </c>
      <c r="BG2901" s="1098" t="str">
        <f ca="1">IF(LEFT(BD2901,2)="RF",OFFSET(Pinlist!$D$1,Chart!BC2901,0)&amp;"_"&amp;OFFSET(Pinlist!$G$1,Chart!BC2901,0),"")</f>
        <v/>
      </c>
      <c r="BH2901" s="1098"/>
    </row>
    <row r="2902" spans="53:60" x14ac:dyDescent="0.2">
      <c r="BA2902" s="518">
        <f t="shared" ca="1" si="148"/>
        <v>61</v>
      </c>
      <c r="BB2902" s="174">
        <f t="shared" ca="1" si="149"/>
        <v>2839</v>
      </c>
      <c r="BC2902" s="525" t="e">
        <f ca="1">MATCH(BD2902,OFFSET(Pinlist!$A$2,BC2901*(BA2902=BA2901),0,$BM$23,1),0)+BC2901*(BA2902=BA2901)</f>
        <v>#N/A</v>
      </c>
      <c r="BD2902" s="167">
        <f t="shared" ca="1" si="150"/>
        <v>0</v>
      </c>
      <c r="BE2902" s="191" t="e">
        <f ca="1">(OFFSET(Pinlist!$E$1,BC2902,0)-$BN$16)*$BN$19</f>
        <v>#N/A</v>
      </c>
      <c r="BF2902" s="192" t="e">
        <f ca="1">(OFFSET(Pinlist!$F$1,BC2902,0)-$BO$16)*$BO$19</f>
        <v>#N/A</v>
      </c>
      <c r="BG2902" s="1098" t="str">
        <f ca="1">IF(LEFT(BD2902,2)="RF",OFFSET(Pinlist!$D$1,Chart!BC2902,0)&amp;"_"&amp;OFFSET(Pinlist!$G$1,Chart!BC2902,0),"")</f>
        <v/>
      </c>
      <c r="BH2902" s="1098"/>
    </row>
    <row r="2903" spans="53:60" x14ac:dyDescent="0.2">
      <c r="BA2903" s="518">
        <f t="shared" ca="1" si="148"/>
        <v>61</v>
      </c>
      <c r="BB2903" s="174">
        <f t="shared" ca="1" si="149"/>
        <v>2840</v>
      </c>
      <c r="BC2903" s="525" t="e">
        <f ca="1">MATCH(BD2903,OFFSET(Pinlist!$A$2,BC2902*(BA2903=BA2902),0,$BM$23,1),0)+BC2902*(BA2903=BA2902)</f>
        <v>#N/A</v>
      </c>
      <c r="BD2903" s="167">
        <f t="shared" ca="1" si="150"/>
        <v>0</v>
      </c>
      <c r="BE2903" s="191" t="e">
        <f ca="1">(OFFSET(Pinlist!$E$1,BC2903,0)-$BN$16)*$BN$19</f>
        <v>#N/A</v>
      </c>
      <c r="BF2903" s="192" t="e">
        <f ca="1">(OFFSET(Pinlist!$F$1,BC2903,0)-$BO$16)*$BO$19</f>
        <v>#N/A</v>
      </c>
      <c r="BG2903" s="1098" t="str">
        <f ca="1">IF(LEFT(BD2903,2)="RF",OFFSET(Pinlist!$D$1,Chart!BC2903,0)&amp;"_"&amp;OFFSET(Pinlist!$G$1,Chart!BC2903,0),"")</f>
        <v/>
      </c>
      <c r="BH2903" s="1098"/>
    </row>
    <row r="2904" spans="53:60" x14ac:dyDescent="0.2">
      <c r="BA2904" s="518">
        <f t="shared" ca="1" si="148"/>
        <v>61</v>
      </c>
      <c r="BB2904" s="174">
        <f t="shared" ca="1" si="149"/>
        <v>2841</v>
      </c>
      <c r="BC2904" s="525" t="e">
        <f ca="1">MATCH(BD2904,OFFSET(Pinlist!$A$2,BC2903*(BA2904=BA2903),0,$BM$23,1),0)+BC2903*(BA2904=BA2903)</f>
        <v>#N/A</v>
      </c>
      <c r="BD2904" s="167">
        <f t="shared" ca="1" si="150"/>
        <v>0</v>
      </c>
      <c r="BE2904" s="191" t="e">
        <f ca="1">(OFFSET(Pinlist!$E$1,BC2904,0)-$BN$16)*$BN$19</f>
        <v>#N/A</v>
      </c>
      <c r="BF2904" s="192" t="e">
        <f ca="1">(OFFSET(Pinlist!$F$1,BC2904,0)-$BO$16)*$BO$19</f>
        <v>#N/A</v>
      </c>
      <c r="BG2904" s="1098" t="str">
        <f ca="1">IF(LEFT(BD2904,2)="RF",OFFSET(Pinlist!$D$1,Chart!BC2904,0)&amp;"_"&amp;OFFSET(Pinlist!$G$1,Chart!BC2904,0),"")</f>
        <v/>
      </c>
      <c r="BH2904" s="1098"/>
    </row>
    <row r="2905" spans="53:60" x14ac:dyDescent="0.2">
      <c r="BA2905" s="518">
        <f t="shared" ca="1" si="148"/>
        <v>61</v>
      </c>
      <c r="BB2905" s="174">
        <f t="shared" ca="1" si="149"/>
        <v>2842</v>
      </c>
      <c r="BC2905" s="525" t="e">
        <f ca="1">MATCH(BD2905,OFFSET(Pinlist!$A$2,BC2904*(BA2905=BA2904),0,$BM$23,1),0)+BC2904*(BA2905=BA2904)</f>
        <v>#N/A</v>
      </c>
      <c r="BD2905" s="167">
        <f t="shared" ca="1" si="150"/>
        <v>0</v>
      </c>
      <c r="BE2905" s="191" t="e">
        <f ca="1">(OFFSET(Pinlist!$E$1,BC2905,0)-$BN$16)*$BN$19</f>
        <v>#N/A</v>
      </c>
      <c r="BF2905" s="192" t="e">
        <f ca="1">(OFFSET(Pinlist!$F$1,BC2905,0)-$BO$16)*$BO$19</f>
        <v>#N/A</v>
      </c>
      <c r="BG2905" s="1098" t="str">
        <f ca="1">IF(LEFT(BD2905,2)="RF",OFFSET(Pinlist!$D$1,Chart!BC2905,0)&amp;"_"&amp;OFFSET(Pinlist!$G$1,Chart!BC2905,0),"")</f>
        <v/>
      </c>
      <c r="BH2905" s="1098"/>
    </row>
    <row r="2906" spans="53:60" x14ac:dyDescent="0.2">
      <c r="BA2906" s="518">
        <f t="shared" ca="1" si="148"/>
        <v>61</v>
      </c>
      <c r="BB2906" s="174">
        <f t="shared" ca="1" si="149"/>
        <v>2843</v>
      </c>
      <c r="BC2906" s="525" t="e">
        <f ca="1">MATCH(BD2906,OFFSET(Pinlist!$A$2,BC2905*(BA2906=BA2905),0,$BM$23,1),0)+BC2905*(BA2906=BA2905)</f>
        <v>#N/A</v>
      </c>
      <c r="BD2906" s="167">
        <f t="shared" ca="1" si="150"/>
        <v>0</v>
      </c>
      <c r="BE2906" s="191" t="e">
        <f ca="1">(OFFSET(Pinlist!$E$1,BC2906,0)-$BN$16)*$BN$19</f>
        <v>#N/A</v>
      </c>
      <c r="BF2906" s="192" t="e">
        <f ca="1">(OFFSET(Pinlist!$F$1,BC2906,0)-$BO$16)*$BO$19</f>
        <v>#N/A</v>
      </c>
      <c r="BG2906" s="1098" t="str">
        <f ca="1">IF(LEFT(BD2906,2)="RF",OFFSET(Pinlist!$D$1,Chart!BC2906,0)&amp;"_"&amp;OFFSET(Pinlist!$G$1,Chart!BC2906,0),"")</f>
        <v/>
      </c>
      <c r="BH2906" s="1098"/>
    </row>
    <row r="2907" spans="53:60" x14ac:dyDescent="0.2">
      <c r="BA2907" s="518">
        <f t="shared" ca="1" si="148"/>
        <v>61</v>
      </c>
      <c r="BB2907" s="174">
        <f t="shared" ca="1" si="149"/>
        <v>2844</v>
      </c>
      <c r="BC2907" s="525" t="e">
        <f ca="1">MATCH(BD2907,OFFSET(Pinlist!$A$2,BC2906*(BA2907=BA2906),0,$BM$23,1),0)+BC2906*(BA2907=BA2906)</f>
        <v>#N/A</v>
      </c>
      <c r="BD2907" s="167">
        <f t="shared" ca="1" si="150"/>
        <v>0</v>
      </c>
      <c r="BE2907" s="191" t="e">
        <f ca="1">(OFFSET(Pinlist!$E$1,BC2907,0)-$BN$16)*$BN$19</f>
        <v>#N/A</v>
      </c>
      <c r="BF2907" s="192" t="e">
        <f ca="1">(OFFSET(Pinlist!$F$1,BC2907,0)-$BO$16)*$BO$19</f>
        <v>#N/A</v>
      </c>
      <c r="BG2907" s="1098" t="str">
        <f ca="1">IF(LEFT(BD2907,2)="RF",OFFSET(Pinlist!$D$1,Chart!BC2907,0)&amp;"_"&amp;OFFSET(Pinlist!$G$1,Chart!BC2907,0),"")</f>
        <v/>
      </c>
      <c r="BH2907" s="1098"/>
    </row>
    <row r="2908" spans="53:60" x14ac:dyDescent="0.2">
      <c r="BA2908" s="518">
        <f t="shared" ca="1" si="148"/>
        <v>61</v>
      </c>
      <c r="BB2908" s="174">
        <f t="shared" ca="1" si="149"/>
        <v>2845</v>
      </c>
      <c r="BC2908" s="525" t="e">
        <f ca="1">MATCH(BD2908,OFFSET(Pinlist!$A$2,BC2907*(BA2908=BA2907),0,$BM$23,1),0)+BC2907*(BA2908=BA2907)</f>
        <v>#N/A</v>
      </c>
      <c r="BD2908" s="167">
        <f t="shared" ca="1" si="150"/>
        <v>0</v>
      </c>
      <c r="BE2908" s="191" t="e">
        <f ca="1">(OFFSET(Pinlist!$E$1,BC2908,0)-$BN$16)*$BN$19</f>
        <v>#N/A</v>
      </c>
      <c r="BF2908" s="192" t="e">
        <f ca="1">(OFFSET(Pinlist!$F$1,BC2908,0)-$BO$16)*$BO$19</f>
        <v>#N/A</v>
      </c>
      <c r="BG2908" s="1098" t="str">
        <f ca="1">IF(LEFT(BD2908,2)="RF",OFFSET(Pinlist!$D$1,Chart!BC2908,0)&amp;"_"&amp;OFFSET(Pinlist!$G$1,Chart!BC2908,0),"")</f>
        <v/>
      </c>
      <c r="BH2908" s="1098"/>
    </row>
    <row r="2909" spans="53:60" x14ac:dyDescent="0.2">
      <c r="BA2909" s="518">
        <f t="shared" ca="1" si="148"/>
        <v>61</v>
      </c>
      <c r="BB2909" s="174">
        <f t="shared" ca="1" si="149"/>
        <v>2846</v>
      </c>
      <c r="BC2909" s="525" t="e">
        <f ca="1">MATCH(BD2909,OFFSET(Pinlist!$A$2,BC2908*(BA2909=BA2908),0,$BM$23,1),0)+BC2908*(BA2909=BA2908)</f>
        <v>#N/A</v>
      </c>
      <c r="BD2909" s="167">
        <f t="shared" ca="1" si="150"/>
        <v>0</v>
      </c>
      <c r="BE2909" s="191" t="e">
        <f ca="1">(OFFSET(Pinlist!$E$1,BC2909,0)-$BN$16)*$BN$19</f>
        <v>#N/A</v>
      </c>
      <c r="BF2909" s="192" t="e">
        <f ca="1">(OFFSET(Pinlist!$F$1,BC2909,0)-$BO$16)*$BO$19</f>
        <v>#N/A</v>
      </c>
      <c r="BG2909" s="1098" t="str">
        <f ca="1">IF(LEFT(BD2909,2)="RF",OFFSET(Pinlist!$D$1,Chart!BC2909,0)&amp;"_"&amp;OFFSET(Pinlist!$G$1,Chart!BC2909,0),"")</f>
        <v/>
      </c>
      <c r="BH2909" s="1098"/>
    </row>
    <row r="2910" spans="53:60" x14ac:dyDescent="0.2">
      <c r="BA2910" s="518">
        <f t="shared" ca="1" si="148"/>
        <v>61</v>
      </c>
      <c r="BB2910" s="174">
        <f t="shared" ca="1" si="149"/>
        <v>2847</v>
      </c>
      <c r="BC2910" s="525" t="e">
        <f ca="1">MATCH(BD2910,OFFSET(Pinlist!$A$2,BC2909*(BA2910=BA2909),0,$BM$23,1),0)+BC2909*(BA2910=BA2909)</f>
        <v>#N/A</v>
      </c>
      <c r="BD2910" s="167">
        <f t="shared" ca="1" si="150"/>
        <v>0</v>
      </c>
      <c r="BE2910" s="191" t="e">
        <f ca="1">(OFFSET(Pinlist!$E$1,BC2910,0)-$BN$16)*$BN$19</f>
        <v>#N/A</v>
      </c>
      <c r="BF2910" s="192" t="e">
        <f ca="1">(OFFSET(Pinlist!$F$1,BC2910,0)-$BO$16)*$BO$19</f>
        <v>#N/A</v>
      </c>
      <c r="BG2910" s="1098" t="str">
        <f ca="1">IF(LEFT(BD2910,2)="RF",OFFSET(Pinlist!$D$1,Chart!BC2910,0)&amp;"_"&amp;OFFSET(Pinlist!$G$1,Chart!BC2910,0),"")</f>
        <v/>
      </c>
      <c r="BH2910" s="1098"/>
    </row>
    <row r="2911" spans="53:60" x14ac:dyDescent="0.2">
      <c r="BA2911" s="518">
        <f t="shared" ca="1" si="148"/>
        <v>61</v>
      </c>
      <c r="BB2911" s="174">
        <f t="shared" ca="1" si="149"/>
        <v>2848</v>
      </c>
      <c r="BC2911" s="525" t="e">
        <f ca="1">MATCH(BD2911,OFFSET(Pinlist!$A$2,BC2910*(BA2911=BA2910),0,$BM$23,1),0)+BC2910*(BA2911=BA2910)</f>
        <v>#N/A</v>
      </c>
      <c r="BD2911" s="167">
        <f t="shared" ca="1" si="150"/>
        <v>0</v>
      </c>
      <c r="BE2911" s="191" t="e">
        <f ca="1">(OFFSET(Pinlist!$E$1,BC2911,0)-$BN$16)*$BN$19</f>
        <v>#N/A</v>
      </c>
      <c r="BF2911" s="192" t="e">
        <f ca="1">(OFFSET(Pinlist!$F$1,BC2911,0)-$BO$16)*$BO$19</f>
        <v>#N/A</v>
      </c>
      <c r="BG2911" s="1098" t="str">
        <f ca="1">IF(LEFT(BD2911,2)="RF",OFFSET(Pinlist!$D$1,Chart!BC2911,0)&amp;"_"&amp;OFFSET(Pinlist!$G$1,Chart!BC2911,0),"")</f>
        <v/>
      </c>
      <c r="BH2911" s="1098"/>
    </row>
    <row r="2912" spans="53:60" x14ac:dyDescent="0.2">
      <c r="BA2912" s="518">
        <f t="shared" ca="1" si="148"/>
        <v>61</v>
      </c>
      <c r="BB2912" s="174">
        <f t="shared" ca="1" si="149"/>
        <v>2849</v>
      </c>
      <c r="BC2912" s="525" t="e">
        <f ca="1">MATCH(BD2912,OFFSET(Pinlist!$A$2,BC2911*(BA2912=BA2911),0,$BM$23,1),0)+BC2911*(BA2912=BA2911)</f>
        <v>#N/A</v>
      </c>
      <c r="BD2912" s="167">
        <f t="shared" ca="1" si="150"/>
        <v>0</v>
      </c>
      <c r="BE2912" s="191" t="e">
        <f ca="1">(OFFSET(Pinlist!$E$1,BC2912,0)-$BN$16)*$BN$19</f>
        <v>#N/A</v>
      </c>
      <c r="BF2912" s="192" t="e">
        <f ca="1">(OFFSET(Pinlist!$F$1,BC2912,0)-$BO$16)*$BO$19</f>
        <v>#N/A</v>
      </c>
      <c r="BG2912" s="1098" t="str">
        <f ca="1">IF(LEFT(BD2912,2)="RF",OFFSET(Pinlist!$D$1,Chart!BC2912,0)&amp;"_"&amp;OFFSET(Pinlist!$G$1,Chart!BC2912,0),"")</f>
        <v/>
      </c>
      <c r="BH2912" s="1098"/>
    </row>
    <row r="2913" spans="53:60" x14ac:dyDescent="0.2">
      <c r="BA2913" s="518">
        <f t="shared" ca="1" si="148"/>
        <v>61</v>
      </c>
      <c r="BB2913" s="174">
        <f t="shared" ca="1" si="149"/>
        <v>2850</v>
      </c>
      <c r="BC2913" s="525" t="e">
        <f ca="1">MATCH(BD2913,OFFSET(Pinlist!$A$2,BC2912*(BA2913=BA2912),0,$BM$23,1),0)+BC2912*(BA2913=BA2912)</f>
        <v>#N/A</v>
      </c>
      <c r="BD2913" s="167">
        <f t="shared" ca="1" si="150"/>
        <v>0</v>
      </c>
      <c r="BE2913" s="191" t="e">
        <f ca="1">(OFFSET(Pinlist!$E$1,BC2913,0)-$BN$16)*$BN$19</f>
        <v>#N/A</v>
      </c>
      <c r="BF2913" s="192" t="e">
        <f ca="1">(OFFSET(Pinlist!$F$1,BC2913,0)-$BO$16)*$BO$19</f>
        <v>#N/A</v>
      </c>
      <c r="BG2913" s="1098" t="str">
        <f ca="1">IF(LEFT(BD2913,2)="RF",OFFSET(Pinlist!$D$1,Chart!BC2913,0)&amp;"_"&amp;OFFSET(Pinlist!$G$1,Chart!BC2913,0),"")</f>
        <v/>
      </c>
      <c r="BH2913" s="1098"/>
    </row>
    <row r="2914" spans="53:60" x14ac:dyDescent="0.2">
      <c r="BA2914" s="518">
        <f t="shared" ca="1" si="148"/>
        <v>61</v>
      </c>
      <c r="BB2914" s="174">
        <f t="shared" ca="1" si="149"/>
        <v>2851</v>
      </c>
      <c r="BC2914" s="525" t="e">
        <f ca="1">MATCH(BD2914,OFFSET(Pinlist!$A$2,BC2913*(BA2914=BA2913),0,$BM$23,1),0)+BC2913*(BA2914=BA2913)</f>
        <v>#N/A</v>
      </c>
      <c r="BD2914" s="167">
        <f t="shared" ca="1" si="150"/>
        <v>0</v>
      </c>
      <c r="BE2914" s="191" t="e">
        <f ca="1">(OFFSET(Pinlist!$E$1,BC2914,0)-$BN$16)*$BN$19</f>
        <v>#N/A</v>
      </c>
      <c r="BF2914" s="192" t="e">
        <f ca="1">(OFFSET(Pinlist!$F$1,BC2914,0)-$BO$16)*$BO$19</f>
        <v>#N/A</v>
      </c>
      <c r="BG2914" s="1098" t="str">
        <f ca="1">IF(LEFT(BD2914,2)="RF",OFFSET(Pinlist!$D$1,Chart!BC2914,0)&amp;"_"&amp;OFFSET(Pinlist!$G$1,Chart!BC2914,0),"")</f>
        <v/>
      </c>
      <c r="BH2914" s="1098"/>
    </row>
    <row r="2915" spans="53:60" x14ac:dyDescent="0.2">
      <c r="BA2915" s="518">
        <f t="shared" ca="1" si="148"/>
        <v>61</v>
      </c>
      <c r="BB2915" s="174">
        <f t="shared" ca="1" si="149"/>
        <v>2852</v>
      </c>
      <c r="BC2915" s="525" t="e">
        <f ca="1">MATCH(BD2915,OFFSET(Pinlist!$A$2,BC2914*(BA2915=BA2914),0,$BM$23,1),0)+BC2914*(BA2915=BA2914)</f>
        <v>#N/A</v>
      </c>
      <c r="BD2915" s="167">
        <f t="shared" ca="1" si="150"/>
        <v>0</v>
      </c>
      <c r="BE2915" s="191" t="e">
        <f ca="1">(OFFSET(Pinlist!$E$1,BC2915,0)-$BN$16)*$BN$19</f>
        <v>#N/A</v>
      </c>
      <c r="BF2915" s="192" t="e">
        <f ca="1">(OFFSET(Pinlist!$F$1,BC2915,0)-$BO$16)*$BO$19</f>
        <v>#N/A</v>
      </c>
      <c r="BG2915" s="1098" t="str">
        <f ca="1">IF(LEFT(BD2915,2)="RF",OFFSET(Pinlist!$D$1,Chart!BC2915,0)&amp;"_"&amp;OFFSET(Pinlist!$G$1,Chart!BC2915,0),"")</f>
        <v/>
      </c>
      <c r="BH2915" s="1098"/>
    </row>
    <row r="2916" spans="53:60" x14ac:dyDescent="0.2">
      <c r="BA2916" s="518">
        <f t="shared" ca="1" si="148"/>
        <v>61</v>
      </c>
      <c r="BB2916" s="174">
        <f t="shared" ca="1" si="149"/>
        <v>2853</v>
      </c>
      <c r="BC2916" s="525" t="e">
        <f ca="1">MATCH(BD2916,OFFSET(Pinlist!$A$2,BC2915*(BA2916=BA2915),0,$BM$23,1),0)+BC2915*(BA2916=BA2915)</f>
        <v>#N/A</v>
      </c>
      <c r="BD2916" s="167">
        <f t="shared" ca="1" si="150"/>
        <v>0</v>
      </c>
      <c r="BE2916" s="191" t="e">
        <f ca="1">(OFFSET(Pinlist!$E$1,BC2916,0)-$BN$16)*$BN$19</f>
        <v>#N/A</v>
      </c>
      <c r="BF2916" s="192" t="e">
        <f ca="1">(OFFSET(Pinlist!$F$1,BC2916,0)-$BO$16)*$BO$19</f>
        <v>#N/A</v>
      </c>
      <c r="BG2916" s="1098" t="str">
        <f ca="1">IF(LEFT(BD2916,2)="RF",OFFSET(Pinlist!$D$1,Chart!BC2916,0)&amp;"_"&amp;OFFSET(Pinlist!$G$1,Chart!BC2916,0),"")</f>
        <v/>
      </c>
      <c r="BH2916" s="1098"/>
    </row>
    <row r="2917" spans="53:60" x14ac:dyDescent="0.2">
      <c r="BA2917" s="518">
        <f t="shared" ca="1" si="148"/>
        <v>61</v>
      </c>
      <c r="BB2917" s="174">
        <f t="shared" ca="1" si="149"/>
        <v>2854</v>
      </c>
      <c r="BC2917" s="525" t="e">
        <f ca="1">MATCH(BD2917,OFFSET(Pinlist!$A$2,BC2916*(BA2917=BA2916),0,$BM$23,1),0)+BC2916*(BA2917=BA2916)</f>
        <v>#N/A</v>
      </c>
      <c r="BD2917" s="167">
        <f t="shared" ca="1" si="150"/>
        <v>0</v>
      </c>
      <c r="BE2917" s="191" t="e">
        <f ca="1">(OFFSET(Pinlist!$E$1,BC2917,0)-$BN$16)*$BN$19</f>
        <v>#N/A</v>
      </c>
      <c r="BF2917" s="192" t="e">
        <f ca="1">(OFFSET(Pinlist!$F$1,BC2917,0)-$BO$16)*$BO$19</f>
        <v>#N/A</v>
      </c>
      <c r="BG2917" s="1098" t="str">
        <f ca="1">IF(LEFT(BD2917,2)="RF",OFFSET(Pinlist!$D$1,Chart!BC2917,0)&amp;"_"&amp;OFFSET(Pinlist!$G$1,Chart!BC2917,0),"")</f>
        <v/>
      </c>
      <c r="BH2917" s="1098"/>
    </row>
    <row r="2918" spans="53:60" x14ac:dyDescent="0.2">
      <c r="BA2918" s="518">
        <f t="shared" ca="1" si="148"/>
        <v>61</v>
      </c>
      <c r="BB2918" s="174">
        <f t="shared" ca="1" si="149"/>
        <v>2855</v>
      </c>
      <c r="BC2918" s="525" t="e">
        <f ca="1">MATCH(BD2918,OFFSET(Pinlist!$A$2,BC2917*(BA2918=BA2917),0,$BM$23,1),0)+BC2917*(BA2918=BA2917)</f>
        <v>#N/A</v>
      </c>
      <c r="BD2918" s="167">
        <f t="shared" ca="1" si="150"/>
        <v>0</v>
      </c>
      <c r="BE2918" s="191" t="e">
        <f ca="1">(OFFSET(Pinlist!$E$1,BC2918,0)-$BN$16)*$BN$19</f>
        <v>#N/A</v>
      </c>
      <c r="BF2918" s="192" t="e">
        <f ca="1">(OFFSET(Pinlist!$F$1,BC2918,0)-$BO$16)*$BO$19</f>
        <v>#N/A</v>
      </c>
      <c r="BG2918" s="1098" t="str">
        <f ca="1">IF(LEFT(BD2918,2)="RF",OFFSET(Pinlist!$D$1,Chart!BC2918,0)&amp;"_"&amp;OFFSET(Pinlist!$G$1,Chart!BC2918,0),"")</f>
        <v/>
      </c>
      <c r="BH2918" s="1098"/>
    </row>
    <row r="2919" spans="53:60" x14ac:dyDescent="0.2">
      <c r="BA2919" s="518">
        <f t="shared" ca="1" si="148"/>
        <v>61</v>
      </c>
      <c r="BB2919" s="174">
        <f t="shared" ca="1" si="149"/>
        <v>2856</v>
      </c>
      <c r="BC2919" s="525" t="e">
        <f ca="1">MATCH(BD2919,OFFSET(Pinlist!$A$2,BC2918*(BA2919=BA2918),0,$BM$23,1),0)+BC2918*(BA2919=BA2918)</f>
        <v>#N/A</v>
      </c>
      <c r="BD2919" s="167">
        <f t="shared" ca="1" si="150"/>
        <v>0</v>
      </c>
      <c r="BE2919" s="191" t="e">
        <f ca="1">(OFFSET(Pinlist!$E$1,BC2919,0)-$BN$16)*$BN$19</f>
        <v>#N/A</v>
      </c>
      <c r="BF2919" s="192" t="e">
        <f ca="1">(OFFSET(Pinlist!$F$1,BC2919,0)-$BO$16)*$BO$19</f>
        <v>#N/A</v>
      </c>
      <c r="BG2919" s="1098" t="str">
        <f ca="1">IF(LEFT(BD2919,2)="RF",OFFSET(Pinlist!$D$1,Chart!BC2919,0)&amp;"_"&amp;OFFSET(Pinlist!$G$1,Chart!BC2919,0),"")</f>
        <v/>
      </c>
      <c r="BH2919" s="1098"/>
    </row>
    <row r="2920" spans="53:60" x14ac:dyDescent="0.2">
      <c r="BA2920" s="518">
        <f t="shared" ca="1" si="148"/>
        <v>61</v>
      </c>
      <c r="BB2920" s="174">
        <f t="shared" ca="1" si="149"/>
        <v>2857</v>
      </c>
      <c r="BC2920" s="525" t="e">
        <f ca="1">MATCH(BD2920,OFFSET(Pinlist!$A$2,BC2919*(BA2920=BA2919),0,$BM$23,1),0)+BC2919*(BA2920=BA2919)</f>
        <v>#N/A</v>
      </c>
      <c r="BD2920" s="167">
        <f t="shared" ca="1" si="150"/>
        <v>0</v>
      </c>
      <c r="BE2920" s="191" t="e">
        <f ca="1">(OFFSET(Pinlist!$E$1,BC2920,0)-$BN$16)*$BN$19</f>
        <v>#N/A</v>
      </c>
      <c r="BF2920" s="192" t="e">
        <f ca="1">(OFFSET(Pinlist!$F$1,BC2920,0)-$BO$16)*$BO$19</f>
        <v>#N/A</v>
      </c>
      <c r="BG2920" s="1098" t="str">
        <f ca="1">IF(LEFT(BD2920,2)="RF",OFFSET(Pinlist!$D$1,Chart!BC2920,0)&amp;"_"&amp;OFFSET(Pinlist!$G$1,Chart!BC2920,0),"")</f>
        <v/>
      </c>
      <c r="BH2920" s="1098"/>
    </row>
    <row r="2921" spans="53:60" x14ac:dyDescent="0.2">
      <c r="BA2921" s="518">
        <f t="shared" ca="1" si="148"/>
        <v>61</v>
      </c>
      <c r="BB2921" s="174">
        <f t="shared" ca="1" si="149"/>
        <v>2858</v>
      </c>
      <c r="BC2921" s="525" t="e">
        <f ca="1">MATCH(BD2921,OFFSET(Pinlist!$A$2,BC2920*(BA2921=BA2920),0,$BM$23,1),0)+BC2920*(BA2921=BA2920)</f>
        <v>#N/A</v>
      </c>
      <c r="BD2921" s="167">
        <f t="shared" ca="1" si="150"/>
        <v>0</v>
      </c>
      <c r="BE2921" s="191" t="e">
        <f ca="1">(OFFSET(Pinlist!$E$1,BC2921,0)-$BN$16)*$BN$19</f>
        <v>#N/A</v>
      </c>
      <c r="BF2921" s="192" t="e">
        <f ca="1">(OFFSET(Pinlist!$F$1,BC2921,0)-$BO$16)*$BO$19</f>
        <v>#N/A</v>
      </c>
      <c r="BG2921" s="1098" t="str">
        <f ca="1">IF(LEFT(BD2921,2)="RF",OFFSET(Pinlist!$D$1,Chart!BC2921,0)&amp;"_"&amp;OFFSET(Pinlist!$G$1,Chart!BC2921,0),"")</f>
        <v/>
      </c>
      <c r="BH2921" s="1098"/>
    </row>
    <row r="2922" spans="53:60" x14ac:dyDescent="0.2">
      <c r="BA2922" s="518">
        <f t="shared" ca="1" si="148"/>
        <v>61</v>
      </c>
      <c r="BB2922" s="174">
        <f t="shared" ca="1" si="149"/>
        <v>2859</v>
      </c>
      <c r="BC2922" s="525" t="e">
        <f ca="1">MATCH(BD2922,OFFSET(Pinlist!$A$2,BC2921*(BA2922=BA2921),0,$BM$23,1),0)+BC2921*(BA2922=BA2921)</f>
        <v>#N/A</v>
      </c>
      <c r="BD2922" s="167">
        <f t="shared" ca="1" si="150"/>
        <v>0</v>
      </c>
      <c r="BE2922" s="191" t="e">
        <f ca="1">(OFFSET(Pinlist!$E$1,BC2922,0)-$BN$16)*$BN$19</f>
        <v>#N/A</v>
      </c>
      <c r="BF2922" s="192" t="e">
        <f ca="1">(OFFSET(Pinlist!$F$1,BC2922,0)-$BO$16)*$BO$19</f>
        <v>#N/A</v>
      </c>
      <c r="BG2922" s="1098" t="str">
        <f ca="1">IF(LEFT(BD2922,2)="RF",OFFSET(Pinlist!$D$1,Chart!BC2922,0)&amp;"_"&amp;OFFSET(Pinlist!$G$1,Chart!BC2922,0),"")</f>
        <v/>
      </c>
      <c r="BH2922" s="1098"/>
    </row>
    <row r="2923" spans="53:60" x14ac:dyDescent="0.2">
      <c r="BA2923" s="518">
        <f t="shared" ca="1" si="148"/>
        <v>61</v>
      </c>
      <c r="BB2923" s="174">
        <f t="shared" ca="1" si="149"/>
        <v>2860</v>
      </c>
      <c r="BC2923" s="525" t="e">
        <f ca="1">MATCH(BD2923,OFFSET(Pinlist!$A$2,BC2922*(BA2923=BA2922),0,$BM$23,1),0)+BC2922*(BA2923=BA2922)</f>
        <v>#N/A</v>
      </c>
      <c r="BD2923" s="167">
        <f t="shared" ca="1" si="150"/>
        <v>0</v>
      </c>
      <c r="BE2923" s="191" t="e">
        <f ca="1">(OFFSET(Pinlist!$E$1,BC2923,0)-$BN$16)*$BN$19</f>
        <v>#N/A</v>
      </c>
      <c r="BF2923" s="192" t="e">
        <f ca="1">(OFFSET(Pinlist!$F$1,BC2923,0)-$BO$16)*$BO$19</f>
        <v>#N/A</v>
      </c>
      <c r="BG2923" s="1098" t="str">
        <f ca="1">IF(LEFT(BD2923,2)="RF",OFFSET(Pinlist!$D$1,Chart!BC2923,0)&amp;"_"&amp;OFFSET(Pinlist!$G$1,Chart!BC2923,0),"")</f>
        <v/>
      </c>
      <c r="BH2923" s="1098"/>
    </row>
    <row r="2924" spans="53:60" x14ac:dyDescent="0.2">
      <c r="BA2924" s="518">
        <f t="shared" ca="1" si="148"/>
        <v>61</v>
      </c>
      <c r="BB2924" s="174">
        <f t="shared" ca="1" si="149"/>
        <v>2861</v>
      </c>
      <c r="BC2924" s="525" t="e">
        <f ca="1">MATCH(BD2924,OFFSET(Pinlist!$A$2,BC2923*(BA2924=BA2923),0,$BM$23,1),0)+BC2923*(BA2924=BA2923)</f>
        <v>#N/A</v>
      </c>
      <c r="BD2924" s="167">
        <f t="shared" ca="1" si="150"/>
        <v>0</v>
      </c>
      <c r="BE2924" s="191" t="e">
        <f ca="1">(OFFSET(Pinlist!$E$1,BC2924,0)-$BN$16)*$BN$19</f>
        <v>#N/A</v>
      </c>
      <c r="BF2924" s="192" t="e">
        <f ca="1">(OFFSET(Pinlist!$F$1,BC2924,0)-$BO$16)*$BO$19</f>
        <v>#N/A</v>
      </c>
      <c r="BG2924" s="1098" t="str">
        <f ca="1">IF(LEFT(BD2924,2)="RF",OFFSET(Pinlist!$D$1,Chart!BC2924,0)&amp;"_"&amp;OFFSET(Pinlist!$G$1,Chart!BC2924,0),"")</f>
        <v/>
      </c>
      <c r="BH2924" s="1098"/>
    </row>
    <row r="2925" spans="53:60" x14ac:dyDescent="0.2">
      <c r="BA2925" s="518">
        <f t="shared" ca="1" si="148"/>
        <v>61</v>
      </c>
      <c r="BB2925" s="174">
        <f t="shared" ca="1" si="149"/>
        <v>2862</v>
      </c>
      <c r="BC2925" s="525" t="e">
        <f ca="1">MATCH(BD2925,OFFSET(Pinlist!$A$2,BC2924*(BA2925=BA2924),0,$BM$23,1),0)+BC2924*(BA2925=BA2924)</f>
        <v>#N/A</v>
      </c>
      <c r="BD2925" s="167">
        <f t="shared" ca="1" si="150"/>
        <v>0</v>
      </c>
      <c r="BE2925" s="191" t="e">
        <f ca="1">(OFFSET(Pinlist!$E$1,BC2925,0)-$BN$16)*$BN$19</f>
        <v>#N/A</v>
      </c>
      <c r="BF2925" s="192" t="e">
        <f ca="1">(OFFSET(Pinlist!$F$1,BC2925,0)-$BO$16)*$BO$19</f>
        <v>#N/A</v>
      </c>
      <c r="BG2925" s="1098" t="str">
        <f ca="1">IF(LEFT(BD2925,2)="RF",OFFSET(Pinlist!$D$1,Chart!BC2925,0)&amp;"_"&amp;OFFSET(Pinlist!$G$1,Chart!BC2925,0),"")</f>
        <v/>
      </c>
      <c r="BH2925" s="1098"/>
    </row>
    <row r="2926" spans="53:60" x14ac:dyDescent="0.2">
      <c r="BA2926" s="518">
        <f t="shared" ca="1" si="148"/>
        <v>61</v>
      </c>
      <c r="BB2926" s="174">
        <f t="shared" ca="1" si="149"/>
        <v>2863</v>
      </c>
      <c r="BC2926" s="525" t="e">
        <f ca="1">MATCH(BD2926,OFFSET(Pinlist!$A$2,BC2925*(BA2926=BA2925),0,$BM$23,1),0)+BC2925*(BA2926=BA2925)</f>
        <v>#N/A</v>
      </c>
      <c r="BD2926" s="167">
        <f t="shared" ca="1" si="150"/>
        <v>0</v>
      </c>
      <c r="BE2926" s="191" t="e">
        <f ca="1">(OFFSET(Pinlist!$E$1,BC2926,0)-$BN$16)*$BN$19</f>
        <v>#N/A</v>
      </c>
      <c r="BF2926" s="192" t="e">
        <f ca="1">(OFFSET(Pinlist!$F$1,BC2926,0)-$BO$16)*$BO$19</f>
        <v>#N/A</v>
      </c>
      <c r="BG2926" s="1098" t="str">
        <f ca="1">IF(LEFT(BD2926,2)="RF",OFFSET(Pinlist!$D$1,Chart!BC2926,0)&amp;"_"&amp;OFFSET(Pinlist!$G$1,Chart!BC2926,0),"")</f>
        <v/>
      </c>
      <c r="BH2926" s="1098"/>
    </row>
    <row r="2927" spans="53:60" x14ac:dyDescent="0.2">
      <c r="BA2927" s="518">
        <f t="shared" ca="1" si="148"/>
        <v>61</v>
      </c>
      <c r="BB2927" s="174">
        <f t="shared" ca="1" si="149"/>
        <v>2864</v>
      </c>
      <c r="BC2927" s="525" t="e">
        <f ca="1">MATCH(BD2927,OFFSET(Pinlist!$A$2,BC2926*(BA2927=BA2926),0,$BM$23,1),0)+BC2926*(BA2927=BA2926)</f>
        <v>#N/A</v>
      </c>
      <c r="BD2927" s="167">
        <f t="shared" ca="1" si="150"/>
        <v>0</v>
      </c>
      <c r="BE2927" s="191" t="e">
        <f ca="1">(OFFSET(Pinlist!$E$1,BC2927,0)-$BN$16)*$BN$19</f>
        <v>#N/A</v>
      </c>
      <c r="BF2927" s="192" t="e">
        <f ca="1">(OFFSET(Pinlist!$F$1,BC2927,0)-$BO$16)*$BO$19</f>
        <v>#N/A</v>
      </c>
      <c r="BG2927" s="1098" t="str">
        <f ca="1">IF(LEFT(BD2927,2)="RF",OFFSET(Pinlist!$D$1,Chart!BC2927,0)&amp;"_"&amp;OFFSET(Pinlist!$G$1,Chart!BC2927,0),"")</f>
        <v/>
      </c>
      <c r="BH2927" s="1098"/>
    </row>
    <row r="2928" spans="53:60" x14ac:dyDescent="0.2">
      <c r="BA2928" s="518">
        <f t="shared" ca="1" si="148"/>
        <v>61</v>
      </c>
      <c r="BB2928" s="174">
        <f t="shared" ca="1" si="149"/>
        <v>2865</v>
      </c>
      <c r="BC2928" s="525" t="e">
        <f ca="1">MATCH(BD2928,OFFSET(Pinlist!$A$2,BC2927*(BA2928=BA2927),0,$BM$23,1),0)+BC2927*(BA2928=BA2927)</f>
        <v>#N/A</v>
      </c>
      <c r="BD2928" s="167">
        <f t="shared" ca="1" si="150"/>
        <v>0</v>
      </c>
      <c r="BE2928" s="191" t="e">
        <f ca="1">(OFFSET(Pinlist!$E$1,BC2928,0)-$BN$16)*$BN$19</f>
        <v>#N/A</v>
      </c>
      <c r="BF2928" s="192" t="e">
        <f ca="1">(OFFSET(Pinlist!$F$1,BC2928,0)-$BO$16)*$BO$19</f>
        <v>#N/A</v>
      </c>
      <c r="BG2928" s="1098" t="str">
        <f ca="1">IF(LEFT(BD2928,2)="RF",OFFSET(Pinlist!$D$1,Chart!BC2928,0)&amp;"_"&amp;OFFSET(Pinlist!$G$1,Chart!BC2928,0),"")</f>
        <v/>
      </c>
      <c r="BH2928" s="1098"/>
    </row>
    <row r="2929" spans="53:60" x14ac:dyDescent="0.2">
      <c r="BA2929" s="518">
        <f t="shared" ca="1" si="148"/>
        <v>61</v>
      </c>
      <c r="BB2929" s="174">
        <f t="shared" ca="1" si="149"/>
        <v>2866</v>
      </c>
      <c r="BC2929" s="525" t="e">
        <f ca="1">MATCH(BD2929,OFFSET(Pinlist!$A$2,BC2928*(BA2929=BA2928),0,$BM$23,1),0)+BC2928*(BA2929=BA2928)</f>
        <v>#N/A</v>
      </c>
      <c r="BD2929" s="167">
        <f t="shared" ca="1" si="150"/>
        <v>0</v>
      </c>
      <c r="BE2929" s="191" t="e">
        <f ca="1">(OFFSET(Pinlist!$E$1,BC2929,0)-$BN$16)*$BN$19</f>
        <v>#N/A</v>
      </c>
      <c r="BF2929" s="192" t="e">
        <f ca="1">(OFFSET(Pinlist!$F$1,BC2929,0)-$BO$16)*$BO$19</f>
        <v>#N/A</v>
      </c>
      <c r="BG2929" s="1098" t="str">
        <f ca="1">IF(LEFT(BD2929,2)="RF",OFFSET(Pinlist!$D$1,Chart!BC2929,0)&amp;"_"&amp;OFFSET(Pinlist!$G$1,Chart!BC2929,0),"")</f>
        <v/>
      </c>
      <c r="BH2929" s="1098"/>
    </row>
    <row r="2930" spans="53:60" x14ac:dyDescent="0.2">
      <c r="BA2930" s="518">
        <f t="shared" ca="1" si="148"/>
        <v>61</v>
      </c>
      <c r="BB2930" s="174">
        <f t="shared" ca="1" si="149"/>
        <v>2867</v>
      </c>
      <c r="BC2930" s="525" t="e">
        <f ca="1">MATCH(BD2930,OFFSET(Pinlist!$A$2,BC2929*(BA2930=BA2929),0,$BM$23,1),0)+BC2929*(BA2930=BA2929)</f>
        <v>#N/A</v>
      </c>
      <c r="BD2930" s="167">
        <f t="shared" ca="1" si="150"/>
        <v>0</v>
      </c>
      <c r="BE2930" s="191" t="e">
        <f ca="1">(OFFSET(Pinlist!$E$1,BC2930,0)-$BN$16)*$BN$19</f>
        <v>#N/A</v>
      </c>
      <c r="BF2930" s="192" t="e">
        <f ca="1">(OFFSET(Pinlist!$F$1,BC2930,0)-$BO$16)*$BO$19</f>
        <v>#N/A</v>
      </c>
      <c r="BG2930" s="1098" t="str">
        <f ca="1">IF(LEFT(BD2930,2)="RF",OFFSET(Pinlist!$D$1,Chart!BC2930,0)&amp;"_"&amp;OFFSET(Pinlist!$G$1,Chart!BC2930,0),"")</f>
        <v/>
      </c>
      <c r="BH2930" s="1098"/>
    </row>
    <row r="2931" spans="53:60" x14ac:dyDescent="0.2">
      <c r="BA2931" s="518">
        <f t="shared" ca="1" si="148"/>
        <v>61</v>
      </c>
      <c r="BB2931" s="174">
        <f t="shared" ca="1" si="149"/>
        <v>2868</v>
      </c>
      <c r="BC2931" s="525" t="e">
        <f ca="1">MATCH(BD2931,OFFSET(Pinlist!$A$2,BC2930*(BA2931=BA2930),0,$BM$23,1),0)+BC2930*(BA2931=BA2930)</f>
        <v>#N/A</v>
      </c>
      <c r="BD2931" s="167">
        <f t="shared" ca="1" si="150"/>
        <v>0</v>
      </c>
      <c r="BE2931" s="191" t="e">
        <f ca="1">(OFFSET(Pinlist!$E$1,BC2931,0)-$BN$16)*$BN$19</f>
        <v>#N/A</v>
      </c>
      <c r="BF2931" s="192" t="e">
        <f ca="1">(OFFSET(Pinlist!$F$1,BC2931,0)-$BO$16)*$BO$19</f>
        <v>#N/A</v>
      </c>
      <c r="BG2931" s="1098" t="str">
        <f ca="1">IF(LEFT(BD2931,2)="RF",OFFSET(Pinlist!$D$1,Chart!BC2931,0)&amp;"_"&amp;OFFSET(Pinlist!$G$1,Chart!BC2931,0),"")</f>
        <v/>
      </c>
      <c r="BH2931" s="1098"/>
    </row>
    <row r="2932" spans="53:60" x14ac:dyDescent="0.2">
      <c r="BA2932" s="518">
        <f t="shared" ca="1" si="148"/>
        <v>61</v>
      </c>
      <c r="BB2932" s="174">
        <f t="shared" ca="1" si="149"/>
        <v>2869</v>
      </c>
      <c r="BC2932" s="525" t="e">
        <f ca="1">MATCH(BD2932,OFFSET(Pinlist!$A$2,BC2931*(BA2932=BA2931),0,$BM$23,1),0)+BC2931*(BA2932=BA2931)</f>
        <v>#N/A</v>
      </c>
      <c r="BD2932" s="167">
        <f t="shared" ca="1" si="150"/>
        <v>0</v>
      </c>
      <c r="BE2932" s="191" t="e">
        <f ca="1">(OFFSET(Pinlist!$E$1,BC2932,0)-$BN$16)*$BN$19</f>
        <v>#N/A</v>
      </c>
      <c r="BF2932" s="192" t="e">
        <f ca="1">(OFFSET(Pinlist!$F$1,BC2932,0)-$BO$16)*$BO$19</f>
        <v>#N/A</v>
      </c>
      <c r="BG2932" s="1098" t="str">
        <f ca="1">IF(LEFT(BD2932,2)="RF",OFFSET(Pinlist!$D$1,Chart!BC2932,0)&amp;"_"&amp;OFFSET(Pinlist!$G$1,Chart!BC2932,0),"")</f>
        <v/>
      </c>
      <c r="BH2932" s="1098"/>
    </row>
    <row r="2933" spans="53:60" x14ac:dyDescent="0.2">
      <c r="BA2933" s="518">
        <f t="shared" ca="1" si="148"/>
        <v>61</v>
      </c>
      <c r="BB2933" s="174">
        <f t="shared" ca="1" si="149"/>
        <v>2870</v>
      </c>
      <c r="BC2933" s="525" t="e">
        <f ca="1">MATCH(BD2933,OFFSET(Pinlist!$A$2,BC2932*(BA2933=BA2932),0,$BM$23,1),0)+BC2932*(BA2933=BA2932)</f>
        <v>#N/A</v>
      </c>
      <c r="BD2933" s="167">
        <f t="shared" ca="1" si="150"/>
        <v>0</v>
      </c>
      <c r="BE2933" s="191" t="e">
        <f ca="1">(OFFSET(Pinlist!$E$1,BC2933,0)-$BN$16)*$BN$19</f>
        <v>#N/A</v>
      </c>
      <c r="BF2933" s="192" t="e">
        <f ca="1">(OFFSET(Pinlist!$F$1,BC2933,0)-$BO$16)*$BO$19</f>
        <v>#N/A</v>
      </c>
      <c r="BG2933" s="1098" t="str">
        <f ca="1">IF(LEFT(BD2933,2)="RF",OFFSET(Pinlist!$D$1,Chart!BC2933,0)&amp;"_"&amp;OFFSET(Pinlist!$G$1,Chart!BC2933,0),"")</f>
        <v/>
      </c>
      <c r="BH2933" s="1098"/>
    </row>
    <row r="2934" spans="53:60" x14ac:dyDescent="0.2">
      <c r="BA2934" s="518">
        <f t="shared" ca="1" si="148"/>
        <v>61</v>
      </c>
      <c r="BB2934" s="174">
        <f t="shared" ca="1" si="149"/>
        <v>2871</v>
      </c>
      <c r="BC2934" s="525" t="e">
        <f ca="1">MATCH(BD2934,OFFSET(Pinlist!$A$2,BC2933*(BA2934=BA2933),0,$BM$23,1),0)+BC2933*(BA2934=BA2933)</f>
        <v>#N/A</v>
      </c>
      <c r="BD2934" s="167">
        <f t="shared" ca="1" si="150"/>
        <v>0</v>
      </c>
      <c r="BE2934" s="191" t="e">
        <f ca="1">(OFFSET(Pinlist!$E$1,BC2934,0)-$BN$16)*$BN$19</f>
        <v>#N/A</v>
      </c>
      <c r="BF2934" s="192" t="e">
        <f ca="1">(OFFSET(Pinlist!$F$1,BC2934,0)-$BO$16)*$BO$19</f>
        <v>#N/A</v>
      </c>
      <c r="BG2934" s="1098" t="str">
        <f ca="1">IF(LEFT(BD2934,2)="RF",OFFSET(Pinlist!$D$1,Chart!BC2934,0)&amp;"_"&amp;OFFSET(Pinlist!$G$1,Chart!BC2934,0),"")</f>
        <v/>
      </c>
      <c r="BH2934" s="1098"/>
    </row>
    <row r="2935" spans="53:60" x14ac:dyDescent="0.2">
      <c r="BA2935" s="518">
        <f t="shared" ca="1" si="148"/>
        <v>61</v>
      </c>
      <c r="BB2935" s="174">
        <f t="shared" ca="1" si="149"/>
        <v>2872</v>
      </c>
      <c r="BC2935" s="525" t="e">
        <f ca="1">MATCH(BD2935,OFFSET(Pinlist!$A$2,BC2934*(BA2935=BA2934),0,$BM$23,1),0)+BC2934*(BA2935=BA2934)</f>
        <v>#N/A</v>
      </c>
      <c r="BD2935" s="167">
        <f t="shared" ca="1" si="150"/>
        <v>0</v>
      </c>
      <c r="BE2935" s="191" t="e">
        <f ca="1">(OFFSET(Pinlist!$E$1,BC2935,0)-$BN$16)*$BN$19</f>
        <v>#N/A</v>
      </c>
      <c r="BF2935" s="192" t="e">
        <f ca="1">(OFFSET(Pinlist!$F$1,BC2935,0)-$BO$16)*$BO$19</f>
        <v>#N/A</v>
      </c>
      <c r="BG2935" s="1098" t="str">
        <f ca="1">IF(LEFT(BD2935,2)="RF",OFFSET(Pinlist!$D$1,Chart!BC2935,0)&amp;"_"&amp;OFFSET(Pinlist!$G$1,Chart!BC2935,0),"")</f>
        <v/>
      </c>
      <c r="BH2935" s="1098"/>
    </row>
    <row r="2936" spans="53:60" x14ac:dyDescent="0.2">
      <c r="BA2936" s="518">
        <f t="shared" ca="1" si="148"/>
        <v>61</v>
      </c>
      <c r="BB2936" s="174">
        <f t="shared" ca="1" si="149"/>
        <v>2873</v>
      </c>
      <c r="BC2936" s="525" t="e">
        <f ca="1">MATCH(BD2936,OFFSET(Pinlist!$A$2,BC2935*(BA2936=BA2935),0,$BM$23,1),0)+BC2935*(BA2936=BA2935)</f>
        <v>#N/A</v>
      </c>
      <c r="BD2936" s="167">
        <f t="shared" ca="1" si="150"/>
        <v>0</v>
      </c>
      <c r="BE2936" s="191" t="e">
        <f ca="1">(OFFSET(Pinlist!$E$1,BC2936,0)-$BN$16)*$BN$19</f>
        <v>#N/A</v>
      </c>
      <c r="BF2936" s="192" t="e">
        <f ca="1">(OFFSET(Pinlist!$F$1,BC2936,0)-$BO$16)*$BO$19</f>
        <v>#N/A</v>
      </c>
      <c r="BG2936" s="1098" t="str">
        <f ca="1">IF(LEFT(BD2936,2)="RF",OFFSET(Pinlist!$D$1,Chart!BC2936,0)&amp;"_"&amp;OFFSET(Pinlist!$G$1,Chart!BC2936,0),"")</f>
        <v/>
      </c>
      <c r="BH2936" s="1098"/>
    </row>
    <row r="2937" spans="53:60" x14ac:dyDescent="0.2">
      <c r="BA2937" s="518">
        <f t="shared" ca="1" si="148"/>
        <v>61</v>
      </c>
      <c r="BB2937" s="174">
        <f t="shared" ca="1" si="149"/>
        <v>2874</v>
      </c>
      <c r="BC2937" s="525" t="e">
        <f ca="1">MATCH(BD2937,OFFSET(Pinlist!$A$2,BC2936*(BA2937=BA2936),0,$BM$23,1),0)+BC2936*(BA2937=BA2936)</f>
        <v>#N/A</v>
      </c>
      <c r="BD2937" s="167">
        <f t="shared" ca="1" si="150"/>
        <v>0</v>
      </c>
      <c r="BE2937" s="191" t="e">
        <f ca="1">(OFFSET(Pinlist!$E$1,BC2937,0)-$BN$16)*$BN$19</f>
        <v>#N/A</v>
      </c>
      <c r="BF2937" s="192" t="e">
        <f ca="1">(OFFSET(Pinlist!$F$1,BC2937,0)-$BO$16)*$BO$19</f>
        <v>#N/A</v>
      </c>
      <c r="BG2937" s="1098" t="str">
        <f ca="1">IF(LEFT(BD2937,2)="RF",OFFSET(Pinlist!$D$1,Chart!BC2937,0)&amp;"_"&amp;OFFSET(Pinlist!$G$1,Chart!BC2937,0),"")</f>
        <v/>
      </c>
      <c r="BH2937" s="1098"/>
    </row>
    <row r="2938" spans="53:60" x14ac:dyDescent="0.2">
      <c r="BA2938" s="518">
        <f t="shared" ca="1" si="148"/>
        <v>61</v>
      </c>
      <c r="BB2938" s="174">
        <f t="shared" ca="1" si="149"/>
        <v>2875</v>
      </c>
      <c r="BC2938" s="525" t="e">
        <f ca="1">MATCH(BD2938,OFFSET(Pinlist!$A$2,BC2937*(BA2938=BA2937),0,$BM$23,1),0)+BC2937*(BA2938=BA2937)</f>
        <v>#N/A</v>
      </c>
      <c r="BD2938" s="167">
        <f t="shared" ca="1" si="150"/>
        <v>0</v>
      </c>
      <c r="BE2938" s="191" t="e">
        <f ca="1">(OFFSET(Pinlist!$E$1,BC2938,0)-$BN$16)*$BN$19</f>
        <v>#N/A</v>
      </c>
      <c r="BF2938" s="192" t="e">
        <f ca="1">(OFFSET(Pinlist!$F$1,BC2938,0)-$BO$16)*$BO$19</f>
        <v>#N/A</v>
      </c>
      <c r="BG2938" s="1098" t="str">
        <f ca="1">IF(LEFT(BD2938,2)="RF",OFFSET(Pinlist!$D$1,Chart!BC2938,0)&amp;"_"&amp;OFFSET(Pinlist!$G$1,Chart!BC2938,0),"")</f>
        <v/>
      </c>
      <c r="BH2938" s="1098"/>
    </row>
    <row r="2939" spans="53:60" x14ac:dyDescent="0.2">
      <c r="BA2939" s="518">
        <f t="shared" ca="1" si="148"/>
        <v>61</v>
      </c>
      <c r="BB2939" s="174">
        <f t="shared" ca="1" si="149"/>
        <v>2876</v>
      </c>
      <c r="BC2939" s="525" t="e">
        <f ca="1">MATCH(BD2939,OFFSET(Pinlist!$A$2,BC2938*(BA2939=BA2938),0,$BM$23,1),0)+BC2938*(BA2939=BA2938)</f>
        <v>#N/A</v>
      </c>
      <c r="BD2939" s="167">
        <f t="shared" ca="1" si="150"/>
        <v>0</v>
      </c>
      <c r="BE2939" s="191" t="e">
        <f ca="1">(OFFSET(Pinlist!$E$1,BC2939,0)-$BN$16)*$BN$19</f>
        <v>#N/A</v>
      </c>
      <c r="BF2939" s="192" t="e">
        <f ca="1">(OFFSET(Pinlist!$F$1,BC2939,0)-$BO$16)*$BO$19</f>
        <v>#N/A</v>
      </c>
      <c r="BG2939" s="1098" t="str">
        <f ca="1">IF(LEFT(BD2939,2)="RF",OFFSET(Pinlist!$D$1,Chart!BC2939,0)&amp;"_"&amp;OFFSET(Pinlist!$G$1,Chart!BC2939,0),"")</f>
        <v/>
      </c>
      <c r="BH2939" s="1098"/>
    </row>
    <row r="2940" spans="53:60" x14ac:dyDescent="0.2">
      <c r="BA2940" s="518">
        <f t="shared" ca="1" si="148"/>
        <v>61</v>
      </c>
      <c r="BB2940" s="174">
        <f t="shared" ca="1" si="149"/>
        <v>2877</v>
      </c>
      <c r="BC2940" s="525" t="e">
        <f ca="1">MATCH(BD2940,OFFSET(Pinlist!$A$2,BC2939*(BA2940=BA2939),0,$BM$23,1),0)+BC2939*(BA2940=BA2939)</f>
        <v>#N/A</v>
      </c>
      <c r="BD2940" s="167">
        <f t="shared" ca="1" si="150"/>
        <v>0</v>
      </c>
      <c r="BE2940" s="191" t="e">
        <f ca="1">(OFFSET(Pinlist!$E$1,BC2940,0)-$BN$16)*$BN$19</f>
        <v>#N/A</v>
      </c>
      <c r="BF2940" s="192" t="e">
        <f ca="1">(OFFSET(Pinlist!$F$1,BC2940,0)-$BO$16)*$BO$19</f>
        <v>#N/A</v>
      </c>
      <c r="BG2940" s="1098" t="str">
        <f ca="1">IF(LEFT(BD2940,2)="RF",OFFSET(Pinlist!$D$1,Chart!BC2940,0)&amp;"_"&amp;OFFSET(Pinlist!$G$1,Chart!BC2940,0),"")</f>
        <v/>
      </c>
      <c r="BH2940" s="1098"/>
    </row>
    <row r="2941" spans="53:60" x14ac:dyDescent="0.2">
      <c r="BA2941" s="518">
        <f t="shared" ca="1" si="148"/>
        <v>61</v>
      </c>
      <c r="BB2941" s="174">
        <f t="shared" ca="1" si="149"/>
        <v>2878</v>
      </c>
      <c r="BC2941" s="525" t="e">
        <f ca="1">MATCH(BD2941,OFFSET(Pinlist!$A$2,BC2940*(BA2941=BA2940),0,$BM$23,1),0)+BC2940*(BA2941=BA2940)</f>
        <v>#N/A</v>
      </c>
      <c r="BD2941" s="167">
        <f t="shared" ca="1" si="150"/>
        <v>0</v>
      </c>
      <c r="BE2941" s="191" t="e">
        <f ca="1">(OFFSET(Pinlist!$E$1,BC2941,0)-$BN$16)*$BN$19</f>
        <v>#N/A</v>
      </c>
      <c r="BF2941" s="192" t="e">
        <f ca="1">(OFFSET(Pinlist!$F$1,BC2941,0)-$BO$16)*$BO$19</f>
        <v>#N/A</v>
      </c>
      <c r="BG2941" s="1098" t="str">
        <f ca="1">IF(LEFT(BD2941,2)="RF",OFFSET(Pinlist!$D$1,Chart!BC2941,0)&amp;"_"&amp;OFFSET(Pinlist!$G$1,Chart!BC2941,0),"")</f>
        <v/>
      </c>
      <c r="BH2941" s="1098"/>
    </row>
    <row r="2942" spans="53:60" x14ac:dyDescent="0.2">
      <c r="BA2942" s="518">
        <f t="shared" ca="1" si="148"/>
        <v>61</v>
      </c>
      <c r="BB2942" s="174">
        <f t="shared" ca="1" si="149"/>
        <v>2879</v>
      </c>
      <c r="BC2942" s="525" t="e">
        <f ca="1">MATCH(BD2942,OFFSET(Pinlist!$A$2,BC2941*(BA2942=BA2941),0,$BM$23,1),0)+BC2941*(BA2942=BA2941)</f>
        <v>#N/A</v>
      </c>
      <c r="BD2942" s="167">
        <f t="shared" ca="1" si="150"/>
        <v>0</v>
      </c>
      <c r="BE2942" s="191" t="e">
        <f ca="1">(OFFSET(Pinlist!$E$1,BC2942,0)-$BN$16)*$BN$19</f>
        <v>#N/A</v>
      </c>
      <c r="BF2942" s="192" t="e">
        <f ca="1">(OFFSET(Pinlist!$F$1,BC2942,0)-$BO$16)*$BO$19</f>
        <v>#N/A</v>
      </c>
      <c r="BG2942" s="1098" t="str">
        <f ca="1">IF(LEFT(BD2942,2)="RF",OFFSET(Pinlist!$D$1,Chart!BC2942,0)&amp;"_"&amp;OFFSET(Pinlist!$G$1,Chart!BC2942,0),"")</f>
        <v/>
      </c>
      <c r="BH2942" s="1098"/>
    </row>
    <row r="2943" spans="53:60" x14ac:dyDescent="0.2">
      <c r="BA2943" s="518">
        <f t="shared" ca="1" si="148"/>
        <v>61</v>
      </c>
      <c r="BB2943" s="174">
        <f t="shared" ca="1" si="149"/>
        <v>2880</v>
      </c>
      <c r="BC2943" s="525" t="e">
        <f ca="1">MATCH(BD2943,OFFSET(Pinlist!$A$2,BC2942*(BA2943=BA2942),0,$BM$23,1),0)+BC2942*(BA2943=BA2942)</f>
        <v>#N/A</v>
      </c>
      <c r="BD2943" s="167">
        <f t="shared" ca="1" si="150"/>
        <v>0</v>
      </c>
      <c r="BE2943" s="191" t="e">
        <f ca="1">(OFFSET(Pinlist!$E$1,BC2943,0)-$BN$16)*$BN$19</f>
        <v>#N/A</v>
      </c>
      <c r="BF2943" s="192" t="e">
        <f ca="1">(OFFSET(Pinlist!$F$1,BC2943,0)-$BO$16)*$BO$19</f>
        <v>#N/A</v>
      </c>
      <c r="BG2943" s="1098" t="str">
        <f ca="1">IF(LEFT(BD2943,2)="RF",OFFSET(Pinlist!$D$1,Chart!BC2943,0)&amp;"_"&amp;OFFSET(Pinlist!$G$1,Chart!BC2943,0),"")</f>
        <v/>
      </c>
      <c r="BH2943" s="1098"/>
    </row>
    <row r="2944" spans="53:60" x14ac:dyDescent="0.2">
      <c r="BA2944" s="518">
        <f t="shared" ca="1" si="148"/>
        <v>61</v>
      </c>
      <c r="BB2944" s="174">
        <f t="shared" ca="1" si="149"/>
        <v>2881</v>
      </c>
      <c r="BC2944" s="525" t="e">
        <f ca="1">MATCH(BD2944,OFFSET(Pinlist!$A$2,BC2943*(BA2944=BA2943),0,$BM$23,1),0)+BC2943*(BA2944=BA2943)</f>
        <v>#N/A</v>
      </c>
      <c r="BD2944" s="167">
        <f t="shared" ca="1" si="150"/>
        <v>0</v>
      </c>
      <c r="BE2944" s="191" t="e">
        <f ca="1">(OFFSET(Pinlist!$E$1,BC2944,0)-$BN$16)*$BN$19</f>
        <v>#N/A</v>
      </c>
      <c r="BF2944" s="192" t="e">
        <f ca="1">(OFFSET(Pinlist!$F$1,BC2944,0)-$BO$16)*$BO$19</f>
        <v>#N/A</v>
      </c>
      <c r="BG2944" s="1098" t="str">
        <f ca="1">IF(LEFT(BD2944,2)="RF",OFFSET(Pinlist!$D$1,Chart!BC2944,0)&amp;"_"&amp;OFFSET(Pinlist!$G$1,Chart!BC2944,0),"")</f>
        <v/>
      </c>
      <c r="BH2944" s="1098"/>
    </row>
    <row r="2945" spans="53:60" x14ac:dyDescent="0.2">
      <c r="BA2945" s="518">
        <f t="shared" ca="1" si="148"/>
        <v>61</v>
      </c>
      <c r="BB2945" s="174">
        <f t="shared" ca="1" si="149"/>
        <v>2882</v>
      </c>
      <c r="BC2945" s="525" t="e">
        <f ca="1">MATCH(BD2945,OFFSET(Pinlist!$A$2,BC2944*(BA2945=BA2944),0,$BM$23,1),0)+BC2944*(BA2945=BA2944)</f>
        <v>#N/A</v>
      </c>
      <c r="BD2945" s="167">
        <f t="shared" ca="1" si="150"/>
        <v>0</v>
      </c>
      <c r="BE2945" s="191" t="e">
        <f ca="1">(OFFSET(Pinlist!$E$1,BC2945,0)-$BN$16)*$BN$19</f>
        <v>#N/A</v>
      </c>
      <c r="BF2945" s="192" t="e">
        <f ca="1">(OFFSET(Pinlist!$F$1,BC2945,0)-$BO$16)*$BO$19</f>
        <v>#N/A</v>
      </c>
      <c r="BG2945" s="1098" t="str">
        <f ca="1">IF(LEFT(BD2945,2)="RF",OFFSET(Pinlist!$D$1,Chart!BC2945,0)&amp;"_"&amp;OFFSET(Pinlist!$G$1,Chart!BC2945,0),"")</f>
        <v/>
      </c>
      <c r="BH2945" s="1098"/>
    </row>
    <row r="2946" spans="53:60" x14ac:dyDescent="0.2">
      <c r="BA2946" s="518">
        <f t="shared" ca="1" si="148"/>
        <v>61</v>
      </c>
      <c r="BB2946" s="174">
        <f t="shared" ca="1" si="149"/>
        <v>2883</v>
      </c>
      <c r="BC2946" s="525" t="e">
        <f ca="1">MATCH(BD2946,OFFSET(Pinlist!$A$2,BC2945*(BA2946=BA2945),0,$BM$23,1),0)+BC2945*(BA2946=BA2945)</f>
        <v>#N/A</v>
      </c>
      <c r="BD2946" s="167">
        <f t="shared" ca="1" si="150"/>
        <v>0</v>
      </c>
      <c r="BE2946" s="191" t="e">
        <f ca="1">(OFFSET(Pinlist!$E$1,BC2946,0)-$BN$16)*$BN$19</f>
        <v>#N/A</v>
      </c>
      <c r="BF2946" s="192" t="e">
        <f ca="1">(OFFSET(Pinlist!$F$1,BC2946,0)-$BO$16)*$BO$19</f>
        <v>#N/A</v>
      </c>
      <c r="BG2946" s="1098" t="str">
        <f ca="1">IF(LEFT(BD2946,2)="RF",OFFSET(Pinlist!$D$1,Chart!BC2946,0)&amp;"_"&amp;OFFSET(Pinlist!$G$1,Chart!BC2946,0),"")</f>
        <v/>
      </c>
      <c r="BH2946" s="1098"/>
    </row>
    <row r="2947" spans="53:60" x14ac:dyDescent="0.2">
      <c r="BA2947" s="518">
        <f t="shared" ca="1" si="148"/>
        <v>61</v>
      </c>
      <c r="BB2947" s="174">
        <f t="shared" ca="1" si="149"/>
        <v>2884</v>
      </c>
      <c r="BC2947" s="525" t="e">
        <f ca="1">MATCH(BD2947,OFFSET(Pinlist!$A$2,BC2946*(BA2947=BA2946),0,$BM$23,1),0)+BC2946*(BA2947=BA2946)</f>
        <v>#N/A</v>
      </c>
      <c r="BD2947" s="167">
        <f t="shared" ca="1" si="150"/>
        <v>0</v>
      </c>
      <c r="BE2947" s="191" t="e">
        <f ca="1">(OFFSET(Pinlist!$E$1,BC2947,0)-$BN$16)*$BN$19</f>
        <v>#N/A</v>
      </c>
      <c r="BF2947" s="192" t="e">
        <f ca="1">(OFFSET(Pinlist!$F$1,BC2947,0)-$BO$16)*$BO$19</f>
        <v>#N/A</v>
      </c>
      <c r="BG2947" s="1098" t="str">
        <f ca="1">IF(LEFT(BD2947,2)="RF",OFFSET(Pinlist!$D$1,Chart!BC2947,0)&amp;"_"&amp;OFFSET(Pinlist!$G$1,Chart!BC2947,0),"")</f>
        <v/>
      </c>
      <c r="BH2947" s="1098"/>
    </row>
    <row r="2948" spans="53:60" x14ac:dyDescent="0.2">
      <c r="BA2948" s="518">
        <f t="shared" ref="BA2948:BA3003" ca="1" si="151">BA2947+(BB2947=OFFSET($BZ$3,BA2947,0))</f>
        <v>61</v>
      </c>
      <c r="BB2948" s="174">
        <f t="shared" ref="BB2948:BB3003" ca="1" si="152">IF(BA2948=BA2947,BB2947+1,1)</f>
        <v>2885</v>
      </c>
      <c r="BC2948" s="525" t="e">
        <f ca="1">MATCH(BD2948,OFFSET(Pinlist!$A$2,BC2947*(BA2948=BA2947),0,$BM$23,1),0)+BC2947*(BA2948=BA2947)</f>
        <v>#N/A</v>
      </c>
      <c r="BD2948" s="167">
        <f t="shared" ref="BD2948:BD3003" ca="1" si="153">OFFSET($BY$3,BA2948,0)</f>
        <v>0</v>
      </c>
      <c r="BE2948" s="191" t="e">
        <f ca="1">(OFFSET(Pinlist!$E$1,BC2948,0)-$BN$16)*$BN$19</f>
        <v>#N/A</v>
      </c>
      <c r="BF2948" s="192" t="e">
        <f ca="1">(OFFSET(Pinlist!$F$1,BC2948,0)-$BO$16)*$BO$19</f>
        <v>#N/A</v>
      </c>
      <c r="BG2948" s="1098" t="str">
        <f ca="1">IF(LEFT(BD2948,2)="RF",OFFSET(Pinlist!$D$1,Chart!BC2948,0)&amp;"_"&amp;OFFSET(Pinlist!$G$1,Chart!BC2948,0),"")</f>
        <v/>
      </c>
      <c r="BH2948" s="1098"/>
    </row>
    <row r="2949" spans="53:60" x14ac:dyDescent="0.2">
      <c r="BA2949" s="518">
        <f t="shared" ca="1" si="151"/>
        <v>61</v>
      </c>
      <c r="BB2949" s="174">
        <f t="shared" ca="1" si="152"/>
        <v>2886</v>
      </c>
      <c r="BC2949" s="525" t="e">
        <f ca="1">MATCH(BD2949,OFFSET(Pinlist!$A$2,BC2948*(BA2949=BA2948),0,$BM$23,1),0)+BC2948*(BA2949=BA2948)</f>
        <v>#N/A</v>
      </c>
      <c r="BD2949" s="167">
        <f t="shared" ca="1" si="153"/>
        <v>0</v>
      </c>
      <c r="BE2949" s="191" t="e">
        <f ca="1">(OFFSET(Pinlist!$E$1,BC2949,0)-$BN$16)*$BN$19</f>
        <v>#N/A</v>
      </c>
      <c r="BF2949" s="192" t="e">
        <f ca="1">(OFFSET(Pinlist!$F$1,BC2949,0)-$BO$16)*$BO$19</f>
        <v>#N/A</v>
      </c>
      <c r="BG2949" s="1098" t="str">
        <f ca="1">IF(LEFT(BD2949,2)="RF",OFFSET(Pinlist!$D$1,Chart!BC2949,0)&amp;"_"&amp;OFFSET(Pinlist!$G$1,Chart!BC2949,0),"")</f>
        <v/>
      </c>
      <c r="BH2949" s="1098"/>
    </row>
    <row r="2950" spans="53:60" x14ac:dyDescent="0.2">
      <c r="BA2950" s="518">
        <f t="shared" ca="1" si="151"/>
        <v>61</v>
      </c>
      <c r="BB2950" s="174">
        <f t="shared" ca="1" si="152"/>
        <v>2887</v>
      </c>
      <c r="BC2950" s="525" t="e">
        <f ca="1">MATCH(BD2950,OFFSET(Pinlist!$A$2,BC2949*(BA2950=BA2949),0,$BM$23,1),0)+BC2949*(BA2950=BA2949)</f>
        <v>#N/A</v>
      </c>
      <c r="BD2950" s="167">
        <f t="shared" ca="1" si="153"/>
        <v>0</v>
      </c>
      <c r="BE2950" s="191" t="e">
        <f ca="1">(OFFSET(Pinlist!$E$1,BC2950,0)-$BN$16)*$BN$19</f>
        <v>#N/A</v>
      </c>
      <c r="BF2950" s="192" t="e">
        <f ca="1">(OFFSET(Pinlist!$F$1,BC2950,0)-$BO$16)*$BO$19</f>
        <v>#N/A</v>
      </c>
      <c r="BG2950" s="1098" t="str">
        <f ca="1">IF(LEFT(BD2950,2)="RF",OFFSET(Pinlist!$D$1,Chart!BC2950,0)&amp;"_"&amp;OFFSET(Pinlist!$G$1,Chart!BC2950,0),"")</f>
        <v/>
      </c>
      <c r="BH2950" s="1098"/>
    </row>
    <row r="2951" spans="53:60" x14ac:dyDescent="0.2">
      <c r="BA2951" s="518">
        <f t="shared" ca="1" si="151"/>
        <v>61</v>
      </c>
      <c r="BB2951" s="174">
        <f t="shared" ca="1" si="152"/>
        <v>2888</v>
      </c>
      <c r="BC2951" s="525" t="e">
        <f ca="1">MATCH(BD2951,OFFSET(Pinlist!$A$2,BC2950*(BA2951=BA2950),0,$BM$23,1),0)+BC2950*(BA2951=BA2950)</f>
        <v>#N/A</v>
      </c>
      <c r="BD2951" s="167">
        <f t="shared" ca="1" si="153"/>
        <v>0</v>
      </c>
      <c r="BE2951" s="191" t="e">
        <f ca="1">(OFFSET(Pinlist!$E$1,BC2951,0)-$BN$16)*$BN$19</f>
        <v>#N/A</v>
      </c>
      <c r="BF2951" s="192" t="e">
        <f ca="1">(OFFSET(Pinlist!$F$1,BC2951,0)-$BO$16)*$BO$19</f>
        <v>#N/A</v>
      </c>
      <c r="BG2951" s="1098" t="str">
        <f ca="1">IF(LEFT(BD2951,2)="RF",OFFSET(Pinlist!$D$1,Chart!BC2951,0)&amp;"_"&amp;OFFSET(Pinlist!$G$1,Chart!BC2951,0),"")</f>
        <v/>
      </c>
      <c r="BH2951" s="1098"/>
    </row>
    <row r="2952" spans="53:60" x14ac:dyDescent="0.2">
      <c r="BA2952" s="518">
        <f t="shared" ca="1" si="151"/>
        <v>61</v>
      </c>
      <c r="BB2952" s="174">
        <f t="shared" ca="1" si="152"/>
        <v>2889</v>
      </c>
      <c r="BC2952" s="525" t="e">
        <f ca="1">MATCH(BD2952,OFFSET(Pinlist!$A$2,BC2951*(BA2952=BA2951),0,$BM$23,1),0)+BC2951*(BA2952=BA2951)</f>
        <v>#N/A</v>
      </c>
      <c r="BD2952" s="167">
        <f t="shared" ca="1" si="153"/>
        <v>0</v>
      </c>
      <c r="BE2952" s="191" t="e">
        <f ca="1">(OFFSET(Pinlist!$E$1,BC2952,0)-$BN$16)*$BN$19</f>
        <v>#N/A</v>
      </c>
      <c r="BF2952" s="192" t="e">
        <f ca="1">(OFFSET(Pinlist!$F$1,BC2952,0)-$BO$16)*$BO$19</f>
        <v>#N/A</v>
      </c>
      <c r="BG2952" s="1098" t="str">
        <f ca="1">IF(LEFT(BD2952,2)="RF",OFFSET(Pinlist!$D$1,Chart!BC2952,0)&amp;"_"&amp;OFFSET(Pinlist!$G$1,Chart!BC2952,0),"")</f>
        <v/>
      </c>
      <c r="BH2952" s="1098"/>
    </row>
    <row r="2953" spans="53:60" x14ac:dyDescent="0.2">
      <c r="BA2953" s="518">
        <f t="shared" ca="1" si="151"/>
        <v>61</v>
      </c>
      <c r="BB2953" s="174">
        <f t="shared" ca="1" si="152"/>
        <v>2890</v>
      </c>
      <c r="BC2953" s="525" t="e">
        <f ca="1">MATCH(BD2953,OFFSET(Pinlist!$A$2,BC2952*(BA2953=BA2952),0,$BM$23,1),0)+BC2952*(BA2953=BA2952)</f>
        <v>#N/A</v>
      </c>
      <c r="BD2953" s="167">
        <f t="shared" ca="1" si="153"/>
        <v>0</v>
      </c>
      <c r="BE2953" s="191" t="e">
        <f ca="1">(OFFSET(Pinlist!$E$1,BC2953,0)-$BN$16)*$BN$19</f>
        <v>#N/A</v>
      </c>
      <c r="BF2953" s="192" t="e">
        <f ca="1">(OFFSET(Pinlist!$F$1,BC2953,0)-$BO$16)*$BO$19</f>
        <v>#N/A</v>
      </c>
      <c r="BG2953" s="1098" t="str">
        <f ca="1">IF(LEFT(BD2953,2)="RF",OFFSET(Pinlist!$D$1,Chart!BC2953,0)&amp;"_"&amp;OFFSET(Pinlist!$G$1,Chart!BC2953,0),"")</f>
        <v/>
      </c>
      <c r="BH2953" s="1098"/>
    </row>
    <row r="2954" spans="53:60" x14ac:dyDescent="0.2">
      <c r="BA2954" s="518">
        <f t="shared" ca="1" si="151"/>
        <v>61</v>
      </c>
      <c r="BB2954" s="174">
        <f t="shared" ca="1" si="152"/>
        <v>2891</v>
      </c>
      <c r="BC2954" s="525" t="e">
        <f ca="1">MATCH(BD2954,OFFSET(Pinlist!$A$2,BC2953*(BA2954=BA2953),0,$BM$23,1),0)+BC2953*(BA2954=BA2953)</f>
        <v>#N/A</v>
      </c>
      <c r="BD2954" s="167">
        <f t="shared" ca="1" si="153"/>
        <v>0</v>
      </c>
      <c r="BE2954" s="191" t="e">
        <f ca="1">(OFFSET(Pinlist!$E$1,BC2954,0)-$BN$16)*$BN$19</f>
        <v>#N/A</v>
      </c>
      <c r="BF2954" s="192" t="e">
        <f ca="1">(OFFSET(Pinlist!$F$1,BC2954,0)-$BO$16)*$BO$19</f>
        <v>#N/A</v>
      </c>
      <c r="BG2954" s="1098" t="str">
        <f ca="1">IF(LEFT(BD2954,2)="RF",OFFSET(Pinlist!$D$1,Chart!BC2954,0)&amp;"_"&amp;OFFSET(Pinlist!$G$1,Chart!BC2954,0),"")</f>
        <v/>
      </c>
      <c r="BH2954" s="1098"/>
    </row>
    <row r="2955" spans="53:60" x14ac:dyDescent="0.2">
      <c r="BA2955" s="518">
        <f t="shared" ca="1" si="151"/>
        <v>61</v>
      </c>
      <c r="BB2955" s="174">
        <f t="shared" ca="1" si="152"/>
        <v>2892</v>
      </c>
      <c r="BC2955" s="525" t="e">
        <f ca="1">MATCH(BD2955,OFFSET(Pinlist!$A$2,BC2954*(BA2955=BA2954),0,$BM$23,1),0)+BC2954*(BA2955=BA2954)</f>
        <v>#N/A</v>
      </c>
      <c r="BD2955" s="167">
        <f t="shared" ca="1" si="153"/>
        <v>0</v>
      </c>
      <c r="BE2955" s="191" t="e">
        <f ca="1">(OFFSET(Pinlist!$E$1,BC2955,0)-$BN$16)*$BN$19</f>
        <v>#N/A</v>
      </c>
      <c r="BF2955" s="192" t="e">
        <f ca="1">(OFFSET(Pinlist!$F$1,BC2955,0)-$BO$16)*$BO$19</f>
        <v>#N/A</v>
      </c>
      <c r="BG2955" s="1098" t="str">
        <f ca="1">IF(LEFT(BD2955,2)="RF",OFFSET(Pinlist!$D$1,Chart!BC2955,0)&amp;"_"&amp;OFFSET(Pinlist!$G$1,Chart!BC2955,0),"")</f>
        <v/>
      </c>
      <c r="BH2955" s="1098"/>
    </row>
    <row r="2956" spans="53:60" x14ac:dyDescent="0.2">
      <c r="BA2956" s="518">
        <f t="shared" ca="1" si="151"/>
        <v>61</v>
      </c>
      <c r="BB2956" s="174">
        <f t="shared" ca="1" si="152"/>
        <v>2893</v>
      </c>
      <c r="BC2956" s="525" t="e">
        <f ca="1">MATCH(BD2956,OFFSET(Pinlist!$A$2,BC2955*(BA2956=BA2955),0,$BM$23,1),0)+BC2955*(BA2956=BA2955)</f>
        <v>#N/A</v>
      </c>
      <c r="BD2956" s="167">
        <f t="shared" ca="1" si="153"/>
        <v>0</v>
      </c>
      <c r="BE2956" s="191" t="e">
        <f ca="1">(OFFSET(Pinlist!$E$1,BC2956,0)-$BN$16)*$BN$19</f>
        <v>#N/A</v>
      </c>
      <c r="BF2956" s="192" t="e">
        <f ca="1">(OFFSET(Pinlist!$F$1,BC2956,0)-$BO$16)*$BO$19</f>
        <v>#N/A</v>
      </c>
      <c r="BG2956" s="1098" t="str">
        <f ca="1">IF(LEFT(BD2956,2)="RF",OFFSET(Pinlist!$D$1,Chart!BC2956,0)&amp;"_"&amp;OFFSET(Pinlist!$G$1,Chart!BC2956,0),"")</f>
        <v/>
      </c>
      <c r="BH2956" s="1098"/>
    </row>
    <row r="2957" spans="53:60" x14ac:dyDescent="0.2">
      <c r="BA2957" s="518">
        <f t="shared" ca="1" si="151"/>
        <v>61</v>
      </c>
      <c r="BB2957" s="174">
        <f t="shared" ca="1" si="152"/>
        <v>2894</v>
      </c>
      <c r="BC2957" s="525" t="e">
        <f ca="1">MATCH(BD2957,OFFSET(Pinlist!$A$2,BC2956*(BA2957=BA2956),0,$BM$23,1),0)+BC2956*(BA2957=BA2956)</f>
        <v>#N/A</v>
      </c>
      <c r="BD2957" s="167">
        <f t="shared" ca="1" si="153"/>
        <v>0</v>
      </c>
      <c r="BE2957" s="191" t="e">
        <f ca="1">(OFFSET(Pinlist!$E$1,BC2957,0)-$BN$16)*$BN$19</f>
        <v>#N/A</v>
      </c>
      <c r="BF2957" s="192" t="e">
        <f ca="1">(OFFSET(Pinlist!$F$1,BC2957,0)-$BO$16)*$BO$19</f>
        <v>#N/A</v>
      </c>
      <c r="BG2957" s="1098" t="str">
        <f ca="1">IF(LEFT(BD2957,2)="RF",OFFSET(Pinlist!$D$1,Chart!BC2957,0)&amp;"_"&amp;OFFSET(Pinlist!$G$1,Chart!BC2957,0),"")</f>
        <v/>
      </c>
      <c r="BH2957" s="1098"/>
    </row>
    <row r="2958" spans="53:60" x14ac:dyDescent="0.2">
      <c r="BA2958" s="518">
        <f t="shared" ca="1" si="151"/>
        <v>61</v>
      </c>
      <c r="BB2958" s="174">
        <f t="shared" ca="1" si="152"/>
        <v>2895</v>
      </c>
      <c r="BC2958" s="525" t="e">
        <f ca="1">MATCH(BD2958,OFFSET(Pinlist!$A$2,BC2957*(BA2958=BA2957),0,$BM$23,1),0)+BC2957*(BA2958=BA2957)</f>
        <v>#N/A</v>
      </c>
      <c r="BD2958" s="167">
        <f t="shared" ca="1" si="153"/>
        <v>0</v>
      </c>
      <c r="BE2958" s="191" t="e">
        <f ca="1">(OFFSET(Pinlist!$E$1,BC2958,0)-$BN$16)*$BN$19</f>
        <v>#N/A</v>
      </c>
      <c r="BF2958" s="192" t="e">
        <f ca="1">(OFFSET(Pinlist!$F$1,BC2958,0)-$BO$16)*$BO$19</f>
        <v>#N/A</v>
      </c>
      <c r="BG2958" s="1098" t="str">
        <f ca="1">IF(LEFT(BD2958,2)="RF",OFFSET(Pinlist!$D$1,Chart!BC2958,0)&amp;"_"&amp;OFFSET(Pinlist!$G$1,Chart!BC2958,0),"")</f>
        <v/>
      </c>
      <c r="BH2958" s="1098"/>
    </row>
    <row r="2959" spans="53:60" x14ac:dyDescent="0.2">
      <c r="BA2959" s="518">
        <f t="shared" ca="1" si="151"/>
        <v>61</v>
      </c>
      <c r="BB2959" s="174">
        <f t="shared" ca="1" si="152"/>
        <v>2896</v>
      </c>
      <c r="BC2959" s="525" t="e">
        <f ca="1">MATCH(BD2959,OFFSET(Pinlist!$A$2,BC2958*(BA2959=BA2958),0,$BM$23,1),0)+BC2958*(BA2959=BA2958)</f>
        <v>#N/A</v>
      </c>
      <c r="BD2959" s="167">
        <f t="shared" ca="1" si="153"/>
        <v>0</v>
      </c>
      <c r="BE2959" s="191" t="e">
        <f ca="1">(OFFSET(Pinlist!$E$1,BC2959,0)-$BN$16)*$BN$19</f>
        <v>#N/A</v>
      </c>
      <c r="BF2959" s="192" t="e">
        <f ca="1">(OFFSET(Pinlist!$F$1,BC2959,0)-$BO$16)*$BO$19</f>
        <v>#N/A</v>
      </c>
      <c r="BG2959" s="1098" t="str">
        <f ca="1">IF(LEFT(BD2959,2)="RF",OFFSET(Pinlist!$D$1,Chart!BC2959,0)&amp;"_"&amp;OFFSET(Pinlist!$G$1,Chart!BC2959,0),"")</f>
        <v/>
      </c>
      <c r="BH2959" s="1098"/>
    </row>
    <row r="2960" spans="53:60" x14ac:dyDescent="0.2">
      <c r="BA2960" s="518">
        <f t="shared" ca="1" si="151"/>
        <v>61</v>
      </c>
      <c r="BB2960" s="174">
        <f t="shared" ca="1" si="152"/>
        <v>2897</v>
      </c>
      <c r="BC2960" s="525" t="e">
        <f ca="1">MATCH(BD2960,OFFSET(Pinlist!$A$2,BC2959*(BA2960=BA2959),0,$BM$23,1),0)+BC2959*(BA2960=BA2959)</f>
        <v>#N/A</v>
      </c>
      <c r="BD2960" s="167">
        <f t="shared" ca="1" si="153"/>
        <v>0</v>
      </c>
      <c r="BE2960" s="191" t="e">
        <f ca="1">(OFFSET(Pinlist!$E$1,BC2960,0)-$BN$16)*$BN$19</f>
        <v>#N/A</v>
      </c>
      <c r="BF2960" s="192" t="e">
        <f ca="1">(OFFSET(Pinlist!$F$1,BC2960,0)-$BO$16)*$BO$19</f>
        <v>#N/A</v>
      </c>
      <c r="BG2960" s="1098" t="str">
        <f ca="1">IF(LEFT(BD2960,2)="RF",OFFSET(Pinlist!$D$1,Chart!BC2960,0)&amp;"_"&amp;OFFSET(Pinlist!$G$1,Chart!BC2960,0),"")</f>
        <v/>
      </c>
      <c r="BH2960" s="1098"/>
    </row>
    <row r="2961" spans="53:60" x14ac:dyDescent="0.2">
      <c r="BA2961" s="518">
        <f t="shared" ca="1" si="151"/>
        <v>61</v>
      </c>
      <c r="BB2961" s="174">
        <f t="shared" ca="1" si="152"/>
        <v>2898</v>
      </c>
      <c r="BC2961" s="525" t="e">
        <f ca="1">MATCH(BD2961,OFFSET(Pinlist!$A$2,BC2960*(BA2961=BA2960),0,$BM$23,1),0)+BC2960*(BA2961=BA2960)</f>
        <v>#N/A</v>
      </c>
      <c r="BD2961" s="167">
        <f t="shared" ca="1" si="153"/>
        <v>0</v>
      </c>
      <c r="BE2961" s="191" t="e">
        <f ca="1">(OFFSET(Pinlist!$E$1,BC2961,0)-$BN$16)*$BN$19</f>
        <v>#N/A</v>
      </c>
      <c r="BF2961" s="192" t="e">
        <f ca="1">(OFFSET(Pinlist!$F$1,BC2961,0)-$BO$16)*$BO$19</f>
        <v>#N/A</v>
      </c>
      <c r="BG2961" s="1098" t="str">
        <f ca="1">IF(LEFT(BD2961,2)="RF",OFFSET(Pinlist!$D$1,Chart!BC2961,0)&amp;"_"&amp;OFFSET(Pinlist!$G$1,Chart!BC2961,0),"")</f>
        <v/>
      </c>
      <c r="BH2961" s="1098"/>
    </row>
    <row r="2962" spans="53:60" x14ac:dyDescent="0.2">
      <c r="BA2962" s="518">
        <f t="shared" ca="1" si="151"/>
        <v>61</v>
      </c>
      <c r="BB2962" s="174">
        <f t="shared" ca="1" si="152"/>
        <v>2899</v>
      </c>
      <c r="BC2962" s="525" t="e">
        <f ca="1">MATCH(BD2962,OFFSET(Pinlist!$A$2,BC2961*(BA2962=BA2961),0,$BM$23,1),0)+BC2961*(BA2962=BA2961)</f>
        <v>#N/A</v>
      </c>
      <c r="BD2962" s="167">
        <f t="shared" ca="1" si="153"/>
        <v>0</v>
      </c>
      <c r="BE2962" s="191" t="e">
        <f ca="1">(OFFSET(Pinlist!$E$1,BC2962,0)-$BN$16)*$BN$19</f>
        <v>#N/A</v>
      </c>
      <c r="BF2962" s="192" t="e">
        <f ca="1">(OFFSET(Pinlist!$F$1,BC2962,0)-$BO$16)*$BO$19</f>
        <v>#N/A</v>
      </c>
      <c r="BG2962" s="1098" t="str">
        <f ca="1">IF(LEFT(BD2962,2)="RF",OFFSET(Pinlist!$D$1,Chart!BC2962,0)&amp;"_"&amp;OFFSET(Pinlist!$G$1,Chart!BC2962,0),"")</f>
        <v/>
      </c>
      <c r="BH2962" s="1098"/>
    </row>
    <row r="2963" spans="53:60" x14ac:dyDescent="0.2">
      <c r="BA2963" s="518">
        <f t="shared" ca="1" si="151"/>
        <v>61</v>
      </c>
      <c r="BB2963" s="174">
        <f t="shared" ca="1" si="152"/>
        <v>2900</v>
      </c>
      <c r="BC2963" s="525" t="e">
        <f ca="1">MATCH(BD2963,OFFSET(Pinlist!$A$2,BC2962*(BA2963=BA2962),0,$BM$23,1),0)+BC2962*(BA2963=BA2962)</f>
        <v>#N/A</v>
      </c>
      <c r="BD2963" s="167">
        <f t="shared" ca="1" si="153"/>
        <v>0</v>
      </c>
      <c r="BE2963" s="191" t="e">
        <f ca="1">(OFFSET(Pinlist!$E$1,BC2963,0)-$BN$16)*$BN$19</f>
        <v>#N/A</v>
      </c>
      <c r="BF2963" s="192" t="e">
        <f ca="1">(OFFSET(Pinlist!$F$1,BC2963,0)-$BO$16)*$BO$19</f>
        <v>#N/A</v>
      </c>
      <c r="BG2963" s="1098" t="str">
        <f ca="1">IF(LEFT(BD2963,2)="RF",OFFSET(Pinlist!$D$1,Chart!BC2963,0)&amp;"_"&amp;OFFSET(Pinlist!$G$1,Chart!BC2963,0),"")</f>
        <v/>
      </c>
      <c r="BH2963" s="1098"/>
    </row>
    <row r="2964" spans="53:60" x14ac:dyDescent="0.2">
      <c r="BA2964" s="518">
        <f t="shared" ca="1" si="151"/>
        <v>61</v>
      </c>
      <c r="BB2964" s="174">
        <f t="shared" ca="1" si="152"/>
        <v>2901</v>
      </c>
      <c r="BC2964" s="525" t="e">
        <f ca="1">MATCH(BD2964,OFFSET(Pinlist!$A$2,BC2963*(BA2964=BA2963),0,$BM$23,1),0)+BC2963*(BA2964=BA2963)</f>
        <v>#N/A</v>
      </c>
      <c r="BD2964" s="167">
        <f t="shared" ca="1" si="153"/>
        <v>0</v>
      </c>
      <c r="BE2964" s="191" t="e">
        <f ca="1">(OFFSET(Pinlist!$E$1,BC2964,0)-$BN$16)*$BN$19</f>
        <v>#N/A</v>
      </c>
      <c r="BF2964" s="192" t="e">
        <f ca="1">(OFFSET(Pinlist!$F$1,BC2964,0)-$BO$16)*$BO$19</f>
        <v>#N/A</v>
      </c>
      <c r="BG2964" s="1098" t="str">
        <f ca="1">IF(LEFT(BD2964,2)="RF",OFFSET(Pinlist!$D$1,Chart!BC2964,0)&amp;"_"&amp;OFFSET(Pinlist!$G$1,Chart!BC2964,0),"")</f>
        <v/>
      </c>
      <c r="BH2964" s="1098"/>
    </row>
    <row r="2965" spans="53:60" x14ac:dyDescent="0.2">
      <c r="BA2965" s="518">
        <f t="shared" ca="1" si="151"/>
        <v>61</v>
      </c>
      <c r="BB2965" s="174">
        <f t="shared" ca="1" si="152"/>
        <v>2902</v>
      </c>
      <c r="BC2965" s="525" t="e">
        <f ca="1">MATCH(BD2965,OFFSET(Pinlist!$A$2,BC2964*(BA2965=BA2964),0,$BM$23,1),0)+BC2964*(BA2965=BA2964)</f>
        <v>#N/A</v>
      </c>
      <c r="BD2965" s="167">
        <f t="shared" ca="1" si="153"/>
        <v>0</v>
      </c>
      <c r="BE2965" s="191" t="e">
        <f ca="1">(OFFSET(Pinlist!$E$1,BC2965,0)-$BN$16)*$BN$19</f>
        <v>#N/A</v>
      </c>
      <c r="BF2965" s="192" t="e">
        <f ca="1">(OFFSET(Pinlist!$F$1,BC2965,0)-$BO$16)*$BO$19</f>
        <v>#N/A</v>
      </c>
      <c r="BG2965" s="1098" t="str">
        <f ca="1">IF(LEFT(BD2965,2)="RF",OFFSET(Pinlist!$D$1,Chart!BC2965,0)&amp;"_"&amp;OFFSET(Pinlist!$G$1,Chart!BC2965,0),"")</f>
        <v/>
      </c>
      <c r="BH2965" s="1098"/>
    </row>
    <row r="2966" spans="53:60" x14ac:dyDescent="0.2">
      <c r="BA2966" s="518">
        <f t="shared" ca="1" si="151"/>
        <v>61</v>
      </c>
      <c r="BB2966" s="174">
        <f t="shared" ca="1" si="152"/>
        <v>2903</v>
      </c>
      <c r="BC2966" s="525" t="e">
        <f ca="1">MATCH(BD2966,OFFSET(Pinlist!$A$2,BC2965*(BA2966=BA2965),0,$BM$23,1),0)+BC2965*(BA2966=BA2965)</f>
        <v>#N/A</v>
      </c>
      <c r="BD2966" s="167">
        <f t="shared" ca="1" si="153"/>
        <v>0</v>
      </c>
      <c r="BE2966" s="191" t="e">
        <f ca="1">(OFFSET(Pinlist!$E$1,BC2966,0)-$BN$16)*$BN$19</f>
        <v>#N/A</v>
      </c>
      <c r="BF2966" s="192" t="e">
        <f ca="1">(OFFSET(Pinlist!$F$1,BC2966,0)-$BO$16)*$BO$19</f>
        <v>#N/A</v>
      </c>
      <c r="BG2966" s="1098" t="str">
        <f ca="1">IF(LEFT(BD2966,2)="RF",OFFSET(Pinlist!$D$1,Chart!BC2966,0)&amp;"_"&amp;OFFSET(Pinlist!$G$1,Chart!BC2966,0),"")</f>
        <v/>
      </c>
      <c r="BH2966" s="1098"/>
    </row>
    <row r="2967" spans="53:60" x14ac:dyDescent="0.2">
      <c r="BA2967" s="518">
        <f t="shared" ca="1" si="151"/>
        <v>61</v>
      </c>
      <c r="BB2967" s="174">
        <f t="shared" ca="1" si="152"/>
        <v>2904</v>
      </c>
      <c r="BC2967" s="525" t="e">
        <f ca="1">MATCH(BD2967,OFFSET(Pinlist!$A$2,BC2966*(BA2967=BA2966),0,$BM$23,1),0)+BC2966*(BA2967=BA2966)</f>
        <v>#N/A</v>
      </c>
      <c r="BD2967" s="167">
        <f t="shared" ca="1" si="153"/>
        <v>0</v>
      </c>
      <c r="BE2967" s="191" t="e">
        <f ca="1">(OFFSET(Pinlist!$E$1,BC2967,0)-$BN$16)*$BN$19</f>
        <v>#N/A</v>
      </c>
      <c r="BF2967" s="192" t="e">
        <f ca="1">(OFFSET(Pinlist!$F$1,BC2967,0)-$BO$16)*$BO$19</f>
        <v>#N/A</v>
      </c>
      <c r="BG2967" s="1098" t="str">
        <f ca="1">IF(LEFT(BD2967,2)="RF",OFFSET(Pinlist!$D$1,Chart!BC2967,0)&amp;"_"&amp;OFFSET(Pinlist!$G$1,Chart!BC2967,0),"")</f>
        <v/>
      </c>
      <c r="BH2967" s="1098"/>
    </row>
    <row r="2968" spans="53:60" x14ac:dyDescent="0.2">
      <c r="BA2968" s="518">
        <f t="shared" ca="1" si="151"/>
        <v>61</v>
      </c>
      <c r="BB2968" s="174">
        <f t="shared" ca="1" si="152"/>
        <v>2905</v>
      </c>
      <c r="BC2968" s="525" t="e">
        <f ca="1">MATCH(BD2968,OFFSET(Pinlist!$A$2,BC2967*(BA2968=BA2967),0,$BM$23,1),0)+BC2967*(BA2968=BA2967)</f>
        <v>#N/A</v>
      </c>
      <c r="BD2968" s="167">
        <f t="shared" ca="1" si="153"/>
        <v>0</v>
      </c>
      <c r="BE2968" s="191" t="e">
        <f ca="1">(OFFSET(Pinlist!$E$1,BC2968,0)-$BN$16)*$BN$19</f>
        <v>#N/A</v>
      </c>
      <c r="BF2968" s="192" t="e">
        <f ca="1">(OFFSET(Pinlist!$F$1,BC2968,0)-$BO$16)*$BO$19</f>
        <v>#N/A</v>
      </c>
      <c r="BG2968" s="1098" t="str">
        <f ca="1">IF(LEFT(BD2968,2)="RF",OFFSET(Pinlist!$D$1,Chart!BC2968,0)&amp;"_"&amp;OFFSET(Pinlist!$G$1,Chart!BC2968,0),"")</f>
        <v/>
      </c>
      <c r="BH2968" s="1098"/>
    </row>
    <row r="2969" spans="53:60" x14ac:dyDescent="0.2">
      <c r="BA2969" s="518">
        <f t="shared" ca="1" si="151"/>
        <v>61</v>
      </c>
      <c r="BB2969" s="174">
        <f t="shared" ca="1" si="152"/>
        <v>2906</v>
      </c>
      <c r="BC2969" s="525" t="e">
        <f ca="1">MATCH(BD2969,OFFSET(Pinlist!$A$2,BC2968*(BA2969=BA2968),0,$BM$23,1),0)+BC2968*(BA2969=BA2968)</f>
        <v>#N/A</v>
      </c>
      <c r="BD2969" s="167">
        <f t="shared" ca="1" si="153"/>
        <v>0</v>
      </c>
      <c r="BE2969" s="191" t="e">
        <f ca="1">(OFFSET(Pinlist!$E$1,BC2969,0)-$BN$16)*$BN$19</f>
        <v>#N/A</v>
      </c>
      <c r="BF2969" s="192" t="e">
        <f ca="1">(OFFSET(Pinlist!$F$1,BC2969,0)-$BO$16)*$BO$19</f>
        <v>#N/A</v>
      </c>
      <c r="BG2969" s="1098" t="str">
        <f ca="1">IF(LEFT(BD2969,2)="RF",OFFSET(Pinlist!$D$1,Chart!BC2969,0)&amp;"_"&amp;OFFSET(Pinlist!$G$1,Chart!BC2969,0),"")</f>
        <v/>
      </c>
      <c r="BH2969" s="1098"/>
    </row>
    <row r="2970" spans="53:60" x14ac:dyDescent="0.2">
      <c r="BA2970" s="518">
        <f t="shared" ca="1" si="151"/>
        <v>61</v>
      </c>
      <c r="BB2970" s="174">
        <f t="shared" ca="1" si="152"/>
        <v>2907</v>
      </c>
      <c r="BC2970" s="525" t="e">
        <f ca="1">MATCH(BD2970,OFFSET(Pinlist!$A$2,BC2969*(BA2970=BA2969),0,$BM$23,1),0)+BC2969*(BA2970=BA2969)</f>
        <v>#N/A</v>
      </c>
      <c r="BD2970" s="167">
        <f t="shared" ca="1" si="153"/>
        <v>0</v>
      </c>
      <c r="BE2970" s="191" t="e">
        <f ca="1">(OFFSET(Pinlist!$E$1,BC2970,0)-$BN$16)*$BN$19</f>
        <v>#N/A</v>
      </c>
      <c r="BF2970" s="192" t="e">
        <f ca="1">(OFFSET(Pinlist!$F$1,BC2970,0)-$BO$16)*$BO$19</f>
        <v>#N/A</v>
      </c>
      <c r="BG2970" s="1098" t="str">
        <f ca="1">IF(LEFT(BD2970,2)="RF",OFFSET(Pinlist!$D$1,Chart!BC2970,0)&amp;"_"&amp;OFFSET(Pinlist!$G$1,Chart!BC2970,0),"")</f>
        <v/>
      </c>
      <c r="BH2970" s="1098"/>
    </row>
    <row r="2971" spans="53:60" x14ac:dyDescent="0.2">
      <c r="BA2971" s="518">
        <f t="shared" ca="1" si="151"/>
        <v>61</v>
      </c>
      <c r="BB2971" s="174">
        <f t="shared" ca="1" si="152"/>
        <v>2908</v>
      </c>
      <c r="BC2971" s="525" t="e">
        <f ca="1">MATCH(BD2971,OFFSET(Pinlist!$A$2,BC2970*(BA2971=BA2970),0,$BM$23,1),0)+BC2970*(BA2971=BA2970)</f>
        <v>#N/A</v>
      </c>
      <c r="BD2971" s="167">
        <f t="shared" ca="1" si="153"/>
        <v>0</v>
      </c>
      <c r="BE2971" s="191" t="e">
        <f ca="1">(OFFSET(Pinlist!$E$1,BC2971,0)-$BN$16)*$BN$19</f>
        <v>#N/A</v>
      </c>
      <c r="BF2971" s="192" t="e">
        <f ca="1">(OFFSET(Pinlist!$F$1,BC2971,0)-$BO$16)*$BO$19</f>
        <v>#N/A</v>
      </c>
      <c r="BG2971" s="1098" t="str">
        <f ca="1">IF(LEFT(BD2971,2)="RF",OFFSET(Pinlist!$D$1,Chart!BC2971,0)&amp;"_"&amp;OFFSET(Pinlist!$G$1,Chart!BC2971,0),"")</f>
        <v/>
      </c>
      <c r="BH2971" s="1098"/>
    </row>
    <row r="2972" spans="53:60" x14ac:dyDescent="0.2">
      <c r="BA2972" s="518">
        <f t="shared" ca="1" si="151"/>
        <v>61</v>
      </c>
      <c r="BB2972" s="174">
        <f t="shared" ca="1" si="152"/>
        <v>2909</v>
      </c>
      <c r="BC2972" s="525" t="e">
        <f ca="1">MATCH(BD2972,OFFSET(Pinlist!$A$2,BC2971*(BA2972=BA2971),0,$BM$23,1),0)+BC2971*(BA2972=BA2971)</f>
        <v>#N/A</v>
      </c>
      <c r="BD2972" s="167">
        <f t="shared" ca="1" si="153"/>
        <v>0</v>
      </c>
      <c r="BE2972" s="191" t="e">
        <f ca="1">(OFFSET(Pinlist!$E$1,BC2972,0)-$BN$16)*$BN$19</f>
        <v>#N/A</v>
      </c>
      <c r="BF2972" s="192" t="e">
        <f ca="1">(OFFSET(Pinlist!$F$1,BC2972,0)-$BO$16)*$BO$19</f>
        <v>#N/A</v>
      </c>
      <c r="BG2972" s="1098" t="str">
        <f ca="1">IF(LEFT(BD2972,2)="RF",OFFSET(Pinlist!$D$1,Chart!BC2972,0)&amp;"_"&amp;OFFSET(Pinlist!$G$1,Chart!BC2972,0),"")</f>
        <v/>
      </c>
      <c r="BH2972" s="1098"/>
    </row>
    <row r="2973" spans="53:60" x14ac:dyDescent="0.2">
      <c r="BA2973" s="518">
        <f t="shared" ca="1" si="151"/>
        <v>61</v>
      </c>
      <c r="BB2973" s="174">
        <f t="shared" ca="1" si="152"/>
        <v>2910</v>
      </c>
      <c r="BC2973" s="525" t="e">
        <f ca="1">MATCH(BD2973,OFFSET(Pinlist!$A$2,BC2972*(BA2973=BA2972),0,$BM$23,1),0)+BC2972*(BA2973=BA2972)</f>
        <v>#N/A</v>
      </c>
      <c r="BD2973" s="167">
        <f t="shared" ca="1" si="153"/>
        <v>0</v>
      </c>
      <c r="BE2973" s="191" t="e">
        <f ca="1">(OFFSET(Pinlist!$E$1,BC2973,0)-$BN$16)*$BN$19</f>
        <v>#N/A</v>
      </c>
      <c r="BF2973" s="192" t="e">
        <f ca="1">(OFFSET(Pinlist!$F$1,BC2973,0)-$BO$16)*$BO$19</f>
        <v>#N/A</v>
      </c>
      <c r="BG2973" s="1098" t="str">
        <f ca="1">IF(LEFT(BD2973,2)="RF",OFFSET(Pinlist!$D$1,Chart!BC2973,0)&amp;"_"&amp;OFFSET(Pinlist!$G$1,Chart!BC2973,0),"")</f>
        <v/>
      </c>
      <c r="BH2973" s="1098"/>
    </row>
    <row r="2974" spans="53:60" x14ac:dyDescent="0.2">
      <c r="BA2974" s="518">
        <f t="shared" ca="1" si="151"/>
        <v>61</v>
      </c>
      <c r="BB2974" s="174">
        <f t="shared" ca="1" si="152"/>
        <v>2911</v>
      </c>
      <c r="BC2974" s="525" t="e">
        <f ca="1">MATCH(BD2974,OFFSET(Pinlist!$A$2,BC2973*(BA2974=BA2973),0,$BM$23,1),0)+BC2973*(BA2974=BA2973)</f>
        <v>#N/A</v>
      </c>
      <c r="BD2974" s="167">
        <f t="shared" ca="1" si="153"/>
        <v>0</v>
      </c>
      <c r="BE2974" s="191" t="e">
        <f ca="1">(OFFSET(Pinlist!$E$1,BC2974,0)-$BN$16)*$BN$19</f>
        <v>#N/A</v>
      </c>
      <c r="BF2974" s="192" t="e">
        <f ca="1">(OFFSET(Pinlist!$F$1,BC2974,0)-$BO$16)*$BO$19</f>
        <v>#N/A</v>
      </c>
      <c r="BG2974" s="1098" t="str">
        <f ca="1">IF(LEFT(BD2974,2)="RF",OFFSET(Pinlist!$D$1,Chart!BC2974,0)&amp;"_"&amp;OFFSET(Pinlist!$G$1,Chart!BC2974,0),"")</f>
        <v/>
      </c>
      <c r="BH2974" s="1098"/>
    </row>
    <row r="2975" spans="53:60" x14ac:dyDescent="0.2">
      <c r="BA2975" s="518">
        <f t="shared" ca="1" si="151"/>
        <v>61</v>
      </c>
      <c r="BB2975" s="174">
        <f t="shared" ca="1" si="152"/>
        <v>2912</v>
      </c>
      <c r="BC2975" s="525" t="e">
        <f ca="1">MATCH(BD2975,OFFSET(Pinlist!$A$2,BC2974*(BA2975=BA2974),0,$BM$23,1),0)+BC2974*(BA2975=BA2974)</f>
        <v>#N/A</v>
      </c>
      <c r="BD2975" s="167">
        <f t="shared" ca="1" si="153"/>
        <v>0</v>
      </c>
      <c r="BE2975" s="191" t="e">
        <f ca="1">(OFFSET(Pinlist!$E$1,BC2975,0)-$BN$16)*$BN$19</f>
        <v>#N/A</v>
      </c>
      <c r="BF2975" s="192" t="e">
        <f ca="1">(OFFSET(Pinlist!$F$1,BC2975,0)-$BO$16)*$BO$19</f>
        <v>#N/A</v>
      </c>
      <c r="BG2975" s="1098" t="str">
        <f ca="1">IF(LEFT(BD2975,2)="RF",OFFSET(Pinlist!$D$1,Chart!BC2975,0)&amp;"_"&amp;OFFSET(Pinlist!$G$1,Chart!BC2975,0),"")</f>
        <v/>
      </c>
      <c r="BH2975" s="1098"/>
    </row>
    <row r="2976" spans="53:60" x14ac:dyDescent="0.2">
      <c r="BA2976" s="518">
        <f t="shared" ca="1" si="151"/>
        <v>61</v>
      </c>
      <c r="BB2976" s="174">
        <f t="shared" ca="1" si="152"/>
        <v>2913</v>
      </c>
      <c r="BC2976" s="525" t="e">
        <f ca="1">MATCH(BD2976,OFFSET(Pinlist!$A$2,BC2975*(BA2976=BA2975),0,$BM$23,1),0)+BC2975*(BA2976=BA2975)</f>
        <v>#N/A</v>
      </c>
      <c r="BD2976" s="167">
        <f t="shared" ca="1" si="153"/>
        <v>0</v>
      </c>
      <c r="BE2976" s="191" t="e">
        <f ca="1">(OFFSET(Pinlist!$E$1,BC2976,0)-$BN$16)*$BN$19</f>
        <v>#N/A</v>
      </c>
      <c r="BF2976" s="192" t="e">
        <f ca="1">(OFFSET(Pinlist!$F$1,BC2976,0)-$BO$16)*$BO$19</f>
        <v>#N/A</v>
      </c>
      <c r="BG2976" s="1098" t="str">
        <f ca="1">IF(LEFT(BD2976,2)="RF",OFFSET(Pinlist!$D$1,Chart!BC2976,0)&amp;"_"&amp;OFFSET(Pinlist!$G$1,Chart!BC2976,0),"")</f>
        <v/>
      </c>
      <c r="BH2976" s="1098"/>
    </row>
    <row r="2977" spans="53:60" x14ac:dyDescent="0.2">
      <c r="BA2977" s="518">
        <f t="shared" ca="1" si="151"/>
        <v>61</v>
      </c>
      <c r="BB2977" s="174">
        <f t="shared" ca="1" si="152"/>
        <v>2914</v>
      </c>
      <c r="BC2977" s="525" t="e">
        <f ca="1">MATCH(BD2977,OFFSET(Pinlist!$A$2,BC2976*(BA2977=BA2976),0,$BM$23,1),0)+BC2976*(BA2977=BA2976)</f>
        <v>#N/A</v>
      </c>
      <c r="BD2977" s="167">
        <f t="shared" ca="1" si="153"/>
        <v>0</v>
      </c>
      <c r="BE2977" s="191" t="e">
        <f ca="1">(OFFSET(Pinlist!$E$1,BC2977,0)-$BN$16)*$BN$19</f>
        <v>#N/A</v>
      </c>
      <c r="BF2977" s="192" t="e">
        <f ca="1">(OFFSET(Pinlist!$F$1,BC2977,0)-$BO$16)*$BO$19</f>
        <v>#N/A</v>
      </c>
      <c r="BG2977" s="1098" t="str">
        <f ca="1">IF(LEFT(BD2977,2)="RF",OFFSET(Pinlist!$D$1,Chart!BC2977,0)&amp;"_"&amp;OFFSET(Pinlist!$G$1,Chart!BC2977,0),"")</f>
        <v/>
      </c>
      <c r="BH2977" s="1098"/>
    </row>
    <row r="2978" spans="53:60" x14ac:dyDescent="0.2">
      <c r="BA2978" s="518">
        <f t="shared" ca="1" si="151"/>
        <v>61</v>
      </c>
      <c r="BB2978" s="174">
        <f t="shared" ca="1" si="152"/>
        <v>2915</v>
      </c>
      <c r="BC2978" s="525" t="e">
        <f ca="1">MATCH(BD2978,OFFSET(Pinlist!$A$2,BC2977*(BA2978=BA2977),0,$BM$23,1),0)+BC2977*(BA2978=BA2977)</f>
        <v>#N/A</v>
      </c>
      <c r="BD2978" s="167">
        <f t="shared" ca="1" si="153"/>
        <v>0</v>
      </c>
      <c r="BE2978" s="191" t="e">
        <f ca="1">(OFFSET(Pinlist!$E$1,BC2978,0)-$BN$16)*$BN$19</f>
        <v>#N/A</v>
      </c>
      <c r="BF2978" s="192" t="e">
        <f ca="1">(OFFSET(Pinlist!$F$1,BC2978,0)-$BO$16)*$BO$19</f>
        <v>#N/A</v>
      </c>
      <c r="BG2978" s="1098" t="str">
        <f ca="1">IF(LEFT(BD2978,2)="RF",OFFSET(Pinlist!$D$1,Chart!BC2978,0)&amp;"_"&amp;OFFSET(Pinlist!$G$1,Chart!BC2978,0),"")</f>
        <v/>
      </c>
      <c r="BH2978" s="1098"/>
    </row>
    <row r="2979" spans="53:60" x14ac:dyDescent="0.2">
      <c r="BA2979" s="518">
        <f t="shared" ca="1" si="151"/>
        <v>61</v>
      </c>
      <c r="BB2979" s="174">
        <f t="shared" ca="1" si="152"/>
        <v>2916</v>
      </c>
      <c r="BC2979" s="525" t="e">
        <f ca="1">MATCH(BD2979,OFFSET(Pinlist!$A$2,BC2978*(BA2979=BA2978),0,$BM$23,1),0)+BC2978*(BA2979=BA2978)</f>
        <v>#N/A</v>
      </c>
      <c r="BD2979" s="167">
        <f t="shared" ca="1" si="153"/>
        <v>0</v>
      </c>
      <c r="BE2979" s="191" t="e">
        <f ca="1">(OFFSET(Pinlist!$E$1,BC2979,0)-$BN$16)*$BN$19</f>
        <v>#N/A</v>
      </c>
      <c r="BF2979" s="192" t="e">
        <f ca="1">(OFFSET(Pinlist!$F$1,BC2979,0)-$BO$16)*$BO$19</f>
        <v>#N/A</v>
      </c>
      <c r="BG2979" s="1098" t="str">
        <f ca="1">IF(LEFT(BD2979,2)="RF",OFFSET(Pinlist!$D$1,Chart!BC2979,0)&amp;"_"&amp;OFFSET(Pinlist!$G$1,Chart!BC2979,0),"")</f>
        <v/>
      </c>
      <c r="BH2979" s="1098"/>
    </row>
    <row r="2980" spans="53:60" x14ac:dyDescent="0.2">
      <c r="BA2980" s="518">
        <f t="shared" ca="1" si="151"/>
        <v>61</v>
      </c>
      <c r="BB2980" s="174">
        <f t="shared" ca="1" si="152"/>
        <v>2917</v>
      </c>
      <c r="BC2980" s="525" t="e">
        <f ca="1">MATCH(BD2980,OFFSET(Pinlist!$A$2,BC2979*(BA2980=BA2979),0,$BM$23,1),0)+BC2979*(BA2980=BA2979)</f>
        <v>#N/A</v>
      </c>
      <c r="BD2980" s="167">
        <f t="shared" ca="1" si="153"/>
        <v>0</v>
      </c>
      <c r="BE2980" s="191" t="e">
        <f ca="1">(OFFSET(Pinlist!$E$1,BC2980,0)-$BN$16)*$BN$19</f>
        <v>#N/A</v>
      </c>
      <c r="BF2980" s="192" t="e">
        <f ca="1">(OFFSET(Pinlist!$F$1,BC2980,0)-$BO$16)*$BO$19</f>
        <v>#N/A</v>
      </c>
      <c r="BG2980" s="1098" t="str">
        <f ca="1">IF(LEFT(BD2980,2)="RF",OFFSET(Pinlist!$D$1,Chart!BC2980,0)&amp;"_"&amp;OFFSET(Pinlist!$G$1,Chart!BC2980,0),"")</f>
        <v/>
      </c>
      <c r="BH2980" s="1098"/>
    </row>
    <row r="2981" spans="53:60" x14ac:dyDescent="0.2">
      <c r="BA2981" s="518">
        <f t="shared" ca="1" si="151"/>
        <v>61</v>
      </c>
      <c r="BB2981" s="174">
        <f t="shared" ca="1" si="152"/>
        <v>2918</v>
      </c>
      <c r="BC2981" s="525" t="e">
        <f ca="1">MATCH(BD2981,OFFSET(Pinlist!$A$2,BC2980*(BA2981=BA2980),0,$BM$23,1),0)+BC2980*(BA2981=BA2980)</f>
        <v>#N/A</v>
      </c>
      <c r="BD2981" s="167">
        <f t="shared" ca="1" si="153"/>
        <v>0</v>
      </c>
      <c r="BE2981" s="191" t="e">
        <f ca="1">(OFFSET(Pinlist!$E$1,BC2981,0)-$BN$16)*$BN$19</f>
        <v>#N/A</v>
      </c>
      <c r="BF2981" s="192" t="e">
        <f ca="1">(OFFSET(Pinlist!$F$1,BC2981,0)-$BO$16)*$BO$19</f>
        <v>#N/A</v>
      </c>
      <c r="BG2981" s="1098" t="str">
        <f ca="1">IF(LEFT(BD2981,2)="RF",OFFSET(Pinlist!$D$1,Chart!BC2981,0)&amp;"_"&amp;OFFSET(Pinlist!$G$1,Chart!BC2981,0),"")</f>
        <v/>
      </c>
      <c r="BH2981" s="1098"/>
    </row>
    <row r="2982" spans="53:60" x14ac:dyDescent="0.2">
      <c r="BA2982" s="518">
        <f t="shared" ca="1" si="151"/>
        <v>61</v>
      </c>
      <c r="BB2982" s="174">
        <f t="shared" ca="1" si="152"/>
        <v>2919</v>
      </c>
      <c r="BC2982" s="525" t="e">
        <f ca="1">MATCH(BD2982,OFFSET(Pinlist!$A$2,BC2981*(BA2982=BA2981),0,$BM$23,1),0)+BC2981*(BA2982=BA2981)</f>
        <v>#N/A</v>
      </c>
      <c r="BD2982" s="167">
        <f t="shared" ca="1" si="153"/>
        <v>0</v>
      </c>
      <c r="BE2982" s="191" t="e">
        <f ca="1">(OFFSET(Pinlist!$E$1,BC2982,0)-$BN$16)*$BN$19</f>
        <v>#N/A</v>
      </c>
      <c r="BF2982" s="192" t="e">
        <f ca="1">(OFFSET(Pinlist!$F$1,BC2982,0)-$BO$16)*$BO$19</f>
        <v>#N/A</v>
      </c>
      <c r="BG2982" s="1098" t="str">
        <f ca="1">IF(LEFT(BD2982,2)="RF",OFFSET(Pinlist!$D$1,Chart!BC2982,0)&amp;"_"&amp;OFFSET(Pinlist!$G$1,Chart!BC2982,0),"")</f>
        <v/>
      </c>
      <c r="BH2982" s="1098"/>
    </row>
    <row r="2983" spans="53:60" x14ac:dyDescent="0.2">
      <c r="BA2983" s="518">
        <f t="shared" ca="1" si="151"/>
        <v>61</v>
      </c>
      <c r="BB2983" s="174">
        <f t="shared" ca="1" si="152"/>
        <v>2920</v>
      </c>
      <c r="BC2983" s="525" t="e">
        <f ca="1">MATCH(BD2983,OFFSET(Pinlist!$A$2,BC2982*(BA2983=BA2982),0,$BM$23,1),0)+BC2982*(BA2983=BA2982)</f>
        <v>#N/A</v>
      </c>
      <c r="BD2983" s="167">
        <f t="shared" ca="1" si="153"/>
        <v>0</v>
      </c>
      <c r="BE2983" s="191" t="e">
        <f ca="1">(OFFSET(Pinlist!$E$1,BC2983,0)-$BN$16)*$BN$19</f>
        <v>#N/A</v>
      </c>
      <c r="BF2983" s="192" t="e">
        <f ca="1">(OFFSET(Pinlist!$F$1,BC2983,0)-$BO$16)*$BO$19</f>
        <v>#N/A</v>
      </c>
      <c r="BG2983" s="1098" t="str">
        <f ca="1">IF(LEFT(BD2983,2)="RF",OFFSET(Pinlist!$D$1,Chart!BC2983,0)&amp;"_"&amp;OFFSET(Pinlist!$G$1,Chart!BC2983,0),"")</f>
        <v/>
      </c>
      <c r="BH2983" s="1098"/>
    </row>
    <row r="2984" spans="53:60" x14ac:dyDescent="0.2">
      <c r="BA2984" s="518">
        <f t="shared" ca="1" si="151"/>
        <v>61</v>
      </c>
      <c r="BB2984" s="174">
        <f t="shared" ca="1" si="152"/>
        <v>2921</v>
      </c>
      <c r="BC2984" s="525" t="e">
        <f ca="1">MATCH(BD2984,OFFSET(Pinlist!$A$2,BC2983*(BA2984=BA2983),0,$BM$23,1),0)+BC2983*(BA2984=BA2983)</f>
        <v>#N/A</v>
      </c>
      <c r="BD2984" s="167">
        <f t="shared" ca="1" si="153"/>
        <v>0</v>
      </c>
      <c r="BE2984" s="191" t="e">
        <f ca="1">(OFFSET(Pinlist!$E$1,BC2984,0)-$BN$16)*$BN$19</f>
        <v>#N/A</v>
      </c>
      <c r="BF2984" s="192" t="e">
        <f ca="1">(OFFSET(Pinlist!$F$1,BC2984,0)-$BO$16)*$BO$19</f>
        <v>#N/A</v>
      </c>
      <c r="BG2984" s="1098" t="str">
        <f ca="1">IF(LEFT(BD2984,2)="RF",OFFSET(Pinlist!$D$1,Chart!BC2984,0)&amp;"_"&amp;OFFSET(Pinlist!$G$1,Chart!BC2984,0),"")</f>
        <v/>
      </c>
      <c r="BH2984" s="1098"/>
    </row>
    <row r="2985" spans="53:60" x14ac:dyDescent="0.2">
      <c r="BA2985" s="518">
        <f t="shared" ca="1" si="151"/>
        <v>61</v>
      </c>
      <c r="BB2985" s="174">
        <f t="shared" ca="1" si="152"/>
        <v>2922</v>
      </c>
      <c r="BC2985" s="525" t="e">
        <f ca="1">MATCH(BD2985,OFFSET(Pinlist!$A$2,BC2984*(BA2985=BA2984),0,$BM$23,1),0)+BC2984*(BA2985=BA2984)</f>
        <v>#N/A</v>
      </c>
      <c r="BD2985" s="167">
        <f t="shared" ca="1" si="153"/>
        <v>0</v>
      </c>
      <c r="BE2985" s="191" t="e">
        <f ca="1">(OFFSET(Pinlist!$E$1,BC2985,0)-$BN$16)*$BN$19</f>
        <v>#N/A</v>
      </c>
      <c r="BF2985" s="192" t="e">
        <f ca="1">(OFFSET(Pinlist!$F$1,BC2985,0)-$BO$16)*$BO$19</f>
        <v>#N/A</v>
      </c>
      <c r="BG2985" s="1098" t="str">
        <f ca="1">IF(LEFT(BD2985,2)="RF",OFFSET(Pinlist!$D$1,Chart!BC2985,0)&amp;"_"&amp;OFFSET(Pinlist!$G$1,Chart!BC2985,0),"")</f>
        <v/>
      </c>
      <c r="BH2985" s="1098"/>
    </row>
    <row r="2986" spans="53:60" x14ac:dyDescent="0.2">
      <c r="BA2986" s="518">
        <f t="shared" ca="1" si="151"/>
        <v>61</v>
      </c>
      <c r="BB2986" s="174">
        <f t="shared" ca="1" si="152"/>
        <v>2923</v>
      </c>
      <c r="BC2986" s="525" t="e">
        <f ca="1">MATCH(BD2986,OFFSET(Pinlist!$A$2,BC2985*(BA2986=BA2985),0,$BM$23,1),0)+BC2985*(BA2986=BA2985)</f>
        <v>#N/A</v>
      </c>
      <c r="BD2986" s="167">
        <f t="shared" ca="1" si="153"/>
        <v>0</v>
      </c>
      <c r="BE2986" s="191" t="e">
        <f ca="1">(OFFSET(Pinlist!$E$1,BC2986,0)-$BN$16)*$BN$19</f>
        <v>#N/A</v>
      </c>
      <c r="BF2986" s="192" t="e">
        <f ca="1">(OFFSET(Pinlist!$F$1,BC2986,0)-$BO$16)*$BO$19</f>
        <v>#N/A</v>
      </c>
      <c r="BG2986" s="1098" t="str">
        <f ca="1">IF(LEFT(BD2986,2)="RF",OFFSET(Pinlist!$D$1,Chart!BC2986,0)&amp;"_"&amp;OFFSET(Pinlist!$G$1,Chart!BC2986,0),"")</f>
        <v/>
      </c>
      <c r="BH2986" s="1098"/>
    </row>
    <row r="2987" spans="53:60" x14ac:dyDescent="0.2">
      <c r="BA2987" s="518">
        <f t="shared" ca="1" si="151"/>
        <v>61</v>
      </c>
      <c r="BB2987" s="174">
        <f t="shared" ca="1" si="152"/>
        <v>2924</v>
      </c>
      <c r="BC2987" s="525" t="e">
        <f ca="1">MATCH(BD2987,OFFSET(Pinlist!$A$2,BC2986*(BA2987=BA2986),0,$BM$23,1),0)+BC2986*(BA2987=BA2986)</f>
        <v>#N/A</v>
      </c>
      <c r="BD2987" s="167">
        <f t="shared" ca="1" si="153"/>
        <v>0</v>
      </c>
      <c r="BE2987" s="191" t="e">
        <f ca="1">(OFFSET(Pinlist!$E$1,BC2987,0)-$BN$16)*$BN$19</f>
        <v>#N/A</v>
      </c>
      <c r="BF2987" s="192" t="e">
        <f ca="1">(OFFSET(Pinlist!$F$1,BC2987,0)-$BO$16)*$BO$19</f>
        <v>#N/A</v>
      </c>
      <c r="BG2987" s="1098" t="str">
        <f ca="1">IF(LEFT(BD2987,2)="RF",OFFSET(Pinlist!$D$1,Chart!BC2987,0)&amp;"_"&amp;OFFSET(Pinlist!$G$1,Chart!BC2987,0),"")</f>
        <v/>
      </c>
      <c r="BH2987" s="1098"/>
    </row>
    <row r="2988" spans="53:60" x14ac:dyDescent="0.2">
      <c r="BA2988" s="518">
        <f t="shared" ca="1" si="151"/>
        <v>61</v>
      </c>
      <c r="BB2988" s="174">
        <f t="shared" ca="1" si="152"/>
        <v>2925</v>
      </c>
      <c r="BC2988" s="525" t="e">
        <f ca="1">MATCH(BD2988,OFFSET(Pinlist!$A$2,BC2987*(BA2988=BA2987),0,$BM$23,1),0)+BC2987*(BA2988=BA2987)</f>
        <v>#N/A</v>
      </c>
      <c r="BD2988" s="167">
        <f t="shared" ca="1" si="153"/>
        <v>0</v>
      </c>
      <c r="BE2988" s="191" t="e">
        <f ca="1">(OFFSET(Pinlist!$E$1,BC2988,0)-$BN$16)*$BN$19</f>
        <v>#N/A</v>
      </c>
      <c r="BF2988" s="192" t="e">
        <f ca="1">(OFFSET(Pinlist!$F$1,BC2988,0)-$BO$16)*$BO$19</f>
        <v>#N/A</v>
      </c>
      <c r="BG2988" s="1098" t="str">
        <f ca="1">IF(LEFT(BD2988,2)="RF",OFFSET(Pinlist!$D$1,Chart!BC2988,0)&amp;"_"&amp;OFFSET(Pinlist!$G$1,Chart!BC2988,0),"")</f>
        <v/>
      </c>
      <c r="BH2988" s="1098"/>
    </row>
    <row r="2989" spans="53:60" x14ac:dyDescent="0.2">
      <c r="BA2989" s="518">
        <f t="shared" ca="1" si="151"/>
        <v>61</v>
      </c>
      <c r="BB2989" s="174">
        <f t="shared" ca="1" si="152"/>
        <v>2926</v>
      </c>
      <c r="BC2989" s="525" t="e">
        <f ca="1">MATCH(BD2989,OFFSET(Pinlist!$A$2,BC2988*(BA2989=BA2988),0,$BM$23,1),0)+BC2988*(BA2989=BA2988)</f>
        <v>#N/A</v>
      </c>
      <c r="BD2989" s="167">
        <f t="shared" ca="1" si="153"/>
        <v>0</v>
      </c>
      <c r="BE2989" s="191" t="e">
        <f ca="1">(OFFSET(Pinlist!$E$1,BC2989,0)-$BN$16)*$BN$19</f>
        <v>#N/A</v>
      </c>
      <c r="BF2989" s="192" t="e">
        <f ca="1">(OFFSET(Pinlist!$F$1,BC2989,0)-$BO$16)*$BO$19</f>
        <v>#N/A</v>
      </c>
      <c r="BG2989" s="1098" t="str">
        <f ca="1">IF(LEFT(BD2989,2)="RF",OFFSET(Pinlist!$D$1,Chart!BC2989,0)&amp;"_"&amp;OFFSET(Pinlist!$G$1,Chart!BC2989,0),"")</f>
        <v/>
      </c>
      <c r="BH2989" s="1098"/>
    </row>
    <row r="2990" spans="53:60" x14ac:dyDescent="0.2">
      <c r="BA2990" s="518">
        <f t="shared" ca="1" si="151"/>
        <v>61</v>
      </c>
      <c r="BB2990" s="174">
        <f t="shared" ca="1" si="152"/>
        <v>2927</v>
      </c>
      <c r="BC2990" s="525" t="e">
        <f ca="1">MATCH(BD2990,OFFSET(Pinlist!$A$2,BC2989*(BA2990=BA2989),0,$BM$23,1),0)+BC2989*(BA2990=BA2989)</f>
        <v>#N/A</v>
      </c>
      <c r="BD2990" s="167">
        <f t="shared" ca="1" si="153"/>
        <v>0</v>
      </c>
      <c r="BE2990" s="191" t="e">
        <f ca="1">(OFFSET(Pinlist!$E$1,BC2990,0)-$BN$16)*$BN$19</f>
        <v>#N/A</v>
      </c>
      <c r="BF2990" s="192" t="e">
        <f ca="1">(OFFSET(Pinlist!$F$1,BC2990,0)-$BO$16)*$BO$19</f>
        <v>#N/A</v>
      </c>
      <c r="BG2990" s="1098" t="str">
        <f ca="1">IF(LEFT(BD2990,2)="RF",OFFSET(Pinlist!$D$1,Chart!BC2990,0)&amp;"_"&amp;OFFSET(Pinlist!$G$1,Chart!BC2990,0),"")</f>
        <v/>
      </c>
      <c r="BH2990" s="1098"/>
    </row>
    <row r="2991" spans="53:60" x14ac:dyDescent="0.2">
      <c r="BA2991" s="518">
        <f t="shared" ca="1" si="151"/>
        <v>61</v>
      </c>
      <c r="BB2991" s="174">
        <f t="shared" ca="1" si="152"/>
        <v>2928</v>
      </c>
      <c r="BC2991" s="525" t="e">
        <f ca="1">MATCH(BD2991,OFFSET(Pinlist!$A$2,BC2990*(BA2991=BA2990),0,$BM$23,1),0)+BC2990*(BA2991=BA2990)</f>
        <v>#N/A</v>
      </c>
      <c r="BD2991" s="167">
        <f t="shared" ca="1" si="153"/>
        <v>0</v>
      </c>
      <c r="BE2991" s="191" t="e">
        <f ca="1">(OFFSET(Pinlist!$E$1,BC2991,0)-$BN$16)*$BN$19</f>
        <v>#N/A</v>
      </c>
      <c r="BF2991" s="192" t="e">
        <f ca="1">(OFFSET(Pinlist!$F$1,BC2991,0)-$BO$16)*$BO$19</f>
        <v>#N/A</v>
      </c>
      <c r="BG2991" s="1098" t="str">
        <f ca="1">IF(LEFT(BD2991,2)="RF",OFFSET(Pinlist!$D$1,Chart!BC2991,0)&amp;"_"&amp;OFFSET(Pinlist!$G$1,Chart!BC2991,0),"")</f>
        <v/>
      </c>
      <c r="BH2991" s="1098"/>
    </row>
    <row r="2992" spans="53:60" x14ac:dyDescent="0.2">
      <c r="BA2992" s="518">
        <f t="shared" ca="1" si="151"/>
        <v>61</v>
      </c>
      <c r="BB2992" s="174">
        <f t="shared" ca="1" si="152"/>
        <v>2929</v>
      </c>
      <c r="BC2992" s="525" t="e">
        <f ca="1">MATCH(BD2992,OFFSET(Pinlist!$A$2,BC2991*(BA2992=BA2991),0,$BM$23,1),0)+BC2991*(BA2992=BA2991)</f>
        <v>#N/A</v>
      </c>
      <c r="BD2992" s="167">
        <f t="shared" ca="1" si="153"/>
        <v>0</v>
      </c>
      <c r="BE2992" s="191" t="e">
        <f ca="1">(OFFSET(Pinlist!$E$1,BC2992,0)-$BN$16)*$BN$19</f>
        <v>#N/A</v>
      </c>
      <c r="BF2992" s="192" t="e">
        <f ca="1">(OFFSET(Pinlist!$F$1,BC2992,0)-$BO$16)*$BO$19</f>
        <v>#N/A</v>
      </c>
      <c r="BG2992" s="1098" t="str">
        <f ca="1">IF(LEFT(BD2992,2)="RF",OFFSET(Pinlist!$D$1,Chart!BC2992,0)&amp;"_"&amp;OFFSET(Pinlist!$G$1,Chart!BC2992,0),"")</f>
        <v/>
      </c>
      <c r="BH2992" s="1098"/>
    </row>
    <row r="2993" spans="53:60" x14ac:dyDescent="0.2">
      <c r="BA2993" s="518">
        <f t="shared" ca="1" si="151"/>
        <v>61</v>
      </c>
      <c r="BB2993" s="174">
        <f t="shared" ca="1" si="152"/>
        <v>2930</v>
      </c>
      <c r="BC2993" s="525" t="e">
        <f ca="1">MATCH(BD2993,OFFSET(Pinlist!$A$2,BC2992*(BA2993=BA2992),0,$BM$23,1),0)+BC2992*(BA2993=BA2992)</f>
        <v>#N/A</v>
      </c>
      <c r="BD2993" s="167">
        <f t="shared" ca="1" si="153"/>
        <v>0</v>
      </c>
      <c r="BE2993" s="191" t="e">
        <f ca="1">(OFFSET(Pinlist!$E$1,BC2993,0)-$BN$16)*$BN$19</f>
        <v>#N/A</v>
      </c>
      <c r="BF2993" s="192" t="e">
        <f ca="1">(OFFSET(Pinlist!$F$1,BC2993,0)-$BO$16)*$BO$19</f>
        <v>#N/A</v>
      </c>
      <c r="BG2993" s="1098" t="str">
        <f ca="1">IF(LEFT(BD2993,2)="RF",OFFSET(Pinlist!$D$1,Chart!BC2993,0)&amp;"_"&amp;OFFSET(Pinlist!$G$1,Chart!BC2993,0),"")</f>
        <v/>
      </c>
      <c r="BH2993" s="1098"/>
    </row>
    <row r="2994" spans="53:60" x14ac:dyDescent="0.2">
      <c r="BA2994" s="518">
        <f t="shared" ca="1" si="151"/>
        <v>61</v>
      </c>
      <c r="BB2994" s="174">
        <f t="shared" ca="1" si="152"/>
        <v>2931</v>
      </c>
      <c r="BC2994" s="525" t="e">
        <f ca="1">MATCH(BD2994,OFFSET(Pinlist!$A$2,BC2993*(BA2994=BA2993),0,$BM$23,1),0)+BC2993*(BA2994=BA2993)</f>
        <v>#N/A</v>
      </c>
      <c r="BD2994" s="167">
        <f t="shared" ca="1" si="153"/>
        <v>0</v>
      </c>
      <c r="BE2994" s="191" t="e">
        <f ca="1">(OFFSET(Pinlist!$E$1,BC2994,0)-$BN$16)*$BN$19</f>
        <v>#N/A</v>
      </c>
      <c r="BF2994" s="192" t="e">
        <f ca="1">(OFFSET(Pinlist!$F$1,BC2994,0)-$BO$16)*$BO$19</f>
        <v>#N/A</v>
      </c>
      <c r="BG2994" s="1098" t="str">
        <f ca="1">IF(LEFT(BD2994,2)="RF",OFFSET(Pinlist!$D$1,Chart!BC2994,0)&amp;"_"&amp;OFFSET(Pinlist!$G$1,Chart!BC2994,0),"")</f>
        <v/>
      </c>
      <c r="BH2994" s="1098"/>
    </row>
    <row r="2995" spans="53:60" x14ac:dyDescent="0.2">
      <c r="BA2995" s="518">
        <f t="shared" ca="1" si="151"/>
        <v>61</v>
      </c>
      <c r="BB2995" s="174">
        <f t="shared" ca="1" si="152"/>
        <v>2932</v>
      </c>
      <c r="BC2995" s="525" t="e">
        <f ca="1">MATCH(BD2995,OFFSET(Pinlist!$A$2,BC2994*(BA2995=BA2994),0,$BM$23,1),0)+BC2994*(BA2995=BA2994)</f>
        <v>#N/A</v>
      </c>
      <c r="BD2995" s="167">
        <f t="shared" ca="1" si="153"/>
        <v>0</v>
      </c>
      <c r="BE2995" s="191" t="e">
        <f ca="1">(OFFSET(Pinlist!$E$1,BC2995,0)-$BN$16)*$BN$19</f>
        <v>#N/A</v>
      </c>
      <c r="BF2995" s="192" t="e">
        <f ca="1">(OFFSET(Pinlist!$F$1,BC2995,0)-$BO$16)*$BO$19</f>
        <v>#N/A</v>
      </c>
      <c r="BG2995" s="1098" t="str">
        <f ca="1">IF(LEFT(BD2995,2)="RF",OFFSET(Pinlist!$D$1,Chart!BC2995,0)&amp;"_"&amp;OFFSET(Pinlist!$G$1,Chart!BC2995,0),"")</f>
        <v/>
      </c>
      <c r="BH2995" s="1098"/>
    </row>
    <row r="2996" spans="53:60" x14ac:dyDescent="0.2">
      <c r="BA2996" s="518">
        <f t="shared" ca="1" si="151"/>
        <v>61</v>
      </c>
      <c r="BB2996" s="174">
        <f t="shared" ca="1" si="152"/>
        <v>2933</v>
      </c>
      <c r="BC2996" s="525" t="e">
        <f ca="1">MATCH(BD2996,OFFSET(Pinlist!$A$2,BC2995*(BA2996=BA2995),0,$BM$23,1),0)+BC2995*(BA2996=BA2995)</f>
        <v>#N/A</v>
      </c>
      <c r="BD2996" s="167">
        <f t="shared" ca="1" si="153"/>
        <v>0</v>
      </c>
      <c r="BE2996" s="191" t="e">
        <f ca="1">(OFFSET(Pinlist!$E$1,BC2996,0)-$BN$16)*$BN$19</f>
        <v>#N/A</v>
      </c>
      <c r="BF2996" s="192" t="e">
        <f ca="1">(OFFSET(Pinlist!$F$1,BC2996,0)-$BO$16)*$BO$19</f>
        <v>#N/A</v>
      </c>
      <c r="BG2996" s="1098" t="str">
        <f ca="1">IF(LEFT(BD2996,2)="RF",OFFSET(Pinlist!$D$1,Chart!BC2996,0)&amp;"_"&amp;OFFSET(Pinlist!$G$1,Chart!BC2996,0),"")</f>
        <v/>
      </c>
      <c r="BH2996" s="1098"/>
    </row>
    <row r="2997" spans="53:60" x14ac:dyDescent="0.2">
      <c r="BA2997" s="518">
        <f t="shared" ca="1" si="151"/>
        <v>61</v>
      </c>
      <c r="BB2997" s="174">
        <f t="shared" ca="1" si="152"/>
        <v>2934</v>
      </c>
      <c r="BC2997" s="525" t="e">
        <f ca="1">MATCH(BD2997,OFFSET(Pinlist!$A$2,BC2996*(BA2997=BA2996),0,$BM$23,1),0)+BC2996*(BA2997=BA2996)</f>
        <v>#N/A</v>
      </c>
      <c r="BD2997" s="167">
        <f t="shared" ca="1" si="153"/>
        <v>0</v>
      </c>
      <c r="BE2997" s="191" t="e">
        <f ca="1">(OFFSET(Pinlist!$E$1,BC2997,0)-$BN$16)*$BN$19</f>
        <v>#N/A</v>
      </c>
      <c r="BF2997" s="192" t="e">
        <f ca="1">(OFFSET(Pinlist!$F$1,BC2997,0)-$BO$16)*$BO$19</f>
        <v>#N/A</v>
      </c>
      <c r="BG2997" s="1098" t="str">
        <f ca="1">IF(LEFT(BD2997,2)="RF",OFFSET(Pinlist!$D$1,Chart!BC2997,0)&amp;"_"&amp;OFFSET(Pinlist!$G$1,Chart!BC2997,0),"")</f>
        <v/>
      </c>
      <c r="BH2997" s="1098"/>
    </row>
    <row r="2998" spans="53:60" x14ac:dyDescent="0.2">
      <c r="BA2998" s="518">
        <f t="shared" ca="1" si="151"/>
        <v>61</v>
      </c>
      <c r="BB2998" s="174">
        <f t="shared" ca="1" si="152"/>
        <v>2935</v>
      </c>
      <c r="BC2998" s="525" t="e">
        <f ca="1">MATCH(BD2998,OFFSET(Pinlist!$A$2,BC2997*(BA2998=BA2997),0,$BM$23,1),0)+BC2997*(BA2998=BA2997)</f>
        <v>#N/A</v>
      </c>
      <c r="BD2998" s="167">
        <f t="shared" ca="1" si="153"/>
        <v>0</v>
      </c>
      <c r="BE2998" s="191" t="e">
        <f ca="1">(OFFSET(Pinlist!$E$1,BC2998,0)-$BN$16)*$BN$19</f>
        <v>#N/A</v>
      </c>
      <c r="BF2998" s="192" t="e">
        <f ca="1">(OFFSET(Pinlist!$F$1,BC2998,0)-$BO$16)*$BO$19</f>
        <v>#N/A</v>
      </c>
      <c r="BG2998" s="1098" t="str">
        <f ca="1">IF(LEFT(BD2998,2)="RF",OFFSET(Pinlist!$D$1,Chart!BC2998,0)&amp;"_"&amp;OFFSET(Pinlist!$G$1,Chart!BC2998,0),"")</f>
        <v/>
      </c>
      <c r="BH2998" s="1098"/>
    </row>
    <row r="2999" spans="53:60" x14ac:dyDescent="0.2">
      <c r="BA2999" s="518">
        <f t="shared" ca="1" si="151"/>
        <v>61</v>
      </c>
      <c r="BB2999" s="174">
        <f t="shared" ca="1" si="152"/>
        <v>2936</v>
      </c>
      <c r="BC2999" s="525" t="e">
        <f ca="1">MATCH(BD2999,OFFSET(Pinlist!$A$2,BC2998*(BA2999=BA2998),0,$BM$23,1),0)+BC2998*(BA2999=BA2998)</f>
        <v>#N/A</v>
      </c>
      <c r="BD2999" s="167">
        <f t="shared" ca="1" si="153"/>
        <v>0</v>
      </c>
      <c r="BE2999" s="191" t="e">
        <f ca="1">(OFFSET(Pinlist!$E$1,BC2999,0)-$BN$16)*$BN$19</f>
        <v>#N/A</v>
      </c>
      <c r="BF2999" s="192" t="e">
        <f ca="1">(OFFSET(Pinlist!$F$1,BC2999,0)-$BO$16)*$BO$19</f>
        <v>#N/A</v>
      </c>
      <c r="BG2999" s="1098" t="str">
        <f ca="1">IF(LEFT(BD2999,2)="RF",OFFSET(Pinlist!$D$1,Chart!BC2999,0)&amp;"_"&amp;OFFSET(Pinlist!$G$1,Chart!BC2999,0),"")</f>
        <v/>
      </c>
      <c r="BH2999" s="1098"/>
    </row>
    <row r="3000" spans="53:60" x14ac:dyDescent="0.2">
      <c r="BA3000" s="518">
        <f t="shared" ca="1" si="151"/>
        <v>61</v>
      </c>
      <c r="BB3000" s="174">
        <f t="shared" ca="1" si="152"/>
        <v>2937</v>
      </c>
      <c r="BC3000" s="525" t="e">
        <f ca="1">MATCH(BD3000,OFFSET(Pinlist!$A$2,BC2999*(BA3000=BA2999),0,$BM$23,1),0)+BC2999*(BA3000=BA2999)</f>
        <v>#N/A</v>
      </c>
      <c r="BD3000" s="167">
        <f t="shared" ca="1" si="153"/>
        <v>0</v>
      </c>
      <c r="BE3000" s="191" t="e">
        <f ca="1">(OFFSET(Pinlist!$E$1,BC3000,0)-$BN$16)*$BN$19</f>
        <v>#N/A</v>
      </c>
      <c r="BF3000" s="192" t="e">
        <f ca="1">(OFFSET(Pinlist!$F$1,BC3000,0)-$BO$16)*$BO$19</f>
        <v>#N/A</v>
      </c>
      <c r="BG3000" s="1098" t="str">
        <f ca="1">IF(LEFT(BD3000,2)="RF",OFFSET(Pinlist!$D$1,Chart!BC3000,0)&amp;"_"&amp;OFFSET(Pinlist!$G$1,Chart!BC3000,0),"")</f>
        <v/>
      </c>
      <c r="BH3000" s="1098"/>
    </row>
    <row r="3001" spans="53:60" x14ac:dyDescent="0.2">
      <c r="BA3001" s="518">
        <f t="shared" ca="1" si="151"/>
        <v>61</v>
      </c>
      <c r="BB3001" s="174">
        <f t="shared" ca="1" si="152"/>
        <v>2938</v>
      </c>
      <c r="BC3001" s="525" t="e">
        <f ca="1">MATCH(BD3001,OFFSET(Pinlist!$A$2,BC3000*(BA3001=BA3000),0,$BM$23,1),0)+BC3000*(BA3001=BA3000)</f>
        <v>#N/A</v>
      </c>
      <c r="BD3001" s="167">
        <f t="shared" ca="1" si="153"/>
        <v>0</v>
      </c>
      <c r="BE3001" s="191" t="e">
        <f ca="1">(OFFSET(Pinlist!$E$1,BC3001,0)-$BN$16)*$BN$19</f>
        <v>#N/A</v>
      </c>
      <c r="BF3001" s="192" t="e">
        <f ca="1">(OFFSET(Pinlist!$F$1,BC3001,0)-$BO$16)*$BO$19</f>
        <v>#N/A</v>
      </c>
      <c r="BG3001" s="1098" t="str">
        <f ca="1">IF(LEFT(BD3001,2)="RF",OFFSET(Pinlist!$D$1,Chart!BC3001,0)&amp;"_"&amp;OFFSET(Pinlist!$G$1,Chart!BC3001,0),"")</f>
        <v/>
      </c>
      <c r="BH3001" s="1098"/>
    </row>
    <row r="3002" spans="53:60" x14ac:dyDescent="0.2">
      <c r="BA3002" s="518">
        <f t="shared" ca="1" si="151"/>
        <v>61</v>
      </c>
      <c r="BB3002" s="174">
        <f t="shared" ca="1" si="152"/>
        <v>2939</v>
      </c>
      <c r="BC3002" s="525" t="e">
        <f ca="1">MATCH(BD3002,OFFSET(Pinlist!$A$2,BC3001*(BA3002=BA3001),0,$BM$23,1),0)+BC3001*(BA3002=BA3001)</f>
        <v>#N/A</v>
      </c>
      <c r="BD3002" s="167">
        <f t="shared" ca="1" si="153"/>
        <v>0</v>
      </c>
      <c r="BE3002" s="191" t="e">
        <f ca="1">(OFFSET(Pinlist!$E$1,BC3002,0)-$BN$16)*$BN$19</f>
        <v>#N/A</v>
      </c>
      <c r="BF3002" s="192" t="e">
        <f ca="1">(OFFSET(Pinlist!$F$1,BC3002,0)-$BO$16)*$BO$19</f>
        <v>#N/A</v>
      </c>
      <c r="BG3002" s="1098" t="str">
        <f ca="1">IF(LEFT(BD3002,2)="RF",OFFSET(Pinlist!$D$1,Chart!BC3002,0)&amp;"_"&amp;OFFSET(Pinlist!$G$1,Chart!BC3002,0),"")</f>
        <v/>
      </c>
      <c r="BH3002" s="1098"/>
    </row>
    <row r="3003" spans="53:60" x14ac:dyDescent="0.2">
      <c r="BA3003" s="518">
        <f t="shared" ca="1" si="151"/>
        <v>61</v>
      </c>
      <c r="BB3003" s="174">
        <f t="shared" ca="1" si="152"/>
        <v>2940</v>
      </c>
      <c r="BC3003" s="525" t="e">
        <f ca="1">MATCH(BD3003,OFFSET(Pinlist!$A$2,BC3002*(BA3003=BA3002),0,$BM$23,1),0)+BC3002*(BA3003=BA3002)</f>
        <v>#N/A</v>
      </c>
      <c r="BD3003" s="167">
        <f t="shared" ca="1" si="153"/>
        <v>0</v>
      </c>
      <c r="BE3003" s="191" t="e">
        <f ca="1">(OFFSET(Pinlist!$E$1,BC3003,0)-$BN$16)*$BN$19</f>
        <v>#N/A</v>
      </c>
      <c r="BF3003" s="192" t="e">
        <f ca="1">(OFFSET(Pinlist!$F$1,BC3003,0)-$BO$16)*$BO$19</f>
        <v>#N/A</v>
      </c>
      <c r="BG3003" s="1098" t="str">
        <f ca="1">IF(LEFT(BD3003,2)="RF",OFFSET(Pinlist!$D$1,Chart!BC3003,0)&amp;"_"&amp;OFFSET(Pinlist!$G$1,Chart!BC3003,0),"")</f>
        <v/>
      </c>
      <c r="BH3003" s="1098"/>
    </row>
  </sheetData>
  <sheetProtection password="CC3C" sheet="1" scenarios="1" selectLockedCells="1"/>
  <mergeCells count="23">
    <mergeCell ref="CC1:CE1"/>
    <mergeCell ref="N52:O52"/>
    <mergeCell ref="N71:N73"/>
    <mergeCell ref="P67:P69"/>
    <mergeCell ref="P71:P73"/>
    <mergeCell ref="BA1:BF1"/>
    <mergeCell ref="BM1:BO1"/>
    <mergeCell ref="BQ1:BV1"/>
    <mergeCell ref="BX1:CA1"/>
    <mergeCell ref="N63:N65"/>
    <mergeCell ref="BO32:BP32"/>
    <mergeCell ref="CW10:CX10"/>
    <mergeCell ref="CC3:CE3"/>
    <mergeCell ref="N67:N69"/>
    <mergeCell ref="CU10:CV10"/>
    <mergeCell ref="L11:O11"/>
    <mergeCell ref="BN14:BO14"/>
    <mergeCell ref="BN17:BO17"/>
    <mergeCell ref="N48:O48"/>
    <mergeCell ref="BK42:BM42"/>
    <mergeCell ref="BJ29:BN29"/>
    <mergeCell ref="L28:L32"/>
    <mergeCell ref="CU35:CV35"/>
  </mergeCells>
  <phoneticPr fontId="118" type="noConversion"/>
  <conditionalFormatting sqref="O16">
    <cfRule type="cellIs" dxfId="181" priority="35" stopIfTrue="1" operator="equal">
      <formula>"Wafer Side"</formula>
    </cfRule>
  </conditionalFormatting>
  <conditionalFormatting sqref="O58">
    <cfRule type="expression" dxfId="180" priority="31" stopIfTrue="1">
      <formula>(CU31/90=INT(CU31/90))</formula>
    </cfRule>
  </conditionalFormatting>
  <conditionalFormatting sqref="L15">
    <cfRule type="expression" dxfId="179" priority="23" stopIfTrue="1">
      <formula>(ISNUMBER($BK$6)=FALSE)</formula>
    </cfRule>
  </conditionalFormatting>
  <conditionalFormatting sqref="M57">
    <cfRule type="expression" dxfId="178" priority="21" stopIfTrue="1">
      <formula>(ISNUMBER($BL$12)=FALSE)</formula>
    </cfRule>
  </conditionalFormatting>
  <conditionalFormatting sqref="M60">
    <cfRule type="expression" dxfId="177" priority="24" stopIfTrue="1">
      <formula>ISTEXT(M60)</formula>
    </cfRule>
  </conditionalFormatting>
  <conditionalFormatting sqref="L16">
    <cfRule type="expression" dxfId="176" priority="22" stopIfTrue="1">
      <formula>(ISNUMBER($BL$11)=FALSE)</formula>
    </cfRule>
  </conditionalFormatting>
  <conditionalFormatting sqref="M46">
    <cfRule type="expression" dxfId="175" priority="4" stopIfTrue="1">
      <formula>(Multiplyer=1)</formula>
    </cfRule>
  </conditionalFormatting>
  <conditionalFormatting sqref="N26:N32">
    <cfRule type="expression" dxfId="174" priority="14" stopIfTrue="1">
      <formula>$BL$63</formula>
    </cfRule>
  </conditionalFormatting>
  <conditionalFormatting sqref="N25">
    <cfRule type="expression" dxfId="173" priority="13" stopIfTrue="1">
      <formula>$BL$63</formula>
    </cfRule>
  </conditionalFormatting>
  <conditionalFormatting sqref="M25">
    <cfRule type="expression" dxfId="172" priority="12" stopIfTrue="1">
      <formula>$BL$63</formula>
    </cfRule>
  </conditionalFormatting>
  <conditionalFormatting sqref="L25">
    <cfRule type="expression" dxfId="171" priority="11" stopIfTrue="1">
      <formula>$BL$63</formula>
    </cfRule>
  </conditionalFormatting>
  <conditionalFormatting sqref="L26:L32">
    <cfRule type="expression" dxfId="170" priority="10" stopIfTrue="1">
      <formula>$BL$63</formula>
    </cfRule>
  </conditionalFormatting>
  <conditionalFormatting sqref="L33">
    <cfRule type="expression" dxfId="169" priority="8" stopIfTrue="1">
      <formula>$BL$63</formula>
    </cfRule>
  </conditionalFormatting>
  <conditionalFormatting sqref="N33">
    <cfRule type="expression" dxfId="168" priority="7" stopIfTrue="1">
      <formula>$BL$63</formula>
    </cfRule>
  </conditionalFormatting>
  <conditionalFormatting sqref="M33">
    <cfRule type="expression" dxfId="167" priority="6" stopIfTrue="1">
      <formula>$BL$63</formula>
    </cfRule>
  </conditionalFormatting>
  <conditionalFormatting sqref="L34">
    <cfRule type="expression" dxfId="166" priority="5" stopIfTrue="1">
      <formula>$BL$63</formula>
    </cfRule>
  </conditionalFormatting>
  <conditionalFormatting sqref="L57">
    <cfRule type="expression" dxfId="165" priority="30" stopIfTrue="1">
      <formula>$BL$12</formula>
    </cfRule>
  </conditionalFormatting>
  <conditionalFormatting sqref="M58">
    <cfRule type="expression" dxfId="164" priority="3" stopIfTrue="1">
      <formula>(Multiplyer=1)</formula>
    </cfRule>
    <cfRule type="expression" dxfId="163" priority="177" stopIfTrue="1">
      <formula>($CQ$25*$CQ$30)=0</formula>
    </cfRule>
  </conditionalFormatting>
  <conditionalFormatting sqref="L58">
    <cfRule type="expression" dxfId="162" priority="2" stopIfTrue="1">
      <formula>$BL$13</formula>
    </cfRule>
  </conditionalFormatting>
  <conditionalFormatting sqref="L60">
    <cfRule type="expression" dxfId="161" priority="1" stopIfTrue="1">
      <formula>$BL$12</formula>
    </cfRule>
  </conditionalFormatting>
  <dataValidations count="4">
    <dataValidation type="list" allowBlank="1" showErrorMessage="1" errorTitle="Input Error!" error="Please select from list" promptTitle="Die Step Setting" prompt="Use drop down list to select" sqref="O13">
      <formula1>"No,Yes"</formula1>
    </dataValidation>
    <dataValidation type="list" allowBlank="1" showErrorMessage="1" errorTitle="Input Error!" error="Please select from list" promptTitle="Die Step Setting" prompt="Use drop down list to select" sqref="O12">
      <formula1>"Tester Side,Wafer Side"</formula1>
    </dataValidation>
    <dataValidation type="list" allowBlank="1" showErrorMessage="1" errorTitle="Input Error!" error="Please select from list" promptTitle="Die Step Setting" prompt="Use drop down list to select" sqref="O49:O50">
      <formula1>"2,1,0,-1,-2"</formula1>
    </dataValidation>
    <dataValidation type="list" allowBlank="1" showErrorMessage="1" errorTitle="Input Error!" error="Please select from list" promptTitle="Die Step Setting" prompt="Use drop down list to select" sqref="O53:O54">
      <formula1>$CV$43:$CV$47</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BZ53"/>
  <sheetViews>
    <sheetView showGridLines="0" showRowColHeaders="0" zoomScaleNormal="100" zoomScaleSheetLayoutView="75" workbookViewId="0">
      <selection activeCell="AL12" sqref="AL12:AO12"/>
    </sheetView>
  </sheetViews>
  <sheetFormatPr defaultColWidth="2.85546875" defaultRowHeight="12.75" customHeight="1" x14ac:dyDescent="0.2"/>
  <cols>
    <col min="1" max="15" width="2.85546875" style="232"/>
    <col min="16" max="21" width="2.85546875" style="211"/>
    <col min="22" max="52" width="2.85546875" style="232"/>
    <col min="53" max="53" width="12.28515625" style="232" hidden="1" customWidth="1"/>
    <col min="54" max="54" width="5.140625" style="232" hidden="1" customWidth="1"/>
    <col min="55" max="55" width="7.5703125" style="232" hidden="1" customWidth="1"/>
    <col min="56" max="56" width="4.5703125" style="232" hidden="1" customWidth="1"/>
    <col min="57" max="58" width="4.140625" style="232" hidden="1" customWidth="1"/>
    <col min="59" max="59" width="6.140625" style="400" hidden="1" customWidth="1"/>
    <col min="60" max="60" width="6.140625" style="232" hidden="1" customWidth="1"/>
    <col min="61" max="61" width="2.85546875" style="232" hidden="1" customWidth="1"/>
    <col min="62" max="63" width="3.5703125" style="232" hidden="1" customWidth="1"/>
    <col min="64" max="78" width="2.85546875" style="232" hidden="1" customWidth="1"/>
    <col min="79" max="16384" width="2.85546875" style="232"/>
  </cols>
  <sheetData>
    <row r="1" spans="1:63" ht="12.75" customHeight="1" x14ac:dyDescent="0.25">
      <c r="B1" s="212" t="str">
        <f>'Cover Page'!B4</f>
        <v xml:space="preserve"> Production Probes Design Capture Order Form</v>
      </c>
      <c r="C1" s="462"/>
      <c r="D1" s="462"/>
      <c r="E1" s="462"/>
      <c r="F1" s="462"/>
      <c r="G1" s="462"/>
      <c r="H1" s="462"/>
      <c r="I1" s="462"/>
      <c r="J1" s="462"/>
      <c r="K1" s="462"/>
      <c r="L1" s="462"/>
      <c r="M1" s="462"/>
      <c r="N1" s="462"/>
      <c r="O1" s="462"/>
      <c r="P1" s="462"/>
      <c r="Q1" s="462"/>
      <c r="T1" s="463"/>
      <c r="U1" s="464" t="s">
        <v>292</v>
      </c>
      <c r="V1" s="465" t="s">
        <v>0</v>
      </c>
      <c r="W1" s="423"/>
      <c r="X1" s="423"/>
      <c r="Y1" s="466"/>
      <c r="Z1" s="466"/>
      <c r="AA1" s="463"/>
      <c r="AB1" s="466"/>
      <c r="AC1" s="466"/>
      <c r="AD1" s="467"/>
      <c r="AE1" s="466"/>
      <c r="AF1" s="466"/>
      <c r="AG1" s="466"/>
      <c r="AH1" s="466"/>
      <c r="AI1" s="466"/>
      <c r="AJ1" s="466"/>
    </row>
    <row r="2" spans="1:63" ht="12.75" customHeight="1" x14ac:dyDescent="0.25">
      <c r="B2" s="212" t="str">
        <f>'Cover Page'!B5</f>
        <v xml:space="preserve"> CQS-03-031-0001  R1.71</v>
      </c>
      <c r="C2" s="468"/>
      <c r="D2" s="462"/>
      <c r="E2" s="462"/>
      <c r="F2" s="462"/>
      <c r="G2" s="462"/>
      <c r="H2" s="462"/>
      <c r="I2" s="462"/>
      <c r="J2" s="462"/>
      <c r="K2" s="462"/>
      <c r="L2" s="462"/>
      <c r="M2" s="462"/>
      <c r="N2" s="462"/>
      <c r="O2" s="462"/>
      <c r="P2" s="462"/>
      <c r="Q2" s="462"/>
      <c r="T2" s="423"/>
      <c r="U2" s="470"/>
      <c r="V2" s="423"/>
      <c r="W2" s="471"/>
      <c r="X2" s="423"/>
      <c r="Y2" s="466"/>
      <c r="Z2" s="466"/>
      <c r="AA2" s="466"/>
      <c r="AB2" s="466"/>
      <c r="AC2" s="472" t="str">
        <f ca="1">'Cover Page'!T2</f>
        <v>Core P/N:</v>
      </c>
      <c r="AD2" s="460" t="str">
        <f>""&amp;'Cover Page'!U2</f>
        <v/>
      </c>
      <c r="AE2" s="473"/>
      <c r="AF2" s="473"/>
      <c r="AG2" s="473"/>
      <c r="AH2" s="473"/>
      <c r="AI2" s="473"/>
      <c r="AJ2" s="473"/>
      <c r="BA2" s="232" t="s">
        <v>798</v>
      </c>
      <c r="BG2" s="400" t="s">
        <v>797</v>
      </c>
      <c r="BH2" s="400" t="s">
        <v>897</v>
      </c>
    </row>
    <row r="3" spans="1:63" ht="12.75" customHeight="1" x14ac:dyDescent="0.25">
      <c r="B3" s="459" t="s">
        <v>791</v>
      </c>
      <c r="C3" s="474"/>
      <c r="D3" s="462"/>
      <c r="E3" s="462"/>
      <c r="F3" s="462"/>
      <c r="G3" s="462"/>
      <c r="H3" s="462"/>
      <c r="I3" s="462"/>
      <c r="J3" s="462"/>
      <c r="K3" s="462"/>
      <c r="L3" s="462"/>
      <c r="M3" s="462"/>
      <c r="N3" s="462"/>
      <c r="O3" s="462"/>
      <c r="P3" s="462"/>
      <c r="Q3" s="462"/>
      <c r="T3" s="423"/>
      <c r="U3" s="470"/>
      <c r="V3" s="423"/>
      <c r="W3" s="471"/>
      <c r="X3" s="423"/>
      <c r="Y3" s="466"/>
      <c r="Z3" s="466"/>
      <c r="AA3" s="466"/>
      <c r="AB3" s="466"/>
      <c r="AC3" s="472" t="str">
        <f ca="1">'Cover Page'!T3</f>
        <v>Custom PCB P/N:</v>
      </c>
      <c r="AD3" s="461" t="str">
        <f>""&amp;'Cover Page'!U3</f>
        <v/>
      </c>
      <c r="AE3" s="475"/>
      <c r="AF3" s="475"/>
      <c r="AG3" s="475"/>
      <c r="AH3" s="475"/>
      <c r="AI3" s="475"/>
      <c r="AJ3" s="475"/>
      <c r="BA3" s="1061" t="s">
        <v>162</v>
      </c>
      <c r="BB3" s="1062" t="s">
        <v>163</v>
      </c>
      <c r="BC3" s="1062" t="s">
        <v>198</v>
      </c>
      <c r="BD3" s="1062" t="s">
        <v>549</v>
      </c>
      <c r="BE3" s="1062" t="s">
        <v>788</v>
      </c>
      <c r="BF3" s="1063" t="s">
        <v>789</v>
      </c>
      <c r="BG3" s="400">
        <f>(AL12="Rectangular")+0</f>
        <v>1</v>
      </c>
      <c r="BH3" s="400" t="b">
        <f>'Cover Page'!BD37=2</f>
        <v>0</v>
      </c>
      <c r="BJ3" s="232">
        <v>0</v>
      </c>
      <c r="BK3" s="232">
        <v>0</v>
      </c>
    </row>
    <row r="4" spans="1:63" ht="12.75" customHeight="1" x14ac:dyDescent="0.25">
      <c r="B4" s="476"/>
      <c r="C4" s="477"/>
      <c r="D4" s="478"/>
      <c r="E4" s="478"/>
      <c r="F4" s="478"/>
      <c r="G4" s="478"/>
      <c r="H4" s="478"/>
      <c r="I4" s="478"/>
      <c r="J4" s="478"/>
      <c r="K4" s="478"/>
      <c r="L4" s="478"/>
      <c r="M4" s="478"/>
      <c r="N4" s="478"/>
      <c r="O4" s="478"/>
      <c r="P4" s="478"/>
      <c r="Q4" s="478"/>
      <c r="T4" s="479"/>
      <c r="U4" s="470"/>
      <c r="V4" s="423"/>
      <c r="W4" s="424"/>
      <c r="X4" s="423"/>
      <c r="Y4" s="466"/>
      <c r="Z4" s="466"/>
      <c r="AA4" s="466"/>
      <c r="AB4" s="466"/>
      <c r="AC4" s="472" t="s">
        <v>293</v>
      </c>
      <c r="AD4" s="461" t="str">
        <f>""&amp;'Cover Page'!S19</f>
        <v/>
      </c>
      <c r="AE4" s="475"/>
      <c r="AF4" s="475"/>
      <c r="AG4" s="475"/>
      <c r="AH4" s="475"/>
      <c r="AI4" s="475"/>
      <c r="AJ4" s="475"/>
      <c r="BA4" s="1052">
        <v>-2.5000000000000004</v>
      </c>
      <c r="BB4" s="1053">
        <v>-2.5</v>
      </c>
      <c r="BC4" s="1054">
        <f>SQRT(BA4^2+BB4^2)</f>
        <v>3.5355339059327378</v>
      </c>
      <c r="BD4" s="1054">
        <f>(ATAN2(BA4,BB4))+RADIANS(INT($AL$14/90)*90)</f>
        <v>-2.3561944901923448</v>
      </c>
      <c r="BE4" s="809">
        <f>IF($BH$3,BA4,BC4*COS(BD4))*$BG$3</f>
        <v>-2.5</v>
      </c>
      <c r="BF4" s="1055">
        <f>IF($BH$3,BB4,BC4*SIN(BD4))*$BG$3</f>
        <v>-2.5000000000000004</v>
      </c>
      <c r="BJ4" s="232">
        <v>10</v>
      </c>
      <c r="BK4" s="232">
        <f>($BG$3*90)+($BG$22*BJ4)</f>
        <v>90</v>
      </c>
    </row>
    <row r="5" spans="1:63" ht="12.75" customHeight="1" x14ac:dyDescent="0.25">
      <c r="B5" s="281"/>
      <c r="C5" s="281"/>
      <c r="D5" s="281"/>
      <c r="E5" s="281"/>
      <c r="F5" s="281"/>
      <c r="G5" s="281"/>
      <c r="H5" s="281"/>
      <c r="I5" s="281"/>
      <c r="J5" s="281"/>
      <c r="L5" s="469"/>
      <c r="M5" s="469"/>
      <c r="N5" s="469"/>
      <c r="O5" s="794"/>
      <c r="P5" s="412"/>
      <c r="Q5" s="217"/>
      <c r="R5" s="795"/>
      <c r="T5" s="412"/>
      <c r="U5" s="412"/>
      <c r="V5" s="217"/>
      <c r="W5" s="412"/>
      <c r="X5" s="412"/>
      <c r="Y5" s="412"/>
      <c r="Z5" s="796"/>
      <c r="AA5" s="797"/>
      <c r="AB5" s="469"/>
      <c r="BA5" s="1052">
        <v>-2.4999999999999978</v>
      </c>
      <c r="BB5" s="1053">
        <v>5.0000000000000018</v>
      </c>
      <c r="BC5" s="1054">
        <f t="shared" ref="BC5" si="0">SQRT(BA5^2+BB5^2)</f>
        <v>5.5901699437494745</v>
      </c>
      <c r="BD5" s="1054">
        <f t="shared" ref="BD5:BD12" si="1">(ATAN2(BA5,BB5))+RADIANS(INT($AL$14/90)*90)</f>
        <v>2.0344439357957018</v>
      </c>
      <c r="BE5" s="809">
        <f t="shared" ref="BE5:BE12" si="2">IF($BH$3,BA5,BC5*COS(BD5))*$BG$3</f>
        <v>-2.4999999999999956</v>
      </c>
      <c r="BF5" s="1055">
        <f t="shared" ref="BF5:BF12" si="3">IF($BH$3,BB5,BC5*SIN(BD5))*$BG$3</f>
        <v>5.0000000000000027</v>
      </c>
      <c r="BJ5" s="232">
        <v>20</v>
      </c>
      <c r="BK5" s="232">
        <f>($BG$3*180)+($BG$22*BJ5)</f>
        <v>180</v>
      </c>
    </row>
    <row r="6" spans="1:63" ht="12.75" customHeight="1" x14ac:dyDescent="0.25">
      <c r="B6" s="281"/>
      <c r="C6" s="281"/>
      <c r="D6" s="281"/>
      <c r="E6" s="281"/>
      <c r="F6" s="281"/>
      <c r="G6" s="281"/>
      <c r="H6" s="281"/>
      <c r="I6" s="281"/>
      <c r="J6" s="281"/>
      <c r="L6" s="469"/>
      <c r="M6" s="469"/>
      <c r="N6" s="469"/>
      <c r="O6" s="794"/>
      <c r="P6" s="412"/>
      <c r="Q6" s="217"/>
      <c r="R6" s="795"/>
      <c r="T6" s="412"/>
      <c r="U6" s="412"/>
      <c r="V6" s="217"/>
      <c r="W6" s="412"/>
      <c r="X6" s="412"/>
      <c r="Y6" s="412"/>
      <c r="Z6" s="796"/>
      <c r="AA6" s="797"/>
      <c r="AB6" s="469"/>
      <c r="BA6" s="1052">
        <v>-1.9999999999999987</v>
      </c>
      <c r="BB6" s="1053">
        <v>5</v>
      </c>
      <c r="BC6" s="1054">
        <f t="shared" ref="BC6:BC12" si="4">SQRT(BA6^2+BB6^2)</f>
        <v>5.3851648071345037</v>
      </c>
      <c r="BD6" s="1054">
        <f t="shared" si="1"/>
        <v>1.9513027039072612</v>
      </c>
      <c r="BE6" s="809">
        <f t="shared" si="2"/>
        <v>-1.9999999999999987</v>
      </c>
      <c r="BF6" s="1055">
        <f t="shared" si="3"/>
        <v>5</v>
      </c>
      <c r="BJ6" s="232">
        <v>30</v>
      </c>
      <c r="BK6" s="232">
        <f>($BG$3*270)+($BG$22*BJ6)</f>
        <v>270</v>
      </c>
    </row>
    <row r="7" spans="1:63" ht="12.75" customHeight="1" x14ac:dyDescent="0.25">
      <c r="B7" s="281"/>
      <c r="C7" s="281"/>
      <c r="D7" s="281"/>
      <c r="E7" s="281"/>
      <c r="F7" s="281"/>
      <c r="G7" s="281"/>
      <c r="H7" s="281"/>
      <c r="I7" s="281"/>
      <c r="J7" s="281"/>
      <c r="L7" s="469"/>
      <c r="M7" s="469"/>
      <c r="N7" s="469"/>
      <c r="O7" s="794"/>
      <c r="P7" s="412"/>
      <c r="Q7" s="217"/>
      <c r="R7" s="795"/>
      <c r="T7" s="412"/>
      <c r="U7" s="412"/>
      <c r="V7" s="217"/>
      <c r="W7" s="412"/>
      <c r="X7" s="412"/>
      <c r="Y7" s="412"/>
      <c r="Z7" s="796"/>
      <c r="AA7" s="797"/>
      <c r="AB7" s="469"/>
      <c r="BA7" s="1052">
        <v>-1.9999999999999969</v>
      </c>
      <c r="BB7" s="1053">
        <v>5.5000000000000018</v>
      </c>
      <c r="BC7" s="1054">
        <f t="shared" si="4"/>
        <v>5.8523499553598128</v>
      </c>
      <c r="BD7" s="1054">
        <f t="shared" si="1"/>
        <v>1.9195673303788028</v>
      </c>
      <c r="BE7" s="809">
        <f t="shared" si="2"/>
        <v>-1.9999999999999956</v>
      </c>
      <c r="BF7" s="1055">
        <f t="shared" si="3"/>
        <v>5.5000000000000018</v>
      </c>
      <c r="BJ7" s="232">
        <v>40</v>
      </c>
      <c r="BK7" s="232" t="str">
        <f t="shared" ref="BK7:BK39" si="5">IF($BG$22,BJ7,"")</f>
        <v/>
      </c>
    </row>
    <row r="8" spans="1:63" s="469" customFormat="1" ht="12.75" customHeight="1" x14ac:dyDescent="0.25">
      <c r="A8" s="413"/>
      <c r="E8" s="807"/>
      <c r="P8" s="217"/>
      <c r="Q8" s="217"/>
      <c r="R8" s="217"/>
      <c r="S8" s="802" t="s">
        <v>790</v>
      </c>
      <c r="T8" s="217"/>
      <c r="U8" s="217"/>
      <c r="BA8" s="1052">
        <v>1.9999999999999987</v>
      </c>
      <c r="BB8" s="1053">
        <v>5.5000000000000009</v>
      </c>
      <c r="BC8" s="1054">
        <f t="shared" si="4"/>
        <v>5.8523499553598128</v>
      </c>
      <c r="BD8" s="1054">
        <f t="shared" si="1"/>
        <v>1.2220253232109899</v>
      </c>
      <c r="BE8" s="809">
        <f t="shared" si="2"/>
        <v>1.9999999999999987</v>
      </c>
      <c r="BF8" s="1055">
        <f t="shared" si="3"/>
        <v>5.5000000000000009</v>
      </c>
      <c r="BG8" s="1069"/>
      <c r="BJ8" s="232">
        <v>50</v>
      </c>
      <c r="BK8" s="232" t="str">
        <f t="shared" si="5"/>
        <v/>
      </c>
    </row>
    <row r="9" spans="1:63" s="469" customFormat="1" ht="12.75" customHeight="1" x14ac:dyDescent="0.25">
      <c r="A9" s="413"/>
      <c r="E9" s="1067" t="s">
        <v>793</v>
      </c>
      <c r="L9" s="211"/>
      <c r="M9" s="211"/>
      <c r="N9" s="211"/>
      <c r="O9" s="211"/>
      <c r="P9" s="211"/>
      <c r="Q9" s="211"/>
      <c r="S9" s="211"/>
      <c r="T9" s="211"/>
      <c r="U9" s="211"/>
      <c r="V9" s="211"/>
      <c r="W9" s="211"/>
      <c r="X9" s="211"/>
      <c r="Y9" s="211"/>
      <c r="Z9" s="211"/>
      <c r="AA9" s="211"/>
      <c r="AB9" s="211"/>
      <c r="BA9" s="1052">
        <v>2.0000000000000013</v>
      </c>
      <c r="BB9" s="1053">
        <v>4.9999999999999991</v>
      </c>
      <c r="BC9" s="1054">
        <f t="shared" si="4"/>
        <v>5.3851648071345037</v>
      </c>
      <c r="BD9" s="1054">
        <f t="shared" si="1"/>
        <v>1.1902899496825314</v>
      </c>
      <c r="BE9" s="809">
        <f t="shared" si="2"/>
        <v>2.0000000000000013</v>
      </c>
      <c r="BF9" s="1055">
        <f t="shared" si="3"/>
        <v>4.9999999999999991</v>
      </c>
      <c r="BG9" s="1069"/>
      <c r="BJ9" s="232">
        <v>60</v>
      </c>
      <c r="BK9" s="232" t="str">
        <f t="shared" si="5"/>
        <v/>
      </c>
    </row>
    <row r="10" spans="1:63" s="469" customFormat="1" ht="12.75" customHeight="1" x14ac:dyDescent="0.25">
      <c r="A10" s="413"/>
      <c r="L10" s="211"/>
      <c r="M10" s="211"/>
      <c r="N10" s="211"/>
      <c r="W10" s="211"/>
      <c r="X10" s="211"/>
      <c r="Y10" s="211"/>
      <c r="Z10" s="211"/>
      <c r="AA10" s="211"/>
      <c r="AB10" s="211"/>
      <c r="BA10" s="1052">
        <v>2.5000000000000009</v>
      </c>
      <c r="BB10" s="1053">
        <v>5</v>
      </c>
      <c r="BC10" s="1054">
        <f t="shared" si="4"/>
        <v>5.5901699437494745</v>
      </c>
      <c r="BD10" s="1054">
        <f t="shared" si="1"/>
        <v>1.1071487177940904</v>
      </c>
      <c r="BE10" s="809">
        <f t="shared" si="2"/>
        <v>2.5000000000000009</v>
      </c>
      <c r="BF10" s="1055">
        <f t="shared" si="3"/>
        <v>5</v>
      </c>
      <c r="BG10" s="1069"/>
      <c r="BJ10" s="232">
        <v>70</v>
      </c>
      <c r="BK10" s="232" t="str">
        <f t="shared" si="5"/>
        <v/>
      </c>
    </row>
    <row r="11" spans="1:63" s="469" customFormat="1" ht="12.75" customHeight="1" thickBot="1" x14ac:dyDescent="0.3">
      <c r="A11" s="413"/>
      <c r="L11" s="211"/>
      <c r="M11" s="211"/>
      <c r="N11" s="211"/>
      <c r="O11" s="1631" t="s">
        <v>294</v>
      </c>
      <c r="P11" s="1632"/>
      <c r="Q11" s="1632"/>
      <c r="R11" s="1632"/>
      <c r="S11" s="1632"/>
      <c r="T11" s="1632"/>
      <c r="U11" s="1632"/>
      <c r="V11" s="1632"/>
      <c r="W11" s="211"/>
      <c r="X11" s="211"/>
      <c r="Y11" s="211"/>
      <c r="Z11" s="211"/>
      <c r="AA11" s="211"/>
      <c r="AB11" s="211"/>
      <c r="AE11" s="1079" t="s">
        <v>800</v>
      </c>
      <c r="BA11" s="1052">
        <v>2.5000000000000004</v>
      </c>
      <c r="BB11" s="1053">
        <v>-2.5</v>
      </c>
      <c r="BC11" s="1054">
        <f t="shared" si="4"/>
        <v>3.5355339059327378</v>
      </c>
      <c r="BD11" s="1054">
        <f t="shared" si="1"/>
        <v>-0.78539816339744817</v>
      </c>
      <c r="BE11" s="809">
        <f t="shared" si="2"/>
        <v>2.5000000000000004</v>
      </c>
      <c r="BF11" s="1055">
        <f t="shared" si="3"/>
        <v>-2.5</v>
      </c>
      <c r="BG11" s="1069"/>
      <c r="BJ11" s="232">
        <v>80</v>
      </c>
      <c r="BK11" s="232" t="str">
        <f t="shared" si="5"/>
        <v/>
      </c>
    </row>
    <row r="12" spans="1:63" s="469" customFormat="1" ht="12.75" customHeight="1" x14ac:dyDescent="0.2">
      <c r="L12" s="211"/>
      <c r="M12" s="211"/>
      <c r="N12" s="211"/>
      <c r="O12" s="211"/>
      <c r="P12" s="211"/>
      <c r="Q12" s="211"/>
      <c r="R12" s="211"/>
      <c r="S12" s="211"/>
      <c r="T12" s="211"/>
      <c r="U12" s="211"/>
      <c r="V12" s="211"/>
      <c r="W12" s="211"/>
      <c r="X12" s="211"/>
      <c r="Y12" s="211"/>
      <c r="Z12" s="211"/>
      <c r="AA12" s="211"/>
      <c r="AB12" s="211"/>
      <c r="AE12" s="803"/>
      <c r="AF12" s="804"/>
      <c r="AG12" s="804"/>
      <c r="AH12" s="804"/>
      <c r="AI12" s="804"/>
      <c r="AJ12" s="804"/>
      <c r="AK12" s="805" t="s">
        <v>795</v>
      </c>
      <c r="AL12" s="1637" t="s">
        <v>798</v>
      </c>
      <c r="AM12" s="1638"/>
      <c r="AN12" s="1639"/>
      <c r="AO12" s="1639"/>
      <c r="AP12" s="804"/>
      <c r="AQ12" s="804"/>
      <c r="AR12" s="806"/>
      <c r="BA12" s="1056">
        <v>-2.5000000000000004</v>
      </c>
      <c r="BB12" s="1057">
        <v>-2.5</v>
      </c>
      <c r="BC12" s="1059">
        <f t="shared" si="4"/>
        <v>3.5355339059327378</v>
      </c>
      <c r="BD12" s="1059">
        <f t="shared" si="1"/>
        <v>-2.3561944901923448</v>
      </c>
      <c r="BE12" s="809">
        <f t="shared" si="2"/>
        <v>-2.5</v>
      </c>
      <c r="BF12" s="1055">
        <f t="shared" si="3"/>
        <v>-2.5000000000000004</v>
      </c>
      <c r="BG12" s="1069"/>
      <c r="BJ12" s="232">
        <v>90</v>
      </c>
      <c r="BK12" s="232" t="str">
        <f t="shared" si="5"/>
        <v/>
      </c>
    </row>
    <row r="13" spans="1:63" s="469" customFormat="1" ht="12.75" customHeight="1" x14ac:dyDescent="0.25">
      <c r="A13" s="413"/>
      <c r="L13" s="211"/>
      <c r="M13" s="211"/>
      <c r="N13" s="211"/>
      <c r="O13" s="211"/>
      <c r="P13" s="211"/>
      <c r="Q13" s="211"/>
      <c r="R13" s="211"/>
      <c r="S13" s="211"/>
      <c r="T13" s="211"/>
      <c r="U13" s="211"/>
      <c r="V13" s="211"/>
      <c r="W13" s="211"/>
      <c r="X13" s="211"/>
      <c r="Y13" s="211"/>
      <c r="Z13" s="211"/>
      <c r="AA13" s="211"/>
      <c r="AB13" s="211"/>
      <c r="AE13" s="808"/>
      <c r="AF13" s="809"/>
      <c r="AG13" s="809"/>
      <c r="AH13" s="809"/>
      <c r="AI13" s="809"/>
      <c r="AJ13" s="809"/>
      <c r="AK13" s="809"/>
      <c r="AL13" s="809"/>
      <c r="AM13" s="809"/>
      <c r="AN13" s="809"/>
      <c r="AO13" s="809"/>
      <c r="AP13" s="809"/>
      <c r="AQ13" s="809"/>
      <c r="AR13" s="810"/>
      <c r="BA13" s="469" t="s">
        <v>796</v>
      </c>
      <c r="BG13" s="1069">
        <f>1*($AL$12="Round")</f>
        <v>0</v>
      </c>
      <c r="BJ13" s="232">
        <v>100</v>
      </c>
      <c r="BK13" s="232" t="str">
        <f t="shared" si="5"/>
        <v/>
      </c>
    </row>
    <row r="14" spans="1:63" s="469" customFormat="1" ht="12.75" customHeight="1" x14ac:dyDescent="0.25">
      <c r="A14" s="413"/>
      <c r="L14" s="211"/>
      <c r="M14" s="211"/>
      <c r="N14" s="211"/>
      <c r="O14" s="211"/>
      <c r="P14" s="211"/>
      <c r="Q14" s="211"/>
      <c r="R14" s="211"/>
      <c r="T14" s="211"/>
      <c r="U14" s="211"/>
      <c r="V14" s="211"/>
      <c r="W14" s="211"/>
      <c r="X14" s="211"/>
      <c r="Y14" s="211"/>
      <c r="Z14" s="211"/>
      <c r="AA14" s="211"/>
      <c r="AB14" s="211"/>
      <c r="AD14" s="801"/>
      <c r="AE14" s="808"/>
      <c r="AF14" s="809"/>
      <c r="AG14" s="809"/>
      <c r="AH14" s="809"/>
      <c r="AI14" s="809"/>
      <c r="AJ14" s="809"/>
      <c r="AK14" s="370" t="str">
        <f>IF(BG3,"PCB Orientation:","Tester Channel 1:")</f>
        <v>PCB Orientation:</v>
      </c>
      <c r="AL14" s="1640">
        <v>0</v>
      </c>
      <c r="AM14" s="1641"/>
      <c r="AN14" s="811" t="s">
        <v>682</v>
      </c>
      <c r="AO14" s="809"/>
      <c r="AP14" s="809"/>
      <c r="AQ14" s="809"/>
      <c r="AR14" s="810"/>
      <c r="BA14" s="469" t="s">
        <v>799</v>
      </c>
      <c r="BG14" s="1069">
        <f>1*($AL$12="Square")</f>
        <v>0</v>
      </c>
      <c r="BJ14" s="232">
        <v>110</v>
      </c>
      <c r="BK14" s="232" t="str">
        <f t="shared" si="5"/>
        <v/>
      </c>
    </row>
    <row r="15" spans="1:63" s="469" customFormat="1" ht="12.75" customHeight="1" x14ac:dyDescent="0.25">
      <c r="A15" s="413"/>
      <c r="L15" s="211"/>
      <c r="M15" s="211"/>
      <c r="N15" s="211"/>
      <c r="O15" s="211"/>
      <c r="P15" s="211"/>
      <c r="Q15" s="211"/>
      <c r="R15" s="211"/>
      <c r="S15" s="211"/>
      <c r="T15" s="211"/>
      <c r="U15" s="211"/>
      <c r="V15" s="211"/>
      <c r="W15" s="211"/>
      <c r="X15" s="211"/>
      <c r="Y15" s="211"/>
      <c r="Z15" s="211"/>
      <c r="AA15" s="211"/>
      <c r="AB15" s="211"/>
      <c r="AD15" s="802"/>
      <c r="AE15" s="808"/>
      <c r="AF15" s="809"/>
      <c r="AG15" s="809"/>
      <c r="AH15" s="809"/>
      <c r="AI15" s="809"/>
      <c r="AJ15" s="809"/>
      <c r="AK15" s="809"/>
      <c r="AL15" s="809"/>
      <c r="AM15" s="809"/>
      <c r="AN15" s="809"/>
      <c r="AO15" s="809"/>
      <c r="AP15" s="809"/>
      <c r="AQ15" s="809"/>
      <c r="AR15" s="810"/>
      <c r="BA15" s="1061" t="s">
        <v>162</v>
      </c>
      <c r="BB15" s="1062" t="s">
        <v>163</v>
      </c>
      <c r="BC15" s="1077"/>
      <c r="BD15" s="1077"/>
      <c r="BE15" s="1077"/>
      <c r="BF15" s="1078"/>
      <c r="BJ15" s="232">
        <v>120</v>
      </c>
      <c r="BK15" s="232" t="str">
        <f t="shared" si="5"/>
        <v/>
      </c>
    </row>
    <row r="16" spans="1:63" s="469" customFormat="1" ht="12.75" customHeight="1" x14ac:dyDescent="0.25">
      <c r="A16" s="413"/>
      <c r="B16" s="236"/>
      <c r="C16" s="211"/>
      <c r="E16" s="211"/>
      <c r="G16" s="211"/>
      <c r="H16" s="211"/>
      <c r="J16" s="211"/>
      <c r="K16" s="211"/>
      <c r="L16" s="211"/>
      <c r="M16" s="211"/>
      <c r="N16" s="211"/>
      <c r="O16" s="211"/>
      <c r="P16" s="211"/>
      <c r="Q16" s="211"/>
      <c r="R16" s="211"/>
      <c r="S16" s="211"/>
      <c r="T16" s="211"/>
      <c r="U16" s="211"/>
      <c r="V16" s="211"/>
      <c r="W16" s="211"/>
      <c r="X16" s="211"/>
      <c r="Y16" s="211"/>
      <c r="AA16" s="211"/>
      <c r="AE16" s="808"/>
      <c r="AF16" s="809"/>
      <c r="AG16" s="809"/>
      <c r="AH16" s="809"/>
      <c r="AI16" s="809"/>
      <c r="AJ16" s="809"/>
      <c r="AK16" s="370" t="s">
        <v>849</v>
      </c>
      <c r="AL16" s="1640">
        <v>0</v>
      </c>
      <c r="AM16" s="1641"/>
      <c r="AN16" s="811" t="s">
        <v>682</v>
      </c>
      <c r="AO16" s="809"/>
      <c r="AP16" s="809"/>
      <c r="AQ16" s="809"/>
      <c r="AR16" s="810"/>
      <c r="BA16" s="1052">
        <v>-6</v>
      </c>
      <c r="BB16" s="1053">
        <v>-6</v>
      </c>
      <c r="BC16" s="809"/>
      <c r="BD16" s="809"/>
      <c r="BE16" s="809">
        <f>BA16*$BG$14</f>
        <v>0</v>
      </c>
      <c r="BF16" s="1055">
        <f>BB16*$BG$14</f>
        <v>0</v>
      </c>
      <c r="BJ16" s="232">
        <v>130</v>
      </c>
      <c r="BK16" s="232" t="str">
        <f t="shared" si="5"/>
        <v/>
      </c>
    </row>
    <row r="17" spans="1:63" s="469" customFormat="1" ht="12.75" customHeight="1" x14ac:dyDescent="0.25">
      <c r="A17" s="413"/>
      <c r="B17" s="236"/>
      <c r="C17" s="211"/>
      <c r="D17" s="799"/>
      <c r="E17" s="211"/>
      <c r="F17" s="211"/>
      <c r="G17" s="211"/>
      <c r="H17" s="211"/>
      <c r="I17" s="800"/>
      <c r="J17" s="211"/>
      <c r="K17" s="211"/>
      <c r="L17" s="211"/>
      <c r="M17" s="211"/>
      <c r="N17" s="211"/>
      <c r="O17" s="211"/>
      <c r="P17" s="211"/>
      <c r="Q17" s="211"/>
      <c r="R17" s="211"/>
      <c r="S17" s="211"/>
      <c r="T17" s="211"/>
      <c r="U17" s="211"/>
      <c r="V17" s="211"/>
      <c r="W17" s="211"/>
      <c r="X17" s="211"/>
      <c r="Y17" s="211"/>
      <c r="Z17" s="211"/>
      <c r="AA17" s="211"/>
      <c r="AB17" s="211"/>
      <c r="AE17" s="808"/>
      <c r="AF17" s="809"/>
      <c r="AG17" s="809"/>
      <c r="AH17" s="809"/>
      <c r="AI17" s="809"/>
      <c r="AJ17" s="809"/>
      <c r="AK17" s="809"/>
      <c r="AL17" s="809"/>
      <c r="AM17" s="809"/>
      <c r="AN17" s="809"/>
      <c r="AO17" s="809"/>
      <c r="AP17" s="809"/>
      <c r="AQ17" s="809"/>
      <c r="AR17" s="810"/>
      <c r="BA17" s="1052">
        <v>-6</v>
      </c>
      <c r="BB17" s="1053">
        <v>6</v>
      </c>
      <c r="BC17" s="809"/>
      <c r="BD17" s="809"/>
      <c r="BE17" s="809">
        <f t="shared" ref="BE17:BE20" si="6">BA17*$BG$14</f>
        <v>0</v>
      </c>
      <c r="BF17" s="1055">
        <f t="shared" ref="BF17:BF20" si="7">BB17*$BG$14</f>
        <v>0</v>
      </c>
      <c r="BG17" s="1069"/>
      <c r="BJ17" s="232">
        <v>140</v>
      </c>
      <c r="BK17" s="232" t="str">
        <f t="shared" si="5"/>
        <v/>
      </c>
    </row>
    <row r="18" spans="1:63" s="469" customFormat="1" ht="12.75" customHeight="1" x14ac:dyDescent="0.25">
      <c r="A18" s="413"/>
      <c r="B18" s="236"/>
      <c r="C18" s="211"/>
      <c r="D18" s="799"/>
      <c r="E18" s="211"/>
      <c r="F18" s="211"/>
      <c r="G18" s="211"/>
      <c r="H18" s="211"/>
      <c r="I18" s="800"/>
      <c r="J18" s="211"/>
      <c r="K18" s="211"/>
      <c r="L18" s="211"/>
      <c r="M18" s="211"/>
      <c r="N18" s="211"/>
      <c r="P18" s="211"/>
      <c r="Q18" s="809"/>
      <c r="R18" s="809"/>
      <c r="S18" s="809"/>
      <c r="T18" s="809"/>
      <c r="U18" s="211"/>
      <c r="V18" s="211"/>
      <c r="W18" s="211"/>
      <c r="X18" s="211"/>
      <c r="Y18" s="211"/>
      <c r="Z18" s="211"/>
      <c r="AA18" s="211"/>
      <c r="AB18" s="211"/>
      <c r="AE18" s="808"/>
      <c r="AF18" s="809"/>
      <c r="AG18" s="809"/>
      <c r="AH18" s="809"/>
      <c r="AI18" s="809"/>
      <c r="AJ18" s="809"/>
      <c r="AK18" s="370" t="s">
        <v>850</v>
      </c>
      <c r="AL18" s="1640">
        <v>0</v>
      </c>
      <c r="AM18" s="1641"/>
      <c r="AN18" s="811" t="s">
        <v>682</v>
      </c>
      <c r="AO18" s="809"/>
      <c r="AP18" s="809"/>
      <c r="AQ18" s="809"/>
      <c r="AR18" s="810"/>
      <c r="BA18" s="1052">
        <v>6</v>
      </c>
      <c r="BB18" s="1053">
        <v>6</v>
      </c>
      <c r="BC18" s="809"/>
      <c r="BD18" s="809"/>
      <c r="BE18" s="809">
        <f t="shared" si="6"/>
        <v>0</v>
      </c>
      <c r="BF18" s="1055">
        <f t="shared" si="7"/>
        <v>0</v>
      </c>
      <c r="BG18" s="1069"/>
      <c r="BJ18" s="232">
        <v>150</v>
      </c>
      <c r="BK18" s="232" t="str">
        <f t="shared" si="5"/>
        <v/>
      </c>
    </row>
    <row r="19" spans="1:63" s="469" customFormat="1" ht="12.75" customHeight="1" x14ac:dyDescent="0.2">
      <c r="A19" s="400"/>
      <c r="B19" s="211"/>
      <c r="C19" s="211"/>
      <c r="D19" s="211"/>
      <c r="E19" s="211"/>
      <c r="F19" s="211"/>
      <c r="H19" s="1625" t="s">
        <v>294</v>
      </c>
      <c r="I19" s="217"/>
      <c r="J19" s="217"/>
      <c r="K19" s="217"/>
      <c r="L19" s="217"/>
      <c r="M19" s="217"/>
      <c r="N19" s="217"/>
      <c r="O19" s="809"/>
      <c r="P19" s="809"/>
      <c r="Q19" s="809"/>
      <c r="R19" s="1646" t="s">
        <v>792</v>
      </c>
      <c r="S19" s="1647"/>
      <c r="T19" s="809"/>
      <c r="U19" s="809"/>
      <c r="V19" s="809"/>
      <c r="W19" s="217"/>
      <c r="X19" s="217"/>
      <c r="Y19" s="217"/>
      <c r="AA19" s="217"/>
      <c r="AB19" s="217"/>
      <c r="AC19" s="1627" t="s">
        <v>294</v>
      </c>
      <c r="AE19" s="808"/>
      <c r="AF19" s="809"/>
      <c r="AG19" s="809"/>
      <c r="AH19" s="809"/>
      <c r="AI19" s="809"/>
      <c r="AJ19" s="809"/>
      <c r="AK19" s="809"/>
      <c r="AL19" s="809"/>
      <c r="AM19" s="809"/>
      <c r="AN19" s="809"/>
      <c r="AO19" s="809"/>
      <c r="AP19" s="809"/>
      <c r="AQ19" s="809"/>
      <c r="AR19" s="810"/>
      <c r="AW19" s="815"/>
      <c r="BA19" s="1052">
        <v>6</v>
      </c>
      <c r="BB19" s="1053">
        <v>-6</v>
      </c>
      <c r="BC19" s="809"/>
      <c r="BD19" s="809"/>
      <c r="BE19" s="809">
        <f t="shared" si="6"/>
        <v>0</v>
      </c>
      <c r="BF19" s="1055">
        <f t="shared" si="7"/>
        <v>0</v>
      </c>
      <c r="BG19" s="1069"/>
      <c r="BJ19" s="232">
        <v>160</v>
      </c>
      <c r="BK19" s="232" t="str">
        <f t="shared" si="5"/>
        <v/>
      </c>
    </row>
    <row r="20" spans="1:63" s="469" customFormat="1" ht="12.75" customHeight="1" thickBot="1" x14ac:dyDescent="0.25">
      <c r="A20" s="400"/>
      <c r="B20" s="211"/>
      <c r="C20" s="211"/>
      <c r="E20" s="211"/>
      <c r="H20" s="1626"/>
      <c r="I20" s="217"/>
      <c r="J20" s="217"/>
      <c r="K20" s="217"/>
      <c r="L20" s="217"/>
      <c r="M20" s="217"/>
      <c r="N20" s="217"/>
      <c r="O20" s="809"/>
      <c r="W20" s="217"/>
      <c r="X20" s="217"/>
      <c r="Y20" s="217"/>
      <c r="AB20" s="217"/>
      <c r="AC20" s="1628"/>
      <c r="AE20" s="812"/>
      <c r="AF20" s="813"/>
      <c r="AG20" s="813"/>
      <c r="AH20" s="813"/>
      <c r="AI20" s="813"/>
      <c r="AJ20" s="813"/>
      <c r="AK20" s="352" t="s">
        <v>851</v>
      </c>
      <c r="AL20" s="1642"/>
      <c r="AM20" s="1643"/>
      <c r="AN20" s="1643"/>
      <c r="AO20" s="1643"/>
      <c r="AP20" s="1643"/>
      <c r="AQ20" s="1643"/>
      <c r="AR20" s="814"/>
      <c r="BA20" s="1056">
        <v>-6</v>
      </c>
      <c r="BB20" s="1057">
        <v>-6</v>
      </c>
      <c r="BC20" s="1058"/>
      <c r="BD20" s="1058"/>
      <c r="BE20" s="1058">
        <f t="shared" si="6"/>
        <v>0</v>
      </c>
      <c r="BF20" s="1060">
        <f t="shared" si="7"/>
        <v>0</v>
      </c>
      <c r="BG20" s="1069"/>
      <c r="BJ20" s="232">
        <v>170</v>
      </c>
      <c r="BK20" s="232" t="str">
        <f t="shared" si="5"/>
        <v/>
      </c>
    </row>
    <row r="21" spans="1:63" s="469" customFormat="1" ht="12.75" customHeight="1" x14ac:dyDescent="0.2">
      <c r="B21" s="816"/>
      <c r="H21" s="1626"/>
      <c r="I21" s="816"/>
      <c r="N21" s="809"/>
      <c r="O21" s="809"/>
      <c r="S21" s="816"/>
      <c r="U21" s="809"/>
      <c r="V21" s="809"/>
      <c r="W21" s="809"/>
      <c r="AC21" s="1628"/>
      <c r="BG21" s="1069"/>
      <c r="BJ21" s="232">
        <v>180</v>
      </c>
      <c r="BK21" s="232" t="str">
        <f t="shared" si="5"/>
        <v/>
      </c>
    </row>
    <row r="22" spans="1:63" s="469" customFormat="1" ht="12.75" customHeight="1" x14ac:dyDescent="0.2">
      <c r="B22" s="816"/>
      <c r="H22" s="1626"/>
      <c r="I22" s="816"/>
      <c r="N22" s="809"/>
      <c r="O22" s="1635" t="s">
        <v>792</v>
      </c>
      <c r="S22" s="816"/>
      <c r="V22" s="1644" t="s">
        <v>792</v>
      </c>
      <c r="W22" s="809"/>
      <c r="AC22" s="1628"/>
      <c r="AE22" s="469" t="s">
        <v>892</v>
      </c>
      <c r="BA22" s="469" t="s">
        <v>227</v>
      </c>
      <c r="BG22" s="1069">
        <f>OR(BG13,BG14)+0</f>
        <v>0</v>
      </c>
      <c r="BJ22" s="232">
        <v>190</v>
      </c>
      <c r="BK22" s="232" t="str">
        <f t="shared" si="5"/>
        <v/>
      </c>
    </row>
    <row r="23" spans="1:63" s="469" customFormat="1" ht="12.75" customHeight="1" x14ac:dyDescent="0.2">
      <c r="B23" s="816"/>
      <c r="H23" s="1626"/>
      <c r="I23" s="816"/>
      <c r="N23" s="809"/>
      <c r="O23" s="1636"/>
      <c r="S23" s="816"/>
      <c r="V23" s="1645"/>
      <c r="W23" s="809"/>
      <c r="AC23" s="1628"/>
      <c r="AE23" s="469" t="s">
        <v>891</v>
      </c>
      <c r="BA23" s="1072">
        <v>0</v>
      </c>
      <c r="BB23" s="1073">
        <v>5.2</v>
      </c>
      <c r="BC23" s="1074">
        <f>SQRT(BA23^2+BB23^2)</f>
        <v>5.2</v>
      </c>
      <c r="BD23" s="1074">
        <f>(ATAN2(BA23,BB23))+RADIANS($AL$14)</f>
        <v>1.5707963267948966</v>
      </c>
      <c r="BE23" s="1075">
        <f>IF($BH$3,BE24,BC23*COS(BD23)*BG22)</f>
        <v>0</v>
      </c>
      <c r="BF23" s="1076">
        <f>IF($BH$3,BF24,BC23*SIN(BD23)*BG22)</f>
        <v>0</v>
      </c>
      <c r="BG23" s="1069"/>
      <c r="BJ23" s="232">
        <v>200</v>
      </c>
      <c r="BK23" s="232" t="str">
        <f t="shared" si="5"/>
        <v/>
      </c>
    </row>
    <row r="24" spans="1:63" s="469" customFormat="1" ht="12.75" customHeight="1" x14ac:dyDescent="0.2">
      <c r="B24" s="816"/>
      <c r="H24" s="1626"/>
      <c r="I24" s="816"/>
      <c r="N24" s="809"/>
      <c r="O24" s="1636"/>
      <c r="S24" s="816"/>
      <c r="V24" s="1645"/>
      <c r="W24" s="809"/>
      <c r="AC24" s="1628"/>
      <c r="AE24" s="469" t="s">
        <v>894</v>
      </c>
      <c r="BC24" s="1266" t="s">
        <v>899</v>
      </c>
      <c r="BD24" s="1075">
        <f ca="1">(ATAN2(BA23,BB23))+RADIANS('PCB Config'!CH6)</f>
        <v>1.5707963267948966</v>
      </c>
      <c r="BE24" s="1075">
        <f ca="1">BC23*COS(BD24)*BG22</f>
        <v>0</v>
      </c>
      <c r="BF24" s="1076">
        <f ca="1">BC23*SIN(BD24)*BG22</f>
        <v>0</v>
      </c>
      <c r="BG24" s="1069"/>
      <c r="BJ24" s="232">
        <v>210</v>
      </c>
      <c r="BK24" s="232" t="str">
        <f t="shared" si="5"/>
        <v/>
      </c>
    </row>
    <row r="25" spans="1:63" s="469" customFormat="1" ht="12.75" customHeight="1" x14ac:dyDescent="0.2">
      <c r="B25" s="816"/>
      <c r="H25" s="1626"/>
      <c r="M25" s="809"/>
      <c r="N25" s="809"/>
      <c r="O25" s="809"/>
      <c r="S25" s="816"/>
      <c r="V25" s="809"/>
      <c r="W25" s="809"/>
      <c r="AB25" s="809"/>
      <c r="AC25" s="1628"/>
      <c r="AE25" s="469" t="s">
        <v>895</v>
      </c>
      <c r="BA25" s="636" t="s">
        <v>130</v>
      </c>
      <c r="BB25" s="232"/>
      <c r="BC25" s="232"/>
      <c r="BD25" s="232"/>
      <c r="BE25" s="232"/>
      <c r="BF25" s="232"/>
      <c r="BG25" s="1069"/>
      <c r="BJ25" s="232">
        <v>220</v>
      </c>
      <c r="BK25" s="232" t="str">
        <f t="shared" si="5"/>
        <v/>
      </c>
    </row>
    <row r="26" spans="1:63" s="469" customFormat="1" ht="12.75" customHeight="1" x14ac:dyDescent="0.2">
      <c r="B26" s="816"/>
      <c r="H26" s="1626"/>
      <c r="O26" s="809"/>
      <c r="R26" s="1629"/>
      <c r="S26" s="1630"/>
      <c r="U26" s="809"/>
      <c r="W26" s="1066"/>
      <c r="AC26" s="1628"/>
      <c r="AE26" s="469" t="s">
        <v>896</v>
      </c>
      <c r="BA26" s="643">
        <v>0.25</v>
      </c>
      <c r="BB26" s="644">
        <v>0.05</v>
      </c>
      <c r="BC26" s="644">
        <v>-0.1</v>
      </c>
      <c r="BD26" s="644">
        <v>2E-3</v>
      </c>
      <c r="BE26" s="644">
        <v>0</v>
      </c>
      <c r="BF26" s="645">
        <f>IF(Chart!O12="Tester Side",0.02,-0.024)</f>
        <v>0.02</v>
      </c>
      <c r="BG26" s="1069"/>
      <c r="BJ26" s="232">
        <v>230</v>
      </c>
      <c r="BK26" s="232" t="str">
        <f t="shared" si="5"/>
        <v/>
      </c>
    </row>
    <row r="27" spans="1:63" s="469" customFormat="1" ht="12.75" customHeight="1" x14ac:dyDescent="0.2">
      <c r="B27" s="816"/>
      <c r="H27" s="1626"/>
      <c r="O27" s="809"/>
      <c r="P27" s="809"/>
      <c r="Q27" s="1064"/>
      <c r="R27" s="1633" t="s">
        <v>792</v>
      </c>
      <c r="S27" s="1634"/>
      <c r="T27" s="1065"/>
      <c r="U27" s="809"/>
      <c r="V27" s="809"/>
      <c r="Z27" s="809"/>
      <c r="AC27" s="1628"/>
      <c r="AE27" s="469" t="s">
        <v>900</v>
      </c>
      <c r="BA27" s="651"/>
      <c r="BB27" s="652"/>
      <c r="BC27" s="637">
        <v>0.6</v>
      </c>
      <c r="BD27" s="637">
        <v>2E-3</v>
      </c>
      <c r="BE27" s="637">
        <v>0.1</v>
      </c>
      <c r="BF27" s="1025">
        <f>$BF$26</f>
        <v>0.02</v>
      </c>
      <c r="BG27" s="1069"/>
      <c r="BJ27" s="232">
        <v>240</v>
      </c>
      <c r="BK27" s="232" t="str">
        <f t="shared" si="5"/>
        <v/>
      </c>
    </row>
    <row r="28" spans="1:63" s="469" customFormat="1" ht="12.75" customHeight="1" x14ac:dyDescent="0.2">
      <c r="B28" s="816"/>
      <c r="P28" s="217"/>
      <c r="Q28" s="1064"/>
      <c r="R28" s="1064"/>
      <c r="S28" s="1064"/>
      <c r="T28" s="1064"/>
      <c r="U28" s="217"/>
      <c r="Z28" s="809"/>
      <c r="AD28" s="816"/>
      <c r="BA28" s="651"/>
      <c r="BB28" s="652"/>
      <c r="BC28" s="637">
        <v>0.6</v>
      </c>
      <c r="BD28" s="637">
        <v>-2E-3</v>
      </c>
      <c r="BE28" s="637">
        <v>0.2</v>
      </c>
      <c r="BF28" s="1025">
        <f>$BF$26</f>
        <v>0.02</v>
      </c>
      <c r="BG28" s="1069"/>
      <c r="BJ28" s="232">
        <v>250</v>
      </c>
      <c r="BK28" s="232" t="str">
        <f t="shared" si="5"/>
        <v/>
      </c>
    </row>
    <row r="29" spans="1:63" s="469" customFormat="1" ht="12.75" customHeight="1" x14ac:dyDescent="0.2">
      <c r="B29" s="816"/>
      <c r="P29" s="217"/>
      <c r="Q29" s="217"/>
      <c r="R29" s="1629" t="s">
        <v>683</v>
      </c>
      <c r="S29" s="1630"/>
      <c r="T29" s="217"/>
      <c r="U29" s="217"/>
      <c r="Z29" s="809"/>
      <c r="AD29" s="798"/>
      <c r="BA29" s="651"/>
      <c r="BB29" s="652"/>
      <c r="BC29" s="637">
        <v>-0.1</v>
      </c>
      <c r="BD29" s="637">
        <v>-2E-3</v>
      </c>
      <c r="BE29" s="637">
        <v>0.3</v>
      </c>
      <c r="BF29" s="1025">
        <f>$BF$26</f>
        <v>0.02</v>
      </c>
      <c r="BG29" s="1069"/>
      <c r="BJ29" s="232">
        <v>260</v>
      </c>
      <c r="BK29" s="232" t="str">
        <f t="shared" si="5"/>
        <v/>
      </c>
    </row>
    <row r="30" spans="1:63" s="469" customFormat="1" ht="12.75" customHeight="1" x14ac:dyDescent="0.2">
      <c r="B30" s="816"/>
      <c r="P30" s="217"/>
      <c r="Q30" s="217"/>
      <c r="R30" s="217"/>
      <c r="S30" s="217"/>
      <c r="T30" s="217"/>
      <c r="U30" s="217"/>
      <c r="Z30" s="809"/>
      <c r="AD30" s="798"/>
      <c r="AE30" s="1068"/>
      <c r="AF30" s="818" t="s">
        <v>801</v>
      </c>
      <c r="BA30" s="651"/>
      <c r="BB30" s="652"/>
      <c r="BC30" s="637">
        <v>-0.1</v>
      </c>
      <c r="BD30" s="637">
        <v>2E-3</v>
      </c>
      <c r="BE30" s="637">
        <v>0.4</v>
      </c>
      <c r="BF30" s="1025">
        <f>$BF$26</f>
        <v>0.02</v>
      </c>
      <c r="BG30" s="1069"/>
      <c r="BJ30" s="232">
        <v>270</v>
      </c>
      <c r="BK30" s="232" t="str">
        <f t="shared" si="5"/>
        <v/>
      </c>
    </row>
    <row r="31" spans="1:63" s="469" customFormat="1" ht="12.75" customHeight="1" x14ac:dyDescent="0.2">
      <c r="B31" s="816"/>
      <c r="P31" s="217"/>
      <c r="Q31" s="217"/>
      <c r="R31" s="217"/>
      <c r="S31" s="217"/>
      <c r="T31" s="217"/>
      <c r="U31" s="217"/>
      <c r="Z31" s="809"/>
      <c r="AD31" s="798"/>
      <c r="BA31" s="665"/>
      <c r="BB31" s="666"/>
      <c r="BC31" s="667"/>
      <c r="BD31" s="667"/>
      <c r="BE31" s="667">
        <v>0.5</v>
      </c>
      <c r="BF31" s="1026">
        <f>$BF$26</f>
        <v>0.02</v>
      </c>
      <c r="BG31" s="1069"/>
      <c r="BJ31" s="232">
        <v>280</v>
      </c>
      <c r="BK31" s="232" t="str">
        <f t="shared" si="5"/>
        <v/>
      </c>
    </row>
    <row r="32" spans="1:63" s="469" customFormat="1" ht="12.75" customHeight="1" x14ac:dyDescent="0.2">
      <c r="B32" s="816"/>
      <c r="M32" s="809"/>
      <c r="N32" s="809"/>
      <c r="O32" s="809"/>
      <c r="P32" s="256"/>
      <c r="Q32" s="256"/>
      <c r="R32" s="256"/>
      <c r="S32" s="256"/>
      <c r="T32" s="256"/>
      <c r="U32" s="256"/>
      <c r="V32" s="809"/>
      <c r="BG32" s="1069"/>
      <c r="BJ32" s="232">
        <v>290</v>
      </c>
      <c r="BK32" s="232" t="str">
        <f t="shared" si="5"/>
        <v/>
      </c>
    </row>
    <row r="33" spans="2:67" s="469" customFormat="1" ht="12.75" customHeight="1" x14ac:dyDescent="0.2">
      <c r="B33" s="816"/>
      <c r="M33" s="809"/>
      <c r="N33" s="250"/>
      <c r="O33" s="250"/>
      <c r="P33" s="250"/>
      <c r="Q33" s="250"/>
      <c r="R33" s="250"/>
      <c r="S33" s="250"/>
      <c r="T33" s="250"/>
      <c r="U33" s="250"/>
      <c r="V33" s="250"/>
      <c r="AE33" s="817"/>
      <c r="AF33" s="818" t="s">
        <v>794</v>
      </c>
      <c r="BD33" s="809"/>
      <c r="BF33" s="809"/>
      <c r="BG33" s="1070"/>
      <c r="BH33" s="809"/>
      <c r="BI33" s="809"/>
      <c r="BJ33" s="232">
        <v>300</v>
      </c>
      <c r="BK33" s="232" t="str">
        <f t="shared" si="5"/>
        <v/>
      </c>
      <c r="BL33" s="809"/>
      <c r="BM33" s="809"/>
      <c r="BN33" s="809"/>
      <c r="BO33" s="809"/>
    </row>
    <row r="34" spans="2:67" s="469" customFormat="1" ht="12.75" customHeight="1" x14ac:dyDescent="0.2">
      <c r="B34" s="816"/>
      <c r="E34" s="809"/>
      <c r="M34" s="809"/>
      <c r="N34" s="250"/>
      <c r="O34" s="266"/>
      <c r="P34" s="250"/>
      <c r="Q34" s="266"/>
      <c r="R34" s="250"/>
      <c r="S34" s="266"/>
      <c r="T34" s="250"/>
      <c r="U34" s="266"/>
      <c r="V34" s="250"/>
      <c r="AE34" s="469" t="s">
        <v>893</v>
      </c>
      <c r="BA34" s="178" t="s">
        <v>853</v>
      </c>
      <c r="BB34" s="788"/>
      <c r="BC34"/>
      <c r="BD34" s="809"/>
      <c r="BE34" s="809"/>
      <c r="BF34" s="809"/>
      <c r="BG34" s="1070"/>
      <c r="BH34" s="809"/>
      <c r="BI34" s="809"/>
      <c r="BJ34" s="232">
        <v>310</v>
      </c>
      <c r="BK34" s="232" t="str">
        <f t="shared" si="5"/>
        <v/>
      </c>
      <c r="BL34" s="809"/>
      <c r="BM34" s="809"/>
      <c r="BN34" s="809"/>
      <c r="BO34" s="809"/>
    </row>
    <row r="35" spans="2:67" s="469" customFormat="1" ht="12.75" customHeight="1" x14ac:dyDescent="0.2">
      <c r="B35" s="816"/>
      <c r="E35" s="809"/>
      <c r="I35" s="798"/>
      <c r="M35" s="809"/>
      <c r="N35" s="250"/>
      <c r="O35" s="1631" t="s">
        <v>294</v>
      </c>
      <c r="P35" s="1632"/>
      <c r="Q35" s="1632"/>
      <c r="R35" s="1632"/>
      <c r="S35" s="1632"/>
      <c r="T35" s="1632"/>
      <c r="U35" s="1632"/>
      <c r="V35" s="1632"/>
      <c r="BA35" s="791" t="s">
        <v>685</v>
      </c>
      <c r="BB35" s="792" t="s">
        <v>162</v>
      </c>
      <c r="BC35" s="793" t="s">
        <v>163</v>
      </c>
      <c r="BD35" s="809"/>
      <c r="BE35" s="809"/>
      <c r="BF35" s="809"/>
      <c r="BG35" s="1070"/>
      <c r="BH35" s="809"/>
      <c r="BI35" s="809"/>
      <c r="BJ35" s="232">
        <v>320</v>
      </c>
      <c r="BK35" s="232" t="str">
        <f t="shared" si="5"/>
        <v/>
      </c>
      <c r="BL35" s="809"/>
      <c r="BM35" s="809"/>
      <c r="BN35" s="809"/>
      <c r="BO35" s="809"/>
    </row>
    <row r="36" spans="2:67" s="469" customFormat="1" ht="12.75" customHeight="1" x14ac:dyDescent="0.2">
      <c r="B36" s="816"/>
      <c r="E36" s="809"/>
      <c r="M36" s="809"/>
      <c r="N36" s="250"/>
      <c r="BA36" s="1253" t="s">
        <v>883</v>
      </c>
      <c r="BB36" s="1258" t="e">
        <f ca="1">Chart!BJ4-(Chart!BJ5/2)</f>
        <v>#REF!</v>
      </c>
      <c r="BC36" s="1259" t="e">
        <f ca="1">Chart!$BK$4-(Chart!$BK$5/2)</f>
        <v>#REF!</v>
      </c>
      <c r="BD36" s="809"/>
      <c r="BE36" s="809"/>
      <c r="BF36" s="809"/>
      <c r="BG36" s="1070"/>
      <c r="BH36" s="809"/>
      <c r="BI36" s="809"/>
      <c r="BJ36" s="232">
        <v>330</v>
      </c>
      <c r="BK36" s="232" t="str">
        <f t="shared" si="5"/>
        <v/>
      </c>
      <c r="BL36" s="809"/>
      <c r="BM36" s="809"/>
      <c r="BN36" s="809"/>
      <c r="BO36" s="809"/>
    </row>
    <row r="37" spans="2:67" s="469" customFormat="1" ht="12.75" customHeight="1" x14ac:dyDescent="0.2">
      <c r="B37" s="816"/>
      <c r="E37" s="809"/>
      <c r="I37" s="798"/>
      <c r="M37" s="809"/>
      <c r="N37" s="250"/>
      <c r="O37" s="250"/>
      <c r="P37" s="250"/>
      <c r="Q37" s="250"/>
      <c r="R37" s="250"/>
      <c r="S37" s="250"/>
      <c r="T37" s="250"/>
      <c r="U37" s="250"/>
      <c r="V37" s="250"/>
      <c r="BA37" s="555" t="s">
        <v>882</v>
      </c>
      <c r="BB37" s="809"/>
      <c r="BC37" s="789" t="e">
        <f ca="1">0.75/MAX(Chart!$BJ$5:$BK$5)</f>
        <v>#DIV/0!</v>
      </c>
      <c r="BD37" s="809"/>
      <c r="BE37" s="809"/>
      <c r="BF37" s="809"/>
      <c r="BG37" s="1070"/>
      <c r="BH37" s="809"/>
      <c r="BI37" s="809"/>
      <c r="BJ37" s="232">
        <v>340</v>
      </c>
      <c r="BK37" s="232" t="str">
        <f t="shared" si="5"/>
        <v/>
      </c>
      <c r="BL37" s="809"/>
      <c r="BM37" s="809"/>
      <c r="BN37" s="809"/>
      <c r="BO37" s="809"/>
    </row>
    <row r="38" spans="2:67" s="469" customFormat="1" ht="12.75" customHeight="1" x14ac:dyDescent="0.2">
      <c r="B38" s="816"/>
      <c r="E38" s="809"/>
      <c r="H38" s="802"/>
      <c r="I38" s="798"/>
      <c r="M38" s="809"/>
      <c r="N38" s="250"/>
      <c r="O38" s="266"/>
      <c r="P38" s="250"/>
      <c r="Q38" s="250"/>
      <c r="S38" s="266"/>
      <c r="T38" s="250"/>
      <c r="U38" s="250"/>
      <c r="V38" s="250"/>
      <c r="W38" s="266"/>
      <c r="Z38" s="250"/>
      <c r="AA38" s="809"/>
      <c r="AD38" s="809"/>
      <c r="AE38" s="809"/>
      <c r="AF38" s="809"/>
      <c r="AG38" s="809"/>
      <c r="AH38" s="809"/>
      <c r="AI38" s="809"/>
      <c r="AJ38" s="809"/>
      <c r="AK38" s="809"/>
      <c r="AL38" s="809"/>
      <c r="AM38" s="809"/>
      <c r="AN38" s="809"/>
      <c r="AO38" s="809"/>
      <c r="AP38" s="809"/>
      <c r="AQ38" s="809"/>
      <c r="AY38" s="1051"/>
      <c r="AZ38" s="1051"/>
      <c r="BA38" s="555"/>
      <c r="BB38" s="1254" t="e">
        <f ca="1">$BC$37*(Chart!$BJ$3-$BB$36)</f>
        <v>#DIV/0!</v>
      </c>
      <c r="BC38" s="1255" t="e">
        <f ca="1">$BC$37*(Chart!$BK$3-$BC$36)</f>
        <v>#DIV/0!</v>
      </c>
      <c r="BG38" s="1069"/>
      <c r="BJ38" s="232">
        <v>350</v>
      </c>
      <c r="BK38" s="232" t="str">
        <f t="shared" si="5"/>
        <v/>
      </c>
    </row>
    <row r="39" spans="2:67" s="469" customFormat="1" ht="12.75" customHeight="1" x14ac:dyDescent="0.2">
      <c r="B39" s="816"/>
      <c r="I39" s="798"/>
      <c r="M39" s="809"/>
      <c r="N39" s="250"/>
      <c r="O39" s="250"/>
      <c r="P39" s="250"/>
      <c r="Q39" s="250"/>
      <c r="R39" s="250"/>
      <c r="S39" s="250"/>
      <c r="T39" s="250"/>
      <c r="U39" s="250"/>
      <c r="V39" s="250"/>
      <c r="W39" s="250"/>
      <c r="X39" s="250"/>
      <c r="Y39" s="809"/>
      <c r="AY39" s="1051"/>
      <c r="AZ39" s="1051"/>
      <c r="BA39" s="555"/>
      <c r="BB39" s="1254" t="e">
        <f ca="1">$BC$37*(Chart!$BJ$4-$BB$36)</f>
        <v>#DIV/0!</v>
      </c>
      <c r="BC39" s="1255" t="e">
        <f ca="1">$BC$38</f>
        <v>#DIV/0!</v>
      </c>
      <c r="BG39" s="1069"/>
      <c r="BJ39" s="232">
        <v>360</v>
      </c>
      <c r="BK39" s="232" t="str">
        <f t="shared" si="5"/>
        <v/>
      </c>
    </row>
    <row r="40" spans="2:67" s="469" customFormat="1" ht="12.75" customHeight="1" x14ac:dyDescent="0.2">
      <c r="B40" s="816"/>
      <c r="E40" s="469" t="s">
        <v>686</v>
      </c>
      <c r="H40" s="1622"/>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Y40" s="1051"/>
      <c r="AZ40" s="1051"/>
      <c r="BA40" s="555"/>
      <c r="BB40" s="1254" t="e">
        <f ca="1">$BB$39</f>
        <v>#DIV/0!</v>
      </c>
      <c r="BC40" s="1255" t="e">
        <f ca="1">$BC$37*(Chart!$BK$4-$BC$36)</f>
        <v>#DIV/0!</v>
      </c>
      <c r="BG40" s="1069"/>
    </row>
    <row r="41" spans="2:67" s="469" customFormat="1" ht="12.75" customHeight="1" x14ac:dyDescent="0.2">
      <c r="B41" s="816"/>
      <c r="H41" s="1623"/>
      <c r="I41" s="1624"/>
      <c r="J41" s="1624"/>
      <c r="K41" s="1624"/>
      <c r="L41" s="1624"/>
      <c r="M41" s="1624"/>
      <c r="N41" s="1624"/>
      <c r="O41" s="1624"/>
      <c r="P41" s="1624"/>
      <c r="Q41" s="1624"/>
      <c r="R41" s="1624"/>
      <c r="S41" s="1624"/>
      <c r="T41" s="1624"/>
      <c r="U41" s="1624"/>
      <c r="V41" s="1624"/>
      <c r="W41" s="1624"/>
      <c r="X41" s="1624"/>
      <c r="Y41" s="1624"/>
      <c r="Z41" s="1624"/>
      <c r="AA41" s="1624"/>
      <c r="AB41" s="1624"/>
      <c r="AC41" s="1624"/>
      <c r="AY41" s="1051"/>
      <c r="AZ41" s="1051"/>
      <c r="BA41" s="790"/>
      <c r="BB41" s="1254" t="e">
        <f ca="1">$BB$38</f>
        <v>#DIV/0!</v>
      </c>
      <c r="BC41" s="1255" t="e">
        <f ca="1">$BC$37*(Chart!$BK$4-$BC$36)</f>
        <v>#DIV/0!</v>
      </c>
      <c r="BG41" s="1069"/>
    </row>
    <row r="42" spans="2:67" s="469" customFormat="1" ht="12.75" customHeight="1" x14ac:dyDescent="0.2">
      <c r="B42" s="816"/>
      <c r="H42" s="1623"/>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BA42" s="555"/>
      <c r="BB42" s="1254" t="e">
        <f ca="1">$BB$38</f>
        <v>#DIV/0!</v>
      </c>
      <c r="BC42" s="1255" t="e">
        <f ca="1">$BC$39</f>
        <v>#DIV/0!</v>
      </c>
      <c r="BG42" s="1069"/>
    </row>
    <row r="43" spans="2:67" s="469" customFormat="1" ht="12.75" customHeight="1" x14ac:dyDescent="0.2">
      <c r="B43" s="816"/>
      <c r="H43" s="1623"/>
      <c r="I43" s="1624"/>
      <c r="J43" s="1624"/>
      <c r="K43" s="1624"/>
      <c r="L43" s="1624"/>
      <c r="M43" s="1624"/>
      <c r="N43" s="1624"/>
      <c r="O43" s="1624"/>
      <c r="P43" s="1624"/>
      <c r="Q43" s="1624"/>
      <c r="R43" s="1624"/>
      <c r="S43" s="1624"/>
      <c r="T43" s="1624"/>
      <c r="U43" s="1624"/>
      <c r="V43" s="1624"/>
      <c r="W43" s="1624"/>
      <c r="X43" s="1624"/>
      <c r="Y43" s="1624"/>
      <c r="Z43" s="1624"/>
      <c r="AA43" s="1624"/>
      <c r="AB43" s="1624"/>
      <c r="AC43" s="1624"/>
      <c r="BA43" s="557" t="s">
        <v>684</v>
      </c>
      <c r="BB43" s="1256" t="e">
        <f ca="1">$BC$37*(Chart!$CD$2-$BB$36)</f>
        <v>#DIV/0!</v>
      </c>
      <c r="BC43" s="1257" t="e">
        <f ca="1">$BC$37*(Chart!$CE$2-$BC$36)</f>
        <v>#DIV/0!</v>
      </c>
      <c r="BG43" s="1069"/>
    </row>
    <row r="44" spans="2:67" s="819" customFormat="1" ht="12.75" customHeight="1" x14ac:dyDescent="0.25">
      <c r="M44" s="820"/>
      <c r="N44" s="820"/>
      <c r="O44" s="820"/>
      <c r="P44" s="821"/>
      <c r="Q44" s="821"/>
      <c r="R44" s="821"/>
      <c r="S44" s="821"/>
      <c r="T44" s="821"/>
      <c r="U44" s="821"/>
      <c r="V44" s="820"/>
      <c r="W44" s="820"/>
      <c r="X44" s="820"/>
      <c r="Y44" s="820"/>
      <c r="BG44" s="1071"/>
    </row>
    <row r="45" spans="2:67" s="819" customFormat="1" ht="12.75" customHeight="1" x14ac:dyDescent="0.25">
      <c r="P45" s="799"/>
      <c r="Q45" s="799"/>
      <c r="R45" s="799"/>
      <c r="S45" s="799"/>
      <c r="T45" s="799"/>
      <c r="U45" s="799"/>
      <c r="BG45" s="1071"/>
    </row>
    <row r="46" spans="2:67" s="819" customFormat="1" ht="12.75" customHeight="1" x14ac:dyDescent="0.25">
      <c r="D46" s="822"/>
      <c r="P46" s="799"/>
      <c r="Q46" s="799"/>
      <c r="R46" s="799"/>
      <c r="S46" s="799"/>
      <c r="T46" s="799"/>
      <c r="U46" s="799"/>
      <c r="BG46" s="1071"/>
    </row>
    <row r="47" spans="2:67" ht="12.75" customHeight="1" x14ac:dyDescent="0.2">
      <c r="BA47" s="1207"/>
      <c r="BB47" s="1208"/>
      <c r="BC47" s="1209"/>
    </row>
    <row r="48" spans="2:67" ht="12.75" customHeight="1" x14ac:dyDescent="0.2">
      <c r="BA48" s="1207"/>
      <c r="BB48" s="1208"/>
      <c r="BC48" s="1209"/>
    </row>
    <row r="49" spans="53:55" ht="12.75" customHeight="1" x14ac:dyDescent="0.2">
      <c r="BA49" s="1207"/>
      <c r="BB49" s="1208"/>
      <c r="BC49" s="1209"/>
    </row>
    <row r="50" spans="53:55" ht="12.75" customHeight="1" x14ac:dyDescent="0.2">
      <c r="BA50" s="1207"/>
      <c r="BB50" s="1208"/>
      <c r="BC50" s="1209"/>
    </row>
    <row r="51" spans="53:55" ht="12.75" customHeight="1" x14ac:dyDescent="0.2">
      <c r="BA51" s="1210"/>
      <c r="BB51" s="1208"/>
      <c r="BC51" s="1209"/>
    </row>
    <row r="52" spans="53:55" ht="12.75" customHeight="1" x14ac:dyDescent="0.2">
      <c r="BA52" s="1207"/>
      <c r="BB52" s="1208"/>
      <c r="BC52" s="1209"/>
    </row>
    <row r="53" spans="53:55" ht="12.75" customHeight="1" x14ac:dyDescent="0.2">
      <c r="BA53" s="273"/>
      <c r="BB53" s="273"/>
      <c r="BC53" s="273"/>
    </row>
  </sheetData>
  <sheetProtection password="CC3C" sheet="1" objects="1" scenarios="1" formatCells="0" selectLockedCells="1"/>
  <mergeCells count="19">
    <mergeCell ref="O11:V11"/>
    <mergeCell ref="O35:V35"/>
    <mergeCell ref="R27:S27"/>
    <mergeCell ref="O22:O24"/>
    <mergeCell ref="AL12:AO12"/>
    <mergeCell ref="AL18:AM18"/>
    <mergeCell ref="R26:S26"/>
    <mergeCell ref="AL14:AM14"/>
    <mergeCell ref="AL16:AM16"/>
    <mergeCell ref="AL20:AQ20"/>
    <mergeCell ref="V22:V24"/>
    <mergeCell ref="R19:S19"/>
    <mergeCell ref="H40:AC40"/>
    <mergeCell ref="H41:AC41"/>
    <mergeCell ref="H42:AC42"/>
    <mergeCell ref="H43:AC43"/>
    <mergeCell ref="H19:H27"/>
    <mergeCell ref="AC19:AC27"/>
    <mergeCell ref="R29:S29"/>
  </mergeCells>
  <phoneticPr fontId="118" type="noConversion"/>
  <conditionalFormatting sqref="AE30:AF30">
    <cfRule type="expression" dxfId="160" priority="19" stopIfTrue="1">
      <formula>($BG$22=0)</formula>
    </cfRule>
  </conditionalFormatting>
  <conditionalFormatting sqref="V21:V25">
    <cfRule type="expression" dxfId="159" priority="180" stopIfTrue="1">
      <formula>$AL$16=90</formula>
    </cfRule>
  </conditionalFormatting>
  <conditionalFormatting sqref="Q27:T27">
    <cfRule type="expression" dxfId="158" priority="181" stopIfTrue="1">
      <formula>$AL$16=0</formula>
    </cfRule>
  </conditionalFormatting>
  <conditionalFormatting sqref="O21:O25">
    <cfRule type="expression" dxfId="157" priority="182" stopIfTrue="1">
      <formula>$AL$16=270</formula>
    </cfRule>
  </conditionalFormatting>
  <conditionalFormatting sqref="Q19:T19">
    <cfRule type="expression" dxfId="156" priority="183" stopIfTrue="1">
      <formula>$AL$16=180</formula>
    </cfRule>
  </conditionalFormatting>
  <conditionalFormatting sqref="H19:H27">
    <cfRule type="expression" dxfId="155" priority="184" stopIfTrue="1">
      <formula>$AL$18=270</formula>
    </cfRule>
  </conditionalFormatting>
  <conditionalFormatting sqref="AC19:AC27">
    <cfRule type="expression" dxfId="154" priority="185" stopIfTrue="1">
      <formula>$AL$18=90</formula>
    </cfRule>
  </conditionalFormatting>
  <conditionalFormatting sqref="O11:V11">
    <cfRule type="expression" dxfId="153" priority="186" stopIfTrue="1">
      <formula>$AL$18=180</formula>
    </cfRule>
  </conditionalFormatting>
  <conditionalFormatting sqref="O35:V35">
    <cfRule type="expression" dxfId="152" priority="187" stopIfTrue="1">
      <formula>$AL$18=0</formula>
    </cfRule>
  </conditionalFormatting>
  <conditionalFormatting sqref="W25">
    <cfRule type="expression" dxfId="151" priority="18" stopIfTrue="1">
      <formula>$AL$16=90</formula>
    </cfRule>
  </conditionalFormatting>
  <conditionalFormatting sqref="W24">
    <cfRule type="expression" dxfId="150" priority="17" stopIfTrue="1">
      <formula>$AL$16=90</formula>
    </cfRule>
  </conditionalFormatting>
  <conditionalFormatting sqref="W23">
    <cfRule type="expression" dxfId="149" priority="16" stopIfTrue="1">
      <formula>$AL$16=90</formula>
    </cfRule>
  </conditionalFormatting>
  <conditionalFormatting sqref="W22">
    <cfRule type="expression" dxfId="148" priority="15" stopIfTrue="1">
      <formula>$AL$16=90</formula>
    </cfRule>
  </conditionalFormatting>
  <conditionalFormatting sqref="W21">
    <cfRule type="expression" dxfId="147" priority="14" stopIfTrue="1">
      <formula>$AL$16=90</formula>
    </cfRule>
  </conditionalFormatting>
  <conditionalFormatting sqref="Q28">
    <cfRule type="expression" dxfId="146" priority="13" stopIfTrue="1">
      <formula>$AL$16=0</formula>
    </cfRule>
  </conditionalFormatting>
  <conditionalFormatting sqref="R28">
    <cfRule type="expression" dxfId="145" priority="12" stopIfTrue="1">
      <formula>$AL$16=0</formula>
    </cfRule>
  </conditionalFormatting>
  <conditionalFormatting sqref="S28">
    <cfRule type="expression" dxfId="144" priority="11" stopIfTrue="1">
      <formula>$AL$16=0</formula>
    </cfRule>
  </conditionalFormatting>
  <conditionalFormatting sqref="T28">
    <cfRule type="expression" dxfId="143" priority="10" stopIfTrue="1">
      <formula>$AL$16=0</formula>
    </cfRule>
  </conditionalFormatting>
  <conditionalFormatting sqref="T18">
    <cfRule type="expression" dxfId="142" priority="9" stopIfTrue="1">
      <formula>$AL$16=180</formula>
    </cfRule>
  </conditionalFormatting>
  <conditionalFormatting sqref="S18">
    <cfRule type="expression" dxfId="141" priority="8" stopIfTrue="1">
      <formula>$AL$16=180</formula>
    </cfRule>
  </conditionalFormatting>
  <conditionalFormatting sqref="R18">
    <cfRule type="expression" dxfId="140" priority="7" stopIfTrue="1">
      <formula>$AL$16=180</formula>
    </cfRule>
  </conditionalFormatting>
  <conditionalFormatting sqref="Q18">
    <cfRule type="expression" dxfId="139" priority="6" stopIfTrue="1">
      <formula>$AL$16=180</formula>
    </cfRule>
  </conditionalFormatting>
  <conditionalFormatting sqref="N21">
    <cfRule type="expression" dxfId="138" priority="5" stopIfTrue="1">
      <formula>$AL$16=270</formula>
    </cfRule>
  </conditionalFormatting>
  <conditionalFormatting sqref="N22">
    <cfRule type="expression" dxfId="137" priority="4" stopIfTrue="1">
      <formula>$AL$16=270</formula>
    </cfRule>
  </conditionalFormatting>
  <conditionalFormatting sqref="N23">
    <cfRule type="expression" dxfId="136" priority="3" stopIfTrue="1">
      <formula>$AL$16=270</formula>
    </cfRule>
  </conditionalFormatting>
  <conditionalFormatting sqref="N24">
    <cfRule type="expression" dxfId="135" priority="2" stopIfTrue="1">
      <formula>$AL$16=270</formula>
    </cfRule>
  </conditionalFormatting>
  <conditionalFormatting sqref="N25">
    <cfRule type="expression" dxfId="134" priority="1" stopIfTrue="1">
      <formula>$AL$16=270</formula>
    </cfRule>
  </conditionalFormatting>
  <dataValidations count="4">
    <dataValidation type="list" allowBlank="1" showInputMessage="1" showErrorMessage="1" errorTitle="Input Error" error="Please select from list" sqref="AL16:AM16 AL18:AM18">
      <formula1>"0,90,180,270"</formula1>
    </dataValidation>
    <dataValidation type="list" allowBlank="1" showInputMessage="1" showErrorMessage="1" errorTitle="Input Error" error="Please select from list" sqref="AW19 AL20:AR20">
      <formula1>"Approved,Designer's Choice"</formula1>
    </dataValidation>
    <dataValidation type="list" allowBlank="1" showInputMessage="1" showErrorMessage="1" errorTitle="Input Error" error="Please select from list" sqref="AL12:AO12">
      <formula1>"Rectangular,Round,Square"</formula1>
    </dataValidation>
    <dataValidation type="list" allowBlank="1" showInputMessage="1" showErrorMessage="1" errorTitle="Input Error" error="Please select from list" sqref="AL14:AM14">
      <formula1>$BK$3:$BK$39</formula1>
    </dataValidation>
  </dataValidations>
  <pageMargins left="0.75" right="0.75" top="1" bottom="1" header="0.5" footer="0.5"/>
  <pageSetup scale="89" orientation="portrait" horizontalDpi="4294967292" r:id="rId1"/>
  <headerFooter alignWithMargins="0">
    <oddFooter>&amp;L&amp;8PPD DesCap 730-02-0001
Rev B&amp;C&amp;8&amp;F&amp;R&amp;8Print Date: &amp;D
Time: &amp;T</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Z165"/>
  <sheetViews>
    <sheetView showGridLines="0" showRowColHeaders="0" showZeros="0" zoomScaleNormal="100" workbookViewId="0">
      <selection activeCell="G5" sqref="G5:J5"/>
    </sheetView>
  </sheetViews>
  <sheetFormatPr defaultColWidth="8.85546875" defaultRowHeight="14.25" x14ac:dyDescent="0.2"/>
  <cols>
    <col min="1" max="4" width="3.7109375" style="66" customWidth="1"/>
    <col min="5" max="5" width="0.85546875" style="66" customWidth="1"/>
    <col min="6" max="23" width="3.7109375" style="66" customWidth="1"/>
    <col min="24" max="24" width="0.85546875" style="66" customWidth="1"/>
    <col min="25" max="26" width="3.7109375" style="66" customWidth="1"/>
    <col min="27" max="50" width="9.140625" style="215" customWidth="1"/>
    <col min="51" max="52" width="12.42578125" style="215" customWidth="1"/>
    <col min="53" max="53" width="12.42578125" style="57" hidden="1" customWidth="1"/>
    <col min="54" max="54" width="9.85546875" style="71" hidden="1" customWidth="1"/>
    <col min="55" max="55" width="10.85546875" style="57" hidden="1" customWidth="1"/>
    <col min="56" max="58" width="8.85546875" style="57" hidden="1" customWidth="1"/>
    <col min="59" max="59" width="9.42578125" style="57" hidden="1" customWidth="1"/>
    <col min="60" max="62" width="8.85546875" style="57" hidden="1" customWidth="1"/>
    <col min="63" max="64" width="8.85546875" style="66" hidden="1" customWidth="1"/>
    <col min="65" max="65" width="9.85546875" style="66" hidden="1" customWidth="1"/>
    <col min="66" max="81" width="8.85546875" style="66" hidden="1" customWidth="1"/>
    <col min="82" max="83" width="8.85546875" style="71" hidden="1" customWidth="1"/>
    <col min="84" max="104" width="8.85546875" style="66" hidden="1" customWidth="1"/>
    <col min="105" max="16384" width="8.85546875" style="66"/>
  </cols>
  <sheetData>
    <row r="1" spans="1:65" ht="16.5" thickBot="1" x14ac:dyDescent="0.3">
      <c r="A1" s="211"/>
      <c r="B1" s="300" t="str">
        <f>'Cover Page'!B4</f>
        <v xml:space="preserve"> Production Probes Design Capture Order Form</v>
      </c>
      <c r="C1" s="213"/>
      <c r="D1" s="213"/>
      <c r="E1" s="213"/>
      <c r="F1" s="213"/>
      <c r="G1" s="213"/>
      <c r="H1" s="213"/>
      <c r="I1" s="214"/>
      <c r="J1" s="214"/>
      <c r="K1" s="214"/>
      <c r="L1" s="214"/>
      <c r="M1" s="211"/>
      <c r="N1" s="838"/>
      <c r="O1" s="839"/>
      <c r="P1" s="840"/>
      <c r="Q1" s="841"/>
      <c r="R1" s="842"/>
      <c r="S1" s="840" t="s">
        <v>229</v>
      </c>
      <c r="T1" s="843" t="str">
        <f>'Cover Page'!S19</f>
        <v/>
      </c>
      <c r="U1" s="844"/>
      <c r="V1" s="845"/>
      <c r="W1" s="845"/>
      <c r="X1" s="845"/>
      <c r="Y1" s="845"/>
      <c r="BA1" s="2" t="s">
        <v>1</v>
      </c>
    </row>
    <row r="2" spans="1:65" ht="15.75" x14ac:dyDescent="0.25">
      <c r="A2" s="211"/>
      <c r="B2" s="300" t="str">
        <f>'Cover Page'!B5</f>
        <v xml:space="preserve"> CQS-03-031-0001  R1.71</v>
      </c>
      <c r="C2" s="213"/>
      <c r="D2" s="213"/>
      <c r="E2" s="213"/>
      <c r="F2" s="213"/>
      <c r="G2" s="213"/>
      <c r="H2" s="213"/>
      <c r="I2" s="214"/>
      <c r="J2" s="214"/>
      <c r="K2" s="214"/>
      <c r="L2" s="214"/>
      <c r="M2" s="211"/>
      <c r="N2" s="838"/>
      <c r="O2" s="839"/>
      <c r="P2" s="846"/>
      <c r="Q2" s="841"/>
      <c r="R2" s="842"/>
      <c r="S2" s="847" t="str">
        <f ca="1">'Cover Page'!T2</f>
        <v>Core P/N:</v>
      </c>
      <c r="T2" s="848" t="str">
        <f>IF(ISBLANK('Cover Page'!U2),"",'Cover Page'!U2)</f>
        <v/>
      </c>
      <c r="U2" s="849"/>
      <c r="V2" s="850"/>
      <c r="W2" s="850"/>
      <c r="X2" s="850"/>
      <c r="Y2" s="850"/>
    </row>
    <row r="3" spans="1:65" ht="15.75" x14ac:dyDescent="0.25">
      <c r="A3" s="211"/>
      <c r="B3" s="212" t="s">
        <v>985</v>
      </c>
      <c r="C3" s="213"/>
      <c r="D3" s="213"/>
      <c r="E3" s="213"/>
      <c r="F3" s="213"/>
      <c r="G3" s="213"/>
      <c r="H3" s="213"/>
      <c r="I3" s="214"/>
      <c r="J3" s="214"/>
      <c r="K3" s="214"/>
      <c r="L3" s="214"/>
      <c r="M3" s="211"/>
      <c r="N3" s="838"/>
      <c r="O3" s="851"/>
      <c r="P3" s="846"/>
      <c r="Q3" s="841"/>
      <c r="R3" s="842"/>
      <c r="S3" s="847" t="str">
        <f ca="1">'Cover Page'!T3</f>
        <v>Custom PCB P/N:</v>
      </c>
      <c r="T3" s="848" t="str">
        <f>IF(ISBLANK('Cover Page'!U3),"",'Cover Page'!U3)</f>
        <v/>
      </c>
      <c r="U3" s="849"/>
      <c r="V3" s="850"/>
      <c r="W3" s="850"/>
      <c r="X3" s="850"/>
      <c r="Y3" s="850"/>
      <c r="BA3" s="116" t="s">
        <v>230</v>
      </c>
      <c r="BB3" s="72">
        <f>'Cover Page'!BD27</f>
        <v>2</v>
      </c>
      <c r="BC3" s="57" t="s">
        <v>231</v>
      </c>
      <c r="BG3" s="66"/>
      <c r="BH3" s="66"/>
      <c r="BI3" s="66"/>
      <c r="BJ3" s="66"/>
    </row>
    <row r="4" spans="1:65" ht="15.75" x14ac:dyDescent="0.25">
      <c r="A4" s="211"/>
      <c r="B4" s="211"/>
      <c r="C4" s="211"/>
      <c r="D4" s="211"/>
      <c r="E4" s="211"/>
      <c r="F4" s="211"/>
      <c r="G4" s="211"/>
      <c r="H4" s="211"/>
      <c r="I4" s="211"/>
      <c r="J4" s="211"/>
      <c r="K4" s="211"/>
      <c r="L4" s="216" t="str">
        <f>DUT!$K$5</f>
        <v>THIS PAGE IS NOT IN USE BASED ON COVER PAGE SELECTIONS</v>
      </c>
      <c r="M4" s="211"/>
      <c r="N4" s="211"/>
      <c r="O4" s="217"/>
      <c r="P4" s="217"/>
      <c r="Q4" s="217"/>
      <c r="R4" s="217"/>
      <c r="S4" s="217"/>
      <c r="T4" s="217"/>
      <c r="U4" s="217"/>
      <c r="V4" s="217"/>
      <c r="W4" s="217"/>
      <c r="X4" s="217"/>
      <c r="Y4" s="217"/>
      <c r="Z4" s="67"/>
      <c r="BA4" s="66"/>
      <c r="BB4" s="66"/>
      <c r="BC4" s="66"/>
      <c r="BD4" s="66"/>
      <c r="BE4" s="75" t="s">
        <v>232</v>
      </c>
      <c r="BF4" s="66"/>
      <c r="BG4" s="66"/>
      <c r="BH4" s="66" t="s">
        <v>604</v>
      </c>
      <c r="BI4" s="66"/>
      <c r="BJ4" s="66"/>
    </row>
    <row r="5" spans="1:65" ht="16.5" thickBot="1" x14ac:dyDescent="0.3">
      <c r="B5" s="218"/>
      <c r="E5" s="219"/>
      <c r="F5" s="220" t="s">
        <v>233</v>
      </c>
      <c r="G5" s="1679" t="s">
        <v>234</v>
      </c>
      <c r="H5" s="1680"/>
      <c r="I5" s="1680"/>
      <c r="J5" s="1680"/>
      <c r="L5" s="107" t="str">
        <f ca="1">"Max I/O="&amp;BY20</f>
        <v>Max I/O=108</v>
      </c>
      <c r="P5" s="1169" t="str">
        <f ca="1">IF(ISTEXT(CD20),CD20,"")</f>
        <v/>
      </c>
      <c r="Q5" s="67"/>
      <c r="R5" s="67"/>
      <c r="S5" s="67"/>
      <c r="T5" s="67"/>
      <c r="U5" s="67"/>
      <c r="V5" s="67"/>
      <c r="W5" s="67"/>
      <c r="X5" s="67"/>
      <c r="Y5" s="67"/>
      <c r="Z5" s="67"/>
      <c r="BA5" s="75" t="s">
        <v>235</v>
      </c>
      <c r="BE5" s="594" t="s">
        <v>236</v>
      </c>
      <c r="BF5" s="76"/>
      <c r="BG5" s="77"/>
      <c r="BH5" s="78"/>
      <c r="BI5" s="66"/>
      <c r="BJ5" s="66"/>
    </row>
    <row r="6" spans="1:65" ht="15.75" x14ac:dyDescent="0.25">
      <c r="A6" s="211"/>
      <c r="B6" s="223"/>
      <c r="C6" s="211"/>
      <c r="D6" s="211"/>
      <c r="E6" s="211"/>
      <c r="F6" s="224"/>
      <c r="G6" s="211"/>
      <c r="H6" s="211"/>
      <c r="I6" s="211"/>
      <c r="J6" s="211"/>
      <c r="K6" s="211"/>
      <c r="L6" s="588" t="str">
        <f ca="1">IF(BZ20&gt;0,"Max RF="&amp;BZ20&amp;" (Each line above 1GHz consumes "&amp;CA20&amp;" I/O)","")</f>
        <v>Max RF=36 (Each line above 1GHz consumes 3 I/O)</v>
      </c>
      <c r="M6" s="211"/>
      <c r="N6" s="211"/>
      <c r="O6" s="211"/>
      <c r="P6" s="211"/>
      <c r="Q6" s="217"/>
      <c r="R6" s="217"/>
      <c r="S6" s="217"/>
      <c r="T6" s="217"/>
      <c r="U6" s="217"/>
      <c r="V6" s="217"/>
      <c r="W6" s="217"/>
      <c r="X6" s="217"/>
      <c r="Y6" s="217"/>
      <c r="Z6" s="67"/>
      <c r="BA6" s="225" t="s">
        <v>687</v>
      </c>
      <c r="BB6" s="156"/>
      <c r="BC6" s="222"/>
      <c r="BE6" s="595" t="s">
        <v>237</v>
      </c>
      <c r="BF6" s="112"/>
      <c r="BG6" s="113"/>
      <c r="BH6" s="127" t="str">
        <f>IF(P16=BE6,"1fA/V","5fA/V")</f>
        <v>5fA/V</v>
      </c>
      <c r="BI6" s="66"/>
      <c r="BJ6" s="66"/>
    </row>
    <row r="7" spans="1:65" ht="15.75" thickBot="1" x14ac:dyDescent="0.3">
      <c r="A7" s="211"/>
      <c r="B7" s="229" t="s">
        <v>238</v>
      </c>
      <c r="C7" s="211"/>
      <c r="D7" s="230"/>
      <c r="E7" s="230"/>
      <c r="F7" s="230"/>
      <c r="G7" s="230"/>
      <c r="H7" s="231"/>
      <c r="I7" s="231"/>
      <c r="J7" s="211"/>
      <c r="K7" s="211"/>
      <c r="L7" s="211"/>
      <c r="M7" s="211"/>
      <c r="N7" s="211"/>
      <c r="O7" s="232"/>
      <c r="P7" s="211"/>
      <c r="Q7" s="232"/>
      <c r="R7" s="211"/>
      <c r="S7" s="224"/>
      <c r="T7" s="211"/>
      <c r="U7" s="232"/>
      <c r="V7" s="232"/>
      <c r="W7" s="232"/>
      <c r="X7" s="232"/>
      <c r="Y7" s="232"/>
      <c r="BA7" s="233" t="s">
        <v>239</v>
      </c>
      <c r="BB7" s="81"/>
      <c r="BC7" s="234"/>
      <c r="BE7" s="66"/>
      <c r="BF7" s="66"/>
      <c r="BG7" s="66"/>
      <c r="BH7" s="66"/>
      <c r="BI7" s="66"/>
      <c r="BJ7" s="66"/>
    </row>
    <row r="8" spans="1:65" ht="12.75" customHeight="1" thickBot="1" x14ac:dyDescent="0.25">
      <c r="A8" s="211"/>
      <c r="B8" s="852"/>
      <c r="C8" s="853" t="s">
        <v>240</v>
      </c>
      <c r="D8" s="854" t="str">
        <f ca="1">'Cover Page'!BA37</f>
        <v>Custom</v>
      </c>
      <c r="E8" s="853"/>
      <c r="F8" s="854"/>
      <c r="G8" s="855"/>
      <c r="H8" s="855"/>
      <c r="I8" s="855"/>
      <c r="J8" s="855"/>
      <c r="K8" s="855"/>
      <c r="L8" s="855"/>
      <c r="M8" s="853" t="s">
        <v>241</v>
      </c>
      <c r="N8" s="1693">
        <f ca="1">dieBumpQty</f>
        <v>0</v>
      </c>
      <c r="O8" s="1694"/>
      <c r="P8" s="855"/>
      <c r="Q8" s="855"/>
      <c r="R8" s="855"/>
      <c r="S8" s="855"/>
      <c r="T8" s="853" t="s">
        <v>770</v>
      </c>
      <c r="U8" s="1032" t="str">
        <f>IF(DUT!H22="Room Temp","Room Temp",DUT!N22&amp;"° To "&amp;DUT!R22&amp;"°")</f>
        <v>° To °</v>
      </c>
      <c r="V8" s="857"/>
      <c r="W8" s="857"/>
      <c r="X8" s="857"/>
      <c r="Y8" s="858"/>
      <c r="BA8" s="226" t="s">
        <v>242</v>
      </c>
      <c r="BB8" s="227"/>
      <c r="BC8" s="228"/>
    </row>
    <row r="9" spans="1:65" ht="12.75" customHeight="1" thickBot="1" x14ac:dyDescent="0.25">
      <c r="A9" s="211"/>
      <c r="B9" s="859"/>
      <c r="C9" s="860"/>
      <c r="D9" s="860"/>
      <c r="E9" s="861"/>
      <c r="F9" s="860" t="s">
        <v>909</v>
      </c>
      <c r="G9" s="1689" t="s">
        <v>904</v>
      </c>
      <c r="H9" s="1690"/>
      <c r="I9" s="1689" t="s">
        <v>905</v>
      </c>
      <c r="J9" s="1691"/>
      <c r="K9" s="1689" t="s">
        <v>906</v>
      </c>
      <c r="L9" s="1691"/>
      <c r="M9" s="1692" t="s">
        <v>907</v>
      </c>
      <c r="N9" s="1691"/>
      <c r="O9" s="1692" t="s">
        <v>164</v>
      </c>
      <c r="P9" s="1691"/>
      <c r="Q9" s="1692" t="s">
        <v>208</v>
      </c>
      <c r="R9" s="1691"/>
      <c r="S9" s="1692" t="s">
        <v>910</v>
      </c>
      <c r="T9" s="1691"/>
      <c r="U9" s="1692" t="s">
        <v>579</v>
      </c>
      <c r="V9" s="1691"/>
      <c r="W9" s="1699" t="s">
        <v>587</v>
      </c>
      <c r="X9" s="1700"/>
      <c r="Y9" s="1701"/>
      <c r="BE9" s="75" t="s">
        <v>243</v>
      </c>
      <c r="BH9" s="71" t="s">
        <v>553</v>
      </c>
      <c r="BJ9" s="1039" t="s">
        <v>667</v>
      </c>
      <c r="BK9" s="77"/>
      <c r="BL9" s="1040" t="s">
        <v>669</v>
      </c>
      <c r="BM9" s="1041" t="s">
        <v>50</v>
      </c>
    </row>
    <row r="10" spans="1:65" ht="12.75" customHeight="1" thickBot="1" x14ac:dyDescent="0.25">
      <c r="A10" s="211"/>
      <c r="B10" s="916"/>
      <c r="C10" s="917"/>
      <c r="D10" s="917"/>
      <c r="E10" s="917"/>
      <c r="F10" s="860" t="s">
        <v>569</v>
      </c>
      <c r="G10" s="1695">
        <f ca="1">Pinlist_RF03</f>
        <v>0</v>
      </c>
      <c r="H10" s="1696"/>
      <c r="I10" s="1695">
        <f ca="1">Pinlist_RF20</f>
        <v>0</v>
      </c>
      <c r="J10" s="1697"/>
      <c r="K10" s="1695">
        <f ca="1">Pinlist_RF40</f>
        <v>0</v>
      </c>
      <c r="L10" s="1697"/>
      <c r="M10" s="1698">
        <f ca="1">Pinlist_RF80</f>
        <v>0</v>
      </c>
      <c r="N10" s="1697"/>
      <c r="O10" s="1698">
        <f ca="1">Chart!$BN$39</f>
        <v>0</v>
      </c>
      <c r="P10" s="1697"/>
      <c r="Q10" s="1698">
        <f ca="1">Chart!$BN$38</f>
        <v>0</v>
      </c>
      <c r="R10" s="1697"/>
      <c r="S10" s="1698">
        <f ca="1">Chart!$BN$40</f>
        <v>0</v>
      </c>
      <c r="T10" s="1697"/>
      <c r="U10" s="1698">
        <f>Chart!$BN$41</f>
        <v>0</v>
      </c>
      <c r="V10" s="1697"/>
      <c r="W10" s="1702">
        <f ca="1">SUM(G10:V10)</f>
        <v>0</v>
      </c>
      <c r="X10" s="1703"/>
      <c r="Y10" s="1704"/>
      <c r="BA10" s="75" t="s">
        <v>246</v>
      </c>
      <c r="BE10" s="225" t="s">
        <v>226</v>
      </c>
      <c r="BF10" s="156"/>
      <c r="BG10" s="156"/>
      <c r="BH10" s="485">
        <v>0</v>
      </c>
      <c r="BJ10" s="92"/>
      <c r="BK10" s="1042" t="s">
        <v>670</v>
      </c>
      <c r="BL10" s="995">
        <f>VLOOKUP(I22,$BJ$11:$BL$14,3,0)</f>
        <v>0</v>
      </c>
      <c r="BM10" s="1043" t="str">
        <f>VLOOKUP(I22,$BJ$11:$BM$14,4,0)&amp;""</f>
        <v/>
      </c>
    </row>
    <row r="11" spans="1:65" ht="12.75" customHeight="1" x14ac:dyDescent="0.2">
      <c r="A11" s="211"/>
      <c r="B11" s="864"/>
      <c r="C11" s="838"/>
      <c r="D11" s="865" t="s">
        <v>244</v>
      </c>
      <c r="E11" s="861"/>
      <c r="F11" s="861"/>
      <c r="G11" s="861"/>
      <c r="H11" s="861"/>
      <c r="I11" s="1681" t="s">
        <v>245</v>
      </c>
      <c r="J11" s="1682"/>
      <c r="K11" s="1682"/>
      <c r="L11" s="1682"/>
      <c r="M11" s="1682"/>
      <c r="N11" s="1682"/>
      <c r="O11" s="1682"/>
      <c r="P11" s="1682"/>
      <c r="Q11" s="1682"/>
      <c r="R11" s="1682"/>
      <c r="S11" s="838"/>
      <c r="T11" s="838"/>
      <c r="U11" s="838"/>
      <c r="V11" s="861"/>
      <c r="W11" s="861"/>
      <c r="X11" s="861"/>
      <c r="Y11" s="863"/>
      <c r="BA11" s="221" t="s">
        <v>248</v>
      </c>
      <c r="BB11" s="156"/>
      <c r="BC11" s="222"/>
      <c r="BE11" s="235" t="s">
        <v>779</v>
      </c>
      <c r="BF11" s="82"/>
      <c r="BG11" s="82"/>
      <c r="BH11" s="181">
        <v>1</v>
      </c>
      <c r="BJ11" s="1044" t="s">
        <v>226</v>
      </c>
      <c r="BK11" s="81"/>
      <c r="BL11" s="81">
        <v>0</v>
      </c>
      <c r="BM11" s="87"/>
    </row>
    <row r="12" spans="1:65" ht="12.75" customHeight="1" x14ac:dyDescent="0.2">
      <c r="A12" s="211"/>
      <c r="B12" s="859"/>
      <c r="C12" s="861"/>
      <c r="D12" s="861"/>
      <c r="E12" s="861"/>
      <c r="F12" s="860" t="s">
        <v>247</v>
      </c>
      <c r="G12" s="918">
        <f>compQtyM</f>
        <v>0</v>
      </c>
      <c r="H12" s="861"/>
      <c r="I12" s="1683" t="str">
        <f>Pinlist!BJ2</f>
        <v>+/-1.5ps</v>
      </c>
      <c r="J12" s="1684"/>
      <c r="K12" s="1685" t="str">
        <f>Pinlist!BK2</f>
        <v>+/-2.5ps</v>
      </c>
      <c r="L12" s="1686"/>
      <c r="M12" s="1685" t="str">
        <f>Pinlist!BL2</f>
        <v>+/-5ps</v>
      </c>
      <c r="N12" s="1686"/>
      <c r="O12" s="1685" t="str">
        <f>Pinlist!BM2</f>
        <v>+/-10ps</v>
      </c>
      <c r="P12" s="1686"/>
      <c r="Q12" s="1687" t="str">
        <f>Pinlist!BN2</f>
        <v>+/-20ps</v>
      </c>
      <c r="R12" s="1688"/>
      <c r="S12" s="861"/>
      <c r="T12" s="860" t="s">
        <v>774</v>
      </c>
      <c r="U12" s="1034">
        <f>IF(DUT!G9=DUT!BA12,DUT!N9,DUT!G9)</f>
        <v>0</v>
      </c>
      <c r="V12" s="1031"/>
      <c r="W12" s="861"/>
      <c r="X12" s="861"/>
      <c r="Y12" s="863"/>
      <c r="BA12" s="233" t="s">
        <v>251</v>
      </c>
      <c r="BB12" s="81"/>
      <c r="BC12" s="234"/>
      <c r="BE12" s="235" t="s">
        <v>780</v>
      </c>
      <c r="BF12" s="82"/>
      <c r="BG12" s="82"/>
      <c r="BH12" s="181">
        <v>1</v>
      </c>
      <c r="BJ12" s="92" t="s">
        <v>672</v>
      </c>
      <c r="BK12" s="82"/>
      <c r="BL12" s="81">
        <v>12</v>
      </c>
      <c r="BM12" s="87" t="str">
        <f>IF(LEN($P$22)&gt;BL12,"Too Many Characters (Max of "&amp;BL12&amp;")","")</f>
        <v/>
      </c>
    </row>
    <row r="13" spans="1:65" ht="12.75" customHeight="1" thickBot="1" x14ac:dyDescent="0.25">
      <c r="A13" s="211"/>
      <c r="B13" s="866"/>
      <c r="C13" s="867"/>
      <c r="D13" s="867"/>
      <c r="E13" s="867"/>
      <c r="F13" s="868" t="s">
        <v>249</v>
      </c>
      <c r="G13" s="869">
        <f>Pinlist_TFIT+Pinlist_TFIF+Pinlist_TFIP</f>
        <v>0</v>
      </c>
      <c r="H13" s="867"/>
      <c r="I13" s="1659">
        <f>Pinlist_Cmatch_1p5ps</f>
        <v>0</v>
      </c>
      <c r="J13" s="1660"/>
      <c r="K13" s="1659">
        <f>Pinlist_Cmatch_2p5ps</f>
        <v>0</v>
      </c>
      <c r="L13" s="1660"/>
      <c r="M13" s="1659">
        <f>Pinlist_Cmatch_5ps</f>
        <v>0</v>
      </c>
      <c r="N13" s="1660"/>
      <c r="O13" s="1659">
        <f>Pinlist_Cmatch_10ps</f>
        <v>0</v>
      </c>
      <c r="P13" s="1660"/>
      <c r="Q13" s="1659">
        <f>Pinlist_Cmatch_20ps</f>
        <v>0</v>
      </c>
      <c r="R13" s="1660"/>
      <c r="S13" s="867"/>
      <c r="T13" s="868" t="s">
        <v>250</v>
      </c>
      <c r="U13" s="1035">
        <f>padSensitivity</f>
        <v>0</v>
      </c>
      <c r="V13" s="870"/>
      <c r="W13" s="867"/>
      <c r="X13" s="867"/>
      <c r="Y13" s="871"/>
      <c r="BA13" s="226" t="s">
        <v>252</v>
      </c>
      <c r="BB13" s="227"/>
      <c r="BC13" s="228"/>
      <c r="BE13" s="235" t="s">
        <v>781</v>
      </c>
      <c r="BF13" s="82"/>
      <c r="BG13" s="82"/>
      <c r="BH13" s="181">
        <v>1</v>
      </c>
      <c r="BJ13" s="92" t="s">
        <v>668</v>
      </c>
      <c r="BK13" s="82"/>
      <c r="BL13" s="81">
        <v>12</v>
      </c>
      <c r="BM13" s="87" t="str">
        <f>IF(LEN($P$22)&gt;BL13,"Too Many Characters (Max of "&amp;BL13&amp;")","")</f>
        <v/>
      </c>
    </row>
    <row r="14" spans="1:65" ht="12.75" customHeight="1" x14ac:dyDescent="0.2">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BE14" s="235" t="s">
        <v>253</v>
      </c>
      <c r="BF14" s="82"/>
      <c r="BG14" s="82"/>
      <c r="BH14" s="181">
        <v>1</v>
      </c>
      <c r="BJ14" s="110" t="s">
        <v>673</v>
      </c>
      <c r="BK14" s="113"/>
      <c r="BL14" s="112">
        <f ca="1">CF20</f>
        <v>0</v>
      </c>
      <c r="BM14" s="114" t="str">
        <f ca="1">IF(BL14=0,"Option not available due to core or Edge Sense selection",IF(LEN($P$22)&gt;BL14,"Too Many Characters (Max of "&amp;BL14&amp;")",""))</f>
        <v>Option not available due to core or Edge Sense selection</v>
      </c>
    </row>
    <row r="15" spans="1:65" ht="12.75" customHeight="1" thickBot="1" x14ac:dyDescent="0.25">
      <c r="A15" s="211"/>
      <c r="B15" s="236" t="s">
        <v>254</v>
      </c>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AZ15" s="57"/>
      <c r="BB15" s="1218" t="s">
        <v>858</v>
      </c>
      <c r="BC15" s="57" t="b">
        <f ca="1">AND(BN20="X",I17="Yes")</f>
        <v>0</v>
      </c>
      <c r="BE15" s="226" t="s">
        <v>255</v>
      </c>
      <c r="BF15" s="227"/>
      <c r="BG15" s="227"/>
      <c r="BH15" s="486">
        <v>0</v>
      </c>
    </row>
    <row r="16" spans="1:65" ht="12.75" customHeight="1" x14ac:dyDescent="0.2">
      <c r="B16" s="237"/>
      <c r="C16" s="94"/>
      <c r="D16" s="238"/>
      <c r="E16" s="238"/>
      <c r="F16" s="238"/>
      <c r="G16" s="238"/>
      <c r="H16" s="95" t="s">
        <v>256</v>
      </c>
      <c r="I16" s="1488"/>
      <c r="J16" s="1488"/>
      <c r="K16" s="94"/>
      <c r="L16" s="94"/>
      <c r="M16" s="94"/>
      <c r="N16" s="94"/>
      <c r="O16" s="442" t="s">
        <v>257</v>
      </c>
      <c r="P16" s="1666" t="s">
        <v>236</v>
      </c>
      <c r="Q16" s="1666"/>
      <c r="R16" s="1666"/>
      <c r="S16" s="1666"/>
      <c r="T16" s="1666"/>
      <c r="U16" s="1666"/>
      <c r="V16" s="1666"/>
      <c r="W16" s="94"/>
      <c r="X16" s="94"/>
      <c r="Y16" s="97"/>
      <c r="BK16" s="57"/>
    </row>
    <row r="17" spans="1:84" ht="12.75" customHeight="1" thickBot="1" x14ac:dyDescent="0.25">
      <c r="B17" s="233"/>
      <c r="C17" s="669"/>
      <c r="D17" s="301"/>
      <c r="E17" s="301"/>
      <c r="F17" s="301"/>
      <c r="G17" s="301"/>
      <c r="H17" s="100" t="s">
        <v>885</v>
      </c>
      <c r="I17" s="1485"/>
      <c r="J17" s="1485"/>
      <c r="K17" s="99" t="s">
        <v>863</v>
      </c>
      <c r="L17" s="301"/>
      <c r="M17" s="670"/>
      <c r="N17" s="670"/>
      <c r="O17" s="670"/>
      <c r="P17" s="670"/>
      <c r="Q17" s="670"/>
      <c r="R17" s="67"/>
      <c r="S17" s="173" t="str">
        <f ca="1">IF(AND(P16=BE6,BJ20="P"),"*** Requires Factory Approval ***","")</f>
        <v/>
      </c>
      <c r="T17" s="444"/>
      <c r="U17" s="444"/>
      <c r="V17" s="444"/>
      <c r="W17" s="301"/>
      <c r="X17" s="301"/>
      <c r="Y17" s="445"/>
      <c r="BC17" s="71"/>
      <c r="BD17" s="71"/>
      <c r="BE17" s="71"/>
      <c r="BF17" s="71"/>
      <c r="BG17" s="71"/>
    </row>
    <row r="18" spans="1:84" ht="12.75" customHeight="1" x14ac:dyDescent="0.2">
      <c r="B18" s="126"/>
      <c r="C18" s="239"/>
      <c r="D18" s="102"/>
      <c r="E18" s="102"/>
      <c r="F18" s="102"/>
      <c r="G18" s="102"/>
      <c r="H18" s="100" t="s">
        <v>258</v>
      </c>
      <c r="I18" s="1485"/>
      <c r="J18" s="1485"/>
      <c r="N18" s="102"/>
      <c r="O18" s="443" t="s">
        <v>259</v>
      </c>
      <c r="P18" s="1655" t="s">
        <v>779</v>
      </c>
      <c r="Q18" s="1656"/>
      <c r="R18" s="1656"/>
      <c r="S18" s="1656"/>
      <c r="T18" s="1656"/>
      <c r="U18" s="1656"/>
      <c r="V18" s="1656"/>
      <c r="W18" s="1656"/>
      <c r="X18" s="1656"/>
      <c r="Y18" s="103"/>
      <c r="BA18" s="1239" t="s">
        <v>757</v>
      </c>
      <c r="BB18" s="1240"/>
      <c r="BC18" s="156"/>
      <c r="BD18" s="1230"/>
      <c r="BE18" s="330"/>
      <c r="BF18" s="330"/>
      <c r="BG18" s="330"/>
      <c r="BH18" s="330"/>
      <c r="BI18" s="330"/>
      <c r="BJ18" s="330"/>
      <c r="BK18" s="330"/>
      <c r="BL18" s="94"/>
      <c r="BM18" s="94"/>
      <c r="BN18" s="1223" t="s">
        <v>429</v>
      </c>
      <c r="BO18" s="1224"/>
      <c r="BP18" s="1224"/>
      <c r="BQ18" s="1224"/>
      <c r="BR18" s="1224"/>
      <c r="BS18" s="1225" t="s">
        <v>560</v>
      </c>
      <c r="BT18" s="1224"/>
      <c r="BU18" s="1224"/>
      <c r="BV18" s="1224"/>
      <c r="BW18" s="1224"/>
      <c r="BX18" s="1224"/>
      <c r="BY18" s="1231" t="s">
        <v>264</v>
      </c>
      <c r="BZ18" s="1231" t="s">
        <v>265</v>
      </c>
      <c r="CA18" s="1231" t="s">
        <v>600</v>
      </c>
      <c r="CB18" s="1232" t="s">
        <v>784</v>
      </c>
      <c r="CC18" s="94"/>
      <c r="CD18" s="94"/>
      <c r="CE18" s="156" t="s">
        <v>864</v>
      </c>
      <c r="CF18" s="485" t="s">
        <v>865</v>
      </c>
    </row>
    <row r="19" spans="1:84" ht="12.75" customHeight="1" x14ac:dyDescent="0.2">
      <c r="B19" s="126"/>
      <c r="C19" s="241" t="str">
        <f ca="1">IF(AND(DUT!BB27=1,AND(I18="No",BC15=FALSE)),"Core Frame Window or Shim Kit should be used when Probe Temp is below 0°","")</f>
        <v/>
      </c>
      <c r="D19" s="102"/>
      <c r="E19" s="102"/>
      <c r="F19" s="102"/>
      <c r="G19" s="102"/>
      <c r="H19" s="102"/>
      <c r="I19" s="102"/>
      <c r="J19" s="102"/>
      <c r="K19" s="102"/>
      <c r="L19" s="102"/>
      <c r="M19" s="102"/>
      <c r="N19" s="102"/>
      <c r="O19" s="102"/>
      <c r="P19" s="102"/>
      <c r="Q19" s="102"/>
      <c r="R19" s="102"/>
      <c r="S19" s="102"/>
      <c r="T19" s="102"/>
      <c r="U19" s="102"/>
      <c r="V19" s="102"/>
      <c r="W19" s="102"/>
      <c r="X19" s="102"/>
      <c r="Y19" s="103"/>
      <c r="AB19" s="242"/>
      <c r="BA19" s="1233" t="s">
        <v>260</v>
      </c>
      <c r="BB19" s="106" t="s">
        <v>868</v>
      </c>
      <c r="BC19" s="106" t="s">
        <v>867</v>
      </c>
      <c r="BD19" s="245" t="str">
        <f ca="1">IF(BD20=0,"","Shallow")</f>
        <v/>
      </c>
      <c r="BE19" s="245" t="str">
        <f ca="1">IF(BE20=0,"","Regular")</f>
        <v>Regular</v>
      </c>
      <c r="BF19" s="245" t="str">
        <f ca="1">IF(BF20=0,"","Extra")</f>
        <v>Extra</v>
      </c>
      <c r="BG19" s="245" t="str">
        <f ca="1">IF(BG20=0,"","Deep")</f>
        <v>Deep</v>
      </c>
      <c r="BH19" s="1234" t="str">
        <f ca="1">IF(BH20=0,"","440")</f>
        <v/>
      </c>
      <c r="BI19" s="1235" t="s">
        <v>756</v>
      </c>
      <c r="BJ19" s="106" t="s">
        <v>160</v>
      </c>
      <c r="BK19" s="106" t="s">
        <v>555</v>
      </c>
      <c r="BL19" s="102" t="s">
        <v>557</v>
      </c>
      <c r="BM19" s="102" t="s">
        <v>558</v>
      </c>
      <c r="BN19" s="1236" t="s">
        <v>847</v>
      </c>
      <c r="BO19" s="1237" t="s">
        <v>559</v>
      </c>
      <c r="BP19" s="1238"/>
      <c r="BQ19" s="497" t="s">
        <v>261</v>
      </c>
      <c r="BR19" s="1238"/>
      <c r="BS19" s="498" t="s">
        <v>262</v>
      </c>
      <c r="BT19" s="1238"/>
      <c r="BU19" s="498" t="s">
        <v>263</v>
      </c>
      <c r="BV19" s="1238"/>
      <c r="BW19" s="497" t="str">
        <f ca="1">BH19</f>
        <v/>
      </c>
      <c r="BX19" s="1238"/>
      <c r="BY19" s="1227"/>
      <c r="BZ19" s="1227"/>
      <c r="CA19" s="1227" t="s">
        <v>601</v>
      </c>
      <c r="CB19" s="1037" t="s">
        <v>785</v>
      </c>
      <c r="CC19" s="1227" t="s">
        <v>782</v>
      </c>
      <c r="CD19" s="1227" t="s">
        <v>783</v>
      </c>
      <c r="CE19" s="81" t="s">
        <v>584</v>
      </c>
      <c r="CF19" s="181" t="s">
        <v>866</v>
      </c>
    </row>
    <row r="20" spans="1:84" ht="12.75" customHeight="1" x14ac:dyDescent="0.2">
      <c r="B20" s="126"/>
      <c r="C20" s="102"/>
      <c r="D20" s="102"/>
      <c r="E20" s="102"/>
      <c r="F20" s="102"/>
      <c r="G20" s="102"/>
      <c r="H20" s="244" t="s">
        <v>266</v>
      </c>
      <c r="I20" s="1655"/>
      <c r="J20" s="1655"/>
      <c r="K20" s="1655"/>
      <c r="L20" s="1655"/>
      <c r="M20" s="1655"/>
      <c r="N20" s="1655"/>
      <c r="O20" s="1655"/>
      <c r="P20" s="1655"/>
      <c r="Q20" s="1657"/>
      <c r="R20" s="102"/>
      <c r="U20" s="244"/>
      <c r="Y20" s="103"/>
      <c r="AB20" s="242"/>
      <c r="AY20" s="1222"/>
      <c r="BA20" s="1003" t="str">
        <f ca="1">""&amp;OFFSET(BA20,$BC$20,0)</f>
        <v>RFC (P100)</v>
      </c>
      <c r="BB20" s="245">
        <f ca="1">IF(BB3=2,OFFSET(BB20,BC20,0),-2)</f>
        <v>2</v>
      </c>
      <c r="BC20" s="245">
        <f>MATCH(coreSize,BA21:BA28,0)</f>
        <v>2</v>
      </c>
      <c r="BD20" s="245">
        <f t="shared" ref="BD20:BN20" ca="1" si="0">OFFSET(BD20,$BC$20,0)</f>
        <v>0</v>
      </c>
      <c r="BE20" s="245">
        <f t="shared" ca="1" si="0"/>
        <v>0.17799999999999999</v>
      </c>
      <c r="BF20" s="245">
        <f t="shared" ca="1" si="0"/>
        <v>0.21</v>
      </c>
      <c r="BG20" s="245">
        <f t="shared" ca="1" si="0"/>
        <v>0.245</v>
      </c>
      <c r="BH20" s="245">
        <f t="shared" ca="1" si="0"/>
        <v>0</v>
      </c>
      <c r="BI20" s="245">
        <f t="shared" ca="1" si="0"/>
        <v>521</v>
      </c>
      <c r="BJ20" s="245">
        <f t="shared" ca="1" si="0"/>
        <v>0</v>
      </c>
      <c r="BK20" s="245">
        <f t="shared" ca="1" si="0"/>
        <v>0</v>
      </c>
      <c r="BL20" s="245">
        <f t="shared" ca="1" si="0"/>
        <v>5.3360000000000003</v>
      </c>
      <c r="BM20" s="245">
        <f t="shared" ca="1" si="0"/>
        <v>5.3360000000000003</v>
      </c>
      <c r="BN20" s="245">
        <f t="shared" ca="1" si="0"/>
        <v>0</v>
      </c>
      <c r="BO20" s="102"/>
      <c r="BP20" s="102"/>
      <c r="BQ20" s="102"/>
      <c r="BR20" s="102"/>
      <c r="BS20" s="102"/>
      <c r="BT20" s="102"/>
      <c r="BU20" s="102"/>
      <c r="BV20" s="102"/>
      <c r="BW20" s="102"/>
      <c r="BX20" s="102"/>
      <c r="BY20" s="1037">
        <f ca="1">OFFSET(BY20,$BC$20,0)</f>
        <v>108</v>
      </c>
      <c r="BZ20" s="1037">
        <f ca="1">OFFSET(BZ20,$BC$20,0)</f>
        <v>36</v>
      </c>
      <c r="CA20" s="1037">
        <f ca="1">OFFSET(CA20,$BC$20,0)</f>
        <v>3</v>
      </c>
      <c r="CB20" s="1226">
        <f ca="1">(Pinlist_RF03+Pinlist_RF20+Pinlist_RF40+Pinlist_RF80-Pinlist_RF01)*Core!CA20</f>
        <v>0</v>
      </c>
      <c r="CC20" s="1037">
        <f ca="1">SUM(Chart!$BN$38:$BN$41)+MAX(Pinlist_RF01+$CB$20,(SUM('PCB Custom'!L27:W27)+SUM('PCB Config'!E27:L27))*CA20)</f>
        <v>0</v>
      </c>
      <c r="CD20" s="1227" t="str">
        <f ca="1">IF(DUT!$BC$14&gt;0,"Error - Incorrect Product for Selected Pad Material",IF(CC20&gt;BY20,"Pinlist entries exceed core max I/O!",""))</f>
        <v/>
      </c>
      <c r="CE20" s="245">
        <f ca="1">IF(BK20,0,OFFSET(CE20,$BC$20,0))</f>
        <v>1</v>
      </c>
      <c r="CF20" s="1004">
        <f ca="1">IF(edgeSense="No",OFFSET(CF20,$BC$20,0),0)</f>
        <v>0</v>
      </c>
    </row>
    <row r="21" spans="1:84" ht="12.75" customHeight="1" x14ac:dyDescent="0.2">
      <c r="B21" s="126"/>
      <c r="C21" s="102"/>
      <c r="D21" s="102"/>
      <c r="E21" s="102"/>
      <c r="F21" s="102"/>
      <c r="G21" s="102"/>
      <c r="H21" s="109"/>
      <c r="T21" s="102"/>
      <c r="U21" s="102"/>
      <c r="V21" s="102"/>
      <c r="W21" s="102"/>
      <c r="X21" s="102"/>
      <c r="Y21" s="103"/>
      <c r="Z21" s="246"/>
      <c r="BA21" s="1005" t="s">
        <v>267</v>
      </c>
      <c r="BB21" s="81">
        <v>1</v>
      </c>
      <c r="BC21" s="81">
        <v>1</v>
      </c>
      <c r="BD21" s="247"/>
      <c r="BE21" s="248">
        <v>0.17799999999999999</v>
      </c>
      <c r="BF21" s="248">
        <v>0.21</v>
      </c>
      <c r="BG21" s="248">
        <v>0.245</v>
      </c>
      <c r="BH21" s="247"/>
      <c r="BI21" s="81">
        <v>521</v>
      </c>
      <c r="BJ21" s="245" t="s">
        <v>133</v>
      </c>
      <c r="BK21" s="245">
        <f>VLOOKUP(P18,$BE$10:$BH$15,4,0)*(BB3=2)</f>
        <v>1</v>
      </c>
      <c r="BL21" s="81">
        <f t="shared" ref="BL21:BL28" ca="1" si="1">OFFSET($BN$20,BC21,MATCH($BA$37,$BO$19:$BW$19,0))</f>
        <v>5.3360000000000003</v>
      </c>
      <c r="BM21" s="81">
        <f t="shared" ref="BM21:BM28" ca="1" si="2">OFFSET($BO$20,BC21,MATCH($BA$37,$BO$19:$BW$19,0))</f>
        <v>5.3360000000000003</v>
      </c>
      <c r="BN21" s="102"/>
      <c r="BO21" s="81">
        <v>0</v>
      </c>
      <c r="BP21" s="81">
        <v>0</v>
      </c>
      <c r="BQ21" s="81">
        <v>5.3360000000000003</v>
      </c>
      <c r="BR21" s="81">
        <v>5.3360000000000003</v>
      </c>
      <c r="BS21" s="81">
        <v>5.3360000000000003</v>
      </c>
      <c r="BT21" s="81">
        <v>5.3360000000000003</v>
      </c>
      <c r="BU21" s="81">
        <v>5.3360000000000003</v>
      </c>
      <c r="BV21" s="81">
        <v>5.3360000000000003</v>
      </c>
      <c r="BW21" s="81">
        <v>0</v>
      </c>
      <c r="BX21" s="81">
        <v>0</v>
      </c>
      <c r="BY21" s="1037">
        <v>48</v>
      </c>
      <c r="BZ21" s="1037">
        <v>0</v>
      </c>
      <c r="CA21" s="1037">
        <v>0</v>
      </c>
      <c r="CB21" s="1226"/>
      <c r="CC21" s="102"/>
      <c r="CD21" s="102"/>
      <c r="CE21" s="81">
        <v>1</v>
      </c>
      <c r="CF21" s="181">
        <v>0</v>
      </c>
    </row>
    <row r="22" spans="1:84" ht="12.75" customHeight="1" x14ac:dyDescent="0.2">
      <c r="B22" s="126"/>
      <c r="C22" s="102"/>
      <c r="D22" s="102"/>
      <c r="E22" s="102"/>
      <c r="F22" s="102"/>
      <c r="G22" s="102"/>
      <c r="H22" s="100" t="s">
        <v>268</v>
      </c>
      <c r="I22" s="1667" t="s">
        <v>226</v>
      </c>
      <c r="J22" s="1667"/>
      <c r="K22" s="1667"/>
      <c r="L22" s="1667"/>
      <c r="M22" s="1668"/>
      <c r="O22" s="100" t="s">
        <v>674</v>
      </c>
      <c r="P22" s="1658"/>
      <c r="Q22" s="1397"/>
      <c r="R22" s="1397"/>
      <c r="S22" s="1397"/>
      <c r="T22" s="1397"/>
      <c r="W22" s="102"/>
      <c r="X22" s="102"/>
      <c r="Y22" s="103"/>
      <c r="BA22" s="1005" t="s">
        <v>234</v>
      </c>
      <c r="BB22" s="81">
        <v>2</v>
      </c>
      <c r="BC22" s="81">
        <v>2</v>
      </c>
      <c r="BD22" s="247"/>
      <c r="BE22" s="248">
        <v>0.17799999999999999</v>
      </c>
      <c r="BF22" s="248">
        <v>0.21</v>
      </c>
      <c r="BG22" s="248">
        <v>0.245</v>
      </c>
      <c r="BH22" s="247"/>
      <c r="BI22" s="81">
        <v>521</v>
      </c>
      <c r="BJ22" s="81"/>
      <c r="BK22" s="82"/>
      <c r="BL22" s="81">
        <f t="shared" ca="1" si="1"/>
        <v>5.3360000000000003</v>
      </c>
      <c r="BM22" s="81">
        <f t="shared" ca="1" si="2"/>
        <v>5.3360000000000003</v>
      </c>
      <c r="BN22" s="102"/>
      <c r="BO22" s="81">
        <v>0</v>
      </c>
      <c r="BP22" s="81">
        <v>0</v>
      </c>
      <c r="BQ22" s="81">
        <v>5.3360000000000003</v>
      </c>
      <c r="BR22" s="81">
        <v>5.3360000000000003</v>
      </c>
      <c r="BS22" s="81">
        <v>5.3360000000000003</v>
      </c>
      <c r="BT22" s="81">
        <v>5.3360000000000003</v>
      </c>
      <c r="BU22" s="81">
        <v>5.3360000000000003</v>
      </c>
      <c r="BV22" s="81">
        <v>5.3360000000000003</v>
      </c>
      <c r="BW22" s="81">
        <v>0</v>
      </c>
      <c r="BX22" s="81">
        <v>0</v>
      </c>
      <c r="BY22" s="1037">
        <v>108</v>
      </c>
      <c r="BZ22" s="1037">
        <v>36</v>
      </c>
      <c r="CA22" s="1037">
        <v>3</v>
      </c>
      <c r="CB22" s="1226"/>
      <c r="CC22" s="102"/>
      <c r="CD22" s="102"/>
      <c r="CE22" s="81">
        <v>1</v>
      </c>
      <c r="CF22" s="181">
        <v>0</v>
      </c>
    </row>
    <row r="23" spans="1:84" ht="12.75" customHeight="1" x14ac:dyDescent="0.2">
      <c r="B23" s="126"/>
      <c r="R23" s="768" t="str">
        <f>BM10</f>
        <v/>
      </c>
      <c r="Y23" s="103"/>
      <c r="BA23" s="1005" t="s">
        <v>776</v>
      </c>
      <c r="BB23" s="81">
        <v>4</v>
      </c>
      <c r="BC23" s="81">
        <v>3</v>
      </c>
      <c r="BD23" s="248">
        <v>0.24</v>
      </c>
      <c r="BE23" s="248">
        <v>0.27500000000000002</v>
      </c>
      <c r="BF23" s="248">
        <v>0.34300000000000003</v>
      </c>
      <c r="BG23" s="248">
        <v>0.40500000000000003</v>
      </c>
      <c r="BH23" s="248">
        <v>0.438</v>
      </c>
      <c r="BI23" s="81">
        <v>1317</v>
      </c>
      <c r="BJ23" s="245" t="s">
        <v>133</v>
      </c>
      <c r="BK23" s="245">
        <f>VLOOKUP(P18,$BE$10:$BH$15,4,0)*(BB3=2)</f>
        <v>1</v>
      </c>
      <c r="BL23" s="81">
        <f t="shared" ca="1" si="1"/>
        <v>9.6839999999999993</v>
      </c>
      <c r="BM23" s="81">
        <f t="shared" ca="1" si="2"/>
        <v>9.6839999999999993</v>
      </c>
      <c r="BN23" s="102"/>
      <c r="BO23" s="81">
        <v>9.6839999999999993</v>
      </c>
      <c r="BP23" s="81">
        <v>9.6839999999999993</v>
      </c>
      <c r="BQ23" s="81">
        <v>9.6839999999999993</v>
      </c>
      <c r="BR23" s="81">
        <v>9.6839999999999993</v>
      </c>
      <c r="BS23" s="81">
        <v>9.6839999999999993</v>
      </c>
      <c r="BT23" s="81">
        <v>9.6839999999999993</v>
      </c>
      <c r="BU23" s="81">
        <v>9.6839999999999993</v>
      </c>
      <c r="BV23" s="81">
        <v>9.6839999999999993</v>
      </c>
      <c r="BW23" s="81">
        <v>9.6839999999999993</v>
      </c>
      <c r="BX23" s="81">
        <v>9.6839999999999993</v>
      </c>
      <c r="BY23" s="1037">
        <v>100</v>
      </c>
      <c r="BZ23" s="1227"/>
      <c r="CA23" s="1227"/>
      <c r="CB23" s="1226"/>
      <c r="CC23" s="102"/>
      <c r="CD23" s="102"/>
      <c r="CE23" s="81">
        <v>1</v>
      </c>
      <c r="CF23" s="181">
        <v>8</v>
      </c>
    </row>
    <row r="24" spans="1:84" ht="12.75" customHeight="1" thickBot="1" x14ac:dyDescent="0.25">
      <c r="A24" s="102"/>
      <c r="B24" s="133"/>
      <c r="C24" s="118"/>
      <c r="D24" s="118"/>
      <c r="E24" s="118"/>
      <c r="F24" s="118"/>
      <c r="G24" s="118"/>
      <c r="H24" s="251" t="s">
        <v>269</v>
      </c>
      <c r="I24" s="1493" t="s">
        <v>31</v>
      </c>
      <c r="J24" s="1493"/>
      <c r="K24" s="118"/>
      <c r="L24" s="118"/>
      <c r="M24" s="435" t="s">
        <v>270</v>
      </c>
      <c r="N24" s="1664" t="s">
        <v>239</v>
      </c>
      <c r="O24" s="1665"/>
      <c r="P24" s="1665"/>
      <c r="Q24" s="1665"/>
      <c r="R24" s="1665"/>
      <c r="S24" s="1665"/>
      <c r="T24" s="1665"/>
      <c r="U24" s="1665"/>
      <c r="V24" s="1665"/>
      <c r="W24" s="1665"/>
      <c r="X24" s="118"/>
      <c r="Y24" s="119"/>
      <c r="BA24" s="1005" t="s">
        <v>271</v>
      </c>
      <c r="BB24" s="81">
        <v>5</v>
      </c>
      <c r="BC24" s="81">
        <v>4</v>
      </c>
      <c r="BD24" s="248">
        <v>0.24</v>
      </c>
      <c r="BE24" s="248">
        <v>0.27500000000000002</v>
      </c>
      <c r="BF24" s="248">
        <v>0.34300000000000003</v>
      </c>
      <c r="BG24" s="248">
        <v>0.40500000000000003</v>
      </c>
      <c r="BH24" s="248">
        <v>0.438</v>
      </c>
      <c r="BI24" s="81">
        <v>1317</v>
      </c>
      <c r="BJ24" s="81"/>
      <c r="BK24" s="82"/>
      <c r="BL24" s="81">
        <f t="shared" ca="1" si="1"/>
        <v>9.6839999999999993</v>
      </c>
      <c r="BM24" s="81">
        <f t="shared" ca="1" si="2"/>
        <v>9.6839999999999993</v>
      </c>
      <c r="BN24" s="81" t="s">
        <v>162</v>
      </c>
      <c r="BO24" s="81">
        <v>9.6839999999999993</v>
      </c>
      <c r="BP24" s="81">
        <f t="shared" ref="BP24:BX24" si="3">(0.46*25.4)-2</f>
        <v>9.6839999999999993</v>
      </c>
      <c r="BQ24" s="81">
        <f t="shared" si="3"/>
        <v>9.6839999999999993</v>
      </c>
      <c r="BR24" s="81">
        <f t="shared" si="3"/>
        <v>9.6839999999999993</v>
      </c>
      <c r="BS24" s="81">
        <f t="shared" si="3"/>
        <v>9.6839999999999993</v>
      </c>
      <c r="BT24" s="81">
        <f t="shared" si="3"/>
        <v>9.6839999999999993</v>
      </c>
      <c r="BU24" s="81">
        <f t="shared" si="3"/>
        <v>9.6839999999999993</v>
      </c>
      <c r="BV24" s="81">
        <f t="shared" si="3"/>
        <v>9.6839999999999993</v>
      </c>
      <c r="BW24" s="81">
        <f t="shared" si="3"/>
        <v>9.6839999999999993</v>
      </c>
      <c r="BX24" s="81">
        <f t="shared" si="3"/>
        <v>9.6839999999999993</v>
      </c>
      <c r="BY24" s="1037">
        <v>408</v>
      </c>
      <c r="BZ24" s="1037">
        <v>56</v>
      </c>
      <c r="CA24" s="1037">
        <v>6</v>
      </c>
      <c r="CB24" s="1226"/>
      <c r="CC24" s="102"/>
      <c r="CD24" s="102"/>
      <c r="CE24" s="81">
        <v>1</v>
      </c>
      <c r="CF24" s="181">
        <v>8</v>
      </c>
    </row>
    <row r="25" spans="1:84" ht="12.75" customHeight="1" x14ac:dyDescent="0.2">
      <c r="A25" s="102"/>
      <c r="BA25" s="1005" t="s">
        <v>272</v>
      </c>
      <c r="BB25" s="81">
        <v>6</v>
      </c>
      <c r="BC25" s="81">
        <v>5</v>
      </c>
      <c r="BD25" s="248">
        <v>0.24</v>
      </c>
      <c r="BE25" s="248">
        <v>0.28000000000000003</v>
      </c>
      <c r="BF25" s="248">
        <v>0.34300000000000003</v>
      </c>
      <c r="BG25" s="248">
        <v>0.40500000000000003</v>
      </c>
      <c r="BH25" s="248"/>
      <c r="BI25" s="81">
        <v>2152</v>
      </c>
      <c r="BJ25" s="81"/>
      <c r="BK25" s="102"/>
      <c r="BL25" s="81">
        <f t="shared" ca="1" si="1"/>
        <v>20.86</v>
      </c>
      <c r="BM25" s="81">
        <f t="shared" ca="1" si="2"/>
        <v>20.86</v>
      </c>
      <c r="BN25" s="81"/>
      <c r="BO25" s="81">
        <v>20.86</v>
      </c>
      <c r="BP25" s="81">
        <v>20.86</v>
      </c>
      <c r="BQ25" s="81">
        <v>20.86</v>
      </c>
      <c r="BR25" s="81">
        <v>20.86</v>
      </c>
      <c r="BS25" s="81">
        <v>20.86</v>
      </c>
      <c r="BT25" s="81">
        <v>20.86</v>
      </c>
      <c r="BU25" s="81">
        <v>20.86</v>
      </c>
      <c r="BV25" s="81">
        <v>20.86</v>
      </c>
      <c r="BW25" s="81">
        <v>0</v>
      </c>
      <c r="BX25" s="81">
        <v>0</v>
      </c>
      <c r="BY25" s="1037">
        <v>520</v>
      </c>
      <c r="BZ25" s="1037">
        <v>88</v>
      </c>
      <c r="CA25" s="1037">
        <v>5</v>
      </c>
      <c r="CB25" s="1226"/>
      <c r="CC25" s="102"/>
      <c r="CD25" s="102"/>
      <c r="CE25" s="81">
        <v>1</v>
      </c>
      <c r="CF25" s="181">
        <v>8</v>
      </c>
    </row>
    <row r="26" spans="1:84" ht="12.75" customHeight="1" thickBot="1" x14ac:dyDescent="0.25">
      <c r="A26" s="102"/>
      <c r="B26" s="252" t="s">
        <v>273</v>
      </c>
      <c r="G26" s="1290"/>
      <c r="N26" s="500" t="str">
        <f ca="1">IF('Cover Page'!BL37=1,"Core &amp; PCB not compatible!","")</f>
        <v/>
      </c>
      <c r="BA26" s="1005" t="s">
        <v>274</v>
      </c>
      <c r="BB26" s="81">
        <v>7</v>
      </c>
      <c r="BC26" s="81">
        <v>6</v>
      </c>
      <c r="BD26" s="248">
        <v>0.24</v>
      </c>
      <c r="BE26" s="248">
        <v>0.28000000000000003</v>
      </c>
      <c r="BF26" s="248">
        <v>0.34300000000000003</v>
      </c>
      <c r="BG26" s="248">
        <v>0.40500000000000003</v>
      </c>
      <c r="BH26" s="248">
        <v>0.438</v>
      </c>
      <c r="BI26" s="81">
        <v>1311</v>
      </c>
      <c r="BJ26" s="81"/>
      <c r="BK26" s="102"/>
      <c r="BL26" s="81">
        <f t="shared" ca="1" si="1"/>
        <v>37.369999999999997</v>
      </c>
      <c r="BM26" s="81">
        <f t="shared" ca="1" si="2"/>
        <v>11.462</v>
      </c>
      <c r="BN26" s="81"/>
      <c r="BO26" s="81">
        <f>(1.55*25.4)-2</f>
        <v>37.369999999999997</v>
      </c>
      <c r="BP26" s="81">
        <f>(0.53*25.4)-2</f>
        <v>11.462</v>
      </c>
      <c r="BQ26" s="81">
        <f>(1.55*25.4)-2</f>
        <v>37.369999999999997</v>
      </c>
      <c r="BR26" s="81">
        <f>(0.53*25.4)-2</f>
        <v>11.462</v>
      </c>
      <c r="BS26" s="81">
        <f>(1.55*25.4)-2</f>
        <v>37.369999999999997</v>
      </c>
      <c r="BT26" s="81">
        <f>(0.53*25.4)-2</f>
        <v>11.462</v>
      </c>
      <c r="BU26" s="81">
        <f>(1.55*25.4)-2</f>
        <v>37.369999999999997</v>
      </c>
      <c r="BV26" s="81">
        <f>(0.53*25.4)-2</f>
        <v>11.462</v>
      </c>
      <c r="BW26" s="81">
        <f>(1.59*25.4)-2</f>
        <v>38.386000000000003</v>
      </c>
      <c r="BX26" s="81">
        <f>(0.57*25.4)-2</f>
        <v>12.477999999999998</v>
      </c>
      <c r="BY26" s="1037">
        <v>804</v>
      </c>
      <c r="BZ26" s="1037">
        <v>120</v>
      </c>
      <c r="CA26" s="1037">
        <v>6</v>
      </c>
      <c r="CB26" s="1226"/>
      <c r="CC26" s="102"/>
      <c r="CD26" s="102"/>
      <c r="CE26" s="81">
        <v>1</v>
      </c>
      <c r="CF26" s="181">
        <v>8</v>
      </c>
    </row>
    <row r="27" spans="1:84" ht="12.75" customHeight="1" x14ac:dyDescent="0.25">
      <c r="A27" s="102"/>
      <c r="B27" s="237"/>
      <c r="C27" s="94"/>
      <c r="D27" s="94"/>
      <c r="E27" s="94"/>
      <c r="F27" s="94"/>
      <c r="G27" s="95" t="s">
        <v>275</v>
      </c>
      <c r="H27" s="1488" t="s">
        <v>263</v>
      </c>
      <c r="I27" s="1488"/>
      <c r="J27" s="1488"/>
      <c r="K27" s="996" t="s">
        <v>34</v>
      </c>
      <c r="L27" s="992" t="str">
        <f ca="1">IF(BB42=1,"",FIXED(BB37,3)&amp;BC37)</f>
        <v>0.245" [6.2mm]</v>
      </c>
      <c r="M27" s="94"/>
      <c r="O27" s="94"/>
      <c r="P27" s="94"/>
      <c r="Q27" s="1291"/>
      <c r="R27" s="94"/>
      <c r="S27" s="94"/>
      <c r="T27" s="94"/>
      <c r="U27" s="94"/>
      <c r="V27" s="94"/>
      <c r="W27" s="94"/>
      <c r="X27" s="94"/>
      <c r="Y27" s="501"/>
      <c r="BA27" s="1005" t="s">
        <v>276</v>
      </c>
      <c r="BB27" s="247">
        <v>8</v>
      </c>
      <c r="BC27" s="81">
        <v>7</v>
      </c>
      <c r="BD27" s="247"/>
      <c r="BE27" s="248">
        <v>0.28000000000000003</v>
      </c>
      <c r="BF27" s="248">
        <v>0.34300000000000003</v>
      </c>
      <c r="BG27" s="248">
        <v>0.40500000000000003</v>
      </c>
      <c r="BH27" s="248">
        <v>0.438</v>
      </c>
      <c r="BI27" s="81">
        <v>2565</v>
      </c>
      <c r="BJ27" s="81"/>
      <c r="BK27" s="82"/>
      <c r="BL27" s="81">
        <f t="shared" ca="1" si="1"/>
        <v>37.369999999999997</v>
      </c>
      <c r="BM27" s="81">
        <f t="shared" ca="1" si="2"/>
        <v>11.462</v>
      </c>
      <c r="BN27" s="81" t="s">
        <v>162</v>
      </c>
      <c r="BO27" s="81"/>
      <c r="BP27" s="81"/>
      <c r="BQ27" s="81">
        <f>(1.55*25.4)-2</f>
        <v>37.369999999999997</v>
      </c>
      <c r="BR27" s="81">
        <f>(0.53*25.4)-2</f>
        <v>11.462</v>
      </c>
      <c r="BS27" s="81">
        <f t="shared" ref="BS27:BX27" si="4">BQ27</f>
        <v>37.369999999999997</v>
      </c>
      <c r="BT27" s="81">
        <f t="shared" si="4"/>
        <v>11.462</v>
      </c>
      <c r="BU27" s="81">
        <f t="shared" si="4"/>
        <v>37.369999999999997</v>
      </c>
      <c r="BV27" s="81">
        <f t="shared" si="4"/>
        <v>11.462</v>
      </c>
      <c r="BW27" s="81">
        <f t="shared" si="4"/>
        <v>37.369999999999997</v>
      </c>
      <c r="BX27" s="81">
        <f t="shared" si="4"/>
        <v>11.462</v>
      </c>
      <c r="BY27" s="1037">
        <v>804</v>
      </c>
      <c r="BZ27" s="1037">
        <v>120</v>
      </c>
      <c r="CA27" s="1037">
        <v>6</v>
      </c>
      <c r="CB27" s="1226"/>
      <c r="CC27" s="102"/>
      <c r="CD27" s="102"/>
      <c r="CE27" s="81">
        <v>0</v>
      </c>
      <c r="CF27" s="181">
        <v>8</v>
      </c>
    </row>
    <row r="28" spans="1:84" ht="12.75" customHeight="1" thickBot="1" x14ac:dyDescent="0.3">
      <c r="A28" s="102"/>
      <c r="B28" s="253"/>
      <c r="C28" s="370"/>
      <c r="D28" s="1292"/>
      <c r="E28" s="256"/>
      <c r="F28" s="256"/>
      <c r="G28" s="256"/>
      <c r="H28" s="67"/>
      <c r="I28" s="256"/>
      <c r="J28" s="256"/>
      <c r="K28" s="250"/>
      <c r="L28" s="250"/>
      <c r="M28" s="250"/>
      <c r="N28" s="250"/>
      <c r="O28" s="250"/>
      <c r="P28" s="250"/>
      <c r="Q28" s="254"/>
      <c r="R28" s="211"/>
      <c r="S28" s="250"/>
      <c r="T28" s="250"/>
      <c r="U28" s="250"/>
      <c r="V28" s="250"/>
      <c r="W28" s="250"/>
      <c r="X28" s="250"/>
      <c r="Y28" s="493" t="str">
        <f ca="1">FIXED($BB$41,3)&amp;BC41</f>
        <v>0.125" [3.2mm]</v>
      </c>
      <c r="Z28" s="255"/>
      <c r="BA28" s="1006" t="s">
        <v>846</v>
      </c>
      <c r="BB28" s="1007">
        <v>9</v>
      </c>
      <c r="BC28" s="227">
        <v>8</v>
      </c>
      <c r="BD28" s="1007"/>
      <c r="BE28" s="1008"/>
      <c r="BF28" s="1008">
        <v>0.34300000000000003</v>
      </c>
      <c r="BG28" s="1008">
        <v>0.40500000000000003</v>
      </c>
      <c r="BH28" s="1008"/>
      <c r="BI28" s="227">
        <v>3770</v>
      </c>
      <c r="BJ28" s="227"/>
      <c r="BK28" s="338"/>
      <c r="BL28" s="227">
        <f t="shared" ca="1" si="1"/>
        <v>50.069999999999993</v>
      </c>
      <c r="BM28" s="227">
        <f t="shared" ca="1" si="2"/>
        <v>9.43</v>
      </c>
      <c r="BN28" s="227" t="s">
        <v>162</v>
      </c>
      <c r="BO28" s="227"/>
      <c r="BP28" s="227"/>
      <c r="BQ28" s="227"/>
      <c r="BR28" s="227"/>
      <c r="BS28" s="227">
        <f>(2.05*25.4)-2</f>
        <v>50.069999999999993</v>
      </c>
      <c r="BT28" s="227">
        <f>(0.45*25.4)-2</f>
        <v>9.43</v>
      </c>
      <c r="BU28" s="227">
        <f>BS28</f>
        <v>50.069999999999993</v>
      </c>
      <c r="BV28" s="227">
        <f>BT28</f>
        <v>9.43</v>
      </c>
      <c r="BW28" s="227"/>
      <c r="BX28" s="227"/>
      <c r="BY28" s="1228">
        <v>2112</v>
      </c>
      <c r="BZ28" s="1228">
        <v>264</v>
      </c>
      <c r="CA28" s="1228">
        <v>2</v>
      </c>
      <c r="CB28" s="1229"/>
      <c r="CC28" s="118"/>
      <c r="CD28" s="118"/>
      <c r="CE28" s="227">
        <v>0</v>
      </c>
      <c r="CF28" s="486"/>
    </row>
    <row r="29" spans="1:84" ht="9.9499999999999993" customHeight="1" thickBot="1" x14ac:dyDescent="0.3">
      <c r="A29" s="102"/>
      <c r="B29" s="253"/>
      <c r="C29" s="1292"/>
      <c r="D29" s="1292"/>
      <c r="E29" s="256"/>
      <c r="F29" s="1293"/>
      <c r="G29" s="256"/>
      <c r="H29" s="256"/>
      <c r="I29" s="256"/>
      <c r="J29" s="256"/>
      <c r="K29" s="256"/>
      <c r="L29" s="256"/>
      <c r="M29" s="256"/>
      <c r="N29" s="256"/>
      <c r="O29" s="256"/>
      <c r="P29" s="256"/>
      <c r="Q29" s="256"/>
      <c r="R29" s="256"/>
      <c r="S29" s="256"/>
      <c r="T29" s="256"/>
      <c r="U29" s="256"/>
      <c r="V29" s="256"/>
      <c r="W29" s="256"/>
      <c r="X29" s="256"/>
      <c r="Y29" s="440" t="s">
        <v>277</v>
      </c>
      <c r="Z29" s="255"/>
    </row>
    <row r="30" spans="1:84" s="98" customFormat="1" ht="9.9499999999999993" customHeight="1" thickBot="1" x14ac:dyDescent="0.25">
      <c r="A30" s="257"/>
      <c r="B30" s="253"/>
      <c r="C30" s="437" t="s">
        <v>277</v>
      </c>
      <c r="D30" s="438"/>
      <c r="E30" s="258"/>
      <c r="F30" s="1671"/>
      <c r="G30" s="1672"/>
      <c r="H30" s="1672"/>
      <c r="I30" s="1672"/>
      <c r="J30" s="1672"/>
      <c r="K30" s="1672"/>
      <c r="L30" s="1672"/>
      <c r="M30" s="1672"/>
      <c r="N30" s="1672"/>
      <c r="O30" s="1672"/>
      <c r="P30" s="1672"/>
      <c r="Q30" s="1672"/>
      <c r="R30" s="1672"/>
      <c r="S30" s="1672"/>
      <c r="T30" s="1672"/>
      <c r="U30" s="1672"/>
      <c r="V30" s="1672"/>
      <c r="W30" s="1673"/>
      <c r="X30" s="256"/>
      <c r="Y30" s="441"/>
      <c r="Z30" s="260"/>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B30" s="102"/>
      <c r="BC30" s="102"/>
      <c r="BD30" s="102"/>
      <c r="BE30" s="102"/>
      <c r="BF30" s="102"/>
      <c r="BG30" s="67"/>
      <c r="BH30" s="246"/>
      <c r="BI30" s="57"/>
      <c r="BJ30" s="57"/>
      <c r="CD30" s="766"/>
      <c r="CE30" s="766"/>
    </row>
    <row r="31" spans="1:84" s="98" customFormat="1" ht="9.9499999999999993" customHeight="1" thickBot="1" x14ac:dyDescent="0.25">
      <c r="A31" s="261"/>
      <c r="B31" s="253"/>
      <c r="C31" s="250"/>
      <c r="D31" s="1669" t="s">
        <v>34</v>
      </c>
      <c r="E31" s="250"/>
      <c r="F31" s="990"/>
      <c r="G31" s="263"/>
      <c r="H31" s="250"/>
      <c r="I31" s="263"/>
      <c r="J31" s="250"/>
      <c r="K31" s="250"/>
      <c r="L31" s="250"/>
      <c r="M31" s="250"/>
      <c r="N31" s="250"/>
      <c r="O31" s="250"/>
      <c r="P31" s="250"/>
      <c r="Q31" s="250"/>
      <c r="R31" s="250"/>
      <c r="S31" s="250"/>
      <c r="T31" s="250"/>
      <c r="U31" s="250"/>
      <c r="V31" s="250"/>
      <c r="W31" s="262" t="s">
        <v>277</v>
      </c>
      <c r="X31" s="250"/>
      <c r="Y31" s="440" t="s">
        <v>278</v>
      </c>
      <c r="Z31" s="264"/>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B31" s="102"/>
      <c r="BC31" s="102"/>
      <c r="BD31" s="102"/>
      <c r="BE31" s="82"/>
      <c r="BF31" s="82"/>
      <c r="BG31" s="67"/>
      <c r="BH31" s="246"/>
      <c r="CD31" s="766"/>
      <c r="CE31" s="766"/>
    </row>
    <row r="32" spans="1:84" s="98" customFormat="1" ht="5.0999999999999996" customHeight="1" thickTop="1" x14ac:dyDescent="0.2">
      <c r="A32" s="261"/>
      <c r="B32" s="253"/>
      <c r="C32" s="1653" t="s">
        <v>277</v>
      </c>
      <c r="D32" s="1670"/>
      <c r="E32" s="250"/>
      <c r="F32" s="990"/>
      <c r="G32" s="997"/>
      <c r="H32" s="250"/>
      <c r="I32" s="263"/>
      <c r="J32" s="250"/>
      <c r="K32" s="250"/>
      <c r="L32" s="250"/>
      <c r="M32" s="250"/>
      <c r="N32" s="250"/>
      <c r="O32" s="250"/>
      <c r="P32" s="250"/>
      <c r="Q32" s="250"/>
      <c r="R32" s="250"/>
      <c r="S32" s="250"/>
      <c r="T32" s="250"/>
      <c r="U32" s="250"/>
      <c r="V32" s="994"/>
      <c r="W32" s="990"/>
      <c r="X32" s="250"/>
      <c r="Y32" s="440"/>
      <c r="Z32" s="264"/>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B32" s="102"/>
      <c r="BC32" s="102"/>
      <c r="BD32" s="102"/>
      <c r="BE32" s="82"/>
      <c r="BF32" s="82"/>
      <c r="BG32" s="67"/>
      <c r="BH32" s="246"/>
      <c r="CD32" s="766"/>
      <c r="CE32" s="766"/>
    </row>
    <row r="33" spans="1:83" s="98" customFormat="1" ht="5.0999999999999996" customHeight="1" thickBot="1" x14ac:dyDescent="0.25">
      <c r="A33" s="261"/>
      <c r="B33" s="265"/>
      <c r="C33" s="1654"/>
      <c r="D33" s="436"/>
      <c r="E33" s="436"/>
      <c r="F33" s="991" t="s">
        <v>228</v>
      </c>
      <c r="G33" s="998"/>
      <c r="H33" s="263"/>
      <c r="I33" s="263"/>
      <c r="J33" s="263"/>
      <c r="K33" s="266"/>
      <c r="L33" s="266"/>
      <c r="M33" s="266"/>
      <c r="N33" s="266"/>
      <c r="O33" s="250"/>
      <c r="P33" s="250"/>
      <c r="Q33" s="250"/>
      <c r="R33" s="250"/>
      <c r="S33" s="250"/>
      <c r="T33" s="250"/>
      <c r="U33" s="250"/>
      <c r="V33" s="1018"/>
      <c r="W33" s="993"/>
      <c r="X33" s="250"/>
      <c r="Y33" s="259"/>
      <c r="Z33" s="260"/>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G33" s="67"/>
      <c r="BH33" s="246"/>
      <c r="CD33" s="766"/>
      <c r="CE33" s="766"/>
    </row>
    <row r="34" spans="1:83" s="246" customFormat="1" ht="12.75" customHeight="1" thickTop="1" x14ac:dyDescent="0.2">
      <c r="A34" s="268"/>
      <c r="B34" s="269"/>
      <c r="C34" s="270"/>
      <c r="D34" s="270"/>
      <c r="E34" s="271"/>
      <c r="F34" s="271"/>
      <c r="G34" s="271"/>
      <c r="H34" s="271"/>
      <c r="I34" s="271"/>
      <c r="J34" s="271"/>
      <c r="K34" s="271"/>
      <c r="L34" s="271"/>
      <c r="M34" s="271"/>
      <c r="N34" s="250"/>
      <c r="O34" s="256"/>
      <c r="P34" s="272"/>
      <c r="Q34" s="250"/>
      <c r="R34" s="250"/>
      <c r="S34" s="250"/>
      <c r="T34" s="250"/>
      <c r="U34" s="250"/>
      <c r="V34" s="273"/>
      <c r="W34" s="274" t="s">
        <v>278</v>
      </c>
      <c r="X34" s="273"/>
      <c r="Y34" s="275"/>
      <c r="Z34" s="82"/>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I34" s="98"/>
      <c r="BJ34" s="98"/>
      <c r="CD34" s="1221"/>
      <c r="CE34" s="1221"/>
    </row>
    <row r="35" spans="1:83" s="67" customFormat="1" ht="12.75" customHeight="1" thickBot="1" x14ac:dyDescent="0.25">
      <c r="A35" s="279"/>
      <c r="B35" s="269"/>
      <c r="C35" s="280" t="s">
        <v>278</v>
      </c>
      <c r="D35" s="280" t="s">
        <v>278</v>
      </c>
      <c r="E35" s="281"/>
      <c r="F35" s="266"/>
      <c r="G35" s="266"/>
      <c r="H35" s="281"/>
      <c r="I35" s="281"/>
      <c r="J35" s="281"/>
      <c r="K35" s="266"/>
      <c r="L35" s="272"/>
      <c r="M35" s="272"/>
      <c r="N35" s="999" t="str">
        <f ca="1">IF(Chart!BM27&gt;Core!BI20,"Probe tip count exceeds standard core configuration","")</f>
        <v/>
      </c>
      <c r="O35" s="272"/>
      <c r="P35" s="272"/>
      <c r="Q35" s="272"/>
      <c r="R35" s="250"/>
      <c r="S35" s="250"/>
      <c r="T35" s="250"/>
      <c r="U35" s="250"/>
      <c r="V35" s="281"/>
      <c r="W35" s="282" t="str">
        <f ca="1">IF(BB40,FIXED($BB$42,3)&amp;$BC$42,FIXED($BB$41,3)&amp;$BC$41)</f>
        <v>0.125" [3.2mm]</v>
      </c>
      <c r="X35" s="283"/>
      <c r="Y35" s="284"/>
      <c r="Z35" s="279"/>
      <c r="AA35" s="215"/>
      <c r="AB35" s="215"/>
      <c r="AC35" s="215"/>
      <c r="AD35" s="28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171" t="s">
        <v>279</v>
      </c>
      <c r="BB35" s="102"/>
      <c r="BC35" s="102"/>
      <c r="BD35" s="267"/>
      <c r="BE35" s="267"/>
      <c r="BF35" s="989"/>
      <c r="BG35" s="267"/>
      <c r="BH35" s="246"/>
      <c r="BI35" s="246"/>
      <c r="BJ35" s="246"/>
      <c r="CD35" s="298"/>
      <c r="CE35" s="298"/>
    </row>
    <row r="36" spans="1:83" s="67" customFormat="1" ht="12.75" customHeight="1" x14ac:dyDescent="0.2">
      <c r="A36" s="279"/>
      <c r="B36" s="269"/>
      <c r="C36" s="439" t="str">
        <f ca="1">FIXED($BD$37,3)&amp;BE37</f>
        <v>0.120" [3.0mm]</v>
      </c>
      <c r="D36" s="289"/>
      <c r="E36" s="217"/>
      <c r="F36" s="289"/>
      <c r="G36" s="217"/>
      <c r="H36" s="290"/>
      <c r="I36" s="217"/>
      <c r="J36" s="217"/>
      <c r="K36" s="266"/>
      <c r="L36" s="272"/>
      <c r="M36" s="272"/>
      <c r="N36" s="995" t="str">
        <f ca="1">"Max probe area is "&amp;FIXED(BL20,2)&amp;" x "&amp;FIXED(BM20,2)&amp;" mm"</f>
        <v>Max probe area is 5.34 x 5.34 mm</v>
      </c>
      <c r="O36" s="272"/>
      <c r="P36" s="272"/>
      <c r="Q36" s="272"/>
      <c r="R36" s="282"/>
      <c r="S36" s="232"/>
      <c r="T36" s="250"/>
      <c r="U36" s="250"/>
      <c r="V36" s="1674"/>
      <c r="W36" s="1675"/>
      <c r="X36" s="1675"/>
      <c r="Y36" s="1676"/>
      <c r="Z36" s="279"/>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76" t="s">
        <v>280</v>
      </c>
      <c r="BB36" s="277" t="s">
        <v>281</v>
      </c>
      <c r="BC36" s="277" t="s">
        <v>282</v>
      </c>
      <c r="BD36" s="277" t="s">
        <v>283</v>
      </c>
      <c r="BE36" s="277" t="s">
        <v>284</v>
      </c>
      <c r="BF36" s="278" t="s">
        <v>285</v>
      </c>
      <c r="BH36" s="6"/>
      <c r="BI36" s="6"/>
      <c r="BJ36" s="6"/>
      <c r="CD36" s="298"/>
      <c r="CE36" s="298"/>
    </row>
    <row r="37" spans="1:83" s="67" customFormat="1" ht="12.75" customHeight="1" thickBot="1" x14ac:dyDescent="0.25">
      <c r="A37" s="279"/>
      <c r="B37" s="291"/>
      <c r="C37" s="1000" t="str">
        <f ca="1">IF($BD$37&lt;0.05,"Probe Depth Warning!","")</f>
        <v/>
      </c>
      <c r="D37" s="292"/>
      <c r="E37" s="292"/>
      <c r="F37" s="292"/>
      <c r="G37" s="292"/>
      <c r="H37" s="292"/>
      <c r="I37" s="292"/>
      <c r="J37" s="292"/>
      <c r="K37" s="292"/>
      <c r="L37" s="293"/>
      <c r="M37" s="293"/>
      <c r="N37" s="293"/>
      <c r="O37" s="293"/>
      <c r="P37" s="293"/>
      <c r="Q37" s="293"/>
      <c r="R37" s="293"/>
      <c r="S37" s="292"/>
      <c r="T37" s="292"/>
      <c r="U37" s="292"/>
      <c r="V37" s="294"/>
      <c r="W37" s="294"/>
      <c r="X37" s="294"/>
      <c r="Y37" s="295"/>
      <c r="Z37" s="279"/>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86" t="str">
        <f>H27</f>
        <v>Deep</v>
      </c>
      <c r="BB37" s="287">
        <f ca="1">HLOOKUP(BA37,BD19:BH20,2,0)</f>
        <v>0.245</v>
      </c>
      <c r="BC37" s="287" t="str">
        <f ca="1">CHAR(34)&amp;" ["&amp;FIXED(BB37*25.4,1)&amp;"mm]"</f>
        <v>" [6.2mm]</v>
      </c>
      <c r="BD37" s="287">
        <f ca="1">IF(BB40,BB37+BB43,BB37-BB41+BF37)*(BB37&lt;&gt;0)</f>
        <v>0.12</v>
      </c>
      <c r="BE37" s="287" t="str">
        <f ca="1">CHAR(34)&amp;" ["&amp;FIXED(BD37*25.4,1)&amp;"mm]"</f>
        <v>" [3.0mm]</v>
      </c>
      <c r="BF37" s="288">
        <f ca="1">'Cover Page'!BK37</f>
        <v>0</v>
      </c>
      <c r="BH37" s="6"/>
      <c r="BI37" s="6"/>
      <c r="BJ37" s="6"/>
      <c r="CD37" s="298"/>
      <c r="CE37" s="298"/>
    </row>
    <row r="38" spans="1:83" s="67" customFormat="1" ht="12.75" customHeight="1" x14ac:dyDescent="0.2">
      <c r="A38" s="279"/>
      <c r="Z38" s="279"/>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H38" s="6"/>
      <c r="BI38" s="6"/>
      <c r="BJ38" s="6"/>
      <c r="CD38" s="298"/>
      <c r="CE38" s="298"/>
    </row>
    <row r="39" spans="1:83" s="67" customFormat="1" ht="12.75" customHeight="1" x14ac:dyDescent="0.2">
      <c r="B39" s="136" t="s">
        <v>286</v>
      </c>
      <c r="C39" s="296"/>
      <c r="F39" s="1250"/>
      <c r="G39" s="1250"/>
      <c r="H39" s="1271"/>
      <c r="I39" s="1272"/>
      <c r="J39" s="1250"/>
      <c r="K39" s="1250"/>
      <c r="L39" s="1250"/>
      <c r="M39" s="1250"/>
      <c r="N39" s="1250"/>
      <c r="O39" s="1250"/>
      <c r="P39" s="1250"/>
      <c r="Q39" s="1250"/>
      <c r="R39" s="1250"/>
      <c r="S39" s="1250"/>
      <c r="T39" s="1250"/>
      <c r="U39" s="1250"/>
      <c r="V39" s="1250"/>
      <c r="W39" s="1273" t="s">
        <v>901</v>
      </c>
      <c r="X39" s="1651"/>
      <c r="Y39" s="1652"/>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130" t="s">
        <v>287</v>
      </c>
      <c r="BB39" s="8"/>
      <c r="BC39" s="8"/>
      <c r="BH39" s="6"/>
      <c r="BI39" s="6"/>
      <c r="BJ39" s="6"/>
      <c r="CD39" s="298"/>
      <c r="CE39" s="298"/>
    </row>
    <row r="40" spans="1:83" s="67" customFormat="1" ht="27.95" customHeight="1" x14ac:dyDescent="0.2">
      <c r="B40" s="297">
        <v>1</v>
      </c>
      <c r="C40" s="1661"/>
      <c r="D40" s="1677"/>
      <c r="E40" s="1677"/>
      <c r="F40" s="1677"/>
      <c r="G40" s="1677"/>
      <c r="H40" s="1677"/>
      <c r="I40" s="1677"/>
      <c r="J40" s="1677"/>
      <c r="K40" s="1677"/>
      <c r="L40" s="1677"/>
      <c r="M40" s="1677"/>
      <c r="N40" s="1677"/>
      <c r="O40" s="1677"/>
      <c r="P40" s="1677"/>
      <c r="Q40" s="1677"/>
      <c r="R40" s="1677"/>
      <c r="S40" s="1677"/>
      <c r="T40" s="1677"/>
      <c r="U40" s="1677"/>
      <c r="V40" s="1677"/>
      <c r="W40" s="1677"/>
      <c r="X40" s="1677"/>
      <c r="Y40" s="1678"/>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116" t="s">
        <v>288</v>
      </c>
      <c r="BB40" s="249">
        <f ca="1">'Cover Page'!BE37</f>
        <v>0</v>
      </c>
      <c r="BC40" s="249"/>
      <c r="BD40" s="6"/>
      <c r="BE40" s="6"/>
      <c r="BF40" s="6"/>
      <c r="BG40" s="6"/>
      <c r="BH40" s="6"/>
      <c r="BI40" s="6"/>
      <c r="BJ40" s="6"/>
      <c r="CD40" s="298"/>
      <c r="CE40" s="298"/>
    </row>
    <row r="41" spans="1:83" s="67" customFormat="1" ht="27.95" customHeight="1" x14ac:dyDescent="0.2">
      <c r="B41" s="297">
        <f>B40+1</f>
        <v>2</v>
      </c>
      <c r="C41" s="1661"/>
      <c r="D41" s="1662"/>
      <c r="E41" s="1662"/>
      <c r="F41" s="1662"/>
      <c r="G41" s="1662"/>
      <c r="H41" s="1662"/>
      <c r="I41" s="1662"/>
      <c r="J41" s="1662"/>
      <c r="K41" s="1662"/>
      <c r="L41" s="1662"/>
      <c r="M41" s="1662"/>
      <c r="N41" s="1662"/>
      <c r="O41" s="1662"/>
      <c r="P41" s="1662"/>
      <c r="Q41" s="1662"/>
      <c r="R41" s="1662"/>
      <c r="S41" s="1662"/>
      <c r="T41" s="1662"/>
      <c r="U41" s="1662"/>
      <c r="V41" s="1662"/>
      <c r="W41" s="1662"/>
      <c r="X41" s="1662"/>
      <c r="Y41" s="1663"/>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116" t="s">
        <v>289</v>
      </c>
      <c r="BB41" s="249">
        <f ca="1">'Cover Page'!BG37</f>
        <v>0.125</v>
      </c>
      <c r="BC41" s="249" t="str">
        <f ca="1">'Cover Page'!BH37</f>
        <v>" [3.2mm]</v>
      </c>
      <c r="BD41" s="6"/>
      <c r="BE41" s="6"/>
      <c r="BF41" s="6"/>
      <c r="BG41" s="6"/>
      <c r="BH41" s="6"/>
      <c r="BI41" s="6"/>
      <c r="BJ41" s="6"/>
      <c r="CD41" s="298"/>
      <c r="CE41" s="298"/>
    </row>
    <row r="42" spans="1:83" s="67" customFormat="1" ht="27.95" customHeight="1" x14ac:dyDescent="0.2">
      <c r="B42" s="297">
        <f t="shared" ref="B42:B59" si="5">B41+1</f>
        <v>3</v>
      </c>
      <c r="C42" s="1648"/>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50"/>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116" t="s">
        <v>290</v>
      </c>
      <c r="BB42" s="249">
        <f ca="1">'Cover Page'!BI37</f>
        <v>0</v>
      </c>
      <c r="BC42" s="249" t="str">
        <f ca="1">'Cover Page'!BJ37</f>
        <v>" [0.0mm]</v>
      </c>
      <c r="BD42" s="6"/>
      <c r="BE42" s="6"/>
      <c r="BF42" s="6"/>
      <c r="BG42" s="6"/>
      <c r="BH42" s="6"/>
      <c r="BI42" s="6"/>
      <c r="BJ42" s="6"/>
      <c r="CD42" s="298"/>
      <c r="CE42" s="298"/>
    </row>
    <row r="43" spans="1:83" s="67" customFormat="1" ht="27.95" customHeight="1" x14ac:dyDescent="0.2">
      <c r="B43" s="297">
        <f t="shared" si="5"/>
        <v>4</v>
      </c>
      <c r="C43" s="1648"/>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50"/>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116" t="s">
        <v>291</v>
      </c>
      <c r="BB43" s="249">
        <f ca="1">'Cover Page'!BF37</f>
        <v>0</v>
      </c>
      <c r="BC43" s="249"/>
      <c r="BD43" s="6"/>
      <c r="BE43" s="6"/>
      <c r="BF43" s="6"/>
      <c r="BG43" s="6"/>
      <c r="BH43" s="6"/>
      <c r="BI43" s="6"/>
      <c r="BJ43" s="6"/>
      <c r="CD43" s="298"/>
      <c r="CE43" s="298"/>
    </row>
    <row r="44" spans="1:83" s="67" customFormat="1" ht="27.95" customHeight="1" x14ac:dyDescent="0.2">
      <c r="B44" s="297">
        <f t="shared" si="5"/>
        <v>5</v>
      </c>
      <c r="C44" s="1648"/>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50"/>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6"/>
      <c r="BB44" s="298"/>
      <c r="BC44" s="6"/>
      <c r="BD44" s="6"/>
      <c r="BE44" s="6"/>
      <c r="BF44" s="6"/>
      <c r="BG44" s="6"/>
      <c r="BH44" s="6"/>
      <c r="BI44" s="6"/>
      <c r="BJ44" s="6"/>
      <c r="CD44" s="298"/>
      <c r="CE44" s="298"/>
    </row>
    <row r="45" spans="1:83" s="67" customFormat="1" ht="27.95" customHeight="1" x14ac:dyDescent="0.2">
      <c r="B45" s="297">
        <f t="shared" si="5"/>
        <v>6</v>
      </c>
      <c r="C45" s="1648"/>
      <c r="D45" s="1649"/>
      <c r="E45" s="1649"/>
      <c r="F45" s="1649"/>
      <c r="G45" s="1649"/>
      <c r="H45" s="1649"/>
      <c r="I45" s="1649"/>
      <c r="J45" s="1649"/>
      <c r="K45" s="1649"/>
      <c r="L45" s="1649"/>
      <c r="M45" s="1649"/>
      <c r="N45" s="1649"/>
      <c r="O45" s="1649"/>
      <c r="P45" s="1649"/>
      <c r="Q45" s="1649"/>
      <c r="R45" s="1649"/>
      <c r="S45" s="1649"/>
      <c r="T45" s="1649"/>
      <c r="U45" s="1649"/>
      <c r="V45" s="1649"/>
      <c r="W45" s="1649"/>
      <c r="X45" s="1649"/>
      <c r="Y45" s="1650"/>
      <c r="AA45" s="215"/>
      <c r="AB45" s="215"/>
      <c r="AC45" s="215"/>
      <c r="AD45" s="299"/>
      <c r="AE45" s="299"/>
      <c r="AF45" s="299"/>
      <c r="AG45" s="299"/>
      <c r="AH45" s="215"/>
      <c r="AI45" s="215"/>
      <c r="AJ45" s="215"/>
      <c r="AK45" s="215"/>
      <c r="AL45" s="215"/>
      <c r="AM45" s="215"/>
      <c r="AN45" s="215"/>
      <c r="AO45" s="215"/>
      <c r="AP45" s="215"/>
      <c r="AQ45" s="215"/>
      <c r="AR45" s="215"/>
      <c r="AS45" s="215"/>
      <c r="AT45" s="215"/>
      <c r="AU45" s="215"/>
      <c r="AV45" s="215"/>
      <c r="AW45" s="215"/>
      <c r="AX45" s="215"/>
      <c r="AY45" s="215"/>
      <c r="AZ45" s="215"/>
      <c r="BA45" s="6"/>
      <c r="BB45" s="298"/>
      <c r="BC45" s="6"/>
      <c r="BD45" s="6"/>
      <c r="BE45" s="6"/>
      <c r="BF45" s="6"/>
      <c r="BG45" s="6"/>
      <c r="BH45" s="6"/>
      <c r="BI45" s="6"/>
      <c r="BJ45" s="6"/>
      <c r="CD45" s="298"/>
      <c r="CE45" s="298"/>
    </row>
    <row r="46" spans="1:83" s="67" customFormat="1" ht="27.95" customHeight="1" x14ac:dyDescent="0.2">
      <c r="B46" s="297">
        <f t="shared" si="5"/>
        <v>7</v>
      </c>
      <c r="C46" s="1648"/>
      <c r="D46" s="1649"/>
      <c r="E46" s="1649"/>
      <c r="F46" s="1649"/>
      <c r="G46" s="1649"/>
      <c r="H46" s="1649"/>
      <c r="I46" s="1649"/>
      <c r="J46" s="1649"/>
      <c r="K46" s="1649"/>
      <c r="L46" s="1649"/>
      <c r="M46" s="1649"/>
      <c r="N46" s="1649"/>
      <c r="O46" s="1649"/>
      <c r="P46" s="1649"/>
      <c r="Q46" s="1649"/>
      <c r="R46" s="1649"/>
      <c r="S46" s="1649"/>
      <c r="T46" s="1649"/>
      <c r="U46" s="1649"/>
      <c r="V46" s="1649"/>
      <c r="W46" s="1649"/>
      <c r="X46" s="1649"/>
      <c r="Y46" s="1650"/>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6"/>
      <c r="BB46" s="298"/>
      <c r="BC46" s="6"/>
      <c r="BD46" s="6"/>
      <c r="BE46" s="6"/>
      <c r="BF46" s="6"/>
      <c r="BG46" s="6"/>
      <c r="BH46" s="6"/>
      <c r="BI46" s="6"/>
      <c r="BJ46" s="6"/>
      <c r="CD46" s="298"/>
      <c r="CE46" s="298"/>
    </row>
    <row r="47" spans="1:83" s="67" customFormat="1" ht="27.95" customHeight="1" x14ac:dyDescent="0.2">
      <c r="B47" s="297">
        <f t="shared" si="5"/>
        <v>8</v>
      </c>
      <c r="C47" s="1648"/>
      <c r="D47" s="1649"/>
      <c r="E47" s="1649"/>
      <c r="F47" s="1649"/>
      <c r="G47" s="1649"/>
      <c r="H47" s="1649"/>
      <c r="I47" s="1649"/>
      <c r="J47" s="1649"/>
      <c r="K47" s="1649"/>
      <c r="L47" s="1649"/>
      <c r="M47" s="1649"/>
      <c r="N47" s="1649"/>
      <c r="O47" s="1649"/>
      <c r="P47" s="1649"/>
      <c r="Q47" s="1649"/>
      <c r="R47" s="1649"/>
      <c r="S47" s="1649"/>
      <c r="T47" s="1649"/>
      <c r="U47" s="1649"/>
      <c r="V47" s="1649"/>
      <c r="W47" s="1649"/>
      <c r="X47" s="1649"/>
      <c r="Y47" s="1650"/>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6"/>
      <c r="BB47" s="298"/>
      <c r="BC47" s="6"/>
      <c r="BD47" s="6"/>
      <c r="BE47" s="6"/>
      <c r="BF47" s="6"/>
      <c r="BG47" s="6"/>
      <c r="BH47" s="6"/>
      <c r="BI47" s="6"/>
      <c r="BJ47" s="6"/>
      <c r="CD47" s="298"/>
      <c r="CE47" s="298"/>
    </row>
    <row r="48" spans="1:83" s="67" customFormat="1" ht="27.95" customHeight="1" x14ac:dyDescent="0.2">
      <c r="B48" s="297">
        <f t="shared" si="5"/>
        <v>9</v>
      </c>
      <c r="C48" s="1648"/>
      <c r="D48" s="1649"/>
      <c r="E48" s="1649"/>
      <c r="F48" s="1649"/>
      <c r="G48" s="1649"/>
      <c r="H48" s="1649"/>
      <c r="I48" s="1649"/>
      <c r="J48" s="1649"/>
      <c r="K48" s="1649"/>
      <c r="L48" s="1649"/>
      <c r="M48" s="1649"/>
      <c r="N48" s="1649"/>
      <c r="O48" s="1649"/>
      <c r="P48" s="1649"/>
      <c r="Q48" s="1649"/>
      <c r="R48" s="1649"/>
      <c r="S48" s="1649"/>
      <c r="T48" s="1649"/>
      <c r="U48" s="1649"/>
      <c r="V48" s="1649"/>
      <c r="W48" s="1649"/>
      <c r="X48" s="1649"/>
      <c r="Y48" s="1650"/>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6"/>
      <c r="BB48" s="298"/>
      <c r="BC48" s="6"/>
      <c r="BD48" s="6"/>
      <c r="BE48" s="6"/>
      <c r="BF48" s="6"/>
      <c r="BG48" s="6"/>
      <c r="BH48" s="6"/>
      <c r="BI48" s="6"/>
      <c r="BJ48" s="6"/>
      <c r="CD48" s="298"/>
      <c r="CE48" s="298"/>
    </row>
    <row r="49" spans="2:83" s="67" customFormat="1" ht="27.95" customHeight="1" x14ac:dyDescent="0.2">
      <c r="B49" s="297">
        <f t="shared" si="5"/>
        <v>10</v>
      </c>
      <c r="C49" s="1648"/>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50"/>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6"/>
      <c r="BB49" s="298"/>
      <c r="BC49" s="6"/>
      <c r="BD49" s="6"/>
      <c r="BE49" s="6"/>
      <c r="BF49" s="6"/>
      <c r="BG49" s="6"/>
      <c r="BH49" s="6"/>
      <c r="BI49" s="6"/>
      <c r="BJ49" s="6"/>
      <c r="CD49" s="298"/>
      <c r="CE49" s="298"/>
    </row>
    <row r="50" spans="2:83" s="67" customFormat="1" ht="27.95" customHeight="1" x14ac:dyDescent="0.2">
      <c r="B50" s="297">
        <f t="shared" si="5"/>
        <v>11</v>
      </c>
      <c r="C50" s="1648"/>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50"/>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6"/>
      <c r="BB50" s="298"/>
      <c r="BC50" s="6"/>
      <c r="BD50" s="6"/>
      <c r="BE50" s="6"/>
      <c r="BF50" s="6"/>
      <c r="BG50" s="6"/>
      <c r="BH50" s="6"/>
      <c r="BI50" s="6"/>
      <c r="BJ50" s="6"/>
      <c r="CD50" s="298"/>
      <c r="CE50" s="298"/>
    </row>
    <row r="51" spans="2:83" s="67" customFormat="1" ht="27.95" customHeight="1" x14ac:dyDescent="0.2">
      <c r="B51" s="297">
        <f t="shared" si="5"/>
        <v>12</v>
      </c>
      <c r="C51" s="1648"/>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50"/>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6"/>
      <c r="BB51" s="298"/>
      <c r="BC51" s="6"/>
      <c r="BD51" s="6"/>
      <c r="BE51" s="6"/>
      <c r="BF51" s="6"/>
      <c r="BG51" s="6"/>
      <c r="BH51" s="6"/>
      <c r="BI51" s="6"/>
      <c r="BJ51" s="6"/>
      <c r="CD51" s="298"/>
      <c r="CE51" s="298"/>
    </row>
    <row r="52" spans="2:83" s="67" customFormat="1" ht="27.95" customHeight="1" x14ac:dyDescent="0.2">
      <c r="B52" s="297">
        <f t="shared" si="5"/>
        <v>13</v>
      </c>
      <c r="C52" s="1648"/>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50"/>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6"/>
      <c r="BB52" s="298"/>
      <c r="BC52" s="6"/>
      <c r="BD52" s="6"/>
      <c r="BE52" s="6"/>
      <c r="BF52" s="6"/>
      <c r="BG52" s="6"/>
      <c r="BH52" s="6"/>
      <c r="BI52" s="6"/>
      <c r="BJ52" s="6"/>
      <c r="CD52" s="298"/>
      <c r="CE52" s="298"/>
    </row>
    <row r="53" spans="2:83" s="67" customFormat="1" ht="27.95" customHeight="1" x14ac:dyDescent="0.2">
      <c r="B53" s="297">
        <f t="shared" si="5"/>
        <v>14</v>
      </c>
      <c r="C53" s="1648"/>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50"/>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6"/>
      <c r="BB53" s="298"/>
      <c r="BC53" s="6"/>
      <c r="BD53" s="6"/>
      <c r="BE53" s="6"/>
      <c r="BF53" s="6"/>
      <c r="BG53" s="6"/>
      <c r="BH53" s="6"/>
      <c r="BI53" s="6"/>
      <c r="BJ53" s="6"/>
      <c r="CD53" s="298"/>
      <c r="CE53" s="298"/>
    </row>
    <row r="54" spans="2:83" s="67" customFormat="1" ht="27.95" customHeight="1" x14ac:dyDescent="0.2">
      <c r="B54" s="297">
        <f t="shared" si="5"/>
        <v>15</v>
      </c>
      <c r="C54" s="1648"/>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50"/>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6"/>
      <c r="BB54" s="298"/>
      <c r="BC54" s="6"/>
      <c r="BD54" s="6"/>
      <c r="BE54" s="6"/>
      <c r="BF54" s="6"/>
      <c r="BG54" s="6"/>
      <c r="BH54" s="6"/>
      <c r="BI54" s="6"/>
      <c r="BJ54" s="6"/>
      <c r="CD54" s="298"/>
      <c r="CE54" s="298"/>
    </row>
    <row r="55" spans="2:83" s="67" customFormat="1" ht="27.95" customHeight="1" x14ac:dyDescent="0.2">
      <c r="B55" s="297">
        <f t="shared" si="5"/>
        <v>16</v>
      </c>
      <c r="C55" s="1648"/>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50"/>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6"/>
      <c r="BB55" s="298"/>
      <c r="BC55" s="6"/>
      <c r="BD55" s="6"/>
      <c r="BE55" s="6"/>
      <c r="BF55" s="6"/>
      <c r="BG55" s="6"/>
      <c r="BH55" s="6"/>
      <c r="BI55" s="6"/>
      <c r="BJ55" s="6"/>
      <c r="CD55" s="298"/>
      <c r="CE55" s="298"/>
    </row>
    <row r="56" spans="2:83" s="67" customFormat="1" ht="27.95" customHeight="1" x14ac:dyDescent="0.2">
      <c r="B56" s="297">
        <f t="shared" si="5"/>
        <v>17</v>
      </c>
      <c r="C56" s="1648"/>
      <c r="D56" s="1649"/>
      <c r="E56" s="1649"/>
      <c r="F56" s="1649"/>
      <c r="G56" s="1649"/>
      <c r="H56" s="1649"/>
      <c r="I56" s="1649"/>
      <c r="J56" s="1649"/>
      <c r="K56" s="1649"/>
      <c r="L56" s="1649"/>
      <c r="M56" s="1649"/>
      <c r="N56" s="1649"/>
      <c r="O56" s="1649"/>
      <c r="P56" s="1649"/>
      <c r="Q56" s="1649"/>
      <c r="R56" s="1649"/>
      <c r="S56" s="1649"/>
      <c r="T56" s="1649"/>
      <c r="U56" s="1649"/>
      <c r="V56" s="1649"/>
      <c r="W56" s="1649"/>
      <c r="X56" s="1649"/>
      <c r="Y56" s="1650"/>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6"/>
      <c r="BB56" s="298"/>
      <c r="BC56" s="6"/>
      <c r="BD56" s="6"/>
      <c r="BE56" s="6"/>
      <c r="BF56" s="6"/>
      <c r="BG56" s="6"/>
      <c r="BH56" s="6"/>
      <c r="BI56" s="6"/>
      <c r="BJ56" s="6"/>
      <c r="CD56" s="298"/>
      <c r="CE56" s="298"/>
    </row>
    <row r="57" spans="2:83" s="67" customFormat="1" ht="27.95" customHeight="1" x14ac:dyDescent="0.2">
      <c r="B57" s="297">
        <f t="shared" si="5"/>
        <v>18</v>
      </c>
      <c r="C57" s="1648"/>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50"/>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6"/>
      <c r="BB57" s="298"/>
      <c r="BC57" s="6"/>
      <c r="BD57" s="6"/>
      <c r="BE57" s="6"/>
      <c r="BF57" s="6"/>
      <c r="BG57" s="6"/>
      <c r="BH57" s="6"/>
      <c r="BI57" s="6"/>
      <c r="BJ57" s="6"/>
      <c r="CD57" s="298"/>
      <c r="CE57" s="298"/>
    </row>
    <row r="58" spans="2:83" s="67" customFormat="1" ht="27.95" customHeight="1" x14ac:dyDescent="0.2">
      <c r="B58" s="297">
        <f t="shared" si="5"/>
        <v>19</v>
      </c>
      <c r="C58" s="1648"/>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50"/>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6"/>
      <c r="BB58" s="298"/>
      <c r="BC58" s="6"/>
      <c r="BD58" s="6"/>
      <c r="BE58" s="6"/>
      <c r="BF58" s="6"/>
      <c r="BG58" s="6"/>
      <c r="BH58" s="6"/>
      <c r="BI58" s="6"/>
      <c r="BJ58" s="6"/>
      <c r="CD58" s="298"/>
      <c r="CE58" s="298"/>
    </row>
    <row r="59" spans="2:83" s="67" customFormat="1" ht="27.95" customHeight="1" x14ac:dyDescent="0.2">
      <c r="B59" s="297">
        <f t="shared" si="5"/>
        <v>20</v>
      </c>
      <c r="C59" s="1648"/>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50"/>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6"/>
      <c r="BB59" s="298"/>
      <c r="BC59" s="6"/>
      <c r="BD59" s="6"/>
      <c r="BE59" s="6"/>
      <c r="BF59" s="6"/>
      <c r="BG59" s="6"/>
      <c r="BH59" s="6"/>
      <c r="BI59" s="6"/>
      <c r="BJ59" s="6"/>
      <c r="CD59" s="298"/>
      <c r="CE59" s="298"/>
    </row>
    <row r="60" spans="2:83" s="67" customFormat="1" x14ac:dyDescent="0.2">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6"/>
      <c r="BB60" s="298"/>
      <c r="BC60" s="6"/>
      <c r="BD60" s="6"/>
      <c r="BE60" s="6"/>
      <c r="BF60" s="6"/>
      <c r="BG60" s="6"/>
      <c r="BH60" s="6"/>
      <c r="BI60" s="6"/>
      <c r="BJ60" s="6"/>
      <c r="CD60" s="298"/>
      <c r="CE60" s="298"/>
    </row>
    <row r="61" spans="2:83" s="67" customFormat="1" x14ac:dyDescent="0.2">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6"/>
      <c r="BB61" s="298"/>
      <c r="BC61" s="6"/>
      <c r="BD61" s="6"/>
      <c r="BE61" s="6"/>
      <c r="BF61" s="6"/>
      <c r="BG61" s="6"/>
      <c r="BH61" s="6"/>
      <c r="BI61" s="6"/>
      <c r="BJ61" s="6"/>
      <c r="CD61" s="298"/>
      <c r="CE61" s="298"/>
    </row>
    <row r="62" spans="2:83" s="67" customFormat="1" x14ac:dyDescent="0.2">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6"/>
      <c r="BB62" s="298"/>
      <c r="BC62" s="6"/>
      <c r="BD62" s="6"/>
      <c r="BE62" s="6"/>
      <c r="BF62" s="6"/>
      <c r="BG62" s="6"/>
      <c r="BH62" s="6"/>
      <c r="BI62" s="6"/>
      <c r="BJ62" s="6"/>
      <c r="CD62" s="298"/>
      <c r="CE62" s="298"/>
    </row>
    <row r="63" spans="2:83" s="67" customFormat="1" x14ac:dyDescent="0.2">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6"/>
      <c r="BB63" s="298"/>
      <c r="BC63" s="6"/>
      <c r="BD63" s="6"/>
      <c r="BE63" s="6"/>
      <c r="BF63" s="6"/>
      <c r="BG63" s="6"/>
      <c r="BH63" s="6"/>
      <c r="BI63" s="6"/>
      <c r="BJ63" s="6"/>
      <c r="CD63" s="298"/>
      <c r="CE63" s="298"/>
    </row>
    <row r="64" spans="2:83" s="67" customFormat="1" x14ac:dyDescent="0.2">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6"/>
      <c r="BB64" s="298"/>
      <c r="BC64" s="6"/>
      <c r="BD64" s="6"/>
      <c r="BE64" s="6"/>
      <c r="BF64" s="6"/>
      <c r="BG64" s="6"/>
      <c r="BH64" s="6"/>
      <c r="BI64" s="6"/>
      <c r="BJ64" s="6"/>
      <c r="CD64" s="298"/>
      <c r="CE64" s="298"/>
    </row>
    <row r="65" spans="27:83" s="67" customFormat="1" x14ac:dyDescent="0.2">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6"/>
      <c r="BB65" s="298"/>
      <c r="BC65" s="6"/>
      <c r="BD65" s="6"/>
      <c r="BE65" s="6"/>
      <c r="BF65" s="6"/>
      <c r="BG65" s="6"/>
      <c r="BH65" s="6"/>
      <c r="BI65" s="6"/>
      <c r="BJ65" s="6"/>
      <c r="CD65" s="298"/>
      <c r="CE65" s="298"/>
    </row>
    <row r="66" spans="27:83" s="67" customFormat="1" x14ac:dyDescent="0.2">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6"/>
      <c r="BB66" s="298"/>
      <c r="BC66" s="6"/>
      <c r="BD66" s="6"/>
      <c r="BE66" s="6"/>
      <c r="BF66" s="6"/>
      <c r="BG66" s="6"/>
      <c r="BH66" s="6"/>
      <c r="BI66" s="6"/>
      <c r="BJ66" s="6"/>
      <c r="CD66" s="298"/>
      <c r="CE66" s="298"/>
    </row>
    <row r="67" spans="27:83" s="67" customFormat="1" x14ac:dyDescent="0.2">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6"/>
      <c r="BB67" s="298"/>
      <c r="BC67" s="6"/>
      <c r="BD67" s="6"/>
      <c r="BE67" s="6"/>
      <c r="BF67" s="6"/>
      <c r="BG67" s="6"/>
      <c r="BH67" s="6"/>
      <c r="BI67" s="6"/>
      <c r="BJ67" s="6"/>
      <c r="CD67" s="298"/>
      <c r="CE67" s="298"/>
    </row>
    <row r="68" spans="27:83" s="67" customFormat="1" x14ac:dyDescent="0.2">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6"/>
      <c r="BB68" s="298"/>
      <c r="BC68" s="6"/>
      <c r="BD68" s="6"/>
      <c r="BE68" s="6"/>
      <c r="BF68" s="6"/>
      <c r="BG68" s="6"/>
      <c r="BH68" s="6"/>
      <c r="BI68" s="6"/>
      <c r="BJ68" s="6"/>
      <c r="CD68" s="298"/>
      <c r="CE68" s="298"/>
    </row>
    <row r="69" spans="27:83" s="67" customFormat="1" x14ac:dyDescent="0.2">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6"/>
      <c r="BB69" s="298"/>
      <c r="BC69" s="6"/>
      <c r="BD69" s="6"/>
      <c r="BE69" s="6"/>
      <c r="BF69" s="6"/>
      <c r="BG69" s="6"/>
      <c r="BH69" s="6"/>
      <c r="BI69" s="6"/>
      <c r="BJ69" s="6"/>
      <c r="CD69" s="298"/>
      <c r="CE69" s="298"/>
    </row>
    <row r="70" spans="27:83" s="67" customFormat="1" x14ac:dyDescent="0.2">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6"/>
      <c r="BB70" s="298"/>
      <c r="BC70" s="6"/>
      <c r="BD70" s="6"/>
      <c r="BE70" s="6"/>
      <c r="BF70" s="6"/>
      <c r="BG70" s="6"/>
      <c r="BH70" s="6"/>
      <c r="BI70" s="6"/>
      <c r="BJ70" s="6"/>
      <c r="CD70" s="298"/>
      <c r="CE70" s="298"/>
    </row>
    <row r="71" spans="27:83" s="67" customFormat="1" x14ac:dyDescent="0.2">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6"/>
      <c r="BB71" s="298"/>
      <c r="BC71" s="6"/>
      <c r="BD71" s="6"/>
      <c r="BE71" s="6"/>
      <c r="BF71" s="6"/>
      <c r="BG71" s="6"/>
      <c r="BH71" s="6"/>
      <c r="BI71" s="6"/>
      <c r="BJ71" s="6"/>
      <c r="CD71" s="298"/>
      <c r="CE71" s="298"/>
    </row>
    <row r="72" spans="27:83" s="67" customFormat="1" x14ac:dyDescent="0.2">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6"/>
      <c r="BB72" s="298"/>
      <c r="BC72" s="6"/>
      <c r="BD72" s="6"/>
      <c r="BE72" s="6"/>
      <c r="BF72" s="6"/>
      <c r="BG72" s="6"/>
      <c r="BH72" s="6"/>
      <c r="BI72" s="6"/>
      <c r="BJ72" s="6"/>
      <c r="CD72" s="298"/>
      <c r="CE72" s="298"/>
    </row>
    <row r="73" spans="27:83" s="67" customFormat="1" x14ac:dyDescent="0.2">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6"/>
      <c r="BB73" s="298"/>
      <c r="BC73" s="6"/>
      <c r="BD73" s="6"/>
      <c r="BE73" s="6"/>
      <c r="BF73" s="6"/>
      <c r="BG73" s="6"/>
      <c r="BH73" s="6"/>
      <c r="BI73" s="6"/>
      <c r="BJ73" s="6"/>
      <c r="CD73" s="298"/>
      <c r="CE73" s="298"/>
    </row>
    <row r="74" spans="27:83" s="67" customFormat="1" x14ac:dyDescent="0.2">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6"/>
      <c r="BB74" s="298"/>
      <c r="BC74" s="6"/>
      <c r="BD74" s="6"/>
      <c r="BE74" s="6"/>
      <c r="BF74" s="6"/>
      <c r="BG74" s="6"/>
      <c r="BH74" s="6"/>
      <c r="BI74" s="6"/>
      <c r="BJ74" s="6"/>
      <c r="CD74" s="298"/>
      <c r="CE74" s="298"/>
    </row>
    <row r="75" spans="27:83" s="67" customFormat="1" x14ac:dyDescent="0.2">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6"/>
      <c r="BB75" s="298"/>
      <c r="BC75" s="6"/>
      <c r="BD75" s="6"/>
      <c r="BE75" s="6"/>
      <c r="BF75" s="6"/>
      <c r="BG75" s="6"/>
      <c r="BH75" s="6"/>
      <c r="BI75" s="6"/>
      <c r="BJ75" s="6"/>
      <c r="CD75" s="298"/>
      <c r="CE75" s="298"/>
    </row>
    <row r="76" spans="27:83" s="67" customFormat="1" x14ac:dyDescent="0.2">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6"/>
      <c r="BB76" s="298"/>
      <c r="BC76" s="6"/>
      <c r="BD76" s="6"/>
      <c r="BE76" s="6"/>
      <c r="BF76" s="6"/>
      <c r="BG76" s="6"/>
      <c r="BH76" s="6"/>
      <c r="BI76" s="6"/>
      <c r="BJ76" s="6"/>
      <c r="CD76" s="298"/>
      <c r="CE76" s="298"/>
    </row>
    <row r="77" spans="27:83" s="67" customFormat="1" x14ac:dyDescent="0.2">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6"/>
      <c r="BB77" s="298"/>
      <c r="BC77" s="6"/>
      <c r="BD77" s="6"/>
      <c r="BE77" s="6"/>
      <c r="BF77" s="6"/>
      <c r="BG77" s="6"/>
      <c r="BH77" s="6"/>
      <c r="BI77" s="6"/>
      <c r="BJ77" s="6"/>
      <c r="CD77" s="298"/>
      <c r="CE77" s="298"/>
    </row>
    <row r="78" spans="27:83" s="67" customFormat="1" x14ac:dyDescent="0.2">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6"/>
      <c r="BB78" s="298"/>
      <c r="BC78" s="6"/>
      <c r="BD78" s="6"/>
      <c r="BE78" s="6"/>
      <c r="BF78" s="6"/>
      <c r="BG78" s="6"/>
      <c r="BH78" s="6"/>
      <c r="BI78" s="6"/>
      <c r="BJ78" s="6"/>
      <c r="CD78" s="298"/>
      <c r="CE78" s="298"/>
    </row>
    <row r="79" spans="27:83" s="67" customFormat="1" x14ac:dyDescent="0.2">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6"/>
      <c r="BB79" s="298"/>
      <c r="BC79" s="6"/>
      <c r="BD79" s="6"/>
      <c r="BE79" s="6"/>
      <c r="BF79" s="6"/>
      <c r="BG79" s="6"/>
      <c r="BH79" s="6"/>
      <c r="BI79" s="6"/>
      <c r="BJ79" s="6"/>
      <c r="CD79" s="298"/>
      <c r="CE79" s="298"/>
    </row>
    <row r="80" spans="27:83" s="67" customFormat="1" x14ac:dyDescent="0.2">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6"/>
      <c r="BB80" s="298"/>
      <c r="BC80" s="6"/>
      <c r="BD80" s="6"/>
      <c r="BE80" s="6"/>
      <c r="BF80" s="6"/>
      <c r="BG80" s="6"/>
      <c r="BH80" s="6"/>
      <c r="BI80" s="6"/>
      <c r="BJ80" s="6"/>
      <c r="CD80" s="298"/>
      <c r="CE80" s="298"/>
    </row>
    <row r="81" spans="27:83" s="67" customFormat="1" x14ac:dyDescent="0.2">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6"/>
      <c r="BB81" s="298"/>
      <c r="BC81" s="6"/>
      <c r="BD81" s="6"/>
      <c r="BE81" s="6"/>
      <c r="BF81" s="6"/>
      <c r="BG81" s="6"/>
      <c r="BH81" s="6"/>
      <c r="BI81" s="6"/>
      <c r="BJ81" s="6"/>
      <c r="CD81" s="298"/>
      <c r="CE81" s="298"/>
    </row>
    <row r="82" spans="27:83" s="67" customFormat="1" x14ac:dyDescent="0.2">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6"/>
      <c r="BB82" s="298"/>
      <c r="BC82" s="6"/>
      <c r="BD82" s="6"/>
      <c r="BE82" s="6"/>
      <c r="BF82" s="6"/>
      <c r="BG82" s="6"/>
      <c r="BH82" s="6"/>
      <c r="BI82" s="6"/>
      <c r="BJ82" s="6"/>
      <c r="CD82" s="298"/>
      <c r="CE82" s="298"/>
    </row>
    <row r="83" spans="27:83" s="67" customFormat="1" x14ac:dyDescent="0.2">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6"/>
      <c r="BB83" s="298"/>
      <c r="BC83" s="6"/>
      <c r="BD83" s="6"/>
      <c r="BE83" s="6"/>
      <c r="BF83" s="6"/>
      <c r="BG83" s="6"/>
      <c r="BH83" s="6"/>
      <c r="BI83" s="6"/>
      <c r="BJ83" s="6"/>
      <c r="CD83" s="298"/>
      <c r="CE83" s="298"/>
    </row>
    <row r="84" spans="27:83" s="67" customFormat="1" x14ac:dyDescent="0.2">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6"/>
      <c r="BB84" s="298"/>
      <c r="BC84" s="6"/>
      <c r="BD84" s="6"/>
      <c r="BE84" s="6"/>
      <c r="BF84" s="6"/>
      <c r="BG84" s="6"/>
      <c r="BH84" s="6"/>
      <c r="BI84" s="6"/>
      <c r="BJ84" s="6"/>
      <c r="CD84" s="298"/>
      <c r="CE84" s="298"/>
    </row>
    <row r="85" spans="27:83" s="67" customFormat="1" x14ac:dyDescent="0.2">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6"/>
      <c r="BB85" s="298"/>
      <c r="BC85" s="6"/>
      <c r="BD85" s="6"/>
      <c r="BE85" s="6"/>
      <c r="BF85" s="6"/>
      <c r="BG85" s="6"/>
      <c r="BH85" s="6"/>
      <c r="BI85" s="6"/>
      <c r="BJ85" s="6"/>
      <c r="CD85" s="298"/>
      <c r="CE85" s="298"/>
    </row>
    <row r="86" spans="27:83" s="67" customFormat="1" x14ac:dyDescent="0.2">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6"/>
      <c r="BB86" s="298"/>
      <c r="BC86" s="6"/>
      <c r="BD86" s="6"/>
      <c r="BE86" s="6"/>
      <c r="BF86" s="6"/>
      <c r="BG86" s="6"/>
      <c r="BH86" s="6"/>
      <c r="BI86" s="6"/>
      <c r="BJ86" s="6"/>
      <c r="CD86" s="298"/>
      <c r="CE86" s="298"/>
    </row>
    <row r="87" spans="27:83" s="67" customFormat="1" x14ac:dyDescent="0.2">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6"/>
      <c r="BB87" s="298"/>
      <c r="BC87" s="6"/>
      <c r="BD87" s="6"/>
      <c r="BE87" s="6"/>
      <c r="BF87" s="6"/>
      <c r="BG87" s="6"/>
      <c r="BH87" s="6"/>
      <c r="BI87" s="6"/>
      <c r="BJ87" s="6"/>
      <c r="CD87" s="298"/>
      <c r="CE87" s="298"/>
    </row>
    <row r="88" spans="27:83" s="67" customFormat="1" x14ac:dyDescent="0.2">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6"/>
      <c r="BB88" s="298"/>
      <c r="BC88" s="6"/>
      <c r="BD88" s="6"/>
      <c r="BE88" s="6"/>
      <c r="BF88" s="6"/>
      <c r="BG88" s="6"/>
      <c r="BH88" s="6"/>
      <c r="BI88" s="6"/>
      <c r="BJ88" s="6"/>
      <c r="CD88" s="298"/>
      <c r="CE88" s="298"/>
    </row>
    <row r="89" spans="27:83" s="67" customFormat="1" x14ac:dyDescent="0.2">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6"/>
      <c r="BB89" s="298"/>
      <c r="BC89" s="6"/>
      <c r="BD89" s="6"/>
      <c r="BE89" s="6"/>
      <c r="BF89" s="6"/>
      <c r="BG89" s="6"/>
      <c r="BH89" s="6"/>
      <c r="BI89" s="6"/>
      <c r="BJ89" s="6"/>
      <c r="CD89" s="298"/>
      <c r="CE89" s="298"/>
    </row>
    <row r="90" spans="27:83" s="67" customFormat="1" x14ac:dyDescent="0.2">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6"/>
      <c r="BB90" s="298"/>
      <c r="BC90" s="6"/>
      <c r="BD90" s="6"/>
      <c r="BE90" s="6"/>
      <c r="BF90" s="6"/>
      <c r="BG90" s="6"/>
      <c r="BH90" s="6"/>
      <c r="BI90" s="6"/>
      <c r="BJ90" s="6"/>
      <c r="CD90" s="298"/>
      <c r="CE90" s="298"/>
    </row>
    <row r="91" spans="27:83" s="67" customFormat="1" x14ac:dyDescent="0.2">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6"/>
      <c r="BB91" s="298"/>
      <c r="BC91" s="6"/>
      <c r="BD91" s="6"/>
      <c r="BE91" s="6"/>
      <c r="BF91" s="6"/>
      <c r="BG91" s="6"/>
      <c r="BH91" s="6"/>
      <c r="BI91" s="6"/>
      <c r="BJ91" s="6"/>
      <c r="CD91" s="298"/>
      <c r="CE91" s="298"/>
    </row>
    <row r="92" spans="27:83" s="67" customFormat="1" x14ac:dyDescent="0.2">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6"/>
      <c r="BB92" s="298"/>
      <c r="BC92" s="6"/>
      <c r="BD92" s="6"/>
      <c r="BE92" s="6"/>
      <c r="BF92" s="6"/>
      <c r="BG92" s="6"/>
      <c r="BH92" s="6"/>
      <c r="BI92" s="6"/>
      <c r="BJ92" s="6"/>
      <c r="CD92" s="298"/>
      <c r="CE92" s="298"/>
    </row>
    <row r="93" spans="27:83" s="67" customFormat="1" x14ac:dyDescent="0.2">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6"/>
      <c r="BB93" s="298"/>
      <c r="BC93" s="6"/>
      <c r="BD93" s="6"/>
      <c r="BE93" s="6"/>
      <c r="BF93" s="6"/>
      <c r="BG93" s="6"/>
      <c r="BH93" s="6"/>
      <c r="BI93" s="6"/>
      <c r="BJ93" s="6"/>
      <c r="CD93" s="298"/>
      <c r="CE93" s="298"/>
    </row>
    <row r="94" spans="27:83" s="67" customFormat="1" x14ac:dyDescent="0.2">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6"/>
      <c r="BB94" s="298"/>
      <c r="BC94" s="6"/>
      <c r="BD94" s="6"/>
      <c r="BE94" s="6"/>
      <c r="BF94" s="6"/>
      <c r="BG94" s="6"/>
      <c r="BH94" s="6"/>
      <c r="BI94" s="6"/>
      <c r="BJ94" s="6"/>
      <c r="CD94" s="298"/>
      <c r="CE94" s="298"/>
    </row>
    <row r="95" spans="27:83" s="67" customFormat="1" x14ac:dyDescent="0.2">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6"/>
      <c r="BB95" s="298"/>
      <c r="BC95" s="6"/>
      <c r="BD95" s="6"/>
      <c r="BE95" s="6"/>
      <c r="BF95" s="6"/>
      <c r="BG95" s="6"/>
      <c r="BH95" s="6"/>
      <c r="BI95" s="6"/>
      <c r="BJ95" s="6"/>
      <c r="CD95" s="298"/>
      <c r="CE95" s="298"/>
    </row>
    <row r="96" spans="27:83" s="67" customFormat="1" x14ac:dyDescent="0.2">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6"/>
      <c r="BB96" s="298"/>
      <c r="BC96" s="6"/>
      <c r="BD96" s="6"/>
      <c r="BE96" s="6"/>
      <c r="BF96" s="6"/>
      <c r="BG96" s="6"/>
      <c r="BH96" s="6"/>
      <c r="BI96" s="6"/>
      <c r="BJ96" s="6"/>
      <c r="CD96" s="298"/>
      <c r="CE96" s="298"/>
    </row>
    <row r="97" spans="27:83" s="67" customFormat="1" x14ac:dyDescent="0.2">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6"/>
      <c r="BB97" s="298"/>
      <c r="BC97" s="6"/>
      <c r="BD97" s="6"/>
      <c r="BE97" s="6"/>
      <c r="BF97" s="6"/>
      <c r="BG97" s="6"/>
      <c r="BH97" s="6"/>
      <c r="BI97" s="6"/>
      <c r="BJ97" s="6"/>
      <c r="CD97" s="298"/>
      <c r="CE97" s="298"/>
    </row>
    <row r="98" spans="27:83" s="67" customFormat="1" x14ac:dyDescent="0.2">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6"/>
      <c r="BB98" s="298"/>
      <c r="BC98" s="6"/>
      <c r="BD98" s="6"/>
      <c r="BE98" s="6"/>
      <c r="BF98" s="6"/>
      <c r="BG98" s="6"/>
      <c r="BH98" s="6"/>
      <c r="BI98" s="6"/>
      <c r="BJ98" s="6"/>
      <c r="CD98" s="298"/>
      <c r="CE98" s="298"/>
    </row>
    <row r="99" spans="27:83" s="67" customFormat="1" x14ac:dyDescent="0.2">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6"/>
      <c r="BB99" s="298"/>
      <c r="BC99" s="6"/>
      <c r="BD99" s="6"/>
      <c r="BE99" s="6"/>
      <c r="BF99" s="6"/>
      <c r="BG99" s="6"/>
      <c r="BH99" s="6"/>
      <c r="BI99" s="6"/>
      <c r="BJ99" s="6"/>
      <c r="CD99" s="298"/>
      <c r="CE99" s="298"/>
    </row>
    <row r="100" spans="27:83" s="67" customFormat="1" x14ac:dyDescent="0.2">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6"/>
      <c r="BB100" s="298"/>
      <c r="BC100" s="6"/>
      <c r="BD100" s="6"/>
      <c r="BE100" s="6"/>
      <c r="BF100" s="6"/>
      <c r="BG100" s="6"/>
      <c r="BH100" s="6"/>
      <c r="BI100" s="6"/>
      <c r="BJ100" s="6"/>
      <c r="CD100" s="298"/>
      <c r="CE100" s="298"/>
    </row>
    <row r="101" spans="27:83" s="67" customFormat="1" x14ac:dyDescent="0.2">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6"/>
      <c r="BB101" s="298"/>
      <c r="BC101" s="6"/>
      <c r="BD101" s="6"/>
      <c r="BE101" s="6"/>
      <c r="BF101" s="6"/>
      <c r="BG101" s="6"/>
      <c r="BH101" s="6"/>
      <c r="BI101" s="6"/>
      <c r="BJ101" s="6"/>
      <c r="CD101" s="298"/>
      <c r="CE101" s="298"/>
    </row>
    <row r="102" spans="27:83" s="67" customFormat="1" x14ac:dyDescent="0.2">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6"/>
      <c r="BB102" s="298"/>
      <c r="BC102" s="6"/>
      <c r="BD102" s="6"/>
      <c r="BE102" s="6"/>
      <c r="BF102" s="6"/>
      <c r="BG102" s="6"/>
      <c r="BH102" s="6"/>
      <c r="BI102" s="6"/>
      <c r="BJ102" s="6"/>
      <c r="CD102" s="298"/>
      <c r="CE102" s="298"/>
    </row>
    <row r="103" spans="27:83" s="67" customFormat="1" x14ac:dyDescent="0.2">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6"/>
      <c r="BB103" s="298"/>
      <c r="BC103" s="6"/>
      <c r="BD103" s="6"/>
      <c r="BE103" s="6"/>
      <c r="BF103" s="6"/>
      <c r="BG103" s="6"/>
      <c r="BH103" s="6"/>
      <c r="BI103" s="6"/>
      <c r="BJ103" s="6"/>
      <c r="CD103" s="298"/>
      <c r="CE103" s="298"/>
    </row>
    <row r="104" spans="27:83" s="67" customFormat="1" x14ac:dyDescent="0.2">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6"/>
      <c r="BB104" s="298"/>
      <c r="BC104" s="6"/>
      <c r="BD104" s="6"/>
      <c r="BE104" s="6"/>
      <c r="BF104" s="6"/>
      <c r="BG104" s="6"/>
      <c r="BH104" s="6"/>
      <c r="BI104" s="6"/>
      <c r="BJ104" s="6"/>
      <c r="CD104" s="298"/>
      <c r="CE104" s="298"/>
    </row>
    <row r="105" spans="27:83" s="67" customFormat="1" x14ac:dyDescent="0.2">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6"/>
      <c r="BB105" s="298"/>
      <c r="BC105" s="6"/>
      <c r="BD105" s="6"/>
      <c r="BE105" s="6"/>
      <c r="BF105" s="6"/>
      <c r="BG105" s="6"/>
      <c r="BH105" s="6"/>
      <c r="BI105" s="6"/>
      <c r="BJ105" s="6"/>
      <c r="CD105" s="298"/>
      <c r="CE105" s="298"/>
    </row>
    <row r="106" spans="27:83" s="67" customFormat="1" x14ac:dyDescent="0.2">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6"/>
      <c r="BB106" s="298"/>
      <c r="BC106" s="6"/>
      <c r="BD106" s="6"/>
      <c r="BE106" s="6"/>
      <c r="BF106" s="6"/>
      <c r="BG106" s="6"/>
      <c r="BH106" s="6"/>
      <c r="BI106" s="6"/>
      <c r="BJ106" s="6"/>
      <c r="CD106" s="298"/>
      <c r="CE106" s="298"/>
    </row>
    <row r="107" spans="27:83" s="67" customFormat="1" x14ac:dyDescent="0.2">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6"/>
      <c r="BB107" s="298"/>
      <c r="BC107" s="6"/>
      <c r="BD107" s="6"/>
      <c r="BE107" s="6"/>
      <c r="BF107" s="6"/>
      <c r="BG107" s="6"/>
      <c r="BH107" s="6"/>
      <c r="BI107" s="6"/>
      <c r="BJ107" s="6"/>
      <c r="CD107" s="298"/>
      <c r="CE107" s="298"/>
    </row>
    <row r="108" spans="27:83" s="67" customFormat="1" x14ac:dyDescent="0.2">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6"/>
      <c r="BB108" s="298"/>
      <c r="BC108" s="6"/>
      <c r="BD108" s="6"/>
      <c r="BE108" s="6"/>
      <c r="BF108" s="6"/>
      <c r="BG108" s="6"/>
      <c r="BH108" s="6"/>
      <c r="BI108" s="6"/>
      <c r="BJ108" s="6"/>
      <c r="CD108" s="298"/>
      <c r="CE108" s="298"/>
    </row>
    <row r="109" spans="27:83" s="67" customFormat="1" x14ac:dyDescent="0.2">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6"/>
      <c r="BB109" s="298"/>
      <c r="BC109" s="6"/>
      <c r="BD109" s="6"/>
      <c r="BE109" s="6"/>
      <c r="BF109" s="6"/>
      <c r="BG109" s="6"/>
      <c r="BH109" s="6"/>
      <c r="BI109" s="6"/>
      <c r="BJ109" s="6"/>
      <c r="CD109" s="298"/>
      <c r="CE109" s="298"/>
    </row>
    <row r="110" spans="27:83" s="67" customFormat="1" x14ac:dyDescent="0.2">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6"/>
      <c r="BB110" s="298"/>
      <c r="BC110" s="6"/>
      <c r="BD110" s="6"/>
      <c r="BE110" s="6"/>
      <c r="BF110" s="6"/>
      <c r="BG110" s="6"/>
      <c r="BH110" s="6"/>
      <c r="BI110" s="6"/>
      <c r="BJ110" s="6"/>
      <c r="CD110" s="298"/>
      <c r="CE110" s="298"/>
    </row>
    <row r="111" spans="27:83" s="67" customFormat="1" x14ac:dyDescent="0.2">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6"/>
      <c r="BB111" s="298"/>
      <c r="BC111" s="6"/>
      <c r="BD111" s="6"/>
      <c r="BE111" s="6"/>
      <c r="BF111" s="6"/>
      <c r="BG111" s="6"/>
      <c r="BH111" s="6"/>
      <c r="BI111" s="6"/>
      <c r="BJ111" s="6"/>
      <c r="CD111" s="298"/>
      <c r="CE111" s="298"/>
    </row>
    <row r="112" spans="27:83" s="67" customFormat="1" x14ac:dyDescent="0.2">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6"/>
      <c r="BB112" s="298"/>
      <c r="BC112" s="6"/>
      <c r="BD112" s="6"/>
      <c r="BE112" s="6"/>
      <c r="BF112" s="6"/>
      <c r="BG112" s="6"/>
      <c r="BH112" s="6"/>
      <c r="BI112" s="6"/>
      <c r="BJ112" s="6"/>
      <c r="CD112" s="298"/>
      <c r="CE112" s="298"/>
    </row>
    <row r="113" spans="27:83" s="67" customFormat="1" x14ac:dyDescent="0.2">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6"/>
      <c r="BB113" s="298"/>
      <c r="BC113" s="6"/>
      <c r="BD113" s="6"/>
      <c r="BE113" s="6"/>
      <c r="BF113" s="6"/>
      <c r="BG113" s="6"/>
      <c r="BH113" s="6"/>
      <c r="BI113" s="6"/>
      <c r="BJ113" s="6"/>
      <c r="CD113" s="298"/>
      <c r="CE113" s="298"/>
    </row>
    <row r="114" spans="27:83" s="67" customFormat="1" x14ac:dyDescent="0.2">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6"/>
      <c r="BB114" s="298"/>
      <c r="BC114" s="6"/>
      <c r="BD114" s="6"/>
      <c r="BE114" s="6"/>
      <c r="BF114" s="6"/>
      <c r="BG114" s="6"/>
      <c r="BH114" s="6"/>
      <c r="BI114" s="6"/>
      <c r="BJ114" s="6"/>
      <c r="CD114" s="298"/>
      <c r="CE114" s="298"/>
    </row>
    <row r="115" spans="27:83" s="67" customFormat="1" x14ac:dyDescent="0.2">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6"/>
      <c r="BB115" s="298"/>
      <c r="BC115" s="6"/>
      <c r="BD115" s="6"/>
      <c r="BE115" s="6"/>
      <c r="BF115" s="6"/>
      <c r="BG115" s="6"/>
      <c r="BH115" s="6"/>
      <c r="BI115" s="6"/>
      <c r="BJ115" s="6"/>
      <c r="CD115" s="298"/>
      <c r="CE115" s="298"/>
    </row>
    <row r="116" spans="27:83" s="67" customFormat="1" x14ac:dyDescent="0.2">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6"/>
      <c r="BB116" s="298"/>
      <c r="BC116" s="6"/>
      <c r="BD116" s="6"/>
      <c r="BE116" s="6"/>
      <c r="BF116" s="6"/>
      <c r="BG116" s="6"/>
      <c r="BH116" s="6"/>
      <c r="BI116" s="6"/>
      <c r="BJ116" s="6"/>
      <c r="CD116" s="298"/>
      <c r="CE116" s="298"/>
    </row>
    <row r="117" spans="27:83" s="67" customFormat="1" x14ac:dyDescent="0.2">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6"/>
      <c r="BB117" s="298"/>
      <c r="BC117" s="6"/>
      <c r="BD117" s="6"/>
      <c r="BE117" s="6"/>
      <c r="BF117" s="6"/>
      <c r="BG117" s="6"/>
      <c r="BH117" s="6"/>
      <c r="BI117" s="6"/>
      <c r="BJ117" s="6"/>
      <c r="CD117" s="298"/>
      <c r="CE117" s="298"/>
    </row>
    <row r="118" spans="27:83" s="67" customFormat="1" x14ac:dyDescent="0.2">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6"/>
      <c r="BB118" s="298"/>
      <c r="BC118" s="6"/>
      <c r="BD118" s="6"/>
      <c r="BE118" s="6"/>
      <c r="BF118" s="6"/>
      <c r="BG118" s="6"/>
      <c r="BH118" s="6"/>
      <c r="BI118" s="6"/>
      <c r="BJ118" s="6"/>
      <c r="CD118" s="298"/>
      <c r="CE118" s="298"/>
    </row>
    <row r="119" spans="27:83" s="67" customFormat="1" x14ac:dyDescent="0.2">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6"/>
      <c r="BB119" s="298"/>
      <c r="BC119" s="6"/>
      <c r="BD119" s="6"/>
      <c r="BE119" s="6"/>
      <c r="BF119" s="6"/>
      <c r="BG119" s="6"/>
      <c r="BH119" s="6"/>
      <c r="BI119" s="6"/>
      <c r="BJ119" s="6"/>
      <c r="CD119" s="298"/>
      <c r="CE119" s="298"/>
    </row>
    <row r="120" spans="27:83" s="67" customFormat="1" x14ac:dyDescent="0.2">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6"/>
      <c r="BB120" s="298"/>
      <c r="BC120" s="6"/>
      <c r="BD120" s="6"/>
      <c r="BE120" s="6"/>
      <c r="BF120" s="6"/>
      <c r="BG120" s="6"/>
      <c r="BH120" s="6"/>
      <c r="BI120" s="6"/>
      <c r="BJ120" s="6"/>
      <c r="CD120" s="298"/>
      <c r="CE120" s="298"/>
    </row>
    <row r="121" spans="27:83" s="67" customFormat="1" x14ac:dyDescent="0.2">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6"/>
      <c r="BB121" s="298"/>
      <c r="BC121" s="6"/>
      <c r="BD121" s="6"/>
      <c r="BE121" s="6"/>
      <c r="BF121" s="6"/>
      <c r="BG121" s="6"/>
      <c r="BH121" s="6"/>
      <c r="BI121" s="6"/>
      <c r="BJ121" s="6"/>
      <c r="CD121" s="298"/>
      <c r="CE121" s="298"/>
    </row>
    <row r="122" spans="27:83" s="67" customFormat="1" x14ac:dyDescent="0.2">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6"/>
      <c r="BB122" s="298"/>
      <c r="BC122" s="6"/>
      <c r="BD122" s="6"/>
      <c r="BE122" s="6"/>
      <c r="BF122" s="6"/>
      <c r="BG122" s="6"/>
      <c r="BH122" s="6"/>
      <c r="BI122" s="6"/>
      <c r="BJ122" s="6"/>
      <c r="CD122" s="298"/>
      <c r="CE122" s="298"/>
    </row>
    <row r="123" spans="27:83" s="67" customFormat="1" x14ac:dyDescent="0.2">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6"/>
      <c r="BB123" s="298"/>
      <c r="BC123" s="6"/>
      <c r="BD123" s="6"/>
      <c r="BE123" s="6"/>
      <c r="BF123" s="6"/>
      <c r="BG123" s="6"/>
      <c r="BH123" s="6"/>
      <c r="BI123" s="6"/>
      <c r="BJ123" s="6"/>
      <c r="CD123" s="298"/>
      <c r="CE123" s="298"/>
    </row>
    <row r="124" spans="27:83" s="67" customFormat="1" x14ac:dyDescent="0.2">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6"/>
      <c r="BB124" s="298"/>
      <c r="BC124" s="6"/>
      <c r="BD124" s="6"/>
      <c r="BE124" s="6"/>
      <c r="BF124" s="6"/>
      <c r="BG124" s="6"/>
      <c r="BH124" s="6"/>
      <c r="BI124" s="6"/>
      <c r="BJ124" s="6"/>
      <c r="CD124" s="298"/>
      <c r="CE124" s="298"/>
    </row>
    <row r="125" spans="27:83" s="67" customFormat="1" x14ac:dyDescent="0.2">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6"/>
      <c r="BB125" s="298"/>
      <c r="BC125" s="6"/>
      <c r="BD125" s="6"/>
      <c r="BE125" s="6"/>
      <c r="BF125" s="6"/>
      <c r="BG125" s="6"/>
      <c r="BH125" s="6"/>
      <c r="BI125" s="6"/>
      <c r="BJ125" s="6"/>
      <c r="CD125" s="298"/>
      <c r="CE125" s="298"/>
    </row>
    <row r="126" spans="27:83" s="67" customFormat="1" x14ac:dyDescent="0.2">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6"/>
      <c r="BB126" s="298"/>
      <c r="BC126" s="6"/>
      <c r="BD126" s="6"/>
      <c r="BE126" s="6"/>
      <c r="BF126" s="6"/>
      <c r="BG126" s="6"/>
      <c r="BH126" s="6"/>
      <c r="BI126" s="6"/>
      <c r="BJ126" s="6"/>
      <c r="CD126" s="298"/>
      <c r="CE126" s="298"/>
    </row>
    <row r="127" spans="27:83" s="67" customFormat="1" x14ac:dyDescent="0.2">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6"/>
      <c r="BB127" s="298"/>
      <c r="BC127" s="6"/>
      <c r="BD127" s="6"/>
      <c r="BE127" s="6"/>
      <c r="BF127" s="6"/>
      <c r="BG127" s="6"/>
      <c r="BH127" s="6"/>
      <c r="BI127" s="6"/>
      <c r="BJ127" s="6"/>
      <c r="CD127" s="298"/>
      <c r="CE127" s="298"/>
    </row>
    <row r="128" spans="27:83" s="67" customFormat="1" x14ac:dyDescent="0.2">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6"/>
      <c r="BB128" s="298"/>
      <c r="BC128" s="6"/>
      <c r="BD128" s="6"/>
      <c r="BE128" s="6"/>
      <c r="BF128" s="6"/>
      <c r="BG128" s="6"/>
      <c r="BH128" s="6"/>
      <c r="BI128" s="6"/>
      <c r="BJ128" s="6"/>
      <c r="CD128" s="298"/>
      <c r="CE128" s="298"/>
    </row>
    <row r="129" spans="27:83" s="67" customFormat="1" x14ac:dyDescent="0.2">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6"/>
      <c r="BB129" s="298"/>
      <c r="BC129" s="6"/>
      <c r="BD129" s="6"/>
      <c r="BE129" s="6"/>
      <c r="BF129" s="6"/>
      <c r="BG129" s="6"/>
      <c r="BH129" s="6"/>
      <c r="BI129" s="6"/>
      <c r="BJ129" s="6"/>
      <c r="CD129" s="298"/>
      <c r="CE129" s="298"/>
    </row>
    <row r="130" spans="27:83" s="67" customFormat="1" x14ac:dyDescent="0.2">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6"/>
      <c r="BB130" s="298"/>
      <c r="BC130" s="6"/>
      <c r="BD130" s="6"/>
      <c r="BE130" s="6"/>
      <c r="BF130" s="6"/>
      <c r="BG130" s="6"/>
      <c r="BH130" s="6"/>
      <c r="BI130" s="6"/>
      <c r="BJ130" s="6"/>
      <c r="CD130" s="298"/>
      <c r="CE130" s="298"/>
    </row>
    <row r="131" spans="27:83" s="67" customFormat="1" x14ac:dyDescent="0.2">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6"/>
      <c r="BB131" s="298"/>
      <c r="BC131" s="6"/>
      <c r="BD131" s="6"/>
      <c r="BE131" s="6"/>
      <c r="BF131" s="6"/>
      <c r="BG131" s="6"/>
      <c r="BH131" s="6"/>
      <c r="BI131" s="6"/>
      <c r="BJ131" s="6"/>
      <c r="CD131" s="298"/>
      <c r="CE131" s="298"/>
    </row>
    <row r="132" spans="27:83" s="67" customFormat="1" x14ac:dyDescent="0.2">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6"/>
      <c r="BB132" s="298"/>
      <c r="BC132" s="6"/>
      <c r="BD132" s="6"/>
      <c r="BE132" s="6"/>
      <c r="BF132" s="6"/>
      <c r="BG132" s="6"/>
      <c r="BH132" s="6"/>
      <c r="BI132" s="6"/>
      <c r="BJ132" s="6"/>
      <c r="CD132" s="298"/>
      <c r="CE132" s="298"/>
    </row>
    <row r="133" spans="27:83" s="67" customFormat="1" x14ac:dyDescent="0.2">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6"/>
      <c r="BB133" s="298"/>
      <c r="BC133" s="6"/>
      <c r="BD133" s="6"/>
      <c r="BE133" s="6"/>
      <c r="BF133" s="6"/>
      <c r="BG133" s="6"/>
      <c r="BH133" s="6"/>
      <c r="BI133" s="6"/>
      <c r="BJ133" s="6"/>
      <c r="CD133" s="298"/>
      <c r="CE133" s="298"/>
    </row>
    <row r="134" spans="27:83" s="67" customFormat="1" x14ac:dyDescent="0.2">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6"/>
      <c r="BB134" s="298"/>
      <c r="BC134" s="6"/>
      <c r="BD134" s="6"/>
      <c r="BE134" s="6"/>
      <c r="BF134" s="6"/>
      <c r="BG134" s="6"/>
      <c r="BH134" s="6"/>
      <c r="BI134" s="6"/>
      <c r="BJ134" s="6"/>
      <c r="CD134" s="298"/>
      <c r="CE134" s="298"/>
    </row>
    <row r="135" spans="27:83" s="67" customFormat="1" x14ac:dyDescent="0.2">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6"/>
      <c r="BB135" s="298"/>
      <c r="BC135" s="6"/>
      <c r="BD135" s="6"/>
      <c r="BE135" s="6"/>
      <c r="BF135" s="6"/>
      <c r="BG135" s="6"/>
      <c r="BH135" s="6"/>
      <c r="BI135" s="6"/>
      <c r="BJ135" s="6"/>
      <c r="CD135" s="298"/>
      <c r="CE135" s="298"/>
    </row>
    <row r="136" spans="27:83" s="67" customFormat="1" x14ac:dyDescent="0.2">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6"/>
      <c r="BB136" s="298"/>
      <c r="BC136" s="6"/>
      <c r="BD136" s="6"/>
      <c r="BE136" s="6"/>
      <c r="BF136" s="6"/>
      <c r="BG136" s="6"/>
      <c r="BH136" s="6"/>
      <c r="BI136" s="6"/>
      <c r="BJ136" s="6"/>
      <c r="CD136" s="298"/>
      <c r="CE136" s="298"/>
    </row>
    <row r="137" spans="27:83" s="67" customFormat="1" x14ac:dyDescent="0.2">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6"/>
      <c r="BB137" s="298"/>
      <c r="BC137" s="6"/>
      <c r="BD137" s="6"/>
      <c r="BE137" s="6"/>
      <c r="BF137" s="6"/>
      <c r="BG137" s="6"/>
      <c r="BH137" s="6"/>
      <c r="BI137" s="6"/>
      <c r="BJ137" s="6"/>
      <c r="CD137" s="298"/>
      <c r="CE137" s="298"/>
    </row>
    <row r="138" spans="27:83" s="67" customFormat="1" x14ac:dyDescent="0.2">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6"/>
      <c r="BB138" s="298"/>
      <c r="BC138" s="6"/>
      <c r="BD138" s="6"/>
      <c r="BE138" s="6"/>
      <c r="BF138" s="6"/>
      <c r="BG138" s="6"/>
      <c r="BH138" s="6"/>
      <c r="BI138" s="6"/>
      <c r="BJ138" s="6"/>
      <c r="CD138" s="298"/>
      <c r="CE138" s="298"/>
    </row>
    <row r="139" spans="27:83" s="67" customFormat="1" x14ac:dyDescent="0.2">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6"/>
      <c r="BB139" s="298"/>
      <c r="BC139" s="6"/>
      <c r="BD139" s="6"/>
      <c r="BE139" s="6"/>
      <c r="BF139" s="6"/>
      <c r="BG139" s="6"/>
      <c r="BH139" s="6"/>
      <c r="BI139" s="6"/>
      <c r="BJ139" s="6"/>
      <c r="CD139" s="298"/>
      <c r="CE139" s="298"/>
    </row>
    <row r="140" spans="27:83" s="67" customFormat="1" x14ac:dyDescent="0.2">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6"/>
      <c r="BB140" s="298"/>
      <c r="BC140" s="6"/>
      <c r="BD140" s="6"/>
      <c r="BE140" s="6"/>
      <c r="BF140" s="6"/>
      <c r="BG140" s="6"/>
      <c r="BH140" s="6"/>
      <c r="BI140" s="6"/>
      <c r="BJ140" s="6"/>
      <c r="CD140" s="298"/>
      <c r="CE140" s="298"/>
    </row>
    <row r="141" spans="27:83" s="67" customFormat="1" x14ac:dyDescent="0.2">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6"/>
      <c r="BB141" s="298"/>
      <c r="BC141" s="6"/>
      <c r="BD141" s="6"/>
      <c r="BE141" s="6"/>
      <c r="BF141" s="6"/>
      <c r="BG141" s="6"/>
      <c r="BH141" s="6"/>
      <c r="BI141" s="6"/>
      <c r="BJ141" s="6"/>
      <c r="CD141" s="298"/>
      <c r="CE141" s="298"/>
    </row>
    <row r="142" spans="27:83" s="67" customFormat="1" x14ac:dyDescent="0.2">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6"/>
      <c r="BB142" s="298"/>
      <c r="BC142" s="6"/>
      <c r="BD142" s="6"/>
      <c r="BE142" s="6"/>
      <c r="BF142" s="6"/>
      <c r="BG142" s="6"/>
      <c r="BH142" s="6"/>
      <c r="BI142" s="6"/>
      <c r="BJ142" s="6"/>
      <c r="CD142" s="298"/>
      <c r="CE142" s="298"/>
    </row>
    <row r="143" spans="27:83" s="67" customFormat="1" x14ac:dyDescent="0.2">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6"/>
      <c r="BB143" s="298"/>
      <c r="BC143" s="6"/>
      <c r="BD143" s="6"/>
      <c r="BE143" s="6"/>
      <c r="BF143" s="6"/>
      <c r="BG143" s="6"/>
      <c r="BH143" s="6"/>
      <c r="BI143" s="6"/>
      <c r="BJ143" s="6"/>
      <c r="CD143" s="298"/>
      <c r="CE143" s="298"/>
    </row>
    <row r="144" spans="27:83" s="67" customFormat="1" x14ac:dyDescent="0.2">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6"/>
      <c r="BB144" s="298"/>
      <c r="BC144" s="6"/>
      <c r="BD144" s="6"/>
      <c r="BE144" s="6"/>
      <c r="BF144" s="6"/>
      <c r="BG144" s="6"/>
      <c r="BH144" s="6"/>
      <c r="BI144" s="6"/>
      <c r="BJ144" s="6"/>
      <c r="CD144" s="298"/>
      <c r="CE144" s="298"/>
    </row>
    <row r="145" spans="27:83" s="67" customFormat="1" x14ac:dyDescent="0.2">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6"/>
      <c r="BB145" s="298"/>
      <c r="BC145" s="6"/>
      <c r="BD145" s="6"/>
      <c r="BE145" s="6"/>
      <c r="BF145" s="6"/>
      <c r="BG145" s="6"/>
      <c r="BH145" s="6"/>
      <c r="BI145" s="6"/>
      <c r="BJ145" s="6"/>
      <c r="CD145" s="298"/>
      <c r="CE145" s="298"/>
    </row>
    <row r="146" spans="27:83" s="67" customFormat="1" x14ac:dyDescent="0.2">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6"/>
      <c r="BB146" s="298"/>
      <c r="BC146" s="6"/>
      <c r="BD146" s="6"/>
      <c r="BE146" s="6"/>
      <c r="BF146" s="6"/>
      <c r="BG146" s="6"/>
      <c r="BH146" s="6"/>
      <c r="BI146" s="6"/>
      <c r="BJ146" s="6"/>
      <c r="CD146" s="298"/>
      <c r="CE146" s="298"/>
    </row>
    <row r="147" spans="27:83" s="67" customFormat="1" x14ac:dyDescent="0.2">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6"/>
      <c r="BB147" s="298"/>
      <c r="BC147" s="6"/>
      <c r="BD147" s="6"/>
      <c r="BE147" s="6"/>
      <c r="BF147" s="6"/>
      <c r="BG147" s="6"/>
      <c r="BH147" s="6"/>
      <c r="BI147" s="6"/>
      <c r="BJ147" s="6"/>
      <c r="CD147" s="298"/>
      <c r="CE147" s="298"/>
    </row>
    <row r="148" spans="27:83" s="67" customFormat="1" x14ac:dyDescent="0.2">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6"/>
      <c r="BB148" s="298"/>
      <c r="BC148" s="6"/>
      <c r="BD148" s="6"/>
      <c r="BE148" s="6"/>
      <c r="BF148" s="6"/>
      <c r="BG148" s="6"/>
      <c r="BH148" s="6"/>
      <c r="BI148" s="6"/>
      <c r="BJ148" s="6"/>
      <c r="CD148" s="298"/>
      <c r="CE148" s="298"/>
    </row>
    <row r="149" spans="27:83" s="67" customFormat="1" x14ac:dyDescent="0.2">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6"/>
      <c r="BB149" s="298"/>
      <c r="BC149" s="6"/>
      <c r="BD149" s="6"/>
      <c r="BE149" s="6"/>
      <c r="BF149" s="6"/>
      <c r="BG149" s="6"/>
      <c r="BH149" s="6"/>
      <c r="BI149" s="6"/>
      <c r="BJ149" s="6"/>
      <c r="CD149" s="298"/>
      <c r="CE149" s="298"/>
    </row>
    <row r="150" spans="27:83" s="67" customFormat="1" x14ac:dyDescent="0.2">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6"/>
      <c r="BB150" s="298"/>
      <c r="BC150" s="6"/>
      <c r="BD150" s="6"/>
      <c r="BE150" s="6"/>
      <c r="BF150" s="6"/>
      <c r="BG150" s="6"/>
      <c r="BH150" s="6"/>
      <c r="BI150" s="6"/>
      <c r="BJ150" s="6"/>
      <c r="CD150" s="298"/>
      <c r="CE150" s="298"/>
    </row>
    <row r="151" spans="27:83" s="67" customFormat="1" x14ac:dyDescent="0.2">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6"/>
      <c r="BB151" s="298"/>
      <c r="BC151" s="6"/>
      <c r="BD151" s="6"/>
      <c r="BE151" s="6"/>
      <c r="BF151" s="6"/>
      <c r="BG151" s="6"/>
      <c r="BH151" s="6"/>
      <c r="BI151" s="6"/>
      <c r="BJ151" s="6"/>
      <c r="CD151" s="298"/>
      <c r="CE151" s="298"/>
    </row>
    <row r="152" spans="27:83" s="67" customFormat="1" x14ac:dyDescent="0.2">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6"/>
      <c r="BB152" s="298"/>
      <c r="BC152" s="6"/>
      <c r="BD152" s="6"/>
      <c r="BE152" s="6"/>
      <c r="BF152" s="6"/>
      <c r="BG152" s="6"/>
      <c r="BH152" s="6"/>
      <c r="BI152" s="6"/>
      <c r="BJ152" s="6"/>
      <c r="CD152" s="298"/>
      <c r="CE152" s="298"/>
    </row>
    <row r="153" spans="27:83" s="67" customFormat="1" x14ac:dyDescent="0.2">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6"/>
      <c r="BB153" s="298"/>
      <c r="BC153" s="6"/>
      <c r="BD153" s="6"/>
      <c r="BE153" s="6"/>
      <c r="BF153" s="6"/>
      <c r="BG153" s="6"/>
      <c r="BH153" s="6"/>
      <c r="BI153" s="6"/>
      <c r="BJ153" s="6"/>
      <c r="CD153" s="298"/>
      <c r="CE153" s="298"/>
    </row>
    <row r="154" spans="27:83" s="67" customFormat="1" x14ac:dyDescent="0.2">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6"/>
      <c r="BB154" s="298"/>
      <c r="BC154" s="6"/>
      <c r="BD154" s="6"/>
      <c r="BE154" s="6"/>
      <c r="BF154" s="6"/>
      <c r="BG154" s="6"/>
      <c r="BH154" s="6"/>
      <c r="BI154" s="6"/>
      <c r="BJ154" s="6"/>
      <c r="CD154" s="298"/>
      <c r="CE154" s="298"/>
    </row>
    <row r="155" spans="27:83" s="67" customFormat="1" x14ac:dyDescent="0.2">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6"/>
      <c r="BB155" s="298"/>
      <c r="BC155" s="6"/>
      <c r="BD155" s="6"/>
      <c r="BE155" s="6"/>
      <c r="BF155" s="6"/>
      <c r="BG155" s="6"/>
      <c r="BH155" s="6"/>
      <c r="BI155" s="6"/>
      <c r="BJ155" s="6"/>
      <c r="CD155" s="298"/>
      <c r="CE155" s="298"/>
    </row>
    <row r="156" spans="27:83" s="67" customFormat="1" x14ac:dyDescent="0.2">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6"/>
      <c r="BB156" s="298"/>
      <c r="BC156" s="6"/>
      <c r="BD156" s="6"/>
      <c r="BE156" s="6"/>
      <c r="BF156" s="6"/>
      <c r="BG156" s="6"/>
      <c r="BH156" s="6"/>
      <c r="BI156" s="6"/>
      <c r="BJ156" s="6"/>
      <c r="CD156" s="298"/>
      <c r="CE156" s="298"/>
    </row>
    <row r="157" spans="27:83" s="67" customFormat="1" x14ac:dyDescent="0.2">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6"/>
      <c r="BB157" s="298"/>
      <c r="BC157" s="6"/>
      <c r="BD157" s="6"/>
      <c r="BE157" s="6"/>
      <c r="BF157" s="6"/>
      <c r="BG157" s="6"/>
      <c r="BH157" s="6"/>
      <c r="BI157" s="6"/>
      <c r="BJ157" s="6"/>
      <c r="CD157" s="298"/>
      <c r="CE157" s="298"/>
    </row>
    <row r="158" spans="27:83" s="67" customFormat="1" x14ac:dyDescent="0.2">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6"/>
      <c r="BB158" s="298"/>
      <c r="BC158" s="6"/>
      <c r="BD158" s="6"/>
      <c r="BE158" s="6"/>
      <c r="BF158" s="6"/>
      <c r="BG158" s="6"/>
      <c r="BH158" s="6"/>
      <c r="BI158" s="6"/>
      <c r="BJ158" s="6"/>
      <c r="CD158" s="298"/>
      <c r="CE158" s="298"/>
    </row>
    <row r="159" spans="27:83" s="67" customFormat="1" x14ac:dyDescent="0.2">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6"/>
      <c r="BB159" s="298"/>
      <c r="BC159" s="6"/>
      <c r="BD159" s="6"/>
      <c r="BE159" s="6"/>
      <c r="BF159" s="6"/>
      <c r="BG159" s="6"/>
      <c r="BH159" s="6"/>
      <c r="BI159" s="6"/>
      <c r="BJ159" s="6"/>
      <c r="CD159" s="298"/>
      <c r="CE159" s="298"/>
    </row>
    <row r="160" spans="27:83" s="67" customFormat="1" x14ac:dyDescent="0.2">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6"/>
      <c r="BB160" s="298"/>
      <c r="BC160" s="6"/>
      <c r="BD160" s="6"/>
      <c r="BE160" s="6"/>
      <c r="BF160" s="6"/>
      <c r="BG160" s="6"/>
      <c r="BH160" s="6"/>
      <c r="BI160" s="6"/>
      <c r="BJ160" s="6"/>
      <c r="CD160" s="298"/>
      <c r="CE160" s="298"/>
    </row>
    <row r="161" spans="2:83" s="67" customFormat="1" x14ac:dyDescent="0.2">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6"/>
      <c r="BB161" s="298"/>
      <c r="BC161" s="6"/>
      <c r="BD161" s="6"/>
      <c r="BE161" s="6"/>
      <c r="BF161" s="6"/>
      <c r="BG161" s="6"/>
      <c r="BH161" s="6"/>
      <c r="BI161" s="6"/>
      <c r="BJ161" s="6"/>
      <c r="CD161" s="298"/>
      <c r="CE161" s="298"/>
    </row>
    <row r="162" spans="2:83" s="67" customFormat="1" x14ac:dyDescent="0.2">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6"/>
      <c r="BB162" s="298"/>
      <c r="BC162" s="6"/>
      <c r="BD162" s="6"/>
      <c r="BE162" s="6"/>
      <c r="BF162" s="6"/>
      <c r="BG162" s="6"/>
      <c r="BH162" s="6"/>
      <c r="BI162" s="6"/>
      <c r="BJ162" s="6"/>
      <c r="CD162" s="298"/>
      <c r="CE162" s="298"/>
    </row>
    <row r="163" spans="2:83" s="67" customFormat="1" x14ac:dyDescent="0.2">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6"/>
      <c r="BB163" s="298"/>
      <c r="BC163" s="6"/>
      <c r="BD163" s="6"/>
      <c r="BE163" s="6"/>
      <c r="BF163" s="6"/>
      <c r="BG163" s="6"/>
      <c r="BH163" s="6"/>
      <c r="BI163" s="6"/>
      <c r="BJ163" s="6"/>
      <c r="CD163" s="298"/>
      <c r="CE163" s="298"/>
    </row>
    <row r="164" spans="2:83" s="67" customFormat="1" x14ac:dyDescent="0.2">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6"/>
      <c r="BB164" s="298"/>
      <c r="BC164" s="6"/>
      <c r="BD164" s="6"/>
      <c r="BE164" s="6"/>
      <c r="BF164" s="6"/>
      <c r="BG164" s="6"/>
      <c r="BH164" s="6"/>
      <c r="BI164" s="6"/>
      <c r="BJ164" s="6"/>
      <c r="CD164" s="298"/>
      <c r="CE164" s="298"/>
    </row>
    <row r="165" spans="2:83" x14ac:dyDescent="0.2">
      <c r="B165" s="67"/>
      <c r="H165" s="67"/>
      <c r="I165" s="67"/>
      <c r="J165" s="67"/>
      <c r="K165" s="67"/>
      <c r="L165" s="67"/>
    </row>
  </sheetData>
  <sheetProtection password="CC3C" sheet="1" objects="1" scenarios="1" formatCells="0" selectLockedCells="1"/>
  <mergeCells count="67">
    <mergeCell ref="W9:Y9"/>
    <mergeCell ref="W10:Y10"/>
    <mergeCell ref="U9:V9"/>
    <mergeCell ref="U10:V10"/>
    <mergeCell ref="O9:P9"/>
    <mergeCell ref="O10:P10"/>
    <mergeCell ref="Q9:R9"/>
    <mergeCell ref="Q10:R10"/>
    <mergeCell ref="S9:T9"/>
    <mergeCell ref="S10:T10"/>
    <mergeCell ref="G5:J5"/>
    <mergeCell ref="I11:R11"/>
    <mergeCell ref="I12:J12"/>
    <mergeCell ref="K12:L12"/>
    <mergeCell ref="M12:N12"/>
    <mergeCell ref="O12:P12"/>
    <mergeCell ref="Q12:R12"/>
    <mergeCell ref="G9:H9"/>
    <mergeCell ref="I9:J9"/>
    <mergeCell ref="K9:L9"/>
    <mergeCell ref="M9:N9"/>
    <mergeCell ref="N8:O8"/>
    <mergeCell ref="G10:H10"/>
    <mergeCell ref="I10:J10"/>
    <mergeCell ref="K10:L10"/>
    <mergeCell ref="M10:N10"/>
    <mergeCell ref="K13:L13"/>
    <mergeCell ref="M13:N13"/>
    <mergeCell ref="O13:P13"/>
    <mergeCell ref="C41:Y41"/>
    <mergeCell ref="N24:W24"/>
    <mergeCell ref="I16:J16"/>
    <mergeCell ref="P16:V16"/>
    <mergeCell ref="I13:J13"/>
    <mergeCell ref="I22:M22"/>
    <mergeCell ref="Q13:R13"/>
    <mergeCell ref="D31:D32"/>
    <mergeCell ref="I24:J24"/>
    <mergeCell ref="H27:J27"/>
    <mergeCell ref="F30:W30"/>
    <mergeCell ref="V36:Y36"/>
    <mergeCell ref="C40:Y40"/>
    <mergeCell ref="C51:Y51"/>
    <mergeCell ref="C52:Y52"/>
    <mergeCell ref="C53:Y53"/>
    <mergeCell ref="C54:Y54"/>
    <mergeCell ref="I17:J17"/>
    <mergeCell ref="I18:J18"/>
    <mergeCell ref="P18:X18"/>
    <mergeCell ref="I20:Q20"/>
    <mergeCell ref="P22:T22"/>
    <mergeCell ref="C59:Y59"/>
    <mergeCell ref="C58:Y58"/>
    <mergeCell ref="C42:Y42"/>
    <mergeCell ref="X39:Y39"/>
    <mergeCell ref="C32:C33"/>
    <mergeCell ref="C43:Y43"/>
    <mergeCell ref="C44:Y44"/>
    <mergeCell ref="C45:Y45"/>
    <mergeCell ref="C46:Y46"/>
    <mergeCell ref="C47:Y47"/>
    <mergeCell ref="C48:Y48"/>
    <mergeCell ref="C49:Y49"/>
    <mergeCell ref="C55:Y55"/>
    <mergeCell ref="C56:Y56"/>
    <mergeCell ref="C57:Y57"/>
    <mergeCell ref="C50:Y50"/>
  </mergeCells>
  <phoneticPr fontId="118" type="noConversion"/>
  <conditionalFormatting sqref="R23">
    <cfRule type="expression" dxfId="133" priority="36" stopIfTrue="1">
      <formula>$BB$3&lt;&gt;2</formula>
    </cfRule>
    <cfRule type="expression" dxfId="132" priority="80" stopIfTrue="1">
      <formula>$I$22&lt;&gt;"None"</formula>
    </cfRule>
  </conditionalFormatting>
  <conditionalFormatting sqref="B4:Y4">
    <cfRule type="expression" dxfId="131" priority="79" stopIfTrue="1">
      <formula>$BB$3&lt;&gt;2</formula>
    </cfRule>
  </conditionalFormatting>
  <conditionalFormatting sqref="K24:Y24">
    <cfRule type="expression" dxfId="130" priority="35" stopIfTrue="1">
      <formula>$BB$3&lt;&gt;2</formula>
    </cfRule>
    <cfRule type="expression" dxfId="129" priority="70" stopIfTrue="1">
      <formula>$I$24="No"</formula>
    </cfRule>
  </conditionalFormatting>
  <conditionalFormatting sqref="C30:W30">
    <cfRule type="expression" dxfId="128" priority="42" stopIfTrue="1">
      <formula>$BB$40&lt;&gt;1</formula>
    </cfRule>
  </conditionalFormatting>
  <conditionalFormatting sqref="Y28:Y32">
    <cfRule type="expression" dxfId="127" priority="39" stopIfTrue="1">
      <formula>$BB$3&lt;&gt;2</formula>
    </cfRule>
    <cfRule type="expression" dxfId="126" priority="44" stopIfTrue="1">
      <formula>$BB$40&lt;&gt;1</formula>
    </cfRule>
  </conditionalFormatting>
  <conditionalFormatting sqref="T8:Y8 S11:Y13 C16:G16 C18:H18 C20:H20 C22:M22 C24:J24 B26:O27 C36:Y38 B39:W39 C40:Y59 B5:S8 B11:S15 W9 B9:P10">
    <cfRule type="expression" dxfId="125" priority="8" stopIfTrue="1">
      <formula>$BB$3&lt;&gt;2</formula>
    </cfRule>
  </conditionalFormatting>
  <conditionalFormatting sqref="O22:T22">
    <cfRule type="expression" dxfId="124" priority="34" stopIfTrue="1">
      <formula>OR($I$22=$BJ$11,$BB$3&lt;&gt;2)</formula>
    </cfRule>
  </conditionalFormatting>
  <conditionalFormatting sqref="W35">
    <cfRule type="expression" dxfId="123" priority="9" stopIfTrue="1">
      <formula>$BB$3&lt;&gt;2</formula>
    </cfRule>
  </conditionalFormatting>
  <conditionalFormatting sqref="G33 V33">
    <cfRule type="expression" dxfId="122" priority="21" stopIfTrue="1">
      <formula>($BF$37&lt;&gt;0)</formula>
    </cfRule>
  </conditionalFormatting>
  <conditionalFormatting sqref="C32:C33">
    <cfRule type="expression" dxfId="121" priority="18" stopIfTrue="1">
      <formula>OR($BB$40&lt;&gt;0,$BF$37&lt;&gt;0)</formula>
    </cfRule>
  </conditionalFormatting>
  <conditionalFormatting sqref="D33:F33">
    <cfRule type="expression" dxfId="120" priority="14" stopIfTrue="1">
      <formula>$BF$37&gt;0</formula>
    </cfRule>
    <cfRule type="expression" dxfId="119" priority="15" stopIfTrue="1">
      <formula>$BB$40+$BF$37=0</formula>
    </cfRule>
  </conditionalFormatting>
  <conditionalFormatting sqref="C35">
    <cfRule type="expression" dxfId="118" priority="40" stopIfTrue="1">
      <formula>$BF$37&gt;0</formula>
    </cfRule>
  </conditionalFormatting>
  <conditionalFormatting sqref="D35 D31">
    <cfRule type="expression" dxfId="117" priority="12" stopIfTrue="1">
      <formula>$BF$37=0</formula>
    </cfRule>
  </conditionalFormatting>
  <conditionalFormatting sqref="I18:J18">
    <cfRule type="expression" dxfId="116" priority="10" stopIfTrue="1">
      <formula>$BB$3&lt;&gt;2</formula>
    </cfRule>
  </conditionalFormatting>
  <conditionalFormatting sqref="X39:Y39">
    <cfRule type="expression" dxfId="115" priority="13" stopIfTrue="1">
      <formula>ISBLANK($X$39)</formula>
    </cfRule>
  </conditionalFormatting>
  <conditionalFormatting sqref="L16:Y16 L18:Y18">
    <cfRule type="expression" dxfId="114" priority="256" stopIfTrue="1">
      <formula>$BB$3&lt;&gt;2</formula>
    </cfRule>
    <cfRule type="expression" dxfId="113" priority="257" stopIfTrue="1">
      <formula>$BJ$20&lt;&gt;"P"</formula>
    </cfRule>
  </conditionalFormatting>
  <conditionalFormatting sqref="H17:K17">
    <cfRule type="expression" dxfId="112" priority="261" stopIfTrue="1">
      <formula>$BB$3&lt;&gt;2</formula>
    </cfRule>
    <cfRule type="expression" dxfId="111" priority="262" stopIfTrue="1">
      <formula>$BN$20&lt;&gt;"X"</formula>
    </cfRule>
  </conditionalFormatting>
  <conditionalFormatting sqref="H16:J16">
    <cfRule type="expression" dxfId="110" priority="263" stopIfTrue="1">
      <formula>$BB$3&lt;&gt;2</formula>
    </cfRule>
    <cfRule type="expression" dxfId="109" priority="264" stopIfTrue="1">
      <formula>($CE$20=0)</formula>
    </cfRule>
  </conditionalFormatting>
  <conditionalFormatting sqref="Q9:R10">
    <cfRule type="expression" dxfId="108" priority="3" stopIfTrue="1">
      <formula>$BB$3&lt;&gt;2</formula>
    </cfRule>
  </conditionalFormatting>
  <conditionalFormatting sqref="S9:T10">
    <cfRule type="expression" dxfId="107" priority="2" stopIfTrue="1">
      <formula>$BB$3&lt;&gt;2</formula>
    </cfRule>
  </conditionalFormatting>
  <conditionalFormatting sqref="U9:V10">
    <cfRule type="expression" dxfId="106" priority="1" stopIfTrue="1">
      <formula>$BB$3&lt;&gt;2</formula>
    </cfRule>
  </conditionalFormatting>
  <dataValidations count="8">
    <dataValidation type="list" allowBlank="1" showInputMessage="1" showErrorMessage="1" errorTitle="Input Error!" error="Please select from list" sqref="N24:W24">
      <formula1>$BA$6:$BA$8</formula1>
    </dataValidation>
    <dataValidation type="list" allowBlank="1" showInputMessage="1" showErrorMessage="1" sqref="P16:V16">
      <formula1>$BE$5:$BE$6</formula1>
    </dataValidation>
    <dataValidation type="list" allowBlank="1" showInputMessage="1" showErrorMessage="1" sqref="I24:J24 I16:J18 X39:Y39">
      <formula1>"No,Yes"</formula1>
    </dataValidation>
    <dataValidation type="list" allowBlank="1" showInputMessage="1" showErrorMessage="1" sqref="I20:Q20">
      <formula1>$BA$11:$BA$13</formula1>
    </dataValidation>
    <dataValidation type="list" allowBlank="1" showInputMessage="1" showErrorMessage="1" errorTitle="Input Error" error="Please select from list" sqref="I22:L22">
      <formula1>$BJ$11:$BJ$14</formula1>
    </dataValidation>
    <dataValidation type="list" allowBlank="1" showInputMessage="1" showErrorMessage="1" sqref="P18:X18">
      <formula1>$BE$10:$BE$15</formula1>
    </dataValidation>
    <dataValidation type="list" allowBlank="1" showInputMessage="1" showErrorMessage="1" sqref="H27:J27">
      <formula1>$BD$19:$BH$19</formula1>
    </dataValidation>
    <dataValidation type="list" allowBlank="1" showInputMessage="1" showErrorMessage="1" errorTitle="Input Error!" error="Please select from list" sqref="G5:J5">
      <formula1>$BA$21:$BA$28</formula1>
    </dataValidation>
  </dataValidations>
  <pageMargins left="0.75" right="0.75" top="0.5" bottom="0.75" header="0.5" footer="0.5"/>
  <pageSetup orientation="portrait" horizontalDpi="4294967292" r:id="rId1"/>
  <headerFooter alignWithMargins="0">
    <oddFooter>&amp;L&amp;8CQS# 730-02-0001
Rev C&amp;C&amp;8&amp;F&amp;R&amp;8Print Date: &amp;D
Time: &amp;T</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sheetPr>
  <dimension ref="A1:CZ70"/>
  <sheetViews>
    <sheetView showGridLines="0" showRowColHeaders="0" showZeros="0" zoomScaleNormal="100" zoomScaleSheetLayoutView="75" workbookViewId="0">
      <selection activeCell="F6" sqref="F6:K6"/>
    </sheetView>
  </sheetViews>
  <sheetFormatPr defaultColWidth="8.85546875" defaultRowHeight="12.75" customHeight="1" x14ac:dyDescent="0.2"/>
  <cols>
    <col min="1" max="1" width="1.7109375" style="57" customWidth="1"/>
    <col min="2" max="15" width="3.7109375" style="57" customWidth="1"/>
    <col min="16" max="21" width="3.7109375" style="66" customWidth="1"/>
    <col min="22" max="24" width="3.7109375" style="57" customWidth="1"/>
    <col min="25" max="25" width="1.7109375" style="301" customWidth="1"/>
    <col min="26" max="26" width="3.7109375" style="301" customWidth="1"/>
    <col min="27" max="52" width="8.85546875" style="57" customWidth="1"/>
    <col min="53" max="53" width="15.42578125" style="139" hidden="1" customWidth="1"/>
    <col min="54" max="55" width="5.7109375" style="139" hidden="1" customWidth="1"/>
    <col min="56" max="56" width="6.85546875" style="139" hidden="1" customWidth="1"/>
    <col min="57" max="59" width="5.7109375" style="139" hidden="1" customWidth="1"/>
    <col min="60" max="60" width="8.42578125" style="139" hidden="1" customWidth="1"/>
    <col min="61" max="61" width="10.85546875" style="139" hidden="1" customWidth="1"/>
    <col min="62" max="62" width="23.42578125" style="139" hidden="1" customWidth="1"/>
    <col min="63" max="63" width="6.28515625" style="137" hidden="1" customWidth="1"/>
    <col min="64" max="64" width="8.42578125" style="137" hidden="1" customWidth="1"/>
    <col min="65" max="65" width="5.28515625" style="137" hidden="1" customWidth="1"/>
    <col min="66" max="67" width="15.28515625" style="137" hidden="1" customWidth="1"/>
    <col min="68" max="68" width="6.85546875" style="137" hidden="1" customWidth="1"/>
    <col min="69" max="69" width="3.7109375" style="137" hidden="1" customWidth="1"/>
    <col min="70" max="73" width="8.85546875" style="137" hidden="1" customWidth="1"/>
    <col min="74" max="104" width="8.85546875" style="139" hidden="1" customWidth="1"/>
    <col min="105" max="16384" width="8.85546875" style="57"/>
  </cols>
  <sheetData>
    <row r="1" spans="1:86" s="66" customFormat="1" ht="13.5" thickBot="1" x14ac:dyDescent="0.25">
      <c r="B1" s="300" t="str">
        <f>'Cover Page'!B4</f>
        <v xml:space="preserve"> Production Probes Design Capture Order Form</v>
      </c>
      <c r="C1" s="213"/>
      <c r="D1" s="213"/>
      <c r="E1" s="213"/>
      <c r="F1" s="213"/>
      <c r="G1" s="213"/>
      <c r="H1" s="213"/>
      <c r="I1" s="214"/>
      <c r="J1" s="214"/>
      <c r="K1" s="214"/>
      <c r="L1" s="214"/>
      <c r="M1" s="211"/>
      <c r="N1" s="838"/>
      <c r="O1" s="839"/>
      <c r="P1" s="873"/>
      <c r="Q1" s="874"/>
      <c r="R1" s="874"/>
      <c r="S1" s="873" t="s">
        <v>229</v>
      </c>
      <c r="T1" s="875" t="str">
        <f>'Cover Page'!S19</f>
        <v/>
      </c>
      <c r="U1" s="876"/>
      <c r="V1" s="845"/>
      <c r="W1" s="845"/>
      <c r="X1" s="845"/>
      <c r="Y1" s="256"/>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B1" s="240"/>
      <c r="BC1" s="57"/>
      <c r="BD1" s="57"/>
      <c r="BE1" s="57"/>
      <c r="BF1" s="57"/>
      <c r="BG1" s="57"/>
      <c r="BH1" s="57"/>
      <c r="BK1" s="71"/>
      <c r="BL1" s="71"/>
      <c r="BM1" s="71"/>
      <c r="BN1" s="71"/>
      <c r="BO1" s="71"/>
      <c r="BP1" s="71"/>
      <c r="BQ1" s="71"/>
      <c r="BR1" s="71"/>
      <c r="BS1" s="71"/>
      <c r="BT1" s="71"/>
      <c r="BU1" s="71"/>
    </row>
    <row r="2" spans="1:86" s="66" customFormat="1" ht="13.5" thickBot="1" x14ac:dyDescent="0.25">
      <c r="B2" s="300" t="str">
        <f>'Cover Page'!B5</f>
        <v xml:space="preserve"> CQS-03-031-0001  R1.71</v>
      </c>
      <c r="C2" s="213"/>
      <c r="D2" s="213"/>
      <c r="E2" s="213"/>
      <c r="F2" s="213"/>
      <c r="G2" s="213"/>
      <c r="H2" s="213"/>
      <c r="I2" s="214"/>
      <c r="J2" s="214"/>
      <c r="K2" s="214"/>
      <c r="L2" s="214"/>
      <c r="M2" s="211"/>
      <c r="N2" s="838"/>
      <c r="O2" s="839"/>
      <c r="P2" s="877"/>
      <c r="Q2" s="874"/>
      <c r="R2" s="874"/>
      <c r="S2" s="873" t="str">
        <f ca="1">'Cover Page'!T2</f>
        <v>Core P/N:</v>
      </c>
      <c r="T2" s="878" t="str">
        <f>IF(ISBLANK('Cover Page'!U2),"",'Cover Page'!U2)</f>
        <v/>
      </c>
      <c r="U2" s="879"/>
      <c r="V2" s="850"/>
      <c r="W2" s="850"/>
      <c r="X2" s="850"/>
      <c r="Y2" s="256"/>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2" t="s">
        <v>1</v>
      </c>
      <c r="BB2" s="71"/>
      <c r="BC2" s="57"/>
      <c r="BD2" s="57"/>
      <c r="BE2" s="57"/>
      <c r="BF2" s="57"/>
      <c r="BG2" s="57"/>
      <c r="BH2" s="57"/>
      <c r="BK2" s="71"/>
      <c r="BL2" s="71"/>
      <c r="BM2" s="71"/>
      <c r="BN2" s="71"/>
      <c r="BO2" s="71"/>
      <c r="BP2" s="71"/>
      <c r="BQ2" s="71"/>
      <c r="BR2" s="71"/>
      <c r="BS2" s="71"/>
      <c r="BT2" s="71"/>
      <c r="BU2" s="71"/>
    </row>
    <row r="3" spans="1:86" s="66" customFormat="1" ht="15.75" x14ac:dyDescent="0.25">
      <c r="B3" s="212" t="s">
        <v>987</v>
      </c>
      <c r="C3" s="213"/>
      <c r="D3" s="213"/>
      <c r="E3" s="213"/>
      <c r="F3" s="213"/>
      <c r="G3" s="213"/>
      <c r="H3" s="213"/>
      <c r="I3" s="214"/>
      <c r="J3" s="214"/>
      <c r="K3" s="214"/>
      <c r="L3" s="214"/>
      <c r="M3" s="211"/>
      <c r="N3" s="838"/>
      <c r="O3" s="851"/>
      <c r="P3" s="877"/>
      <c r="Q3" s="874"/>
      <c r="R3" s="874"/>
      <c r="S3" s="873" t="str">
        <f ca="1">'Cover Page'!T3</f>
        <v>Custom PCB P/N:</v>
      </c>
      <c r="T3" s="878" t="str">
        <f>IF(ISBLANK('Cover Page'!U3),"",'Cover Page'!U3)</f>
        <v/>
      </c>
      <c r="U3" s="879"/>
      <c r="V3" s="850"/>
      <c r="W3" s="850"/>
      <c r="X3" s="850"/>
      <c r="Y3" s="256"/>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130" t="s">
        <v>295</v>
      </c>
      <c r="BB3" s="72">
        <f>'Cover Page'!BD37</f>
        <v>3</v>
      </c>
      <c r="BC3" s="57" t="s">
        <v>296</v>
      </c>
      <c r="BD3" s="57"/>
      <c r="BE3" s="57"/>
      <c r="BF3" s="57"/>
      <c r="BK3" s="71"/>
      <c r="BL3" s="71"/>
      <c r="BM3" s="71"/>
      <c r="BN3" s="71"/>
      <c r="BO3" s="71"/>
      <c r="BP3" s="71"/>
      <c r="BQ3" s="71"/>
      <c r="BR3" s="71"/>
      <c r="BS3" s="71"/>
      <c r="BT3" s="71"/>
      <c r="BU3" s="71"/>
    </row>
    <row r="4" spans="1:86" s="66" customFormat="1" ht="15.75" x14ac:dyDescent="0.25">
      <c r="B4" s="211"/>
      <c r="C4" s="211"/>
      <c r="D4" s="211"/>
      <c r="E4" s="211"/>
      <c r="F4" s="211"/>
      <c r="G4" s="211"/>
      <c r="H4" s="211"/>
      <c r="I4" s="211"/>
      <c r="J4" s="211"/>
      <c r="K4" s="211"/>
      <c r="L4" s="216" t="str">
        <f>DUT!$K$5</f>
        <v>THIS PAGE IS NOT IN USE BASED ON COVER PAGE SELECTIONS</v>
      </c>
      <c r="M4" s="211"/>
      <c r="N4" s="211"/>
      <c r="O4" s="217"/>
      <c r="P4" s="217"/>
      <c r="Q4" s="217"/>
      <c r="R4" s="217"/>
      <c r="S4" s="217"/>
      <c r="T4" s="217"/>
      <c r="U4" s="217"/>
      <c r="V4" s="217"/>
      <c r="W4" s="217"/>
      <c r="X4" s="217"/>
      <c r="Y4" s="256"/>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row>
    <row r="5" spans="1:86" s="66" customFormat="1" ht="12.75" customHeight="1" x14ac:dyDescent="0.25">
      <c r="B5" s="302"/>
      <c r="C5" s="211"/>
      <c r="D5" s="211"/>
      <c r="E5" s="211"/>
      <c r="F5" s="303"/>
      <c r="G5" s="211"/>
      <c r="H5" s="211"/>
      <c r="I5" s="211"/>
      <c r="J5" s="211"/>
      <c r="K5" s="211"/>
      <c r="L5" s="211"/>
      <c r="M5" s="211"/>
      <c r="N5" s="211"/>
      <c r="O5" s="211"/>
      <c r="P5" s="211"/>
      <c r="Q5" s="217"/>
      <c r="R5" s="217"/>
      <c r="S5" s="217"/>
      <c r="T5" s="217"/>
      <c r="U5" s="217"/>
      <c r="V5" s="217"/>
      <c r="W5" s="217"/>
      <c r="X5" s="217"/>
      <c r="Y5" s="256"/>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4" t="s">
        <v>297</v>
      </c>
      <c r="BB5" s="305" t="s">
        <v>43</v>
      </c>
      <c r="BC5" s="305" t="s">
        <v>298</v>
      </c>
      <c r="BD5" s="305" t="s">
        <v>50</v>
      </c>
      <c r="BE5" s="305" t="s">
        <v>44</v>
      </c>
      <c r="BF5" s="305" t="s">
        <v>45</v>
      </c>
      <c r="BG5" s="305" t="s">
        <v>46</v>
      </c>
      <c r="BH5" s="305"/>
      <c r="BI5" s="31" t="s">
        <v>160</v>
      </c>
      <c r="BJ5" s="306" t="s">
        <v>207</v>
      </c>
      <c r="BK5" s="305" t="s">
        <v>48</v>
      </c>
      <c r="BL5" s="305"/>
      <c r="BM5" s="305" t="s">
        <v>49</v>
      </c>
      <c r="BN5" s="307" t="s">
        <v>299</v>
      </c>
      <c r="BO5" s="307" t="s">
        <v>300</v>
      </c>
      <c r="BP5" s="307" t="s">
        <v>301</v>
      </c>
      <c r="BQ5" s="307" t="s">
        <v>302</v>
      </c>
      <c r="BR5" s="307" t="s">
        <v>166</v>
      </c>
      <c r="BS5" s="307" t="s">
        <v>303</v>
      </c>
      <c r="BT5" s="307" t="s">
        <v>304</v>
      </c>
      <c r="BU5" s="307" t="s">
        <v>305</v>
      </c>
      <c r="BV5" s="307" t="s">
        <v>306</v>
      </c>
      <c r="BW5" s="306" t="s">
        <v>51</v>
      </c>
      <c r="BX5" s="308"/>
      <c r="BY5" s="308"/>
      <c r="BZ5" s="308"/>
      <c r="CA5" s="308"/>
      <c r="CB5" s="308"/>
      <c r="CG5" s="66" t="s">
        <v>890</v>
      </c>
      <c r="CH5" s="66" t="s">
        <v>898</v>
      </c>
    </row>
    <row r="6" spans="1:86" s="309" customFormat="1" ht="15.75" x14ac:dyDescent="0.25">
      <c r="B6" s="218"/>
      <c r="D6" s="219"/>
      <c r="E6" s="220" t="s">
        <v>307</v>
      </c>
      <c r="F6" s="1716" t="s">
        <v>308</v>
      </c>
      <c r="G6" s="1655"/>
      <c r="H6" s="1655"/>
      <c r="I6" s="1655"/>
      <c r="J6" s="1717"/>
      <c r="K6" s="1717"/>
      <c r="L6" s="596" t="str">
        <f ca="1">IF(Core!BB20&gt;0,IF(Core!BB20&lt;&gt;'PCB Config'!BC6,"***PCB not compatible with core selection***",""),"")</f>
        <v>***PCB not compatible with core selection***</v>
      </c>
      <c r="O6" s="312"/>
      <c r="Q6" s="312"/>
      <c r="S6" s="313"/>
      <c r="U6" s="312"/>
      <c r="V6" s="312"/>
      <c r="W6" s="312"/>
      <c r="X6" s="312"/>
      <c r="Y6" s="301"/>
      <c r="Z6" s="301"/>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677" t="str">
        <f ca="1">""&amp;OFFSET(BA6,$BB$6,0)</f>
        <v/>
      </c>
      <c r="BB6" s="315">
        <f>IF(BB3=2,VLOOKUP(F6,BA7:BB19,2,0),-2)</f>
        <v>-2</v>
      </c>
      <c r="BC6" s="316">
        <f ca="1">OFFSET(BC6,$BB$6,0)</f>
        <v>0</v>
      </c>
      <c r="BD6" s="316">
        <f ca="1">(BB3=2)*(BC6&lt;&gt;Core!BB20)</f>
        <v>0</v>
      </c>
      <c r="BE6" s="316">
        <f ca="1">OFFSET(BE6,$BB$6,0)</f>
        <v>0</v>
      </c>
      <c r="BF6" s="316">
        <f ca="1">OFFSET(BF6,$BB$6,0)</f>
        <v>0</v>
      </c>
      <c r="BG6" s="316">
        <f ca="1">OFFSET(BG6,$BB$6,0)</f>
        <v>0</v>
      </c>
      <c r="BH6" s="494" t="str">
        <f ca="1">CHAR(34)&amp;" ["&amp;FIXED(BG6*25.4,1)&amp;"mm]"</f>
        <v>" [0.0mm]</v>
      </c>
      <c r="BI6" s="316">
        <f ca="1">OFFSET(BI6,$BB$6,0)</f>
        <v>0</v>
      </c>
      <c r="BJ6" s="316">
        <f ca="1">OFFSET(BJ6,$BB$6,0)</f>
        <v>0</v>
      </c>
      <c r="BK6" s="316">
        <f ca="1">OFFSET(BK6,$BB$6,0)</f>
        <v>0</v>
      </c>
      <c r="BL6" s="494" t="str">
        <f ca="1">CHAR(34)&amp;" ["&amp;FIXED(BK6*25.4,1)&amp;"mm]"</f>
        <v>" [0.0mm]</v>
      </c>
      <c r="BM6" s="316">
        <f t="shared" ref="BM6:BV6" ca="1" si="0">OFFSET(BM6,$BB$6,0)</f>
        <v>0</v>
      </c>
      <c r="BN6" s="316">
        <f t="shared" ca="1" si="0"/>
        <v>0</v>
      </c>
      <c r="BO6" s="316">
        <f t="shared" ca="1" si="0"/>
        <v>0</v>
      </c>
      <c r="BP6" s="316">
        <f t="shared" ca="1" si="0"/>
        <v>0</v>
      </c>
      <c r="BQ6" s="316">
        <f t="shared" ca="1" si="0"/>
        <v>0</v>
      </c>
      <c r="BR6" s="316">
        <f t="shared" ca="1" si="0"/>
        <v>0</v>
      </c>
      <c r="BS6" s="316">
        <f t="shared" ca="1" si="0"/>
        <v>0</v>
      </c>
      <c r="BT6" s="316">
        <f t="shared" ca="1" si="0"/>
        <v>0</v>
      </c>
      <c r="BU6" s="316">
        <f t="shared" ca="1" si="0"/>
        <v>0</v>
      </c>
      <c r="BV6" s="316">
        <f t="shared" ca="1" si="0"/>
        <v>0</v>
      </c>
      <c r="BW6" s="316" t="str">
        <f ca="1">IF(OFFSET(BW6,$BB$6,0)&lt;&gt;"",OFFSET(BW6,$BB$6,0),"")</f>
        <v/>
      </c>
      <c r="BX6" s="316" t="str">
        <f t="shared" ref="BX6:CF6" ca="1" si="1">IF(OFFSET(BX6,$BB$6,0)&lt;&gt;"",OFFSET(BX6,$BB$6,0),"")</f>
        <v/>
      </c>
      <c r="BY6" s="316" t="str">
        <f t="shared" ca="1" si="1"/>
        <v/>
      </c>
      <c r="BZ6" s="316" t="str">
        <f t="shared" ca="1" si="1"/>
        <v/>
      </c>
      <c r="CA6" s="316" t="str">
        <f t="shared" ca="1" si="1"/>
        <v/>
      </c>
      <c r="CB6" s="316" t="str">
        <f t="shared" ca="1" si="1"/>
        <v/>
      </c>
      <c r="CC6" s="316" t="str">
        <f t="shared" ca="1" si="1"/>
        <v/>
      </c>
      <c r="CD6" s="316" t="str">
        <f t="shared" ca="1" si="1"/>
        <v/>
      </c>
      <c r="CE6" s="316" t="str">
        <f t="shared" ca="1" si="1"/>
        <v/>
      </c>
      <c r="CF6" s="316" t="str">
        <f t="shared" ca="1" si="1"/>
        <v/>
      </c>
      <c r="CG6" s="316">
        <f t="shared" ref="CG6:CH6" ca="1" si="2">OFFSET(CG6,$BB$6,0)</f>
        <v>0</v>
      </c>
      <c r="CH6" s="316">
        <f t="shared" ca="1" si="2"/>
        <v>0</v>
      </c>
    </row>
    <row r="7" spans="1:86" s="66" customFormat="1" ht="12.75" customHeight="1" x14ac:dyDescent="0.2">
      <c r="F7" s="1251" t="str">
        <f ca="1">IF(AND(F6="RFB-47-CSK",SUM(Chart!BN38:BN41)=0),"*** Consider replacing with RF only PCB RFC36RF ***","")</f>
        <v>*** Consider replacing with RF only PCB RFC36RF ***</v>
      </c>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17" t="s">
        <v>309</v>
      </c>
      <c r="BB7" s="318">
        <v>1</v>
      </c>
      <c r="BC7" s="59">
        <v>1</v>
      </c>
      <c r="BD7" s="59"/>
      <c r="BE7" s="59">
        <v>1</v>
      </c>
      <c r="BF7" s="319">
        <f>1-0.058-0.125</f>
        <v>0.81699999999999995</v>
      </c>
      <c r="BG7" s="320">
        <v>0.125</v>
      </c>
      <c r="BH7" s="320"/>
      <c r="BI7" s="319" t="s">
        <v>76</v>
      </c>
      <c r="BJ7" s="308" t="s">
        <v>310</v>
      </c>
      <c r="BK7" s="308">
        <v>0.125</v>
      </c>
      <c r="BL7" s="308"/>
      <c r="BM7" s="320">
        <v>0</v>
      </c>
      <c r="BN7" s="321" t="s">
        <v>311</v>
      </c>
      <c r="BO7" s="322" t="s">
        <v>312</v>
      </c>
      <c r="BP7" s="320">
        <v>48</v>
      </c>
      <c r="BQ7" s="320" t="s">
        <v>36</v>
      </c>
      <c r="BR7" s="320" t="s">
        <v>36</v>
      </c>
      <c r="BS7" s="320"/>
      <c r="BT7" s="320" t="s">
        <v>31</v>
      </c>
      <c r="BU7" s="320" t="s">
        <v>31</v>
      </c>
      <c r="BV7" s="320" t="s">
        <v>31</v>
      </c>
      <c r="BW7" s="323" t="s">
        <v>36</v>
      </c>
      <c r="BX7" s="323"/>
      <c r="BY7" s="323"/>
      <c r="BZ7" s="323"/>
      <c r="CA7" s="323"/>
      <c r="CB7" s="323"/>
      <c r="CC7" s="324"/>
      <c r="CD7" s="324"/>
      <c r="CE7" s="324"/>
      <c r="CF7" s="324"/>
      <c r="CG7" s="71">
        <v>0</v>
      </c>
      <c r="CH7" s="71">
        <v>100</v>
      </c>
    </row>
    <row r="8" spans="1:86" s="66" customFormat="1" ht="12.75" customHeight="1" thickBot="1" x14ac:dyDescent="0.25">
      <c r="B8" s="325" t="s">
        <v>313</v>
      </c>
      <c r="D8" s="43"/>
      <c r="E8" s="130"/>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17" t="s">
        <v>314</v>
      </c>
      <c r="BB8" s="318">
        <v>2</v>
      </c>
      <c r="BC8" s="59">
        <v>1</v>
      </c>
      <c r="BD8" s="59"/>
      <c r="BE8" s="59">
        <v>1</v>
      </c>
      <c r="BF8" s="319">
        <f>0.068</f>
        <v>6.8000000000000005E-2</v>
      </c>
      <c r="BG8" s="320">
        <v>0.125</v>
      </c>
      <c r="BH8" s="320"/>
      <c r="BI8" s="319" t="s">
        <v>76</v>
      </c>
      <c r="BJ8" s="308" t="s">
        <v>315</v>
      </c>
      <c r="BK8" s="308">
        <v>0.125</v>
      </c>
      <c r="BL8" s="308"/>
      <c r="BM8" s="320">
        <v>0</v>
      </c>
      <c r="BN8" s="321" t="s">
        <v>311</v>
      </c>
      <c r="BO8" s="492" t="s">
        <v>725</v>
      </c>
      <c r="BP8" s="320">
        <v>48</v>
      </c>
      <c r="BQ8" s="320" t="s">
        <v>36</v>
      </c>
      <c r="BR8" s="320" t="s">
        <v>36</v>
      </c>
      <c r="BS8" s="320"/>
      <c r="BT8" s="320" t="s">
        <v>31</v>
      </c>
      <c r="BU8" s="320" t="s">
        <v>31</v>
      </c>
      <c r="BV8" s="320" t="s">
        <v>31</v>
      </c>
      <c r="BW8" s="323" t="s">
        <v>36</v>
      </c>
      <c r="BX8" s="323"/>
      <c r="BY8" s="323"/>
      <c r="BZ8" s="323"/>
      <c r="CA8" s="323"/>
      <c r="CB8" s="323"/>
      <c r="CC8" s="324"/>
      <c r="CD8" s="324"/>
      <c r="CE8" s="324"/>
      <c r="CF8" s="324"/>
      <c r="CG8" s="71">
        <v>0</v>
      </c>
      <c r="CH8" s="71">
        <v>260</v>
      </c>
    </row>
    <row r="9" spans="1:86" s="66" customFormat="1" ht="12.75" customHeight="1" x14ac:dyDescent="0.25">
      <c r="B9" s="880"/>
      <c r="C9" s="855"/>
      <c r="D9" s="855"/>
      <c r="E9" s="853"/>
      <c r="F9" s="881"/>
      <c r="G9" s="855"/>
      <c r="H9" s="855"/>
      <c r="I9" s="855"/>
      <c r="J9" s="855"/>
      <c r="K9" s="855"/>
      <c r="L9" s="882"/>
      <c r="M9" s="855"/>
      <c r="N9" s="855"/>
      <c r="O9" s="855"/>
      <c r="P9" s="855"/>
      <c r="Q9" s="855"/>
      <c r="R9" s="855"/>
      <c r="S9" s="855"/>
      <c r="T9" s="855"/>
      <c r="U9" s="855"/>
      <c r="V9" s="855"/>
      <c r="W9" s="855"/>
      <c r="X9" s="858"/>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17" t="s">
        <v>675</v>
      </c>
      <c r="BB9" s="318">
        <v>3</v>
      </c>
      <c r="BC9" s="59">
        <v>2</v>
      </c>
      <c r="BD9" s="59"/>
      <c r="BE9" s="59">
        <v>1</v>
      </c>
      <c r="BF9" s="319">
        <f>0.068</f>
        <v>6.8000000000000005E-2</v>
      </c>
      <c r="BG9" s="320">
        <v>0.125</v>
      </c>
      <c r="BH9" s="320"/>
      <c r="BI9" s="319" t="s">
        <v>76</v>
      </c>
      <c r="BJ9" s="308" t="s">
        <v>315</v>
      </c>
      <c r="BK9" s="308">
        <v>0.125</v>
      </c>
      <c r="BL9" s="308"/>
      <c r="BM9" s="320">
        <v>0</v>
      </c>
      <c r="BN9" s="321" t="s">
        <v>311</v>
      </c>
      <c r="BO9" s="492" t="str">
        <f>BF9&amp;CHAR(34)&amp;" ["&amp;FIXED(BF9*25.4,1)&amp;"mm] to probe depth"</f>
        <v>0.068" [1.7mm] to probe depth</v>
      </c>
      <c r="BP9" s="320">
        <v>48</v>
      </c>
      <c r="BQ9" s="320" t="s">
        <v>36</v>
      </c>
      <c r="BR9" s="320">
        <v>10</v>
      </c>
      <c r="BS9" s="320" t="s">
        <v>676</v>
      </c>
      <c r="BT9" s="320" t="s">
        <v>31</v>
      </c>
      <c r="BU9" s="320" t="s">
        <v>31</v>
      </c>
      <c r="BV9" s="320" t="s">
        <v>31</v>
      </c>
      <c r="BW9" s="323" t="s">
        <v>628</v>
      </c>
      <c r="BX9" s="323" t="s">
        <v>629</v>
      </c>
      <c r="BY9" s="323" t="s">
        <v>630</v>
      </c>
      <c r="BZ9" s="323"/>
      <c r="CA9" s="323"/>
      <c r="CB9" s="323"/>
      <c r="CC9" s="324"/>
      <c r="CD9" s="324"/>
      <c r="CE9" s="324"/>
      <c r="CF9" s="324"/>
      <c r="CG9" s="71">
        <v>0</v>
      </c>
      <c r="CH9" s="71">
        <v>260</v>
      </c>
    </row>
    <row r="10" spans="1:86" s="66" customFormat="1" ht="12.75" customHeight="1" x14ac:dyDescent="0.25">
      <c r="B10" s="883"/>
      <c r="C10" s="860" t="s">
        <v>40</v>
      </c>
      <c r="D10" s="884">
        <f ca="1">BI6</f>
        <v>0</v>
      </c>
      <c r="E10" s="861"/>
      <c r="F10" s="861"/>
      <c r="G10" s="861"/>
      <c r="H10" s="861"/>
      <c r="I10" s="861"/>
      <c r="J10" s="861"/>
      <c r="K10" s="861"/>
      <c r="L10" s="885"/>
      <c r="M10" s="861"/>
      <c r="N10" s="861"/>
      <c r="O10" s="861"/>
      <c r="P10" s="860" t="s">
        <v>318</v>
      </c>
      <c r="Q10" s="872">
        <f ca="1">BJ6</f>
        <v>0</v>
      </c>
      <c r="R10" s="861"/>
      <c r="S10" s="861"/>
      <c r="T10" s="861"/>
      <c r="U10" s="861"/>
      <c r="V10" s="861"/>
      <c r="W10" s="861"/>
      <c r="X10" s="863"/>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17" t="s">
        <v>777</v>
      </c>
      <c r="BB10" s="318">
        <v>4</v>
      </c>
      <c r="BC10" s="1036">
        <v>4</v>
      </c>
      <c r="BD10" s="1036"/>
      <c r="BE10" s="1036"/>
      <c r="BF10" s="319"/>
      <c r="BG10" s="320">
        <v>0.13800000000000001</v>
      </c>
      <c r="BH10" s="320"/>
      <c r="BI10" s="319" t="s">
        <v>76</v>
      </c>
      <c r="BJ10" s="308" t="s">
        <v>778</v>
      </c>
      <c r="BK10" s="308">
        <v>0.13800000000000001</v>
      </c>
      <c r="BL10" s="308"/>
      <c r="BM10" s="320">
        <v>0</v>
      </c>
      <c r="BN10" s="321"/>
      <c r="BO10" s="492"/>
      <c r="BP10" s="320">
        <v>100</v>
      </c>
      <c r="BQ10" s="320" t="s">
        <v>36</v>
      </c>
      <c r="BR10" s="320" t="s">
        <v>36</v>
      </c>
      <c r="BS10" s="320"/>
      <c r="BT10" s="320" t="s">
        <v>31</v>
      </c>
      <c r="BU10" s="320" t="s">
        <v>86</v>
      </c>
      <c r="BV10" s="320" t="s">
        <v>31</v>
      </c>
      <c r="BW10" s="323" t="s">
        <v>36</v>
      </c>
      <c r="BX10" s="323"/>
      <c r="BY10" s="323"/>
      <c r="BZ10" s="323"/>
      <c r="CA10" s="323"/>
      <c r="CB10" s="323"/>
      <c r="CC10" s="324"/>
      <c r="CD10" s="324"/>
      <c r="CE10" s="324"/>
      <c r="CF10" s="324"/>
      <c r="CG10" s="71">
        <v>0</v>
      </c>
      <c r="CH10" s="71">
        <v>80</v>
      </c>
    </row>
    <row r="11" spans="1:86" s="66" customFormat="1" ht="12.75" customHeight="1" x14ac:dyDescent="0.25">
      <c r="B11" s="883"/>
      <c r="C11" s="861"/>
      <c r="D11" s="861"/>
      <c r="E11" s="861"/>
      <c r="F11" s="860" t="s">
        <v>322</v>
      </c>
      <c r="G11" s="862">
        <f ca="1">BP6</f>
        <v>0</v>
      </c>
      <c r="H11" s="861"/>
      <c r="I11" s="861"/>
      <c r="J11" s="861"/>
      <c r="K11" s="861"/>
      <c r="L11" s="885"/>
      <c r="M11" s="861"/>
      <c r="N11" s="861"/>
      <c r="O11" s="861"/>
      <c r="P11" s="860" t="s">
        <v>88</v>
      </c>
      <c r="Q11" s="886" t="str">
        <f ca="1">BK6&amp;BL6</f>
        <v>0" [0.0mm]</v>
      </c>
      <c r="R11" s="861"/>
      <c r="S11" s="861"/>
      <c r="T11" s="861"/>
      <c r="U11" s="861"/>
      <c r="V11" s="861"/>
      <c r="W11" s="861"/>
      <c r="X11" s="863"/>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17" t="s">
        <v>316</v>
      </c>
      <c r="BB11" s="318">
        <v>5</v>
      </c>
      <c r="BC11" s="59">
        <v>1</v>
      </c>
      <c r="BD11" s="59"/>
      <c r="BE11" s="59">
        <v>0</v>
      </c>
      <c r="BF11" s="319"/>
      <c r="BG11" s="320">
        <v>0.125</v>
      </c>
      <c r="BH11" s="320"/>
      <c r="BI11" s="319" t="s">
        <v>76</v>
      </c>
      <c r="BJ11" s="308" t="s">
        <v>317</v>
      </c>
      <c r="BK11" s="308">
        <v>0.125</v>
      </c>
      <c r="BL11" s="308"/>
      <c r="BM11" s="320">
        <v>0</v>
      </c>
      <c r="BN11" s="321"/>
      <c r="BO11" s="321"/>
      <c r="BP11" s="320">
        <v>48</v>
      </c>
      <c r="BQ11" s="320" t="s">
        <v>36</v>
      </c>
      <c r="BR11" s="320" t="s">
        <v>36</v>
      </c>
      <c r="BS11" s="320"/>
      <c r="BT11" s="320" t="s">
        <v>31</v>
      </c>
      <c r="BU11" s="320" t="s">
        <v>31</v>
      </c>
      <c r="BV11" s="320" t="s">
        <v>31</v>
      </c>
      <c r="BW11" s="323" t="s">
        <v>36</v>
      </c>
      <c r="BX11" s="323"/>
      <c r="BY11" s="323"/>
      <c r="BZ11" s="323"/>
      <c r="CA11" s="323"/>
      <c r="CB11" s="323"/>
      <c r="CC11" s="324"/>
      <c r="CD11" s="324"/>
      <c r="CE11" s="324"/>
      <c r="CF11" s="324"/>
      <c r="CG11" s="71">
        <v>0</v>
      </c>
      <c r="CH11" s="71"/>
    </row>
    <row r="12" spans="1:86" s="66" customFormat="1" ht="12.75" customHeight="1" x14ac:dyDescent="0.25">
      <c r="B12" s="883"/>
      <c r="C12" s="861"/>
      <c r="D12" s="861"/>
      <c r="E12" s="861"/>
      <c r="F12" s="860" t="s">
        <v>325</v>
      </c>
      <c r="G12" s="862">
        <f ca="1">BQ6</f>
        <v>0</v>
      </c>
      <c r="H12" s="887" t="str">
        <f ca="1">IF(G12&lt;&gt;"N/A","(Each consumes 1 DC channel)","")</f>
        <v>(Each consumes 1 DC channel)</v>
      </c>
      <c r="I12" s="861"/>
      <c r="J12" s="861"/>
      <c r="K12" s="861"/>
      <c r="L12" s="885"/>
      <c r="M12" s="861"/>
      <c r="N12" s="861"/>
      <c r="O12" s="861"/>
      <c r="P12" s="860" t="str">
        <f ca="1">IF(BN6&lt;&gt;0,"Note:","")</f>
        <v/>
      </c>
      <c r="Q12" s="886" t="str">
        <f ca="1">IF(BN6&lt;&gt;0,BN6,"")</f>
        <v/>
      </c>
      <c r="R12" s="861"/>
      <c r="S12" s="861"/>
      <c r="T12" s="861"/>
      <c r="U12" s="861"/>
      <c r="V12" s="861"/>
      <c r="W12" s="861"/>
      <c r="X12" s="863"/>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17" t="s">
        <v>648</v>
      </c>
      <c r="BB12" s="318">
        <v>6</v>
      </c>
      <c r="BC12" s="59">
        <v>2</v>
      </c>
      <c r="BD12" s="59"/>
      <c r="BE12" s="59">
        <v>0</v>
      </c>
      <c r="BF12" s="319"/>
      <c r="BG12" s="320">
        <v>0.125</v>
      </c>
      <c r="BH12" s="320"/>
      <c r="BI12" s="319" t="s">
        <v>319</v>
      </c>
      <c r="BJ12" s="308" t="s">
        <v>320</v>
      </c>
      <c r="BK12" s="308">
        <v>0.125</v>
      </c>
      <c r="BL12" s="308"/>
      <c r="BM12" s="320">
        <v>0</v>
      </c>
      <c r="BN12" s="326"/>
      <c r="BO12" s="321"/>
      <c r="BP12" s="320">
        <v>108</v>
      </c>
      <c r="BQ12" s="320" t="s">
        <v>36</v>
      </c>
      <c r="BR12" s="320">
        <v>36</v>
      </c>
      <c r="BS12" s="320" t="s">
        <v>321</v>
      </c>
      <c r="BT12" s="320" t="s">
        <v>31</v>
      </c>
      <c r="BU12" s="320" t="s">
        <v>31</v>
      </c>
      <c r="BV12" s="320" t="s">
        <v>31</v>
      </c>
      <c r="BW12" s="323" t="s">
        <v>628</v>
      </c>
      <c r="BX12" s="323" t="s">
        <v>629</v>
      </c>
      <c r="BY12" s="323" t="s">
        <v>630</v>
      </c>
      <c r="BZ12" s="323"/>
      <c r="CA12" s="323"/>
      <c r="CB12" s="323"/>
      <c r="CC12" s="324"/>
      <c r="CD12" s="324"/>
      <c r="CE12" s="324"/>
      <c r="CF12" s="324"/>
      <c r="CG12" s="71">
        <v>20</v>
      </c>
      <c r="CH12" s="71"/>
    </row>
    <row r="13" spans="1:86" s="66" customFormat="1" ht="12.75" customHeight="1" x14ac:dyDescent="0.25">
      <c r="B13" s="883"/>
      <c r="C13" s="861"/>
      <c r="D13" s="861"/>
      <c r="E13" s="860"/>
      <c r="F13" s="860" t="s">
        <v>330</v>
      </c>
      <c r="G13" s="862">
        <f ca="1">BR6</f>
        <v>0</v>
      </c>
      <c r="H13" s="888">
        <f ca="1">IF(G13&lt;&gt;"N/A",BS6,"")</f>
        <v>0</v>
      </c>
      <c r="I13" s="861"/>
      <c r="J13" s="861"/>
      <c r="K13" s="861"/>
      <c r="L13" s="885"/>
      <c r="M13" s="861"/>
      <c r="N13" s="861"/>
      <c r="O13" s="861"/>
      <c r="P13" s="860"/>
      <c r="Q13" s="886" t="str">
        <f ca="1">IF(BO6&lt;&gt;0,BO6,"")</f>
        <v/>
      </c>
      <c r="R13" s="861"/>
      <c r="S13" s="861"/>
      <c r="T13" s="861"/>
      <c r="U13" s="861"/>
      <c r="V13" s="861"/>
      <c r="W13" s="861"/>
      <c r="X13" s="863"/>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17" t="s">
        <v>308</v>
      </c>
      <c r="BB13" s="318">
        <v>7</v>
      </c>
      <c r="BC13" s="59">
        <v>2</v>
      </c>
      <c r="BD13" s="59"/>
      <c r="BE13" s="59">
        <v>0</v>
      </c>
      <c r="BF13" s="319"/>
      <c r="BG13" s="320">
        <v>0.125</v>
      </c>
      <c r="BH13" s="320"/>
      <c r="BI13" s="319" t="s">
        <v>319</v>
      </c>
      <c r="BJ13" s="308" t="s">
        <v>323</v>
      </c>
      <c r="BK13" s="308">
        <v>0.125</v>
      </c>
      <c r="BL13" s="308"/>
      <c r="BM13" s="320">
        <v>6.2E-2</v>
      </c>
      <c r="BN13" s="321" t="s">
        <v>911</v>
      </c>
      <c r="BO13" s="321" t="s">
        <v>324</v>
      </c>
      <c r="BP13" s="320">
        <v>108</v>
      </c>
      <c r="BQ13" s="320" t="s">
        <v>36</v>
      </c>
      <c r="BR13" s="320">
        <v>36</v>
      </c>
      <c r="BS13" s="320" t="s">
        <v>321</v>
      </c>
      <c r="BT13" s="320" t="s">
        <v>86</v>
      </c>
      <c r="BU13" s="320" t="s">
        <v>86</v>
      </c>
      <c r="BV13" s="320" t="s">
        <v>86</v>
      </c>
      <c r="BW13" s="323" t="s">
        <v>628</v>
      </c>
      <c r="BX13" s="323" t="s">
        <v>629</v>
      </c>
      <c r="BY13" s="323" t="s">
        <v>630</v>
      </c>
      <c r="BZ13" s="323"/>
      <c r="CA13" s="323"/>
      <c r="CB13" s="323"/>
      <c r="CC13" s="324"/>
      <c r="CD13" s="324"/>
      <c r="CE13" s="324"/>
      <c r="CF13" s="324"/>
      <c r="CG13" s="71">
        <v>30</v>
      </c>
      <c r="CH13" s="71"/>
    </row>
    <row r="14" spans="1:86" s="66" customFormat="1" ht="12.75" customHeight="1" thickBot="1" x14ac:dyDescent="0.3">
      <c r="B14" s="889"/>
      <c r="C14" s="867"/>
      <c r="D14" s="867"/>
      <c r="E14" s="867"/>
      <c r="F14" s="867"/>
      <c r="G14" s="867"/>
      <c r="H14" s="867"/>
      <c r="I14" s="867"/>
      <c r="J14" s="867"/>
      <c r="K14" s="919" t="str">
        <f ca="1">IF(Core!BK20,"*** ID Pigtail Required ***","")</f>
        <v/>
      </c>
      <c r="L14" s="890"/>
      <c r="M14" s="867"/>
      <c r="N14" s="867"/>
      <c r="O14" s="867"/>
      <c r="P14" s="867"/>
      <c r="Q14" s="867"/>
      <c r="R14" s="867"/>
      <c r="S14" s="867"/>
      <c r="T14" s="867"/>
      <c r="U14" s="867"/>
      <c r="V14" s="867"/>
      <c r="W14" s="867"/>
      <c r="X14" s="87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17" t="s">
        <v>805</v>
      </c>
      <c r="BB14" s="318">
        <v>8</v>
      </c>
      <c r="BC14" s="1087">
        <v>2</v>
      </c>
      <c r="BD14" s="1087"/>
      <c r="BE14" s="1087">
        <v>0</v>
      </c>
      <c r="BF14" s="319"/>
      <c r="BG14" s="320">
        <v>0.125</v>
      </c>
      <c r="BH14" s="320"/>
      <c r="BI14" s="319" t="s">
        <v>319</v>
      </c>
      <c r="BJ14" s="308" t="s">
        <v>323</v>
      </c>
      <c r="BK14" s="308">
        <v>0.125</v>
      </c>
      <c r="BL14" s="308"/>
      <c r="BM14" s="320"/>
      <c r="BN14" s="321"/>
      <c r="BO14" s="321"/>
      <c r="BP14" s="320">
        <v>108</v>
      </c>
      <c r="BQ14" s="320" t="s">
        <v>36</v>
      </c>
      <c r="BR14" s="320">
        <v>36</v>
      </c>
      <c r="BS14" s="320" t="s">
        <v>321</v>
      </c>
      <c r="BT14" s="320" t="s">
        <v>86</v>
      </c>
      <c r="BU14" s="320" t="s">
        <v>86</v>
      </c>
      <c r="BV14" s="320" t="s">
        <v>86</v>
      </c>
      <c r="BW14" s="323" t="s">
        <v>628</v>
      </c>
      <c r="BX14" s="323" t="s">
        <v>629</v>
      </c>
      <c r="BY14" s="323" t="s">
        <v>630</v>
      </c>
      <c r="BZ14" s="323"/>
      <c r="CA14" s="323"/>
      <c r="CB14" s="323"/>
      <c r="CC14" s="324"/>
      <c r="CD14" s="324"/>
      <c r="CE14" s="324"/>
      <c r="CF14" s="324"/>
      <c r="CG14" s="71">
        <v>30</v>
      </c>
      <c r="CH14" s="71"/>
    </row>
    <row r="15" spans="1:86" s="66" customFormat="1" ht="12.75" customHeight="1" x14ac:dyDescent="0.25">
      <c r="B15" s="255"/>
      <c r="F15" s="327"/>
      <c r="L15" s="328"/>
      <c r="Q15" s="67"/>
      <c r="R15" s="67"/>
      <c r="S15" s="67"/>
      <c r="T15" s="67"/>
      <c r="U15" s="67"/>
      <c r="V15" s="67"/>
      <c r="W15" s="67"/>
      <c r="X15" s="67"/>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17" t="s">
        <v>606</v>
      </c>
      <c r="BB15" s="318">
        <v>9</v>
      </c>
      <c r="BC15" s="59">
        <v>2</v>
      </c>
      <c r="BD15" s="59"/>
      <c r="BE15" s="59">
        <v>0</v>
      </c>
      <c r="BF15" s="319"/>
      <c r="BG15" s="320">
        <v>0.125</v>
      </c>
      <c r="BH15" s="320"/>
      <c r="BI15" s="319" t="str">
        <f>"RF Only (up to "&amp;CG15&amp;" GHz)"</f>
        <v>RF Only (up to 30 GHz)</v>
      </c>
      <c r="BJ15" s="308" t="s">
        <v>323</v>
      </c>
      <c r="BK15" s="308">
        <v>0.125</v>
      </c>
      <c r="BL15" s="308"/>
      <c r="BM15" s="320">
        <v>6.2E-2</v>
      </c>
      <c r="BN15" s="321" t="s">
        <v>911</v>
      </c>
      <c r="BO15" s="321" t="s">
        <v>324</v>
      </c>
      <c r="BP15" s="320" t="s">
        <v>36</v>
      </c>
      <c r="BQ15" s="320" t="s">
        <v>36</v>
      </c>
      <c r="BR15" s="320">
        <v>36</v>
      </c>
      <c r="BS15" s="320"/>
      <c r="BT15" s="320" t="s">
        <v>31</v>
      </c>
      <c r="BU15" s="320" t="s">
        <v>31</v>
      </c>
      <c r="BV15" s="320" t="s">
        <v>86</v>
      </c>
      <c r="BW15" s="323" t="s">
        <v>628</v>
      </c>
      <c r="BX15" s="323"/>
      <c r="BY15" s="323"/>
      <c r="BZ15" s="323"/>
      <c r="CA15" s="323"/>
      <c r="CB15" s="323"/>
      <c r="CC15" s="324"/>
      <c r="CD15" s="324"/>
      <c r="CE15" s="324"/>
      <c r="CF15" s="324"/>
      <c r="CG15" s="71">
        <v>30</v>
      </c>
      <c r="CH15" s="71"/>
    </row>
    <row r="16" spans="1:86" s="66" customFormat="1" ht="12.75" customHeight="1" thickBot="1" x14ac:dyDescent="0.25">
      <c r="A16" s="57"/>
      <c r="B16" s="325" t="s">
        <v>333</v>
      </c>
      <c r="C16" s="57"/>
      <c r="D16" s="57"/>
      <c r="E16" s="57"/>
      <c r="F16" s="57"/>
      <c r="G16" s="57"/>
      <c r="H16" s="57"/>
      <c r="I16" s="57"/>
      <c r="J16" s="57"/>
      <c r="K16" s="57"/>
      <c r="L16" s="57"/>
      <c r="M16" s="57"/>
      <c r="N16" s="57"/>
      <c r="O16" s="57"/>
      <c r="V16" s="57"/>
      <c r="W16" s="57"/>
      <c r="X16" s="57"/>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17" t="s">
        <v>889</v>
      </c>
      <c r="BB16" s="318">
        <v>10</v>
      </c>
      <c r="BC16" s="1264">
        <v>2</v>
      </c>
      <c r="BD16" s="1264"/>
      <c r="BE16" s="1264">
        <v>0</v>
      </c>
      <c r="BF16" s="319"/>
      <c r="BG16" s="320">
        <v>0.125</v>
      </c>
      <c r="BH16" s="320"/>
      <c r="BI16" s="319" t="str">
        <f>"RF Only (up to "&amp;CG16&amp;" GHz)"</f>
        <v>RF Only (up to 81 GHz)</v>
      </c>
      <c r="BJ16" s="308" t="s">
        <v>323</v>
      </c>
      <c r="BK16" s="308">
        <v>0.125</v>
      </c>
      <c r="BL16" s="308"/>
      <c r="BM16" s="320">
        <v>6.2E-2</v>
      </c>
      <c r="BN16" s="321" t="s">
        <v>911</v>
      </c>
      <c r="BO16" s="321" t="s">
        <v>324</v>
      </c>
      <c r="BP16" s="320" t="s">
        <v>36</v>
      </c>
      <c r="BQ16" s="320" t="s">
        <v>36</v>
      </c>
      <c r="BR16" s="320">
        <v>16</v>
      </c>
      <c r="BS16" s="320"/>
      <c r="BT16" s="320" t="s">
        <v>31</v>
      </c>
      <c r="BU16" s="320" t="s">
        <v>31</v>
      </c>
      <c r="BV16" s="320" t="s">
        <v>86</v>
      </c>
      <c r="BW16" s="323" t="s">
        <v>629</v>
      </c>
      <c r="BX16" s="323" t="s">
        <v>630</v>
      </c>
      <c r="BY16" s="323" t="s">
        <v>377</v>
      </c>
      <c r="BZ16" s="323" t="s">
        <v>888</v>
      </c>
      <c r="CA16" s="323"/>
      <c r="CB16" s="323"/>
      <c r="CC16" s="324"/>
      <c r="CD16" s="324"/>
      <c r="CE16" s="324"/>
      <c r="CF16" s="324"/>
      <c r="CG16" s="71">
        <v>81</v>
      </c>
      <c r="CH16" s="71"/>
    </row>
    <row r="17" spans="1:86" s="66" customFormat="1" ht="12.75" customHeight="1" x14ac:dyDescent="0.2">
      <c r="A17" s="57"/>
      <c r="B17" s="329"/>
      <c r="C17" s="330"/>
      <c r="D17" s="330"/>
      <c r="E17" s="96"/>
      <c r="F17" s="330"/>
      <c r="G17" s="95" t="s">
        <v>335</v>
      </c>
      <c r="H17" s="1666"/>
      <c r="I17" s="1666"/>
      <c r="J17" s="1666"/>
      <c r="K17" s="1666"/>
      <c r="L17" s="1666"/>
      <c r="M17" s="1666"/>
      <c r="N17" s="1666"/>
      <c r="O17" s="1666"/>
      <c r="P17" s="94"/>
      <c r="Q17" s="94"/>
      <c r="R17" s="94"/>
      <c r="S17" s="94"/>
      <c r="T17" s="94"/>
      <c r="U17" s="331" t="str">
        <f ca="1">IF(BD21="Yes","[Edge Sense Kit Required]","Install Edge Sense Kit:")</f>
        <v>Install Edge Sense Kit:</v>
      </c>
      <c r="V17" s="1408"/>
      <c r="W17" s="1408"/>
      <c r="X17" s="222"/>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17" t="s">
        <v>326</v>
      </c>
      <c r="BB17" s="318">
        <v>11</v>
      </c>
      <c r="BC17" s="1264">
        <v>2</v>
      </c>
      <c r="BD17" s="1264"/>
      <c r="BE17" s="1264">
        <v>0</v>
      </c>
      <c r="BF17" s="319"/>
      <c r="BG17" s="320">
        <v>0.125</v>
      </c>
      <c r="BH17" s="320"/>
      <c r="BI17" s="319" t="s">
        <v>319</v>
      </c>
      <c r="BJ17" s="308" t="s">
        <v>327</v>
      </c>
      <c r="BK17" s="308">
        <v>0.125</v>
      </c>
      <c r="BL17" s="308"/>
      <c r="BM17" s="320">
        <v>6.2E-2</v>
      </c>
      <c r="BN17" s="321" t="s">
        <v>911</v>
      </c>
      <c r="BO17" s="321" t="s">
        <v>324</v>
      </c>
      <c r="BP17" s="320">
        <v>108</v>
      </c>
      <c r="BQ17" s="320">
        <v>64</v>
      </c>
      <c r="BR17" s="320">
        <v>20</v>
      </c>
      <c r="BS17" s="320" t="s">
        <v>328</v>
      </c>
      <c r="BT17" s="320" t="s">
        <v>31</v>
      </c>
      <c r="BU17" s="320" t="s">
        <v>31</v>
      </c>
      <c r="BV17" s="320" t="s">
        <v>31</v>
      </c>
      <c r="BW17" s="323" t="s">
        <v>628</v>
      </c>
      <c r="BX17" s="323" t="s">
        <v>629</v>
      </c>
      <c r="BY17" s="323" t="s">
        <v>630</v>
      </c>
      <c r="BZ17" s="323" t="s">
        <v>329</v>
      </c>
      <c r="CA17" s="323"/>
      <c r="CB17" s="323"/>
      <c r="CC17" s="324"/>
      <c r="CD17" s="324"/>
      <c r="CE17" s="324"/>
      <c r="CF17" s="324"/>
      <c r="CG17" s="71">
        <v>20</v>
      </c>
      <c r="CH17" s="71"/>
    </row>
    <row r="18" spans="1:86" s="66" customFormat="1" ht="12.75" customHeight="1" x14ac:dyDescent="0.2">
      <c r="A18" s="57"/>
      <c r="B18" s="235"/>
      <c r="C18" s="102"/>
      <c r="D18" s="102"/>
      <c r="E18" s="102"/>
      <c r="F18" s="102"/>
      <c r="G18" s="450" t="s">
        <v>337</v>
      </c>
      <c r="H18" s="1720"/>
      <c r="I18" s="1720"/>
      <c r="J18" s="1720"/>
      <c r="K18" s="1720"/>
      <c r="L18" s="1720"/>
      <c r="M18" s="1720"/>
      <c r="N18" s="1720"/>
      <c r="O18" s="1720"/>
      <c r="P18" s="102"/>
      <c r="Q18" s="102"/>
      <c r="R18" s="450" t="s">
        <v>338</v>
      </c>
      <c r="S18" s="1720"/>
      <c r="T18" s="1720"/>
      <c r="U18" s="1720"/>
      <c r="V18" s="82"/>
      <c r="W18" s="82"/>
      <c r="X18" s="234"/>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17" t="s">
        <v>331</v>
      </c>
      <c r="BB18" s="318">
        <v>12</v>
      </c>
      <c r="BC18" s="1264">
        <v>5</v>
      </c>
      <c r="BD18" s="1264"/>
      <c r="BE18" s="1264">
        <v>0</v>
      </c>
      <c r="BF18" s="319"/>
      <c r="BG18" s="320">
        <v>0.125</v>
      </c>
      <c r="BH18" s="320"/>
      <c r="BI18" s="319" t="s">
        <v>319</v>
      </c>
      <c r="BJ18" s="308" t="s">
        <v>323</v>
      </c>
      <c r="BK18" s="308">
        <v>0.125</v>
      </c>
      <c r="BL18" s="308"/>
      <c r="BM18" s="320">
        <v>0</v>
      </c>
      <c r="BN18" s="321"/>
      <c r="BO18" s="321"/>
      <c r="BP18" s="320">
        <v>408</v>
      </c>
      <c r="BQ18" s="320">
        <v>96</v>
      </c>
      <c r="BR18" s="320">
        <v>56</v>
      </c>
      <c r="BS18" s="320" t="s">
        <v>332</v>
      </c>
      <c r="BT18" s="320" t="s">
        <v>86</v>
      </c>
      <c r="BU18" s="320" t="s">
        <v>31</v>
      </c>
      <c r="BV18" s="320" t="s">
        <v>31</v>
      </c>
      <c r="BW18" s="323" t="s">
        <v>628</v>
      </c>
      <c r="BX18" s="323" t="s">
        <v>630</v>
      </c>
      <c r="BY18" s="323" t="s">
        <v>329</v>
      </c>
      <c r="BZ18" s="323"/>
      <c r="CA18" s="323"/>
      <c r="CB18" s="323"/>
      <c r="CC18" s="324"/>
      <c r="CD18" s="324"/>
      <c r="CE18" s="324"/>
      <c r="CF18" s="324"/>
      <c r="CG18" s="71">
        <v>20</v>
      </c>
      <c r="CH18" s="71"/>
    </row>
    <row r="19" spans="1:86" s="66" customFormat="1" ht="12.75" customHeight="1" x14ac:dyDescent="0.2">
      <c r="A19" s="57"/>
      <c r="B19" s="235"/>
      <c r="C19" s="102"/>
      <c r="D19" s="102"/>
      <c r="E19" s="102"/>
      <c r="F19" s="449" t="s">
        <v>339</v>
      </c>
      <c r="G19" s="1718"/>
      <c r="H19" s="1718"/>
      <c r="J19" s="102"/>
      <c r="K19" s="102"/>
      <c r="L19" s="332" t="s">
        <v>340</v>
      </c>
      <c r="M19" s="1397" t="s">
        <v>341</v>
      </c>
      <c r="N19" s="1397"/>
      <c r="O19" s="1719"/>
      <c r="P19" s="1719"/>
      <c r="Q19" s="1719"/>
      <c r="R19" s="1719"/>
      <c r="S19" s="1719"/>
      <c r="T19" s="1719"/>
      <c r="U19" s="1719"/>
      <c r="V19" s="1719"/>
      <c r="W19" s="1719"/>
      <c r="X19" s="234"/>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17" t="s">
        <v>607</v>
      </c>
      <c r="BB19" s="318">
        <v>13</v>
      </c>
      <c r="BC19" s="59">
        <v>6</v>
      </c>
      <c r="BD19" s="59"/>
      <c r="BE19" s="59">
        <v>0</v>
      </c>
      <c r="BF19" s="319"/>
      <c r="BG19" s="320">
        <v>0.125</v>
      </c>
      <c r="BH19" s="320"/>
      <c r="BI19" s="319" t="s">
        <v>319</v>
      </c>
      <c r="BJ19" s="308" t="s">
        <v>334</v>
      </c>
      <c r="BK19" s="308">
        <v>0.125</v>
      </c>
      <c r="BL19" s="308"/>
      <c r="BM19" s="320">
        <v>0</v>
      </c>
      <c r="BN19" s="321"/>
      <c r="BO19" s="321"/>
      <c r="BP19" s="320">
        <v>512</v>
      </c>
      <c r="BQ19" s="320" t="s">
        <v>36</v>
      </c>
      <c r="BR19" s="320" t="s">
        <v>36</v>
      </c>
      <c r="BS19" s="320"/>
      <c r="BT19" s="320" t="s">
        <v>31</v>
      </c>
      <c r="BU19" s="320" t="s">
        <v>31</v>
      </c>
      <c r="BV19" s="320" t="s">
        <v>31</v>
      </c>
      <c r="BW19" s="323" t="s">
        <v>36</v>
      </c>
      <c r="BX19" s="323"/>
      <c r="BY19" s="323"/>
      <c r="BZ19" s="323"/>
      <c r="CA19" s="323"/>
      <c r="CB19" s="323"/>
      <c r="CC19" s="324"/>
      <c r="CD19" s="324"/>
      <c r="CE19" s="324"/>
      <c r="CF19" s="324"/>
      <c r="CG19" s="71">
        <v>20</v>
      </c>
      <c r="CH19" s="71"/>
    </row>
    <row r="20" spans="1:86" s="66" customFormat="1" ht="12.75" customHeight="1" x14ac:dyDescent="0.2">
      <c r="A20" s="57"/>
      <c r="B20" s="235"/>
      <c r="E20" s="130" t="s">
        <v>605</v>
      </c>
      <c r="F20" s="1667" t="s">
        <v>881</v>
      </c>
      <c r="G20" s="1667"/>
      <c r="H20" s="1667"/>
      <c r="N20" s="332" t="s">
        <v>342</v>
      </c>
      <c r="O20" s="1485" t="s">
        <v>86</v>
      </c>
      <c r="P20" s="1485"/>
      <c r="S20" s="333"/>
      <c r="T20" s="333"/>
      <c r="U20" s="332" t="s">
        <v>343</v>
      </c>
      <c r="V20" s="1485">
        <v>9</v>
      </c>
      <c r="W20" s="1485"/>
      <c r="X20" s="234"/>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139"/>
      <c r="BB20" s="139"/>
      <c r="BC20" s="116" t="s">
        <v>344</v>
      </c>
      <c r="BD20" s="334" t="b">
        <f ca="1">AND(BT6="Yes",G19="Yes")</f>
        <v>0</v>
      </c>
      <c r="BE20" s="139"/>
      <c r="BF20" s="139"/>
      <c r="BG20" s="139"/>
      <c r="BH20" s="139"/>
      <c r="BM20" s="71"/>
      <c r="BN20" s="71"/>
      <c r="BO20" s="71"/>
      <c r="BP20" s="71"/>
      <c r="BQ20" s="71"/>
      <c r="BR20" s="71"/>
      <c r="BS20" s="71"/>
      <c r="BT20" s="71"/>
      <c r="BU20" s="71"/>
    </row>
    <row r="21" spans="1:86" s="66" customFormat="1" ht="12.75" customHeight="1" x14ac:dyDescent="0.2">
      <c r="A21" s="57"/>
      <c r="B21" s="235"/>
      <c r="C21" s="102"/>
      <c r="D21" s="102"/>
      <c r="E21" s="102"/>
      <c r="F21" s="102"/>
      <c r="G21" s="102"/>
      <c r="H21" s="448" t="s">
        <v>345</v>
      </c>
      <c r="I21" s="1710"/>
      <c r="J21" s="1710"/>
      <c r="K21" s="82"/>
      <c r="L21" s="335" t="str">
        <f ca="1">IF(AND(DUT!BB27=1,D10="DC/RF"),"***Probe temp below 0°: Vapor barrier recommended***","")</f>
        <v/>
      </c>
      <c r="N21" s="82"/>
      <c r="O21" s="82"/>
      <c r="P21" s="102"/>
      <c r="Q21" s="102"/>
      <c r="R21" s="102"/>
      <c r="S21" s="102"/>
      <c r="T21" s="102"/>
      <c r="U21" s="102"/>
      <c r="V21" s="82"/>
      <c r="W21" s="82"/>
      <c r="X21" s="234"/>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139"/>
      <c r="BB21" s="139"/>
      <c r="BC21" s="116" t="s">
        <v>346</v>
      </c>
      <c r="BD21" s="336">
        <f ca="1">edgeSense</f>
        <v>0</v>
      </c>
      <c r="BE21" s="139"/>
      <c r="BF21" s="139"/>
      <c r="BG21" s="139"/>
      <c r="BH21" s="139"/>
      <c r="BM21" s="71"/>
      <c r="BN21" s="71"/>
      <c r="BO21" s="71"/>
      <c r="BP21" s="71"/>
      <c r="BQ21" s="71"/>
      <c r="BR21" s="71"/>
      <c r="BS21" s="71"/>
      <c r="BT21" s="71"/>
      <c r="BU21" s="71"/>
    </row>
    <row r="22" spans="1:86" s="66" customFormat="1" ht="12.75" customHeight="1" thickBot="1" x14ac:dyDescent="0.25">
      <c r="A22" s="57"/>
      <c r="B22" s="487"/>
      <c r="C22" s="118"/>
      <c r="D22" s="118"/>
      <c r="E22" s="118"/>
      <c r="F22" s="118"/>
      <c r="G22" s="118"/>
      <c r="H22" s="338"/>
      <c r="I22" s="338"/>
      <c r="J22" s="338"/>
      <c r="K22" s="338"/>
      <c r="L22" s="338"/>
      <c r="M22" s="338"/>
      <c r="N22" s="338"/>
      <c r="O22" s="338"/>
      <c r="P22" s="118"/>
      <c r="Q22" s="118"/>
      <c r="R22" s="118"/>
      <c r="S22" s="118"/>
      <c r="T22" s="118"/>
      <c r="U22" s="118"/>
      <c r="V22" s="338"/>
      <c r="W22" s="338"/>
      <c r="X22" s="228"/>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139"/>
      <c r="BB22" s="139"/>
      <c r="BD22" s="139"/>
      <c r="BE22" s="139"/>
      <c r="BF22" s="139"/>
      <c r="BM22" s="71"/>
      <c r="BN22" s="71"/>
      <c r="BO22" s="71"/>
      <c r="BP22" s="71"/>
      <c r="BQ22" s="71"/>
      <c r="BR22" s="71"/>
      <c r="BS22" s="71"/>
      <c r="BT22" s="71"/>
      <c r="BU22" s="71"/>
    </row>
    <row r="23" spans="1:86" ht="12.75" customHeight="1" thickBot="1" x14ac:dyDescent="0.25">
      <c r="H23" s="1711"/>
      <c r="I23" s="1711"/>
      <c r="BC23" s="339" t="s">
        <v>347</v>
      </c>
    </row>
    <row r="24" spans="1:86" ht="12.75" customHeight="1" thickBot="1" x14ac:dyDescent="0.25">
      <c r="B24" s="325" t="s">
        <v>348</v>
      </c>
      <c r="H24" s="326"/>
      <c r="BC24" s="340" t="s">
        <v>336</v>
      </c>
      <c r="BD24" s="341"/>
      <c r="BE24" s="341"/>
      <c r="BF24" s="341"/>
      <c r="BG24" s="342"/>
    </row>
    <row r="25" spans="1:86" ht="12.75" customHeight="1" x14ac:dyDescent="0.2">
      <c r="B25" s="891"/>
      <c r="C25" s="892"/>
      <c r="D25" s="892"/>
      <c r="E25" s="856"/>
      <c r="F25" s="892"/>
      <c r="G25" s="856" t="s">
        <v>349</v>
      </c>
      <c r="H25" s="856"/>
      <c r="I25" s="892"/>
      <c r="J25" s="892"/>
      <c r="K25" s="892"/>
      <c r="L25" s="892"/>
      <c r="M25" s="893"/>
      <c r="N25" s="301"/>
      <c r="O25" s="301"/>
      <c r="P25" s="301"/>
      <c r="Q25" s="301"/>
      <c r="R25" s="172"/>
      <c r="S25" s="172"/>
      <c r="T25" s="301"/>
      <c r="U25" s="301"/>
      <c r="V25" s="301"/>
      <c r="W25" s="301"/>
      <c r="X25" s="301"/>
      <c r="BC25" s="343" t="s">
        <v>350</v>
      </c>
      <c r="BD25" s="138"/>
      <c r="BE25" s="138"/>
      <c r="BF25" s="138"/>
      <c r="BG25" s="344"/>
    </row>
    <row r="26" spans="1:86" ht="12.75" customHeight="1" thickBot="1" x14ac:dyDescent="0.25">
      <c r="B26" s="345"/>
      <c r="C26" s="273"/>
      <c r="D26" s="346" t="s">
        <v>351</v>
      </c>
      <c r="E26" s="1712" t="str">
        <f ca="1">BW6</f>
        <v/>
      </c>
      <c r="F26" s="1712"/>
      <c r="G26" s="1712" t="str">
        <f ca="1">BX6</f>
        <v/>
      </c>
      <c r="H26" s="1712"/>
      <c r="I26" s="1712" t="str">
        <f ca="1">BY6</f>
        <v/>
      </c>
      <c r="J26" s="1712"/>
      <c r="K26" s="1712" t="str">
        <f ca="1">BZ6</f>
        <v/>
      </c>
      <c r="L26" s="1712"/>
      <c r="M26" s="275"/>
      <c r="N26" s="301"/>
      <c r="O26" s="301"/>
      <c r="P26" s="244"/>
      <c r="Q26" s="172"/>
      <c r="R26" s="172"/>
      <c r="S26" s="172"/>
      <c r="T26" s="172"/>
      <c r="U26" s="172"/>
      <c r="V26" s="172"/>
      <c r="W26" s="172"/>
      <c r="X26" s="172"/>
      <c r="BC26" s="347" t="s">
        <v>352</v>
      </c>
      <c r="BD26" s="348"/>
      <c r="BE26" s="348"/>
      <c r="BF26" s="348"/>
      <c r="BG26" s="349"/>
    </row>
    <row r="27" spans="1:86" ht="12.75" customHeight="1" x14ac:dyDescent="0.2">
      <c r="B27" s="345"/>
      <c r="C27" s="273"/>
      <c r="D27" s="346" t="s">
        <v>353</v>
      </c>
      <c r="E27" s="1707" t="str">
        <f ca="1">IF(E26&lt;&gt;"",COUNTIF(Pinlist!$X:$X,E26)*Multiplyer,"")</f>
        <v/>
      </c>
      <c r="F27" s="1707"/>
      <c r="G27" s="1707" t="str">
        <f ca="1">IF(G26&lt;&gt;"",COUNTIF(Pinlist!$X:$X,G26)*Multiplyer,"")</f>
        <v/>
      </c>
      <c r="H27" s="1707"/>
      <c r="I27" s="1707" t="str">
        <f ca="1">IF(I26&lt;&gt;"",COUNTIF(Pinlist!$X:$X,I26)*Multiplyer,"")</f>
        <v/>
      </c>
      <c r="J27" s="1707"/>
      <c r="K27" s="1707" t="str">
        <f ca="1">IF(K26&lt;&gt;"",COUNTIF(Pinlist!$X:$X,K26)*Multiplyer,"")</f>
        <v/>
      </c>
      <c r="L27" s="1707"/>
      <c r="M27" s="275"/>
      <c r="N27" s="301"/>
      <c r="O27" s="301"/>
      <c r="P27" s="244"/>
      <c r="Q27" s="772"/>
      <c r="R27" s="772"/>
      <c r="S27" s="772"/>
      <c r="T27" s="772"/>
      <c r="U27" s="772"/>
      <c r="V27" s="772"/>
      <c r="W27" s="772"/>
      <c r="X27" s="772"/>
      <c r="BI27" s="350"/>
    </row>
    <row r="28" spans="1:86" ht="12.75" customHeight="1" thickBot="1" x14ac:dyDescent="0.25">
      <c r="B28" s="920"/>
      <c r="C28" s="921"/>
      <c r="D28" s="860" t="s">
        <v>135</v>
      </c>
      <c r="E28" s="1713" t="str">
        <f>Pinlist!BK2</f>
        <v>+/-2.5ps</v>
      </c>
      <c r="F28" s="1715"/>
      <c r="G28" s="1713" t="str">
        <f>Pinlist!BL2</f>
        <v>+/-5ps</v>
      </c>
      <c r="H28" s="1714"/>
      <c r="I28" s="1713" t="str">
        <f>Pinlist!BM2</f>
        <v>+/-10ps</v>
      </c>
      <c r="J28" s="1714"/>
      <c r="K28" s="1713" t="str">
        <f>Pinlist!BN2</f>
        <v>+/-20ps</v>
      </c>
      <c r="L28" s="1714"/>
      <c r="M28" s="922"/>
      <c r="N28" s="301"/>
      <c r="O28" s="301"/>
      <c r="P28" s="244"/>
      <c r="Q28" s="172"/>
      <c r="R28" s="172"/>
      <c r="S28" s="172"/>
      <c r="T28" s="172"/>
      <c r="U28" s="172"/>
      <c r="V28" s="172"/>
      <c r="W28" s="172"/>
      <c r="X28" s="172"/>
      <c r="BC28" s="339" t="s">
        <v>354</v>
      </c>
    </row>
    <row r="29" spans="1:86" ht="12.75" customHeight="1" x14ac:dyDescent="0.2">
      <c r="B29" s="345"/>
      <c r="C29" s="273"/>
      <c r="D29" s="346" t="s">
        <v>353</v>
      </c>
      <c r="E29" s="1707">
        <f>Pinlist_Pmatch_2p5ps</f>
        <v>0</v>
      </c>
      <c r="F29" s="1707"/>
      <c r="G29" s="1707">
        <f>Pinlist_Pmatch_5ps</f>
        <v>0</v>
      </c>
      <c r="H29" s="1707"/>
      <c r="I29" s="1707">
        <f>Pinlist_Pmatch_10ps</f>
        <v>0</v>
      </c>
      <c r="J29" s="1707"/>
      <c r="K29" s="1707">
        <f>Pinlist_Pmatch_20ps</f>
        <v>0</v>
      </c>
      <c r="L29" s="1707"/>
      <c r="M29" s="275"/>
      <c r="N29" s="301"/>
      <c r="O29" s="301"/>
      <c r="P29" s="244"/>
      <c r="Q29" s="772"/>
      <c r="R29" s="772"/>
      <c r="S29" s="772"/>
      <c r="T29" s="772"/>
      <c r="U29" s="772"/>
      <c r="V29" s="772"/>
      <c r="W29" s="772"/>
      <c r="X29" s="772"/>
      <c r="BC29" s="340" t="s">
        <v>341</v>
      </c>
      <c r="BD29" s="341"/>
      <c r="BE29" s="341"/>
      <c r="BF29" s="341"/>
      <c r="BG29" s="341"/>
      <c r="BH29" s="342"/>
    </row>
    <row r="30" spans="1:86" ht="12.75" customHeight="1" thickBot="1" x14ac:dyDescent="0.25">
      <c r="B30" s="351"/>
      <c r="C30" s="294"/>
      <c r="D30" s="294"/>
      <c r="E30" s="294"/>
      <c r="F30" s="352" t="s">
        <v>355</v>
      </c>
      <c r="G30" s="1708">
        <f>(Pinlist!AB5+Pinlist!AD5)</f>
        <v>0</v>
      </c>
      <c r="H30" s="1709"/>
      <c r="I30" s="294"/>
      <c r="J30" s="294"/>
      <c r="K30" s="294"/>
      <c r="L30" s="294"/>
      <c r="M30" s="295"/>
      <c r="N30" s="301"/>
      <c r="O30" s="301"/>
      <c r="P30" s="301"/>
      <c r="Q30" s="301"/>
      <c r="R30" s="244"/>
      <c r="S30" s="772"/>
      <c r="T30" s="772"/>
      <c r="U30" s="301"/>
      <c r="V30" s="301"/>
      <c r="W30" s="301"/>
      <c r="X30" s="301"/>
      <c r="BC30" s="353" t="s">
        <v>356</v>
      </c>
      <c r="BD30" s="354"/>
      <c r="BE30" s="354"/>
      <c r="BF30" s="354"/>
      <c r="BG30" s="354"/>
      <c r="BH30" s="355"/>
    </row>
    <row r="32" spans="1:86" ht="12.75" customHeight="1" x14ac:dyDescent="0.2">
      <c r="BB32" s="138"/>
      <c r="BC32" s="674"/>
      <c r="BD32" s="675"/>
      <c r="BE32" s="675"/>
      <c r="BF32" s="675"/>
      <c r="BG32" s="674"/>
      <c r="BH32" s="675"/>
    </row>
    <row r="33" spans="1:104" ht="12.75" customHeight="1" x14ac:dyDescent="0.2">
      <c r="BB33" s="138"/>
      <c r="BC33" s="675"/>
      <c r="BD33" s="675"/>
      <c r="BE33" s="676"/>
      <c r="BF33" s="675"/>
      <c r="BG33" s="675"/>
      <c r="BH33" s="675"/>
    </row>
    <row r="34" spans="1:104" ht="12.75" customHeight="1" x14ac:dyDescent="0.2">
      <c r="BB34" s="138"/>
      <c r="BC34" s="675"/>
      <c r="BD34" s="675"/>
      <c r="BE34" s="676"/>
      <c r="BF34" s="675"/>
      <c r="BG34" s="675"/>
      <c r="BH34" s="675"/>
    </row>
    <row r="35" spans="1:104" ht="12.75" customHeight="1" x14ac:dyDescent="0.2">
      <c r="B35" s="356" t="s">
        <v>155</v>
      </c>
      <c r="C35" s="357"/>
      <c r="D35" s="67"/>
      <c r="E35" s="67"/>
      <c r="F35" s="67"/>
      <c r="G35" s="67"/>
      <c r="H35" s="67"/>
      <c r="I35" s="67"/>
      <c r="J35" s="67"/>
      <c r="K35" s="67"/>
      <c r="L35" s="67"/>
      <c r="M35" s="67"/>
      <c r="N35" s="67"/>
      <c r="O35" s="67"/>
      <c r="P35" s="67"/>
      <c r="Q35" s="67"/>
      <c r="R35" s="67"/>
      <c r="S35" s="67"/>
      <c r="T35" s="67"/>
      <c r="U35" s="67"/>
      <c r="V35" s="67"/>
      <c r="W35" s="67"/>
      <c r="X35" s="67"/>
      <c r="Y35" s="67"/>
    </row>
    <row r="36" spans="1:104" ht="27.95" customHeight="1" x14ac:dyDescent="0.2">
      <c r="B36" s="726">
        <v>1</v>
      </c>
      <c r="C36" s="1648"/>
      <c r="D36" s="1705"/>
      <c r="E36" s="1705"/>
      <c r="F36" s="1705"/>
      <c r="G36" s="1705"/>
      <c r="H36" s="1705"/>
      <c r="I36" s="1705"/>
      <c r="J36" s="1705"/>
      <c r="K36" s="1705"/>
      <c r="L36" s="1705"/>
      <c r="M36" s="1705"/>
      <c r="N36" s="1705"/>
      <c r="O36" s="1705"/>
      <c r="P36" s="1705"/>
      <c r="Q36" s="1705"/>
      <c r="R36" s="1705"/>
      <c r="S36" s="1705"/>
      <c r="T36" s="1705"/>
      <c r="U36" s="1705"/>
      <c r="V36" s="1705"/>
      <c r="W36" s="1705"/>
      <c r="X36" s="1706"/>
    </row>
    <row r="37" spans="1:104" ht="27.95" customHeight="1" x14ac:dyDescent="0.2">
      <c r="B37" s="297">
        <f>B36+1</f>
        <v>2</v>
      </c>
      <c r="C37" s="1648"/>
      <c r="D37" s="1705"/>
      <c r="E37" s="1705"/>
      <c r="F37" s="1705"/>
      <c r="G37" s="1705"/>
      <c r="H37" s="1705"/>
      <c r="I37" s="1705"/>
      <c r="J37" s="1705"/>
      <c r="K37" s="1705"/>
      <c r="L37" s="1705"/>
      <c r="M37" s="1705"/>
      <c r="N37" s="1705"/>
      <c r="O37" s="1705"/>
      <c r="P37" s="1705"/>
      <c r="Q37" s="1705"/>
      <c r="R37" s="1705"/>
      <c r="S37" s="1705"/>
      <c r="T37" s="1705"/>
      <c r="U37" s="1705"/>
      <c r="V37" s="1705"/>
      <c r="W37" s="1705"/>
      <c r="X37" s="1706"/>
    </row>
    <row r="38" spans="1:104" ht="27.95" customHeight="1" x14ac:dyDescent="0.2">
      <c r="B38" s="297">
        <f t="shared" ref="B38:B55" si="3">B37+1</f>
        <v>3</v>
      </c>
      <c r="C38" s="1648"/>
      <c r="D38" s="1705"/>
      <c r="E38" s="1705"/>
      <c r="F38" s="1705"/>
      <c r="G38" s="1705"/>
      <c r="H38" s="1705"/>
      <c r="I38" s="1705"/>
      <c r="J38" s="1705"/>
      <c r="K38" s="1705"/>
      <c r="L38" s="1705"/>
      <c r="M38" s="1705"/>
      <c r="N38" s="1705"/>
      <c r="O38" s="1705"/>
      <c r="P38" s="1705"/>
      <c r="Q38" s="1705"/>
      <c r="R38" s="1705"/>
      <c r="S38" s="1705"/>
      <c r="T38" s="1705"/>
      <c r="U38" s="1705"/>
      <c r="V38" s="1705"/>
      <c r="W38" s="1705"/>
      <c r="X38" s="1706"/>
    </row>
    <row r="39" spans="1:104" ht="27.95" customHeight="1" x14ac:dyDescent="0.2">
      <c r="B39" s="297">
        <f t="shared" si="3"/>
        <v>4</v>
      </c>
      <c r="C39" s="1648"/>
      <c r="D39" s="1705"/>
      <c r="E39" s="1705"/>
      <c r="F39" s="1705"/>
      <c r="G39" s="1705"/>
      <c r="H39" s="1705"/>
      <c r="I39" s="1705"/>
      <c r="J39" s="1705"/>
      <c r="K39" s="1705"/>
      <c r="L39" s="1705"/>
      <c r="M39" s="1705"/>
      <c r="N39" s="1705"/>
      <c r="O39" s="1705"/>
      <c r="P39" s="1705"/>
      <c r="Q39" s="1705"/>
      <c r="R39" s="1705"/>
      <c r="S39" s="1705"/>
      <c r="T39" s="1705"/>
      <c r="U39" s="1705"/>
      <c r="V39" s="1705"/>
      <c r="W39" s="1705"/>
      <c r="X39" s="1706"/>
    </row>
    <row r="40" spans="1:104" ht="27.95" customHeight="1" x14ac:dyDescent="0.2">
      <c r="B40" s="297">
        <f t="shared" si="3"/>
        <v>5</v>
      </c>
      <c r="C40" s="1648"/>
      <c r="D40" s="1705"/>
      <c r="E40" s="1705"/>
      <c r="F40" s="1705"/>
      <c r="G40" s="1705"/>
      <c r="H40" s="1705"/>
      <c r="I40" s="1705"/>
      <c r="J40" s="1705"/>
      <c r="K40" s="1705"/>
      <c r="L40" s="1705"/>
      <c r="M40" s="1705"/>
      <c r="N40" s="1705"/>
      <c r="O40" s="1705"/>
      <c r="P40" s="1705"/>
      <c r="Q40" s="1705"/>
      <c r="R40" s="1705"/>
      <c r="S40" s="1705"/>
      <c r="T40" s="1705"/>
      <c r="U40" s="1705"/>
      <c r="V40" s="1705"/>
      <c r="W40" s="1705"/>
      <c r="X40" s="1706"/>
    </row>
    <row r="41" spans="1:104" ht="27.95" customHeight="1" x14ac:dyDescent="0.2">
      <c r="B41" s="297">
        <f t="shared" si="3"/>
        <v>6</v>
      </c>
      <c r="C41" s="1648"/>
      <c r="D41" s="1705"/>
      <c r="E41" s="1705"/>
      <c r="F41" s="1705"/>
      <c r="G41" s="1705"/>
      <c r="H41" s="1705"/>
      <c r="I41" s="1705"/>
      <c r="J41" s="1705"/>
      <c r="K41" s="1705"/>
      <c r="L41" s="1705"/>
      <c r="M41" s="1705"/>
      <c r="N41" s="1705"/>
      <c r="O41" s="1705"/>
      <c r="P41" s="1705"/>
      <c r="Q41" s="1705"/>
      <c r="R41" s="1705"/>
      <c r="S41" s="1705"/>
      <c r="T41" s="1705"/>
      <c r="U41" s="1705"/>
      <c r="V41" s="1705"/>
      <c r="W41" s="1705"/>
      <c r="X41" s="1706"/>
    </row>
    <row r="42" spans="1:104" ht="27.95" customHeight="1" x14ac:dyDescent="0.2">
      <c r="B42" s="297">
        <f t="shared" si="3"/>
        <v>7</v>
      </c>
      <c r="C42" s="1648"/>
      <c r="D42" s="1705"/>
      <c r="E42" s="1705"/>
      <c r="F42" s="1705"/>
      <c r="G42" s="1705"/>
      <c r="H42" s="1705"/>
      <c r="I42" s="1705"/>
      <c r="J42" s="1705"/>
      <c r="K42" s="1705"/>
      <c r="L42" s="1705"/>
      <c r="M42" s="1705"/>
      <c r="N42" s="1705"/>
      <c r="O42" s="1705"/>
      <c r="P42" s="1705"/>
      <c r="Q42" s="1705"/>
      <c r="R42" s="1705"/>
      <c r="S42" s="1705"/>
      <c r="T42" s="1705"/>
      <c r="U42" s="1705"/>
      <c r="V42" s="1705"/>
      <c r="W42" s="1705"/>
      <c r="X42" s="1706"/>
    </row>
    <row r="43" spans="1:104" ht="27.95" customHeight="1" x14ac:dyDescent="0.2">
      <c r="B43" s="297">
        <f t="shared" si="3"/>
        <v>8</v>
      </c>
      <c r="C43" s="1648"/>
      <c r="D43" s="1705"/>
      <c r="E43" s="1705"/>
      <c r="F43" s="1705"/>
      <c r="G43" s="1705"/>
      <c r="H43" s="1705"/>
      <c r="I43" s="1705"/>
      <c r="J43" s="1705"/>
      <c r="K43" s="1705"/>
      <c r="L43" s="1705"/>
      <c r="M43" s="1705"/>
      <c r="N43" s="1705"/>
      <c r="O43" s="1705"/>
      <c r="P43" s="1705"/>
      <c r="Q43" s="1705"/>
      <c r="R43" s="1705"/>
      <c r="S43" s="1705"/>
      <c r="T43" s="1705"/>
      <c r="U43" s="1705"/>
      <c r="V43" s="1705"/>
      <c r="W43" s="1705"/>
      <c r="X43" s="1706"/>
    </row>
    <row r="44" spans="1:104" ht="27.95" customHeight="1" x14ac:dyDescent="0.2">
      <c r="B44" s="297">
        <f t="shared" si="3"/>
        <v>9</v>
      </c>
      <c r="C44" s="1648"/>
      <c r="D44" s="1705"/>
      <c r="E44" s="1705"/>
      <c r="F44" s="1705"/>
      <c r="G44" s="1705"/>
      <c r="H44" s="1705"/>
      <c r="I44" s="1705"/>
      <c r="J44" s="1705"/>
      <c r="K44" s="1705"/>
      <c r="L44" s="1705"/>
      <c r="M44" s="1705"/>
      <c r="N44" s="1705"/>
      <c r="O44" s="1705"/>
      <c r="P44" s="1705"/>
      <c r="Q44" s="1705"/>
      <c r="R44" s="1705"/>
      <c r="S44" s="1705"/>
      <c r="T44" s="1705"/>
      <c r="U44" s="1705"/>
      <c r="V44" s="1705"/>
      <c r="W44" s="1705"/>
      <c r="X44" s="1706"/>
    </row>
    <row r="45" spans="1:104" ht="27.95" customHeight="1" x14ac:dyDescent="0.2">
      <c r="B45" s="297">
        <f t="shared" si="3"/>
        <v>10</v>
      </c>
      <c r="C45" s="1648"/>
      <c r="D45" s="1705"/>
      <c r="E45" s="1705"/>
      <c r="F45" s="1705"/>
      <c r="G45" s="1705"/>
      <c r="H45" s="1705"/>
      <c r="I45" s="1705"/>
      <c r="J45" s="1705"/>
      <c r="K45" s="1705"/>
      <c r="L45" s="1705"/>
      <c r="M45" s="1705"/>
      <c r="N45" s="1705"/>
      <c r="O45" s="1705"/>
      <c r="P45" s="1705"/>
      <c r="Q45" s="1705"/>
      <c r="R45" s="1705"/>
      <c r="S45" s="1705"/>
      <c r="T45" s="1705"/>
      <c r="U45" s="1705"/>
      <c r="V45" s="1705"/>
      <c r="W45" s="1705"/>
      <c r="X45" s="1706"/>
    </row>
    <row r="46" spans="1:104" ht="27.95" customHeight="1" x14ac:dyDescent="0.2">
      <c r="B46" s="297">
        <f t="shared" si="3"/>
        <v>11</v>
      </c>
      <c r="C46" s="1648"/>
      <c r="D46" s="1705"/>
      <c r="E46" s="1705"/>
      <c r="F46" s="1705"/>
      <c r="G46" s="1705"/>
      <c r="H46" s="1705"/>
      <c r="I46" s="1705"/>
      <c r="J46" s="1705"/>
      <c r="K46" s="1705"/>
      <c r="L46" s="1705"/>
      <c r="M46" s="1705"/>
      <c r="N46" s="1705"/>
      <c r="O46" s="1705"/>
      <c r="P46" s="1705"/>
      <c r="Q46" s="1705"/>
      <c r="R46" s="1705"/>
      <c r="S46" s="1705"/>
      <c r="T46" s="1705"/>
      <c r="U46" s="1705"/>
      <c r="V46" s="1705"/>
      <c r="W46" s="1705"/>
      <c r="X46" s="1706"/>
    </row>
    <row r="47" spans="1:104" ht="27.95" customHeight="1" x14ac:dyDescent="0.2">
      <c r="B47" s="297">
        <f t="shared" si="3"/>
        <v>12</v>
      </c>
      <c r="C47" s="1648"/>
      <c r="D47" s="1705"/>
      <c r="E47" s="1705"/>
      <c r="F47" s="1705"/>
      <c r="G47" s="1705"/>
      <c r="H47" s="1705"/>
      <c r="I47" s="1705"/>
      <c r="J47" s="1705"/>
      <c r="K47" s="1705"/>
      <c r="L47" s="1705"/>
      <c r="M47" s="1705"/>
      <c r="N47" s="1705"/>
      <c r="O47" s="1705"/>
      <c r="P47" s="1705"/>
      <c r="Q47" s="1705"/>
      <c r="R47" s="1705"/>
      <c r="S47" s="1705"/>
      <c r="T47" s="1705"/>
      <c r="U47" s="1705"/>
      <c r="V47" s="1705"/>
      <c r="W47" s="1705"/>
      <c r="X47" s="1706"/>
    </row>
    <row r="48" spans="1:104" s="6" customFormat="1" ht="27.95" customHeight="1" x14ac:dyDescent="0.2">
      <c r="A48" s="57"/>
      <c r="B48" s="297">
        <f t="shared" si="3"/>
        <v>13</v>
      </c>
      <c r="C48" s="1648"/>
      <c r="D48" s="1705"/>
      <c r="E48" s="1705"/>
      <c r="F48" s="1705"/>
      <c r="G48" s="1705"/>
      <c r="H48" s="1705"/>
      <c r="I48" s="1705"/>
      <c r="J48" s="1705"/>
      <c r="K48" s="1705"/>
      <c r="L48" s="1705"/>
      <c r="M48" s="1705"/>
      <c r="N48" s="1705"/>
      <c r="O48" s="1705"/>
      <c r="P48" s="1705"/>
      <c r="Q48" s="1705"/>
      <c r="R48" s="1705"/>
      <c r="S48" s="1705"/>
      <c r="T48" s="1705"/>
      <c r="U48" s="1705"/>
      <c r="V48" s="1705"/>
      <c r="W48" s="1705"/>
      <c r="X48" s="1706"/>
      <c r="Z48" s="301"/>
      <c r="BA48" s="358"/>
      <c r="BB48" s="358"/>
      <c r="BC48" s="358"/>
      <c r="BD48" s="358"/>
      <c r="BE48" s="358"/>
      <c r="BF48" s="358"/>
      <c r="BG48" s="358"/>
      <c r="BH48" s="358"/>
      <c r="BI48" s="358"/>
      <c r="BJ48" s="358"/>
      <c r="BK48" s="359"/>
      <c r="BL48" s="359"/>
      <c r="BM48" s="359"/>
      <c r="BN48" s="359"/>
      <c r="BO48" s="359"/>
      <c r="BP48" s="359"/>
      <c r="BQ48" s="359"/>
      <c r="BR48" s="359"/>
      <c r="BS48" s="359"/>
      <c r="BT48" s="359"/>
      <c r="BU48" s="359"/>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row>
    <row r="49" spans="1:104" s="6" customFormat="1" ht="27.95" customHeight="1" x14ac:dyDescent="0.2">
      <c r="A49" s="57"/>
      <c r="B49" s="297">
        <f t="shared" si="3"/>
        <v>14</v>
      </c>
      <c r="C49" s="1648"/>
      <c r="D49" s="1705"/>
      <c r="E49" s="1705"/>
      <c r="F49" s="1705"/>
      <c r="G49" s="1705"/>
      <c r="H49" s="1705"/>
      <c r="I49" s="1705"/>
      <c r="J49" s="1705"/>
      <c r="K49" s="1705"/>
      <c r="L49" s="1705"/>
      <c r="M49" s="1705"/>
      <c r="N49" s="1705"/>
      <c r="O49" s="1705"/>
      <c r="P49" s="1705"/>
      <c r="Q49" s="1705"/>
      <c r="R49" s="1705"/>
      <c r="S49" s="1705"/>
      <c r="T49" s="1705"/>
      <c r="U49" s="1705"/>
      <c r="V49" s="1705"/>
      <c r="W49" s="1705"/>
      <c r="X49" s="1706"/>
      <c r="Z49" s="360"/>
      <c r="BA49" s="358"/>
      <c r="BB49" s="358"/>
      <c r="BC49" s="358"/>
      <c r="BD49" s="358"/>
      <c r="BE49" s="358"/>
      <c r="BF49" s="358"/>
      <c r="BG49" s="358"/>
      <c r="BH49" s="358"/>
      <c r="BI49" s="358"/>
      <c r="BJ49" s="358"/>
      <c r="BK49" s="359"/>
      <c r="BL49" s="359"/>
      <c r="BM49" s="359"/>
      <c r="BN49" s="359"/>
      <c r="BO49" s="359"/>
      <c r="BP49" s="359"/>
      <c r="BQ49" s="359"/>
      <c r="BR49" s="359"/>
      <c r="BS49" s="359"/>
      <c r="BT49" s="359"/>
      <c r="BU49" s="359"/>
      <c r="BV49" s="358"/>
      <c r="BW49" s="358"/>
      <c r="BX49" s="358"/>
      <c r="BY49" s="358"/>
      <c r="BZ49" s="358"/>
      <c r="CA49" s="358"/>
      <c r="CB49" s="358"/>
      <c r="CC49" s="358"/>
      <c r="CD49" s="358"/>
      <c r="CE49" s="358"/>
      <c r="CF49" s="358"/>
      <c r="CG49" s="358"/>
      <c r="CH49" s="358"/>
      <c r="CI49" s="358"/>
      <c r="CJ49" s="358"/>
      <c r="CK49" s="358"/>
      <c r="CL49" s="358"/>
      <c r="CM49" s="358"/>
      <c r="CN49" s="358"/>
      <c r="CO49" s="358"/>
      <c r="CP49" s="358"/>
      <c r="CQ49" s="358"/>
      <c r="CR49" s="358"/>
      <c r="CS49" s="358"/>
      <c r="CT49" s="358"/>
      <c r="CU49" s="358"/>
      <c r="CV49" s="358"/>
      <c r="CW49" s="358"/>
      <c r="CX49" s="358"/>
      <c r="CY49" s="358"/>
      <c r="CZ49" s="358"/>
    </row>
    <row r="50" spans="1:104" s="6" customFormat="1" ht="27.95" customHeight="1" x14ac:dyDescent="0.2">
      <c r="A50" s="57"/>
      <c r="B50" s="297">
        <f t="shared" si="3"/>
        <v>15</v>
      </c>
      <c r="C50" s="1648"/>
      <c r="D50" s="1705"/>
      <c r="E50" s="1705"/>
      <c r="F50" s="1705"/>
      <c r="G50" s="1705"/>
      <c r="H50" s="1705"/>
      <c r="I50" s="1705"/>
      <c r="J50" s="1705"/>
      <c r="K50" s="1705"/>
      <c r="L50" s="1705"/>
      <c r="M50" s="1705"/>
      <c r="N50" s="1705"/>
      <c r="O50" s="1705"/>
      <c r="P50" s="1705"/>
      <c r="Q50" s="1705"/>
      <c r="R50" s="1705"/>
      <c r="S50" s="1705"/>
      <c r="T50" s="1705"/>
      <c r="U50" s="1705"/>
      <c r="V50" s="1705"/>
      <c r="W50" s="1705"/>
      <c r="X50" s="1706"/>
      <c r="Z50" s="301"/>
      <c r="BA50" s="358"/>
      <c r="BB50" s="358"/>
      <c r="BC50" s="358"/>
      <c r="BD50" s="358"/>
      <c r="BE50" s="358"/>
      <c r="BF50" s="358"/>
      <c r="BG50" s="358"/>
      <c r="BH50" s="358"/>
      <c r="BI50" s="358"/>
      <c r="BJ50" s="358"/>
      <c r="BK50" s="359"/>
      <c r="BL50" s="359"/>
      <c r="BM50" s="359"/>
      <c r="BN50" s="359"/>
      <c r="BO50" s="359"/>
      <c r="BP50" s="359"/>
      <c r="BQ50" s="359"/>
      <c r="BR50" s="359"/>
      <c r="BS50" s="359"/>
      <c r="BT50" s="359"/>
      <c r="BU50" s="359"/>
      <c r="BV50" s="358"/>
      <c r="BW50" s="358"/>
      <c r="BX50" s="358"/>
      <c r="BY50" s="358"/>
      <c r="BZ50" s="358"/>
      <c r="CA50" s="358"/>
      <c r="CB50" s="358"/>
      <c r="CC50" s="358"/>
      <c r="CD50" s="358"/>
      <c r="CE50" s="358"/>
      <c r="CF50" s="358"/>
      <c r="CG50" s="358"/>
      <c r="CH50" s="358"/>
      <c r="CI50" s="358"/>
      <c r="CJ50" s="358"/>
      <c r="CK50" s="358"/>
      <c r="CL50" s="358"/>
      <c r="CM50" s="358"/>
      <c r="CN50" s="358"/>
      <c r="CO50" s="358"/>
      <c r="CP50" s="358"/>
      <c r="CQ50" s="358"/>
      <c r="CR50" s="358"/>
      <c r="CS50" s="358"/>
      <c r="CT50" s="358"/>
      <c r="CU50" s="358"/>
      <c r="CV50" s="358"/>
      <c r="CW50" s="358"/>
      <c r="CX50" s="358"/>
      <c r="CY50" s="358"/>
      <c r="CZ50" s="358"/>
    </row>
    <row r="51" spans="1:104" s="6" customFormat="1" ht="27.95" customHeight="1" x14ac:dyDescent="0.2">
      <c r="A51" s="57"/>
      <c r="B51" s="297">
        <f t="shared" si="3"/>
        <v>16</v>
      </c>
      <c r="C51" s="1648"/>
      <c r="D51" s="1705"/>
      <c r="E51" s="1705"/>
      <c r="F51" s="1705"/>
      <c r="G51" s="1705"/>
      <c r="H51" s="1705"/>
      <c r="I51" s="1705"/>
      <c r="J51" s="1705"/>
      <c r="K51" s="1705"/>
      <c r="L51" s="1705"/>
      <c r="M51" s="1705"/>
      <c r="N51" s="1705"/>
      <c r="O51" s="1705"/>
      <c r="P51" s="1705"/>
      <c r="Q51" s="1705"/>
      <c r="R51" s="1705"/>
      <c r="S51" s="1705"/>
      <c r="T51" s="1705"/>
      <c r="U51" s="1705"/>
      <c r="V51" s="1705"/>
      <c r="W51" s="1705"/>
      <c r="X51" s="1706"/>
      <c r="Z51" s="301"/>
      <c r="BA51" s="358"/>
      <c r="BB51" s="358"/>
      <c r="BC51" s="358"/>
      <c r="BD51" s="358"/>
      <c r="BE51" s="358"/>
      <c r="BF51" s="358"/>
      <c r="BG51" s="358"/>
      <c r="BH51" s="358"/>
      <c r="BI51" s="358"/>
      <c r="BJ51" s="358"/>
      <c r="BK51" s="359"/>
      <c r="BL51" s="359"/>
      <c r="BM51" s="359"/>
      <c r="BN51" s="359"/>
      <c r="BO51" s="359"/>
      <c r="BP51" s="359"/>
      <c r="BQ51" s="359"/>
      <c r="BR51" s="359"/>
      <c r="BS51" s="359"/>
      <c r="BT51" s="359"/>
      <c r="BU51" s="359"/>
      <c r="BV51" s="358"/>
      <c r="BW51" s="358"/>
      <c r="BX51" s="358"/>
      <c r="BY51" s="358"/>
      <c r="BZ51" s="358"/>
      <c r="CA51" s="358"/>
      <c r="CB51" s="358"/>
      <c r="CC51" s="358"/>
      <c r="CD51" s="358"/>
      <c r="CE51" s="358"/>
      <c r="CF51" s="358"/>
      <c r="CG51" s="358"/>
      <c r="CH51" s="358"/>
      <c r="CI51" s="358"/>
      <c r="CJ51" s="358"/>
      <c r="CK51" s="358"/>
      <c r="CL51" s="358"/>
      <c r="CM51" s="358"/>
      <c r="CN51" s="358"/>
      <c r="CO51" s="358"/>
      <c r="CP51" s="358"/>
      <c r="CQ51" s="358"/>
      <c r="CR51" s="358"/>
      <c r="CS51" s="358"/>
      <c r="CT51" s="358"/>
      <c r="CU51" s="358"/>
      <c r="CV51" s="358"/>
      <c r="CW51" s="358"/>
      <c r="CX51" s="358"/>
      <c r="CY51" s="358"/>
      <c r="CZ51" s="358"/>
    </row>
    <row r="52" spans="1:104" s="6" customFormat="1" ht="27.95" customHeight="1" x14ac:dyDescent="0.2">
      <c r="A52" s="57"/>
      <c r="B52" s="297">
        <f t="shared" si="3"/>
        <v>17</v>
      </c>
      <c r="C52" s="1648"/>
      <c r="D52" s="1705"/>
      <c r="E52" s="1705"/>
      <c r="F52" s="1705"/>
      <c r="G52" s="1705"/>
      <c r="H52" s="1705"/>
      <c r="I52" s="1705"/>
      <c r="J52" s="1705"/>
      <c r="K52" s="1705"/>
      <c r="L52" s="1705"/>
      <c r="M52" s="1705"/>
      <c r="N52" s="1705"/>
      <c r="O52" s="1705"/>
      <c r="P52" s="1705"/>
      <c r="Q52" s="1705"/>
      <c r="R52" s="1705"/>
      <c r="S52" s="1705"/>
      <c r="T52" s="1705"/>
      <c r="U52" s="1705"/>
      <c r="V52" s="1705"/>
      <c r="W52" s="1705"/>
      <c r="X52" s="1706"/>
      <c r="Z52" s="301"/>
      <c r="BA52" s="358"/>
      <c r="BB52" s="358"/>
      <c r="BC52" s="358"/>
      <c r="BD52" s="358"/>
      <c r="BE52" s="358"/>
      <c r="BF52" s="358"/>
      <c r="BG52" s="358"/>
      <c r="BH52" s="358"/>
      <c r="BI52" s="358"/>
      <c r="BJ52" s="358"/>
      <c r="BK52" s="359"/>
      <c r="BL52" s="359"/>
      <c r="BM52" s="359"/>
      <c r="BN52" s="359"/>
      <c r="BO52" s="359"/>
      <c r="BP52" s="359"/>
      <c r="BQ52" s="359"/>
      <c r="BR52" s="359"/>
      <c r="BS52" s="359"/>
      <c r="BT52" s="359"/>
      <c r="BU52" s="359"/>
      <c r="BV52" s="358"/>
      <c r="BW52" s="358"/>
      <c r="BX52" s="358"/>
      <c r="BY52" s="358"/>
      <c r="BZ52" s="358"/>
      <c r="CA52" s="358"/>
      <c r="CB52" s="358"/>
      <c r="CC52" s="358"/>
      <c r="CD52" s="358"/>
      <c r="CE52" s="358"/>
      <c r="CF52" s="358"/>
      <c r="CG52" s="358"/>
      <c r="CH52" s="358"/>
      <c r="CI52" s="358"/>
      <c r="CJ52" s="358"/>
      <c r="CK52" s="358"/>
      <c r="CL52" s="358"/>
      <c r="CM52" s="358"/>
      <c r="CN52" s="358"/>
      <c r="CO52" s="358"/>
      <c r="CP52" s="358"/>
      <c r="CQ52" s="358"/>
      <c r="CR52" s="358"/>
      <c r="CS52" s="358"/>
      <c r="CT52" s="358"/>
      <c r="CU52" s="358"/>
      <c r="CV52" s="358"/>
      <c r="CW52" s="358"/>
      <c r="CX52" s="358"/>
      <c r="CY52" s="358"/>
      <c r="CZ52" s="358"/>
    </row>
    <row r="53" spans="1:104" s="6" customFormat="1" ht="27.95" customHeight="1" x14ac:dyDescent="0.2">
      <c r="A53" s="57"/>
      <c r="B53" s="297">
        <f t="shared" si="3"/>
        <v>18</v>
      </c>
      <c r="C53" s="1648"/>
      <c r="D53" s="1705"/>
      <c r="E53" s="1705"/>
      <c r="F53" s="1705"/>
      <c r="G53" s="1705"/>
      <c r="H53" s="1705"/>
      <c r="I53" s="1705"/>
      <c r="J53" s="1705"/>
      <c r="K53" s="1705"/>
      <c r="L53" s="1705"/>
      <c r="M53" s="1705"/>
      <c r="N53" s="1705"/>
      <c r="O53" s="1705"/>
      <c r="P53" s="1705"/>
      <c r="Q53" s="1705"/>
      <c r="R53" s="1705"/>
      <c r="S53" s="1705"/>
      <c r="T53" s="1705"/>
      <c r="U53" s="1705"/>
      <c r="V53" s="1705"/>
      <c r="W53" s="1705"/>
      <c r="X53" s="1706"/>
      <c r="Z53" s="301"/>
      <c r="BA53" s="358"/>
      <c r="BB53" s="358"/>
      <c r="BC53" s="358"/>
      <c r="BD53" s="358"/>
      <c r="BE53" s="358"/>
      <c r="BF53" s="358"/>
      <c r="BG53" s="358"/>
      <c r="BH53" s="358"/>
      <c r="BI53" s="358"/>
      <c r="BJ53" s="358"/>
      <c r="BK53" s="359"/>
      <c r="BL53" s="359"/>
      <c r="BM53" s="359"/>
      <c r="BN53" s="359"/>
      <c r="BO53" s="359"/>
      <c r="BP53" s="359"/>
      <c r="BQ53" s="359"/>
      <c r="BR53" s="359"/>
      <c r="BS53" s="359"/>
      <c r="BT53" s="359"/>
      <c r="BU53" s="359"/>
      <c r="BV53" s="358"/>
      <c r="BW53" s="358"/>
      <c r="BX53" s="358"/>
      <c r="BY53" s="358"/>
      <c r="BZ53" s="358"/>
      <c r="CA53" s="358"/>
      <c r="CB53" s="358"/>
      <c r="CC53" s="358"/>
      <c r="CD53" s="358"/>
      <c r="CE53" s="358"/>
      <c r="CF53" s="358"/>
      <c r="CG53" s="358"/>
      <c r="CH53" s="358"/>
      <c r="CI53" s="358"/>
      <c r="CJ53" s="358"/>
      <c r="CK53" s="358"/>
      <c r="CL53" s="358"/>
      <c r="CM53" s="358"/>
      <c r="CN53" s="358"/>
      <c r="CO53" s="358"/>
      <c r="CP53" s="358"/>
      <c r="CQ53" s="358"/>
      <c r="CR53" s="358"/>
      <c r="CS53" s="358"/>
      <c r="CT53" s="358"/>
      <c r="CU53" s="358"/>
      <c r="CV53" s="358"/>
      <c r="CW53" s="358"/>
      <c r="CX53" s="358"/>
      <c r="CY53" s="358"/>
      <c r="CZ53" s="358"/>
    </row>
    <row r="54" spans="1:104" s="6" customFormat="1" ht="27.95" customHeight="1" x14ac:dyDescent="0.2">
      <c r="A54" s="57"/>
      <c r="B54" s="297">
        <f t="shared" si="3"/>
        <v>19</v>
      </c>
      <c r="C54" s="1648"/>
      <c r="D54" s="1705"/>
      <c r="E54" s="1705"/>
      <c r="F54" s="1705"/>
      <c r="G54" s="1705"/>
      <c r="H54" s="1705"/>
      <c r="I54" s="1705"/>
      <c r="J54" s="1705"/>
      <c r="K54" s="1705"/>
      <c r="L54" s="1705"/>
      <c r="M54" s="1705"/>
      <c r="N54" s="1705"/>
      <c r="O54" s="1705"/>
      <c r="P54" s="1705"/>
      <c r="Q54" s="1705"/>
      <c r="R54" s="1705"/>
      <c r="S54" s="1705"/>
      <c r="T54" s="1705"/>
      <c r="U54" s="1705"/>
      <c r="V54" s="1705"/>
      <c r="W54" s="1705"/>
      <c r="X54" s="1706"/>
      <c r="Z54" s="301"/>
      <c r="BA54" s="358"/>
      <c r="BB54" s="358"/>
      <c r="BC54" s="358"/>
      <c r="BD54" s="358"/>
      <c r="BE54" s="358"/>
      <c r="BF54" s="358"/>
      <c r="BG54" s="358"/>
      <c r="BH54" s="358"/>
      <c r="BI54" s="358"/>
      <c r="BJ54" s="358"/>
      <c r="BK54" s="359"/>
      <c r="BL54" s="359"/>
      <c r="BM54" s="359"/>
      <c r="BN54" s="359"/>
      <c r="BO54" s="359"/>
      <c r="BP54" s="359"/>
      <c r="BQ54" s="359"/>
      <c r="BR54" s="359"/>
      <c r="BS54" s="359"/>
      <c r="BT54" s="359"/>
      <c r="BU54" s="359"/>
      <c r="BV54" s="358"/>
      <c r="BW54" s="358"/>
      <c r="BX54" s="358"/>
      <c r="BY54" s="358"/>
      <c r="BZ54" s="358"/>
      <c r="CA54" s="358"/>
      <c r="CB54" s="358"/>
      <c r="CC54" s="358"/>
      <c r="CD54" s="358"/>
      <c r="CE54" s="358"/>
      <c r="CF54" s="358"/>
      <c r="CG54" s="358"/>
      <c r="CH54" s="358"/>
      <c r="CI54" s="358"/>
      <c r="CJ54" s="358"/>
      <c r="CK54" s="358"/>
      <c r="CL54" s="358"/>
      <c r="CM54" s="358"/>
      <c r="CN54" s="358"/>
      <c r="CO54" s="358"/>
      <c r="CP54" s="358"/>
      <c r="CQ54" s="358"/>
      <c r="CR54" s="358"/>
      <c r="CS54" s="358"/>
      <c r="CT54" s="358"/>
      <c r="CU54" s="358"/>
      <c r="CV54" s="358"/>
      <c r="CW54" s="358"/>
      <c r="CX54" s="358"/>
      <c r="CY54" s="358"/>
      <c r="CZ54" s="358"/>
    </row>
    <row r="55" spans="1:104" s="6" customFormat="1" ht="27.95" customHeight="1" x14ac:dyDescent="0.2">
      <c r="A55" s="57"/>
      <c r="B55" s="297">
        <f t="shared" si="3"/>
        <v>20</v>
      </c>
      <c r="C55" s="1648"/>
      <c r="D55" s="1705"/>
      <c r="E55" s="1705"/>
      <c r="F55" s="1705"/>
      <c r="G55" s="1705"/>
      <c r="H55" s="1705"/>
      <c r="I55" s="1705"/>
      <c r="J55" s="1705"/>
      <c r="K55" s="1705"/>
      <c r="L55" s="1705"/>
      <c r="M55" s="1705"/>
      <c r="N55" s="1705"/>
      <c r="O55" s="1705"/>
      <c r="P55" s="1705"/>
      <c r="Q55" s="1705"/>
      <c r="R55" s="1705"/>
      <c r="S55" s="1705"/>
      <c r="T55" s="1705"/>
      <c r="U55" s="1705"/>
      <c r="V55" s="1705"/>
      <c r="W55" s="1705"/>
      <c r="X55" s="1706"/>
      <c r="Z55" s="301"/>
      <c r="BA55" s="358"/>
      <c r="BB55" s="358"/>
      <c r="BC55" s="358"/>
      <c r="BD55" s="358"/>
      <c r="BE55" s="358"/>
      <c r="BF55" s="358"/>
      <c r="BG55" s="358"/>
      <c r="BH55" s="358"/>
      <c r="BI55" s="358"/>
      <c r="BJ55" s="358"/>
      <c r="BK55" s="359"/>
      <c r="BL55" s="359"/>
      <c r="BM55" s="359"/>
      <c r="BN55" s="359"/>
      <c r="BO55" s="359"/>
      <c r="BP55" s="359"/>
      <c r="BQ55" s="359"/>
      <c r="BR55" s="359"/>
      <c r="BS55" s="359"/>
      <c r="BT55" s="359"/>
      <c r="BU55" s="359"/>
      <c r="BV55" s="358"/>
      <c r="BW55" s="358"/>
      <c r="BX55" s="358"/>
      <c r="BY55" s="358"/>
      <c r="BZ55" s="358"/>
      <c r="CA55" s="358"/>
      <c r="CB55" s="358"/>
      <c r="CC55" s="358"/>
      <c r="CD55" s="358"/>
      <c r="CE55" s="358"/>
      <c r="CF55" s="358"/>
      <c r="CG55" s="358"/>
      <c r="CH55" s="358"/>
      <c r="CI55" s="358"/>
      <c r="CJ55" s="358"/>
      <c r="CK55" s="358"/>
      <c r="CL55" s="358"/>
      <c r="CM55" s="358"/>
      <c r="CN55" s="358"/>
      <c r="CO55" s="358"/>
      <c r="CP55" s="358"/>
      <c r="CQ55" s="358"/>
      <c r="CR55" s="358"/>
      <c r="CS55" s="358"/>
      <c r="CT55" s="358"/>
      <c r="CU55" s="358"/>
      <c r="CV55" s="358"/>
      <c r="CW55" s="358"/>
      <c r="CX55" s="358"/>
      <c r="CY55" s="358"/>
      <c r="CZ55" s="358"/>
    </row>
    <row r="56" spans="1:104" s="6" customFormat="1" ht="12.75" customHeight="1" x14ac:dyDescent="0.2">
      <c r="A56" s="57"/>
      <c r="B56" s="57"/>
      <c r="C56" s="57"/>
      <c r="D56" s="57"/>
      <c r="E56" s="57"/>
      <c r="F56" s="57"/>
      <c r="G56" s="57"/>
      <c r="H56" s="57"/>
      <c r="I56" s="57"/>
      <c r="J56" s="57"/>
      <c r="K56" s="57"/>
      <c r="L56" s="57"/>
      <c r="M56" s="57"/>
      <c r="N56" s="57"/>
      <c r="O56" s="57"/>
      <c r="P56" s="66"/>
      <c r="Q56" s="66"/>
      <c r="R56" s="66"/>
      <c r="S56" s="66"/>
      <c r="T56" s="66"/>
      <c r="U56" s="66"/>
      <c r="V56" s="57"/>
      <c r="W56" s="57"/>
      <c r="X56" s="57"/>
      <c r="Y56" s="301"/>
      <c r="Z56" s="301"/>
      <c r="BA56" s="358"/>
      <c r="BB56" s="358"/>
      <c r="BC56" s="358"/>
      <c r="BD56" s="358"/>
      <c r="BE56" s="358"/>
      <c r="BF56" s="358"/>
      <c r="BG56" s="358"/>
      <c r="BH56" s="358"/>
      <c r="BI56" s="358"/>
      <c r="BJ56" s="358"/>
      <c r="BK56" s="359"/>
      <c r="BL56" s="359"/>
      <c r="BM56" s="359"/>
      <c r="BN56" s="359"/>
      <c r="BO56" s="359"/>
      <c r="BP56" s="359"/>
      <c r="BQ56" s="359"/>
      <c r="BR56" s="359"/>
      <c r="BS56" s="359"/>
      <c r="BT56" s="359"/>
      <c r="BU56" s="359"/>
      <c r="BV56" s="358"/>
      <c r="BW56" s="358"/>
      <c r="BX56" s="358"/>
      <c r="BY56" s="358"/>
      <c r="BZ56" s="358"/>
      <c r="CA56" s="358"/>
      <c r="CB56" s="358"/>
      <c r="CC56" s="358"/>
      <c r="CD56" s="358"/>
      <c r="CE56" s="358"/>
      <c r="CF56" s="358"/>
      <c r="CG56" s="358"/>
      <c r="CH56" s="358"/>
      <c r="CI56" s="358"/>
      <c r="CJ56" s="358"/>
      <c r="CK56" s="358"/>
      <c r="CL56" s="358"/>
      <c r="CM56" s="358"/>
      <c r="CN56" s="358"/>
      <c r="CO56" s="358"/>
      <c r="CP56" s="358"/>
      <c r="CQ56" s="358"/>
      <c r="CR56" s="358"/>
      <c r="CS56" s="358"/>
      <c r="CT56" s="358"/>
      <c r="CU56" s="358"/>
      <c r="CV56" s="358"/>
      <c r="CW56" s="358"/>
      <c r="CX56" s="358"/>
      <c r="CY56" s="358"/>
      <c r="CZ56" s="358"/>
    </row>
    <row r="57" spans="1:104" s="6" customFormat="1" ht="12.75" customHeight="1" x14ac:dyDescent="0.2">
      <c r="A57" s="57"/>
      <c r="B57" s="57"/>
      <c r="C57" s="57"/>
      <c r="D57" s="57"/>
      <c r="E57" s="57"/>
      <c r="F57" s="57"/>
      <c r="G57" s="57"/>
      <c r="H57" s="57"/>
      <c r="I57" s="57"/>
      <c r="J57" s="57"/>
      <c r="K57" s="57"/>
      <c r="L57" s="57"/>
      <c r="M57" s="57"/>
      <c r="N57" s="57"/>
      <c r="O57" s="57"/>
      <c r="P57" s="66"/>
      <c r="Q57" s="66"/>
      <c r="R57" s="66"/>
      <c r="S57" s="66"/>
      <c r="T57" s="66"/>
      <c r="U57" s="66"/>
      <c r="V57" s="57"/>
      <c r="W57" s="57"/>
      <c r="X57" s="57"/>
      <c r="Y57" s="301"/>
      <c r="Z57" s="301"/>
      <c r="BA57" s="358"/>
      <c r="BB57" s="358"/>
      <c r="BC57" s="358"/>
      <c r="BD57" s="358"/>
      <c r="BE57" s="358"/>
      <c r="BF57" s="358"/>
      <c r="BG57" s="358"/>
      <c r="BH57" s="358"/>
      <c r="BI57" s="358"/>
      <c r="BJ57" s="358"/>
      <c r="BK57" s="359"/>
      <c r="BL57" s="359"/>
      <c r="BM57" s="359"/>
      <c r="BN57" s="359"/>
      <c r="BO57" s="359"/>
      <c r="BP57" s="359"/>
      <c r="BQ57" s="359"/>
      <c r="BR57" s="359"/>
      <c r="BS57" s="359"/>
      <c r="BT57" s="359"/>
      <c r="BU57" s="359"/>
      <c r="BV57" s="358"/>
      <c r="BW57" s="358"/>
      <c r="BX57" s="358"/>
      <c r="BY57" s="358"/>
      <c r="BZ57" s="358"/>
      <c r="CA57" s="358"/>
      <c r="CB57" s="358"/>
      <c r="CC57" s="358"/>
      <c r="CD57" s="358"/>
      <c r="CE57" s="358"/>
      <c r="CF57" s="358"/>
      <c r="CG57" s="358"/>
      <c r="CH57" s="358"/>
      <c r="CI57" s="358"/>
      <c r="CJ57" s="358"/>
      <c r="CK57" s="358"/>
      <c r="CL57" s="358"/>
      <c r="CM57" s="358"/>
      <c r="CN57" s="358"/>
      <c r="CO57" s="358"/>
      <c r="CP57" s="358"/>
      <c r="CQ57" s="358"/>
      <c r="CR57" s="358"/>
      <c r="CS57" s="358"/>
      <c r="CT57" s="358"/>
      <c r="CU57" s="358"/>
      <c r="CV57" s="358"/>
      <c r="CW57" s="358"/>
      <c r="CX57" s="358"/>
      <c r="CY57" s="358"/>
      <c r="CZ57" s="358"/>
    </row>
    <row r="58" spans="1:104" s="6" customFormat="1" ht="12.75" customHeight="1" x14ac:dyDescent="0.2">
      <c r="A58" s="57"/>
      <c r="B58" s="57"/>
      <c r="C58" s="57"/>
      <c r="D58" s="57"/>
      <c r="E58" s="57"/>
      <c r="F58" s="57"/>
      <c r="G58" s="57"/>
      <c r="H58" s="57"/>
      <c r="I58" s="57"/>
      <c r="J58" s="57"/>
      <c r="K58" s="57"/>
      <c r="L58" s="57"/>
      <c r="M58" s="57"/>
      <c r="N58" s="57"/>
      <c r="O58" s="57"/>
      <c r="P58" s="66"/>
      <c r="Q58" s="66"/>
      <c r="R58" s="66"/>
      <c r="S58" s="66"/>
      <c r="T58" s="66"/>
      <c r="U58" s="66"/>
      <c r="V58" s="57"/>
      <c r="W58" s="57"/>
      <c r="X58" s="57"/>
      <c r="Y58" s="360"/>
      <c r="Z58" s="301"/>
      <c r="BA58" s="358"/>
      <c r="BB58" s="358"/>
      <c r="BC58" s="358"/>
      <c r="BD58" s="358"/>
      <c r="BE58" s="358"/>
      <c r="BF58" s="358"/>
      <c r="BG58" s="358"/>
      <c r="BH58" s="358"/>
      <c r="BI58" s="358"/>
      <c r="BJ58" s="358"/>
      <c r="BK58" s="359"/>
      <c r="BL58" s="359"/>
      <c r="BM58" s="359"/>
      <c r="BN58" s="359"/>
      <c r="BO58" s="359"/>
      <c r="BP58" s="359"/>
      <c r="BQ58" s="359"/>
      <c r="BR58" s="359"/>
      <c r="BS58" s="359"/>
      <c r="BT58" s="359"/>
      <c r="BU58" s="359"/>
      <c r="BV58" s="358"/>
      <c r="BW58" s="358"/>
      <c r="BX58" s="358"/>
      <c r="BY58" s="358"/>
      <c r="BZ58" s="358"/>
      <c r="CA58" s="358"/>
      <c r="CB58" s="358"/>
      <c r="CC58" s="358"/>
      <c r="CD58" s="358"/>
      <c r="CE58" s="358"/>
      <c r="CF58" s="358"/>
      <c r="CG58" s="358"/>
      <c r="CH58" s="358"/>
      <c r="CI58" s="358"/>
      <c r="CJ58" s="358"/>
      <c r="CK58" s="358"/>
      <c r="CL58" s="358"/>
      <c r="CM58" s="358"/>
      <c r="CN58" s="358"/>
      <c r="CO58" s="358"/>
      <c r="CP58" s="358"/>
      <c r="CQ58" s="358"/>
      <c r="CR58" s="358"/>
      <c r="CS58" s="358"/>
      <c r="CT58" s="358"/>
      <c r="CU58" s="358"/>
      <c r="CV58" s="358"/>
      <c r="CW58" s="358"/>
      <c r="CX58" s="358"/>
      <c r="CY58" s="358"/>
      <c r="CZ58" s="358"/>
    </row>
    <row r="59" spans="1:104" s="6" customFormat="1" ht="12.75" customHeight="1" x14ac:dyDescent="0.2">
      <c r="A59" s="57"/>
      <c r="B59" s="57"/>
      <c r="C59" s="57"/>
      <c r="D59" s="57"/>
      <c r="E59" s="57"/>
      <c r="F59" s="57"/>
      <c r="G59" s="57"/>
      <c r="H59" s="57"/>
      <c r="I59" s="57"/>
      <c r="J59" s="57"/>
      <c r="K59" s="57"/>
      <c r="L59" s="57"/>
      <c r="M59" s="57"/>
      <c r="N59" s="57"/>
      <c r="O59" s="57"/>
      <c r="P59" s="66"/>
      <c r="Q59" s="66"/>
      <c r="R59" s="66"/>
      <c r="S59" s="66"/>
      <c r="T59" s="66"/>
      <c r="U59" s="66"/>
      <c r="V59" s="57"/>
      <c r="W59" s="57"/>
      <c r="X59" s="57"/>
      <c r="Y59" s="301"/>
      <c r="Z59" s="301"/>
      <c r="BA59" s="358"/>
      <c r="BB59" s="358"/>
      <c r="BC59" s="358"/>
      <c r="BD59" s="358"/>
      <c r="BE59" s="358"/>
      <c r="BF59" s="358"/>
      <c r="BG59" s="358"/>
      <c r="BH59" s="358"/>
      <c r="BI59" s="358"/>
      <c r="BJ59" s="358"/>
      <c r="BK59" s="359"/>
      <c r="BL59" s="359"/>
      <c r="BM59" s="359"/>
      <c r="BN59" s="359"/>
      <c r="BO59" s="359"/>
      <c r="BP59" s="359"/>
      <c r="BQ59" s="359"/>
      <c r="BR59" s="359"/>
      <c r="BS59" s="359"/>
      <c r="BT59" s="359"/>
      <c r="BU59" s="359"/>
      <c r="BV59" s="358"/>
      <c r="BW59" s="358"/>
      <c r="BX59" s="358"/>
      <c r="BY59" s="358"/>
      <c r="BZ59" s="358"/>
      <c r="CA59" s="358"/>
      <c r="CB59" s="358"/>
      <c r="CC59" s="358"/>
      <c r="CD59" s="358"/>
      <c r="CE59" s="358"/>
      <c r="CF59" s="358"/>
      <c r="CG59" s="358"/>
      <c r="CH59" s="358"/>
      <c r="CI59" s="358"/>
      <c r="CJ59" s="358"/>
      <c r="CK59" s="358"/>
      <c r="CL59" s="358"/>
      <c r="CM59" s="358"/>
      <c r="CN59" s="358"/>
      <c r="CO59" s="358"/>
      <c r="CP59" s="358"/>
      <c r="CQ59" s="358"/>
      <c r="CR59" s="358"/>
      <c r="CS59" s="358"/>
      <c r="CT59" s="358"/>
      <c r="CU59" s="358"/>
      <c r="CV59" s="358"/>
      <c r="CW59" s="358"/>
      <c r="CX59" s="358"/>
      <c r="CY59" s="358"/>
      <c r="CZ59" s="358"/>
    </row>
    <row r="60" spans="1:104" s="6" customFormat="1" ht="12.75" customHeight="1" x14ac:dyDescent="0.2">
      <c r="A60" s="57"/>
      <c r="B60" s="57"/>
      <c r="C60" s="57"/>
      <c r="D60" s="57"/>
      <c r="E60" s="57"/>
      <c r="F60" s="57"/>
      <c r="G60" s="57"/>
      <c r="H60" s="57"/>
      <c r="I60" s="57"/>
      <c r="J60" s="57"/>
      <c r="K60" s="57"/>
      <c r="L60" s="57"/>
      <c r="M60" s="57"/>
      <c r="N60" s="57"/>
      <c r="O60" s="57"/>
      <c r="P60" s="66"/>
      <c r="Q60" s="66"/>
      <c r="R60" s="66"/>
      <c r="S60" s="66"/>
      <c r="T60" s="66"/>
      <c r="U60" s="66"/>
      <c r="V60" s="57"/>
      <c r="W60" s="57"/>
      <c r="X60" s="57"/>
      <c r="Y60" s="301"/>
      <c r="Z60" s="301"/>
      <c r="BA60" s="358"/>
      <c r="BB60" s="358"/>
      <c r="BC60" s="358"/>
      <c r="BD60" s="358"/>
      <c r="BE60" s="358"/>
      <c r="BF60" s="358"/>
      <c r="BG60" s="358"/>
      <c r="BH60" s="358"/>
      <c r="BI60" s="358"/>
      <c r="BJ60" s="358"/>
      <c r="BK60" s="359"/>
      <c r="BL60" s="359"/>
      <c r="BM60" s="359"/>
      <c r="BN60" s="359"/>
      <c r="BO60" s="359"/>
      <c r="BP60" s="359"/>
      <c r="BQ60" s="359"/>
      <c r="BR60" s="359"/>
      <c r="BS60" s="359"/>
      <c r="BT60" s="359"/>
      <c r="BU60" s="359"/>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c r="CS60" s="358"/>
      <c r="CT60" s="358"/>
      <c r="CU60" s="358"/>
      <c r="CV60" s="358"/>
      <c r="CW60" s="358"/>
      <c r="CX60" s="358"/>
      <c r="CY60" s="358"/>
      <c r="CZ60" s="358"/>
    </row>
    <row r="61" spans="1:104" s="6" customFormat="1" ht="12.75" customHeight="1" x14ac:dyDescent="0.2">
      <c r="A61" s="57"/>
      <c r="B61" s="57"/>
      <c r="C61" s="57"/>
      <c r="D61" s="57"/>
      <c r="E61" s="57"/>
      <c r="F61" s="57"/>
      <c r="G61" s="57"/>
      <c r="H61" s="57"/>
      <c r="I61" s="57"/>
      <c r="J61" s="57"/>
      <c r="K61" s="57"/>
      <c r="L61" s="57"/>
      <c r="M61" s="57"/>
      <c r="N61" s="57"/>
      <c r="O61" s="57"/>
      <c r="P61" s="66"/>
      <c r="Q61" s="66"/>
      <c r="R61" s="66"/>
      <c r="S61" s="66"/>
      <c r="T61" s="66"/>
      <c r="U61" s="66"/>
      <c r="V61" s="57"/>
      <c r="W61" s="57"/>
      <c r="X61" s="57"/>
      <c r="Y61" s="301"/>
      <c r="Z61" s="301"/>
      <c r="BA61" s="358"/>
      <c r="BB61" s="358"/>
      <c r="BC61" s="358"/>
      <c r="BD61" s="358"/>
      <c r="BE61" s="358"/>
      <c r="BF61" s="358"/>
      <c r="BG61" s="358"/>
      <c r="BH61" s="358"/>
      <c r="BI61" s="358"/>
      <c r="BJ61" s="358"/>
      <c r="BK61" s="359"/>
      <c r="BL61" s="359"/>
      <c r="BM61" s="359"/>
      <c r="BN61" s="359"/>
      <c r="BO61" s="359"/>
      <c r="BP61" s="359"/>
      <c r="BQ61" s="359"/>
      <c r="BR61" s="359"/>
      <c r="BS61" s="359"/>
      <c r="BT61" s="359"/>
      <c r="BU61" s="359"/>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c r="CS61" s="358"/>
      <c r="CT61" s="358"/>
      <c r="CU61" s="358"/>
      <c r="CV61" s="358"/>
      <c r="CW61" s="358"/>
      <c r="CX61" s="358"/>
      <c r="CY61" s="358"/>
      <c r="CZ61" s="358"/>
    </row>
    <row r="62" spans="1:104" s="6" customFormat="1" ht="12.75" customHeight="1" x14ac:dyDescent="0.2">
      <c r="A62" s="57"/>
      <c r="B62" s="57"/>
      <c r="C62" s="57"/>
      <c r="D62" s="57"/>
      <c r="E62" s="57"/>
      <c r="F62" s="57"/>
      <c r="G62" s="57"/>
      <c r="H62" s="57"/>
      <c r="I62" s="57"/>
      <c r="J62" s="57"/>
      <c r="K62" s="57"/>
      <c r="L62" s="57"/>
      <c r="M62" s="57"/>
      <c r="N62" s="57"/>
      <c r="O62" s="57"/>
      <c r="P62" s="66"/>
      <c r="Q62" s="66"/>
      <c r="R62" s="66"/>
      <c r="S62" s="66"/>
      <c r="T62" s="66"/>
      <c r="U62" s="66"/>
      <c r="V62" s="57"/>
      <c r="W62" s="57"/>
      <c r="X62" s="57"/>
      <c r="Y62" s="301"/>
      <c r="Z62" s="301"/>
      <c r="BA62" s="358"/>
      <c r="BB62" s="358"/>
      <c r="BC62" s="358"/>
      <c r="BD62" s="358"/>
      <c r="BE62" s="358"/>
      <c r="BF62" s="358"/>
      <c r="BG62" s="358"/>
      <c r="BH62" s="358"/>
      <c r="BI62" s="358"/>
      <c r="BJ62" s="358"/>
      <c r="BK62" s="359"/>
      <c r="BL62" s="359"/>
      <c r="BM62" s="359"/>
      <c r="BN62" s="359"/>
      <c r="BO62" s="359"/>
      <c r="BP62" s="359"/>
      <c r="BQ62" s="359"/>
      <c r="BR62" s="359"/>
      <c r="BS62" s="359"/>
      <c r="BT62" s="359"/>
      <c r="BU62" s="359"/>
      <c r="BV62" s="358"/>
      <c r="BW62" s="358"/>
      <c r="BX62" s="358"/>
      <c r="BY62" s="358"/>
      <c r="BZ62" s="358"/>
      <c r="CA62" s="358"/>
      <c r="CB62" s="358"/>
      <c r="CC62" s="358"/>
      <c r="CD62" s="358"/>
      <c r="CE62" s="358"/>
      <c r="CF62" s="358"/>
      <c r="CG62" s="358"/>
      <c r="CH62" s="358"/>
      <c r="CI62" s="358"/>
      <c r="CJ62" s="358"/>
      <c r="CK62" s="358"/>
      <c r="CL62" s="358"/>
      <c r="CM62" s="358"/>
      <c r="CN62" s="358"/>
      <c r="CO62" s="358"/>
      <c r="CP62" s="358"/>
      <c r="CQ62" s="358"/>
      <c r="CR62" s="358"/>
      <c r="CS62" s="358"/>
      <c r="CT62" s="358"/>
      <c r="CU62" s="358"/>
      <c r="CV62" s="358"/>
      <c r="CW62" s="358"/>
      <c r="CX62" s="358"/>
      <c r="CY62" s="358"/>
      <c r="CZ62" s="358"/>
    </row>
    <row r="63" spans="1:104" s="6" customFormat="1" ht="12.75" customHeight="1" x14ac:dyDescent="0.2">
      <c r="A63" s="57"/>
      <c r="B63" s="57"/>
      <c r="C63" s="57"/>
      <c r="D63" s="57"/>
      <c r="E63" s="57"/>
      <c r="F63" s="57"/>
      <c r="G63" s="57"/>
      <c r="H63" s="57"/>
      <c r="I63" s="57"/>
      <c r="J63" s="57"/>
      <c r="K63" s="57"/>
      <c r="L63" s="57"/>
      <c r="M63" s="57"/>
      <c r="N63" s="57"/>
      <c r="O63" s="57"/>
      <c r="P63" s="66"/>
      <c r="Q63" s="66"/>
      <c r="R63" s="66"/>
      <c r="S63" s="66"/>
      <c r="T63" s="66"/>
      <c r="U63" s="66"/>
      <c r="V63" s="57"/>
      <c r="W63" s="57"/>
      <c r="X63" s="57"/>
      <c r="Y63" s="301"/>
      <c r="Z63" s="301"/>
      <c r="BA63" s="358"/>
      <c r="BB63" s="358"/>
      <c r="BC63" s="358"/>
      <c r="BD63" s="358"/>
      <c r="BE63" s="358"/>
      <c r="BF63" s="358"/>
      <c r="BG63" s="358"/>
      <c r="BH63" s="358"/>
      <c r="BI63" s="358"/>
      <c r="BJ63" s="358"/>
      <c r="BK63" s="359"/>
      <c r="BL63" s="359"/>
      <c r="BM63" s="359"/>
      <c r="BN63" s="359"/>
      <c r="BO63" s="359"/>
      <c r="BP63" s="359"/>
      <c r="BQ63" s="359"/>
      <c r="BR63" s="359"/>
      <c r="BS63" s="359"/>
      <c r="BT63" s="359"/>
      <c r="BU63" s="359"/>
      <c r="BV63" s="358"/>
      <c r="BW63" s="358"/>
      <c r="BX63" s="358"/>
      <c r="BY63" s="358"/>
      <c r="BZ63" s="358"/>
      <c r="CA63" s="358"/>
      <c r="CB63" s="358"/>
      <c r="CC63" s="358"/>
      <c r="CD63" s="358"/>
      <c r="CE63" s="358"/>
      <c r="CF63" s="358"/>
      <c r="CG63" s="358"/>
      <c r="CH63" s="358"/>
      <c r="CI63" s="358"/>
      <c r="CJ63" s="358"/>
      <c r="CK63" s="358"/>
      <c r="CL63" s="358"/>
      <c r="CM63" s="358"/>
      <c r="CN63" s="358"/>
      <c r="CO63" s="358"/>
      <c r="CP63" s="358"/>
      <c r="CQ63" s="358"/>
      <c r="CR63" s="358"/>
      <c r="CS63" s="358"/>
      <c r="CT63" s="358"/>
      <c r="CU63" s="358"/>
      <c r="CV63" s="358"/>
      <c r="CW63" s="358"/>
      <c r="CX63" s="358"/>
      <c r="CY63" s="358"/>
      <c r="CZ63" s="358"/>
    </row>
    <row r="64" spans="1:104" s="6" customFormat="1" ht="12.75" customHeight="1" x14ac:dyDescent="0.2">
      <c r="A64" s="57"/>
      <c r="B64" s="57"/>
      <c r="C64" s="57"/>
      <c r="D64" s="57"/>
      <c r="E64" s="57"/>
      <c r="F64" s="57"/>
      <c r="G64" s="57"/>
      <c r="H64" s="57"/>
      <c r="I64" s="57"/>
      <c r="J64" s="57"/>
      <c r="K64" s="57"/>
      <c r="L64" s="57"/>
      <c r="M64" s="57"/>
      <c r="N64" s="57"/>
      <c r="O64" s="57"/>
      <c r="P64" s="66"/>
      <c r="Q64" s="66"/>
      <c r="R64" s="66"/>
      <c r="S64" s="66"/>
      <c r="T64" s="66"/>
      <c r="U64" s="66"/>
      <c r="V64" s="57"/>
      <c r="W64" s="57"/>
      <c r="X64" s="57"/>
      <c r="Y64" s="301"/>
      <c r="Z64" s="301"/>
      <c r="BA64" s="358"/>
      <c r="BB64" s="358"/>
      <c r="BC64" s="358"/>
      <c r="BD64" s="358"/>
      <c r="BE64" s="358"/>
      <c r="BF64" s="358"/>
      <c r="BG64" s="358"/>
      <c r="BH64" s="358"/>
      <c r="BI64" s="358"/>
      <c r="BJ64" s="358"/>
      <c r="BK64" s="359"/>
      <c r="BL64" s="359"/>
      <c r="BM64" s="359"/>
      <c r="BN64" s="359"/>
      <c r="BO64" s="359"/>
      <c r="BP64" s="359"/>
      <c r="BQ64" s="359"/>
      <c r="BR64" s="359"/>
      <c r="BS64" s="359"/>
      <c r="BT64" s="359"/>
      <c r="BU64" s="359"/>
      <c r="BV64" s="358"/>
      <c r="BW64" s="358"/>
      <c r="BX64" s="358"/>
      <c r="BY64" s="358"/>
      <c r="BZ64" s="358"/>
      <c r="CA64" s="358"/>
      <c r="CB64" s="358"/>
      <c r="CC64" s="358"/>
      <c r="CD64" s="358"/>
      <c r="CE64" s="358"/>
      <c r="CF64" s="358"/>
      <c r="CG64" s="358"/>
      <c r="CH64" s="358"/>
      <c r="CI64" s="358"/>
      <c r="CJ64" s="358"/>
      <c r="CK64" s="358"/>
      <c r="CL64" s="358"/>
      <c r="CM64" s="358"/>
      <c r="CN64" s="358"/>
      <c r="CO64" s="358"/>
      <c r="CP64" s="358"/>
      <c r="CQ64" s="358"/>
      <c r="CR64" s="358"/>
      <c r="CS64" s="358"/>
      <c r="CT64" s="358"/>
      <c r="CU64" s="358"/>
      <c r="CV64" s="358"/>
      <c r="CW64" s="358"/>
      <c r="CX64" s="358"/>
      <c r="CY64" s="358"/>
      <c r="CZ64" s="358"/>
    </row>
    <row r="65" spans="1:104" s="6" customFormat="1" ht="12.75" customHeight="1" x14ac:dyDescent="0.2">
      <c r="A65" s="57"/>
      <c r="B65" s="57"/>
      <c r="C65" s="57"/>
      <c r="D65" s="57"/>
      <c r="E65" s="57"/>
      <c r="F65" s="57"/>
      <c r="G65" s="57"/>
      <c r="H65" s="57"/>
      <c r="I65" s="57"/>
      <c r="J65" s="57"/>
      <c r="K65" s="57"/>
      <c r="L65" s="57"/>
      <c r="M65" s="57"/>
      <c r="N65" s="57"/>
      <c r="O65" s="57"/>
      <c r="P65" s="66"/>
      <c r="Q65" s="66"/>
      <c r="R65" s="66"/>
      <c r="S65" s="66"/>
      <c r="T65" s="66"/>
      <c r="U65" s="66"/>
      <c r="V65" s="57"/>
      <c r="W65" s="57"/>
      <c r="X65" s="57"/>
      <c r="Y65" s="301"/>
      <c r="Z65" s="301"/>
      <c r="BA65" s="358"/>
      <c r="BB65" s="358"/>
      <c r="BC65" s="358"/>
      <c r="BD65" s="358"/>
      <c r="BE65" s="358"/>
      <c r="BF65" s="358"/>
      <c r="BG65" s="358"/>
      <c r="BH65" s="358"/>
      <c r="BI65" s="358"/>
      <c r="BJ65" s="358"/>
      <c r="BK65" s="359"/>
      <c r="BL65" s="359"/>
      <c r="BM65" s="359"/>
      <c r="BN65" s="359"/>
      <c r="BO65" s="359"/>
      <c r="BP65" s="359"/>
      <c r="BQ65" s="359"/>
      <c r="BR65" s="359"/>
      <c r="BS65" s="359"/>
      <c r="BT65" s="359"/>
      <c r="BU65" s="359"/>
      <c r="BV65" s="358"/>
      <c r="BW65" s="358"/>
      <c r="BX65" s="358"/>
      <c r="BY65" s="358"/>
      <c r="BZ65" s="358"/>
      <c r="CA65" s="358"/>
      <c r="CB65" s="358"/>
      <c r="CC65" s="358"/>
      <c r="CD65" s="358"/>
      <c r="CE65" s="358"/>
      <c r="CF65" s="358"/>
      <c r="CG65" s="358"/>
      <c r="CH65" s="358"/>
      <c r="CI65" s="358"/>
      <c r="CJ65" s="358"/>
      <c r="CK65" s="358"/>
      <c r="CL65" s="358"/>
      <c r="CM65" s="358"/>
      <c r="CN65" s="358"/>
      <c r="CO65" s="358"/>
      <c r="CP65" s="358"/>
      <c r="CQ65" s="358"/>
      <c r="CR65" s="358"/>
      <c r="CS65" s="358"/>
      <c r="CT65" s="358"/>
      <c r="CU65" s="358"/>
      <c r="CV65" s="358"/>
      <c r="CW65" s="358"/>
      <c r="CX65" s="358"/>
      <c r="CY65" s="358"/>
      <c r="CZ65" s="358"/>
    </row>
    <row r="66" spans="1:104" s="6" customFormat="1" ht="12.75" customHeight="1" x14ac:dyDescent="0.2">
      <c r="A66" s="57"/>
      <c r="B66" s="57"/>
      <c r="C66" s="57"/>
      <c r="D66" s="57"/>
      <c r="E66" s="57"/>
      <c r="F66" s="57"/>
      <c r="G66" s="57"/>
      <c r="H66" s="57"/>
      <c r="I66" s="57"/>
      <c r="J66" s="57"/>
      <c r="K66" s="57"/>
      <c r="L66" s="57"/>
      <c r="M66" s="57"/>
      <c r="N66" s="57"/>
      <c r="O66" s="57"/>
      <c r="P66" s="66"/>
      <c r="Q66" s="66"/>
      <c r="R66" s="66"/>
      <c r="S66" s="66"/>
      <c r="T66" s="66"/>
      <c r="U66" s="66"/>
      <c r="V66" s="57"/>
      <c r="W66" s="57"/>
      <c r="X66" s="57"/>
      <c r="Y66" s="301"/>
      <c r="Z66" s="301"/>
      <c r="BA66" s="358"/>
      <c r="BB66" s="358"/>
      <c r="BC66" s="358"/>
      <c r="BD66" s="358"/>
      <c r="BE66" s="358"/>
      <c r="BF66" s="358"/>
      <c r="BG66" s="358"/>
      <c r="BH66" s="358"/>
      <c r="BI66" s="358"/>
      <c r="BJ66" s="358"/>
      <c r="BK66" s="359"/>
      <c r="BL66" s="359"/>
      <c r="BM66" s="359"/>
      <c r="BN66" s="359"/>
      <c r="BO66" s="359"/>
      <c r="BP66" s="359"/>
      <c r="BQ66" s="359"/>
      <c r="BR66" s="359"/>
      <c r="BS66" s="359"/>
      <c r="BT66" s="359"/>
      <c r="BU66" s="359"/>
      <c r="BV66" s="358"/>
      <c r="BW66" s="358"/>
      <c r="BX66" s="358"/>
      <c r="BY66" s="358"/>
      <c r="BZ66" s="358"/>
      <c r="CA66" s="358"/>
      <c r="CB66" s="358"/>
      <c r="CC66" s="358"/>
      <c r="CD66" s="358"/>
      <c r="CE66" s="358"/>
      <c r="CF66" s="358"/>
      <c r="CG66" s="358"/>
      <c r="CH66" s="358"/>
      <c r="CI66" s="358"/>
      <c r="CJ66" s="358"/>
      <c r="CK66" s="358"/>
      <c r="CL66" s="358"/>
      <c r="CM66" s="358"/>
      <c r="CN66" s="358"/>
      <c r="CO66" s="358"/>
      <c r="CP66" s="358"/>
      <c r="CQ66" s="358"/>
      <c r="CR66" s="358"/>
      <c r="CS66" s="358"/>
      <c r="CT66" s="358"/>
      <c r="CU66" s="358"/>
      <c r="CV66" s="358"/>
      <c r="CW66" s="358"/>
      <c r="CX66" s="358"/>
      <c r="CY66" s="358"/>
      <c r="CZ66" s="358"/>
    </row>
    <row r="67" spans="1:104" s="6" customFormat="1" ht="12.75" customHeight="1" x14ac:dyDescent="0.2">
      <c r="A67" s="57"/>
      <c r="B67" s="57"/>
      <c r="C67" s="57"/>
      <c r="D67" s="57"/>
      <c r="E67" s="57"/>
      <c r="F67" s="57"/>
      <c r="G67" s="57"/>
      <c r="H67" s="57"/>
      <c r="I67" s="57"/>
      <c r="J67" s="57"/>
      <c r="K67" s="57"/>
      <c r="L67" s="57"/>
      <c r="M67" s="57"/>
      <c r="N67" s="57"/>
      <c r="O67" s="57"/>
      <c r="P67" s="66"/>
      <c r="Q67" s="66"/>
      <c r="R67" s="66"/>
      <c r="S67" s="66"/>
      <c r="T67" s="66"/>
      <c r="U67" s="66"/>
      <c r="V67" s="57"/>
      <c r="W67" s="57"/>
      <c r="X67" s="57"/>
      <c r="Y67" s="301"/>
      <c r="Z67" s="301"/>
      <c r="BA67" s="358"/>
      <c r="BB67" s="358"/>
      <c r="BC67" s="358"/>
      <c r="BD67" s="358"/>
      <c r="BE67" s="358"/>
      <c r="BF67" s="358"/>
      <c r="BG67" s="358"/>
      <c r="BH67" s="358"/>
      <c r="BI67" s="358"/>
      <c r="BJ67" s="358"/>
      <c r="BK67" s="359"/>
      <c r="BL67" s="359"/>
      <c r="BM67" s="359"/>
      <c r="BN67" s="359"/>
      <c r="BO67" s="359"/>
      <c r="BP67" s="359"/>
      <c r="BQ67" s="359"/>
      <c r="BR67" s="359"/>
      <c r="BS67" s="359"/>
      <c r="BT67" s="359"/>
      <c r="BU67" s="359"/>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58"/>
      <c r="CZ67" s="358"/>
    </row>
    <row r="68" spans="1:104" s="6" customFormat="1" ht="12.75" customHeight="1" x14ac:dyDescent="0.2">
      <c r="A68" s="57"/>
      <c r="B68" s="57"/>
      <c r="C68" s="57"/>
      <c r="D68" s="57"/>
      <c r="E68" s="57"/>
      <c r="F68" s="57"/>
      <c r="G68" s="57"/>
      <c r="H68" s="57"/>
      <c r="I68" s="57"/>
      <c r="J68" s="57"/>
      <c r="K68" s="57"/>
      <c r="L68" s="57"/>
      <c r="M68" s="57"/>
      <c r="N68" s="57"/>
      <c r="O68" s="57"/>
      <c r="P68" s="66"/>
      <c r="Q68" s="66"/>
      <c r="R68" s="66"/>
      <c r="S68" s="66"/>
      <c r="T68" s="66"/>
      <c r="U68" s="66"/>
      <c r="V68" s="57"/>
      <c r="W68" s="57"/>
      <c r="X68" s="57"/>
      <c r="Y68" s="301"/>
      <c r="Z68" s="301"/>
      <c r="BA68" s="358"/>
      <c r="BB68" s="358"/>
      <c r="BC68" s="358"/>
      <c r="BD68" s="358"/>
      <c r="BE68" s="358"/>
      <c r="BF68" s="358"/>
      <c r="BG68" s="358"/>
      <c r="BH68" s="358"/>
      <c r="BI68" s="358"/>
      <c r="BJ68" s="358"/>
      <c r="BK68" s="359"/>
      <c r="BL68" s="359"/>
      <c r="BM68" s="359"/>
      <c r="BN68" s="359"/>
      <c r="BO68" s="359"/>
      <c r="BP68" s="359"/>
      <c r="BQ68" s="359"/>
      <c r="BR68" s="359"/>
      <c r="BS68" s="359"/>
      <c r="BT68" s="359"/>
      <c r="BU68" s="359"/>
      <c r="BV68" s="358"/>
      <c r="BW68" s="358"/>
      <c r="BX68" s="358"/>
      <c r="BY68" s="358"/>
      <c r="BZ68" s="358"/>
      <c r="CA68" s="358"/>
      <c r="CB68" s="358"/>
      <c r="CC68" s="358"/>
      <c r="CD68" s="358"/>
      <c r="CE68" s="358"/>
      <c r="CF68" s="358"/>
      <c r="CG68" s="358"/>
      <c r="CH68" s="358"/>
      <c r="CI68" s="358"/>
      <c r="CJ68" s="358"/>
      <c r="CK68" s="358"/>
      <c r="CL68" s="358"/>
      <c r="CM68" s="358"/>
      <c r="CN68" s="358"/>
      <c r="CO68" s="358"/>
      <c r="CP68" s="358"/>
      <c r="CQ68" s="358"/>
      <c r="CR68" s="358"/>
      <c r="CS68" s="358"/>
      <c r="CT68" s="358"/>
      <c r="CU68" s="358"/>
      <c r="CV68" s="358"/>
      <c r="CW68" s="358"/>
      <c r="CX68" s="358"/>
      <c r="CY68" s="358"/>
      <c r="CZ68" s="358"/>
    </row>
    <row r="69" spans="1:104" s="6" customFormat="1" ht="12.75" customHeight="1" x14ac:dyDescent="0.2">
      <c r="A69" s="57"/>
      <c r="B69" s="57"/>
      <c r="C69" s="57"/>
      <c r="D69" s="57"/>
      <c r="E69" s="57"/>
      <c r="F69" s="57"/>
      <c r="G69" s="57"/>
      <c r="H69" s="57"/>
      <c r="I69" s="57"/>
      <c r="J69" s="57"/>
      <c r="K69" s="57"/>
      <c r="L69" s="57"/>
      <c r="M69" s="57"/>
      <c r="N69" s="57"/>
      <c r="O69" s="57"/>
      <c r="P69" s="66"/>
      <c r="Q69" s="66"/>
      <c r="R69" s="66"/>
      <c r="S69" s="66"/>
      <c r="T69" s="66"/>
      <c r="U69" s="66"/>
      <c r="V69" s="57"/>
      <c r="W69" s="57"/>
      <c r="X69" s="57"/>
      <c r="Y69" s="301"/>
      <c r="Z69" s="301"/>
      <c r="BA69" s="358"/>
      <c r="BB69" s="358"/>
      <c r="BC69" s="358"/>
      <c r="BD69" s="358"/>
      <c r="BE69" s="358"/>
      <c r="BF69" s="358"/>
      <c r="BG69" s="358"/>
      <c r="BH69" s="358"/>
      <c r="BI69" s="358"/>
      <c r="BJ69" s="358"/>
      <c r="BK69" s="359"/>
      <c r="BL69" s="359"/>
      <c r="BM69" s="359"/>
      <c r="BN69" s="359"/>
      <c r="BO69" s="359"/>
      <c r="BP69" s="359"/>
      <c r="BQ69" s="359"/>
      <c r="BR69" s="359"/>
      <c r="BS69" s="359"/>
      <c r="BT69" s="359"/>
      <c r="BU69" s="359"/>
      <c r="BV69" s="358"/>
      <c r="BW69" s="358"/>
      <c r="BX69" s="358"/>
      <c r="BY69" s="358"/>
      <c r="BZ69" s="358"/>
      <c r="CA69" s="358"/>
      <c r="CB69" s="358"/>
      <c r="CC69" s="358"/>
      <c r="CD69" s="358"/>
      <c r="CE69" s="358"/>
      <c r="CF69" s="358"/>
      <c r="CG69" s="358"/>
      <c r="CH69" s="358"/>
      <c r="CI69" s="358"/>
      <c r="CJ69" s="358"/>
      <c r="CK69" s="358"/>
      <c r="CL69" s="358"/>
      <c r="CM69" s="358"/>
      <c r="CN69" s="358"/>
      <c r="CO69" s="358"/>
      <c r="CP69" s="358"/>
      <c r="CQ69" s="358"/>
      <c r="CR69" s="358"/>
      <c r="CS69" s="358"/>
      <c r="CT69" s="358"/>
      <c r="CU69" s="358"/>
      <c r="CV69" s="358"/>
      <c r="CW69" s="358"/>
      <c r="CX69" s="358"/>
      <c r="CY69" s="358"/>
      <c r="CZ69" s="358"/>
    </row>
    <row r="70" spans="1:104" s="6" customFormat="1" ht="12.75" customHeight="1" x14ac:dyDescent="0.2">
      <c r="A70" s="57"/>
      <c r="B70" s="57"/>
      <c r="C70" s="57"/>
      <c r="D70" s="57"/>
      <c r="E70" s="57"/>
      <c r="F70" s="57"/>
      <c r="G70" s="57"/>
      <c r="H70" s="57"/>
      <c r="I70" s="57"/>
      <c r="J70" s="57"/>
      <c r="K70" s="57"/>
      <c r="L70" s="57"/>
      <c r="M70" s="57"/>
      <c r="N70" s="57"/>
      <c r="O70" s="57"/>
      <c r="P70" s="66"/>
      <c r="Q70" s="66"/>
      <c r="R70" s="66"/>
      <c r="S70" s="66"/>
      <c r="T70" s="66"/>
      <c r="U70" s="66"/>
      <c r="V70" s="57"/>
      <c r="W70" s="57"/>
      <c r="X70" s="57"/>
      <c r="Y70" s="301"/>
      <c r="Z70" s="301"/>
      <c r="BA70" s="358"/>
      <c r="BB70" s="358"/>
      <c r="BC70" s="358"/>
      <c r="BD70" s="358"/>
      <c r="BE70" s="358"/>
      <c r="BF70" s="358"/>
      <c r="BG70" s="358"/>
      <c r="BH70" s="358"/>
      <c r="BI70" s="358"/>
      <c r="BJ70" s="358"/>
      <c r="BK70" s="359"/>
      <c r="BL70" s="359"/>
      <c r="BM70" s="359"/>
      <c r="BN70" s="359"/>
      <c r="BO70" s="359"/>
      <c r="BP70" s="359"/>
      <c r="BQ70" s="359"/>
      <c r="BR70" s="359"/>
      <c r="BS70" s="359"/>
      <c r="BT70" s="359"/>
      <c r="BU70" s="359"/>
      <c r="BV70" s="358"/>
      <c r="BW70" s="358"/>
      <c r="BX70" s="358"/>
      <c r="BY70" s="358"/>
      <c r="BZ70" s="358"/>
      <c r="CA70" s="358"/>
      <c r="CB70" s="358"/>
      <c r="CC70" s="358"/>
      <c r="CD70" s="358"/>
      <c r="CE70" s="358"/>
      <c r="CF70" s="358"/>
      <c r="CG70" s="358"/>
      <c r="CH70" s="358"/>
      <c r="CI70" s="358"/>
      <c r="CJ70" s="358"/>
      <c r="CK70" s="358"/>
      <c r="CL70" s="358"/>
      <c r="CM70" s="358"/>
      <c r="CN70" s="358"/>
      <c r="CO70" s="358"/>
      <c r="CP70" s="358"/>
      <c r="CQ70" s="358"/>
      <c r="CR70" s="358"/>
      <c r="CS70" s="358"/>
      <c r="CT70" s="358"/>
      <c r="CU70" s="358"/>
      <c r="CV70" s="358"/>
      <c r="CW70" s="358"/>
      <c r="CX70" s="358"/>
      <c r="CY70" s="358"/>
      <c r="CZ70" s="358"/>
    </row>
  </sheetData>
  <sheetProtection password="CC3C" sheet="1" objects="1" scenarios="1" formatCells="0" selectLockedCells="1"/>
  <mergeCells count="49">
    <mergeCell ref="O20:P20"/>
    <mergeCell ref="F6:K6"/>
    <mergeCell ref="G19:H19"/>
    <mergeCell ref="M19:W19"/>
    <mergeCell ref="H17:O17"/>
    <mergeCell ref="V17:W17"/>
    <mergeCell ref="H18:O18"/>
    <mergeCell ref="S18:U18"/>
    <mergeCell ref="V20:W20"/>
    <mergeCell ref="F20:H20"/>
    <mergeCell ref="K27:L27"/>
    <mergeCell ref="I21:J21"/>
    <mergeCell ref="H23:I23"/>
    <mergeCell ref="K26:L26"/>
    <mergeCell ref="C40:X40"/>
    <mergeCell ref="K28:L28"/>
    <mergeCell ref="E27:F27"/>
    <mergeCell ref="E28:F28"/>
    <mergeCell ref="G28:H28"/>
    <mergeCell ref="I28:J28"/>
    <mergeCell ref="E26:F26"/>
    <mergeCell ref="G26:H26"/>
    <mergeCell ref="I26:J26"/>
    <mergeCell ref="G27:H27"/>
    <mergeCell ref="I27:J27"/>
    <mergeCell ref="C41:X41"/>
    <mergeCell ref="C42:X42"/>
    <mergeCell ref="C43:X43"/>
    <mergeCell ref="E29:F29"/>
    <mergeCell ref="G29:H29"/>
    <mergeCell ref="I29:J29"/>
    <mergeCell ref="K29:L29"/>
    <mergeCell ref="G30:H30"/>
    <mergeCell ref="C36:X36"/>
    <mergeCell ref="C37:X37"/>
    <mergeCell ref="C38:X38"/>
    <mergeCell ref="C39:X39"/>
    <mergeCell ref="C44:X44"/>
    <mergeCell ref="C52:X52"/>
    <mergeCell ref="C53:X53"/>
    <mergeCell ref="C54:X54"/>
    <mergeCell ref="C45:X45"/>
    <mergeCell ref="C55:X55"/>
    <mergeCell ref="C46:X46"/>
    <mergeCell ref="C47:X47"/>
    <mergeCell ref="C48:X48"/>
    <mergeCell ref="C49:X49"/>
    <mergeCell ref="C50:X50"/>
    <mergeCell ref="C51:X51"/>
  </mergeCells>
  <phoneticPr fontId="118" type="noConversion"/>
  <conditionalFormatting sqref="B4:X4">
    <cfRule type="expression" dxfId="105" priority="36" stopIfTrue="1">
      <formula>$BB$3&lt;&gt;2</formula>
    </cfRule>
  </conditionalFormatting>
  <conditionalFormatting sqref="B18:X18">
    <cfRule type="expression" dxfId="104" priority="9" stopIfTrue="1">
      <formula>$BB$3&lt;&gt;2</formula>
    </cfRule>
    <cfRule type="expression" dxfId="103" priority="32" stopIfTrue="1">
      <formula>$H$17&lt;&gt;$BC$26</formula>
    </cfRule>
  </conditionalFormatting>
  <conditionalFormatting sqref="V17:W17">
    <cfRule type="expression" dxfId="102" priority="7" stopIfTrue="1">
      <formula>$BB$3&lt;&gt;2</formula>
    </cfRule>
    <cfRule type="expression" dxfId="101" priority="28" stopIfTrue="1">
      <formula>$BD$21="Yes"</formula>
    </cfRule>
  </conditionalFormatting>
  <conditionalFormatting sqref="B21:J21">
    <cfRule type="expression" dxfId="100" priority="4" stopIfTrue="1">
      <formula>$BB$3&lt;&gt;2</formula>
    </cfRule>
    <cfRule type="expression" dxfId="99" priority="17" stopIfTrue="1">
      <formula>$BI$6="DC Parametric"</formula>
    </cfRule>
  </conditionalFormatting>
  <conditionalFormatting sqref="B19:H19">
    <cfRule type="expression" dxfId="98" priority="6" stopIfTrue="1">
      <formula>$BB$3&lt;&gt;2</formula>
    </cfRule>
    <cfRule type="expression" dxfId="97" priority="22" stopIfTrue="1">
      <formula>$BT$6="No"</formula>
    </cfRule>
  </conditionalFormatting>
  <conditionalFormatting sqref="I19:W20">
    <cfRule type="expression" dxfId="96" priority="5" stopIfTrue="1">
      <formula>$BB$3&lt;&gt;2</formula>
    </cfRule>
    <cfRule type="expression" dxfId="95" priority="20" stopIfTrue="1">
      <formula>($BD$20=FALSE)</formula>
    </cfRule>
  </conditionalFormatting>
  <conditionalFormatting sqref="B35:X55 B17:O17 B6:I16 J7:K16 L6:X16">
    <cfRule type="expression" dxfId="94" priority="2" stopIfTrue="1">
      <formula>$BB$3&lt;&gt;2</formula>
    </cfRule>
  </conditionalFormatting>
  <conditionalFormatting sqref="P17:U17">
    <cfRule type="expression" dxfId="93" priority="8" stopIfTrue="1">
      <formula>$BB$3&lt;&gt;2</formula>
    </cfRule>
    <cfRule type="expression" dxfId="92" priority="30" stopIfTrue="1">
      <formula>$BD$21="Yes"</formula>
    </cfRule>
  </conditionalFormatting>
  <conditionalFormatting sqref="B20:H20">
    <cfRule type="expression" dxfId="91" priority="1" stopIfTrue="1">
      <formula>$BB$3&lt;&gt;2</formula>
    </cfRule>
    <cfRule type="expression" dxfId="90" priority="10" stopIfTrue="1">
      <formula>$F$6&lt;&gt;"Agilent 407x"</formula>
    </cfRule>
  </conditionalFormatting>
  <conditionalFormatting sqref="B24:M30">
    <cfRule type="expression" dxfId="89" priority="3" stopIfTrue="1">
      <formula>$BB$3&lt;&gt;2</formula>
    </cfRule>
    <cfRule type="expression" dxfId="88" priority="15" stopIfTrue="1">
      <formula>$BI$6="DC Parametric"</formula>
    </cfRule>
  </conditionalFormatting>
  <dataValidations count="7">
    <dataValidation type="whole" allowBlank="1" showInputMessage="1" showErrorMessage="1" sqref="Q27:X27 Q29:X29 S30:T30">
      <formula1>0</formula1>
      <formula2>32</formula2>
    </dataValidation>
    <dataValidation type="list" allowBlank="1" showInputMessage="1" showErrorMessage="1" errorTitle="Input Error!" error="Please select from list" sqref="H17">
      <formula1>$BC$24:$BC$26</formula1>
    </dataValidation>
    <dataValidation type="list" allowBlank="1" showInputMessage="1" showErrorMessage="1" errorTitle="Input Error" error="Please select from list" sqref="M19:W19">
      <formula1>$BC$29:$BC$30</formula1>
    </dataValidation>
    <dataValidation type="decimal" allowBlank="1" showInputMessage="1" showErrorMessage="1" sqref="V20:W20">
      <formula1>0</formula1>
      <formula2>15</formula2>
    </dataValidation>
    <dataValidation type="list" allowBlank="1" showInputMessage="1" showErrorMessage="1" errorTitle="Input Error!" error="Please enter Yes or No" sqref="O20:P20 V17:W17 G19:H19 I21:J21">
      <formula1>"No,Yes"</formula1>
    </dataValidation>
    <dataValidation type="list" allowBlank="1" showErrorMessage="1" errorTitle="Input Error!" error="Please select from list" sqref="F20:H20">
      <formula1>"Standard,Flush Mount"</formula1>
    </dataValidation>
    <dataValidation type="list" allowBlank="1" showInputMessage="1" showErrorMessage="1" errorTitle="Input Error!" error="Please select from list" sqref="F6:I6">
      <formula1>$BA$7:$BA$19</formula1>
    </dataValidation>
  </dataValidations>
  <printOptions horizontalCentered="1"/>
  <pageMargins left="0.75" right="0.75" top="0.5" bottom="0.75" header="0.5" footer="0.5"/>
  <pageSetup orientation="portrait" horizontalDpi="4294967292" r:id="rId1"/>
  <headerFooter alignWithMargins="0">
    <oddFooter>&amp;L&amp;8PPD DesCap 730-02-0001
Rev B&amp;C&amp;8&amp;F&amp;R&amp;8Print Date: &amp;D
Time: &amp;T</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Z72"/>
  <sheetViews>
    <sheetView showGridLines="0" showRowColHeaders="0" showZeros="0" zoomScaleNormal="100" workbookViewId="0">
      <selection activeCell="F5" sqref="F5:I5"/>
    </sheetView>
  </sheetViews>
  <sheetFormatPr defaultColWidth="8.85546875" defaultRowHeight="12.75" x14ac:dyDescent="0.2"/>
  <cols>
    <col min="1" max="1" width="1.7109375" style="57" customWidth="1"/>
    <col min="2" max="15" width="3.7109375" style="57" customWidth="1"/>
    <col min="16" max="21" width="3.7109375" style="66" customWidth="1"/>
    <col min="22" max="24" width="3.7109375" style="57" customWidth="1"/>
    <col min="25" max="25" width="1.7109375" style="301" customWidth="1"/>
    <col min="26" max="26" width="3.7109375" style="301" customWidth="1"/>
    <col min="27" max="52" width="8.85546875" style="57" customWidth="1"/>
    <col min="53" max="53" width="15.42578125" style="57" hidden="1" customWidth="1"/>
    <col min="54" max="54" width="5.7109375" style="57" hidden="1" customWidth="1"/>
    <col min="55" max="55" width="11.42578125" style="57" hidden="1" customWidth="1"/>
    <col min="56" max="56" width="6.85546875" style="57" hidden="1" customWidth="1"/>
    <col min="57" max="57" width="5.7109375" style="57" hidden="1" customWidth="1"/>
    <col min="58" max="58" width="13" style="57" hidden="1" customWidth="1"/>
    <col min="59" max="59" width="10.85546875" style="57" hidden="1" customWidth="1"/>
    <col min="60" max="60" width="9.28515625" style="57" hidden="1" customWidth="1"/>
    <col min="61" max="61" width="10.85546875" style="57" hidden="1" customWidth="1"/>
    <col min="62" max="62" width="6.28515625" style="71" hidden="1" customWidth="1"/>
    <col min="63" max="63" width="8.42578125" style="71" hidden="1" customWidth="1"/>
    <col min="64" max="64" width="5.28515625" style="71" hidden="1" customWidth="1"/>
    <col min="65" max="65" width="5.5703125" style="71" hidden="1" customWidth="1"/>
    <col min="66" max="66" width="8.85546875" style="57" hidden="1" customWidth="1"/>
    <col min="67" max="67" width="4.7109375" style="71" hidden="1" customWidth="1"/>
    <col min="68" max="78" width="8.85546875" style="57" hidden="1" customWidth="1"/>
    <col min="79" max="95" width="8.85546875" style="57" customWidth="1"/>
    <col min="96" max="16384" width="8.85546875" style="57"/>
  </cols>
  <sheetData>
    <row r="1" spans="1:77" s="66" customFormat="1" ht="13.5" thickBot="1" x14ac:dyDescent="0.25">
      <c r="A1" s="211"/>
      <c r="B1" s="300" t="str">
        <f>'Cover Page'!B4</f>
        <v xml:space="preserve"> Production Probes Design Capture Order Form</v>
      </c>
      <c r="C1" s="213"/>
      <c r="D1" s="213"/>
      <c r="E1" s="213"/>
      <c r="F1" s="213"/>
      <c r="G1" s="213"/>
      <c r="H1" s="213"/>
      <c r="I1" s="214"/>
      <c r="J1" s="214"/>
      <c r="K1" s="214"/>
      <c r="L1" s="214"/>
      <c r="M1" s="211"/>
      <c r="N1" s="838"/>
      <c r="O1" s="839"/>
      <c r="P1" s="873"/>
      <c r="Q1" s="874"/>
      <c r="R1" s="874"/>
      <c r="S1" s="873" t="s">
        <v>229</v>
      </c>
      <c r="T1" s="875" t="str">
        <f>'Cover Page'!S19</f>
        <v/>
      </c>
      <c r="U1" s="876"/>
      <c r="V1" s="845"/>
      <c r="W1" s="845"/>
      <c r="X1" s="845"/>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B1" s="240"/>
      <c r="BC1" s="57"/>
      <c r="BD1" s="57"/>
      <c r="BE1" s="57"/>
      <c r="BF1" s="57"/>
      <c r="BG1" s="57"/>
      <c r="BH1" s="57"/>
      <c r="BJ1" s="71"/>
      <c r="BK1" s="71"/>
      <c r="BL1" s="71"/>
      <c r="BM1" s="71"/>
      <c r="BO1" s="71"/>
    </row>
    <row r="2" spans="1:77" s="66" customFormat="1" ht="13.5" thickBot="1" x14ac:dyDescent="0.25">
      <c r="A2" s="211"/>
      <c r="B2" s="300" t="str">
        <f>'Cover Page'!B5</f>
        <v xml:space="preserve"> CQS-03-031-0001  R1.71</v>
      </c>
      <c r="C2" s="213"/>
      <c r="D2" s="213"/>
      <c r="E2" s="213"/>
      <c r="F2" s="213"/>
      <c r="G2" s="213"/>
      <c r="H2" s="213"/>
      <c r="I2" s="214"/>
      <c r="J2" s="214"/>
      <c r="K2" s="214"/>
      <c r="L2" s="214"/>
      <c r="M2" s="211"/>
      <c r="N2" s="838"/>
      <c r="O2" s="839"/>
      <c r="P2" s="877"/>
      <c r="Q2" s="874"/>
      <c r="R2" s="874"/>
      <c r="S2" s="873" t="str">
        <f ca="1">'Cover Page'!T2</f>
        <v>Core P/N:</v>
      </c>
      <c r="T2" s="878" t="str">
        <f>IF(ISBLANK('Cover Page'!U2),"",'Cover Page'!U2)</f>
        <v/>
      </c>
      <c r="U2" s="879"/>
      <c r="V2" s="850"/>
      <c r="W2" s="850"/>
      <c r="X2" s="850"/>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2" t="s">
        <v>1</v>
      </c>
      <c r="BB2" s="71"/>
      <c r="BC2" s="57"/>
      <c r="BD2" s="57"/>
      <c r="BE2" s="57"/>
      <c r="BF2" s="57"/>
      <c r="BG2" s="57"/>
      <c r="BH2" s="57"/>
      <c r="BJ2" s="71"/>
      <c r="BK2" s="71"/>
      <c r="BL2" s="71"/>
      <c r="BM2" s="71"/>
      <c r="BO2" s="71"/>
    </row>
    <row r="3" spans="1:77" s="66" customFormat="1" ht="15.75" x14ac:dyDescent="0.25">
      <c r="A3" s="211"/>
      <c r="B3" s="212" t="s">
        <v>988</v>
      </c>
      <c r="C3" s="213"/>
      <c r="D3" s="213"/>
      <c r="E3" s="213"/>
      <c r="F3" s="213"/>
      <c r="G3" s="213"/>
      <c r="H3" s="213"/>
      <c r="I3" s="214"/>
      <c r="J3" s="214"/>
      <c r="K3" s="214"/>
      <c r="L3" s="214"/>
      <c r="M3" s="211"/>
      <c r="N3" s="838"/>
      <c r="O3" s="851"/>
      <c r="P3" s="877"/>
      <c r="Q3" s="874"/>
      <c r="R3" s="874"/>
      <c r="S3" s="873" t="str">
        <f ca="1">'Cover Page'!T3</f>
        <v>Custom PCB P/N:</v>
      </c>
      <c r="T3" s="878" t="str">
        <f>IF(ISBLANK('Cover Page'!U3),"",'Cover Page'!U3)</f>
        <v/>
      </c>
      <c r="U3" s="879"/>
      <c r="V3" s="850"/>
      <c r="W3" s="850"/>
      <c r="X3" s="850"/>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130" t="s">
        <v>295</v>
      </c>
      <c r="BB3" s="72">
        <f>'Cover Page'!BD37</f>
        <v>3</v>
      </c>
      <c r="BC3" s="57" t="s">
        <v>357</v>
      </c>
      <c r="BD3" s="57"/>
      <c r="BE3" s="57"/>
      <c r="BF3" s="57"/>
      <c r="BJ3" s="71"/>
      <c r="BK3" s="71"/>
      <c r="BL3" s="71"/>
      <c r="BM3" s="71"/>
      <c r="BO3" s="71"/>
    </row>
    <row r="4" spans="1:77" s="66" customFormat="1" ht="15.75" customHeight="1" x14ac:dyDescent="0.25">
      <c r="A4" s="211"/>
      <c r="B4" s="361"/>
      <c r="C4" s="361"/>
      <c r="D4" s="361"/>
      <c r="E4" s="361"/>
      <c r="F4" s="361"/>
      <c r="G4" s="361"/>
      <c r="H4" s="361"/>
      <c r="I4" s="361"/>
      <c r="J4" s="361"/>
      <c r="K4" s="361"/>
      <c r="L4" s="362" t="str">
        <f>DUT!$K$5</f>
        <v>THIS PAGE IS NOT IN USE BASED ON COVER PAGE SELECTIONS</v>
      </c>
      <c r="M4" s="361"/>
      <c r="N4" s="361"/>
      <c r="O4" s="363"/>
      <c r="P4" s="363"/>
      <c r="Q4" s="363"/>
      <c r="R4" s="363"/>
      <c r="S4" s="363"/>
      <c r="T4" s="363"/>
      <c r="U4" s="363"/>
      <c r="V4" s="363"/>
      <c r="W4" s="363"/>
      <c r="X4" s="363"/>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116" t="s">
        <v>358</v>
      </c>
      <c r="BB4" s="72">
        <f>'Cover Page'!BD27</f>
        <v>2</v>
      </c>
      <c r="BC4" s="66" t="s">
        <v>359</v>
      </c>
      <c r="BE4" s="116" t="s">
        <v>855</v>
      </c>
      <c r="BF4" s="66" t="str">
        <f ca="1">IF('Cover Page'!BB27&lt;&gt;"",'Cover Page'!BB27,'PCB Custom'!F5)</f>
        <v>RFC (P100)</v>
      </c>
      <c r="BO4" s="71"/>
    </row>
    <row r="5" spans="1:77" s="66" customFormat="1" ht="15.75" customHeight="1" x14ac:dyDescent="0.25">
      <c r="B5" s="73"/>
      <c r="C5" s="309"/>
      <c r="D5" s="309"/>
      <c r="E5" s="220" t="s">
        <v>360</v>
      </c>
      <c r="F5" s="1746" t="s">
        <v>234</v>
      </c>
      <c r="G5" s="1501"/>
      <c r="H5" s="1668"/>
      <c r="I5" s="1668"/>
      <c r="J5" s="309"/>
      <c r="K5" s="309"/>
      <c r="L5" s="309"/>
      <c r="M5" s="309"/>
      <c r="N5" s="309"/>
      <c r="O5" s="309"/>
      <c r="P5" s="309"/>
      <c r="Q5" s="364"/>
      <c r="R5" s="364"/>
      <c r="S5" s="364"/>
      <c r="T5" s="364"/>
      <c r="U5" s="364"/>
      <c r="V5" s="364"/>
      <c r="W5" s="364"/>
      <c r="X5" s="364"/>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65">
        <f>IF(F6=BF35,0,1)</f>
        <v>0</v>
      </c>
      <c r="BO5" s="71"/>
      <c r="BQ5" s="308"/>
      <c r="BR5" s="308"/>
      <c r="BS5" s="308"/>
      <c r="BT5" s="308"/>
      <c r="BU5" s="308"/>
    </row>
    <row r="6" spans="1:77" s="309" customFormat="1" ht="15.75" customHeight="1" x14ac:dyDescent="0.25">
      <c r="B6" s="218"/>
      <c r="D6" s="219"/>
      <c r="E6" s="220" t="s">
        <v>361</v>
      </c>
      <c r="F6" s="1747" t="s">
        <v>362</v>
      </c>
      <c r="G6" s="1748"/>
      <c r="H6" s="1748"/>
      <c r="I6" s="1748"/>
      <c r="J6" s="1748"/>
      <c r="K6" s="1748"/>
      <c r="L6" s="1748"/>
      <c r="M6" s="1748"/>
      <c r="N6" s="489" t="s">
        <v>34</v>
      </c>
      <c r="O6" s="490" t="s">
        <v>363</v>
      </c>
      <c r="P6" s="366"/>
      <c r="Q6" s="366"/>
      <c r="R6" s="366"/>
      <c r="S6" s="366"/>
      <c r="T6" s="366"/>
      <c r="U6" s="364"/>
      <c r="V6" s="364"/>
      <c r="W6" s="57"/>
      <c r="X6" s="57"/>
      <c r="Y6" s="301"/>
      <c r="Z6" s="301"/>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65">
        <f>IF(F6=BF35,2,24)</f>
        <v>2</v>
      </c>
      <c r="BB6" s="307" t="s">
        <v>867</v>
      </c>
      <c r="BC6" s="367" t="s">
        <v>207</v>
      </c>
      <c r="BD6" s="307" t="s">
        <v>46</v>
      </c>
      <c r="BE6" s="307" t="s">
        <v>305</v>
      </c>
      <c r="BF6" s="107" t="s">
        <v>364</v>
      </c>
      <c r="BG6" s="307" t="s">
        <v>299</v>
      </c>
      <c r="BH6" s="107" t="s">
        <v>365</v>
      </c>
      <c r="BI6" s="107" t="s">
        <v>366</v>
      </c>
      <c r="BJ6" s="307" t="s">
        <v>44</v>
      </c>
      <c r="BK6" s="307" t="s">
        <v>367</v>
      </c>
      <c r="BL6" s="307" t="s">
        <v>48</v>
      </c>
      <c r="BM6" s="307" t="s">
        <v>49</v>
      </c>
      <c r="BN6" s="307" t="s">
        <v>304</v>
      </c>
      <c r="BO6" s="43" t="s">
        <v>160</v>
      </c>
      <c r="BP6" s="306" t="s">
        <v>51</v>
      </c>
    </row>
    <row r="7" spans="1:77" s="66" customFormat="1" ht="15.75" customHeight="1" x14ac:dyDescent="0.25">
      <c r="B7" s="309"/>
      <c r="C7" s="309"/>
      <c r="D7" s="309"/>
      <c r="E7" s="220" t="s">
        <v>307</v>
      </c>
      <c r="F7" s="1747" t="s">
        <v>368</v>
      </c>
      <c r="G7" s="1749"/>
      <c r="H7" s="1749"/>
      <c r="I7" s="1749"/>
      <c r="J7" s="1749"/>
      <c r="K7" s="1749"/>
      <c r="L7" s="1749"/>
      <c r="M7" s="1749"/>
      <c r="N7" s="368"/>
      <c r="Q7" s="130" t="s">
        <v>369</v>
      </c>
      <c r="R7" s="1459" t="s">
        <v>370</v>
      </c>
      <c r="S7" s="1459"/>
      <c r="T7" s="1459"/>
      <c r="U7" s="1459"/>
      <c r="V7" s="1459"/>
      <c r="W7" s="1459"/>
      <c r="X7" s="1459"/>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16" t="str">
        <f ca="1">""&amp;OFFSET(BA7,$BB$7,0)</f>
        <v>4.5" Rectangular</v>
      </c>
      <c r="BB7" s="316">
        <f>IF(BB3=3,VLOOKUP(F7,BA8:BB32,2,0),-2)</f>
        <v>1</v>
      </c>
      <c r="BC7" s="369" t="str">
        <f ca="1">OFFSET(BC7,$BB$7,0)</f>
        <v>4.5 x 7</v>
      </c>
      <c r="BD7" s="316">
        <f ca="1">IF(ISBLANK(R9),OFFSET(BD7,$BB$7,0),IF(T9="(MM)",R9/25.4,R9))</f>
        <v>0.125</v>
      </c>
      <c r="BE7" s="316" t="str">
        <f t="shared" ref="BE7:BO7" ca="1" si="0">OFFSET(BE7,$BB$7,0)</f>
        <v>Yes</v>
      </c>
      <c r="BF7" s="316" t="str">
        <f ca="1">IF(OFFSET(BF7,$BB$7,0)&lt;&gt;"",OFFSET(BF7,$BB$7,0),"")</f>
        <v/>
      </c>
      <c r="BG7" s="316" t="str">
        <f ca="1">IF(OFFSET(BG7,$BB$7,0)&lt;&gt;"",OFFSET(BG7,$BB$7,0),"")</f>
        <v/>
      </c>
      <c r="BH7" s="316" t="str">
        <f ca="1">IF(OFFSET(BH7,$BB$7,0)&lt;&gt;"",OFFSET(BH7,$BB$7,0),"")</f>
        <v/>
      </c>
      <c r="BI7" s="316" t="str">
        <f ca="1">IF(OFFSET(BI7,$BB$7,0)&lt;&gt;"",OFFSET(BI7,$BB$7,0),"")</f>
        <v/>
      </c>
      <c r="BJ7" s="316">
        <f t="shared" ca="1" si="0"/>
        <v>0</v>
      </c>
      <c r="BK7" s="316">
        <f t="shared" ca="1" si="0"/>
        <v>0</v>
      </c>
      <c r="BL7" s="316">
        <f t="shared" ca="1" si="0"/>
        <v>0</v>
      </c>
      <c r="BM7" s="316">
        <f t="shared" ca="1" si="0"/>
        <v>0</v>
      </c>
      <c r="BN7" s="316" t="str">
        <f t="shared" ca="1" si="0"/>
        <v>Yes</v>
      </c>
      <c r="BO7" s="316">
        <f t="shared" ca="1" si="0"/>
        <v>0</v>
      </c>
      <c r="BP7" s="316" t="str">
        <f t="shared" ref="BP7:BY7" ca="1" si="1">IF(OFFSET(BP7,$BB$7,0)&lt;&gt;"",OFFSET(BP7,$BB$7,0),"")</f>
        <v>SMA</v>
      </c>
      <c r="BQ7" s="316" t="str">
        <f t="shared" ca="1" si="1"/>
        <v>MXP</v>
      </c>
      <c r="BR7" s="316" t="str">
        <f t="shared" ca="1" si="1"/>
        <v>UHD</v>
      </c>
      <c r="BS7" s="316" t="str">
        <f t="shared" ca="1" si="1"/>
        <v>K-Std</v>
      </c>
      <c r="BT7" s="316" t="str">
        <f t="shared" ca="1" si="1"/>
        <v>K-HS</v>
      </c>
      <c r="BU7" s="316" t="str">
        <f t="shared" ca="1" si="1"/>
        <v>V-HS</v>
      </c>
      <c r="BV7" s="316" t="str">
        <f t="shared" ca="1" si="1"/>
        <v>1.85mm</v>
      </c>
      <c r="BW7" s="316" t="str">
        <f t="shared" ca="1" si="1"/>
        <v>1mm</v>
      </c>
      <c r="BX7" s="316" t="str">
        <f t="shared" ca="1" si="1"/>
        <v>Other</v>
      </c>
      <c r="BY7" s="316" t="str">
        <f t="shared" ca="1" si="1"/>
        <v/>
      </c>
    </row>
    <row r="8" spans="1:77" s="66" customFormat="1" ht="12.75" customHeight="1" x14ac:dyDescent="0.2">
      <c r="I8" s="370" t="s">
        <v>371</v>
      </c>
      <c r="J8" s="371" t="str">
        <f ca="1">BC7</f>
        <v>4.5 x 7</v>
      </c>
      <c r="K8" s="211"/>
      <c r="Q8" s="372" t="str">
        <f>IF(F7=BA8,"Change length to:",IF(T8="Y:","Size X:","Size:"))</f>
        <v>Change length to:</v>
      </c>
      <c r="R8" s="1759"/>
      <c r="S8" s="1759"/>
      <c r="T8" s="373" t="s">
        <v>372</v>
      </c>
      <c r="U8" s="1759"/>
      <c r="V8" s="1759"/>
      <c r="W8" s="1759" t="s">
        <v>373</v>
      </c>
      <c r="X8" s="1759"/>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729" t="s">
        <v>368</v>
      </c>
      <c r="BB8" s="374">
        <v>1</v>
      </c>
      <c r="BC8" s="730" t="s">
        <v>374</v>
      </c>
      <c r="BD8" s="320">
        <v>0.125</v>
      </c>
      <c r="BE8" s="320" t="s">
        <v>86</v>
      </c>
      <c r="BF8" s="308"/>
      <c r="BG8" s="321"/>
      <c r="BH8" s="308"/>
      <c r="BI8" s="308"/>
      <c r="BJ8" s="320">
        <v>0</v>
      </c>
      <c r="BK8" s="320"/>
      <c r="BL8" s="320"/>
      <c r="BM8" s="320">
        <f>IF(R10="Yes",".062",0)</f>
        <v>0</v>
      </c>
      <c r="BN8" s="320" t="s">
        <v>86</v>
      </c>
      <c r="BO8" s="320"/>
      <c r="BP8" s="323" t="s">
        <v>375</v>
      </c>
      <c r="BQ8" s="323" t="s">
        <v>376</v>
      </c>
      <c r="BR8" s="323" t="s">
        <v>329</v>
      </c>
      <c r="BS8" s="323" t="s">
        <v>628</v>
      </c>
      <c r="BT8" s="323" t="s">
        <v>629</v>
      </c>
      <c r="BU8" s="323" t="s">
        <v>630</v>
      </c>
      <c r="BV8" s="323" t="s">
        <v>377</v>
      </c>
      <c r="BW8" s="323" t="s">
        <v>378</v>
      </c>
      <c r="BX8" s="323" t="s">
        <v>81</v>
      </c>
      <c r="BY8" s="323"/>
    </row>
    <row r="9" spans="1:77" s="66" customFormat="1" ht="12.75" customHeight="1" x14ac:dyDescent="0.2">
      <c r="I9" s="370"/>
      <c r="J9" s="1046" t="str">
        <f ca="1">IF($BJ$7=1,"Typical Upper PCB thickness is","Typical PCB Thickness:")</f>
        <v>Typical PCB Thickness:</v>
      </c>
      <c r="K9" s="588" t="str">
        <f ca="1">OFFSET(BD7,$BB$7,0)&amp;CHAR(34)&amp;" ["&amp;FIXED(OFFSET(BD7,$BB$7,0)*25.4,1)&amp;"mm], Alt"</f>
        <v>0.125" [3.2mm], Alt</v>
      </c>
      <c r="N9" s="617"/>
      <c r="O9" s="121"/>
      <c r="Q9" s="372" t="s">
        <v>88</v>
      </c>
      <c r="R9" s="1759"/>
      <c r="S9" s="1759"/>
      <c r="T9" s="1759" t="s">
        <v>373</v>
      </c>
      <c r="U9" s="1759"/>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731" t="s">
        <v>81</v>
      </c>
      <c r="BB9" s="376">
        <v>2</v>
      </c>
      <c r="BC9" s="730">
        <v>0</v>
      </c>
      <c r="BD9" s="320">
        <v>0.125</v>
      </c>
      <c r="BE9" s="320" t="s">
        <v>86</v>
      </c>
      <c r="BF9" s="732"/>
      <c r="BG9" s="321"/>
      <c r="BH9" s="308"/>
      <c r="BI9" s="308"/>
      <c r="BJ9" s="320">
        <v>0</v>
      </c>
      <c r="BL9" s="320"/>
      <c r="BM9" s="320"/>
      <c r="BN9" s="320"/>
      <c r="BO9" s="320"/>
      <c r="BP9" s="323" t="s">
        <v>375</v>
      </c>
      <c r="BQ9" s="323" t="s">
        <v>376</v>
      </c>
      <c r="BR9" s="323" t="s">
        <v>329</v>
      </c>
      <c r="BS9" s="323" t="s">
        <v>628</v>
      </c>
      <c r="BT9" s="323" t="s">
        <v>629</v>
      </c>
      <c r="BU9" s="323" t="s">
        <v>630</v>
      </c>
      <c r="BV9" s="323" t="s">
        <v>377</v>
      </c>
      <c r="BW9" s="323" t="s">
        <v>378</v>
      </c>
      <c r="BX9" s="323" t="s">
        <v>81</v>
      </c>
      <c r="BY9" s="323"/>
    </row>
    <row r="10" spans="1:77" s="66" customFormat="1" ht="12.75" customHeight="1" x14ac:dyDescent="0.2">
      <c r="C10" s="107"/>
      <c r="E10" s="107"/>
      <c r="G10" s="301"/>
      <c r="H10" s="301"/>
      <c r="I10" s="301"/>
      <c r="L10" s="301"/>
      <c r="M10" s="301"/>
      <c r="N10" s="244" t="str">
        <f ca="1">IF($BJ$7=1,"(Lower PCB thickness is fixed at "&amp;$BL$7&amp;CHAR(34)&amp;" ["&amp;FIXED($BL$7*25.4,1)&amp;"mm])  ","")</f>
        <v/>
      </c>
      <c r="Q10" s="372" t="s">
        <v>379</v>
      </c>
      <c r="R10" s="1497" t="s">
        <v>31</v>
      </c>
      <c r="S10" s="1497"/>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731" t="s">
        <v>380</v>
      </c>
      <c r="BB10" s="376">
        <v>3</v>
      </c>
      <c r="BC10" s="730" t="s">
        <v>381</v>
      </c>
      <c r="BD10" s="320">
        <v>0.125</v>
      </c>
      <c r="BE10" s="320" t="s">
        <v>31</v>
      </c>
      <c r="BF10" s="732"/>
      <c r="BG10" s="321"/>
      <c r="BH10" s="308" t="s">
        <v>36</v>
      </c>
      <c r="BI10" s="308" t="s">
        <v>36</v>
      </c>
      <c r="BJ10" s="320">
        <v>0</v>
      </c>
      <c r="BK10" s="320"/>
      <c r="BL10" s="320"/>
      <c r="BM10" s="320"/>
      <c r="BN10" s="320"/>
      <c r="BO10" s="320"/>
      <c r="BP10" s="323"/>
      <c r="BQ10" s="323" t="s">
        <v>375</v>
      </c>
      <c r="BR10" s="323" t="s">
        <v>329</v>
      </c>
      <c r="BS10" s="323" t="s">
        <v>628</v>
      </c>
      <c r="BT10" s="323" t="s">
        <v>629</v>
      </c>
      <c r="BU10" s="323" t="s">
        <v>630</v>
      </c>
      <c r="BV10" s="323" t="s">
        <v>377</v>
      </c>
      <c r="BW10" s="323" t="s">
        <v>378</v>
      </c>
      <c r="BX10" s="323" t="s">
        <v>81</v>
      </c>
      <c r="BY10" s="323"/>
    </row>
    <row r="11" spans="1:77" s="66" customFormat="1" ht="12.75" customHeight="1" thickBot="1" x14ac:dyDescent="0.25">
      <c r="B11" s="325" t="s">
        <v>333</v>
      </c>
      <c r="C11" s="57"/>
      <c r="D11" s="57"/>
      <c r="E11" s="57"/>
      <c r="F11" s="57"/>
      <c r="G11" s="57"/>
      <c r="H11" s="57"/>
      <c r="I11" s="57"/>
      <c r="J11" s="57"/>
      <c r="K11" s="57"/>
      <c r="L11" s="57"/>
      <c r="M11" s="57"/>
      <c r="N11" s="57"/>
      <c r="O11" s="57"/>
      <c r="V11" s="57"/>
      <c r="W11" s="57"/>
      <c r="X11" s="57"/>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731" t="s">
        <v>875</v>
      </c>
      <c r="BB11" s="376">
        <v>4</v>
      </c>
      <c r="BC11" s="730" t="s">
        <v>428</v>
      </c>
      <c r="BD11" s="320">
        <v>0.125</v>
      </c>
      <c r="BE11" s="320" t="s">
        <v>86</v>
      </c>
      <c r="BF11" s="732"/>
      <c r="BG11" s="320"/>
      <c r="BH11" s="70"/>
      <c r="BI11" s="70"/>
      <c r="BJ11" s="320">
        <v>0</v>
      </c>
      <c r="BK11" s="320"/>
      <c r="BL11" s="320"/>
      <c r="BM11" s="320"/>
      <c r="BN11" s="320"/>
      <c r="BO11" s="320"/>
      <c r="BP11" s="323"/>
      <c r="BQ11" s="323" t="s">
        <v>375</v>
      </c>
      <c r="BR11" s="323" t="s">
        <v>329</v>
      </c>
      <c r="BS11" s="323" t="s">
        <v>628</v>
      </c>
      <c r="BT11" s="323" t="s">
        <v>629</v>
      </c>
      <c r="BU11" s="323" t="s">
        <v>630</v>
      </c>
      <c r="BV11" s="323" t="s">
        <v>377</v>
      </c>
      <c r="BW11" s="323" t="s">
        <v>378</v>
      </c>
      <c r="BX11" s="323" t="s">
        <v>81</v>
      </c>
      <c r="BY11" s="323"/>
    </row>
    <row r="12" spans="1:77" s="66" customFormat="1" x14ac:dyDescent="0.2">
      <c r="B12" s="237"/>
      <c r="C12" s="94"/>
      <c r="D12" s="94"/>
      <c r="E12" s="984" t="s">
        <v>605</v>
      </c>
      <c r="F12" s="1771" t="s">
        <v>650</v>
      </c>
      <c r="G12" s="1771"/>
      <c r="H12" s="1771"/>
      <c r="I12" s="94"/>
      <c r="J12" s="94"/>
      <c r="K12" s="94"/>
      <c r="L12" s="94"/>
      <c r="M12" s="94"/>
      <c r="N12" s="94"/>
      <c r="O12" s="94"/>
      <c r="P12" s="94"/>
      <c r="Q12" s="94"/>
      <c r="R12" s="94"/>
      <c r="S12" s="94"/>
      <c r="T12" s="94"/>
      <c r="U12" s="94"/>
      <c r="V12" s="94"/>
      <c r="W12" s="94"/>
      <c r="X12" s="97"/>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731" t="s">
        <v>874</v>
      </c>
      <c r="BB12" s="376">
        <v>5</v>
      </c>
      <c r="BC12" s="730" t="s">
        <v>771</v>
      </c>
      <c r="BD12" s="320">
        <v>0.125</v>
      </c>
      <c r="BE12" s="320" t="s">
        <v>86</v>
      </c>
      <c r="BF12" s="732" t="s">
        <v>430</v>
      </c>
      <c r="BG12" s="320"/>
      <c r="BH12" s="70"/>
      <c r="BI12" s="70"/>
      <c r="BJ12" s="320">
        <v>0</v>
      </c>
      <c r="BK12" s="320"/>
      <c r="BL12" s="320"/>
      <c r="BM12" s="320"/>
      <c r="BN12" s="70"/>
      <c r="BO12" s="320"/>
      <c r="BP12" s="323"/>
      <c r="BQ12" s="323" t="s">
        <v>375</v>
      </c>
      <c r="BR12" s="323" t="s">
        <v>329</v>
      </c>
      <c r="BS12" s="323" t="s">
        <v>628</v>
      </c>
      <c r="BT12" s="323" t="s">
        <v>629</v>
      </c>
      <c r="BU12" s="323" t="s">
        <v>630</v>
      </c>
      <c r="BV12" s="323" t="s">
        <v>377</v>
      </c>
      <c r="BW12" s="323" t="s">
        <v>378</v>
      </c>
      <c r="BX12" s="323" t="s">
        <v>81</v>
      </c>
      <c r="BY12" s="323"/>
    </row>
    <row r="13" spans="1:77" s="66" customFormat="1" ht="12.75" customHeight="1" x14ac:dyDescent="0.2">
      <c r="B13" s="235"/>
      <c r="C13" s="102"/>
      <c r="D13" s="102"/>
      <c r="E13" s="102"/>
      <c r="F13" s="100" t="s">
        <v>386</v>
      </c>
      <c r="G13" s="1397" t="s">
        <v>31</v>
      </c>
      <c r="H13" s="1397"/>
      <c r="I13" s="102"/>
      <c r="J13" s="102"/>
      <c r="K13" s="102"/>
      <c r="L13" s="986" t="s">
        <v>340</v>
      </c>
      <c r="M13" s="1397" t="s">
        <v>387</v>
      </c>
      <c r="N13" s="1397"/>
      <c r="O13" s="1397"/>
      <c r="P13" s="1397"/>
      <c r="Q13" s="1397"/>
      <c r="R13" s="1397"/>
      <c r="S13" s="1397"/>
      <c r="T13" s="1397"/>
      <c r="U13" s="1397"/>
      <c r="V13" s="1397"/>
      <c r="W13" s="1397"/>
      <c r="X13" s="234"/>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731" t="s">
        <v>871</v>
      </c>
      <c r="BB13" s="376">
        <v>6</v>
      </c>
      <c r="BC13" s="730" t="s">
        <v>870</v>
      </c>
      <c r="BD13" s="320">
        <v>0.13700000000000001</v>
      </c>
      <c r="BE13" s="320" t="s">
        <v>86</v>
      </c>
      <c r="BF13" s="733"/>
      <c r="BG13" s="320"/>
      <c r="BH13" s="308"/>
      <c r="BI13" s="308"/>
      <c r="BJ13" s="320">
        <v>0</v>
      </c>
      <c r="BK13" s="320"/>
      <c r="BL13" s="320"/>
      <c r="BM13" s="320"/>
      <c r="BN13" s="70"/>
      <c r="BO13" s="320"/>
      <c r="BP13" s="323"/>
      <c r="BQ13" s="323" t="s">
        <v>375</v>
      </c>
      <c r="BR13" s="323" t="s">
        <v>329</v>
      </c>
      <c r="BS13" s="323" t="s">
        <v>628</v>
      </c>
      <c r="BT13" s="323" t="s">
        <v>629</v>
      </c>
      <c r="BU13" s="323" t="s">
        <v>630</v>
      </c>
      <c r="BV13" s="323" t="s">
        <v>377</v>
      </c>
      <c r="BW13" s="323" t="s">
        <v>378</v>
      </c>
      <c r="BX13" s="323" t="s">
        <v>81</v>
      </c>
      <c r="BY13" s="323"/>
    </row>
    <row r="14" spans="1:77" s="66" customFormat="1" ht="12.75" customHeight="1" x14ac:dyDescent="0.2">
      <c r="B14" s="235"/>
      <c r="C14" s="82"/>
      <c r="D14" s="82"/>
      <c r="E14" s="101"/>
      <c r="F14" s="82"/>
      <c r="G14" s="100" t="s">
        <v>392</v>
      </c>
      <c r="H14" s="1655"/>
      <c r="I14" s="1655"/>
      <c r="J14" s="1655"/>
      <c r="K14" s="1655"/>
      <c r="L14" s="1655"/>
      <c r="M14" s="1655"/>
      <c r="N14" s="1655"/>
      <c r="O14" s="1655"/>
      <c r="P14" s="100"/>
      <c r="Q14" s="100"/>
      <c r="R14" s="100"/>
      <c r="S14" s="100"/>
      <c r="T14" s="100"/>
      <c r="U14" s="100" t="str">
        <f ca="1">IF(BB39="Yes","[Edge Sense Kit Required]","Install Edge Sense Kit:")</f>
        <v>Install Edge Sense Kit:</v>
      </c>
      <c r="V14" s="1485"/>
      <c r="W14" s="1485"/>
      <c r="X14" s="234"/>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731" t="s">
        <v>872</v>
      </c>
      <c r="BB14" s="376">
        <v>7</v>
      </c>
      <c r="BC14" s="730" t="s">
        <v>771</v>
      </c>
      <c r="BD14" s="320">
        <v>0.125</v>
      </c>
      <c r="BE14" s="320" t="s">
        <v>86</v>
      </c>
      <c r="BF14" s="733" t="s">
        <v>852</v>
      </c>
      <c r="BG14" s="320"/>
      <c r="BH14" s="308" t="s">
        <v>36</v>
      </c>
      <c r="BI14" s="308" t="s">
        <v>36</v>
      </c>
      <c r="BJ14" s="320">
        <v>0</v>
      </c>
      <c r="BK14" s="320"/>
      <c r="BL14" s="320"/>
      <c r="BM14" s="320"/>
      <c r="BN14" s="70"/>
      <c r="BO14" s="320" t="s">
        <v>133</v>
      </c>
      <c r="BP14" s="323"/>
      <c r="BQ14" s="323" t="s">
        <v>375</v>
      </c>
      <c r="BR14" s="323" t="s">
        <v>329</v>
      </c>
      <c r="BS14" s="323" t="s">
        <v>628</v>
      </c>
      <c r="BT14" s="323" t="s">
        <v>629</v>
      </c>
      <c r="BU14" s="323" t="s">
        <v>630</v>
      </c>
      <c r="BV14" s="323" t="s">
        <v>377</v>
      </c>
      <c r="BW14" s="323" t="s">
        <v>378</v>
      </c>
      <c r="BX14" s="323" t="s">
        <v>81</v>
      </c>
      <c r="BY14" s="323"/>
    </row>
    <row r="15" spans="1:77" s="66" customFormat="1" ht="12.75" customHeight="1" x14ac:dyDescent="0.2">
      <c r="B15" s="235"/>
      <c r="C15" s="102"/>
      <c r="D15" s="102"/>
      <c r="E15" s="102"/>
      <c r="F15" s="102"/>
      <c r="G15" s="100"/>
      <c r="H15" s="727" t="s">
        <v>397</v>
      </c>
      <c r="I15" s="728"/>
      <c r="J15" s="728"/>
      <c r="K15" s="102"/>
      <c r="L15" s="728"/>
      <c r="M15" s="728"/>
      <c r="N15" s="728"/>
      <c r="O15" s="728"/>
      <c r="P15" s="102"/>
      <c r="Q15" s="488" t="str">
        <f ca="1">IF(Core!BK20,"*** ID Pigtail Required ***","")</f>
        <v/>
      </c>
      <c r="R15" s="100"/>
      <c r="S15" s="728"/>
      <c r="T15" s="728"/>
      <c r="U15" s="728"/>
      <c r="V15" s="82"/>
      <c r="W15" s="82"/>
      <c r="X15" s="234"/>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731" t="s">
        <v>873</v>
      </c>
      <c r="BB15" s="376">
        <v>8</v>
      </c>
      <c r="BC15" s="730" t="s">
        <v>389</v>
      </c>
      <c r="BD15" s="320">
        <v>0.125</v>
      </c>
      <c r="BE15" s="320" t="s">
        <v>86</v>
      </c>
      <c r="BF15" s="733" t="s">
        <v>431</v>
      </c>
      <c r="BG15" s="320"/>
      <c r="BH15" s="70"/>
      <c r="BI15" s="70"/>
      <c r="BJ15" s="320">
        <v>0</v>
      </c>
      <c r="BK15" s="320"/>
      <c r="BL15" s="320"/>
      <c r="BM15" s="320"/>
      <c r="BN15" s="70"/>
      <c r="BO15" s="320"/>
      <c r="BP15" s="323"/>
      <c r="BQ15" s="323" t="s">
        <v>375</v>
      </c>
      <c r="BR15" s="323" t="s">
        <v>329</v>
      </c>
      <c r="BS15" s="323" t="s">
        <v>628</v>
      </c>
      <c r="BT15" s="323" t="s">
        <v>629</v>
      </c>
      <c r="BU15" s="323" t="s">
        <v>630</v>
      </c>
      <c r="BV15" s="323" t="s">
        <v>377</v>
      </c>
      <c r="BW15" s="323" t="s">
        <v>378</v>
      </c>
      <c r="BX15" s="323" t="s">
        <v>81</v>
      </c>
      <c r="BY15" s="323"/>
    </row>
    <row r="16" spans="1:77" s="66" customFormat="1" ht="12.75" customHeight="1" x14ac:dyDescent="0.2">
      <c r="A16" s="57"/>
      <c r="B16" s="126"/>
      <c r="C16" s="102"/>
      <c r="D16" s="102"/>
      <c r="E16" s="100" t="s">
        <v>399</v>
      </c>
      <c r="F16" s="1655"/>
      <c r="G16" s="1772"/>
      <c r="H16" s="1772"/>
      <c r="I16" s="1772"/>
      <c r="J16" s="1772"/>
      <c r="K16" s="1772"/>
      <c r="L16" s="1772"/>
      <c r="M16" s="1772"/>
      <c r="N16" s="102"/>
      <c r="O16" s="100" t="s">
        <v>39</v>
      </c>
      <c r="P16" s="1655"/>
      <c r="Q16" s="1655"/>
      <c r="R16" s="1655"/>
      <c r="S16" s="1655"/>
      <c r="T16" s="1655"/>
      <c r="U16" s="1655"/>
      <c r="V16" s="1655"/>
      <c r="W16" s="1773"/>
      <c r="X16" s="103"/>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731" t="s">
        <v>382</v>
      </c>
      <c r="BB16" s="376">
        <v>9</v>
      </c>
      <c r="BC16" s="730" t="s">
        <v>383</v>
      </c>
      <c r="BD16" s="320">
        <v>0.125</v>
      </c>
      <c r="BE16" s="320" t="s">
        <v>86</v>
      </c>
      <c r="BF16" s="732"/>
      <c r="BG16" s="367"/>
      <c r="BH16" s="308" t="s">
        <v>36</v>
      </c>
      <c r="BI16" s="308" t="s">
        <v>36</v>
      </c>
      <c r="BJ16" s="320">
        <v>0</v>
      </c>
      <c r="BK16" s="320"/>
      <c r="BL16" s="320"/>
      <c r="BM16" s="320"/>
      <c r="BN16" s="320"/>
      <c r="BO16" s="320"/>
      <c r="BP16" s="323"/>
      <c r="BQ16" s="323" t="s">
        <v>375</v>
      </c>
      <c r="BR16" s="323" t="s">
        <v>329</v>
      </c>
      <c r="BS16" s="323" t="s">
        <v>628</v>
      </c>
      <c r="BT16" s="323" t="s">
        <v>629</v>
      </c>
      <c r="BU16" s="323" t="s">
        <v>630</v>
      </c>
      <c r="BV16" s="323" t="s">
        <v>377</v>
      </c>
      <c r="BW16" s="323" t="s">
        <v>378</v>
      </c>
      <c r="BX16" s="323" t="s">
        <v>81</v>
      </c>
      <c r="BY16" s="323"/>
    </row>
    <row r="17" spans="1:77" s="66" customFormat="1" ht="12.75" customHeight="1" x14ac:dyDescent="0.2">
      <c r="A17" s="57"/>
      <c r="B17" s="235"/>
      <c r="C17" s="102"/>
      <c r="D17" s="102"/>
      <c r="E17" s="102"/>
      <c r="F17" s="1774" t="str">
        <f>IF(AND(F16&lt;&gt;"Polyimide",DUT!BB29=1),"Note: Possible stability concern due to test temp range"," ")</f>
        <v xml:space="preserve"> </v>
      </c>
      <c r="G17" s="1774"/>
      <c r="H17" s="1774"/>
      <c r="I17" s="1774"/>
      <c r="J17" s="1774"/>
      <c r="K17" s="1774"/>
      <c r="L17" s="1774"/>
      <c r="M17" s="1774"/>
      <c r="N17" s="1774"/>
      <c r="O17" s="1774"/>
      <c r="P17" s="1774"/>
      <c r="Q17" s="1774"/>
      <c r="R17" s="102"/>
      <c r="S17" s="102"/>
      <c r="T17" s="102"/>
      <c r="U17" s="102"/>
      <c r="V17" s="102"/>
      <c r="W17" s="102"/>
      <c r="X17" s="234"/>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731" t="s">
        <v>664</v>
      </c>
      <c r="BB17" s="376">
        <v>10</v>
      </c>
      <c r="BC17" s="730" t="s">
        <v>423</v>
      </c>
      <c r="BD17" s="320">
        <v>0.125</v>
      </c>
      <c r="BE17" s="320" t="s">
        <v>86</v>
      </c>
      <c r="BF17" s="732" t="s">
        <v>424</v>
      </c>
      <c r="BG17" s="320"/>
      <c r="BH17" s="308" t="s">
        <v>36</v>
      </c>
      <c r="BI17" s="308" t="s">
        <v>36</v>
      </c>
      <c r="BJ17" s="320">
        <v>0</v>
      </c>
      <c r="BK17" s="308"/>
      <c r="BL17" s="308"/>
      <c r="BM17" s="320"/>
      <c r="BN17" s="320"/>
      <c r="BO17" s="320" t="s">
        <v>133</v>
      </c>
      <c r="BP17" s="323"/>
      <c r="BQ17" s="323" t="s">
        <v>375</v>
      </c>
      <c r="BR17" s="323" t="s">
        <v>329</v>
      </c>
      <c r="BS17" s="323" t="s">
        <v>628</v>
      </c>
      <c r="BT17" s="323" t="s">
        <v>629</v>
      </c>
      <c r="BU17" s="323" t="s">
        <v>630</v>
      </c>
      <c r="BV17" s="323" t="s">
        <v>377</v>
      </c>
      <c r="BW17" s="323" t="s">
        <v>378</v>
      </c>
      <c r="BX17" s="323" t="s">
        <v>81</v>
      </c>
      <c r="BY17" s="323"/>
    </row>
    <row r="18" spans="1:77" s="66" customFormat="1" ht="12.75" customHeight="1" thickBot="1" x14ac:dyDescent="0.25">
      <c r="A18" s="57"/>
      <c r="B18" s="133"/>
      <c r="C18" s="118"/>
      <c r="D18" s="118"/>
      <c r="E18" s="118"/>
      <c r="F18" s="118"/>
      <c r="G18" s="118"/>
      <c r="H18" s="251" t="s">
        <v>408</v>
      </c>
      <c r="I18" s="1493"/>
      <c r="J18" s="1493"/>
      <c r="K18" s="338"/>
      <c r="L18" s="1769" t="str">
        <f>IF(AND(DUT!BB27=1,BB7=1),"Note: Probe temp below 0°, Vapor barrier recommended"," ")</f>
        <v xml:space="preserve"> </v>
      </c>
      <c r="M18" s="1770"/>
      <c r="N18" s="1770"/>
      <c r="O18" s="1770"/>
      <c r="P18" s="1770"/>
      <c r="Q18" s="1770"/>
      <c r="R18" s="1770"/>
      <c r="S18" s="1770"/>
      <c r="T18" s="1770"/>
      <c r="U18" s="1770"/>
      <c r="V18" s="1770"/>
      <c r="W18" s="1770"/>
      <c r="X18" s="228"/>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731" t="s">
        <v>314</v>
      </c>
      <c r="BB18" s="376">
        <v>11</v>
      </c>
      <c r="BC18" s="730" t="s">
        <v>404</v>
      </c>
      <c r="BD18" s="320">
        <v>0.125</v>
      </c>
      <c r="BE18" s="320" t="s">
        <v>86</v>
      </c>
      <c r="BF18" s="732" t="s">
        <v>426</v>
      </c>
      <c r="BG18" s="320"/>
      <c r="BH18" s="308" t="s">
        <v>36</v>
      </c>
      <c r="BI18" s="308" t="s">
        <v>36</v>
      </c>
      <c r="BJ18" s="320">
        <v>1</v>
      </c>
      <c r="BK18" s="104">
        <f ca="1">0.068+0.125-$BD$7</f>
        <v>6.8000000000000005E-2</v>
      </c>
      <c r="BL18" s="308">
        <v>0.125</v>
      </c>
      <c r="BM18" s="320"/>
      <c r="BN18" s="320"/>
      <c r="BO18" s="320" t="s">
        <v>133</v>
      </c>
      <c r="BP18" s="323"/>
      <c r="BQ18" s="323" t="s">
        <v>375</v>
      </c>
      <c r="BR18" s="323" t="s">
        <v>329</v>
      </c>
      <c r="BS18" s="323" t="s">
        <v>628</v>
      </c>
      <c r="BT18" s="323" t="s">
        <v>629</v>
      </c>
      <c r="BU18" s="323" t="s">
        <v>630</v>
      </c>
      <c r="BV18" s="323" t="s">
        <v>377</v>
      </c>
      <c r="BW18" s="323" t="s">
        <v>378</v>
      </c>
      <c r="BX18" s="323" t="s">
        <v>81</v>
      </c>
      <c r="BY18" s="323"/>
    </row>
    <row r="19" spans="1:77" s="66" customFormat="1" ht="12.75" customHeight="1" x14ac:dyDescent="0.2">
      <c r="A19" s="57"/>
      <c r="X19" s="82"/>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731" t="s">
        <v>675</v>
      </c>
      <c r="BB19" s="376">
        <v>12</v>
      </c>
      <c r="BC19" s="730" t="s">
        <v>404</v>
      </c>
      <c r="BD19" s="320">
        <v>0.125</v>
      </c>
      <c r="BE19" s="320" t="s">
        <v>86</v>
      </c>
      <c r="BF19" s="732" t="s">
        <v>426</v>
      </c>
      <c r="BG19" s="320"/>
      <c r="BH19" s="308" t="s">
        <v>36</v>
      </c>
      <c r="BI19" s="308" t="s">
        <v>36</v>
      </c>
      <c r="BJ19" s="320">
        <v>1</v>
      </c>
      <c r="BK19" s="104">
        <f ca="1">0.068+0.125-$BD$7</f>
        <v>6.8000000000000005E-2</v>
      </c>
      <c r="BL19" s="308">
        <v>0.125</v>
      </c>
      <c r="BM19" s="320"/>
      <c r="BN19" s="320"/>
      <c r="BO19" s="320"/>
      <c r="BP19" s="323"/>
      <c r="BQ19" s="323" t="s">
        <v>375</v>
      </c>
      <c r="BR19" s="323" t="s">
        <v>329</v>
      </c>
      <c r="BS19" s="323" t="s">
        <v>628</v>
      </c>
      <c r="BT19" s="323" t="s">
        <v>629</v>
      </c>
      <c r="BU19" s="323" t="s">
        <v>630</v>
      </c>
      <c r="BV19" s="323" t="s">
        <v>377</v>
      </c>
      <c r="BW19" s="323" t="s">
        <v>378</v>
      </c>
      <c r="BX19" s="323" t="s">
        <v>81</v>
      </c>
      <c r="BY19" s="323"/>
    </row>
    <row r="20" spans="1:77" s="66" customFormat="1" ht="15" thickBot="1" x14ac:dyDescent="0.25">
      <c r="A20" s="57"/>
      <c r="B20" s="325" t="s">
        <v>414</v>
      </c>
      <c r="H20" s="326" t="s">
        <v>415</v>
      </c>
      <c r="I20" s="326"/>
      <c r="J20" s="326"/>
      <c r="K20" s="326"/>
      <c r="L20" s="326"/>
      <c r="M20" s="326" t="s">
        <v>416</v>
      </c>
      <c r="N20" s="326"/>
      <c r="O20" s="326"/>
      <c r="P20" s="326" t="s">
        <v>417</v>
      </c>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731" t="s">
        <v>384</v>
      </c>
      <c r="BB20" s="376">
        <v>13</v>
      </c>
      <c r="BC20" s="730" t="s">
        <v>385</v>
      </c>
      <c r="BD20" s="320">
        <v>0.125</v>
      </c>
      <c r="BE20" s="320" t="s">
        <v>31</v>
      </c>
      <c r="BF20" s="732"/>
      <c r="BG20" s="321"/>
      <c r="BH20" s="308" t="s">
        <v>36</v>
      </c>
      <c r="BI20" s="308" t="s">
        <v>36</v>
      </c>
      <c r="BJ20" s="320">
        <v>0</v>
      </c>
      <c r="BK20" s="320"/>
      <c r="BL20" s="320"/>
      <c r="BM20" s="320"/>
      <c r="BN20" s="320"/>
      <c r="BO20" s="320"/>
      <c r="BP20" s="323"/>
      <c r="BQ20" s="323" t="s">
        <v>375</v>
      </c>
      <c r="BR20" s="323" t="s">
        <v>329</v>
      </c>
      <c r="BS20" s="323" t="s">
        <v>628</v>
      </c>
      <c r="BT20" s="323" t="s">
        <v>629</v>
      </c>
      <c r="BU20" s="323" t="s">
        <v>630</v>
      </c>
      <c r="BV20" s="323" t="s">
        <v>377</v>
      </c>
      <c r="BW20" s="323" t="s">
        <v>378</v>
      </c>
      <c r="BX20" s="323" t="s">
        <v>81</v>
      </c>
      <c r="BY20" s="323"/>
    </row>
    <row r="21" spans="1:77" s="66" customFormat="1" ht="12.75" customHeight="1" thickBot="1" x14ac:dyDescent="0.25">
      <c r="A21" s="57"/>
      <c r="B21" s="1760" t="s">
        <v>421</v>
      </c>
      <c r="C21" s="1761"/>
      <c r="D21" s="1761"/>
      <c r="E21" s="1761"/>
      <c r="F21" s="1761"/>
      <c r="G21" s="1761"/>
      <c r="H21" s="1752" t="s">
        <v>461</v>
      </c>
      <c r="I21" s="1753"/>
      <c r="J21" s="1753"/>
      <c r="K21" s="1754"/>
      <c r="L21" s="1754"/>
      <c r="M21" s="1779" t="str">
        <f ca="1">BF7</f>
        <v/>
      </c>
      <c r="N21" s="1780"/>
      <c r="O21" s="1780"/>
      <c r="P21" s="1775"/>
      <c r="Q21" s="1776"/>
      <c r="R21" s="1776"/>
      <c r="S21" s="1776"/>
      <c r="T21" s="1776"/>
      <c r="U21" s="1776"/>
      <c r="V21" s="1776"/>
      <c r="W21" s="1776"/>
      <c r="X21" s="1777"/>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731" t="s">
        <v>388</v>
      </c>
      <c r="BB21" s="376">
        <v>14</v>
      </c>
      <c r="BC21" s="730" t="s">
        <v>389</v>
      </c>
      <c r="BD21" s="320">
        <v>0.125</v>
      </c>
      <c r="BE21" s="320" t="s">
        <v>86</v>
      </c>
      <c r="BF21" s="732" t="s">
        <v>390</v>
      </c>
      <c r="BG21" s="321"/>
      <c r="BH21" s="308"/>
      <c r="BI21" s="308"/>
      <c r="BJ21" s="320">
        <v>0</v>
      </c>
      <c r="BK21" s="320"/>
      <c r="BL21" s="320"/>
      <c r="BM21" s="320"/>
      <c r="BN21" s="320"/>
      <c r="BO21" s="320"/>
      <c r="BP21" s="323" t="s">
        <v>391</v>
      </c>
      <c r="BQ21" s="323" t="s">
        <v>375</v>
      </c>
      <c r="BR21" s="323" t="s">
        <v>329</v>
      </c>
      <c r="BS21" s="323" t="s">
        <v>628</v>
      </c>
      <c r="BT21" s="323" t="s">
        <v>629</v>
      </c>
      <c r="BU21" s="323" t="s">
        <v>630</v>
      </c>
      <c r="BV21" s="323" t="s">
        <v>377</v>
      </c>
      <c r="BW21" s="323" t="s">
        <v>378</v>
      </c>
      <c r="BX21" s="323" t="s">
        <v>81</v>
      </c>
      <c r="BY21" s="323"/>
    </row>
    <row r="22" spans="1:77" s="66" customFormat="1" ht="12.75" customHeight="1" thickBot="1" x14ac:dyDescent="0.25">
      <c r="A22" s="57"/>
      <c r="B22" s="1750" t="s">
        <v>425</v>
      </c>
      <c r="C22" s="1751"/>
      <c r="D22" s="1751"/>
      <c r="E22" s="1751"/>
      <c r="F22" s="1751"/>
      <c r="G22" s="1751"/>
      <c r="H22" s="1752" t="s">
        <v>461</v>
      </c>
      <c r="I22" s="1753"/>
      <c r="J22" s="1753"/>
      <c r="K22" s="1754"/>
      <c r="L22" s="1754"/>
      <c r="M22" s="1755" t="str">
        <f ca="1">BH7</f>
        <v/>
      </c>
      <c r="N22" s="1756"/>
      <c r="O22" s="1756"/>
      <c r="P22" s="1757"/>
      <c r="Q22" s="1624"/>
      <c r="R22" s="1624"/>
      <c r="S22" s="1624"/>
      <c r="T22" s="1624"/>
      <c r="U22" s="1624"/>
      <c r="V22" s="1624"/>
      <c r="W22" s="1624"/>
      <c r="X22" s="1758"/>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731" t="s">
        <v>972</v>
      </c>
      <c r="BB22" s="376">
        <v>15</v>
      </c>
      <c r="BC22" s="730" t="s">
        <v>389</v>
      </c>
      <c r="BD22" s="320">
        <v>0.125</v>
      </c>
      <c r="BE22" s="320" t="s">
        <v>86</v>
      </c>
      <c r="BF22" s="732" t="s">
        <v>973</v>
      </c>
      <c r="BG22" s="321"/>
      <c r="BH22" s="308"/>
      <c r="BI22" s="308"/>
      <c r="BJ22" s="320">
        <v>0</v>
      </c>
      <c r="BK22" s="320"/>
      <c r="BL22" s="320">
        <v>0.125</v>
      </c>
      <c r="BM22" s="320"/>
      <c r="BN22" s="320"/>
      <c r="BO22" s="320"/>
      <c r="BP22" s="323"/>
      <c r="BQ22" s="323" t="s">
        <v>375</v>
      </c>
      <c r="BR22" s="323" t="s">
        <v>975</v>
      </c>
      <c r="BS22" s="323" t="s">
        <v>976</v>
      </c>
      <c r="BT22" s="323" t="s">
        <v>974</v>
      </c>
      <c r="BU22" s="323" t="s">
        <v>81</v>
      </c>
      <c r="BV22" s="323"/>
      <c r="BW22" s="323"/>
      <c r="BX22" s="323"/>
      <c r="BY22" s="323"/>
    </row>
    <row r="23" spans="1:77" ht="12.75" customHeight="1" thickBot="1" x14ac:dyDescent="0.25">
      <c r="B23" s="1762" t="s">
        <v>427</v>
      </c>
      <c r="C23" s="1763"/>
      <c r="D23" s="1763"/>
      <c r="E23" s="1763"/>
      <c r="F23" s="1763"/>
      <c r="G23" s="1763"/>
      <c r="H23" s="1752" t="s">
        <v>461</v>
      </c>
      <c r="I23" s="1753"/>
      <c r="J23" s="1753"/>
      <c r="K23" s="1754"/>
      <c r="L23" s="1754"/>
      <c r="M23" s="1764" t="str">
        <f ca="1">BI7</f>
        <v/>
      </c>
      <c r="N23" s="1765"/>
      <c r="O23" s="1765"/>
      <c r="P23" s="1766"/>
      <c r="Q23" s="1767"/>
      <c r="R23" s="1767"/>
      <c r="S23" s="1767"/>
      <c r="T23" s="1767"/>
      <c r="U23" s="1767"/>
      <c r="V23" s="1767"/>
      <c r="W23" s="1767"/>
      <c r="X23" s="1768"/>
      <c r="BA23" s="731" t="s">
        <v>393</v>
      </c>
      <c r="BB23" s="376">
        <v>16</v>
      </c>
      <c r="BC23" s="730" t="s">
        <v>394</v>
      </c>
      <c r="BD23" s="320">
        <v>0.125</v>
      </c>
      <c r="BE23" s="320" t="s">
        <v>86</v>
      </c>
      <c r="BF23" s="733" t="s">
        <v>395</v>
      </c>
      <c r="BG23" s="321" t="s">
        <v>396</v>
      </c>
      <c r="BH23" s="308"/>
      <c r="BI23" s="308"/>
      <c r="BJ23" s="320">
        <v>0</v>
      </c>
      <c r="BK23" s="320"/>
      <c r="BL23" s="320"/>
      <c r="BM23" s="320"/>
      <c r="BN23" s="320"/>
      <c r="BO23" s="320"/>
      <c r="BP23" s="323"/>
      <c r="BQ23" s="323" t="s">
        <v>375</v>
      </c>
      <c r="BR23" s="323" t="s">
        <v>329</v>
      </c>
      <c r="BS23" s="323" t="s">
        <v>628</v>
      </c>
      <c r="BT23" s="323" t="s">
        <v>629</v>
      </c>
      <c r="BU23" s="323" t="s">
        <v>630</v>
      </c>
      <c r="BV23" s="323" t="s">
        <v>377</v>
      </c>
      <c r="BW23" s="323" t="s">
        <v>378</v>
      </c>
      <c r="BX23" s="323" t="s">
        <v>81</v>
      </c>
      <c r="BY23" s="323"/>
    </row>
    <row r="24" spans="1:77" ht="12.75" customHeight="1" x14ac:dyDescent="0.2">
      <c r="M24" s="91" t="str">
        <f>IF(H21="CMI / CMI",BG7,"")</f>
        <v/>
      </c>
      <c r="X24" s="82"/>
      <c r="BA24" s="731" t="s">
        <v>398</v>
      </c>
      <c r="BB24" s="376">
        <v>17</v>
      </c>
      <c r="BC24" s="730" t="s">
        <v>394</v>
      </c>
      <c r="BD24" s="320">
        <v>0.125</v>
      </c>
      <c r="BE24" s="320" t="s">
        <v>86</v>
      </c>
      <c r="BF24" s="732"/>
      <c r="BG24" s="321"/>
      <c r="BH24" s="308"/>
      <c r="BI24" s="308"/>
      <c r="BJ24" s="320">
        <v>0</v>
      </c>
      <c r="BK24" s="320"/>
      <c r="BL24" s="320"/>
      <c r="BM24" s="320"/>
      <c r="BN24" s="320"/>
      <c r="BO24" s="320"/>
      <c r="BP24" s="323"/>
      <c r="BQ24" s="323" t="s">
        <v>375</v>
      </c>
      <c r="BR24" s="323" t="s">
        <v>329</v>
      </c>
      <c r="BS24" s="323" t="s">
        <v>628</v>
      </c>
      <c r="BT24" s="323" t="s">
        <v>629</v>
      </c>
      <c r="BU24" s="323" t="s">
        <v>630</v>
      </c>
      <c r="BV24" s="323" t="s">
        <v>377</v>
      </c>
      <c r="BW24" s="323" t="s">
        <v>378</v>
      </c>
      <c r="BX24" s="323" t="s">
        <v>81</v>
      </c>
      <c r="BY24" s="323"/>
    </row>
    <row r="25" spans="1:77" ht="15" thickBot="1" x14ac:dyDescent="0.25">
      <c r="B25" s="325" t="s">
        <v>566</v>
      </c>
      <c r="X25" s="82"/>
      <c r="BA25" s="731" t="s">
        <v>401</v>
      </c>
      <c r="BB25" s="376">
        <v>18</v>
      </c>
      <c r="BC25" s="730" t="s">
        <v>402</v>
      </c>
      <c r="BD25" s="320">
        <v>0.125</v>
      </c>
      <c r="BE25" s="320" t="s">
        <v>86</v>
      </c>
      <c r="BF25" s="732"/>
      <c r="BG25" s="321"/>
      <c r="BH25" s="308"/>
      <c r="BI25" s="308"/>
      <c r="BJ25" s="320">
        <v>0</v>
      </c>
      <c r="BK25" s="320"/>
      <c r="BL25" s="320"/>
      <c r="BM25" s="320"/>
      <c r="BN25" s="320"/>
      <c r="BO25" s="320"/>
      <c r="BP25" s="323"/>
      <c r="BQ25" s="323" t="s">
        <v>375</v>
      </c>
      <c r="BR25" s="323" t="s">
        <v>329</v>
      </c>
      <c r="BS25" s="323" t="s">
        <v>628</v>
      </c>
      <c r="BT25" s="323" t="s">
        <v>629</v>
      </c>
      <c r="BU25" s="323" t="s">
        <v>630</v>
      </c>
      <c r="BV25" s="323" t="s">
        <v>377</v>
      </c>
      <c r="BW25" s="323" t="s">
        <v>378</v>
      </c>
      <c r="BX25" s="323" t="s">
        <v>81</v>
      </c>
      <c r="BY25" s="323"/>
    </row>
    <row r="26" spans="1:77" ht="12.75" customHeight="1" x14ac:dyDescent="0.2">
      <c r="B26" s="891"/>
      <c r="C26" s="892"/>
      <c r="D26" s="892"/>
      <c r="E26" s="853" t="s">
        <v>351</v>
      </c>
      <c r="F26" s="1744" t="str">
        <f ca="1">$BP$7</f>
        <v>SMA</v>
      </c>
      <c r="G26" s="1744"/>
      <c r="H26" s="1744" t="str">
        <f ca="1">$BQ$7</f>
        <v>MXP</v>
      </c>
      <c r="I26" s="1744"/>
      <c r="J26" s="1744" t="str">
        <f ca="1">$BR$7</f>
        <v>UHD</v>
      </c>
      <c r="K26" s="1744"/>
      <c r="L26" s="1744" t="str">
        <f ca="1">$BS$7</f>
        <v>K-Std</v>
      </c>
      <c r="M26" s="1744"/>
      <c r="N26" s="1744" t="str">
        <f ca="1">$BT$7</f>
        <v>K-HS</v>
      </c>
      <c r="O26" s="1744"/>
      <c r="P26" s="1744" t="str">
        <f ca="1">$BU$7</f>
        <v>V-HS</v>
      </c>
      <c r="Q26" s="1744"/>
      <c r="R26" s="1744" t="str">
        <f ca="1">$BV$7</f>
        <v>1.85mm</v>
      </c>
      <c r="S26" s="1744"/>
      <c r="T26" s="1744" t="str">
        <f ca="1">$BW$7</f>
        <v>1mm</v>
      </c>
      <c r="U26" s="1744"/>
      <c r="V26" s="892"/>
      <c r="W26" s="892"/>
      <c r="X26" s="893"/>
      <c r="BA26" s="731" t="s">
        <v>403</v>
      </c>
      <c r="BB26" s="376">
        <v>19</v>
      </c>
      <c r="BC26" s="730" t="s">
        <v>404</v>
      </c>
      <c r="BD26" s="320">
        <v>0.125</v>
      </c>
      <c r="BE26" s="320" t="s">
        <v>86</v>
      </c>
      <c r="BF26" s="733" t="s">
        <v>405</v>
      </c>
      <c r="BG26" s="320"/>
      <c r="BH26" s="733" t="s">
        <v>406</v>
      </c>
      <c r="BI26" s="70" t="s">
        <v>407</v>
      </c>
      <c r="BJ26" s="320">
        <v>0</v>
      </c>
      <c r="BK26" s="308"/>
      <c r="BL26" s="308"/>
      <c r="BM26" s="320"/>
      <c r="BN26" s="320"/>
      <c r="BO26" s="320"/>
      <c r="BP26" s="323"/>
      <c r="BQ26" s="323" t="s">
        <v>375</v>
      </c>
      <c r="BR26" s="323" t="s">
        <v>329</v>
      </c>
      <c r="BS26" s="323" t="s">
        <v>628</v>
      </c>
      <c r="BT26" s="323" t="s">
        <v>629</v>
      </c>
      <c r="BU26" s="323" t="s">
        <v>630</v>
      </c>
      <c r="BV26" s="323" t="s">
        <v>377</v>
      </c>
      <c r="BW26" s="323" t="s">
        <v>378</v>
      </c>
      <c r="BX26" s="323" t="s">
        <v>81</v>
      </c>
      <c r="BY26" s="323"/>
    </row>
    <row r="27" spans="1:77" ht="12.75" customHeight="1" x14ac:dyDescent="0.2">
      <c r="B27" s="920"/>
      <c r="C27" s="923"/>
      <c r="D27" s="923"/>
      <c r="E27" s="924" t="s">
        <v>565</v>
      </c>
      <c r="F27" s="1745">
        <f ca="1">IF(F26&lt;&gt;"",COUNTIF(Pinlist!$X:$X,F26)*Multiplyer,"")</f>
        <v>0</v>
      </c>
      <c r="G27" s="1745"/>
      <c r="H27" s="1745">
        <f ca="1">IF(H26&lt;&gt;"",COUNTIF(Pinlist!$X:$X,H26)*Multiplyer,"")</f>
        <v>0</v>
      </c>
      <c r="I27" s="1745"/>
      <c r="J27" s="1745">
        <f ca="1">IF(J26&lt;&gt;"",COUNTIF(Pinlist!$X:$X,J26)*Multiplyer,"")</f>
        <v>0</v>
      </c>
      <c r="K27" s="1745"/>
      <c r="L27" s="1745">
        <f ca="1">IF(L26&lt;&gt;"",COUNTIF(Pinlist!$X:$X,L26)*Multiplyer,"")</f>
        <v>0</v>
      </c>
      <c r="M27" s="1745"/>
      <c r="N27" s="1745">
        <f ca="1">IF(N26&lt;&gt;"",COUNTIF(Pinlist!$X:$X,N26)*Multiplyer,"")</f>
        <v>0</v>
      </c>
      <c r="O27" s="1745"/>
      <c r="P27" s="1745">
        <f ca="1">IF(P26&lt;&gt;"",COUNTIF(Pinlist!$X:$X,P26)*Multiplyer,"")</f>
        <v>0</v>
      </c>
      <c r="Q27" s="1745"/>
      <c r="R27" s="1745">
        <f ca="1">IF(R26&lt;&gt;"",COUNTIF(Pinlist!$X:$X,R26)*Multiplyer,"")</f>
        <v>0</v>
      </c>
      <c r="S27" s="1745"/>
      <c r="T27" s="1745">
        <f ca="1">IF(T26&lt;&gt;"",COUNTIF(Pinlist!$X:$X,T26)*Multiplyer,"")</f>
        <v>0</v>
      </c>
      <c r="U27" s="1745"/>
      <c r="V27" s="921"/>
      <c r="W27" s="921"/>
      <c r="X27" s="922"/>
      <c r="BA27" s="731" t="s">
        <v>409</v>
      </c>
      <c r="BB27" s="376">
        <v>20</v>
      </c>
      <c r="BC27" s="730" t="s">
        <v>389</v>
      </c>
      <c r="BD27" s="320">
        <v>0.125</v>
      </c>
      <c r="BE27" s="320" t="s">
        <v>86</v>
      </c>
      <c r="BF27" s="732" t="s">
        <v>410</v>
      </c>
      <c r="BG27" s="320"/>
      <c r="BH27" s="70"/>
      <c r="BI27" s="308"/>
      <c r="BJ27" s="320">
        <v>0</v>
      </c>
      <c r="BK27" s="320"/>
      <c r="BL27" s="320"/>
      <c r="BM27" s="320"/>
      <c r="BN27" s="320"/>
      <c r="BO27" s="320"/>
      <c r="BP27" s="323"/>
      <c r="BQ27" s="323" t="s">
        <v>375</v>
      </c>
      <c r="BR27" s="323" t="s">
        <v>329</v>
      </c>
      <c r="BS27" s="323" t="s">
        <v>628</v>
      </c>
      <c r="BT27" s="323" t="s">
        <v>629</v>
      </c>
      <c r="BU27" s="323" t="s">
        <v>630</v>
      </c>
      <c r="BV27" s="323" t="s">
        <v>377</v>
      </c>
      <c r="BW27" s="323" t="s">
        <v>378</v>
      </c>
      <c r="BX27" s="323" t="s">
        <v>81</v>
      </c>
      <c r="BY27" s="323"/>
    </row>
    <row r="28" spans="1:77" ht="12.75" customHeight="1" x14ac:dyDescent="0.2">
      <c r="B28" s="920"/>
      <c r="C28" s="925"/>
      <c r="D28" s="925"/>
      <c r="E28" s="926" t="s">
        <v>135</v>
      </c>
      <c r="F28" s="1740" t="str">
        <f>Pinlist!$BK$2</f>
        <v>+/-2.5ps</v>
      </c>
      <c r="G28" s="1741"/>
      <c r="H28" s="1740" t="str">
        <f>Pinlist!$BL$2</f>
        <v>+/-5ps</v>
      </c>
      <c r="I28" s="1741"/>
      <c r="J28" s="1740" t="str">
        <f>Pinlist!$BM$2</f>
        <v>+/-10ps</v>
      </c>
      <c r="K28" s="1741"/>
      <c r="L28" s="1740" t="str">
        <f>Pinlist!$BN$2</f>
        <v>+/-20ps</v>
      </c>
      <c r="M28" s="1741"/>
      <c r="N28" s="1740" t="str">
        <f>Pinlist!$BO$2</f>
        <v>+/-50ps</v>
      </c>
      <c r="O28" s="1741"/>
      <c r="P28" s="1740" t="str">
        <f>Pinlist!$BP$2</f>
        <v>+/-100ps</v>
      </c>
      <c r="Q28" s="1741"/>
      <c r="R28" s="1740" t="str">
        <f>Pinlist!$BQ$2</f>
        <v>+/-200ps</v>
      </c>
      <c r="S28" s="1741"/>
      <c r="T28" s="861"/>
      <c r="U28" s="861"/>
      <c r="V28" s="921"/>
      <c r="W28" s="921"/>
      <c r="X28" s="922"/>
      <c r="BA28" s="731" t="s">
        <v>411</v>
      </c>
      <c r="BB28" s="376">
        <v>21</v>
      </c>
      <c r="BC28" s="730" t="s">
        <v>394</v>
      </c>
      <c r="BD28" s="320">
        <v>0.187</v>
      </c>
      <c r="BE28" s="320" t="s">
        <v>86</v>
      </c>
      <c r="BF28" s="732" t="s">
        <v>412</v>
      </c>
      <c r="BG28" s="321" t="s">
        <v>413</v>
      </c>
      <c r="BH28" s="308" t="s">
        <v>36</v>
      </c>
      <c r="BI28" s="308" t="s">
        <v>36</v>
      </c>
      <c r="BJ28" s="320">
        <v>1</v>
      </c>
      <c r="BK28" s="308" t="str">
        <f ca="1">IF(OR($BD$7=0.187,$BD$7=0.25),0.04,"Error")</f>
        <v>Error</v>
      </c>
      <c r="BL28" s="308">
        <v>0.125</v>
      </c>
      <c r="BM28" s="320"/>
      <c r="BN28" s="320"/>
      <c r="BO28" s="320"/>
      <c r="BP28" s="323"/>
      <c r="BQ28" s="323" t="s">
        <v>375</v>
      </c>
      <c r="BR28" s="323" t="s">
        <v>329</v>
      </c>
      <c r="BS28" s="323" t="s">
        <v>628</v>
      </c>
      <c r="BT28" s="323" t="s">
        <v>629</v>
      </c>
      <c r="BU28" s="323" t="s">
        <v>630</v>
      </c>
      <c r="BV28" s="323" t="s">
        <v>377</v>
      </c>
      <c r="BW28" s="323" t="s">
        <v>378</v>
      </c>
      <c r="BX28" s="323" t="s">
        <v>81</v>
      </c>
      <c r="BY28" s="323"/>
    </row>
    <row r="29" spans="1:77" ht="12.75" customHeight="1" x14ac:dyDescent="0.2">
      <c r="B29" s="920"/>
      <c r="C29" s="923"/>
      <c r="D29" s="923"/>
      <c r="E29" s="924" t="s">
        <v>565</v>
      </c>
      <c r="F29" s="1745">
        <f>Pinlist_Pmatch_2p5ps</f>
        <v>0</v>
      </c>
      <c r="G29" s="1745"/>
      <c r="H29" s="1745">
        <f>Pinlist_Pmatch_5ps</f>
        <v>0</v>
      </c>
      <c r="I29" s="1745"/>
      <c r="J29" s="1778">
        <f>Pinlist_Pmatch_10ps</f>
        <v>0</v>
      </c>
      <c r="K29" s="1778"/>
      <c r="L29" s="1745">
        <f>Pinlist_Pmatch_20ps</f>
        <v>0</v>
      </c>
      <c r="M29" s="1745"/>
      <c r="N29" s="1745">
        <f>Pinlist_Pmatch_50ps</f>
        <v>0</v>
      </c>
      <c r="O29" s="1745"/>
      <c r="P29" s="1745">
        <f>Pinlist_Pmatch_100ps</f>
        <v>0</v>
      </c>
      <c r="Q29" s="1745"/>
      <c r="R29" s="1745">
        <f>Pinlist_Pmatch_200ps</f>
        <v>0</v>
      </c>
      <c r="S29" s="1745"/>
      <c r="T29" s="1745" t="str">
        <f>IF(T28&lt;&gt;"",COUNTIF(Pinlist!$X:$X,T28)*Multiplyer,"")</f>
        <v/>
      </c>
      <c r="U29" s="1745"/>
      <c r="V29" s="921"/>
      <c r="W29" s="921"/>
      <c r="X29" s="922"/>
      <c r="BA29" s="731" t="s">
        <v>418</v>
      </c>
      <c r="BB29" s="376">
        <v>22</v>
      </c>
      <c r="BC29" s="730" t="s">
        <v>419</v>
      </c>
      <c r="BD29" s="320">
        <v>0.125</v>
      </c>
      <c r="BE29" s="320" t="s">
        <v>86</v>
      </c>
      <c r="BF29" s="732" t="s">
        <v>420</v>
      </c>
      <c r="BG29" s="320"/>
      <c r="BH29" s="308" t="s">
        <v>36</v>
      </c>
      <c r="BI29" s="308" t="s">
        <v>36</v>
      </c>
      <c r="BJ29" s="320">
        <v>0</v>
      </c>
      <c r="BK29" s="308"/>
      <c r="BL29" s="308"/>
      <c r="BM29" s="320"/>
      <c r="BN29" s="320"/>
      <c r="BO29" s="320"/>
      <c r="BP29" s="323"/>
      <c r="BQ29" s="323" t="s">
        <v>375</v>
      </c>
      <c r="BR29" s="323" t="s">
        <v>329</v>
      </c>
      <c r="BS29" s="323" t="s">
        <v>628</v>
      </c>
      <c r="BT29" s="323" t="s">
        <v>629</v>
      </c>
      <c r="BU29" s="323" t="s">
        <v>630</v>
      </c>
      <c r="BV29" s="323" t="s">
        <v>377</v>
      </c>
      <c r="BW29" s="323" t="s">
        <v>378</v>
      </c>
      <c r="BX29" s="323" t="s">
        <v>81</v>
      </c>
      <c r="BY29" s="323"/>
    </row>
    <row r="30" spans="1:77" ht="12.75" customHeight="1" x14ac:dyDescent="0.2">
      <c r="B30" s="920"/>
      <c r="C30" s="925"/>
      <c r="D30" s="925"/>
      <c r="E30" s="925"/>
      <c r="F30" s="925"/>
      <c r="G30" s="926" t="s">
        <v>355</v>
      </c>
      <c r="H30" s="1742">
        <f>Pinlist!AB5+Pinlist!AD5</f>
        <v>0</v>
      </c>
      <c r="I30" s="1743"/>
      <c r="J30" s="927"/>
      <c r="K30" s="928"/>
      <c r="L30" s="929"/>
      <c r="M30" s="925"/>
      <c r="N30" s="925"/>
      <c r="O30" s="925"/>
      <c r="P30" s="930"/>
      <c r="Q30" s="926" t="s">
        <v>434</v>
      </c>
      <c r="R30" s="1742">
        <f>Pinlist!AA5</f>
        <v>0</v>
      </c>
      <c r="S30" s="1742"/>
      <c r="T30" s="861"/>
      <c r="U30" s="861"/>
      <c r="V30" s="921"/>
      <c r="W30" s="921"/>
      <c r="X30" s="922"/>
      <c r="BA30" s="734"/>
      <c r="BB30" s="735"/>
      <c r="BI30" s="70"/>
      <c r="BJ30" s="320"/>
      <c r="BK30" s="320"/>
      <c r="BL30" s="320"/>
      <c r="BM30" s="320"/>
      <c r="BN30" s="70"/>
      <c r="BO30" s="320"/>
      <c r="BP30" s="70"/>
      <c r="BQ30" s="70"/>
      <c r="BR30" s="70"/>
      <c r="BS30" s="70"/>
      <c r="BT30" s="70"/>
      <c r="BU30" s="70"/>
      <c r="BV30" s="70"/>
      <c r="BW30" s="70"/>
      <c r="BX30" s="70"/>
      <c r="BY30" s="70"/>
    </row>
    <row r="31" spans="1:77" ht="12.75" customHeight="1" thickBot="1" x14ac:dyDescent="0.25">
      <c r="B31" s="931"/>
      <c r="C31" s="932"/>
      <c r="D31" s="932"/>
      <c r="E31" s="932"/>
      <c r="F31" s="932"/>
      <c r="G31" s="932"/>
      <c r="H31" s="932"/>
      <c r="I31" s="933"/>
      <c r="J31" s="932"/>
      <c r="K31" s="932"/>
      <c r="L31" s="934"/>
      <c r="M31" s="932"/>
      <c r="N31" s="932"/>
      <c r="O31" s="932"/>
      <c r="P31" s="867"/>
      <c r="Q31" s="867"/>
      <c r="R31" s="867"/>
      <c r="S31" s="868" t="str">
        <f>IF(ISBLANK(Orientation!AL20),"PCB Orientation:",Orientation!AK14)</f>
        <v>PCB Orientation:</v>
      </c>
      <c r="T31" s="1179" t="str">
        <f>IF(ISBLANK(Orientation!AL20),"Not Determined",IF(Orientation!AL20="Approved",Orientation!AL14&amp;" Degrees",Orientation!AL20))</f>
        <v>Not Determined</v>
      </c>
      <c r="U31" s="932"/>
      <c r="V31" s="932"/>
      <c r="W31" s="932"/>
      <c r="X31" s="935"/>
      <c r="BA31" s="734"/>
      <c r="BB31" s="735"/>
      <c r="BI31" s="70"/>
      <c r="BJ31" s="320"/>
      <c r="BK31" s="320"/>
      <c r="BL31" s="320"/>
      <c r="BM31" s="320"/>
      <c r="BN31" s="70"/>
      <c r="BO31" s="320"/>
      <c r="BP31" s="70"/>
      <c r="BQ31" s="70"/>
      <c r="BR31" s="70"/>
      <c r="BS31" s="70"/>
      <c r="BT31" s="70"/>
      <c r="BU31" s="70"/>
      <c r="BV31" s="70"/>
      <c r="BW31" s="70"/>
      <c r="BX31" s="70"/>
      <c r="BY31" s="70"/>
    </row>
    <row r="32" spans="1:77" ht="12.75" customHeight="1" x14ac:dyDescent="0.2">
      <c r="X32" s="82"/>
      <c r="BA32" s="736"/>
      <c r="BB32" s="737"/>
      <c r="BL32" s="320"/>
      <c r="BM32" s="320"/>
      <c r="BN32" s="70"/>
      <c r="BO32" s="320"/>
      <c r="BP32" s="70"/>
      <c r="BQ32" s="70"/>
      <c r="BR32" s="70"/>
      <c r="BS32" s="70"/>
      <c r="BT32" s="70"/>
      <c r="BU32" s="70"/>
      <c r="BV32" s="70"/>
      <c r="BW32" s="70"/>
      <c r="BX32" s="70"/>
      <c r="BY32" s="70"/>
    </row>
    <row r="33" spans="1:67" ht="15" thickBot="1" x14ac:dyDescent="0.25">
      <c r="B33" s="495" t="s">
        <v>758</v>
      </c>
      <c r="C33" s="496"/>
      <c r="D33" s="496"/>
      <c r="E33" s="496"/>
      <c r="F33" s="496"/>
      <c r="G33" s="496"/>
      <c r="H33" s="496"/>
      <c r="I33" s="496"/>
      <c r="X33" s="82"/>
    </row>
    <row r="34" spans="1:67" ht="12.75" customHeight="1" thickBot="1" x14ac:dyDescent="0.25">
      <c r="B34" s="506"/>
      <c r="C34" s="507"/>
      <c r="D34" s="507"/>
      <c r="E34" s="387" t="s">
        <v>432</v>
      </c>
      <c r="F34" s="1726" t="str">
        <f ca="1">$BP$7</f>
        <v>SMA</v>
      </c>
      <c r="G34" s="1726"/>
      <c r="H34" s="1726" t="str">
        <f ca="1">$BQ$7</f>
        <v>MXP</v>
      </c>
      <c r="I34" s="1726"/>
      <c r="J34" s="1726" t="str">
        <f ca="1">$BR$7</f>
        <v>UHD</v>
      </c>
      <c r="K34" s="1726"/>
      <c r="L34" s="1726" t="str">
        <f ca="1">$BS$7</f>
        <v>K-Std</v>
      </c>
      <c r="M34" s="1726"/>
      <c r="N34" s="1726" t="str">
        <f ca="1">$BT$7</f>
        <v>K-HS</v>
      </c>
      <c r="O34" s="1726"/>
      <c r="P34" s="1726" t="str">
        <f ca="1">$BU$7</f>
        <v>V-HS</v>
      </c>
      <c r="Q34" s="1726"/>
      <c r="R34" s="1726" t="str">
        <f ca="1">$BV$7</f>
        <v>1.85mm</v>
      </c>
      <c r="S34" s="1726"/>
      <c r="T34" s="1726" t="str">
        <f ca="1">$BW$7</f>
        <v>1mm</v>
      </c>
      <c r="U34" s="1726"/>
      <c r="V34" s="330"/>
      <c r="W34" s="330"/>
      <c r="X34" s="222"/>
      <c r="BF34" s="91" t="s">
        <v>436</v>
      </c>
      <c r="BJ34" s="91" t="s">
        <v>354</v>
      </c>
      <c r="BK34" s="57"/>
      <c r="BL34" s="57"/>
      <c r="BM34" s="57"/>
      <c r="BO34" s="57"/>
    </row>
    <row r="35" spans="1:67" ht="12.75" customHeight="1" x14ac:dyDescent="0.2">
      <c r="B35" s="235"/>
      <c r="C35" s="82"/>
      <c r="D35" s="82"/>
      <c r="E35" s="100" t="s">
        <v>433</v>
      </c>
      <c r="F35" s="1738"/>
      <c r="G35" s="1739"/>
      <c r="H35" s="1727"/>
      <c r="I35" s="1739"/>
      <c r="J35" s="1727"/>
      <c r="K35" s="1739"/>
      <c r="L35" s="1727"/>
      <c r="M35" s="1739"/>
      <c r="N35" s="1727"/>
      <c r="O35" s="1739"/>
      <c r="P35" s="1727"/>
      <c r="Q35" s="1739"/>
      <c r="R35" s="1727"/>
      <c r="S35" s="1728"/>
      <c r="T35" s="1727"/>
      <c r="U35" s="1728"/>
      <c r="V35" s="82"/>
      <c r="W35" s="82"/>
      <c r="X35" s="234"/>
      <c r="Y35" s="67"/>
      <c r="BD35" s="70"/>
      <c r="BE35" s="70"/>
      <c r="BF35" s="738" t="s">
        <v>362</v>
      </c>
      <c r="BG35" s="739"/>
      <c r="BH35" s="740"/>
      <c r="BI35" s="70"/>
      <c r="BJ35" s="329" t="s">
        <v>387</v>
      </c>
      <c r="BK35" s="330"/>
      <c r="BL35" s="330"/>
      <c r="BM35" s="330"/>
      <c r="BN35" s="330"/>
      <c r="BO35" s="222"/>
    </row>
    <row r="36" spans="1:67" ht="12.75" customHeight="1" thickBot="1" x14ac:dyDescent="0.25">
      <c r="B36" s="508"/>
      <c r="C36" s="509"/>
      <c r="D36" s="509"/>
      <c r="E36" s="244" t="s">
        <v>135</v>
      </c>
      <c r="F36" s="1736" t="str">
        <f>Pinlist!$BK$2</f>
        <v>+/-2.5ps</v>
      </c>
      <c r="G36" s="1737"/>
      <c r="H36" s="1736" t="str">
        <f>Pinlist!$BL$2</f>
        <v>+/-5ps</v>
      </c>
      <c r="I36" s="1737"/>
      <c r="J36" s="1736" t="str">
        <f>Pinlist!$BM$2</f>
        <v>+/-10ps</v>
      </c>
      <c r="K36" s="1737"/>
      <c r="L36" s="1736" t="str">
        <f>Pinlist!$BN$2</f>
        <v>+/-20ps</v>
      </c>
      <c r="M36" s="1737"/>
      <c r="N36" s="1736" t="str">
        <f>Pinlist!$BO$2</f>
        <v>+/-50ps</v>
      </c>
      <c r="O36" s="1737"/>
      <c r="P36" s="1736" t="str">
        <f>Pinlist!$BP$2</f>
        <v>+/-100ps</v>
      </c>
      <c r="Q36" s="1737"/>
      <c r="R36" s="1736" t="str">
        <f>Pinlist!$BQ$2</f>
        <v>+/-200ps</v>
      </c>
      <c r="S36" s="1737"/>
      <c r="T36" s="102"/>
      <c r="U36" s="102"/>
      <c r="V36" s="82"/>
      <c r="W36" s="82"/>
      <c r="X36" s="234"/>
      <c r="BF36" s="741" t="s">
        <v>437</v>
      </c>
      <c r="BG36" s="742"/>
      <c r="BH36" s="743"/>
      <c r="BJ36" s="337" t="s">
        <v>435</v>
      </c>
      <c r="BK36" s="338"/>
      <c r="BL36" s="338"/>
      <c r="BM36" s="338"/>
      <c r="BN36" s="338"/>
      <c r="BO36" s="228"/>
    </row>
    <row r="37" spans="1:67" ht="12.75" customHeight="1" x14ac:dyDescent="0.2">
      <c r="B37" s="235"/>
      <c r="C37" s="82"/>
      <c r="D37" s="82"/>
      <c r="E37" s="100" t="s">
        <v>433</v>
      </c>
      <c r="F37" s="1738"/>
      <c r="G37" s="1739"/>
      <c r="H37" s="1727"/>
      <c r="I37" s="1739"/>
      <c r="J37" s="1727"/>
      <c r="K37" s="1739"/>
      <c r="L37" s="1727"/>
      <c r="M37" s="1739"/>
      <c r="N37" s="1727"/>
      <c r="O37" s="1739"/>
      <c r="P37" s="1727"/>
      <c r="Q37" s="1739"/>
      <c r="R37" s="1727"/>
      <c r="S37" s="1728"/>
      <c r="T37" s="102"/>
      <c r="U37" s="102"/>
      <c r="V37" s="82"/>
      <c r="W37" s="82"/>
      <c r="X37" s="234"/>
      <c r="BC37" s="104"/>
    </row>
    <row r="38" spans="1:67" ht="12.75" customHeight="1" x14ac:dyDescent="0.2">
      <c r="B38" s="235"/>
      <c r="C38" s="82"/>
      <c r="D38" s="82"/>
      <c r="E38" s="82"/>
      <c r="F38" s="82"/>
      <c r="G38" s="100" t="s">
        <v>355</v>
      </c>
      <c r="H38" s="1738"/>
      <c r="I38" s="1739"/>
      <c r="J38" s="82"/>
      <c r="K38" s="82"/>
      <c r="L38" s="82"/>
      <c r="M38" s="82"/>
      <c r="N38" s="82"/>
      <c r="O38" s="82"/>
      <c r="P38" s="102"/>
      <c r="Q38" s="100" t="s">
        <v>438</v>
      </c>
      <c r="R38" s="1727"/>
      <c r="S38" s="1728"/>
      <c r="T38" s="102"/>
      <c r="U38" s="102"/>
      <c r="V38" s="82"/>
      <c r="W38" s="82"/>
      <c r="X38" s="234"/>
      <c r="BC38" s="116"/>
      <c r="BF38" s="91" t="s">
        <v>347</v>
      </c>
    </row>
    <row r="39" spans="1:67" ht="12.75" customHeight="1" thickBot="1" x14ac:dyDescent="0.25">
      <c r="B39" s="337"/>
      <c r="C39" s="338"/>
      <c r="D39" s="338"/>
      <c r="E39" s="338"/>
      <c r="F39" s="338"/>
      <c r="G39" s="338"/>
      <c r="H39" s="338"/>
      <c r="I39" s="338"/>
      <c r="J39" s="338"/>
      <c r="K39" s="338"/>
      <c r="L39" s="338"/>
      <c r="M39" s="338"/>
      <c r="N39" s="338"/>
      <c r="O39" s="338"/>
      <c r="P39" s="118"/>
      <c r="Q39" s="118"/>
      <c r="R39" s="118"/>
      <c r="S39" s="118"/>
      <c r="T39" s="338"/>
      <c r="U39" s="338"/>
      <c r="V39" s="338"/>
      <c r="W39" s="338"/>
      <c r="X39" s="228"/>
      <c r="BA39" s="130" t="s">
        <v>346</v>
      </c>
      <c r="BB39" s="72">
        <f ca="1">edgeSense</f>
        <v>0</v>
      </c>
      <c r="BC39" s="116" t="s">
        <v>554</v>
      </c>
      <c r="BD39" s="72"/>
      <c r="BF39" s="134" t="s">
        <v>336</v>
      </c>
      <c r="BG39" s="77"/>
      <c r="BH39" s="78"/>
    </row>
    <row r="40" spans="1:67" ht="12.75" customHeight="1" x14ac:dyDescent="0.2">
      <c r="BA40" s="130" t="s">
        <v>439</v>
      </c>
      <c r="BB40" s="744">
        <f>COUNTIF(C43:G50,BA46)</f>
        <v>0</v>
      </c>
      <c r="BF40" s="92" t="s">
        <v>350</v>
      </c>
      <c r="BG40" s="82"/>
      <c r="BH40" s="83"/>
    </row>
    <row r="41" spans="1:67" ht="12.75" customHeight="1" x14ac:dyDescent="0.25">
      <c r="M41" s="377" t="s">
        <v>440</v>
      </c>
      <c r="BA41" s="130" t="s">
        <v>441</v>
      </c>
      <c r="BB41" s="744">
        <f>COUNTIF(C43:C50,BA43)+COUNTIF(C43:C50,BA44)+COUNTIF(C43:C50,BA45)</f>
        <v>0</v>
      </c>
      <c r="BF41" s="741" t="s">
        <v>442</v>
      </c>
      <c r="BG41" s="742"/>
      <c r="BH41" s="743"/>
    </row>
    <row r="42" spans="1:67" ht="12.75" customHeight="1" x14ac:dyDescent="0.2">
      <c r="C42" s="91" t="s">
        <v>443</v>
      </c>
      <c r="D42" s="91"/>
      <c r="H42" s="91" t="s">
        <v>444</v>
      </c>
      <c r="P42" s="57"/>
      <c r="T42" s="91" t="s">
        <v>445</v>
      </c>
      <c r="V42" s="66"/>
      <c r="W42" s="66"/>
      <c r="BA42" s="91" t="s">
        <v>446</v>
      </c>
      <c r="BC42" s="91" t="s">
        <v>447</v>
      </c>
      <c r="BD42" s="985">
        <f>IF(F5=BC50,0,MATCH(F5,BC43:BC48,0))</f>
        <v>2</v>
      </c>
    </row>
    <row r="43" spans="1:67" ht="12.75" customHeight="1" x14ac:dyDescent="0.2">
      <c r="C43" s="1724"/>
      <c r="D43" s="1724"/>
      <c r="E43" s="1724"/>
      <c r="F43" s="1724"/>
      <c r="G43" s="1724"/>
      <c r="H43" s="1734"/>
      <c r="I43" s="1734"/>
      <c r="J43" s="1734"/>
      <c r="K43" s="1734"/>
      <c r="L43" s="1734"/>
      <c r="M43" s="1734"/>
      <c r="N43" s="1734"/>
      <c r="O43" s="1735"/>
      <c r="P43" s="1735"/>
      <c r="Q43" s="1735"/>
      <c r="R43" s="1735"/>
      <c r="S43" s="1735"/>
      <c r="T43" s="1724"/>
      <c r="U43" s="1724"/>
      <c r="V43" s="1724"/>
      <c r="W43" s="1724"/>
      <c r="BA43" s="745" t="s">
        <v>448</v>
      </c>
      <c r="BC43" s="378" t="s">
        <v>267</v>
      </c>
      <c r="BD43" s="121"/>
      <c r="BE43" s="91" t="s">
        <v>449</v>
      </c>
      <c r="BG43" s="71"/>
    </row>
    <row r="44" spans="1:67" ht="12.75" customHeight="1" x14ac:dyDescent="0.2">
      <c r="C44" s="1724"/>
      <c r="D44" s="1724"/>
      <c r="E44" s="1724"/>
      <c r="F44" s="1724"/>
      <c r="G44" s="1724"/>
      <c r="H44" s="1724"/>
      <c r="I44" s="1724"/>
      <c r="J44" s="1724"/>
      <c r="K44" s="1724"/>
      <c r="L44" s="1724"/>
      <c r="M44" s="1724"/>
      <c r="N44" s="1724"/>
      <c r="O44" s="1725"/>
      <c r="P44" s="1725"/>
      <c r="Q44" s="1725"/>
      <c r="R44" s="1725"/>
      <c r="S44" s="1725"/>
      <c r="T44" s="1724"/>
      <c r="U44" s="1724"/>
      <c r="V44" s="1724"/>
      <c r="W44" s="1724"/>
      <c r="BA44" s="746" t="s">
        <v>450</v>
      </c>
      <c r="BC44" s="379" t="s">
        <v>234</v>
      </c>
      <c r="BE44" s="134" t="s">
        <v>451</v>
      </c>
      <c r="BF44" s="77"/>
      <c r="BG44" s="123"/>
    </row>
    <row r="45" spans="1:67" ht="12.75" customHeight="1" x14ac:dyDescent="0.2">
      <c r="C45" s="1724"/>
      <c r="D45" s="1724"/>
      <c r="E45" s="1724"/>
      <c r="F45" s="1724"/>
      <c r="G45" s="1724"/>
      <c r="H45" s="1724"/>
      <c r="I45" s="1724"/>
      <c r="J45" s="1724"/>
      <c r="K45" s="1724"/>
      <c r="L45" s="1724"/>
      <c r="M45" s="1724"/>
      <c r="N45" s="1724"/>
      <c r="O45" s="1725"/>
      <c r="P45" s="1725"/>
      <c r="Q45" s="1725"/>
      <c r="R45" s="1725"/>
      <c r="S45" s="1725"/>
      <c r="T45" s="1724"/>
      <c r="U45" s="1724"/>
      <c r="V45" s="1724"/>
      <c r="W45" s="1724"/>
      <c r="BA45" s="746" t="s">
        <v>452</v>
      </c>
      <c r="BC45" s="379" t="s">
        <v>776</v>
      </c>
      <c r="BE45" s="92" t="s">
        <v>995</v>
      </c>
      <c r="BF45" s="82"/>
      <c r="BG45" s="125"/>
    </row>
    <row r="46" spans="1:67" ht="12.75" customHeight="1" x14ac:dyDescent="0.2">
      <c r="C46" s="1724"/>
      <c r="D46" s="1724"/>
      <c r="E46" s="1724"/>
      <c r="F46" s="1724"/>
      <c r="G46" s="1724"/>
      <c r="H46" s="1724"/>
      <c r="I46" s="1724"/>
      <c r="J46" s="1724"/>
      <c r="K46" s="1724"/>
      <c r="L46" s="1724"/>
      <c r="M46" s="1724"/>
      <c r="N46" s="1724"/>
      <c r="O46" s="1725"/>
      <c r="P46" s="1725"/>
      <c r="Q46" s="1725"/>
      <c r="R46" s="1725"/>
      <c r="S46" s="1725"/>
      <c r="T46" s="1724"/>
      <c r="U46" s="1724"/>
      <c r="V46" s="1724"/>
      <c r="W46" s="1724"/>
      <c r="BA46" s="746" t="s">
        <v>453</v>
      </c>
      <c r="BC46" s="379" t="s">
        <v>271</v>
      </c>
      <c r="BE46" s="105" t="s">
        <v>981</v>
      </c>
      <c r="BF46" s="82"/>
      <c r="BG46" s="125"/>
    </row>
    <row r="47" spans="1:67" ht="12.75" customHeight="1" x14ac:dyDescent="0.2">
      <c r="C47" s="1724"/>
      <c r="D47" s="1724"/>
      <c r="E47" s="1724"/>
      <c r="F47" s="1724"/>
      <c r="G47" s="1724"/>
      <c r="H47" s="1724"/>
      <c r="I47" s="1724"/>
      <c r="J47" s="1724"/>
      <c r="K47" s="1724"/>
      <c r="L47" s="1724"/>
      <c r="M47" s="1724"/>
      <c r="N47" s="1724"/>
      <c r="O47" s="1725"/>
      <c r="P47" s="1725"/>
      <c r="Q47" s="1725"/>
      <c r="R47" s="1725"/>
      <c r="S47" s="1725"/>
      <c r="T47" s="1724"/>
      <c r="U47" s="1724"/>
      <c r="V47" s="1724"/>
      <c r="W47" s="1724"/>
      <c r="BA47" s="747" t="s">
        <v>454</v>
      </c>
      <c r="BC47" s="379" t="s">
        <v>272</v>
      </c>
      <c r="BE47" s="105" t="s">
        <v>980</v>
      </c>
      <c r="BF47" s="82"/>
      <c r="BG47" s="125"/>
    </row>
    <row r="48" spans="1:67" s="6" customFormat="1" ht="12.75" customHeight="1" x14ac:dyDescent="0.2">
      <c r="A48" s="57"/>
      <c r="C48" s="1724"/>
      <c r="D48" s="1724"/>
      <c r="E48" s="1724"/>
      <c r="F48" s="1724"/>
      <c r="G48" s="1724"/>
      <c r="H48" s="1724"/>
      <c r="I48" s="1724"/>
      <c r="J48" s="1724"/>
      <c r="K48" s="1724"/>
      <c r="L48" s="1724"/>
      <c r="M48" s="1724"/>
      <c r="N48" s="1724"/>
      <c r="O48" s="1725"/>
      <c r="P48" s="1725"/>
      <c r="Q48" s="1725"/>
      <c r="R48" s="1725"/>
      <c r="S48" s="1725"/>
      <c r="T48" s="1724"/>
      <c r="U48" s="1724"/>
      <c r="V48" s="1724"/>
      <c r="W48" s="1724"/>
      <c r="Z48" s="301"/>
      <c r="BA48" s="747" t="s">
        <v>456</v>
      </c>
      <c r="BB48" s="748"/>
      <c r="BC48" s="379" t="s">
        <v>848</v>
      </c>
      <c r="BD48" s="57"/>
      <c r="BE48" s="92" t="s">
        <v>400</v>
      </c>
      <c r="BF48" s="82"/>
      <c r="BG48" s="125"/>
      <c r="BK48" s="71"/>
      <c r="BL48" s="298"/>
      <c r="BM48" s="298"/>
      <c r="BO48" s="298"/>
    </row>
    <row r="49" spans="1:67" s="6" customFormat="1" ht="12.75" customHeight="1" x14ac:dyDescent="0.2">
      <c r="A49" s="57"/>
      <c r="C49" s="1724"/>
      <c r="D49" s="1724"/>
      <c r="E49" s="1724"/>
      <c r="F49" s="1724"/>
      <c r="G49" s="1724"/>
      <c r="H49" s="1724"/>
      <c r="I49" s="1724"/>
      <c r="J49" s="1724"/>
      <c r="K49" s="1724"/>
      <c r="L49" s="1724"/>
      <c r="M49" s="1724"/>
      <c r="N49" s="1724"/>
      <c r="O49" s="1725"/>
      <c r="P49" s="1725"/>
      <c r="Q49" s="1725"/>
      <c r="R49" s="1725"/>
      <c r="S49" s="1725"/>
      <c r="T49" s="1724"/>
      <c r="U49" s="1724"/>
      <c r="V49" s="1724"/>
      <c r="W49" s="1724"/>
      <c r="Z49" s="360"/>
      <c r="BA49" s="749" t="s">
        <v>81</v>
      </c>
      <c r="BB49" s="750"/>
      <c r="BC49" s="379" t="s">
        <v>846</v>
      </c>
      <c r="BD49" s="57"/>
      <c r="BE49" s="92" t="s">
        <v>457</v>
      </c>
      <c r="BF49" s="509"/>
      <c r="BG49" s="1366"/>
      <c r="BK49" s="71"/>
      <c r="BL49" s="298"/>
      <c r="BM49" s="298"/>
      <c r="BO49" s="298"/>
    </row>
    <row r="50" spans="1:67" s="6" customFormat="1" ht="12.75" customHeight="1" x14ac:dyDescent="0.2">
      <c r="A50" s="57"/>
      <c r="C50" s="1724"/>
      <c r="D50" s="1724"/>
      <c r="E50" s="1724"/>
      <c r="F50" s="1724"/>
      <c r="G50" s="1724"/>
      <c r="H50" s="1724"/>
      <c r="I50" s="1724"/>
      <c r="J50" s="1724"/>
      <c r="K50" s="1724"/>
      <c r="L50" s="1724"/>
      <c r="M50" s="1724"/>
      <c r="N50" s="1724"/>
      <c r="O50" s="1725"/>
      <c r="P50" s="1725"/>
      <c r="Q50" s="1725"/>
      <c r="R50" s="1725"/>
      <c r="S50" s="1725"/>
      <c r="T50" s="1724"/>
      <c r="U50" s="1724"/>
      <c r="V50" s="1724"/>
      <c r="W50" s="1724"/>
      <c r="Z50" s="301"/>
      <c r="BB50" s="318"/>
      <c r="BC50" s="751" t="s">
        <v>458</v>
      </c>
      <c r="BD50" s="57"/>
      <c r="BE50" s="92" t="s">
        <v>455</v>
      </c>
      <c r="BF50" s="509"/>
      <c r="BG50" s="1366"/>
      <c r="BK50" s="71"/>
      <c r="BL50" s="298"/>
      <c r="BM50" s="298"/>
      <c r="BO50" s="298"/>
    </row>
    <row r="51" spans="1:67" s="6" customFormat="1" ht="12.75" customHeight="1" x14ac:dyDescent="0.2">
      <c r="A51" s="57"/>
      <c r="Z51" s="301"/>
      <c r="BB51" s="318"/>
      <c r="BE51" s="129" t="s">
        <v>81</v>
      </c>
      <c r="BF51" s="752"/>
      <c r="BG51" s="753"/>
      <c r="BK51" s="298"/>
      <c r="BL51" s="298"/>
      <c r="BM51" s="298"/>
      <c r="BO51" s="298"/>
    </row>
    <row r="52" spans="1:67" s="6" customFormat="1" ht="12.75" customHeight="1" x14ac:dyDescent="0.2">
      <c r="A52" s="57"/>
      <c r="B52" s="380" t="s">
        <v>155</v>
      </c>
      <c r="C52" s="381"/>
      <c r="D52" s="67"/>
      <c r="E52" s="67"/>
      <c r="F52" s="67"/>
      <c r="G52" s="67"/>
      <c r="H52" s="67"/>
      <c r="I52" s="67"/>
      <c r="J52" s="67"/>
      <c r="K52" s="67"/>
      <c r="L52" s="67"/>
      <c r="M52" s="67"/>
      <c r="N52" s="67"/>
      <c r="O52" s="67"/>
      <c r="P52" s="67"/>
      <c r="Q52" s="67"/>
      <c r="R52" s="67"/>
      <c r="S52" s="67"/>
      <c r="T52" s="67"/>
      <c r="U52" s="67"/>
      <c r="V52" s="67"/>
      <c r="W52" s="67"/>
      <c r="X52" s="67"/>
      <c r="Z52" s="301"/>
      <c r="BB52" s="318"/>
      <c r="BC52" s="754"/>
      <c r="BD52" s="754"/>
      <c r="BE52" s="755"/>
      <c r="BG52" s="754"/>
      <c r="BH52" s="754"/>
      <c r="BI52" s="754"/>
      <c r="BJ52" s="298"/>
      <c r="BK52" s="298"/>
      <c r="BL52" s="298"/>
      <c r="BM52" s="298"/>
      <c r="BO52" s="298"/>
    </row>
    <row r="53" spans="1:67" s="6" customFormat="1" ht="27.95" customHeight="1" x14ac:dyDescent="0.2">
      <c r="A53" s="57"/>
      <c r="B53" s="764">
        <v>1</v>
      </c>
      <c r="C53" s="1729"/>
      <c r="D53" s="1730"/>
      <c r="E53" s="1730"/>
      <c r="F53" s="1730"/>
      <c r="G53" s="1730"/>
      <c r="H53" s="1730"/>
      <c r="I53" s="1730"/>
      <c r="J53" s="1730"/>
      <c r="K53" s="1730"/>
      <c r="L53" s="1730"/>
      <c r="M53" s="1730"/>
      <c r="N53" s="1730"/>
      <c r="O53" s="1730"/>
      <c r="P53" s="1730"/>
      <c r="Q53" s="1730"/>
      <c r="R53" s="1730"/>
      <c r="S53" s="1730"/>
      <c r="T53" s="1730"/>
      <c r="U53" s="1730"/>
      <c r="V53" s="1730"/>
      <c r="W53" s="1730"/>
      <c r="X53" s="1731"/>
      <c r="Z53" s="301"/>
      <c r="BB53" s="318"/>
      <c r="BC53" s="754"/>
      <c r="BD53" s="754"/>
      <c r="BE53" s="755"/>
      <c r="BF53" s="91" t="s">
        <v>459</v>
      </c>
      <c r="BG53" s="754"/>
      <c r="BH53" s="754"/>
      <c r="BI53" s="754"/>
      <c r="BJ53" s="298"/>
      <c r="BK53" s="298"/>
      <c r="BL53" s="298"/>
      <c r="BM53" s="298"/>
      <c r="BO53" s="298"/>
    </row>
    <row r="54" spans="1:67" s="6" customFormat="1" ht="27.95" customHeight="1" x14ac:dyDescent="0.2">
      <c r="A54" s="57"/>
      <c r="B54" s="382">
        <f>B53+1</f>
        <v>2</v>
      </c>
      <c r="C54" s="1729"/>
      <c r="D54" s="1732"/>
      <c r="E54" s="1732"/>
      <c r="F54" s="1732"/>
      <c r="G54" s="1732"/>
      <c r="H54" s="1732"/>
      <c r="I54" s="1732"/>
      <c r="J54" s="1732"/>
      <c r="K54" s="1732"/>
      <c r="L54" s="1732"/>
      <c r="M54" s="1732"/>
      <c r="N54" s="1732"/>
      <c r="O54" s="1732"/>
      <c r="P54" s="1732"/>
      <c r="Q54" s="1732"/>
      <c r="R54" s="1732"/>
      <c r="S54" s="1732"/>
      <c r="T54" s="1732"/>
      <c r="U54" s="1732"/>
      <c r="V54" s="1732"/>
      <c r="W54" s="1732"/>
      <c r="X54" s="1733"/>
      <c r="Z54" s="301"/>
      <c r="BB54" s="318"/>
      <c r="BC54" s="754"/>
      <c r="BD54" s="754"/>
      <c r="BE54" s="755"/>
      <c r="BF54" s="756" t="s">
        <v>422</v>
      </c>
      <c r="BG54" s="757"/>
      <c r="BH54" s="754"/>
      <c r="BI54" s="754"/>
      <c r="BJ54" s="298"/>
      <c r="BK54" s="298"/>
      <c r="BL54" s="298"/>
      <c r="BM54" s="298"/>
      <c r="BO54" s="298"/>
    </row>
    <row r="55" spans="1:67" s="6" customFormat="1" ht="27.95" customHeight="1" x14ac:dyDescent="0.2">
      <c r="A55" s="57"/>
      <c r="B55" s="382">
        <f t="shared" ref="B55:B72" si="2">B54+1</f>
        <v>3</v>
      </c>
      <c r="C55" s="1721"/>
      <c r="D55" s="1722"/>
      <c r="E55" s="1722"/>
      <c r="F55" s="1722"/>
      <c r="G55" s="1722"/>
      <c r="H55" s="1722"/>
      <c r="I55" s="1722"/>
      <c r="J55" s="1722"/>
      <c r="K55" s="1722"/>
      <c r="L55" s="1722"/>
      <c r="M55" s="1722"/>
      <c r="N55" s="1722"/>
      <c r="O55" s="1722"/>
      <c r="P55" s="1722"/>
      <c r="Q55" s="1722"/>
      <c r="R55" s="1722"/>
      <c r="S55" s="1722"/>
      <c r="T55" s="1722"/>
      <c r="U55" s="1722"/>
      <c r="V55" s="1722"/>
      <c r="W55" s="1722"/>
      <c r="X55" s="1723"/>
      <c r="Z55" s="301"/>
      <c r="BA55" s="383"/>
      <c r="BB55" s="318"/>
      <c r="BC55" s="754"/>
      <c r="BD55" s="758"/>
      <c r="BE55" s="755"/>
      <c r="BF55" s="759" t="s">
        <v>460</v>
      </c>
      <c r="BG55" s="760"/>
      <c r="BH55" s="754"/>
      <c r="BI55" s="754"/>
      <c r="BJ55" s="298"/>
      <c r="BK55" s="298"/>
      <c r="BL55" s="298"/>
      <c r="BM55" s="298"/>
      <c r="BO55" s="298"/>
    </row>
    <row r="56" spans="1:67" s="6" customFormat="1" ht="27.95" customHeight="1" x14ac:dyDescent="0.2">
      <c r="A56" s="57"/>
      <c r="B56" s="382">
        <f t="shared" si="2"/>
        <v>4</v>
      </c>
      <c r="C56" s="1721"/>
      <c r="D56" s="1722"/>
      <c r="E56" s="1722"/>
      <c r="F56" s="1722"/>
      <c r="G56" s="1722"/>
      <c r="H56" s="1722"/>
      <c r="I56" s="1722"/>
      <c r="J56" s="1722"/>
      <c r="K56" s="1722"/>
      <c r="L56" s="1722"/>
      <c r="M56" s="1722"/>
      <c r="N56" s="1722"/>
      <c r="O56" s="1722"/>
      <c r="P56" s="1722"/>
      <c r="Q56" s="1722"/>
      <c r="R56" s="1722"/>
      <c r="S56" s="1722"/>
      <c r="T56" s="1722"/>
      <c r="U56" s="1722"/>
      <c r="V56" s="1722"/>
      <c r="W56" s="1722"/>
      <c r="X56" s="1723"/>
      <c r="Y56" s="301"/>
      <c r="Z56" s="301"/>
      <c r="BA56" s="761"/>
      <c r="BB56" s="755"/>
      <c r="BC56" s="754"/>
      <c r="BD56" s="758"/>
      <c r="BE56" s="755"/>
      <c r="BF56" s="762" t="s">
        <v>461</v>
      </c>
      <c r="BG56" s="763"/>
      <c r="BH56" s="754"/>
      <c r="BI56" s="754"/>
      <c r="BJ56" s="298"/>
      <c r="BK56" s="298"/>
      <c r="BL56" s="298"/>
      <c r="BM56" s="298"/>
      <c r="BO56" s="298"/>
    </row>
    <row r="57" spans="1:67" s="6" customFormat="1" ht="27.95" customHeight="1" x14ac:dyDescent="0.2">
      <c r="A57" s="57"/>
      <c r="B57" s="382">
        <f t="shared" si="2"/>
        <v>5</v>
      </c>
      <c r="C57" s="1721"/>
      <c r="D57" s="1722"/>
      <c r="E57" s="1722"/>
      <c r="F57" s="1722"/>
      <c r="G57" s="1722"/>
      <c r="H57" s="1722"/>
      <c r="I57" s="1722"/>
      <c r="J57" s="1722"/>
      <c r="K57" s="1722"/>
      <c r="L57" s="1722"/>
      <c r="M57" s="1722"/>
      <c r="N57" s="1722"/>
      <c r="O57" s="1722"/>
      <c r="P57" s="1722"/>
      <c r="Q57" s="1722"/>
      <c r="R57" s="1722"/>
      <c r="S57" s="1722"/>
      <c r="T57" s="1722"/>
      <c r="U57" s="1722"/>
      <c r="V57" s="1722"/>
      <c r="W57" s="1722"/>
      <c r="X57" s="1723"/>
      <c r="Y57" s="301"/>
      <c r="Z57" s="301"/>
      <c r="BA57" s="761"/>
      <c r="BB57" s="755"/>
      <c r="BC57" s="754"/>
      <c r="BD57" s="754"/>
      <c r="BE57" s="755"/>
      <c r="BF57" s="754"/>
      <c r="BG57" s="754"/>
      <c r="BH57" s="754"/>
      <c r="BI57" s="754"/>
      <c r="BJ57" s="298"/>
      <c r="BK57" s="298"/>
      <c r="BL57" s="298"/>
      <c r="BM57" s="298"/>
      <c r="BO57" s="298"/>
    </row>
    <row r="58" spans="1:67" s="6" customFormat="1" ht="27.95" customHeight="1" x14ac:dyDescent="0.2">
      <c r="A58" s="57"/>
      <c r="B58" s="382">
        <f t="shared" si="2"/>
        <v>6</v>
      </c>
      <c r="C58" s="1721"/>
      <c r="D58" s="1722"/>
      <c r="E58" s="1722"/>
      <c r="F58" s="1722"/>
      <c r="G58" s="1722"/>
      <c r="H58" s="1722"/>
      <c r="I58" s="1722"/>
      <c r="J58" s="1722"/>
      <c r="K58" s="1722"/>
      <c r="L58" s="1722"/>
      <c r="M58" s="1722"/>
      <c r="N58" s="1722"/>
      <c r="O58" s="1722"/>
      <c r="P58" s="1722"/>
      <c r="Q58" s="1722"/>
      <c r="R58" s="1722"/>
      <c r="S58" s="1722"/>
      <c r="T58" s="1722"/>
      <c r="U58" s="1722"/>
      <c r="V58" s="1722"/>
      <c r="W58" s="1722"/>
      <c r="X58" s="1723"/>
      <c r="Y58" s="360"/>
      <c r="Z58" s="301"/>
      <c r="BA58" s="761"/>
      <c r="BB58" s="755"/>
      <c r="BC58" s="754"/>
      <c r="BD58" s="754"/>
      <c r="BE58" s="755"/>
      <c r="BF58" s="754"/>
      <c r="BG58" s="754"/>
      <c r="BH58" s="754"/>
      <c r="BI58" s="754"/>
      <c r="BJ58" s="298"/>
      <c r="BK58" s="298"/>
      <c r="BL58" s="298"/>
      <c r="BM58" s="298"/>
      <c r="BO58" s="298"/>
    </row>
    <row r="59" spans="1:67" s="6" customFormat="1" ht="27.95" customHeight="1" x14ac:dyDescent="0.2">
      <c r="A59" s="57"/>
      <c r="B59" s="382">
        <f t="shared" si="2"/>
        <v>7</v>
      </c>
      <c r="C59" s="1721"/>
      <c r="D59" s="1722"/>
      <c r="E59" s="1722"/>
      <c r="F59" s="1722"/>
      <c r="G59" s="1722"/>
      <c r="H59" s="1722"/>
      <c r="I59" s="1722"/>
      <c r="J59" s="1722"/>
      <c r="K59" s="1722"/>
      <c r="L59" s="1722"/>
      <c r="M59" s="1722"/>
      <c r="N59" s="1722"/>
      <c r="O59" s="1722"/>
      <c r="P59" s="1722"/>
      <c r="Q59" s="1722"/>
      <c r="R59" s="1722"/>
      <c r="S59" s="1722"/>
      <c r="T59" s="1722"/>
      <c r="U59" s="1722"/>
      <c r="V59" s="1722"/>
      <c r="W59" s="1722"/>
      <c r="X59" s="1723"/>
      <c r="Y59" s="301"/>
      <c r="Z59" s="301"/>
      <c r="BA59" s="761"/>
      <c r="BB59" s="755"/>
      <c r="BC59" s="754"/>
      <c r="BD59" s="758"/>
      <c r="BE59" s="755"/>
      <c r="BF59" s="758"/>
      <c r="BG59" s="758"/>
      <c r="BH59" s="754"/>
      <c r="BI59" s="754"/>
      <c r="BJ59" s="298"/>
      <c r="BK59" s="298"/>
      <c r="BL59" s="298"/>
      <c r="BM59" s="298"/>
      <c r="BO59" s="298"/>
    </row>
    <row r="60" spans="1:67" s="6" customFormat="1" ht="27.95" customHeight="1" x14ac:dyDescent="0.2">
      <c r="A60" s="57"/>
      <c r="B60" s="382">
        <f t="shared" si="2"/>
        <v>8</v>
      </c>
      <c r="C60" s="1721"/>
      <c r="D60" s="1722"/>
      <c r="E60" s="1722"/>
      <c r="F60" s="1722"/>
      <c r="G60" s="1722"/>
      <c r="H60" s="1722"/>
      <c r="I60" s="1722"/>
      <c r="J60" s="1722"/>
      <c r="K60" s="1722"/>
      <c r="L60" s="1722"/>
      <c r="M60" s="1722"/>
      <c r="N60" s="1722"/>
      <c r="O60" s="1722"/>
      <c r="P60" s="1722"/>
      <c r="Q60" s="1722"/>
      <c r="R60" s="1722"/>
      <c r="S60" s="1722"/>
      <c r="T60" s="1722"/>
      <c r="U60" s="1722"/>
      <c r="V60" s="1722"/>
      <c r="W60" s="1722"/>
      <c r="X60" s="1723"/>
      <c r="Y60" s="301"/>
      <c r="Z60" s="301"/>
      <c r="BA60" s="761"/>
      <c r="BB60" s="755"/>
      <c r="BC60" s="754"/>
      <c r="BD60" s="754"/>
      <c r="BE60" s="755"/>
      <c r="BF60" s="754"/>
      <c r="BG60" s="754"/>
      <c r="BH60" s="754"/>
      <c r="BI60" s="754"/>
      <c r="BJ60" s="298"/>
      <c r="BK60" s="298"/>
      <c r="BL60" s="298"/>
      <c r="BM60" s="298"/>
      <c r="BO60" s="298"/>
    </row>
    <row r="61" spans="1:67" s="6" customFormat="1" ht="27.95" customHeight="1" x14ac:dyDescent="0.2">
      <c r="A61" s="57"/>
      <c r="B61" s="382">
        <f t="shared" si="2"/>
        <v>9</v>
      </c>
      <c r="C61" s="1721"/>
      <c r="D61" s="1722"/>
      <c r="E61" s="1722"/>
      <c r="F61" s="1722"/>
      <c r="G61" s="1722"/>
      <c r="H61" s="1722"/>
      <c r="I61" s="1722"/>
      <c r="J61" s="1722"/>
      <c r="K61" s="1722"/>
      <c r="L61" s="1722"/>
      <c r="M61" s="1722"/>
      <c r="N61" s="1722"/>
      <c r="O61" s="1722"/>
      <c r="P61" s="1722"/>
      <c r="Q61" s="1722"/>
      <c r="R61" s="1722"/>
      <c r="S61" s="1722"/>
      <c r="T61" s="1722"/>
      <c r="U61" s="1722"/>
      <c r="V61" s="1722"/>
      <c r="W61" s="1722"/>
      <c r="X61" s="1723"/>
      <c r="Y61" s="301"/>
      <c r="Z61" s="301"/>
      <c r="BA61" s="761"/>
      <c r="BB61" s="755"/>
      <c r="BC61" s="754"/>
      <c r="BD61" s="754"/>
      <c r="BE61" s="755"/>
      <c r="BF61" s="754"/>
      <c r="BG61" s="754"/>
      <c r="BH61" s="754"/>
      <c r="BI61" s="754"/>
      <c r="BJ61" s="298"/>
      <c r="BK61" s="298"/>
      <c r="BL61" s="298"/>
      <c r="BM61" s="298"/>
      <c r="BO61" s="298"/>
    </row>
    <row r="62" spans="1:67" s="6" customFormat="1" ht="27.95" customHeight="1" x14ac:dyDescent="0.2">
      <c r="A62" s="57"/>
      <c r="B62" s="382">
        <f t="shared" si="2"/>
        <v>10</v>
      </c>
      <c r="C62" s="1721"/>
      <c r="D62" s="1722"/>
      <c r="E62" s="1722"/>
      <c r="F62" s="1722"/>
      <c r="G62" s="1722"/>
      <c r="H62" s="1722"/>
      <c r="I62" s="1722"/>
      <c r="J62" s="1722"/>
      <c r="K62" s="1722"/>
      <c r="L62" s="1722"/>
      <c r="M62" s="1722"/>
      <c r="N62" s="1722"/>
      <c r="O62" s="1722"/>
      <c r="P62" s="1722"/>
      <c r="Q62" s="1722"/>
      <c r="R62" s="1722"/>
      <c r="S62" s="1722"/>
      <c r="T62" s="1722"/>
      <c r="U62" s="1722"/>
      <c r="V62" s="1722"/>
      <c r="W62" s="1722"/>
      <c r="X62" s="1723"/>
      <c r="Y62" s="301"/>
      <c r="Z62" s="301"/>
      <c r="BA62" s="761"/>
      <c r="BB62" s="755"/>
      <c r="BC62" s="754"/>
      <c r="BD62" s="754"/>
      <c r="BE62" s="755"/>
      <c r="BF62" s="754"/>
      <c r="BG62" s="754"/>
      <c r="BH62" s="754"/>
      <c r="BI62" s="754"/>
      <c r="BJ62" s="298"/>
      <c r="BK62" s="298"/>
      <c r="BL62" s="298"/>
      <c r="BM62" s="298"/>
      <c r="BO62" s="298"/>
    </row>
    <row r="63" spans="1:67" s="6" customFormat="1" ht="27.95" customHeight="1" x14ac:dyDescent="0.2">
      <c r="A63" s="57"/>
      <c r="B63" s="382">
        <f t="shared" si="2"/>
        <v>11</v>
      </c>
      <c r="C63" s="1721"/>
      <c r="D63" s="1722"/>
      <c r="E63" s="1722"/>
      <c r="F63" s="1722"/>
      <c r="G63" s="1722"/>
      <c r="H63" s="1722"/>
      <c r="I63" s="1722"/>
      <c r="J63" s="1722"/>
      <c r="K63" s="1722"/>
      <c r="L63" s="1722"/>
      <c r="M63" s="1722"/>
      <c r="N63" s="1722"/>
      <c r="O63" s="1722"/>
      <c r="P63" s="1722"/>
      <c r="Q63" s="1722"/>
      <c r="R63" s="1722"/>
      <c r="S63" s="1722"/>
      <c r="T63" s="1722"/>
      <c r="U63" s="1722"/>
      <c r="V63" s="1722"/>
      <c r="W63" s="1722"/>
      <c r="X63" s="1723"/>
      <c r="Y63" s="301"/>
      <c r="Z63" s="301"/>
      <c r="BA63" s="761"/>
      <c r="BB63" s="755"/>
      <c r="BC63" s="754"/>
      <c r="BD63" s="754"/>
      <c r="BE63" s="755"/>
      <c r="BF63" s="754"/>
      <c r="BG63" s="754"/>
      <c r="BH63" s="754"/>
      <c r="BI63" s="754"/>
      <c r="BJ63" s="298"/>
      <c r="BK63" s="298"/>
      <c r="BL63" s="298"/>
      <c r="BM63" s="298"/>
      <c r="BO63" s="298"/>
    </row>
    <row r="64" spans="1:67" s="6" customFormat="1" ht="27.95" customHeight="1" x14ac:dyDescent="0.2">
      <c r="A64" s="57"/>
      <c r="B64" s="382">
        <f t="shared" si="2"/>
        <v>12</v>
      </c>
      <c r="C64" s="1721"/>
      <c r="D64" s="1722"/>
      <c r="E64" s="1722"/>
      <c r="F64" s="1722"/>
      <c r="G64" s="1722"/>
      <c r="H64" s="1722"/>
      <c r="I64" s="1722"/>
      <c r="J64" s="1722"/>
      <c r="K64" s="1722"/>
      <c r="L64" s="1722"/>
      <c r="M64" s="1722"/>
      <c r="N64" s="1722"/>
      <c r="O64" s="1722"/>
      <c r="P64" s="1722"/>
      <c r="Q64" s="1722"/>
      <c r="R64" s="1722"/>
      <c r="S64" s="1722"/>
      <c r="T64" s="1722"/>
      <c r="U64" s="1722"/>
      <c r="V64" s="1722"/>
      <c r="W64" s="1722"/>
      <c r="X64" s="1723"/>
      <c r="Y64" s="301"/>
      <c r="Z64" s="301"/>
      <c r="BA64" s="761"/>
      <c r="BB64" s="755"/>
      <c r="BC64" s="754"/>
      <c r="BD64" s="754"/>
      <c r="BE64" s="755"/>
      <c r="BF64" s="754"/>
      <c r="BG64" s="754"/>
      <c r="BH64" s="754"/>
      <c r="BI64" s="754"/>
      <c r="BJ64" s="298"/>
      <c r="BK64" s="298"/>
      <c r="BL64" s="298"/>
      <c r="BM64" s="298"/>
      <c r="BO64" s="298"/>
    </row>
    <row r="65" spans="1:67" s="6" customFormat="1" ht="27.95" customHeight="1" x14ac:dyDescent="0.2">
      <c r="A65" s="57"/>
      <c r="B65" s="382">
        <f t="shared" si="2"/>
        <v>13</v>
      </c>
      <c r="C65" s="1721"/>
      <c r="D65" s="1722"/>
      <c r="E65" s="1722"/>
      <c r="F65" s="1722"/>
      <c r="G65" s="1722"/>
      <c r="H65" s="1722"/>
      <c r="I65" s="1722"/>
      <c r="J65" s="1722"/>
      <c r="K65" s="1722"/>
      <c r="L65" s="1722"/>
      <c r="M65" s="1722"/>
      <c r="N65" s="1722"/>
      <c r="O65" s="1722"/>
      <c r="P65" s="1722"/>
      <c r="Q65" s="1722"/>
      <c r="R65" s="1722"/>
      <c r="S65" s="1722"/>
      <c r="T65" s="1722"/>
      <c r="U65" s="1722"/>
      <c r="V65" s="1722"/>
      <c r="W65" s="1722"/>
      <c r="X65" s="1723"/>
      <c r="Y65" s="301"/>
      <c r="Z65" s="301"/>
      <c r="BA65" s="761"/>
      <c r="BB65" s="755"/>
      <c r="BC65" s="754"/>
      <c r="BD65" s="754"/>
      <c r="BE65" s="755"/>
      <c r="BF65" s="754"/>
      <c r="BG65" s="754"/>
      <c r="BH65" s="754"/>
      <c r="BI65" s="754"/>
      <c r="BJ65" s="298"/>
      <c r="BK65" s="298"/>
      <c r="BL65" s="298"/>
      <c r="BM65" s="298"/>
      <c r="BO65" s="298"/>
    </row>
    <row r="66" spans="1:67" s="6" customFormat="1" ht="27.95" customHeight="1" x14ac:dyDescent="0.2">
      <c r="A66" s="57"/>
      <c r="B66" s="382">
        <f t="shared" si="2"/>
        <v>14</v>
      </c>
      <c r="C66" s="1721"/>
      <c r="D66" s="1722"/>
      <c r="E66" s="1722"/>
      <c r="F66" s="1722"/>
      <c r="G66" s="1722"/>
      <c r="H66" s="1722"/>
      <c r="I66" s="1722"/>
      <c r="J66" s="1722"/>
      <c r="K66" s="1722"/>
      <c r="L66" s="1722"/>
      <c r="M66" s="1722"/>
      <c r="N66" s="1722"/>
      <c r="O66" s="1722"/>
      <c r="P66" s="1722"/>
      <c r="Q66" s="1722"/>
      <c r="R66" s="1722"/>
      <c r="S66" s="1722"/>
      <c r="T66" s="1722"/>
      <c r="U66" s="1722"/>
      <c r="V66" s="1722"/>
      <c r="W66" s="1722"/>
      <c r="X66" s="1723"/>
      <c r="Y66" s="301"/>
      <c r="Z66" s="301"/>
      <c r="BA66" s="761"/>
      <c r="BB66" s="755"/>
      <c r="BC66" s="754"/>
      <c r="BD66" s="754"/>
      <c r="BE66" s="755"/>
      <c r="BF66" s="754"/>
      <c r="BG66" s="754"/>
      <c r="BH66" s="754"/>
      <c r="BI66" s="754"/>
      <c r="BJ66" s="298"/>
      <c r="BK66" s="298"/>
      <c r="BL66" s="298"/>
      <c r="BM66" s="298"/>
      <c r="BO66" s="298"/>
    </row>
    <row r="67" spans="1:67" s="6" customFormat="1" ht="27.95" customHeight="1" x14ac:dyDescent="0.2">
      <c r="A67" s="57"/>
      <c r="B67" s="382">
        <f t="shared" si="2"/>
        <v>15</v>
      </c>
      <c r="C67" s="1721"/>
      <c r="D67" s="1722"/>
      <c r="E67" s="1722"/>
      <c r="F67" s="1722"/>
      <c r="G67" s="1722"/>
      <c r="H67" s="1722"/>
      <c r="I67" s="1722"/>
      <c r="J67" s="1722"/>
      <c r="K67" s="1722"/>
      <c r="L67" s="1722"/>
      <c r="M67" s="1722"/>
      <c r="N67" s="1722"/>
      <c r="O67" s="1722"/>
      <c r="P67" s="1722"/>
      <c r="Q67" s="1722"/>
      <c r="R67" s="1722"/>
      <c r="S67" s="1722"/>
      <c r="T67" s="1722"/>
      <c r="U67" s="1722"/>
      <c r="V67" s="1722"/>
      <c r="W67" s="1722"/>
      <c r="X67" s="1723"/>
      <c r="Y67" s="301"/>
      <c r="Z67" s="301"/>
      <c r="BA67" s="761"/>
      <c r="BB67" s="755"/>
      <c r="BC67" s="754"/>
      <c r="BD67" s="758"/>
      <c r="BE67" s="755"/>
      <c r="BF67" s="754"/>
      <c r="BG67" s="754"/>
      <c r="BH67" s="754"/>
      <c r="BI67" s="754"/>
      <c r="BJ67" s="298"/>
      <c r="BK67" s="298"/>
      <c r="BL67" s="298"/>
      <c r="BM67" s="298"/>
      <c r="BO67" s="298"/>
    </row>
    <row r="68" spans="1:67" s="6" customFormat="1" ht="27.95" customHeight="1" x14ac:dyDescent="0.2">
      <c r="A68" s="57"/>
      <c r="B68" s="382">
        <f t="shared" si="2"/>
        <v>16</v>
      </c>
      <c r="C68" s="1721"/>
      <c r="D68" s="1722"/>
      <c r="E68" s="1722"/>
      <c r="F68" s="1722"/>
      <c r="G68" s="1722"/>
      <c r="H68" s="1722"/>
      <c r="I68" s="1722"/>
      <c r="J68" s="1722"/>
      <c r="K68" s="1722"/>
      <c r="L68" s="1722"/>
      <c r="M68" s="1722"/>
      <c r="N68" s="1722"/>
      <c r="O68" s="1722"/>
      <c r="P68" s="1722"/>
      <c r="Q68" s="1722"/>
      <c r="R68" s="1722"/>
      <c r="S68" s="1722"/>
      <c r="T68" s="1722"/>
      <c r="U68" s="1722"/>
      <c r="V68" s="1722"/>
      <c r="W68" s="1722"/>
      <c r="X68" s="1723"/>
      <c r="Y68" s="301"/>
      <c r="Z68" s="301"/>
      <c r="BJ68" s="298"/>
      <c r="BK68" s="298"/>
      <c r="BL68" s="298"/>
      <c r="BM68" s="298"/>
      <c r="BO68" s="298"/>
    </row>
    <row r="69" spans="1:67" s="6" customFormat="1" ht="27.95" customHeight="1" x14ac:dyDescent="0.2">
      <c r="A69" s="57"/>
      <c r="B69" s="382">
        <f t="shared" si="2"/>
        <v>17</v>
      </c>
      <c r="C69" s="1721"/>
      <c r="D69" s="1722"/>
      <c r="E69" s="1722"/>
      <c r="F69" s="1722"/>
      <c r="G69" s="1722"/>
      <c r="H69" s="1722"/>
      <c r="I69" s="1722"/>
      <c r="J69" s="1722"/>
      <c r="K69" s="1722"/>
      <c r="L69" s="1722"/>
      <c r="M69" s="1722"/>
      <c r="N69" s="1722"/>
      <c r="O69" s="1722"/>
      <c r="P69" s="1722"/>
      <c r="Q69" s="1722"/>
      <c r="R69" s="1722"/>
      <c r="S69" s="1722"/>
      <c r="T69" s="1722"/>
      <c r="U69" s="1722"/>
      <c r="V69" s="1722"/>
      <c r="W69" s="1722"/>
      <c r="X69" s="1723"/>
      <c r="Y69" s="301"/>
      <c r="Z69" s="301"/>
      <c r="BJ69" s="298"/>
      <c r="BK69" s="298"/>
      <c r="BL69" s="298"/>
      <c r="BM69" s="298"/>
      <c r="BO69" s="298"/>
    </row>
    <row r="70" spans="1:67" s="6" customFormat="1" ht="27.95" customHeight="1" x14ac:dyDescent="0.2">
      <c r="A70" s="57"/>
      <c r="B70" s="382">
        <f t="shared" si="2"/>
        <v>18</v>
      </c>
      <c r="C70" s="1721"/>
      <c r="D70" s="1722"/>
      <c r="E70" s="1722"/>
      <c r="F70" s="1722"/>
      <c r="G70" s="1722"/>
      <c r="H70" s="1722"/>
      <c r="I70" s="1722"/>
      <c r="J70" s="1722"/>
      <c r="K70" s="1722"/>
      <c r="L70" s="1722"/>
      <c r="M70" s="1722"/>
      <c r="N70" s="1722"/>
      <c r="O70" s="1722"/>
      <c r="P70" s="1722"/>
      <c r="Q70" s="1722"/>
      <c r="R70" s="1722"/>
      <c r="S70" s="1722"/>
      <c r="T70" s="1722"/>
      <c r="U70" s="1722"/>
      <c r="V70" s="1722"/>
      <c r="W70" s="1722"/>
      <c r="X70" s="1723"/>
      <c r="Y70" s="301"/>
      <c r="Z70" s="301"/>
      <c r="BJ70" s="298"/>
      <c r="BK70" s="298"/>
      <c r="BL70" s="298"/>
      <c r="BM70" s="298"/>
      <c r="BO70" s="298"/>
    </row>
    <row r="71" spans="1:67" ht="27.95" customHeight="1" x14ac:dyDescent="0.2">
      <c r="B71" s="382">
        <f t="shared" si="2"/>
        <v>19</v>
      </c>
      <c r="C71" s="1721"/>
      <c r="D71" s="1722"/>
      <c r="E71" s="1722"/>
      <c r="F71" s="1722"/>
      <c r="G71" s="1722"/>
      <c r="H71" s="1722"/>
      <c r="I71" s="1722"/>
      <c r="J71" s="1722"/>
      <c r="K71" s="1722"/>
      <c r="L71" s="1722"/>
      <c r="M71" s="1722"/>
      <c r="N71" s="1722"/>
      <c r="O71" s="1722"/>
      <c r="P71" s="1722"/>
      <c r="Q71" s="1722"/>
      <c r="R71" s="1722"/>
      <c r="S71" s="1722"/>
      <c r="T71" s="1722"/>
      <c r="U71" s="1722"/>
      <c r="V71" s="1722"/>
      <c r="W71" s="1722"/>
      <c r="X71" s="1723"/>
    </row>
    <row r="72" spans="1:67" ht="27.95" customHeight="1" x14ac:dyDescent="0.2">
      <c r="B72" s="382">
        <f t="shared" si="2"/>
        <v>20</v>
      </c>
      <c r="C72" s="1721"/>
      <c r="D72" s="1722"/>
      <c r="E72" s="1722"/>
      <c r="F72" s="1722"/>
      <c r="G72" s="1722"/>
      <c r="H72" s="1722"/>
      <c r="I72" s="1722"/>
      <c r="J72" s="1722"/>
      <c r="K72" s="1722"/>
      <c r="L72" s="1722"/>
      <c r="M72" s="1722"/>
      <c r="N72" s="1722"/>
      <c r="O72" s="1722"/>
      <c r="P72" s="1722"/>
      <c r="Q72" s="1722"/>
      <c r="R72" s="1722"/>
      <c r="S72" s="1722"/>
      <c r="T72" s="1722"/>
      <c r="U72" s="1722"/>
      <c r="V72" s="1722"/>
      <c r="W72" s="1722"/>
      <c r="X72" s="1723"/>
    </row>
  </sheetData>
  <sheetProtection password="CC3C" sheet="1" objects="1" scenarios="1" formatCells="0" selectLockedCells="1"/>
  <sortState ref="BE45:BE50">
    <sortCondition ref="BE44"/>
  </sortState>
  <mergeCells count="141">
    <mergeCell ref="V14:W14"/>
    <mergeCell ref="T29:U29"/>
    <mergeCell ref="R9:S9"/>
    <mergeCell ref="T9:U9"/>
    <mergeCell ref="R10:S10"/>
    <mergeCell ref="R28:S28"/>
    <mergeCell ref="F16:M16"/>
    <mergeCell ref="P16:W16"/>
    <mergeCell ref="F17:Q17"/>
    <mergeCell ref="P21:X21"/>
    <mergeCell ref="T26:U26"/>
    <mergeCell ref="T27:U27"/>
    <mergeCell ref="F26:G26"/>
    <mergeCell ref="H26:I26"/>
    <mergeCell ref="J26:K26"/>
    <mergeCell ref="L26:M26"/>
    <mergeCell ref="R26:S26"/>
    <mergeCell ref="F27:G27"/>
    <mergeCell ref="H27:I27"/>
    <mergeCell ref="J27:K27"/>
    <mergeCell ref="F29:G29"/>
    <mergeCell ref="H29:I29"/>
    <mergeCell ref="J29:K29"/>
    <mergeCell ref="M21:O21"/>
    <mergeCell ref="F5:I5"/>
    <mergeCell ref="F6:M6"/>
    <mergeCell ref="F7:M7"/>
    <mergeCell ref="R7:X7"/>
    <mergeCell ref="G13:H13"/>
    <mergeCell ref="M13:W13"/>
    <mergeCell ref="H14:O14"/>
    <mergeCell ref="R27:S27"/>
    <mergeCell ref="B22:G22"/>
    <mergeCell ref="H22:L22"/>
    <mergeCell ref="M22:O22"/>
    <mergeCell ref="P22:X22"/>
    <mergeCell ref="R8:S8"/>
    <mergeCell ref="U8:V8"/>
    <mergeCell ref="W8:X8"/>
    <mergeCell ref="B21:G21"/>
    <mergeCell ref="H21:L21"/>
    <mergeCell ref="B23:G23"/>
    <mergeCell ref="H23:L23"/>
    <mergeCell ref="M23:O23"/>
    <mergeCell ref="P23:X23"/>
    <mergeCell ref="I18:J18"/>
    <mergeCell ref="L18:W18"/>
    <mergeCell ref="F12:H12"/>
    <mergeCell ref="N26:O26"/>
    <mergeCell ref="P26:Q26"/>
    <mergeCell ref="L27:M27"/>
    <mergeCell ref="N27:O27"/>
    <mergeCell ref="P27:Q27"/>
    <mergeCell ref="R34:S34"/>
    <mergeCell ref="N29:O29"/>
    <mergeCell ref="P29:Q29"/>
    <mergeCell ref="R29:S29"/>
    <mergeCell ref="R30:S30"/>
    <mergeCell ref="L29:M29"/>
    <mergeCell ref="F28:G28"/>
    <mergeCell ref="H28:I28"/>
    <mergeCell ref="J28:K28"/>
    <mergeCell ref="L28:M28"/>
    <mergeCell ref="N28:O28"/>
    <mergeCell ref="P28:Q28"/>
    <mergeCell ref="F35:G35"/>
    <mergeCell ref="H35:I35"/>
    <mergeCell ref="H30:I30"/>
    <mergeCell ref="F34:G34"/>
    <mergeCell ref="H34:I34"/>
    <mergeCell ref="J34:K34"/>
    <mergeCell ref="L34:M34"/>
    <mergeCell ref="N34:O34"/>
    <mergeCell ref="P34:Q34"/>
    <mergeCell ref="J35:K35"/>
    <mergeCell ref="L35:M35"/>
    <mergeCell ref="N35:O35"/>
    <mergeCell ref="P35:Q35"/>
    <mergeCell ref="R35:S35"/>
    <mergeCell ref="R36:S36"/>
    <mergeCell ref="R38:S38"/>
    <mergeCell ref="C43:G43"/>
    <mergeCell ref="F37:G37"/>
    <mergeCell ref="H37:I37"/>
    <mergeCell ref="J37:K37"/>
    <mergeCell ref="L37:M37"/>
    <mergeCell ref="N37:O37"/>
    <mergeCell ref="P37:Q37"/>
    <mergeCell ref="R37:S37"/>
    <mergeCell ref="H38:I38"/>
    <mergeCell ref="H46:S46"/>
    <mergeCell ref="T46:W46"/>
    <mergeCell ref="C47:G47"/>
    <mergeCell ref="H47:S47"/>
    <mergeCell ref="T47:W47"/>
    <mergeCell ref="C48:G48"/>
    <mergeCell ref="F36:G36"/>
    <mergeCell ref="H36:I36"/>
    <mergeCell ref="J36:K36"/>
    <mergeCell ref="L36:M36"/>
    <mergeCell ref="N36:O36"/>
    <mergeCell ref="P36:Q36"/>
    <mergeCell ref="H48:S48"/>
    <mergeCell ref="T48:W48"/>
    <mergeCell ref="T34:U34"/>
    <mergeCell ref="T35:U35"/>
    <mergeCell ref="C68:X68"/>
    <mergeCell ref="C69:X69"/>
    <mergeCell ref="C56:X56"/>
    <mergeCell ref="C57:X57"/>
    <mergeCell ref="C58:X58"/>
    <mergeCell ref="C59:X59"/>
    <mergeCell ref="C60:X60"/>
    <mergeCell ref="C61:X61"/>
    <mergeCell ref="C53:X53"/>
    <mergeCell ref="C54:X54"/>
    <mergeCell ref="C44:G44"/>
    <mergeCell ref="H44:S44"/>
    <mergeCell ref="T44:W44"/>
    <mergeCell ref="C45:G45"/>
    <mergeCell ref="H45:S45"/>
    <mergeCell ref="T45:W45"/>
    <mergeCell ref="T43:W43"/>
    <mergeCell ref="H43:S43"/>
    <mergeCell ref="C49:G49"/>
    <mergeCell ref="H49:S49"/>
    <mergeCell ref="T49:W49"/>
    <mergeCell ref="C46:G46"/>
    <mergeCell ref="C72:X72"/>
    <mergeCell ref="C62:X62"/>
    <mergeCell ref="C63:X63"/>
    <mergeCell ref="C64:X64"/>
    <mergeCell ref="C65:X65"/>
    <mergeCell ref="C66:X66"/>
    <mergeCell ref="C67:X67"/>
    <mergeCell ref="C50:G50"/>
    <mergeCell ref="H50:S50"/>
    <mergeCell ref="T50:W50"/>
    <mergeCell ref="C55:X55"/>
    <mergeCell ref="C70:X70"/>
    <mergeCell ref="C71:X71"/>
  </mergeCells>
  <phoneticPr fontId="118" type="noConversion"/>
  <conditionalFormatting sqref="T7:X8 Q7:S7">
    <cfRule type="expression" dxfId="87" priority="8" stopIfTrue="1">
      <formula>$BB$3&lt;&gt;3</formula>
    </cfRule>
    <cfRule type="expression" dxfId="86" priority="100" stopIfTrue="1">
      <formula>$F$7&lt;&gt;"Other"</formula>
    </cfRule>
  </conditionalFormatting>
  <conditionalFormatting sqref="F8:N9">
    <cfRule type="expression" dxfId="85" priority="16" stopIfTrue="1">
      <formula>$BB$3&lt;&gt;3</formula>
    </cfRule>
    <cfRule type="expression" dxfId="84" priority="98" stopIfTrue="1">
      <formula>$F$7="Other"</formula>
    </cfRule>
  </conditionalFormatting>
  <conditionalFormatting sqref="Q8:S8">
    <cfRule type="expression" dxfId="83" priority="15" stopIfTrue="1">
      <formula>$BB$3&lt;&gt;3</formula>
    </cfRule>
    <cfRule type="expression" dxfId="82" priority="96" stopIfTrue="1">
      <formula>AND($F$7&lt;&gt;$BA$8,$F$7&lt;&gt;$BA$9)</formula>
    </cfRule>
  </conditionalFormatting>
  <conditionalFormatting sqref="L4">
    <cfRule type="expression" dxfId="81" priority="94" stopIfTrue="1">
      <formula>$BB$3=3</formula>
    </cfRule>
  </conditionalFormatting>
  <conditionalFormatting sqref="Q10:S10">
    <cfRule type="expression" dxfId="80" priority="14" stopIfTrue="1">
      <formula>$BB$3&lt;&gt;3</formula>
    </cfRule>
    <cfRule type="expression" dxfId="79" priority="93" stopIfTrue="1">
      <formula>OR($F$7&lt;&gt;$BA$8,$BF$4&lt;&gt;"RFC (P100)")</formula>
    </cfRule>
  </conditionalFormatting>
  <conditionalFormatting sqref="K18 F13:H13">
    <cfRule type="expression" dxfId="78" priority="89" stopIfTrue="1">
      <formula>$BB$7&lt;&gt;1</formula>
    </cfRule>
  </conditionalFormatting>
  <conditionalFormatting sqref="E5:I5">
    <cfRule type="expression" dxfId="77" priority="6" stopIfTrue="1">
      <formula>$BB$3&lt;&gt;3</formula>
    </cfRule>
    <cfRule type="expression" dxfId="76" priority="87" stopIfTrue="1">
      <formula>$BB$4=2</formula>
    </cfRule>
  </conditionalFormatting>
  <conditionalFormatting sqref="O16:W16">
    <cfRule type="expression" dxfId="75" priority="7" stopIfTrue="1">
      <formula>$BB$3&lt;&gt;3</formula>
    </cfRule>
    <cfRule type="expression" dxfId="74" priority="85" stopIfTrue="1">
      <formula>$F$16&lt;&gt;"Other"</formula>
    </cfRule>
  </conditionalFormatting>
  <conditionalFormatting sqref="F17:Q17">
    <cfRule type="cellIs" dxfId="73" priority="84" stopIfTrue="1" operator="equal">
      <formula>" "</formula>
    </cfRule>
  </conditionalFormatting>
  <conditionalFormatting sqref="L18:W18">
    <cfRule type="cellIs" dxfId="72" priority="82" stopIfTrue="1" operator="equal">
      <formula>" "</formula>
    </cfRule>
  </conditionalFormatting>
  <conditionalFormatting sqref="H18:J18">
    <cfRule type="expression" dxfId="71" priority="13" stopIfTrue="1">
      <formula>$BB$3&lt;&gt;3</formula>
    </cfRule>
    <cfRule type="expression" dxfId="70" priority="75" stopIfTrue="1">
      <formula>$BB$7&gt;2</formula>
    </cfRule>
  </conditionalFormatting>
  <conditionalFormatting sqref="I13:W13">
    <cfRule type="expression" dxfId="69" priority="70" stopIfTrue="1">
      <formula>OR($BB$7&lt;&gt;1,$G$13="No")</formula>
    </cfRule>
  </conditionalFormatting>
  <conditionalFormatting sqref="H50:S50">
    <cfRule type="expression" dxfId="68" priority="45" stopIfTrue="1">
      <formula>$BB$3&lt;&gt;3</formula>
    </cfRule>
    <cfRule type="expression" dxfId="67" priority="46" stopIfTrue="1">
      <formula>AND(NOT(ISBLANK(C50)),ISBLANK(H50))</formula>
    </cfRule>
  </conditionalFormatting>
  <conditionalFormatting sqref="H49:S49">
    <cfRule type="expression" dxfId="66" priority="43" stopIfTrue="1">
      <formula>$BB$3&lt;&gt;3</formula>
    </cfRule>
    <cfRule type="expression" dxfId="65" priority="44" stopIfTrue="1">
      <formula>AND(NOT(ISBLANK(C49)),ISBLANK(H49))</formula>
    </cfRule>
  </conditionalFormatting>
  <conditionalFormatting sqref="H48:S48">
    <cfRule type="expression" dxfId="64" priority="41" stopIfTrue="1">
      <formula>$BB$3&lt;&gt;3</formula>
    </cfRule>
    <cfRule type="expression" dxfId="63" priority="42" stopIfTrue="1">
      <formula>AND(NOT(ISBLANK(C48)),ISBLANK(H48))</formula>
    </cfRule>
  </conditionalFormatting>
  <conditionalFormatting sqref="H47:S47">
    <cfRule type="expression" dxfId="62" priority="39" stopIfTrue="1">
      <formula>$BB$3&lt;&gt;3</formula>
    </cfRule>
    <cfRule type="expression" dxfId="61" priority="40" stopIfTrue="1">
      <formula>AND(NOT(ISBLANK(C47)),ISBLANK(H47))</formula>
    </cfRule>
  </conditionalFormatting>
  <conditionalFormatting sqref="H46:S46">
    <cfRule type="expression" dxfId="60" priority="37" stopIfTrue="1">
      <formula>$BB$3&lt;&gt;3</formula>
    </cfRule>
    <cfRule type="expression" dxfId="59" priority="38" stopIfTrue="1">
      <formula>AND(NOT(ISBLANK(C46)),ISBLANK(H46))</formula>
    </cfRule>
  </conditionalFormatting>
  <conditionalFormatting sqref="H45:S45">
    <cfRule type="expression" dxfId="58" priority="35" stopIfTrue="1">
      <formula>$BB$3&lt;&gt;3</formula>
    </cfRule>
    <cfRule type="expression" dxfId="57" priority="36" stopIfTrue="1">
      <formula>AND(NOT(ISBLANK(C45)),ISBLANK(H45))</formula>
    </cfRule>
  </conditionalFormatting>
  <conditionalFormatting sqref="H44:S44">
    <cfRule type="expression" dxfId="56" priority="33" stopIfTrue="1">
      <formula>$BB$3&lt;&gt;3</formula>
    </cfRule>
    <cfRule type="expression" dxfId="55" priority="34" stopIfTrue="1">
      <formula>AND(NOT(ISBLANK(C44)),ISBLANK(H44))</formula>
    </cfRule>
  </conditionalFormatting>
  <conditionalFormatting sqref="H43:S43">
    <cfRule type="expression" dxfId="54" priority="31" stopIfTrue="1">
      <formula>$BB$3&lt;&gt;3</formula>
    </cfRule>
    <cfRule type="expression" dxfId="53" priority="32" stopIfTrue="1">
      <formula>AND(NOT(ISBLANK(C43)),ISBLANK(H43))</formula>
    </cfRule>
  </conditionalFormatting>
  <conditionalFormatting sqref="N6:T6">
    <cfRule type="expression" dxfId="52" priority="28" stopIfTrue="1">
      <formula>$BB$3&lt;&gt;3</formula>
    </cfRule>
    <cfRule type="expression" dxfId="51" priority="29" stopIfTrue="1">
      <formula>$F$6&lt;&gt;$BF$36</formula>
    </cfRule>
    <cfRule type="expression" dxfId="50" priority="30" stopIfTrue="1">
      <formula>$BB$40=1</formula>
    </cfRule>
  </conditionalFormatting>
  <conditionalFormatting sqref="H15">
    <cfRule type="expression" dxfId="49" priority="26" stopIfTrue="1">
      <formula>$BB$3&lt;&gt;3</formula>
    </cfRule>
    <cfRule type="expression" dxfId="48" priority="27" stopIfTrue="1">
      <formula>AND($H$14=$BF$41,$BB$41=0)</formula>
    </cfRule>
  </conditionalFormatting>
  <conditionalFormatting sqref="V14:W14">
    <cfRule type="expression" dxfId="47" priority="23" stopIfTrue="1">
      <formula>$BB$3&lt;&gt;3</formula>
    </cfRule>
    <cfRule type="expression" dxfId="46" priority="24" stopIfTrue="1">
      <formula>$BB$39="Yes"</formula>
    </cfRule>
  </conditionalFormatting>
  <conditionalFormatting sqref="P14:U14">
    <cfRule type="expression" dxfId="45" priority="19" stopIfTrue="1">
      <formula>$BB$3&lt;&gt;3</formula>
    </cfRule>
    <cfRule type="expression" dxfId="44" priority="20" stopIfTrue="1">
      <formula>$BB$39="Yes"</formula>
    </cfRule>
  </conditionalFormatting>
  <conditionalFormatting sqref="B6:E11 F6:M7 Q9:U9 B14:O14 B16:M16 B20:L23 M20:O20 P20:X23 B25:X30 B31:S31 B33:X42 C43:G50 T43:W50 B52:X72">
    <cfRule type="expression" dxfId="43" priority="3" stopIfTrue="1">
      <formula>$BB$3&lt;&gt;3</formula>
    </cfRule>
  </conditionalFormatting>
  <conditionalFormatting sqref="M21:O23">
    <cfRule type="expression" dxfId="42" priority="10" stopIfTrue="1">
      <formula>"$BB$3&lt;&gt;3"</formula>
    </cfRule>
    <cfRule type="expression" dxfId="41" priority="11" stopIfTrue="1">
      <formula>$H21&lt;&gt;"CMI / CMI"</formula>
    </cfRule>
  </conditionalFormatting>
  <conditionalFormatting sqref="Q15">
    <cfRule type="expression" dxfId="40" priority="9" stopIfTrue="1">
      <formula>$BB$3&lt;&gt;3</formula>
    </cfRule>
  </conditionalFormatting>
  <conditionalFormatting sqref="E12:H12">
    <cfRule type="expression" dxfId="39" priority="4" stopIfTrue="1">
      <formula>$BB$3&lt;&gt;3</formula>
    </cfRule>
    <cfRule type="expression" dxfId="38" priority="5" stopIfTrue="1">
      <formula>$F$7&lt;&gt;"Agilent 407x"</formula>
    </cfRule>
  </conditionalFormatting>
  <conditionalFormatting sqref="T31">
    <cfRule type="expression" dxfId="37" priority="2" stopIfTrue="1">
      <formula>$BB$3&lt;&gt;3</formula>
    </cfRule>
    <cfRule type="expression" dxfId="36" priority="17" stopIfTrue="1">
      <formula>$T$31="Not Determined"</formula>
    </cfRule>
  </conditionalFormatting>
  <conditionalFormatting sqref="U31:X31">
    <cfRule type="expression" dxfId="35" priority="1" stopIfTrue="1">
      <formula>$BB$3&lt;&gt;3</formula>
    </cfRule>
  </conditionalFormatting>
  <dataValidations count="15">
    <dataValidation type="list" allowBlank="1" showInputMessage="1" showErrorMessage="1" errorTitle="Input Error" error="Please select from list" sqref="C43:G50">
      <formula1>$BA$43:$BA$49</formula1>
    </dataValidation>
    <dataValidation type="list" allowBlank="1" showInputMessage="1" showErrorMessage="1" sqref="H21:L23">
      <formula1>$BF$54:$BF$56</formula1>
    </dataValidation>
    <dataValidation type="list" allowBlank="1" showInputMessage="1" showErrorMessage="1" sqref="T43:W50">
      <formula1>"Customer,CMI Files"</formula1>
    </dataValidation>
    <dataValidation type="list" allowBlank="1" showInputMessage="1" showErrorMessage="1" errorTitle="Input Error" error="Please select from list" sqref="R10:S10">
      <formula1>"No,Yes"</formula1>
    </dataValidation>
    <dataValidation type="list" allowBlank="1" showErrorMessage="1" errorTitle="Input Error!" error="Please select from list" sqref="W8:X8">
      <formula1>"(Inch),(MM)"</formula1>
    </dataValidation>
    <dataValidation type="list" allowBlank="1" showInputMessage="1" showErrorMessage="1" sqref="T8">
      <formula1>"Y:,Dia."</formula1>
    </dataValidation>
    <dataValidation type="list" allowBlank="1" showInputMessage="1" showErrorMessage="1" errorTitle="Input Error!" error="Please select from list" sqref="F6:M6">
      <formula1>$BF$35:$BF$36</formula1>
    </dataValidation>
    <dataValidation type="list" allowBlank="1" showInputMessage="1" showErrorMessage="1" errorTitle="Input Error!" error="Please select from list" sqref="H14:O14">
      <formula1>$BF$39:$BF$41</formula1>
    </dataValidation>
    <dataValidation type="list" allowBlank="1" showInputMessage="1" showErrorMessage="1" errorTitle="Input Error!" error="Please select from list" sqref="F7:M7">
      <formula1>PCB_Select_Range</formula1>
    </dataValidation>
    <dataValidation type="list" allowBlank="1" showInputMessage="1" showErrorMessage="1" errorTitle="Input Error!" error="Please enter Yes or No" sqref="I18:J18 G13:H13 V14:W14">
      <formula1>"No,Yes"</formula1>
    </dataValidation>
    <dataValidation type="list" allowBlank="1" showErrorMessage="1" errorTitle="Input Error!" error="Please select from list" sqref="F12:H12">
      <formula1>"Standard,Flush Mount"</formula1>
    </dataValidation>
    <dataValidation type="list" allowBlank="1" showInputMessage="1" showErrorMessage="1" errorTitle="Input Error!" error="Please select from list" sqref="F5:I5">
      <formula1>$BC$43:$BC$50</formula1>
    </dataValidation>
    <dataValidation type="list" allowBlank="1" showErrorMessage="1" errorTitle="Input Error!" error="Please select from list" sqref="T9:U9">
      <formula1>"(Inch),(mm)"</formula1>
    </dataValidation>
    <dataValidation type="list" allowBlank="1" showInputMessage="1" showErrorMessage="1" errorTitle="Input Error" error="Please select from list" sqref="M13:W13">
      <formula1>$BJ$35:$BJ$36</formula1>
    </dataValidation>
    <dataValidation type="list" allowBlank="1" showInputMessage="1" showErrorMessage="1" errorTitle="Input Error" error="Please select from list" sqref="F16:M16">
      <formula1>$BE$44:$BE$51</formula1>
    </dataValidation>
  </dataValidations>
  <pageMargins left="0.75" right="0.75" top="1" bottom="1" header="0.5" footer="0.5"/>
  <pageSetup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51"/>
  <sheetViews>
    <sheetView showGridLines="0" showRowColHeaders="0" zoomScaleNormal="100" workbookViewId="0">
      <selection activeCell="C8" sqref="C8:D8"/>
    </sheetView>
  </sheetViews>
  <sheetFormatPr defaultRowHeight="12.75" x14ac:dyDescent="0.2"/>
  <cols>
    <col min="1" max="1" width="1.7109375" style="281" customWidth="1"/>
    <col min="2" max="2" width="14" style="1303" bestFit="1" customWidth="1"/>
    <col min="3" max="3" width="4.7109375" style="1303" customWidth="1"/>
    <col min="4" max="4" width="10.42578125" style="1303" bestFit="1" customWidth="1"/>
    <col min="5" max="5" width="11.85546875" style="1303" customWidth="1"/>
    <col min="6" max="6" width="3.7109375" style="1303" customWidth="1"/>
    <col min="7" max="8" width="12.7109375" style="1303" customWidth="1"/>
    <col min="9" max="9" width="2.7109375" style="281" customWidth="1"/>
    <col min="10" max="52" width="4.7109375" style="281" customWidth="1"/>
    <col min="53" max="53" width="5.7109375" style="281" hidden="1" customWidth="1"/>
    <col min="54" max="54" width="10.5703125" style="281" hidden="1" customWidth="1"/>
    <col min="55" max="78" width="9.140625" style="281" hidden="1" customWidth="1"/>
    <col min="79" max="16384" width="9.140625" style="281"/>
  </cols>
  <sheetData>
    <row r="1" spans="1:61" x14ac:dyDescent="0.2">
      <c r="A1" s="211"/>
      <c r="B1" s="300" t="str">
        <f>'Cover Page'!B4</f>
        <v xml:space="preserve"> Production Probes Design Capture Order Form</v>
      </c>
      <c r="C1" s="213"/>
      <c r="D1" s="213"/>
      <c r="E1" s="214"/>
      <c r="F1" s="211"/>
      <c r="G1" s="873" t="s">
        <v>229</v>
      </c>
      <c r="H1" s="1298" t="str">
        <f>'Cover Page'!S19</f>
        <v/>
      </c>
      <c r="I1" s="876"/>
      <c r="J1" s="876"/>
      <c r="K1" s="845"/>
      <c r="L1" s="845"/>
      <c r="AA1" s="1783" t="s">
        <v>962</v>
      </c>
      <c r="AB1" s="1784"/>
      <c r="AC1" s="1784"/>
      <c r="BE1" s="1781" t="s">
        <v>993</v>
      </c>
      <c r="BF1" s="1782"/>
    </row>
    <row r="2" spans="1:61" x14ac:dyDescent="0.2">
      <c r="A2" s="211"/>
      <c r="B2" s="300" t="str">
        <f>'Cover Page'!B5</f>
        <v xml:space="preserve"> CQS-03-031-0001  R1.71</v>
      </c>
      <c r="C2" s="213"/>
      <c r="D2" s="213"/>
      <c r="E2" s="214"/>
      <c r="F2" s="211"/>
      <c r="G2" s="873" t="str">
        <f ca="1">'Cover Page'!T2</f>
        <v>Core P/N:</v>
      </c>
      <c r="H2" s="894" t="str">
        <f>IF(ISBLANK('Cover Page'!U2),"",'Cover Page'!U2)</f>
        <v/>
      </c>
      <c r="I2" s="895"/>
      <c r="J2" s="895"/>
      <c r="K2" s="896"/>
      <c r="L2" s="896"/>
      <c r="AA2" s="1784"/>
      <c r="AB2" s="1784"/>
      <c r="AC2" s="1784"/>
      <c r="BB2" s="1302" t="s">
        <v>957</v>
      </c>
      <c r="BE2" s="1369" t="s">
        <v>162</v>
      </c>
      <c r="BF2" s="1369" t="s">
        <v>163</v>
      </c>
      <c r="BG2" s="1797" t="s">
        <v>955</v>
      </c>
      <c r="BH2" s="1798"/>
      <c r="BI2" s="1798"/>
    </row>
    <row r="3" spans="1:61" ht="15.75" x14ac:dyDescent="0.25">
      <c r="A3" s="211"/>
      <c r="B3" s="212" t="s">
        <v>989</v>
      </c>
      <c r="C3" s="213"/>
      <c r="D3" s="213"/>
      <c r="E3" s="214"/>
      <c r="F3" s="211"/>
      <c r="G3" s="873" t="str">
        <f ca="1">'Cover Page'!T3</f>
        <v>Custom PCB P/N:</v>
      </c>
      <c r="H3" s="894" t="str">
        <f>IF(ISBLANK('Cover Page'!U3),"",'Cover Page'!U3)</f>
        <v/>
      </c>
      <c r="I3" s="895"/>
      <c r="J3" s="895"/>
      <c r="K3" s="896"/>
      <c r="L3" s="896"/>
      <c r="S3" s="1304" t="s">
        <v>959</v>
      </c>
      <c r="BB3" s="1305" t="b">
        <f>IF('Cover Page'!$E$26="Pyramid Core",'Cover Page'!$T$29&lt;&gt;"Yes",TRUE)</f>
        <v>1</v>
      </c>
      <c r="BE3" s="1303">
        <f>IF(Multiplyer=1,DUT!$S$18,ROUNDUP(Chart!$CW$16*1000/DUT!$S$18,0)*DUT!$S$18)+1000</f>
        <v>1000</v>
      </c>
      <c r="BF3" s="1303">
        <f>DUT!$V$18</f>
        <v>0</v>
      </c>
      <c r="BG3" s="1370"/>
      <c r="BH3" s="1371" t="s">
        <v>162</v>
      </c>
      <c r="BI3" s="1372" t="s">
        <v>163</v>
      </c>
    </row>
    <row r="4" spans="1:61" x14ac:dyDescent="0.2">
      <c r="A4" s="211"/>
      <c r="B4" s="300"/>
      <c r="C4" s="213"/>
      <c r="D4" s="213"/>
      <c r="E4" s="214"/>
      <c r="F4" s="211"/>
      <c r="G4" s="873" t="s">
        <v>950</v>
      </c>
      <c r="H4" s="894" t="str">
        <f>IF(ISBLANK('Cover Page'!V29),"",'Cover Page'!V29)</f>
        <v/>
      </c>
      <c r="I4" s="895"/>
      <c r="J4" s="895"/>
      <c r="K4" s="896"/>
      <c r="L4" s="896"/>
      <c r="BE4" s="1306"/>
      <c r="BF4" s="1303"/>
      <c r="BG4" s="1373" t="s">
        <v>956</v>
      </c>
      <c r="BH4" s="1374">
        <v>19400</v>
      </c>
      <c r="BI4" s="1375">
        <v>20000</v>
      </c>
    </row>
    <row r="5" spans="1:61" ht="15.75" x14ac:dyDescent="0.25">
      <c r="B5" s="281"/>
      <c r="C5" s="281"/>
      <c r="D5" s="281"/>
      <c r="E5" s="281"/>
      <c r="F5" s="216" t="str">
        <f>IF(BB3,DUT!$K$5,"")</f>
        <v>THIS PAGE IS NOT IN USE BASED ON COVER PAGE SELECTIONS</v>
      </c>
      <c r="G5" s="281"/>
      <c r="BF5" s="1303"/>
      <c r="BG5" s="1376" t="s">
        <v>918</v>
      </c>
      <c r="BH5" s="1377">
        <f>ROUNDDOWN(BH4/BE3,0)</f>
        <v>19</v>
      </c>
      <c r="BI5" s="1378" t="e">
        <f>ROUNDDOWN(BI4/BF3,0)</f>
        <v>#DIV/0!</v>
      </c>
    </row>
    <row r="6" spans="1:61" ht="15" thickBot="1" x14ac:dyDescent="0.25">
      <c r="B6" s="236" t="s">
        <v>951</v>
      </c>
      <c r="C6" s="211"/>
      <c r="D6" s="211"/>
      <c r="E6" s="211"/>
      <c r="F6" s="211"/>
      <c r="G6" s="211"/>
      <c r="H6" s="211"/>
      <c r="I6" s="211"/>
      <c r="J6" s="211"/>
      <c r="K6" s="211"/>
      <c r="L6" s="211"/>
      <c r="M6" s="211"/>
      <c r="BF6" s="1303"/>
    </row>
    <row r="7" spans="1:61" x14ac:dyDescent="0.2">
      <c r="B7" s="1307"/>
      <c r="C7" s="1308"/>
      <c r="D7" s="1308"/>
      <c r="E7" s="1308"/>
      <c r="F7" s="1308"/>
      <c r="G7" s="1308"/>
      <c r="H7" s="1308"/>
      <c r="I7" s="1309"/>
      <c r="J7" s="1309"/>
      <c r="K7" s="1309"/>
      <c r="L7" s="1309"/>
      <c r="M7" s="1310"/>
      <c r="BF7" s="1303"/>
    </row>
    <row r="8" spans="1:61" x14ac:dyDescent="0.2">
      <c r="B8" s="1311" t="s">
        <v>952</v>
      </c>
      <c r="C8" s="1720" t="s">
        <v>653</v>
      </c>
      <c r="D8" s="1772"/>
      <c r="E8" s="346" t="s">
        <v>674</v>
      </c>
      <c r="F8" s="1658"/>
      <c r="G8" s="1793"/>
      <c r="H8" s="1793"/>
      <c r="I8" s="1312"/>
      <c r="J8" s="1312"/>
      <c r="K8" s="1312"/>
      <c r="L8" s="1312"/>
      <c r="M8" s="1313"/>
      <c r="BE8" s="1314" t="s">
        <v>920</v>
      </c>
      <c r="BF8" s="1315" t="s">
        <v>43</v>
      </c>
      <c r="BG8" s="1316" t="s">
        <v>921</v>
      </c>
      <c r="BH8" s="1799" t="s">
        <v>953</v>
      </c>
      <c r="BI8" s="1800"/>
    </row>
    <row r="9" spans="1:61" x14ac:dyDescent="0.2">
      <c r="B9" s="1317"/>
      <c r="C9" s="1300" t="str">
        <f>IF(OR(LEN(C8)&gt;14,LEN(F8)&gt;14),"Too Many Characters, Max of 14!","")</f>
        <v/>
      </c>
      <c r="D9" s="250"/>
      <c r="E9" s="250"/>
      <c r="G9" s="250"/>
      <c r="H9" s="1312"/>
      <c r="I9" s="250"/>
      <c r="J9" s="250"/>
      <c r="K9" s="1312"/>
      <c r="L9" s="1312"/>
      <c r="M9" s="1313"/>
      <c r="N9" s="211"/>
      <c r="BD9" s="1302"/>
      <c r="BE9" s="1318" t="s">
        <v>923</v>
      </c>
      <c r="BF9" s="1319" t="s">
        <v>936</v>
      </c>
      <c r="BG9" s="1320" t="s">
        <v>942</v>
      </c>
      <c r="BH9" s="1321" t="str">
        <f>H1</f>
        <v/>
      </c>
      <c r="BI9" s="1322"/>
    </row>
    <row r="10" spans="1:61" ht="13.5" thickBot="1" x14ac:dyDescent="0.25">
      <c r="B10" s="1323"/>
      <c r="C10" s="1324"/>
      <c r="D10" s="1324"/>
      <c r="E10" s="1324"/>
      <c r="F10" s="1324"/>
      <c r="G10" s="1324"/>
      <c r="H10" s="1324"/>
      <c r="I10" s="1324"/>
      <c r="J10" s="1324"/>
      <c r="K10" s="1324"/>
      <c r="L10" s="1324"/>
      <c r="M10" s="1325"/>
      <c r="X10" s="1794" t="str">
        <f>$H$4&amp;" / "&amp;IF($C$8="Other",$F$8,$C$8)</f>
        <v xml:space="preserve"> / </v>
      </c>
      <c r="BD10" s="1302"/>
      <c r="BE10" s="1318" t="s">
        <v>921</v>
      </c>
      <c r="BF10" s="1319" t="s">
        <v>938</v>
      </c>
      <c r="BG10" s="1320" t="s">
        <v>943</v>
      </c>
      <c r="BH10" s="1326" t="str">
        <f>"Other"</f>
        <v>Other</v>
      </c>
      <c r="BI10" s="1327"/>
    </row>
    <row r="11" spans="1:61" ht="13.5" customHeight="1" x14ac:dyDescent="0.2">
      <c r="B11" s="1328" t="str">
        <f>IF(AND(Multiplyer=1,DUT!B11&lt;&gt;"[Step Distance]"),"Step distance required!","")</f>
        <v>Step distance required!</v>
      </c>
      <c r="C11" s="281"/>
      <c r="D11" s="281"/>
      <c r="E11" s="281"/>
      <c r="F11" s="281"/>
      <c r="G11" s="281"/>
      <c r="H11" s="281"/>
      <c r="X11" s="1795"/>
      <c r="BD11" s="1302"/>
      <c r="BE11" s="1318" t="s">
        <v>931</v>
      </c>
      <c r="BF11" s="1319" t="s">
        <v>919</v>
      </c>
      <c r="BG11" s="1320" t="s">
        <v>944</v>
      </c>
    </row>
    <row r="12" spans="1:61" x14ac:dyDescent="0.2">
      <c r="A12" s="250"/>
      <c r="B12" s="1328" t="str">
        <f>IF(AND(Multiplyer=1,DUT!B11&lt;&gt;"[Step Distance]"),"Change 'Die Size:' to [Step Distance] on DUT page &amp; enter appropriate XY Step Values.","")</f>
        <v>Change 'Die Size:' to [Step Distance] on DUT page &amp; enter appropriate XY Step Values.</v>
      </c>
      <c r="C12" s="281"/>
      <c r="D12" s="281"/>
      <c r="E12" s="281"/>
      <c r="F12" s="281"/>
      <c r="G12" s="281"/>
      <c r="H12" s="281"/>
      <c r="T12" s="211"/>
      <c r="X12" s="1795"/>
      <c r="BD12" s="1302"/>
      <c r="BE12" s="1318" t="s">
        <v>922</v>
      </c>
      <c r="BF12" s="1319" t="s">
        <v>937</v>
      </c>
      <c r="BG12" s="1320" t="s">
        <v>945</v>
      </c>
    </row>
    <row r="13" spans="1:61" x14ac:dyDescent="0.2">
      <c r="A13" s="211"/>
      <c r="B13" s="1332" t="s">
        <v>960</v>
      </c>
      <c r="C13" s="281"/>
      <c r="D13" s="281"/>
      <c r="E13" s="281"/>
      <c r="F13" s="281"/>
      <c r="G13" s="281"/>
      <c r="H13" s="281"/>
      <c r="T13" s="211"/>
      <c r="X13" s="1795"/>
      <c r="BD13" s="1302"/>
      <c r="BE13" s="1329" t="s">
        <v>932</v>
      </c>
      <c r="BF13" s="1330" t="s">
        <v>939</v>
      </c>
      <c r="BG13" s="1320" t="s">
        <v>946</v>
      </c>
      <c r="BH13" s="1314" t="s">
        <v>933</v>
      </c>
      <c r="BI13" s="1331"/>
    </row>
    <row r="14" spans="1:61" x14ac:dyDescent="0.2">
      <c r="B14" s="1302" t="s">
        <v>991</v>
      </c>
      <c r="C14" s="281"/>
      <c r="D14" s="281"/>
      <c r="E14" s="281"/>
      <c r="F14" s="281"/>
      <c r="G14" s="281"/>
      <c r="H14" s="281"/>
      <c r="X14" s="1795"/>
      <c r="BD14" s="1302"/>
      <c r="BG14" s="1320" t="s">
        <v>947</v>
      </c>
      <c r="BH14" s="1321" t="s">
        <v>934</v>
      </c>
      <c r="BI14" s="1333" t="s">
        <v>940</v>
      </c>
    </row>
    <row r="15" spans="1:61" x14ac:dyDescent="0.2">
      <c r="B15" s="1302" t="s">
        <v>992</v>
      </c>
      <c r="C15" s="281"/>
      <c r="D15" s="281"/>
      <c r="E15" s="281"/>
      <c r="F15" s="281"/>
      <c r="G15" s="281"/>
      <c r="H15" s="281"/>
      <c r="X15" s="1795"/>
      <c r="BD15" s="1302"/>
      <c r="BG15" s="1334" t="s">
        <v>948</v>
      </c>
      <c r="BH15" s="1326" t="s">
        <v>935</v>
      </c>
      <c r="BI15" s="1335" t="s">
        <v>941</v>
      </c>
    </row>
    <row r="16" spans="1:61" x14ac:dyDescent="0.2">
      <c r="C16" s="281"/>
      <c r="D16" s="281"/>
      <c r="E16" s="281"/>
      <c r="F16" s="281"/>
      <c r="G16" s="281"/>
      <c r="H16" s="281"/>
      <c r="X16" s="1795"/>
      <c r="BD16" s="1302"/>
    </row>
    <row r="17" spans="2:56" x14ac:dyDescent="0.2">
      <c r="B17" s="1379" t="str">
        <f>IF(Multiplyer=1,"","Note: Each row below defines one multi-dut Pattern")</f>
        <v/>
      </c>
      <c r="X17" s="1795"/>
      <c r="AB17" s="1349"/>
    </row>
    <row r="18" spans="2:56" x14ac:dyDescent="0.2">
      <c r="B18" s="1336" t="s">
        <v>954</v>
      </c>
      <c r="X18" s="1795"/>
    </row>
    <row r="19" spans="2:56" ht="15" x14ac:dyDescent="0.25">
      <c r="B19" s="1787" t="s">
        <v>929</v>
      </c>
      <c r="C19" s="1787" t="s">
        <v>924</v>
      </c>
      <c r="D19" s="1337" t="s">
        <v>921</v>
      </c>
      <c r="E19" s="1789" t="s">
        <v>926</v>
      </c>
      <c r="F19" s="1790"/>
      <c r="G19" s="1785" t="s">
        <v>930</v>
      </c>
      <c r="H19" s="1786"/>
      <c r="J19" s="1332" t="s">
        <v>949</v>
      </c>
      <c r="K19" s="1332"/>
      <c r="L19" s="1302"/>
      <c r="M19" s="1302"/>
      <c r="BB19" s="1302"/>
    </row>
    <row r="20" spans="2:56" ht="15" x14ac:dyDescent="0.25">
      <c r="B20" s="1788"/>
      <c r="C20" s="1788"/>
      <c r="D20" s="1338" t="s">
        <v>925</v>
      </c>
      <c r="E20" s="1791" t="s">
        <v>650</v>
      </c>
      <c r="F20" s="1792"/>
      <c r="G20" s="1339" t="s">
        <v>927</v>
      </c>
      <c r="H20" s="1340" t="s">
        <v>928</v>
      </c>
      <c r="J20" s="1341">
        <f>IF(ISTEXT(I20),"",IF(BB20&lt;$BH$5-1,BB20+1,"Last"))</f>
        <v>1</v>
      </c>
      <c r="K20" s="1341" t="str">
        <f>IF(ISNUMBER(J20)," ","")</f>
        <v xml:space="preserve"> </v>
      </c>
      <c r="L20" s="1341">
        <f>IF(ISTEXT(J20),"",IF(J20&lt;$BH$5-1,J20+1,"Last"))</f>
        <v>2</v>
      </c>
      <c r="M20" s="1341" t="str">
        <f>IF(ISNUMBER(L20)," ","")</f>
        <v xml:space="preserve"> </v>
      </c>
      <c r="N20" s="1341">
        <f>IF(ISTEXT(L20),"",IF(L20&lt;$BH$5-1,L20+1,"Last"))</f>
        <v>3</v>
      </c>
      <c r="O20" s="1341" t="str">
        <f>IF(ISNUMBER(N20)," ","")</f>
        <v xml:space="preserve"> </v>
      </c>
      <c r="P20" s="1341">
        <f>IF(ISTEXT(N20),"",IF(N20&lt;$BH$5-1,N20+1,"Last"))</f>
        <v>4</v>
      </c>
      <c r="Q20" s="1341" t="str">
        <f>IF(ISNUMBER(P20)," ","")</f>
        <v xml:space="preserve"> </v>
      </c>
      <c r="R20" s="1341">
        <f>IF(ISTEXT(P20),"",IF(P20&lt;$BH$5-1,P20+1,"Last"))</f>
        <v>5</v>
      </c>
      <c r="S20" s="1341" t="str">
        <f>IF(ISNUMBER(R20)," ","")</f>
        <v xml:space="preserve"> </v>
      </c>
      <c r="T20" s="1341">
        <f>IF(ISTEXT(R20),"",IF(R20&lt;$BH$5-1,R20+1,"Last"))</f>
        <v>6</v>
      </c>
      <c r="U20" s="1341" t="str">
        <f>IF(ISNUMBER(T20)," ","")</f>
        <v xml:space="preserve"> </v>
      </c>
      <c r="V20" s="1341">
        <f>IF(ISTEXT(T20),"",IF(T20&lt;$BH$5-1,T20+1,"Last"))</f>
        <v>7</v>
      </c>
      <c r="W20" s="1341" t="str">
        <f>IF(ISNUMBER(V20)," ","")</f>
        <v xml:space="preserve"> </v>
      </c>
      <c r="X20" s="1341">
        <f>IF(ISTEXT(V20),"",IF(V20&lt;$BH$5-1,V20+1,"Last"))</f>
        <v>8</v>
      </c>
      <c r="Y20" s="1341" t="str">
        <f>IF(ISNUMBER(X20)," ","")</f>
        <v xml:space="preserve"> </v>
      </c>
      <c r="Z20" s="1341">
        <f>IF(ISTEXT(X20),"",IF(X20&lt;$BH$5-1,X20+1,"Last"))</f>
        <v>9</v>
      </c>
      <c r="AA20" s="1341" t="str">
        <f>IF(ISNUMBER(Z20)," ","")</f>
        <v xml:space="preserve"> </v>
      </c>
      <c r="AB20" s="1341">
        <f>IF(ISTEXT(Z20),"",IF(Z20&lt;$BH$5-1,Z20+1,"Last"))</f>
        <v>10</v>
      </c>
      <c r="AC20" s="1341" t="str">
        <f>IF(ISNUMBER(AB20)," ","")</f>
        <v xml:space="preserve"> </v>
      </c>
      <c r="AD20" s="1341">
        <f>IF(ISTEXT(AB20),"",IF(AB20&lt;$BH$5-1,AB20+1,"Last"))</f>
        <v>11</v>
      </c>
      <c r="AE20" s="1341" t="str">
        <f>IF(ISNUMBER(AD20)," ","")</f>
        <v xml:space="preserve"> </v>
      </c>
      <c r="AF20" s="1341">
        <f>IF(ISTEXT(AD20),"",IF(AD20&lt;$BH$5-1,AD20+1,"Last"))</f>
        <v>12</v>
      </c>
      <c r="AG20" s="1341" t="str">
        <f>IF(ISNUMBER(AF20)," ","")</f>
        <v xml:space="preserve"> </v>
      </c>
      <c r="AH20" s="1341"/>
      <c r="AI20" s="1341"/>
      <c r="AJ20" s="1341"/>
      <c r="AK20" s="1341"/>
      <c r="AL20" s="1341"/>
      <c r="AM20" s="1341"/>
      <c r="AN20" s="1341"/>
      <c r="AO20" s="1341"/>
      <c r="AP20" s="1341"/>
      <c r="AQ20" s="1341"/>
      <c r="AR20" s="1341"/>
      <c r="AS20" s="1341"/>
      <c r="AT20" s="1341"/>
      <c r="AU20" s="1341"/>
      <c r="AV20" s="1341"/>
      <c r="AW20" s="1341"/>
      <c r="AX20" s="1341"/>
      <c r="AY20" s="1341"/>
      <c r="AZ20" s="1341"/>
      <c r="BA20" s="1304"/>
      <c r="BB20" s="1304"/>
      <c r="BC20" s="1304"/>
      <c r="BD20" s="1304"/>
    </row>
    <row r="21" spans="2:56" x14ac:dyDescent="0.2">
      <c r="B21" s="1301"/>
      <c r="C21" s="1301"/>
      <c r="D21" s="1301"/>
      <c r="E21" s="1796"/>
      <c r="F21" s="1796"/>
      <c r="G21" s="1852"/>
      <c r="H21" s="1852"/>
      <c r="J21" s="1342" t="str">
        <f t="shared" ref="J21:J50" si="0">IF(ISBLANK($B21),"",$BC21)</f>
        <v/>
      </c>
      <c r="K21" s="1342"/>
      <c r="L21" s="1342" t="str">
        <f t="shared" ref="L21:L50" si="1">IF(AND(ISTEXT($E21),L$20="Last"),VLOOKUP($E21,$BH$14:$BI$15,2,1),J21)</f>
        <v/>
      </c>
      <c r="M21" s="1342"/>
      <c r="N21" s="1342" t="str">
        <f t="shared" ref="N21:N50" si="2">IF(AND(ISTEXT($E21),N$20="Last"),VLOOKUP($E21,$BH$14:$BI$15,2,1),L21)</f>
        <v/>
      </c>
      <c r="O21" s="1342"/>
      <c r="P21" s="1342" t="str">
        <f t="shared" ref="P21:P50" si="3">IF(AND(ISTEXT($E21),P$20="Last"),VLOOKUP($E21,$BH$14:$BI$15,2,1),N21)</f>
        <v/>
      </c>
      <c r="Q21" s="1342"/>
      <c r="R21" s="1342" t="str">
        <f t="shared" ref="R21:R50" si="4">IF(AND(ISTEXT($E21),R$20="Last"),VLOOKUP($E21,$BH$14:$BI$15,2,1),P21)</f>
        <v/>
      </c>
      <c r="S21" s="1342"/>
      <c r="T21" s="1342" t="str">
        <f t="shared" ref="T21:T50" si="5">IF(AND(ISTEXT($E21),T$20="Last"),VLOOKUP($E21,$BH$14:$BI$15,2,1),R21)</f>
        <v/>
      </c>
      <c r="U21" s="1342"/>
      <c r="V21" s="1342" t="str">
        <f t="shared" ref="V21:V50" si="6">IF(AND(ISTEXT($E21),V$20="Last"),VLOOKUP($E21,$BH$14:$BI$15,2,1),T21)</f>
        <v/>
      </c>
      <c r="W21" s="1342"/>
      <c r="X21" s="1342" t="str">
        <f t="shared" ref="X21:X50" si="7">IF(AND(ISTEXT($E21),X$20="Last"),VLOOKUP($E21,$BH$14:$BI$15,2,1),V21)</f>
        <v/>
      </c>
      <c r="Y21" s="1342"/>
      <c r="Z21" s="1342" t="str">
        <f t="shared" ref="Z21:Z50" si="8">IF(AND(ISTEXT($E21),Z$20="Last"),VLOOKUP($E21,$BH$14:$BI$15,2,1),X21)</f>
        <v/>
      </c>
      <c r="AA21" s="1342"/>
      <c r="AB21" s="1342" t="str">
        <f t="shared" ref="AB21:AB50" si="9">IF(AND(ISTEXT($E21),AB$20="Last"),VLOOKUP($E21,$BH$14:$BI$15,2,1),Z21)</f>
        <v/>
      </c>
      <c r="AC21" s="1342"/>
      <c r="AD21" s="1342" t="str">
        <f t="shared" ref="AD21:AD50" si="10">IF(AND(ISTEXT($E21),AD$20="Last"),VLOOKUP($E21,$BH$14:$BI$15,2,1),AB21)</f>
        <v/>
      </c>
      <c r="AE21" s="1342"/>
      <c r="AF21" s="1342" t="str">
        <f t="shared" ref="AF21:AF50" si="11">IF(AND(ISTEXT($E21),AF$20="Last"),VLOOKUP($E21,$BH$14:$BI$15,2,1),AD21)</f>
        <v/>
      </c>
      <c r="AG21" s="1342"/>
      <c r="AH21" s="1342"/>
      <c r="AI21" s="1342"/>
      <c r="AJ21" s="1342"/>
      <c r="AK21" s="1342"/>
      <c r="AL21" s="1342"/>
      <c r="AM21" s="1342"/>
      <c r="AN21" s="1342"/>
      <c r="AO21" s="1342"/>
      <c r="AP21" s="1342"/>
      <c r="AQ21" s="1342"/>
      <c r="AR21" s="1342"/>
      <c r="AS21" s="1342"/>
      <c r="AT21" s="1342"/>
      <c r="AU21" s="1342"/>
      <c r="AV21" s="1342"/>
      <c r="AW21" s="1342"/>
      <c r="AX21" s="1342"/>
      <c r="AY21" s="1342"/>
      <c r="AZ21" s="1342"/>
      <c r="BA21" s="1343" t="str">
        <f t="shared" ref="BA21:BA50" si="12">IF(OR(B21="Thru",LEFT(E21,6)="Offset"),1,"")</f>
        <v/>
      </c>
      <c r="BB21" s="1343" t="str">
        <f t="shared" ref="BB21:BB50" si="13">IF(ISNUMBER($BI$5),IF(BB20&lt;$BI$5,BB20+1,""),"")</f>
        <v/>
      </c>
      <c r="BC21" s="1346" t="e">
        <f t="shared" ref="BC21:BC50" si="14">IF(B21&lt;&gt;$BE$9,VLOOKUP($B21,$BE$9:$BF$13,2,1)&amp;IF(AND(siteQty&gt;1,ISNUMBER(C21)),"("&amp;C21&amp;")",""),"AM")</f>
        <v>#N/A</v>
      </c>
      <c r="BD21" s="1344" t="b">
        <f>AND(BB21="",ISNUMBER(BB20))</f>
        <v>0</v>
      </c>
    </row>
    <row r="22" spans="2:56" x14ac:dyDescent="0.2">
      <c r="B22" s="1301"/>
      <c r="C22" s="1301"/>
      <c r="D22" s="1301"/>
      <c r="E22" s="1796"/>
      <c r="F22" s="1796"/>
      <c r="G22" s="1852"/>
      <c r="H22" s="1852"/>
      <c r="J22" s="1304" t="str">
        <f t="shared" si="0"/>
        <v/>
      </c>
      <c r="K22" s="1304"/>
      <c r="L22" s="1304" t="str">
        <f t="shared" si="1"/>
        <v/>
      </c>
      <c r="M22" s="1304"/>
      <c r="N22" s="1304" t="str">
        <f t="shared" si="2"/>
        <v/>
      </c>
      <c r="O22" s="1304"/>
      <c r="P22" s="1304" t="str">
        <f t="shared" si="3"/>
        <v/>
      </c>
      <c r="Q22" s="1304"/>
      <c r="R22" s="1304" t="str">
        <f t="shared" si="4"/>
        <v/>
      </c>
      <c r="S22" s="1304"/>
      <c r="T22" s="1304" t="str">
        <f t="shared" si="5"/>
        <v/>
      </c>
      <c r="U22" s="1304"/>
      <c r="V22" s="1304" t="str">
        <f t="shared" si="6"/>
        <v/>
      </c>
      <c r="W22" s="1304"/>
      <c r="X22" s="1304" t="str">
        <f t="shared" si="7"/>
        <v/>
      </c>
      <c r="Y22" s="1304"/>
      <c r="Z22" s="1304" t="str">
        <f t="shared" si="8"/>
        <v/>
      </c>
      <c r="AA22" s="1304"/>
      <c r="AB22" s="1304" t="str">
        <f t="shared" si="9"/>
        <v/>
      </c>
      <c r="AC22" s="1304"/>
      <c r="AD22" s="1304" t="str">
        <f t="shared" si="10"/>
        <v/>
      </c>
      <c r="AE22" s="1304"/>
      <c r="AF22" s="1304" t="str">
        <f t="shared" si="11"/>
        <v/>
      </c>
      <c r="AG22" s="1304"/>
      <c r="AH22" s="1304"/>
      <c r="AI22" s="1304"/>
      <c r="AJ22" s="1304"/>
      <c r="AK22" s="1304"/>
      <c r="AL22" s="1304"/>
      <c r="AM22" s="1304"/>
      <c r="AN22" s="1304"/>
      <c r="AO22" s="1304"/>
      <c r="AP22" s="1304"/>
      <c r="AQ22" s="1304"/>
      <c r="AR22" s="1304"/>
      <c r="AS22" s="1304"/>
      <c r="AT22" s="1304"/>
      <c r="AU22" s="1304"/>
      <c r="AV22" s="1304"/>
      <c r="AW22" s="1304"/>
      <c r="AX22" s="1304"/>
      <c r="AY22" s="1304"/>
      <c r="AZ22" s="1304"/>
      <c r="BA22" s="1345" t="str">
        <f t="shared" si="12"/>
        <v/>
      </c>
      <c r="BB22" s="1345" t="str">
        <f t="shared" si="13"/>
        <v/>
      </c>
      <c r="BC22" s="1346" t="e">
        <f t="shared" si="14"/>
        <v>#N/A</v>
      </c>
      <c r="BD22" s="1347" t="b">
        <f t="shared" ref="BD22:BD51" si="15">AND(BB22="",ISNUMBER(BB21))</f>
        <v>0</v>
      </c>
    </row>
    <row r="23" spans="2:56" x14ac:dyDescent="0.2">
      <c r="B23" s="1301"/>
      <c r="C23" s="1301"/>
      <c r="D23" s="1301"/>
      <c r="E23" s="1796"/>
      <c r="F23" s="1796"/>
      <c r="G23" s="1852"/>
      <c r="H23" s="1852"/>
      <c r="J23" s="1304" t="str">
        <f t="shared" si="0"/>
        <v/>
      </c>
      <c r="K23" s="1304"/>
      <c r="L23" s="1304" t="str">
        <f t="shared" si="1"/>
        <v/>
      </c>
      <c r="M23" s="1304"/>
      <c r="N23" s="1304" t="str">
        <f t="shared" si="2"/>
        <v/>
      </c>
      <c r="O23" s="1304"/>
      <c r="P23" s="1304" t="str">
        <f t="shared" si="3"/>
        <v/>
      </c>
      <c r="Q23" s="1304"/>
      <c r="R23" s="1304" t="str">
        <f t="shared" si="4"/>
        <v/>
      </c>
      <c r="S23" s="1304"/>
      <c r="T23" s="1304" t="str">
        <f t="shared" si="5"/>
        <v/>
      </c>
      <c r="U23" s="1304"/>
      <c r="V23" s="1304" t="str">
        <f t="shared" si="6"/>
        <v/>
      </c>
      <c r="W23" s="1304"/>
      <c r="X23" s="1304" t="str">
        <f t="shared" si="7"/>
        <v/>
      </c>
      <c r="Y23" s="1304"/>
      <c r="Z23" s="1304" t="str">
        <f t="shared" si="8"/>
        <v/>
      </c>
      <c r="AA23" s="1304"/>
      <c r="AB23" s="1304" t="str">
        <f t="shared" si="9"/>
        <v/>
      </c>
      <c r="AC23" s="1304"/>
      <c r="AD23" s="1304" t="str">
        <f t="shared" si="10"/>
        <v/>
      </c>
      <c r="AE23" s="1304"/>
      <c r="AF23" s="1304" t="str">
        <f t="shared" si="11"/>
        <v/>
      </c>
      <c r="AG23" s="1304"/>
      <c r="AH23" s="1304"/>
      <c r="AI23" s="1304"/>
      <c r="AJ23" s="1304"/>
      <c r="AK23" s="1304"/>
      <c r="AL23" s="1304"/>
      <c r="AM23" s="1304"/>
      <c r="AN23" s="1304"/>
      <c r="AO23" s="1304"/>
      <c r="AP23" s="1304"/>
      <c r="AQ23" s="1304"/>
      <c r="AR23" s="1304"/>
      <c r="AS23" s="1304"/>
      <c r="AT23" s="1304"/>
      <c r="AU23" s="1304"/>
      <c r="AV23" s="1304"/>
      <c r="AW23" s="1304"/>
      <c r="AX23" s="1304"/>
      <c r="AY23" s="1304"/>
      <c r="AZ23" s="1304"/>
      <c r="BA23" s="1345" t="str">
        <f t="shared" si="12"/>
        <v/>
      </c>
      <c r="BB23" s="1345" t="str">
        <f t="shared" si="13"/>
        <v/>
      </c>
      <c r="BC23" s="1346" t="e">
        <f t="shared" si="14"/>
        <v>#N/A</v>
      </c>
      <c r="BD23" s="1347" t="b">
        <f t="shared" si="15"/>
        <v>0</v>
      </c>
    </row>
    <row r="24" spans="2:56" x14ac:dyDescent="0.2">
      <c r="B24" s="1301"/>
      <c r="C24" s="1301"/>
      <c r="D24" s="1301"/>
      <c r="E24" s="1796"/>
      <c r="F24" s="1796"/>
      <c r="G24" s="1852"/>
      <c r="H24" s="1852"/>
      <c r="J24" s="1304" t="str">
        <f t="shared" si="0"/>
        <v/>
      </c>
      <c r="K24" s="1304"/>
      <c r="L24" s="1304" t="str">
        <f t="shared" si="1"/>
        <v/>
      </c>
      <c r="M24" s="1304"/>
      <c r="N24" s="1304" t="str">
        <f t="shared" si="2"/>
        <v/>
      </c>
      <c r="O24" s="1304"/>
      <c r="P24" s="1304" t="str">
        <f t="shared" si="3"/>
        <v/>
      </c>
      <c r="Q24" s="1304"/>
      <c r="R24" s="1304" t="str">
        <f t="shared" si="4"/>
        <v/>
      </c>
      <c r="S24" s="1304"/>
      <c r="T24" s="1304" t="str">
        <f t="shared" si="5"/>
        <v/>
      </c>
      <c r="U24" s="1304"/>
      <c r="V24" s="1304" t="str">
        <f t="shared" si="6"/>
        <v/>
      </c>
      <c r="W24" s="1304"/>
      <c r="X24" s="1304" t="str">
        <f t="shared" si="7"/>
        <v/>
      </c>
      <c r="Y24" s="1304"/>
      <c r="Z24" s="1304" t="str">
        <f t="shared" si="8"/>
        <v/>
      </c>
      <c r="AA24" s="1304"/>
      <c r="AB24" s="1304" t="str">
        <f t="shared" si="9"/>
        <v/>
      </c>
      <c r="AC24" s="1304"/>
      <c r="AD24" s="1304" t="str">
        <f t="shared" si="10"/>
        <v/>
      </c>
      <c r="AE24" s="1304"/>
      <c r="AF24" s="1304" t="str">
        <f t="shared" si="11"/>
        <v/>
      </c>
      <c r="AG24" s="1304"/>
      <c r="AH24" s="1304"/>
      <c r="AI24" s="1304"/>
      <c r="AJ24" s="1304"/>
      <c r="AK24" s="1304"/>
      <c r="AL24" s="1304"/>
      <c r="AM24" s="1304"/>
      <c r="AN24" s="1304"/>
      <c r="AO24" s="1304"/>
      <c r="AP24" s="1304"/>
      <c r="AQ24" s="1304"/>
      <c r="AR24" s="1304"/>
      <c r="AS24" s="1304"/>
      <c r="AT24" s="1304"/>
      <c r="AU24" s="1304"/>
      <c r="AV24" s="1304"/>
      <c r="AW24" s="1304"/>
      <c r="AX24" s="1304"/>
      <c r="AY24" s="1304"/>
      <c r="AZ24" s="1304"/>
      <c r="BA24" s="1345" t="str">
        <f t="shared" si="12"/>
        <v/>
      </c>
      <c r="BB24" s="1345" t="str">
        <f t="shared" si="13"/>
        <v/>
      </c>
      <c r="BC24" s="1346" t="e">
        <f t="shared" si="14"/>
        <v>#N/A</v>
      </c>
      <c r="BD24" s="1347" t="b">
        <f t="shared" si="15"/>
        <v>0</v>
      </c>
    </row>
    <row r="25" spans="2:56" x14ac:dyDescent="0.2">
      <c r="B25" s="1301"/>
      <c r="C25" s="1301"/>
      <c r="D25" s="1301"/>
      <c r="E25" s="1796"/>
      <c r="F25" s="1796"/>
      <c r="G25" s="1852"/>
      <c r="H25" s="1852"/>
      <c r="J25" s="1304" t="str">
        <f t="shared" si="0"/>
        <v/>
      </c>
      <c r="K25" s="1304"/>
      <c r="L25" s="1304" t="str">
        <f t="shared" si="1"/>
        <v/>
      </c>
      <c r="M25" s="1304"/>
      <c r="N25" s="1304" t="str">
        <f t="shared" si="2"/>
        <v/>
      </c>
      <c r="O25" s="1304"/>
      <c r="P25" s="1304" t="str">
        <f t="shared" si="3"/>
        <v/>
      </c>
      <c r="Q25" s="1304"/>
      <c r="R25" s="1304" t="str">
        <f t="shared" si="4"/>
        <v/>
      </c>
      <c r="S25" s="1304"/>
      <c r="T25" s="1304" t="str">
        <f t="shared" si="5"/>
        <v/>
      </c>
      <c r="U25" s="1304"/>
      <c r="V25" s="1304" t="str">
        <f t="shared" si="6"/>
        <v/>
      </c>
      <c r="W25" s="1304"/>
      <c r="X25" s="1304" t="str">
        <f t="shared" si="7"/>
        <v/>
      </c>
      <c r="Y25" s="1304"/>
      <c r="Z25" s="1304" t="str">
        <f t="shared" si="8"/>
        <v/>
      </c>
      <c r="AA25" s="1304"/>
      <c r="AB25" s="1304" t="str">
        <f t="shared" si="9"/>
        <v/>
      </c>
      <c r="AC25" s="1304"/>
      <c r="AD25" s="1304" t="str">
        <f t="shared" si="10"/>
        <v/>
      </c>
      <c r="AE25" s="1304"/>
      <c r="AF25" s="1304" t="str">
        <f t="shared" si="11"/>
        <v/>
      </c>
      <c r="AG25" s="1304"/>
      <c r="AH25" s="1304"/>
      <c r="AI25" s="1304"/>
      <c r="AJ25" s="1304"/>
      <c r="AK25" s="1304"/>
      <c r="AL25" s="1304"/>
      <c r="AM25" s="1304"/>
      <c r="AN25" s="1304"/>
      <c r="AO25" s="1304"/>
      <c r="AP25" s="1304"/>
      <c r="AQ25" s="1304"/>
      <c r="AR25" s="1304"/>
      <c r="AS25" s="1304"/>
      <c r="AT25" s="1304"/>
      <c r="AU25" s="1304"/>
      <c r="AV25" s="1304"/>
      <c r="AW25" s="1304"/>
      <c r="AX25" s="1304"/>
      <c r="AY25" s="1304"/>
      <c r="AZ25" s="1304"/>
      <c r="BA25" s="1345" t="str">
        <f t="shared" si="12"/>
        <v/>
      </c>
      <c r="BB25" s="1345" t="str">
        <f t="shared" si="13"/>
        <v/>
      </c>
      <c r="BC25" s="1346" t="e">
        <f t="shared" si="14"/>
        <v>#N/A</v>
      </c>
      <c r="BD25" s="1347" t="b">
        <f t="shared" si="15"/>
        <v>0</v>
      </c>
    </row>
    <row r="26" spans="2:56" x14ac:dyDescent="0.2">
      <c r="B26" s="1348"/>
      <c r="C26" s="1301"/>
      <c r="D26" s="1301"/>
      <c r="E26" s="1796"/>
      <c r="F26" s="1796"/>
      <c r="G26" s="1852"/>
      <c r="H26" s="1852"/>
      <c r="J26" s="1304" t="str">
        <f t="shared" si="0"/>
        <v/>
      </c>
      <c r="K26" s="1304"/>
      <c r="L26" s="1304" t="str">
        <f t="shared" si="1"/>
        <v/>
      </c>
      <c r="M26" s="1304"/>
      <c r="N26" s="1304" t="str">
        <f t="shared" si="2"/>
        <v/>
      </c>
      <c r="O26" s="1304"/>
      <c r="P26" s="1304" t="str">
        <f t="shared" si="3"/>
        <v/>
      </c>
      <c r="Q26" s="1304"/>
      <c r="R26" s="1304" t="str">
        <f t="shared" si="4"/>
        <v/>
      </c>
      <c r="S26" s="1304"/>
      <c r="T26" s="1304" t="str">
        <f t="shared" si="5"/>
        <v/>
      </c>
      <c r="U26" s="1304"/>
      <c r="V26" s="1304" t="str">
        <f t="shared" si="6"/>
        <v/>
      </c>
      <c r="W26" s="1304"/>
      <c r="X26" s="1304" t="str">
        <f t="shared" si="7"/>
        <v/>
      </c>
      <c r="Y26" s="1304"/>
      <c r="Z26" s="1304" t="str">
        <f t="shared" si="8"/>
        <v/>
      </c>
      <c r="AA26" s="1304"/>
      <c r="AB26" s="1304" t="str">
        <f t="shared" si="9"/>
        <v/>
      </c>
      <c r="AC26" s="1304"/>
      <c r="AD26" s="1304" t="str">
        <f t="shared" si="10"/>
        <v/>
      </c>
      <c r="AE26" s="1304"/>
      <c r="AF26" s="1304" t="str">
        <f t="shared" si="11"/>
        <v/>
      </c>
      <c r="AG26" s="1304"/>
      <c r="AH26" s="1304"/>
      <c r="AI26" s="1304"/>
      <c r="AJ26" s="1304"/>
      <c r="AK26" s="1304"/>
      <c r="AL26" s="1304"/>
      <c r="AM26" s="1304"/>
      <c r="AN26" s="1304"/>
      <c r="AO26" s="1304"/>
      <c r="AP26" s="1304"/>
      <c r="AQ26" s="1304"/>
      <c r="AR26" s="1304"/>
      <c r="AS26" s="1304"/>
      <c r="AT26" s="1304"/>
      <c r="AU26" s="1304"/>
      <c r="AV26" s="1304"/>
      <c r="AW26" s="1304"/>
      <c r="AX26" s="1304"/>
      <c r="AY26" s="1304"/>
      <c r="AZ26" s="1304"/>
      <c r="BA26" s="1345" t="str">
        <f t="shared" si="12"/>
        <v/>
      </c>
      <c r="BB26" s="1345" t="str">
        <f t="shared" si="13"/>
        <v/>
      </c>
      <c r="BC26" s="1346" t="e">
        <f t="shared" si="14"/>
        <v>#N/A</v>
      </c>
      <c r="BD26" s="1347" t="b">
        <f t="shared" si="15"/>
        <v>0</v>
      </c>
    </row>
    <row r="27" spans="2:56" x14ac:dyDescent="0.2">
      <c r="B27" s="1348"/>
      <c r="C27" s="1301"/>
      <c r="D27" s="1301"/>
      <c r="E27" s="1796"/>
      <c r="F27" s="1796"/>
      <c r="G27" s="1852"/>
      <c r="H27" s="1852"/>
      <c r="J27" s="1304" t="str">
        <f t="shared" si="0"/>
        <v/>
      </c>
      <c r="K27" s="1304"/>
      <c r="L27" s="1304" t="str">
        <f t="shared" si="1"/>
        <v/>
      </c>
      <c r="M27" s="1304"/>
      <c r="N27" s="1304" t="str">
        <f t="shared" si="2"/>
        <v/>
      </c>
      <c r="O27" s="1304"/>
      <c r="P27" s="1304" t="str">
        <f t="shared" si="3"/>
        <v/>
      </c>
      <c r="Q27" s="1304"/>
      <c r="R27" s="1304" t="str">
        <f t="shared" si="4"/>
        <v/>
      </c>
      <c r="S27" s="1304"/>
      <c r="T27" s="1304" t="str">
        <f t="shared" si="5"/>
        <v/>
      </c>
      <c r="U27" s="1304"/>
      <c r="V27" s="1304" t="str">
        <f t="shared" si="6"/>
        <v/>
      </c>
      <c r="W27" s="1304"/>
      <c r="X27" s="1304" t="str">
        <f t="shared" si="7"/>
        <v/>
      </c>
      <c r="Y27" s="1304"/>
      <c r="Z27" s="1304" t="str">
        <f t="shared" si="8"/>
        <v/>
      </c>
      <c r="AA27" s="1304"/>
      <c r="AB27" s="1304" t="str">
        <f t="shared" si="9"/>
        <v/>
      </c>
      <c r="AC27" s="1304"/>
      <c r="AD27" s="1304" t="str">
        <f t="shared" si="10"/>
        <v/>
      </c>
      <c r="AE27" s="1304"/>
      <c r="AF27" s="1304" t="str">
        <f t="shared" si="11"/>
        <v/>
      </c>
      <c r="AG27" s="1304"/>
      <c r="AH27" s="1304"/>
      <c r="AI27" s="1304"/>
      <c r="AJ27" s="1304"/>
      <c r="AK27" s="1304"/>
      <c r="AL27" s="1304"/>
      <c r="AM27" s="1304"/>
      <c r="AN27" s="1304"/>
      <c r="AO27" s="1304"/>
      <c r="AP27" s="1304"/>
      <c r="AQ27" s="1304"/>
      <c r="AR27" s="1304"/>
      <c r="AS27" s="1304"/>
      <c r="AT27" s="1304"/>
      <c r="AU27" s="1304"/>
      <c r="AV27" s="1304"/>
      <c r="AW27" s="1304"/>
      <c r="AX27" s="1304"/>
      <c r="AY27" s="1304"/>
      <c r="AZ27" s="1304"/>
      <c r="BA27" s="1345" t="str">
        <f t="shared" si="12"/>
        <v/>
      </c>
      <c r="BB27" s="1345" t="str">
        <f t="shared" si="13"/>
        <v/>
      </c>
      <c r="BC27" s="1346" t="e">
        <f t="shared" si="14"/>
        <v>#N/A</v>
      </c>
      <c r="BD27" s="1347" t="b">
        <f t="shared" si="15"/>
        <v>0</v>
      </c>
    </row>
    <row r="28" spans="2:56" x14ac:dyDescent="0.2">
      <c r="B28" s="1348"/>
      <c r="C28" s="1301"/>
      <c r="D28" s="1301"/>
      <c r="E28" s="1796"/>
      <c r="F28" s="1796"/>
      <c r="G28" s="1852"/>
      <c r="H28" s="1852"/>
      <c r="I28" s="1302"/>
      <c r="J28" s="1304" t="str">
        <f t="shared" si="0"/>
        <v/>
      </c>
      <c r="K28" s="1304"/>
      <c r="L28" s="1304" t="str">
        <f t="shared" si="1"/>
        <v/>
      </c>
      <c r="M28" s="1304"/>
      <c r="N28" s="1304" t="str">
        <f t="shared" si="2"/>
        <v/>
      </c>
      <c r="O28" s="1304"/>
      <c r="P28" s="1304" t="str">
        <f t="shared" si="3"/>
        <v/>
      </c>
      <c r="Q28" s="1304"/>
      <c r="R28" s="1304" t="str">
        <f t="shared" si="4"/>
        <v/>
      </c>
      <c r="S28" s="1304"/>
      <c r="T28" s="1304" t="str">
        <f t="shared" si="5"/>
        <v/>
      </c>
      <c r="U28" s="1304"/>
      <c r="V28" s="1304" t="str">
        <f t="shared" si="6"/>
        <v/>
      </c>
      <c r="W28" s="1304"/>
      <c r="X28" s="1304" t="str">
        <f t="shared" si="7"/>
        <v/>
      </c>
      <c r="Y28" s="1304"/>
      <c r="Z28" s="1304" t="str">
        <f t="shared" si="8"/>
        <v/>
      </c>
      <c r="AA28" s="1304"/>
      <c r="AB28" s="1304" t="str">
        <f t="shared" si="9"/>
        <v/>
      </c>
      <c r="AC28" s="1304"/>
      <c r="AD28" s="1304" t="str">
        <f t="shared" si="10"/>
        <v/>
      </c>
      <c r="AE28" s="1304"/>
      <c r="AF28" s="1304" t="str">
        <f t="shared" si="11"/>
        <v/>
      </c>
      <c r="AG28" s="1304"/>
      <c r="AH28" s="1304"/>
      <c r="AI28" s="1304"/>
      <c r="AJ28" s="1304"/>
      <c r="AK28" s="1304"/>
      <c r="AL28" s="1304"/>
      <c r="AM28" s="1304"/>
      <c r="AN28" s="1304"/>
      <c r="AO28" s="1304"/>
      <c r="AP28" s="1304"/>
      <c r="AQ28" s="1304"/>
      <c r="AR28" s="1304"/>
      <c r="AS28" s="1304"/>
      <c r="AT28" s="1304"/>
      <c r="AU28" s="1304"/>
      <c r="AV28" s="1304"/>
      <c r="AW28" s="1304"/>
      <c r="AX28" s="1304"/>
      <c r="AY28" s="1304"/>
      <c r="AZ28" s="1304"/>
      <c r="BA28" s="1345" t="str">
        <f t="shared" si="12"/>
        <v/>
      </c>
      <c r="BB28" s="1345" t="str">
        <f t="shared" si="13"/>
        <v/>
      </c>
      <c r="BC28" s="1346" t="e">
        <f t="shared" si="14"/>
        <v>#N/A</v>
      </c>
      <c r="BD28" s="1347" t="b">
        <f t="shared" si="15"/>
        <v>0</v>
      </c>
    </row>
    <row r="29" spans="2:56" x14ac:dyDescent="0.2">
      <c r="B29" s="1301"/>
      <c r="C29" s="1301"/>
      <c r="D29" s="1301"/>
      <c r="E29" s="1796"/>
      <c r="F29" s="1796"/>
      <c r="G29" s="1852"/>
      <c r="H29" s="1852"/>
      <c r="J29" s="1304" t="str">
        <f t="shared" si="0"/>
        <v/>
      </c>
      <c r="K29" s="1304"/>
      <c r="L29" s="1304" t="str">
        <f t="shared" si="1"/>
        <v/>
      </c>
      <c r="M29" s="1304"/>
      <c r="N29" s="1304" t="str">
        <f t="shared" si="2"/>
        <v/>
      </c>
      <c r="O29" s="1304"/>
      <c r="P29" s="1304" t="str">
        <f t="shared" si="3"/>
        <v/>
      </c>
      <c r="Q29" s="1304"/>
      <c r="R29" s="1304" t="str">
        <f t="shared" si="4"/>
        <v/>
      </c>
      <c r="S29" s="1304"/>
      <c r="T29" s="1304" t="str">
        <f t="shared" si="5"/>
        <v/>
      </c>
      <c r="U29" s="1304"/>
      <c r="V29" s="1304" t="str">
        <f t="shared" si="6"/>
        <v/>
      </c>
      <c r="W29" s="1304"/>
      <c r="X29" s="1304" t="str">
        <f t="shared" si="7"/>
        <v/>
      </c>
      <c r="Y29" s="1304"/>
      <c r="Z29" s="1304" t="str">
        <f t="shared" si="8"/>
        <v/>
      </c>
      <c r="AA29" s="1304"/>
      <c r="AB29" s="1304" t="str">
        <f t="shared" si="9"/>
        <v/>
      </c>
      <c r="AC29" s="1304"/>
      <c r="AD29" s="1304" t="str">
        <f t="shared" si="10"/>
        <v/>
      </c>
      <c r="AE29" s="1304"/>
      <c r="AF29" s="1304" t="str">
        <f t="shared" si="11"/>
        <v/>
      </c>
      <c r="AG29" s="1304"/>
      <c r="AH29" s="1304"/>
      <c r="AI29" s="1304"/>
      <c r="AJ29" s="1304"/>
      <c r="AK29" s="1304"/>
      <c r="AL29" s="1304"/>
      <c r="AM29" s="1304"/>
      <c r="AN29" s="1304"/>
      <c r="AO29" s="1304"/>
      <c r="AP29" s="1304"/>
      <c r="AQ29" s="1304"/>
      <c r="AR29" s="1304"/>
      <c r="AS29" s="1304"/>
      <c r="AT29" s="1304"/>
      <c r="AU29" s="1304"/>
      <c r="AV29" s="1304"/>
      <c r="AW29" s="1304"/>
      <c r="AX29" s="1304"/>
      <c r="AY29" s="1304"/>
      <c r="AZ29" s="1304"/>
      <c r="BA29" s="1345" t="str">
        <f t="shared" si="12"/>
        <v/>
      </c>
      <c r="BB29" s="1345" t="str">
        <f t="shared" si="13"/>
        <v/>
      </c>
      <c r="BC29" s="1346" t="e">
        <f t="shared" si="14"/>
        <v>#N/A</v>
      </c>
      <c r="BD29" s="1347" t="b">
        <f t="shared" si="15"/>
        <v>0</v>
      </c>
    </row>
    <row r="30" spans="2:56" x14ac:dyDescent="0.2">
      <c r="B30" s="1301"/>
      <c r="C30" s="1301"/>
      <c r="D30" s="1301"/>
      <c r="E30" s="1796"/>
      <c r="F30" s="1796"/>
      <c r="G30" s="1852"/>
      <c r="H30" s="1852"/>
      <c r="J30" s="1304" t="str">
        <f t="shared" si="0"/>
        <v/>
      </c>
      <c r="K30" s="1304"/>
      <c r="L30" s="1304" t="str">
        <f t="shared" si="1"/>
        <v/>
      </c>
      <c r="M30" s="1304"/>
      <c r="N30" s="1304" t="str">
        <f t="shared" si="2"/>
        <v/>
      </c>
      <c r="O30" s="1304"/>
      <c r="P30" s="1304" t="str">
        <f t="shared" si="3"/>
        <v/>
      </c>
      <c r="Q30" s="1304"/>
      <c r="R30" s="1304" t="str">
        <f t="shared" si="4"/>
        <v/>
      </c>
      <c r="S30" s="1304"/>
      <c r="T30" s="1304" t="str">
        <f t="shared" si="5"/>
        <v/>
      </c>
      <c r="U30" s="1304"/>
      <c r="V30" s="1304" t="str">
        <f t="shared" si="6"/>
        <v/>
      </c>
      <c r="W30" s="1304"/>
      <c r="X30" s="1304" t="str">
        <f t="shared" si="7"/>
        <v/>
      </c>
      <c r="Y30" s="1304"/>
      <c r="Z30" s="1304" t="str">
        <f t="shared" si="8"/>
        <v/>
      </c>
      <c r="AA30" s="1304"/>
      <c r="AB30" s="1304" t="str">
        <f t="shared" si="9"/>
        <v/>
      </c>
      <c r="AC30" s="1304"/>
      <c r="AD30" s="1304" t="str">
        <f t="shared" si="10"/>
        <v/>
      </c>
      <c r="AE30" s="1304"/>
      <c r="AF30" s="1304" t="str">
        <f t="shared" si="11"/>
        <v/>
      </c>
      <c r="AG30" s="1304"/>
      <c r="AH30" s="1304"/>
      <c r="AI30" s="1304"/>
      <c r="AJ30" s="1304"/>
      <c r="AK30" s="1304"/>
      <c r="AL30" s="1304"/>
      <c r="AM30" s="1304"/>
      <c r="AN30" s="1304"/>
      <c r="AO30" s="1304"/>
      <c r="AP30" s="1304"/>
      <c r="AQ30" s="1304"/>
      <c r="AR30" s="1304"/>
      <c r="AS30" s="1304"/>
      <c r="AT30" s="1304"/>
      <c r="AU30" s="1304"/>
      <c r="AV30" s="1304"/>
      <c r="AW30" s="1304"/>
      <c r="AX30" s="1304"/>
      <c r="AY30" s="1304"/>
      <c r="AZ30" s="1304"/>
      <c r="BA30" s="1345" t="str">
        <f t="shared" si="12"/>
        <v/>
      </c>
      <c r="BB30" s="1345" t="str">
        <f t="shared" si="13"/>
        <v/>
      </c>
      <c r="BC30" s="1346" t="e">
        <f t="shared" si="14"/>
        <v>#N/A</v>
      </c>
      <c r="BD30" s="1347" t="b">
        <f t="shared" si="15"/>
        <v>0</v>
      </c>
    </row>
    <row r="31" spans="2:56" x14ac:dyDescent="0.2">
      <c r="B31" s="1348"/>
      <c r="C31" s="1301"/>
      <c r="D31" s="1301"/>
      <c r="E31" s="1796"/>
      <c r="F31" s="1796"/>
      <c r="G31" s="1852"/>
      <c r="H31" s="1852"/>
      <c r="J31" s="1304" t="str">
        <f t="shared" si="0"/>
        <v/>
      </c>
      <c r="K31" s="1304"/>
      <c r="L31" s="1304" t="str">
        <f t="shared" si="1"/>
        <v/>
      </c>
      <c r="M31" s="1304"/>
      <c r="N31" s="1304" t="str">
        <f t="shared" si="2"/>
        <v/>
      </c>
      <c r="O31" s="1304"/>
      <c r="P31" s="1304" t="str">
        <f t="shared" si="3"/>
        <v/>
      </c>
      <c r="Q31" s="1304"/>
      <c r="R31" s="1304" t="str">
        <f t="shared" si="4"/>
        <v/>
      </c>
      <c r="S31" s="1304"/>
      <c r="T31" s="1304" t="str">
        <f t="shared" si="5"/>
        <v/>
      </c>
      <c r="U31" s="1304"/>
      <c r="V31" s="1304" t="str">
        <f t="shared" si="6"/>
        <v/>
      </c>
      <c r="W31" s="1304"/>
      <c r="X31" s="1304" t="str">
        <f t="shared" si="7"/>
        <v/>
      </c>
      <c r="Y31" s="1304"/>
      <c r="Z31" s="1304" t="str">
        <f t="shared" si="8"/>
        <v/>
      </c>
      <c r="AA31" s="1304"/>
      <c r="AB31" s="1304" t="str">
        <f t="shared" si="9"/>
        <v/>
      </c>
      <c r="AC31" s="1304"/>
      <c r="AD31" s="1304" t="str">
        <f t="shared" si="10"/>
        <v/>
      </c>
      <c r="AE31" s="1304"/>
      <c r="AF31" s="1304" t="str">
        <f t="shared" si="11"/>
        <v/>
      </c>
      <c r="AG31" s="1304"/>
      <c r="AH31" s="1304"/>
      <c r="AI31" s="1304"/>
      <c r="AJ31" s="1304"/>
      <c r="AK31" s="1304"/>
      <c r="AL31" s="1304"/>
      <c r="AM31" s="1304"/>
      <c r="AN31" s="1304"/>
      <c r="AO31" s="1304"/>
      <c r="AP31" s="1304"/>
      <c r="AQ31" s="1304"/>
      <c r="AR31" s="1304"/>
      <c r="AS31" s="1304"/>
      <c r="AT31" s="1304"/>
      <c r="AU31" s="1304"/>
      <c r="AV31" s="1304"/>
      <c r="AW31" s="1304"/>
      <c r="AX31" s="1304"/>
      <c r="AY31" s="1304"/>
      <c r="AZ31" s="1304"/>
      <c r="BA31" s="1345" t="str">
        <f t="shared" si="12"/>
        <v/>
      </c>
      <c r="BB31" s="1345" t="str">
        <f t="shared" si="13"/>
        <v/>
      </c>
      <c r="BC31" s="1346" t="e">
        <f t="shared" si="14"/>
        <v>#N/A</v>
      </c>
      <c r="BD31" s="1347" t="b">
        <f t="shared" si="15"/>
        <v>0</v>
      </c>
    </row>
    <row r="32" spans="2:56" x14ac:dyDescent="0.2">
      <c r="B32" s="1348"/>
      <c r="C32" s="1301"/>
      <c r="D32" s="1301"/>
      <c r="E32" s="1796"/>
      <c r="F32" s="1796"/>
      <c r="G32" s="1852"/>
      <c r="H32" s="1852"/>
      <c r="J32" s="1304" t="str">
        <f t="shared" si="0"/>
        <v/>
      </c>
      <c r="K32" s="1304"/>
      <c r="L32" s="1304" t="str">
        <f t="shared" si="1"/>
        <v/>
      </c>
      <c r="M32" s="1304"/>
      <c r="N32" s="1304" t="str">
        <f t="shared" si="2"/>
        <v/>
      </c>
      <c r="O32" s="1304"/>
      <c r="P32" s="1304" t="str">
        <f t="shared" si="3"/>
        <v/>
      </c>
      <c r="Q32" s="1304"/>
      <c r="R32" s="1304" t="str">
        <f t="shared" si="4"/>
        <v/>
      </c>
      <c r="S32" s="1304"/>
      <c r="T32" s="1304" t="str">
        <f t="shared" si="5"/>
        <v/>
      </c>
      <c r="U32" s="1304"/>
      <c r="V32" s="1304" t="str">
        <f t="shared" si="6"/>
        <v/>
      </c>
      <c r="W32" s="1304"/>
      <c r="X32" s="1304" t="str">
        <f t="shared" si="7"/>
        <v/>
      </c>
      <c r="Y32" s="1304"/>
      <c r="Z32" s="1304" t="str">
        <f t="shared" si="8"/>
        <v/>
      </c>
      <c r="AA32" s="1304"/>
      <c r="AB32" s="1304" t="str">
        <f t="shared" si="9"/>
        <v/>
      </c>
      <c r="AC32" s="1304"/>
      <c r="AD32" s="1304" t="str">
        <f t="shared" si="10"/>
        <v/>
      </c>
      <c r="AE32" s="1304"/>
      <c r="AF32" s="1304" t="str">
        <f t="shared" si="11"/>
        <v/>
      </c>
      <c r="AG32" s="1304"/>
      <c r="AH32" s="1304"/>
      <c r="AI32" s="1304"/>
      <c r="AJ32" s="1304"/>
      <c r="AK32" s="1304"/>
      <c r="AL32" s="1304"/>
      <c r="AM32" s="1304"/>
      <c r="AN32" s="1304"/>
      <c r="AO32" s="1304"/>
      <c r="AP32" s="1304"/>
      <c r="AQ32" s="1304"/>
      <c r="AR32" s="1304"/>
      <c r="AS32" s="1304"/>
      <c r="AT32" s="1304"/>
      <c r="AU32" s="1304"/>
      <c r="AV32" s="1304"/>
      <c r="AW32" s="1304"/>
      <c r="AX32" s="1304"/>
      <c r="AY32" s="1304"/>
      <c r="AZ32" s="1304"/>
      <c r="BA32" s="1345" t="str">
        <f t="shared" si="12"/>
        <v/>
      </c>
      <c r="BB32" s="1345" t="str">
        <f t="shared" si="13"/>
        <v/>
      </c>
      <c r="BC32" s="1346" t="e">
        <f t="shared" si="14"/>
        <v>#N/A</v>
      </c>
      <c r="BD32" s="1347" t="b">
        <f t="shared" si="15"/>
        <v>0</v>
      </c>
    </row>
    <row r="33" spans="2:56" x14ac:dyDescent="0.2">
      <c r="B33" s="1348"/>
      <c r="C33" s="1301"/>
      <c r="D33" s="1301"/>
      <c r="E33" s="1796"/>
      <c r="F33" s="1796"/>
      <c r="G33" s="1852"/>
      <c r="H33" s="1852"/>
      <c r="J33" s="1304" t="str">
        <f t="shared" si="0"/>
        <v/>
      </c>
      <c r="K33" s="1304"/>
      <c r="L33" s="1304" t="str">
        <f t="shared" si="1"/>
        <v/>
      </c>
      <c r="M33" s="1304"/>
      <c r="N33" s="1304" t="str">
        <f t="shared" si="2"/>
        <v/>
      </c>
      <c r="O33" s="1304"/>
      <c r="P33" s="1304" t="str">
        <f t="shared" si="3"/>
        <v/>
      </c>
      <c r="Q33" s="1304"/>
      <c r="R33" s="1304" t="str">
        <f t="shared" si="4"/>
        <v/>
      </c>
      <c r="S33" s="1304"/>
      <c r="T33" s="1304" t="str">
        <f t="shared" si="5"/>
        <v/>
      </c>
      <c r="U33" s="1304"/>
      <c r="V33" s="1304" t="str">
        <f t="shared" si="6"/>
        <v/>
      </c>
      <c r="W33" s="1304"/>
      <c r="X33" s="1304" t="str">
        <f t="shared" si="7"/>
        <v/>
      </c>
      <c r="Y33" s="1304"/>
      <c r="Z33" s="1304" t="str">
        <f t="shared" si="8"/>
        <v/>
      </c>
      <c r="AA33" s="1304"/>
      <c r="AB33" s="1304" t="str">
        <f t="shared" si="9"/>
        <v/>
      </c>
      <c r="AC33" s="1304"/>
      <c r="AD33" s="1304" t="str">
        <f t="shared" si="10"/>
        <v/>
      </c>
      <c r="AE33" s="1304"/>
      <c r="AF33" s="1304" t="str">
        <f t="shared" si="11"/>
        <v/>
      </c>
      <c r="AG33" s="1304"/>
      <c r="AH33" s="1304"/>
      <c r="AI33" s="1304"/>
      <c r="AJ33" s="1304"/>
      <c r="AK33" s="1304"/>
      <c r="AL33" s="1304"/>
      <c r="AM33" s="1304"/>
      <c r="AN33" s="1304"/>
      <c r="AO33" s="1304"/>
      <c r="AP33" s="1304"/>
      <c r="AQ33" s="1304"/>
      <c r="AR33" s="1304"/>
      <c r="AS33" s="1304"/>
      <c r="AT33" s="1304"/>
      <c r="AU33" s="1304"/>
      <c r="AV33" s="1304"/>
      <c r="AW33" s="1304"/>
      <c r="AX33" s="1304"/>
      <c r="AY33" s="1304"/>
      <c r="AZ33" s="1304"/>
      <c r="BA33" s="1345" t="str">
        <f t="shared" si="12"/>
        <v/>
      </c>
      <c r="BB33" s="1345" t="str">
        <f t="shared" si="13"/>
        <v/>
      </c>
      <c r="BC33" s="1346" t="e">
        <f t="shared" si="14"/>
        <v>#N/A</v>
      </c>
      <c r="BD33" s="1347" t="b">
        <f t="shared" si="15"/>
        <v>0</v>
      </c>
    </row>
    <row r="34" spans="2:56" x14ac:dyDescent="0.2">
      <c r="B34" s="1301"/>
      <c r="C34" s="1301"/>
      <c r="D34" s="1301"/>
      <c r="E34" s="1796"/>
      <c r="F34" s="1796"/>
      <c r="G34" s="1852"/>
      <c r="H34" s="1852"/>
      <c r="J34" s="1304" t="str">
        <f t="shared" si="0"/>
        <v/>
      </c>
      <c r="K34" s="1304"/>
      <c r="L34" s="1304" t="str">
        <f t="shared" si="1"/>
        <v/>
      </c>
      <c r="M34" s="1304"/>
      <c r="N34" s="1304" t="str">
        <f t="shared" si="2"/>
        <v/>
      </c>
      <c r="O34" s="1304"/>
      <c r="P34" s="1304" t="str">
        <f t="shared" si="3"/>
        <v/>
      </c>
      <c r="Q34" s="1304"/>
      <c r="R34" s="1304" t="str">
        <f t="shared" si="4"/>
        <v/>
      </c>
      <c r="S34" s="1304"/>
      <c r="T34" s="1304" t="str">
        <f t="shared" si="5"/>
        <v/>
      </c>
      <c r="U34" s="1304"/>
      <c r="V34" s="1304" t="str">
        <f t="shared" si="6"/>
        <v/>
      </c>
      <c r="W34" s="1304"/>
      <c r="X34" s="1304" t="str">
        <f t="shared" si="7"/>
        <v/>
      </c>
      <c r="Y34" s="1304"/>
      <c r="Z34" s="1304" t="str">
        <f t="shared" si="8"/>
        <v/>
      </c>
      <c r="AA34" s="1304"/>
      <c r="AB34" s="1304" t="str">
        <f t="shared" si="9"/>
        <v/>
      </c>
      <c r="AC34" s="1304"/>
      <c r="AD34" s="1304" t="str">
        <f t="shared" si="10"/>
        <v/>
      </c>
      <c r="AE34" s="1304"/>
      <c r="AF34" s="1304" t="str">
        <f t="shared" si="11"/>
        <v/>
      </c>
      <c r="AG34" s="1304"/>
      <c r="AH34" s="1304"/>
      <c r="AI34" s="1304"/>
      <c r="AJ34" s="1304"/>
      <c r="AK34" s="1304"/>
      <c r="AL34" s="1304"/>
      <c r="AM34" s="1304"/>
      <c r="AN34" s="1304"/>
      <c r="AO34" s="1304"/>
      <c r="AP34" s="1304"/>
      <c r="AQ34" s="1304"/>
      <c r="AR34" s="1304"/>
      <c r="AS34" s="1304"/>
      <c r="AT34" s="1304"/>
      <c r="AU34" s="1304"/>
      <c r="AV34" s="1304"/>
      <c r="AW34" s="1304"/>
      <c r="AX34" s="1304"/>
      <c r="AY34" s="1304"/>
      <c r="AZ34" s="1304"/>
      <c r="BA34" s="1345" t="str">
        <f t="shared" si="12"/>
        <v/>
      </c>
      <c r="BB34" s="1345" t="str">
        <f t="shared" si="13"/>
        <v/>
      </c>
      <c r="BC34" s="1346" t="e">
        <f t="shared" si="14"/>
        <v>#N/A</v>
      </c>
      <c r="BD34" s="1347" t="b">
        <f t="shared" si="15"/>
        <v>0</v>
      </c>
    </row>
    <row r="35" spans="2:56" x14ac:dyDescent="0.2">
      <c r="B35" s="1301"/>
      <c r="C35" s="1301"/>
      <c r="D35" s="1301"/>
      <c r="E35" s="1796"/>
      <c r="F35" s="1796"/>
      <c r="G35" s="1852"/>
      <c r="H35" s="1852"/>
      <c r="J35" s="1304" t="str">
        <f t="shared" si="0"/>
        <v/>
      </c>
      <c r="K35" s="1304"/>
      <c r="L35" s="1304" t="str">
        <f t="shared" si="1"/>
        <v/>
      </c>
      <c r="M35" s="1304"/>
      <c r="N35" s="1304" t="str">
        <f t="shared" si="2"/>
        <v/>
      </c>
      <c r="O35" s="1304"/>
      <c r="P35" s="1304" t="str">
        <f t="shared" si="3"/>
        <v/>
      </c>
      <c r="Q35" s="1304"/>
      <c r="R35" s="1304" t="str">
        <f t="shared" si="4"/>
        <v/>
      </c>
      <c r="S35" s="1304"/>
      <c r="T35" s="1304" t="str">
        <f t="shared" si="5"/>
        <v/>
      </c>
      <c r="U35" s="1304"/>
      <c r="V35" s="1304" t="str">
        <f t="shared" si="6"/>
        <v/>
      </c>
      <c r="W35" s="1304"/>
      <c r="X35" s="1304" t="str">
        <f t="shared" si="7"/>
        <v/>
      </c>
      <c r="Y35" s="1304"/>
      <c r="Z35" s="1304" t="str">
        <f t="shared" si="8"/>
        <v/>
      </c>
      <c r="AA35" s="1304"/>
      <c r="AB35" s="1304" t="str">
        <f t="shared" si="9"/>
        <v/>
      </c>
      <c r="AC35" s="1304"/>
      <c r="AD35" s="1304" t="str">
        <f t="shared" si="10"/>
        <v/>
      </c>
      <c r="AE35" s="1304"/>
      <c r="AF35" s="1304" t="str">
        <f t="shared" si="11"/>
        <v/>
      </c>
      <c r="AG35" s="1304"/>
      <c r="AH35" s="1304"/>
      <c r="AI35" s="1304"/>
      <c r="AJ35" s="1304"/>
      <c r="AK35" s="1304"/>
      <c r="AL35" s="1304"/>
      <c r="AM35" s="1304"/>
      <c r="AN35" s="1304"/>
      <c r="AO35" s="1304"/>
      <c r="AP35" s="1304"/>
      <c r="AQ35" s="1304"/>
      <c r="AR35" s="1304"/>
      <c r="AS35" s="1304"/>
      <c r="AT35" s="1304"/>
      <c r="AU35" s="1304"/>
      <c r="AV35" s="1304"/>
      <c r="AW35" s="1304"/>
      <c r="AX35" s="1304"/>
      <c r="AY35" s="1304"/>
      <c r="AZ35" s="1304"/>
      <c r="BA35" s="1345" t="str">
        <f t="shared" si="12"/>
        <v/>
      </c>
      <c r="BB35" s="1345" t="str">
        <f t="shared" si="13"/>
        <v/>
      </c>
      <c r="BC35" s="1346" t="e">
        <f t="shared" si="14"/>
        <v>#N/A</v>
      </c>
      <c r="BD35" s="1347" t="b">
        <f t="shared" si="15"/>
        <v>0</v>
      </c>
    </row>
    <row r="36" spans="2:56" x14ac:dyDescent="0.2">
      <c r="B36" s="1301"/>
      <c r="C36" s="1301"/>
      <c r="D36" s="1301"/>
      <c r="E36" s="1796"/>
      <c r="F36" s="1796"/>
      <c r="G36" s="1852"/>
      <c r="H36" s="1852"/>
      <c r="J36" s="1304" t="str">
        <f t="shared" si="0"/>
        <v/>
      </c>
      <c r="K36" s="1304"/>
      <c r="L36" s="1304" t="str">
        <f t="shared" si="1"/>
        <v/>
      </c>
      <c r="M36" s="1304"/>
      <c r="N36" s="1304" t="str">
        <f t="shared" si="2"/>
        <v/>
      </c>
      <c r="O36" s="1304"/>
      <c r="P36" s="1304" t="str">
        <f t="shared" si="3"/>
        <v/>
      </c>
      <c r="Q36" s="1304"/>
      <c r="R36" s="1304" t="str">
        <f t="shared" si="4"/>
        <v/>
      </c>
      <c r="S36" s="1304"/>
      <c r="T36" s="1304" t="str">
        <f t="shared" si="5"/>
        <v/>
      </c>
      <c r="U36" s="1304"/>
      <c r="V36" s="1304" t="str">
        <f t="shared" si="6"/>
        <v/>
      </c>
      <c r="W36" s="1304"/>
      <c r="X36" s="1304" t="str">
        <f t="shared" si="7"/>
        <v/>
      </c>
      <c r="Y36" s="1304"/>
      <c r="Z36" s="1304" t="str">
        <f t="shared" si="8"/>
        <v/>
      </c>
      <c r="AA36" s="1304"/>
      <c r="AB36" s="1304" t="str">
        <f t="shared" si="9"/>
        <v/>
      </c>
      <c r="AC36" s="1304"/>
      <c r="AD36" s="1304" t="str">
        <f t="shared" si="10"/>
        <v/>
      </c>
      <c r="AE36" s="1304"/>
      <c r="AF36" s="1304" t="str">
        <f t="shared" si="11"/>
        <v/>
      </c>
      <c r="AG36" s="1304"/>
      <c r="AH36" s="1304"/>
      <c r="AI36" s="1304"/>
      <c r="AJ36" s="1304"/>
      <c r="AK36" s="1304"/>
      <c r="AL36" s="1304"/>
      <c r="AM36" s="1304"/>
      <c r="AN36" s="1304"/>
      <c r="AO36" s="1304"/>
      <c r="AP36" s="1304"/>
      <c r="AQ36" s="1304"/>
      <c r="AR36" s="1304"/>
      <c r="AS36" s="1304"/>
      <c r="AT36" s="1304"/>
      <c r="AU36" s="1304"/>
      <c r="AV36" s="1304"/>
      <c r="AW36" s="1304"/>
      <c r="AX36" s="1304"/>
      <c r="AY36" s="1304"/>
      <c r="AZ36" s="1304"/>
      <c r="BA36" s="1345" t="str">
        <f t="shared" si="12"/>
        <v/>
      </c>
      <c r="BB36" s="1345" t="str">
        <f t="shared" si="13"/>
        <v/>
      </c>
      <c r="BC36" s="1346" t="e">
        <f t="shared" si="14"/>
        <v>#N/A</v>
      </c>
      <c r="BD36" s="1347" t="b">
        <f t="shared" si="15"/>
        <v>0</v>
      </c>
    </row>
    <row r="37" spans="2:56" x14ac:dyDescent="0.2">
      <c r="B37" s="1301"/>
      <c r="C37" s="1301"/>
      <c r="D37" s="1301"/>
      <c r="E37" s="1796"/>
      <c r="F37" s="1796"/>
      <c r="G37" s="1852"/>
      <c r="H37" s="1852"/>
      <c r="J37" s="1304" t="str">
        <f t="shared" si="0"/>
        <v/>
      </c>
      <c r="K37" s="1304"/>
      <c r="L37" s="1304" t="str">
        <f t="shared" si="1"/>
        <v/>
      </c>
      <c r="M37" s="1304"/>
      <c r="N37" s="1304" t="str">
        <f t="shared" si="2"/>
        <v/>
      </c>
      <c r="O37" s="1304"/>
      <c r="P37" s="1304" t="str">
        <f t="shared" si="3"/>
        <v/>
      </c>
      <c r="Q37" s="1304"/>
      <c r="R37" s="1304" t="str">
        <f t="shared" si="4"/>
        <v/>
      </c>
      <c r="S37" s="1304"/>
      <c r="T37" s="1304" t="str">
        <f t="shared" si="5"/>
        <v/>
      </c>
      <c r="U37" s="1304"/>
      <c r="V37" s="1304" t="str">
        <f t="shared" si="6"/>
        <v/>
      </c>
      <c r="W37" s="1304"/>
      <c r="X37" s="1304" t="str">
        <f t="shared" si="7"/>
        <v/>
      </c>
      <c r="Y37" s="1304"/>
      <c r="Z37" s="1304" t="str">
        <f t="shared" si="8"/>
        <v/>
      </c>
      <c r="AA37" s="1304"/>
      <c r="AB37" s="1304" t="str">
        <f t="shared" si="9"/>
        <v/>
      </c>
      <c r="AC37" s="1304"/>
      <c r="AD37" s="1304" t="str">
        <f t="shared" si="10"/>
        <v/>
      </c>
      <c r="AE37" s="1304"/>
      <c r="AF37" s="1304" t="str">
        <f t="shared" si="11"/>
        <v/>
      </c>
      <c r="AG37" s="1304"/>
      <c r="AH37" s="1304"/>
      <c r="AI37" s="1304"/>
      <c r="AJ37" s="1304"/>
      <c r="AK37" s="1304"/>
      <c r="AL37" s="1304"/>
      <c r="AM37" s="1304"/>
      <c r="AN37" s="1304"/>
      <c r="AO37" s="1304"/>
      <c r="AP37" s="1304"/>
      <c r="AQ37" s="1304"/>
      <c r="AR37" s="1304"/>
      <c r="AS37" s="1304"/>
      <c r="AT37" s="1304"/>
      <c r="AU37" s="1304"/>
      <c r="AV37" s="1304"/>
      <c r="AW37" s="1304"/>
      <c r="AX37" s="1304"/>
      <c r="AY37" s="1304"/>
      <c r="AZ37" s="1304"/>
      <c r="BA37" s="1345" t="str">
        <f t="shared" si="12"/>
        <v/>
      </c>
      <c r="BB37" s="1345" t="str">
        <f t="shared" si="13"/>
        <v/>
      </c>
      <c r="BC37" s="1346" t="e">
        <f t="shared" si="14"/>
        <v>#N/A</v>
      </c>
      <c r="BD37" s="1347" t="b">
        <f t="shared" si="15"/>
        <v>0</v>
      </c>
    </row>
    <row r="38" spans="2:56" x14ac:dyDescent="0.2">
      <c r="B38" s="1301"/>
      <c r="C38" s="1301"/>
      <c r="D38" s="1301"/>
      <c r="E38" s="1796"/>
      <c r="F38" s="1796"/>
      <c r="G38" s="1852"/>
      <c r="H38" s="1852"/>
      <c r="J38" s="1304" t="str">
        <f t="shared" si="0"/>
        <v/>
      </c>
      <c r="K38" s="1304"/>
      <c r="L38" s="1304" t="str">
        <f t="shared" si="1"/>
        <v/>
      </c>
      <c r="M38" s="1304"/>
      <c r="N38" s="1304" t="str">
        <f t="shared" si="2"/>
        <v/>
      </c>
      <c r="O38" s="1304"/>
      <c r="P38" s="1304" t="str">
        <f t="shared" si="3"/>
        <v/>
      </c>
      <c r="Q38" s="1304"/>
      <c r="R38" s="1304" t="str">
        <f t="shared" si="4"/>
        <v/>
      </c>
      <c r="S38" s="1304"/>
      <c r="T38" s="1304" t="str">
        <f t="shared" si="5"/>
        <v/>
      </c>
      <c r="U38" s="1304"/>
      <c r="V38" s="1304" t="str">
        <f t="shared" si="6"/>
        <v/>
      </c>
      <c r="W38" s="1304"/>
      <c r="X38" s="1304" t="str">
        <f t="shared" si="7"/>
        <v/>
      </c>
      <c r="Y38" s="1304"/>
      <c r="Z38" s="1304" t="str">
        <f t="shared" si="8"/>
        <v/>
      </c>
      <c r="AA38" s="1304"/>
      <c r="AB38" s="1304" t="str">
        <f t="shared" si="9"/>
        <v/>
      </c>
      <c r="AC38" s="1304"/>
      <c r="AD38" s="1304" t="str">
        <f t="shared" si="10"/>
        <v/>
      </c>
      <c r="AE38" s="1304"/>
      <c r="AF38" s="1304" t="str">
        <f t="shared" si="11"/>
        <v/>
      </c>
      <c r="AG38" s="1304"/>
      <c r="AH38" s="1304"/>
      <c r="AI38" s="1304"/>
      <c r="AJ38" s="1304"/>
      <c r="AK38" s="1304"/>
      <c r="AL38" s="1304"/>
      <c r="AM38" s="1304"/>
      <c r="AN38" s="1304"/>
      <c r="AO38" s="1304"/>
      <c r="AP38" s="1304"/>
      <c r="AQ38" s="1304"/>
      <c r="AR38" s="1304"/>
      <c r="AS38" s="1304"/>
      <c r="AT38" s="1304"/>
      <c r="AU38" s="1304"/>
      <c r="AV38" s="1304"/>
      <c r="AW38" s="1304"/>
      <c r="AX38" s="1304"/>
      <c r="AY38" s="1304"/>
      <c r="AZ38" s="1304"/>
      <c r="BA38" s="1345" t="str">
        <f t="shared" si="12"/>
        <v/>
      </c>
      <c r="BB38" s="1345" t="str">
        <f t="shared" si="13"/>
        <v/>
      </c>
      <c r="BC38" s="1346" t="e">
        <f t="shared" si="14"/>
        <v>#N/A</v>
      </c>
      <c r="BD38" s="1347" t="b">
        <f t="shared" si="15"/>
        <v>0</v>
      </c>
    </row>
    <row r="39" spans="2:56" x14ac:dyDescent="0.2">
      <c r="B39" s="1301"/>
      <c r="C39" s="1301"/>
      <c r="D39" s="1301"/>
      <c r="E39" s="1796"/>
      <c r="F39" s="1796"/>
      <c r="G39" s="1852"/>
      <c r="H39" s="1852"/>
      <c r="J39" s="1304" t="str">
        <f t="shared" si="0"/>
        <v/>
      </c>
      <c r="K39" s="1304"/>
      <c r="L39" s="1304" t="str">
        <f t="shared" si="1"/>
        <v/>
      </c>
      <c r="M39" s="1304"/>
      <c r="N39" s="1304" t="str">
        <f t="shared" si="2"/>
        <v/>
      </c>
      <c r="O39" s="1304"/>
      <c r="P39" s="1304" t="str">
        <f t="shared" si="3"/>
        <v/>
      </c>
      <c r="Q39" s="1304"/>
      <c r="R39" s="1304" t="str">
        <f t="shared" si="4"/>
        <v/>
      </c>
      <c r="S39" s="1304"/>
      <c r="T39" s="1304" t="str">
        <f t="shared" si="5"/>
        <v/>
      </c>
      <c r="U39" s="1304"/>
      <c r="V39" s="1304" t="str">
        <f t="shared" si="6"/>
        <v/>
      </c>
      <c r="W39" s="1304"/>
      <c r="X39" s="1304" t="str">
        <f t="shared" si="7"/>
        <v/>
      </c>
      <c r="Y39" s="1304"/>
      <c r="Z39" s="1304" t="str">
        <f t="shared" si="8"/>
        <v/>
      </c>
      <c r="AA39" s="1304"/>
      <c r="AB39" s="1304" t="str">
        <f t="shared" si="9"/>
        <v/>
      </c>
      <c r="AC39" s="1304"/>
      <c r="AD39" s="1304" t="str">
        <f t="shared" si="10"/>
        <v/>
      </c>
      <c r="AE39" s="1304"/>
      <c r="AF39" s="1304" t="str">
        <f t="shared" si="11"/>
        <v/>
      </c>
      <c r="AG39" s="1304"/>
      <c r="AH39" s="1304"/>
      <c r="AI39" s="1304"/>
      <c r="AJ39" s="1304"/>
      <c r="AK39" s="1304"/>
      <c r="AL39" s="1304"/>
      <c r="AM39" s="1304"/>
      <c r="AN39" s="1304"/>
      <c r="AO39" s="1304"/>
      <c r="AP39" s="1304"/>
      <c r="AQ39" s="1304"/>
      <c r="AR39" s="1304"/>
      <c r="AS39" s="1304"/>
      <c r="AT39" s="1304"/>
      <c r="AU39" s="1304"/>
      <c r="AV39" s="1304"/>
      <c r="AW39" s="1304"/>
      <c r="AX39" s="1304"/>
      <c r="AY39" s="1304"/>
      <c r="AZ39" s="1304"/>
      <c r="BA39" s="1345" t="str">
        <f t="shared" si="12"/>
        <v/>
      </c>
      <c r="BB39" s="1345" t="str">
        <f t="shared" si="13"/>
        <v/>
      </c>
      <c r="BC39" s="1346" t="e">
        <f t="shared" si="14"/>
        <v>#N/A</v>
      </c>
      <c r="BD39" s="1347" t="b">
        <f t="shared" si="15"/>
        <v>0</v>
      </c>
    </row>
    <row r="40" spans="2:56" x14ac:dyDescent="0.2">
      <c r="B40" s="1301"/>
      <c r="C40" s="1301"/>
      <c r="D40" s="1301"/>
      <c r="E40" s="1796"/>
      <c r="F40" s="1796"/>
      <c r="G40" s="1852"/>
      <c r="H40" s="1852"/>
      <c r="J40" s="1304" t="str">
        <f t="shared" si="0"/>
        <v/>
      </c>
      <c r="K40" s="1304"/>
      <c r="L40" s="1304" t="str">
        <f t="shared" si="1"/>
        <v/>
      </c>
      <c r="M40" s="1304"/>
      <c r="N40" s="1304" t="str">
        <f t="shared" si="2"/>
        <v/>
      </c>
      <c r="O40" s="1304"/>
      <c r="P40" s="1304" t="str">
        <f t="shared" si="3"/>
        <v/>
      </c>
      <c r="Q40" s="1304"/>
      <c r="R40" s="1304" t="str">
        <f t="shared" si="4"/>
        <v/>
      </c>
      <c r="S40" s="1304"/>
      <c r="T40" s="1304" t="str">
        <f t="shared" si="5"/>
        <v/>
      </c>
      <c r="U40" s="1304"/>
      <c r="V40" s="1304" t="str">
        <f t="shared" si="6"/>
        <v/>
      </c>
      <c r="W40" s="1304"/>
      <c r="X40" s="1304" t="str">
        <f t="shared" si="7"/>
        <v/>
      </c>
      <c r="Y40" s="1304"/>
      <c r="Z40" s="1304" t="str">
        <f t="shared" si="8"/>
        <v/>
      </c>
      <c r="AA40" s="1304"/>
      <c r="AB40" s="1304" t="str">
        <f t="shared" si="9"/>
        <v/>
      </c>
      <c r="AC40" s="1304"/>
      <c r="AD40" s="1304" t="str">
        <f t="shared" si="10"/>
        <v/>
      </c>
      <c r="AE40" s="1304"/>
      <c r="AF40" s="1304" t="str">
        <f t="shared" si="11"/>
        <v/>
      </c>
      <c r="AG40" s="1304"/>
      <c r="AH40" s="1304"/>
      <c r="AI40" s="1304"/>
      <c r="AJ40" s="1304"/>
      <c r="AK40" s="1304"/>
      <c r="AL40" s="1304"/>
      <c r="AM40" s="1304"/>
      <c r="AN40" s="1304"/>
      <c r="AO40" s="1304"/>
      <c r="AP40" s="1304"/>
      <c r="AQ40" s="1304"/>
      <c r="AR40" s="1304"/>
      <c r="AS40" s="1304"/>
      <c r="AT40" s="1304"/>
      <c r="AU40" s="1304"/>
      <c r="AV40" s="1304"/>
      <c r="AW40" s="1304"/>
      <c r="AX40" s="1304"/>
      <c r="AY40" s="1304"/>
      <c r="AZ40" s="1304"/>
      <c r="BA40" s="1345" t="str">
        <f t="shared" si="12"/>
        <v/>
      </c>
      <c r="BB40" s="1345" t="str">
        <f t="shared" si="13"/>
        <v/>
      </c>
      <c r="BC40" s="1346" t="e">
        <f t="shared" si="14"/>
        <v>#N/A</v>
      </c>
      <c r="BD40" s="1347" t="b">
        <f t="shared" si="15"/>
        <v>0</v>
      </c>
    </row>
    <row r="41" spans="2:56" x14ac:dyDescent="0.2">
      <c r="B41" s="1301"/>
      <c r="C41" s="1301"/>
      <c r="D41" s="1301"/>
      <c r="E41" s="1796"/>
      <c r="F41" s="1796"/>
      <c r="G41" s="1852"/>
      <c r="H41" s="1852"/>
      <c r="J41" s="1304" t="str">
        <f t="shared" si="0"/>
        <v/>
      </c>
      <c r="K41" s="1304"/>
      <c r="L41" s="1304" t="str">
        <f t="shared" si="1"/>
        <v/>
      </c>
      <c r="M41" s="1304"/>
      <c r="N41" s="1304" t="str">
        <f t="shared" si="2"/>
        <v/>
      </c>
      <c r="O41" s="1304"/>
      <c r="P41" s="1304" t="str">
        <f t="shared" si="3"/>
        <v/>
      </c>
      <c r="Q41" s="1304"/>
      <c r="R41" s="1304" t="str">
        <f t="shared" si="4"/>
        <v/>
      </c>
      <c r="S41" s="1304"/>
      <c r="T41" s="1304" t="str">
        <f t="shared" si="5"/>
        <v/>
      </c>
      <c r="U41" s="1304"/>
      <c r="V41" s="1304" t="str">
        <f t="shared" si="6"/>
        <v/>
      </c>
      <c r="W41" s="1304"/>
      <c r="X41" s="1304" t="str">
        <f t="shared" si="7"/>
        <v/>
      </c>
      <c r="Y41" s="1304"/>
      <c r="Z41" s="1304" t="str">
        <f t="shared" si="8"/>
        <v/>
      </c>
      <c r="AA41" s="1304"/>
      <c r="AB41" s="1304" t="str">
        <f t="shared" si="9"/>
        <v/>
      </c>
      <c r="AC41" s="1304"/>
      <c r="AD41" s="1304" t="str">
        <f t="shared" si="10"/>
        <v/>
      </c>
      <c r="AE41" s="1304"/>
      <c r="AF41" s="1304" t="str">
        <f t="shared" si="11"/>
        <v/>
      </c>
      <c r="AG41" s="1304"/>
      <c r="AH41" s="1304"/>
      <c r="AI41" s="1304"/>
      <c r="AJ41" s="1304"/>
      <c r="AK41" s="1304"/>
      <c r="AL41" s="1304"/>
      <c r="AM41" s="1304"/>
      <c r="AN41" s="1304"/>
      <c r="AO41" s="1304"/>
      <c r="AP41" s="1304"/>
      <c r="AQ41" s="1304"/>
      <c r="AR41" s="1304"/>
      <c r="AS41" s="1304"/>
      <c r="AT41" s="1304"/>
      <c r="AU41" s="1304"/>
      <c r="AV41" s="1304"/>
      <c r="AW41" s="1304"/>
      <c r="AX41" s="1304"/>
      <c r="AY41" s="1304"/>
      <c r="AZ41" s="1304"/>
      <c r="BA41" s="1345" t="str">
        <f t="shared" si="12"/>
        <v/>
      </c>
      <c r="BB41" s="1345" t="str">
        <f t="shared" si="13"/>
        <v/>
      </c>
      <c r="BC41" s="1346" t="e">
        <f t="shared" si="14"/>
        <v>#N/A</v>
      </c>
      <c r="BD41" s="1347" t="b">
        <f t="shared" si="15"/>
        <v>0</v>
      </c>
    </row>
    <row r="42" spans="2:56" x14ac:dyDescent="0.2">
      <c r="B42" s="1301"/>
      <c r="C42" s="1301"/>
      <c r="D42" s="1301"/>
      <c r="E42" s="1796"/>
      <c r="F42" s="1796"/>
      <c r="G42" s="1852"/>
      <c r="H42" s="1852"/>
      <c r="J42" s="1304" t="str">
        <f t="shared" si="0"/>
        <v/>
      </c>
      <c r="K42" s="1304"/>
      <c r="L42" s="1304" t="str">
        <f t="shared" si="1"/>
        <v/>
      </c>
      <c r="M42" s="1304"/>
      <c r="N42" s="1304" t="str">
        <f t="shared" si="2"/>
        <v/>
      </c>
      <c r="O42" s="1304"/>
      <c r="P42" s="1304" t="str">
        <f t="shared" si="3"/>
        <v/>
      </c>
      <c r="Q42" s="1304"/>
      <c r="R42" s="1304" t="str">
        <f t="shared" si="4"/>
        <v/>
      </c>
      <c r="S42" s="1304"/>
      <c r="T42" s="1304" t="str">
        <f t="shared" si="5"/>
        <v/>
      </c>
      <c r="U42" s="1304"/>
      <c r="V42" s="1304" t="str">
        <f t="shared" si="6"/>
        <v/>
      </c>
      <c r="W42" s="1304"/>
      <c r="X42" s="1304" t="str">
        <f t="shared" si="7"/>
        <v/>
      </c>
      <c r="Y42" s="1304"/>
      <c r="Z42" s="1304" t="str">
        <f t="shared" si="8"/>
        <v/>
      </c>
      <c r="AA42" s="1304"/>
      <c r="AB42" s="1304" t="str">
        <f t="shared" si="9"/>
        <v/>
      </c>
      <c r="AC42" s="1304"/>
      <c r="AD42" s="1304" t="str">
        <f t="shared" si="10"/>
        <v/>
      </c>
      <c r="AE42" s="1304"/>
      <c r="AF42" s="1304" t="str">
        <f t="shared" si="11"/>
        <v/>
      </c>
      <c r="AG42" s="1304"/>
      <c r="AH42" s="1304"/>
      <c r="AI42" s="1304"/>
      <c r="AJ42" s="1304"/>
      <c r="AK42" s="1304"/>
      <c r="AL42" s="1304"/>
      <c r="AM42" s="1304"/>
      <c r="AN42" s="1304"/>
      <c r="AO42" s="1304"/>
      <c r="AP42" s="1304"/>
      <c r="AQ42" s="1304"/>
      <c r="AR42" s="1304"/>
      <c r="AS42" s="1304"/>
      <c r="AT42" s="1304"/>
      <c r="AU42" s="1304"/>
      <c r="AV42" s="1304"/>
      <c r="AW42" s="1304"/>
      <c r="AX42" s="1304"/>
      <c r="AY42" s="1304"/>
      <c r="AZ42" s="1304"/>
      <c r="BA42" s="1345" t="str">
        <f t="shared" si="12"/>
        <v/>
      </c>
      <c r="BB42" s="1345" t="str">
        <f t="shared" si="13"/>
        <v/>
      </c>
      <c r="BC42" s="1346" t="e">
        <f t="shared" si="14"/>
        <v>#N/A</v>
      </c>
      <c r="BD42" s="1347" t="b">
        <f t="shared" si="15"/>
        <v>0</v>
      </c>
    </row>
    <row r="43" spans="2:56" x14ac:dyDescent="0.2">
      <c r="B43" s="1299"/>
      <c r="C43" s="1299"/>
      <c r="D43" s="1299"/>
      <c r="E43" s="1796"/>
      <c r="F43" s="1796"/>
      <c r="G43" s="1853"/>
      <c r="H43" s="1853"/>
      <c r="J43" s="1304" t="str">
        <f t="shared" si="0"/>
        <v/>
      </c>
      <c r="K43" s="1304"/>
      <c r="L43" s="1304" t="str">
        <f t="shared" si="1"/>
        <v/>
      </c>
      <c r="M43" s="1304"/>
      <c r="N43" s="1304" t="str">
        <f t="shared" si="2"/>
        <v/>
      </c>
      <c r="O43" s="1304"/>
      <c r="P43" s="1304" t="str">
        <f t="shared" si="3"/>
        <v/>
      </c>
      <c r="Q43" s="1304"/>
      <c r="R43" s="1304" t="str">
        <f t="shared" si="4"/>
        <v/>
      </c>
      <c r="S43" s="1304"/>
      <c r="T43" s="1304" t="str">
        <f t="shared" si="5"/>
        <v/>
      </c>
      <c r="U43" s="1304"/>
      <c r="V43" s="1304" t="str">
        <f t="shared" si="6"/>
        <v/>
      </c>
      <c r="W43" s="1304"/>
      <c r="X43" s="1304" t="str">
        <f t="shared" si="7"/>
        <v/>
      </c>
      <c r="Y43" s="1304"/>
      <c r="Z43" s="1304" t="str">
        <f t="shared" si="8"/>
        <v/>
      </c>
      <c r="AA43" s="1304"/>
      <c r="AB43" s="1304" t="str">
        <f t="shared" si="9"/>
        <v/>
      </c>
      <c r="AC43" s="1304"/>
      <c r="AD43" s="1304" t="str">
        <f t="shared" si="10"/>
        <v/>
      </c>
      <c r="AE43" s="1304"/>
      <c r="AF43" s="1304" t="str">
        <f t="shared" si="11"/>
        <v/>
      </c>
      <c r="AG43" s="1304"/>
      <c r="AH43" s="1304"/>
      <c r="AI43" s="1304"/>
      <c r="AJ43" s="1304"/>
      <c r="AK43" s="1304"/>
      <c r="AL43" s="1304"/>
      <c r="AM43" s="1304"/>
      <c r="AN43" s="1304"/>
      <c r="AO43" s="1304"/>
      <c r="AP43" s="1304"/>
      <c r="AQ43" s="1304"/>
      <c r="AR43" s="1304"/>
      <c r="AS43" s="1304"/>
      <c r="AT43" s="1304"/>
      <c r="AU43" s="1304"/>
      <c r="AV43" s="1304"/>
      <c r="AW43" s="1304"/>
      <c r="AX43" s="1304"/>
      <c r="AY43" s="1304"/>
      <c r="AZ43" s="1304"/>
      <c r="BA43" s="1345" t="str">
        <f t="shared" si="12"/>
        <v/>
      </c>
      <c r="BB43" s="1345" t="str">
        <f t="shared" si="13"/>
        <v/>
      </c>
      <c r="BC43" s="1346" t="e">
        <f t="shared" si="14"/>
        <v>#N/A</v>
      </c>
      <c r="BD43" s="1347" t="b">
        <f t="shared" si="15"/>
        <v>0</v>
      </c>
    </row>
    <row r="44" spans="2:56" x14ac:dyDescent="0.2">
      <c r="B44" s="1299"/>
      <c r="C44" s="1299"/>
      <c r="D44" s="1299"/>
      <c r="E44" s="1796"/>
      <c r="F44" s="1796"/>
      <c r="G44" s="1853"/>
      <c r="H44" s="1853"/>
      <c r="J44" s="1304" t="str">
        <f t="shared" si="0"/>
        <v/>
      </c>
      <c r="K44" s="1304"/>
      <c r="L44" s="1304" t="str">
        <f t="shared" si="1"/>
        <v/>
      </c>
      <c r="M44" s="1304"/>
      <c r="N44" s="1304" t="str">
        <f t="shared" si="2"/>
        <v/>
      </c>
      <c r="O44" s="1304"/>
      <c r="P44" s="1304" t="str">
        <f t="shared" si="3"/>
        <v/>
      </c>
      <c r="Q44" s="1304"/>
      <c r="R44" s="1304" t="str">
        <f t="shared" si="4"/>
        <v/>
      </c>
      <c r="S44" s="1304"/>
      <c r="T44" s="1304" t="str">
        <f t="shared" si="5"/>
        <v/>
      </c>
      <c r="U44" s="1304"/>
      <c r="V44" s="1304" t="str">
        <f t="shared" si="6"/>
        <v/>
      </c>
      <c r="W44" s="1304"/>
      <c r="X44" s="1304" t="str">
        <f t="shared" si="7"/>
        <v/>
      </c>
      <c r="Y44" s="1304"/>
      <c r="Z44" s="1304" t="str">
        <f t="shared" si="8"/>
        <v/>
      </c>
      <c r="AA44" s="1304"/>
      <c r="AB44" s="1304" t="str">
        <f t="shared" si="9"/>
        <v/>
      </c>
      <c r="AC44" s="1304"/>
      <c r="AD44" s="1304" t="str">
        <f t="shared" si="10"/>
        <v/>
      </c>
      <c r="AE44" s="1304"/>
      <c r="AF44" s="1304" t="str">
        <f t="shared" si="11"/>
        <v/>
      </c>
      <c r="AG44" s="1304"/>
      <c r="AH44" s="1304"/>
      <c r="AI44" s="1304"/>
      <c r="AJ44" s="1304"/>
      <c r="AK44" s="1304"/>
      <c r="AL44" s="1304"/>
      <c r="AM44" s="1304"/>
      <c r="AN44" s="1304"/>
      <c r="AO44" s="1304"/>
      <c r="AP44" s="1304"/>
      <c r="AQ44" s="1304"/>
      <c r="AR44" s="1304"/>
      <c r="AS44" s="1304"/>
      <c r="AT44" s="1304"/>
      <c r="AU44" s="1304"/>
      <c r="AV44" s="1304"/>
      <c r="AW44" s="1304"/>
      <c r="AX44" s="1304"/>
      <c r="AY44" s="1304"/>
      <c r="AZ44" s="1304"/>
      <c r="BA44" s="1345" t="str">
        <f t="shared" si="12"/>
        <v/>
      </c>
      <c r="BB44" s="1345" t="str">
        <f t="shared" si="13"/>
        <v/>
      </c>
      <c r="BC44" s="1346" t="e">
        <f t="shared" si="14"/>
        <v>#N/A</v>
      </c>
      <c r="BD44" s="1347" t="b">
        <f t="shared" si="15"/>
        <v>0</v>
      </c>
    </row>
    <row r="45" spans="2:56" x14ac:dyDescent="0.2">
      <c r="B45" s="1299"/>
      <c r="C45" s="1299"/>
      <c r="D45" s="1299"/>
      <c r="E45" s="1796"/>
      <c r="F45" s="1796"/>
      <c r="G45" s="1853"/>
      <c r="H45" s="1853"/>
      <c r="J45" s="1304" t="str">
        <f t="shared" si="0"/>
        <v/>
      </c>
      <c r="K45" s="1304"/>
      <c r="L45" s="1304" t="str">
        <f t="shared" si="1"/>
        <v/>
      </c>
      <c r="M45" s="1304"/>
      <c r="N45" s="1304" t="str">
        <f t="shared" si="2"/>
        <v/>
      </c>
      <c r="O45" s="1304"/>
      <c r="P45" s="1304" t="str">
        <f t="shared" si="3"/>
        <v/>
      </c>
      <c r="Q45" s="1304"/>
      <c r="R45" s="1304" t="str">
        <f t="shared" si="4"/>
        <v/>
      </c>
      <c r="S45" s="1304"/>
      <c r="T45" s="1304" t="str">
        <f t="shared" si="5"/>
        <v/>
      </c>
      <c r="U45" s="1304"/>
      <c r="V45" s="1304" t="str">
        <f t="shared" si="6"/>
        <v/>
      </c>
      <c r="W45" s="1304"/>
      <c r="X45" s="1304" t="str">
        <f t="shared" si="7"/>
        <v/>
      </c>
      <c r="Y45" s="1304"/>
      <c r="Z45" s="1304" t="str">
        <f t="shared" si="8"/>
        <v/>
      </c>
      <c r="AA45" s="1304"/>
      <c r="AB45" s="1304" t="str">
        <f t="shared" si="9"/>
        <v/>
      </c>
      <c r="AC45" s="1304"/>
      <c r="AD45" s="1304" t="str">
        <f t="shared" si="10"/>
        <v/>
      </c>
      <c r="AE45" s="1304"/>
      <c r="AF45" s="1304" t="str">
        <f t="shared" si="11"/>
        <v/>
      </c>
      <c r="AG45" s="1304"/>
      <c r="AH45" s="1304"/>
      <c r="AI45" s="1304"/>
      <c r="AJ45" s="1304"/>
      <c r="AK45" s="1304"/>
      <c r="AL45" s="1304"/>
      <c r="AM45" s="1304"/>
      <c r="AN45" s="1304"/>
      <c r="AO45" s="1304"/>
      <c r="AP45" s="1304"/>
      <c r="AQ45" s="1304"/>
      <c r="AR45" s="1304"/>
      <c r="AS45" s="1304"/>
      <c r="AT45" s="1304"/>
      <c r="AU45" s="1304"/>
      <c r="AV45" s="1304"/>
      <c r="AW45" s="1304"/>
      <c r="AX45" s="1304"/>
      <c r="AY45" s="1304"/>
      <c r="AZ45" s="1304"/>
      <c r="BA45" s="1345" t="str">
        <f t="shared" si="12"/>
        <v/>
      </c>
      <c r="BB45" s="1345" t="str">
        <f t="shared" si="13"/>
        <v/>
      </c>
      <c r="BC45" s="1346" t="e">
        <f t="shared" si="14"/>
        <v>#N/A</v>
      </c>
      <c r="BD45" s="1347" t="b">
        <f t="shared" si="15"/>
        <v>0</v>
      </c>
    </row>
    <row r="46" spans="2:56" x14ac:dyDescent="0.2">
      <c r="B46" s="1299"/>
      <c r="C46" s="1299"/>
      <c r="D46" s="1299"/>
      <c r="E46" s="1796"/>
      <c r="F46" s="1796"/>
      <c r="G46" s="1853"/>
      <c r="H46" s="1853"/>
      <c r="J46" s="1304" t="str">
        <f t="shared" si="0"/>
        <v/>
      </c>
      <c r="K46" s="1304"/>
      <c r="L46" s="1304" t="str">
        <f t="shared" si="1"/>
        <v/>
      </c>
      <c r="M46" s="1304"/>
      <c r="N46" s="1304" t="str">
        <f t="shared" si="2"/>
        <v/>
      </c>
      <c r="O46" s="1304"/>
      <c r="P46" s="1304" t="str">
        <f t="shared" si="3"/>
        <v/>
      </c>
      <c r="Q46" s="1304"/>
      <c r="R46" s="1304" t="str">
        <f t="shared" si="4"/>
        <v/>
      </c>
      <c r="S46" s="1304"/>
      <c r="T46" s="1304" t="str">
        <f t="shared" si="5"/>
        <v/>
      </c>
      <c r="U46" s="1304"/>
      <c r="V46" s="1304" t="str">
        <f t="shared" si="6"/>
        <v/>
      </c>
      <c r="W46" s="1304"/>
      <c r="X46" s="1304" t="str">
        <f t="shared" si="7"/>
        <v/>
      </c>
      <c r="Y46" s="1304"/>
      <c r="Z46" s="1304" t="str">
        <f t="shared" si="8"/>
        <v/>
      </c>
      <c r="AA46" s="1304"/>
      <c r="AB46" s="1304" t="str">
        <f t="shared" si="9"/>
        <v/>
      </c>
      <c r="AC46" s="1304"/>
      <c r="AD46" s="1304" t="str">
        <f t="shared" si="10"/>
        <v/>
      </c>
      <c r="AE46" s="1304"/>
      <c r="AF46" s="1304" t="str">
        <f t="shared" si="11"/>
        <v/>
      </c>
      <c r="AG46" s="1304"/>
      <c r="AH46" s="1304"/>
      <c r="AI46" s="1304"/>
      <c r="AJ46" s="1304"/>
      <c r="AK46" s="1304"/>
      <c r="AL46" s="1304"/>
      <c r="AM46" s="1304"/>
      <c r="AN46" s="1304"/>
      <c r="AO46" s="1304"/>
      <c r="AP46" s="1304"/>
      <c r="AQ46" s="1304"/>
      <c r="AR46" s="1304"/>
      <c r="AS46" s="1304"/>
      <c r="AT46" s="1304"/>
      <c r="AU46" s="1304"/>
      <c r="AV46" s="1304"/>
      <c r="AW46" s="1304"/>
      <c r="AX46" s="1304"/>
      <c r="AY46" s="1304"/>
      <c r="AZ46" s="1304"/>
      <c r="BA46" s="1345" t="str">
        <f t="shared" si="12"/>
        <v/>
      </c>
      <c r="BB46" s="1345" t="str">
        <f t="shared" si="13"/>
        <v/>
      </c>
      <c r="BC46" s="1346" t="e">
        <f t="shared" si="14"/>
        <v>#N/A</v>
      </c>
      <c r="BD46" s="1347" t="b">
        <f t="shared" si="15"/>
        <v>0</v>
      </c>
    </row>
    <row r="47" spans="2:56" x14ac:dyDescent="0.2">
      <c r="B47" s="1299"/>
      <c r="C47" s="1299"/>
      <c r="D47" s="1299"/>
      <c r="E47" s="1796"/>
      <c r="F47" s="1796"/>
      <c r="G47" s="1853"/>
      <c r="H47" s="1853"/>
      <c r="J47" s="1304" t="str">
        <f t="shared" si="0"/>
        <v/>
      </c>
      <c r="K47" s="1304"/>
      <c r="L47" s="1304" t="str">
        <f t="shared" si="1"/>
        <v/>
      </c>
      <c r="M47" s="1304"/>
      <c r="N47" s="1304" t="str">
        <f t="shared" si="2"/>
        <v/>
      </c>
      <c r="O47" s="1304"/>
      <c r="P47" s="1304" t="str">
        <f t="shared" si="3"/>
        <v/>
      </c>
      <c r="Q47" s="1304"/>
      <c r="R47" s="1304" t="str">
        <f t="shared" si="4"/>
        <v/>
      </c>
      <c r="S47" s="1304"/>
      <c r="T47" s="1304" t="str">
        <f t="shared" si="5"/>
        <v/>
      </c>
      <c r="U47" s="1304"/>
      <c r="V47" s="1304" t="str">
        <f t="shared" si="6"/>
        <v/>
      </c>
      <c r="W47" s="1304"/>
      <c r="X47" s="1304" t="str">
        <f t="shared" si="7"/>
        <v/>
      </c>
      <c r="Y47" s="1304"/>
      <c r="Z47" s="1304" t="str">
        <f t="shared" si="8"/>
        <v/>
      </c>
      <c r="AA47" s="1304"/>
      <c r="AB47" s="1304" t="str">
        <f t="shared" si="9"/>
        <v/>
      </c>
      <c r="AC47" s="1304"/>
      <c r="AD47" s="1304" t="str">
        <f t="shared" si="10"/>
        <v/>
      </c>
      <c r="AE47" s="1304"/>
      <c r="AF47" s="1304" t="str">
        <f t="shared" si="11"/>
        <v/>
      </c>
      <c r="AG47" s="1304"/>
      <c r="AH47" s="1304"/>
      <c r="AI47" s="1304"/>
      <c r="AJ47" s="1304"/>
      <c r="AK47" s="1304"/>
      <c r="AL47" s="1304"/>
      <c r="AM47" s="1304"/>
      <c r="AN47" s="1304"/>
      <c r="AO47" s="1304"/>
      <c r="AP47" s="1304"/>
      <c r="AQ47" s="1304"/>
      <c r="AR47" s="1304"/>
      <c r="AS47" s="1304"/>
      <c r="AT47" s="1304"/>
      <c r="AU47" s="1304"/>
      <c r="AV47" s="1304"/>
      <c r="AW47" s="1304"/>
      <c r="AX47" s="1304"/>
      <c r="AY47" s="1304"/>
      <c r="AZ47" s="1304"/>
      <c r="BA47" s="1345" t="str">
        <f t="shared" si="12"/>
        <v/>
      </c>
      <c r="BB47" s="1345" t="str">
        <f t="shared" si="13"/>
        <v/>
      </c>
      <c r="BC47" s="1346" t="e">
        <f t="shared" si="14"/>
        <v>#N/A</v>
      </c>
      <c r="BD47" s="1347" t="b">
        <f t="shared" si="15"/>
        <v>0</v>
      </c>
    </row>
    <row r="48" spans="2:56" x14ac:dyDescent="0.2">
      <c r="B48" s="1299"/>
      <c r="C48" s="1299"/>
      <c r="D48" s="1299"/>
      <c r="E48" s="1796"/>
      <c r="F48" s="1796"/>
      <c r="G48" s="1853"/>
      <c r="H48" s="1853"/>
      <c r="J48" s="1304" t="str">
        <f t="shared" si="0"/>
        <v/>
      </c>
      <c r="K48" s="1304"/>
      <c r="L48" s="1304" t="str">
        <f t="shared" si="1"/>
        <v/>
      </c>
      <c r="M48" s="1304"/>
      <c r="N48" s="1304" t="str">
        <f t="shared" si="2"/>
        <v/>
      </c>
      <c r="O48" s="1304"/>
      <c r="P48" s="1304" t="str">
        <f t="shared" si="3"/>
        <v/>
      </c>
      <c r="Q48" s="1304"/>
      <c r="R48" s="1304" t="str">
        <f t="shared" si="4"/>
        <v/>
      </c>
      <c r="S48" s="1304"/>
      <c r="T48" s="1304" t="str">
        <f t="shared" si="5"/>
        <v/>
      </c>
      <c r="U48" s="1304"/>
      <c r="V48" s="1304" t="str">
        <f t="shared" si="6"/>
        <v/>
      </c>
      <c r="W48" s="1304"/>
      <c r="X48" s="1304" t="str">
        <f t="shared" si="7"/>
        <v/>
      </c>
      <c r="Y48" s="1304"/>
      <c r="Z48" s="1304" t="str">
        <f t="shared" si="8"/>
        <v/>
      </c>
      <c r="AA48" s="1304"/>
      <c r="AB48" s="1304" t="str">
        <f t="shared" si="9"/>
        <v/>
      </c>
      <c r="AC48" s="1304"/>
      <c r="AD48" s="1304" t="str">
        <f t="shared" si="10"/>
        <v/>
      </c>
      <c r="AE48" s="1304"/>
      <c r="AF48" s="1304" t="str">
        <f t="shared" si="11"/>
        <v/>
      </c>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45" t="str">
        <f t="shared" si="12"/>
        <v/>
      </c>
      <c r="BB48" s="1345" t="str">
        <f t="shared" si="13"/>
        <v/>
      </c>
      <c r="BC48" s="1346" t="e">
        <f t="shared" si="14"/>
        <v>#N/A</v>
      </c>
      <c r="BD48" s="1347" t="b">
        <f t="shared" si="15"/>
        <v>0</v>
      </c>
    </row>
    <row r="49" spans="2:56" x14ac:dyDescent="0.2">
      <c r="B49" s="1299"/>
      <c r="C49" s="1299"/>
      <c r="D49" s="1299"/>
      <c r="E49" s="1796"/>
      <c r="F49" s="1796"/>
      <c r="G49" s="1853"/>
      <c r="H49" s="1853"/>
      <c r="J49" s="1304" t="str">
        <f t="shared" si="0"/>
        <v/>
      </c>
      <c r="K49" s="1304"/>
      <c r="L49" s="1304" t="str">
        <f t="shared" si="1"/>
        <v/>
      </c>
      <c r="M49" s="1304"/>
      <c r="N49" s="1304" t="str">
        <f t="shared" si="2"/>
        <v/>
      </c>
      <c r="O49" s="1304"/>
      <c r="P49" s="1304" t="str">
        <f t="shared" si="3"/>
        <v/>
      </c>
      <c r="Q49" s="1304"/>
      <c r="R49" s="1304" t="str">
        <f t="shared" si="4"/>
        <v/>
      </c>
      <c r="S49" s="1304"/>
      <c r="T49" s="1304" t="str">
        <f t="shared" si="5"/>
        <v/>
      </c>
      <c r="U49" s="1304"/>
      <c r="V49" s="1304" t="str">
        <f t="shared" si="6"/>
        <v/>
      </c>
      <c r="W49" s="1304"/>
      <c r="X49" s="1304" t="str">
        <f t="shared" si="7"/>
        <v/>
      </c>
      <c r="Y49" s="1304"/>
      <c r="Z49" s="1304" t="str">
        <f t="shared" si="8"/>
        <v/>
      </c>
      <c r="AA49" s="1304"/>
      <c r="AB49" s="1304" t="str">
        <f t="shared" si="9"/>
        <v/>
      </c>
      <c r="AC49" s="1304"/>
      <c r="AD49" s="1304" t="str">
        <f t="shared" si="10"/>
        <v/>
      </c>
      <c r="AE49" s="1304"/>
      <c r="AF49" s="1304" t="str">
        <f t="shared" si="11"/>
        <v/>
      </c>
      <c r="AG49" s="1304"/>
      <c r="AH49" s="1304"/>
      <c r="AI49" s="1304"/>
      <c r="AJ49" s="1304"/>
      <c r="AK49" s="1304"/>
      <c r="AL49" s="1304"/>
      <c r="AM49" s="1304"/>
      <c r="AN49" s="1304"/>
      <c r="AO49" s="1304"/>
      <c r="AP49" s="1304"/>
      <c r="AQ49" s="1304"/>
      <c r="AR49" s="1304"/>
      <c r="AS49" s="1304"/>
      <c r="AT49" s="1304"/>
      <c r="AU49" s="1304"/>
      <c r="AV49" s="1304"/>
      <c r="AW49" s="1304"/>
      <c r="AX49" s="1304"/>
      <c r="AY49" s="1304"/>
      <c r="AZ49" s="1304"/>
      <c r="BA49" s="1345" t="str">
        <f t="shared" si="12"/>
        <v/>
      </c>
      <c r="BB49" s="1345" t="str">
        <f t="shared" si="13"/>
        <v/>
      </c>
      <c r="BC49" s="1346" t="e">
        <f t="shared" si="14"/>
        <v>#N/A</v>
      </c>
      <c r="BD49" s="1347" t="b">
        <f t="shared" si="15"/>
        <v>0</v>
      </c>
    </row>
    <row r="50" spans="2:56" x14ac:dyDescent="0.2">
      <c r="B50" s="1299"/>
      <c r="C50" s="1299"/>
      <c r="D50" s="1299"/>
      <c r="E50" s="1796"/>
      <c r="F50" s="1796"/>
      <c r="G50" s="1853"/>
      <c r="H50" s="1853"/>
      <c r="J50" s="1304" t="str">
        <f t="shared" si="0"/>
        <v/>
      </c>
      <c r="K50" s="1304"/>
      <c r="L50" s="1304" t="str">
        <f t="shared" si="1"/>
        <v/>
      </c>
      <c r="M50" s="1304"/>
      <c r="N50" s="1304" t="str">
        <f t="shared" si="2"/>
        <v/>
      </c>
      <c r="O50" s="1304"/>
      <c r="P50" s="1304" t="str">
        <f t="shared" si="3"/>
        <v/>
      </c>
      <c r="Q50" s="1304"/>
      <c r="R50" s="1304" t="str">
        <f t="shared" si="4"/>
        <v/>
      </c>
      <c r="S50" s="1304"/>
      <c r="T50" s="1304" t="str">
        <f t="shared" si="5"/>
        <v/>
      </c>
      <c r="U50" s="1304"/>
      <c r="V50" s="1304" t="str">
        <f t="shared" si="6"/>
        <v/>
      </c>
      <c r="W50" s="1304"/>
      <c r="X50" s="1304" t="str">
        <f t="shared" si="7"/>
        <v/>
      </c>
      <c r="Y50" s="1304"/>
      <c r="Z50" s="1304" t="str">
        <f t="shared" si="8"/>
        <v/>
      </c>
      <c r="AA50" s="1304"/>
      <c r="AB50" s="1304" t="str">
        <f t="shared" si="9"/>
        <v/>
      </c>
      <c r="AC50" s="1304"/>
      <c r="AD50" s="1304" t="str">
        <f t="shared" si="10"/>
        <v/>
      </c>
      <c r="AE50" s="1304"/>
      <c r="AF50" s="1304" t="str">
        <f t="shared" si="11"/>
        <v/>
      </c>
      <c r="AG50" s="1304"/>
      <c r="AH50" s="1304"/>
      <c r="AI50" s="1304"/>
      <c r="AJ50" s="1304"/>
      <c r="AK50" s="1304"/>
      <c r="AL50" s="1304"/>
      <c r="AM50" s="1304"/>
      <c r="AN50" s="1304"/>
      <c r="AO50" s="1304"/>
      <c r="AP50" s="1304"/>
      <c r="AQ50" s="1304"/>
      <c r="AR50" s="1304"/>
      <c r="AS50" s="1304"/>
      <c r="AT50" s="1304"/>
      <c r="AU50" s="1304"/>
      <c r="AV50" s="1304"/>
      <c r="AW50" s="1304"/>
      <c r="AX50" s="1304"/>
      <c r="AY50" s="1304"/>
      <c r="AZ50" s="1304"/>
      <c r="BA50" s="1345" t="str">
        <f t="shared" si="12"/>
        <v/>
      </c>
      <c r="BB50" s="1345" t="str">
        <f t="shared" si="13"/>
        <v/>
      </c>
      <c r="BC50" s="1346" t="e">
        <f t="shared" si="14"/>
        <v>#N/A</v>
      </c>
      <c r="BD50" s="1347" t="b">
        <f t="shared" si="15"/>
        <v>0</v>
      </c>
    </row>
    <row r="51" spans="2:56" x14ac:dyDescent="0.2">
      <c r="BD51" s="1347" t="b">
        <f t="shared" si="15"/>
        <v>0</v>
      </c>
    </row>
  </sheetData>
  <sheetProtection password="CC3C" sheet="1" objects="1" scenarios="1" selectLockedCells="1"/>
  <sortState ref="BE14:BF18">
    <sortCondition ref="BE14"/>
  </sortState>
  <mergeCells count="42">
    <mergeCell ref="BG2:BI2"/>
    <mergeCell ref="BH8:BI8"/>
    <mergeCell ref="E46:F46"/>
    <mergeCell ref="E47:F47"/>
    <mergeCell ref="E48:F48"/>
    <mergeCell ref="E36:F36"/>
    <mergeCell ref="E37:F37"/>
    <mergeCell ref="E38:F38"/>
    <mergeCell ref="E39:F39"/>
    <mergeCell ref="E40:F40"/>
    <mergeCell ref="E31:F31"/>
    <mergeCell ref="E32:F32"/>
    <mergeCell ref="E33:F33"/>
    <mergeCell ref="E34:F34"/>
    <mergeCell ref="E35:F35"/>
    <mergeCell ref="E26:F26"/>
    <mergeCell ref="E49:F49"/>
    <mergeCell ref="E50:F50"/>
    <mergeCell ref="E41:F41"/>
    <mergeCell ref="E42:F42"/>
    <mergeCell ref="E43:F43"/>
    <mergeCell ref="E44:F44"/>
    <mergeCell ref="E45:F45"/>
    <mergeCell ref="E27:F27"/>
    <mergeCell ref="E28:F28"/>
    <mergeCell ref="E29:F29"/>
    <mergeCell ref="E30:F30"/>
    <mergeCell ref="E21:F21"/>
    <mergeCell ref="E22:F22"/>
    <mergeCell ref="E23:F23"/>
    <mergeCell ref="E24:F24"/>
    <mergeCell ref="E25:F25"/>
    <mergeCell ref="BE1:BF1"/>
    <mergeCell ref="AA1:AC2"/>
    <mergeCell ref="G19:H19"/>
    <mergeCell ref="C19:C20"/>
    <mergeCell ref="B19:B20"/>
    <mergeCell ref="C8:D8"/>
    <mergeCell ref="E19:F19"/>
    <mergeCell ref="E20:F20"/>
    <mergeCell ref="F8:H8"/>
    <mergeCell ref="X10:X18"/>
  </mergeCells>
  <conditionalFormatting sqref="B21:H50">
    <cfRule type="expression" dxfId="34" priority="180" stopIfTrue="1">
      <formula>ISNUMBER($BB21)</formula>
    </cfRule>
  </conditionalFormatting>
  <conditionalFormatting sqref="I21:I50">
    <cfRule type="expression" dxfId="33" priority="154" stopIfTrue="1">
      <formula>ISNUMBER($BB21)</formula>
    </cfRule>
  </conditionalFormatting>
  <conditionalFormatting sqref="J20">
    <cfRule type="expression" dxfId="32" priority="105" stopIfTrue="1">
      <formula>LEN(J20)&gt;0</formula>
    </cfRule>
  </conditionalFormatting>
  <conditionalFormatting sqref="K20:AE20 AH20:AZ20">
    <cfRule type="expression" dxfId="31" priority="104" stopIfTrue="1">
      <formula>LEN(K20)&gt;0</formula>
    </cfRule>
  </conditionalFormatting>
  <conditionalFormatting sqref="E8:F8">
    <cfRule type="expression" dxfId="30" priority="8" stopIfTrue="1">
      <formula>$BB$3</formula>
    </cfRule>
    <cfRule type="expression" dxfId="29" priority="13" stopIfTrue="1">
      <formula>$C$8&lt;&gt;"Other"</formula>
    </cfRule>
  </conditionalFormatting>
  <conditionalFormatting sqref="W21:W51 Y21:Y51 AA21:AA51 AC21:AC51 AE21:AE51 U21:U51 S21:S51 Q21:Q51 O21:O51 M21:M51 K21:K51">
    <cfRule type="expression" dxfId="28" priority="69" stopIfTrue="1">
      <formula>AND(J$20="Last",ISNUMBER($BB21))</formula>
    </cfRule>
    <cfRule type="expression" dxfId="27" priority="70" stopIfTrue="1">
      <formula>AND($BD21,LEN(K$20)&gt;0)</formula>
    </cfRule>
  </conditionalFormatting>
  <conditionalFormatting sqref="F5">
    <cfRule type="expression" dxfId="26" priority="11" stopIfTrue="1">
      <formula>$BB$3&lt;&gt;2</formula>
    </cfRule>
  </conditionalFormatting>
  <conditionalFormatting sqref="B6 B8 J19 B18:H20 C14:H17 B13:B15 B17">
    <cfRule type="expression" dxfId="25" priority="10" stopIfTrue="1">
      <formula>$BB$3</formula>
    </cfRule>
  </conditionalFormatting>
  <conditionalFormatting sqref="C8:D8">
    <cfRule type="expression" dxfId="24" priority="9" stopIfTrue="1">
      <formula>$BB$3</formula>
    </cfRule>
  </conditionalFormatting>
  <conditionalFormatting sqref="AD21:AD51 Z21:Z51 AB21:AB51 X21:X51 V21:V51 T21:T51 R21:R51 P21:P51 N21:N51 L21:L51 J21:J51">
    <cfRule type="expression" dxfId="23" priority="272" stopIfTrue="1">
      <formula>AND($BD21,LEN(J$20)&gt;0)</formula>
    </cfRule>
    <cfRule type="expression" dxfId="22" priority="273" stopIfTrue="1">
      <formula>J$20=""</formula>
    </cfRule>
    <cfRule type="cellIs" dxfId="21" priority="274" stopIfTrue="1" operator="equal">
      <formula>$BF$9</formula>
    </cfRule>
  </conditionalFormatting>
  <conditionalFormatting sqref="B11:B12">
    <cfRule type="expression" dxfId="20" priority="7" stopIfTrue="1">
      <formula>$BB$3</formula>
    </cfRule>
  </conditionalFormatting>
  <conditionalFormatting sqref="AF20:AG20">
    <cfRule type="expression" dxfId="19" priority="3" stopIfTrue="1">
      <formula>LEN(AF20)&gt;0</formula>
    </cfRule>
  </conditionalFormatting>
  <conditionalFormatting sqref="AG21:AG51">
    <cfRule type="expression" dxfId="18" priority="1" stopIfTrue="1">
      <formula>AND(AF$20="Last",ISNUMBER($BB21))</formula>
    </cfRule>
    <cfRule type="expression" dxfId="17" priority="2" stopIfTrue="1">
      <formula>AND($BD21,LEN(AG$20)&gt;0)</formula>
    </cfRule>
  </conditionalFormatting>
  <conditionalFormatting sqref="AF21:AF51">
    <cfRule type="expression" dxfId="16" priority="4" stopIfTrue="1">
      <formula>AND($BD21,LEN(AF$20)&gt;0)</formula>
    </cfRule>
    <cfRule type="expression" dxfId="15" priority="5" stopIfTrue="1">
      <formula>AF$20=""</formula>
    </cfRule>
    <cfRule type="cellIs" dxfId="14" priority="6" stopIfTrue="1" operator="equal">
      <formula>$BF$9</formula>
    </cfRule>
  </conditionalFormatting>
  <dataValidations count="5">
    <dataValidation type="list" allowBlank="1" showInputMessage="1" showErrorMessage="1" sqref="D21:D50">
      <formula1>INDIRECT($B21)</formula1>
    </dataValidation>
    <dataValidation type="list" allowBlank="1" showInputMessage="1" showErrorMessage="1" sqref="G21:H50">
      <formula1>IF(ISNUMBER($BA21),DD_RF,"")</formula1>
    </dataValidation>
    <dataValidation type="list" allowBlank="1" showInputMessage="1" showErrorMessage="1" sqref="B21:B50">
      <formula1>IF(ISNUMBER($BB21),$BE$9:$BE$13,"")</formula1>
    </dataValidation>
    <dataValidation type="list" allowBlank="1" showInputMessage="1" showErrorMessage="1" sqref="E21:F50">
      <formula1>IF(ISNUMBER($BB21),$BH$14:$BH$15,"")</formula1>
    </dataValidation>
    <dataValidation type="list" allowBlank="1" showInputMessage="1" showErrorMessage="1" errorTitle="Input Error" error="Please select from list" sqref="C8:D8">
      <formula1>$BH$9:$BH$10</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whole" allowBlank="1" showInputMessage="1" showErrorMessage="1" errorTitle="Site quantity error!" error="Please enter a valid site number">
          <x14:formula1>
            <xm:f>DUT!$G$19</xm:f>
          </x14:formula1>
          <x14:formula2>
            <xm:f>DUT!$G$19+siteQty-1</xm:f>
          </x14:formula2>
          <xm:sqref>C21:C50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75</vt:i4>
      </vt:variant>
    </vt:vector>
  </HeadingPairs>
  <TitlesOfParts>
    <vt:vector size="89" baseType="lpstr">
      <vt:lpstr>Cover Page</vt:lpstr>
      <vt:lpstr>DUT</vt:lpstr>
      <vt:lpstr>Pinlist</vt:lpstr>
      <vt:lpstr>Chart</vt:lpstr>
      <vt:lpstr>Orientation</vt:lpstr>
      <vt:lpstr>Core</vt:lpstr>
      <vt:lpstr>PCB Config</vt:lpstr>
      <vt:lpstr>PCB Custom</vt:lpstr>
      <vt:lpstr>Custom ISS</vt:lpstr>
      <vt:lpstr>Accel Fxtr</vt:lpstr>
      <vt:lpstr>Test Notes</vt:lpstr>
      <vt:lpstr>BOM</vt:lpstr>
      <vt:lpstr>Netlist</vt:lpstr>
      <vt:lpstr>Item Revision Control</vt:lpstr>
      <vt:lpstr>board_item_no</vt:lpstr>
      <vt:lpstr>compQtyM</vt:lpstr>
      <vt:lpstr>Core_ID_Module</vt:lpstr>
      <vt:lpstr>core_item_no</vt:lpstr>
      <vt:lpstr>Core_Notes_Specs</vt:lpstr>
      <vt:lpstr>coreSize</vt:lpstr>
      <vt:lpstr>Cust_ISS</vt:lpstr>
      <vt:lpstr>DC_Vers</vt:lpstr>
      <vt:lpstr>DesCap</vt:lpstr>
      <vt:lpstr>dieBumpQty</vt:lpstr>
      <vt:lpstr>edgeSense</vt:lpstr>
      <vt:lpstr>Integration</vt:lpstr>
      <vt:lpstr>keepOutCore</vt:lpstr>
      <vt:lpstr>Leak_Spec</vt:lpstr>
      <vt:lpstr>Load</vt:lpstr>
      <vt:lpstr>Mkt_Code</vt:lpstr>
      <vt:lpstr>multipleGnds</vt:lpstr>
      <vt:lpstr>Multiplyer</vt:lpstr>
      <vt:lpstr>Pad_size_Min</vt:lpstr>
      <vt:lpstr>padArrange</vt:lpstr>
      <vt:lpstr>padMetal</vt:lpstr>
      <vt:lpstr>padSensitivity</vt:lpstr>
      <vt:lpstr>passivD</vt:lpstr>
      <vt:lpstr>passivL</vt:lpstr>
      <vt:lpstr>passivW</vt:lpstr>
      <vt:lpstr>Pinlist_AC</vt:lpstr>
      <vt:lpstr>Pinlist_Cmatch_10ps</vt:lpstr>
      <vt:lpstr>Pinlist_Cmatch_1p5ps</vt:lpstr>
      <vt:lpstr>Pinlist_Cmatch_20ps</vt:lpstr>
      <vt:lpstr>Pinlist_Cmatch_2p5ps</vt:lpstr>
      <vt:lpstr>Pinlist_Cmatch_5ps</vt:lpstr>
      <vt:lpstr>Pinlist_DC</vt:lpstr>
      <vt:lpstr>Pinlist_Err</vt:lpstr>
      <vt:lpstr>Pinlist_Pmatch_100ps</vt:lpstr>
      <vt:lpstr>Pinlist_Pmatch_10ps</vt:lpstr>
      <vt:lpstr>Pinlist_Pmatch_200ps</vt:lpstr>
      <vt:lpstr>Pinlist_Pmatch_20ps</vt:lpstr>
      <vt:lpstr>Pinlist_Pmatch_2p5ps</vt:lpstr>
      <vt:lpstr>Pinlist_Pmatch_50ps</vt:lpstr>
      <vt:lpstr>Pinlist_Pmatch_5ps</vt:lpstr>
      <vt:lpstr>Pinlist_PnG</vt:lpstr>
      <vt:lpstr>Pinlist_RF_Error_flag</vt:lpstr>
      <vt:lpstr>Pinlist_RF_Max</vt:lpstr>
      <vt:lpstr>Pinlist_RF_total</vt:lpstr>
      <vt:lpstr>Pinlist_RF01</vt:lpstr>
      <vt:lpstr>Pinlist_RF03</vt:lpstr>
      <vt:lpstr>Pinlist_RF20</vt:lpstr>
      <vt:lpstr>Pinlist_RF40</vt:lpstr>
      <vt:lpstr>Pinlist_RF80</vt:lpstr>
      <vt:lpstr>Pinlist_Sense</vt:lpstr>
      <vt:lpstr>Pinlist_TFIF</vt:lpstr>
      <vt:lpstr>Pinlist_TFIP</vt:lpstr>
      <vt:lpstr>Pinlist_TFIT</vt:lpstr>
      <vt:lpstr>pitchMinX</vt:lpstr>
      <vt:lpstr>'Cover Page'!Print_Area</vt:lpstr>
      <vt:lpstr>Orientation!Print_Area</vt:lpstr>
      <vt:lpstr>'PCB Config'!Print_Area</vt:lpstr>
      <vt:lpstr>Pinlist!Print_Area</vt:lpstr>
      <vt:lpstr>Pinlist!Print_Titles</vt:lpstr>
      <vt:lpstr>'Test Notes'!Print_Titles</vt:lpstr>
      <vt:lpstr>probeDepth</vt:lpstr>
      <vt:lpstr>PS_Details_Error</vt:lpstr>
      <vt:lpstr>siteQty</vt:lpstr>
      <vt:lpstr>tempMax</vt:lpstr>
      <vt:lpstr>tempMin</vt:lpstr>
      <vt:lpstr>Test_Imp_Freq</vt:lpstr>
      <vt:lpstr>Test_Imp_Obj</vt:lpstr>
      <vt:lpstr>Test_LM_Freq</vt:lpstr>
      <vt:lpstr>Test_LM_Obj</vt:lpstr>
      <vt:lpstr>Test_RTime_Freq</vt:lpstr>
      <vt:lpstr>Test_RTime_Obj</vt:lpstr>
      <vt:lpstr>Test_SParam_Freq</vt:lpstr>
      <vt:lpstr>Test_SParam_Obj</vt:lpstr>
      <vt:lpstr>window</vt:lpstr>
      <vt:lpstr>zSense</vt:lpstr>
    </vt:vector>
  </TitlesOfParts>
  <Company>Cascade Microtech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rphilli</dc:creator>
  <cp:lastModifiedBy>Ron Phillips</cp:lastModifiedBy>
  <cp:lastPrinted>2012-12-15T00:09:45Z</cp:lastPrinted>
  <dcterms:created xsi:type="dcterms:W3CDTF">2012-04-13T22:58:30Z</dcterms:created>
  <dcterms:modified xsi:type="dcterms:W3CDTF">2015-12-02T00:25:08Z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datFormatVer">
    <vt:lpwstr>0.2</vt:lpwstr>
  </property>
</Properties>
</file>